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5FD05197-1DF7-48D0-8634-C5965A572768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</calcChain>
</file>

<file path=xl/sharedStrings.xml><?xml version="1.0" encoding="utf-8"?>
<sst xmlns="http://schemas.openxmlformats.org/spreadsheetml/2006/main" count="15818" uniqueCount="109">
  <si>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</si>
  <si>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</si>
  <si>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</si>
  <si>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</si>
  <si>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</si>
  <si>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</si>
  <si>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</si>
  <si>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</si>
  <si>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</si>
  <si>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</si>
  <si>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</si>
  <si>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</si>
  <si>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</si>
  <si>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</si>
  <si>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</si>
  <si>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</si>
  <si>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</si>
  <si>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</si>
  <si>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</si>
  <si>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</si>
  <si>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</si>
  <si>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</si>
  <si>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</si>
  <si>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</si>
  <si>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</si>
  <si>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</si>
  <si>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</si>
  <si>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</si>
  <si>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</si>
  <si>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</si>
  <si>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</si>
  <si>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</si>
  <si>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</si>
  <si>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</si>
  <si>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</si>
  <si>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</si>
  <si>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</si>
  <si>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</si>
  <si>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</si>
  <si>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</si>
  <si>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</si>
  <si>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mcp_road_part_02</t>
  </si>
  <si>
    <t>Plane_01</t>
  </si>
  <si>
    <t>Building 07 (16)</t>
  </si>
  <si>
    <t>Box001</t>
  </si>
  <si>
    <t>Building 18 (9)</t>
  </si>
  <si>
    <t>Pilar Small (24)</t>
  </si>
  <si>
    <t>Pilar Small (25)</t>
  </si>
  <si>
    <t>Pilar Small (26)</t>
  </si>
  <si>
    <t>mcp_bus_stop_night_LOD_0</t>
  </si>
  <si>
    <t>mcp_roads_turn_01 (1)</t>
  </si>
  <si>
    <t>Kooper</t>
  </si>
  <si>
    <t>Plane_01 (1)</t>
  </si>
  <si>
    <t>FAR</t>
  </si>
  <si>
    <t>Building 03</t>
  </si>
  <si>
    <t>Building 15 (22)</t>
  </si>
  <si>
    <t>Building 15 (24)</t>
  </si>
  <si>
    <t>Building 07 (17)</t>
  </si>
  <si>
    <t>Building 24</t>
  </si>
  <si>
    <t>Building 15 (34)</t>
  </si>
  <si>
    <t>Tree 02 (7)</t>
  </si>
  <si>
    <t>Tong (5)</t>
  </si>
  <si>
    <t>mcp_roads_T_cross_01</t>
  </si>
  <si>
    <t>Building 21 (2)</t>
  </si>
  <si>
    <t>Stand 03 (4)</t>
  </si>
  <si>
    <t>Building 23 (4)</t>
  </si>
  <si>
    <t>Building 15 (35)</t>
  </si>
  <si>
    <t>Tree 02 (6)</t>
  </si>
  <si>
    <t>Tree 05 (15)</t>
  </si>
  <si>
    <t>Building 18 (4)</t>
  </si>
  <si>
    <t>mcp_road_part_01</t>
  </si>
  <si>
    <t>Building 01 (9)</t>
  </si>
  <si>
    <t>mcp_roads_cross_01</t>
  </si>
  <si>
    <t>Building 19</t>
  </si>
  <si>
    <t>Building 07 (4)</t>
  </si>
  <si>
    <t>Building 15 (33)</t>
  </si>
  <si>
    <t>Building 15 (31)</t>
  </si>
  <si>
    <t>mcp_roads_turn_01</t>
  </si>
  <si>
    <t>Building 07 (15)</t>
  </si>
  <si>
    <t>Building 02 (11)</t>
  </si>
  <si>
    <t>Tree 02 (3)</t>
  </si>
  <si>
    <t>Stand 03 (2)</t>
  </si>
  <si>
    <t>mcp_building_24_fountain_marble</t>
  </si>
  <si>
    <t>Building 11 (3)</t>
  </si>
  <si>
    <t>mcp_roads_cross_02</t>
  </si>
  <si>
    <t>Building 18 (2)</t>
  </si>
  <si>
    <t>Building 15 (32)</t>
  </si>
  <si>
    <t>Building 15 (30)</t>
  </si>
  <si>
    <t>Tree 02 (2)</t>
  </si>
  <si>
    <t>Building 15 (7)</t>
  </si>
  <si>
    <t>Canopi 01 (3)</t>
  </si>
  <si>
    <t>Building 09 (4)</t>
  </si>
  <si>
    <t>Building 13 (1)</t>
  </si>
  <si>
    <t>mcp_road_part_02 (1)</t>
  </si>
  <si>
    <t>mcp_road_part_02 (2)</t>
  </si>
  <si>
    <t>mcp_road_part_02 (3)</t>
  </si>
  <si>
    <t>Building 30 (4)</t>
  </si>
  <si>
    <t>Shurbs (2)</t>
  </si>
  <si>
    <t>Tree 04 (7)</t>
  </si>
  <si>
    <t>Building 01</t>
  </si>
  <si>
    <t>Shurbs (3)</t>
  </si>
  <si>
    <t>Building 07 (14)</t>
  </si>
  <si>
    <t>mcp_road_part_02 (6)</t>
  </si>
  <si>
    <t>mcp_road_part_02 (9)</t>
  </si>
  <si>
    <t>mcp_road_part_02 (8)</t>
  </si>
  <si>
    <t>mcp_road_part_02 (11)</t>
  </si>
  <si>
    <t>mcp_road_part_02 (12)</t>
  </si>
  <si>
    <t>mcp_road_part_02 (10)</t>
  </si>
  <si>
    <t>Building 07 (18)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</si>
</sst>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890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"20190304155016255"</f>
        <v>20190304155016255</v>
      </c>
      <c r="B2" t="str">
        <f>"1551685816246632"</f>
        <v>1551685816246632</v>
      </c>
      <c r="C2" t="s">
        <v>40</v>
      </c>
      <c r="D2">
        <v>4.7241099999999996</v>
      </c>
      <c r="E2">
        <v>0.53986780000000001</v>
      </c>
      <c r="F2" t="s">
        <v>41</v>
      </c>
      <c r="G2">
        <v>-340.18699999999899</v>
      </c>
      <c r="H2" s="1">
        <v>-5.6148629999999998E-6</v>
      </c>
      <c r="I2">
        <v>364.00310000000002</v>
      </c>
      <c r="J2">
        <v>-476.59809999999999</v>
      </c>
      <c r="K2">
        <v>1.1097699999999999</v>
      </c>
      <c r="L2">
        <v>367.21769999999998</v>
      </c>
      <c r="M2">
        <v>0.99996470000000004</v>
      </c>
      <c r="N2">
        <v>-8.4134139999999993E-3</v>
      </c>
      <c r="O2">
        <v>1.2162179999999999E-4</v>
      </c>
      <c r="P2">
        <v>0.98381220000000003</v>
      </c>
      <c r="Q2">
        <v>0.15907789999999999</v>
      </c>
      <c r="R2">
        <v>8.2510990000000006E-2</v>
      </c>
      <c r="S2">
        <v>3.0589900000000001</v>
      </c>
      <c r="T2">
        <v>-2.4887800000000002E-2</v>
      </c>
      <c r="U2">
        <v>-7.2082519999999997E-2</v>
      </c>
      <c r="V2">
        <v>-8.2385799999999995E-2</v>
      </c>
      <c r="W2">
        <v>0.1673529</v>
      </c>
      <c r="X2">
        <v>0.98244880000000001</v>
      </c>
      <c r="Y2">
        <v>2.3677610000000002E-2</v>
      </c>
      <c r="Z2">
        <v>-1.9589489999999999E-4</v>
      </c>
      <c r="AA2">
        <v>0.99971960000000004</v>
      </c>
      <c r="AB2">
        <v>1</v>
      </c>
      <c r="AC2">
        <v>136.4111</v>
      </c>
      <c r="AD2">
        <v>-1.109775614863</v>
      </c>
      <c r="AE2">
        <v>-3.2145999999999599</v>
      </c>
      <c r="AF2">
        <v>3.2309773961484902</v>
      </c>
      <c r="AG2">
        <v>-1.109775614863</v>
      </c>
      <c r="AH2">
        <v>136.401685040892</v>
      </c>
      <c r="AI2">
        <v>90.466022294479998</v>
      </c>
      <c r="AJ2">
        <v>88.6430757275524</v>
      </c>
      <c r="AK2">
        <v>136.444459392254</v>
      </c>
      <c r="AL2">
        <v>80.366053697589507</v>
      </c>
      <c r="AM2">
        <v>94.793471588058694</v>
      </c>
      <c r="AN2">
        <v>1.00000002890074</v>
      </c>
    </row>
    <row r="3" spans="1:40" x14ac:dyDescent="0.25">
      <c r="A3" t="str">
        <f>"20190304155016269"</f>
        <v>20190304155016269</v>
      </c>
      <c r="B3" t="str">
        <f>"1551685816267128"</f>
        <v>1551685816267128</v>
      </c>
      <c r="C3" t="s">
        <v>40</v>
      </c>
      <c r="D3">
        <v>4.7338209999999998</v>
      </c>
      <c r="E3">
        <v>0.53977569999999997</v>
      </c>
      <c r="F3" t="s">
        <v>41</v>
      </c>
      <c r="G3">
        <v>-330.54590000000002</v>
      </c>
      <c r="H3" s="1">
        <v>-5.058065E-6</v>
      </c>
      <c r="I3">
        <v>363.86630000000002</v>
      </c>
      <c r="J3">
        <v>-476.59219999999999</v>
      </c>
      <c r="K3">
        <v>1.1097399999999999</v>
      </c>
      <c r="L3">
        <v>367.21769999999998</v>
      </c>
      <c r="M3">
        <v>0.99996799999999997</v>
      </c>
      <c r="N3">
        <v>-8.0157760000000005E-3</v>
      </c>
      <c r="O3">
        <v>1.2253869999999999E-4</v>
      </c>
      <c r="P3">
        <v>0.9837418</v>
      </c>
      <c r="Q3">
        <v>0.159348499999999</v>
      </c>
      <c r="R3">
        <v>8.2827699999999893E-2</v>
      </c>
      <c r="S3">
        <v>3.0589900000000001</v>
      </c>
      <c r="T3">
        <v>-2.3243670000000001E-2</v>
      </c>
      <c r="U3">
        <v>-7.0190429999999998E-2</v>
      </c>
      <c r="V3">
        <v>-8.2700919999999997E-2</v>
      </c>
      <c r="W3">
        <v>0.16723209999999999</v>
      </c>
      <c r="X3">
        <v>0.98244290000000001</v>
      </c>
      <c r="Y3">
        <v>2.306072E-2</v>
      </c>
      <c r="Z3">
        <v>-1.7999039999999999E-4</v>
      </c>
      <c r="AA3">
        <v>0.99973400000000001</v>
      </c>
      <c r="AB3">
        <v>1</v>
      </c>
      <c r="AC3">
        <v>146.04629999999901</v>
      </c>
      <c r="AD3">
        <v>-1.1097450580649999</v>
      </c>
      <c r="AE3">
        <v>-3.3513999999999502</v>
      </c>
      <c r="AF3">
        <v>3.36910244668322</v>
      </c>
      <c r="AG3">
        <v>-1.1097450580649999</v>
      </c>
      <c r="AH3">
        <v>146.03746067142399</v>
      </c>
      <c r="AI3">
        <v>90.435268945040903</v>
      </c>
      <c r="AJ3">
        <v>88.678413644397693</v>
      </c>
      <c r="AK3">
        <v>146.08053362699599</v>
      </c>
      <c r="AL3">
        <v>80.373074017366207</v>
      </c>
      <c r="AM3">
        <v>94.811749125120798</v>
      </c>
      <c r="AN3">
        <v>1.0000000345998299</v>
      </c>
    </row>
    <row r="4" spans="1:40" x14ac:dyDescent="0.25">
      <c r="A4" t="str">
        <f>"20190304155016286"</f>
        <v>20190304155016286</v>
      </c>
      <c r="B4" t="str">
        <f>"1551685816276182"</f>
        <v>1551685816276182</v>
      </c>
      <c r="C4" t="s">
        <v>40</v>
      </c>
      <c r="D4">
        <v>4.723325</v>
      </c>
      <c r="E4">
        <v>0.53972180000000003</v>
      </c>
      <c r="F4" t="s">
        <v>41</v>
      </c>
      <c r="G4">
        <v>-326.97859999999997</v>
      </c>
      <c r="H4" s="1">
        <v>-2.5441029999999998E-6</v>
      </c>
      <c r="I4">
        <v>363.86669999999998</v>
      </c>
      <c r="J4">
        <v>-476.58679999999998</v>
      </c>
      <c r="K4">
        <v>1.110017</v>
      </c>
      <c r="L4">
        <v>367.21769999999998</v>
      </c>
      <c r="M4">
        <v>0.99996300000000005</v>
      </c>
      <c r="N4">
        <v>-8.615803E-3</v>
      </c>
      <c r="O4">
        <v>1.2472920000000001E-4</v>
      </c>
      <c r="P4">
        <v>0.98383129999999996</v>
      </c>
      <c r="Q4">
        <v>0.15839489999999901</v>
      </c>
      <c r="R4">
        <v>8.3590919999999999E-2</v>
      </c>
      <c r="S4">
        <v>3.059021</v>
      </c>
      <c r="T4">
        <v>-2.2689939999999999E-2</v>
      </c>
      <c r="U4">
        <v>-6.8511959999999997E-2</v>
      </c>
      <c r="V4">
        <v>-8.3461729999999998E-2</v>
      </c>
      <c r="W4">
        <v>0.16686909999999999</v>
      </c>
      <c r="X4">
        <v>0.98244019999999999</v>
      </c>
      <c r="Y4">
        <v>2.2514449999999998E-2</v>
      </c>
      <c r="Z4">
        <v>-1.8034489999999999E-4</v>
      </c>
      <c r="AA4">
        <v>0.99974649999999998</v>
      </c>
      <c r="AB4">
        <v>1</v>
      </c>
      <c r="AC4">
        <v>149.60820000000001</v>
      </c>
      <c r="AD4">
        <v>-1.1100195441030001</v>
      </c>
      <c r="AE4">
        <v>-3.3509999999999902</v>
      </c>
      <c r="AF4">
        <v>3.3694757816526701</v>
      </c>
      <c r="AG4">
        <v>-1.1100195441030001</v>
      </c>
      <c r="AH4">
        <v>149.59954965770601</v>
      </c>
      <c r="AI4">
        <v>90.425015604165694</v>
      </c>
      <c r="AJ4">
        <v>88.7097280306198</v>
      </c>
      <c r="AK4">
        <v>149.64160774403601</v>
      </c>
      <c r="AL4">
        <v>80.394167998345495</v>
      </c>
      <c r="AM4">
        <v>94.855817561629493</v>
      </c>
      <c r="AN4">
        <v>0.99999995174272005</v>
      </c>
    </row>
    <row r="5" spans="1:40" x14ac:dyDescent="0.25">
      <c r="A5" t="str">
        <f>"20190304155016311"</f>
        <v>20190304155016311</v>
      </c>
      <c r="B5" t="str">
        <f>"1551685816306439"</f>
        <v>1551685816306439</v>
      </c>
      <c r="C5" t="s">
        <v>40</v>
      </c>
      <c r="D5">
        <v>4.1448489999999998</v>
      </c>
      <c r="E5">
        <v>0.53945940000000003</v>
      </c>
      <c r="F5" t="s">
        <v>41</v>
      </c>
      <c r="G5">
        <v>-344.63479999999998</v>
      </c>
      <c r="H5" s="1">
        <v>-3.4483500000000002E-6</v>
      </c>
      <c r="I5">
        <v>364.36380000000003</v>
      </c>
      <c r="J5">
        <v>-476.58269999999999</v>
      </c>
      <c r="K5">
        <v>1.1104149999999999</v>
      </c>
      <c r="L5">
        <v>367.21769999999998</v>
      </c>
      <c r="M5">
        <v>0.9999519</v>
      </c>
      <c r="N5">
        <v>-9.8039819999999993E-3</v>
      </c>
      <c r="O5">
        <v>1.2685450000000001E-4</v>
      </c>
      <c r="P5">
        <v>0.98396819999999896</v>
      </c>
      <c r="Q5">
        <v>0.1573012</v>
      </c>
      <c r="R5">
        <v>8.4040019999999993E-2</v>
      </c>
      <c r="S5">
        <v>3.0590820000000001</v>
      </c>
      <c r="T5">
        <v>-2.5733949999999998E-2</v>
      </c>
      <c r="U5">
        <v>-6.6162109999999996E-2</v>
      </c>
      <c r="V5">
        <v>-8.390802E-2</v>
      </c>
      <c r="W5">
        <v>0.16694429999999999</v>
      </c>
      <c r="X5">
        <v>0.98238950000000003</v>
      </c>
      <c r="Y5">
        <v>2.1748199999999999E-2</v>
      </c>
      <c r="Z5">
        <v>-1.9791599999999999E-4</v>
      </c>
      <c r="AA5">
        <v>0.99976350000000003</v>
      </c>
      <c r="AB5">
        <v>1</v>
      </c>
      <c r="AC5">
        <v>131.9479</v>
      </c>
      <c r="AD5">
        <v>-1.1104184483499999</v>
      </c>
      <c r="AE5">
        <v>-2.8538999999999501</v>
      </c>
      <c r="AF5">
        <v>2.8704357718950901</v>
      </c>
      <c r="AG5">
        <v>-1.1104184483499999</v>
      </c>
      <c r="AH5">
        <v>131.938197129065</v>
      </c>
      <c r="AI5">
        <v>90.482087366848504</v>
      </c>
      <c r="AJ5">
        <v>88.753674689789094</v>
      </c>
      <c r="AK5">
        <v>131.97408947334699</v>
      </c>
      <c r="AL5">
        <v>80.3897989366655</v>
      </c>
      <c r="AM5">
        <v>94.881908363895406</v>
      </c>
      <c r="AN5">
        <v>1.0000000424165201</v>
      </c>
    </row>
    <row r="6" spans="1:40" x14ac:dyDescent="0.25">
      <c r="A6" t="str">
        <f>"20190304155016355"</f>
        <v>20190304155016355</v>
      </c>
      <c r="B6" t="str">
        <f>"1551685816346455"</f>
        <v>1551685816346455</v>
      </c>
      <c r="C6" t="s">
        <v>40</v>
      </c>
      <c r="D6">
        <v>4.6294680000000001</v>
      </c>
      <c r="E6">
        <v>0.49908580000000002</v>
      </c>
      <c r="F6" t="s">
        <v>41</v>
      </c>
      <c r="G6">
        <v>-365.42939999999999</v>
      </c>
      <c r="H6" s="1">
        <v>-3.512076E-6</v>
      </c>
      <c r="I6">
        <v>375.72559999999999</v>
      </c>
      <c r="J6">
        <v>-476.55900000000003</v>
      </c>
      <c r="K6">
        <v>1.1098680000000001</v>
      </c>
      <c r="L6">
        <v>367.21769999999998</v>
      </c>
      <c r="M6">
        <v>0.99997040000000004</v>
      </c>
      <c r="N6">
        <v>-7.7118789999999996E-3</v>
      </c>
      <c r="O6">
        <v>1.284375E-4</v>
      </c>
      <c r="P6">
        <v>0.98359600000000003</v>
      </c>
      <c r="Q6">
        <v>0.1591302</v>
      </c>
      <c r="R6">
        <v>8.4949739999999996E-2</v>
      </c>
      <c r="S6">
        <v>3.0342099999999999</v>
      </c>
      <c r="T6">
        <v>-3.0308959999999999E-2</v>
      </c>
      <c r="U6">
        <v>0.23226930000000001</v>
      </c>
      <c r="V6">
        <v>-8.4816370000000002E-2</v>
      </c>
      <c r="W6">
        <v>0.16671440000000001</v>
      </c>
      <c r="X6">
        <v>0.98235050000000002</v>
      </c>
      <c r="Y6">
        <v>-7.6192070000000001E-2</v>
      </c>
      <c r="Z6">
        <v>6.7392539999999897E-4</v>
      </c>
      <c r="AA6">
        <v>0.99709289999999995</v>
      </c>
      <c r="AB6">
        <v>1</v>
      </c>
      <c r="AC6">
        <v>111.1296</v>
      </c>
      <c r="AD6">
        <v>-1.1098715120759901</v>
      </c>
      <c r="AE6">
        <v>8.5078999999999994</v>
      </c>
      <c r="AF6">
        <v>-8.4927841329768601</v>
      </c>
      <c r="AG6">
        <v>-1.1098715120759901</v>
      </c>
      <c r="AH6">
        <v>111.11967293461301</v>
      </c>
      <c r="AI6">
        <v>90.570591459995001</v>
      </c>
      <c r="AJ6">
        <v>94.370571852861502</v>
      </c>
      <c r="AK6">
        <v>111.449275054609</v>
      </c>
      <c r="AL6">
        <v>80.4031581093532</v>
      </c>
      <c r="AM6">
        <v>94.934693059618795</v>
      </c>
      <c r="AN6">
        <v>1.0000000063187899</v>
      </c>
    </row>
    <row r="7" spans="1:40" x14ac:dyDescent="0.25">
      <c r="A7" t="str">
        <f>"20190304155016378"</f>
        <v>20190304155016378</v>
      </c>
      <c r="B7" t="str">
        <f>"1551685816366954"</f>
        <v>1551685816366954</v>
      </c>
      <c r="C7" t="s">
        <v>40</v>
      </c>
      <c r="D7">
        <v>5.0762239999999998</v>
      </c>
      <c r="E7">
        <v>0.49916909999999998</v>
      </c>
      <c r="F7" t="s">
        <v>42</v>
      </c>
      <c r="G7">
        <v>-425.22590000000002</v>
      </c>
      <c r="H7">
        <v>-0.05</v>
      </c>
      <c r="I7">
        <v>371.61470000000003</v>
      </c>
      <c r="J7">
        <v>-476.54430000000002</v>
      </c>
      <c r="K7">
        <v>1.10978</v>
      </c>
      <c r="L7">
        <v>367.21769999999998</v>
      </c>
      <c r="M7">
        <v>0.99997499999999995</v>
      </c>
      <c r="N7">
        <v>-7.076321E-3</v>
      </c>
      <c r="O7">
        <v>1.2865969999999901E-4</v>
      </c>
      <c r="P7">
        <v>0.98343029999999998</v>
      </c>
      <c r="Q7">
        <v>0.15994800000000001</v>
      </c>
      <c r="R7">
        <v>8.5332439999999996E-2</v>
      </c>
      <c r="S7">
        <v>3.0386959999999998</v>
      </c>
      <c r="T7">
        <v>-6.8659070000000003E-2</v>
      </c>
      <c r="U7">
        <v>0.26028440000000003</v>
      </c>
      <c r="V7">
        <v>-8.5199070000000002E-2</v>
      </c>
      <c r="W7">
        <v>0.16690669999999999</v>
      </c>
      <c r="X7">
        <v>0.98228470000000001</v>
      </c>
      <c r="Y7">
        <v>-8.5187540000000006E-2</v>
      </c>
      <c r="Z7">
        <v>1.260541E-3</v>
      </c>
      <c r="AA7">
        <v>0.99636409999999997</v>
      </c>
      <c r="AB7">
        <v>1</v>
      </c>
      <c r="AC7">
        <v>51.318399999999997</v>
      </c>
      <c r="AD7">
        <v>-1.15978</v>
      </c>
      <c r="AE7">
        <v>4.3970000000000402</v>
      </c>
      <c r="AF7">
        <v>-4.3881722804727596</v>
      </c>
      <c r="AG7">
        <v>-1.15978</v>
      </c>
      <c r="AH7">
        <v>51.292958550814397</v>
      </c>
      <c r="AI7">
        <v>91.290575829774696</v>
      </c>
      <c r="AJ7">
        <v>94.889814272700903</v>
      </c>
      <c r="AK7">
        <v>51.493385424800699</v>
      </c>
      <c r="AL7">
        <v>80.391983308255305</v>
      </c>
      <c r="AM7">
        <v>94.957178593321601</v>
      </c>
      <c r="AN7">
        <v>0.99999997994392198</v>
      </c>
    </row>
    <row r="8" spans="1:40" x14ac:dyDescent="0.25">
      <c r="A8" t="str">
        <f>"20190304155016391"</f>
        <v>20190304155016391</v>
      </c>
      <c r="B8" t="str">
        <f>"1551685816386978"</f>
        <v>1551685816386978</v>
      </c>
      <c r="C8" t="s">
        <v>40</v>
      </c>
      <c r="D8">
        <v>4.7086980000000001</v>
      </c>
      <c r="E8">
        <v>0.50075449999999999</v>
      </c>
      <c r="F8" t="s">
        <v>42</v>
      </c>
      <c r="G8">
        <v>-422.03989999999999</v>
      </c>
      <c r="H8">
        <v>-0.05</v>
      </c>
      <c r="I8">
        <v>371.8895</v>
      </c>
      <c r="J8">
        <v>-476.53719999999998</v>
      </c>
      <c r="K8">
        <v>1.1099410000000001</v>
      </c>
      <c r="L8">
        <v>367.21769999999998</v>
      </c>
      <c r="M8">
        <v>0.99997239999999998</v>
      </c>
      <c r="N8">
        <v>-7.4343600000000001E-3</v>
      </c>
      <c r="O8">
        <v>1.2819080000000001E-4</v>
      </c>
      <c r="P8">
        <v>0.98346279999999997</v>
      </c>
      <c r="Q8">
        <v>0.15973119999999999</v>
      </c>
      <c r="R8">
        <v>8.5365060000000006E-2</v>
      </c>
      <c r="S8">
        <v>3.0384519999999999</v>
      </c>
      <c r="T8">
        <v>-6.4654229999999993E-2</v>
      </c>
      <c r="U8">
        <v>0.26043699999999997</v>
      </c>
      <c r="V8">
        <v>-8.5232669999999996E-2</v>
      </c>
      <c r="W8">
        <v>0.1670421</v>
      </c>
      <c r="X8">
        <v>0.98225879999999999</v>
      </c>
      <c r="Y8">
        <v>-8.5246970000000005E-2</v>
      </c>
      <c r="Z8">
        <v>1.220949E-3</v>
      </c>
      <c r="AA8">
        <v>0.99635910000000005</v>
      </c>
      <c r="AB8">
        <v>2</v>
      </c>
      <c r="AC8">
        <v>54.497300000000003</v>
      </c>
      <c r="AD8">
        <v>-1.1599409999999899</v>
      </c>
      <c r="AE8">
        <v>4.6718000000000099</v>
      </c>
      <c r="AF8">
        <v>-4.6627168006395801</v>
      </c>
      <c r="AG8">
        <v>-1.1599409999999899</v>
      </c>
      <c r="AH8">
        <v>54.473400687639597</v>
      </c>
      <c r="AI8">
        <v>91.215412556728793</v>
      </c>
      <c r="AJ8">
        <v>94.892376650403094</v>
      </c>
      <c r="AK8">
        <v>54.684895296256897</v>
      </c>
      <c r="AL8">
        <v>80.3841152966408</v>
      </c>
      <c r="AM8">
        <v>94.959253920262796</v>
      </c>
      <c r="AN8">
        <v>1.0000000106925799</v>
      </c>
    </row>
    <row r="9" spans="1:40" x14ac:dyDescent="0.25">
      <c r="A9" t="str">
        <f>"20190304155016410"</f>
        <v>20190304155016410</v>
      </c>
      <c r="B9" t="str">
        <f>"1551685816406499"</f>
        <v>1551685816406499</v>
      </c>
      <c r="C9" t="s">
        <v>40</v>
      </c>
      <c r="D9">
        <v>4.712402</v>
      </c>
      <c r="E9">
        <v>0.50093409999999905</v>
      </c>
      <c r="F9" t="s">
        <v>41</v>
      </c>
      <c r="G9">
        <v>-390.02420000000001</v>
      </c>
      <c r="H9" s="1">
        <v>-5.0944439999999901E-6</v>
      </c>
      <c r="I9">
        <v>374.27640000000002</v>
      </c>
      <c r="J9">
        <v>-476.5299</v>
      </c>
      <c r="K9">
        <v>1.110371</v>
      </c>
      <c r="L9">
        <v>367.21769999999998</v>
      </c>
      <c r="M9">
        <v>0.9999614</v>
      </c>
      <c r="N9">
        <v>-8.7836049999999999E-3</v>
      </c>
      <c r="O9">
        <v>1.2722640000000001E-4</v>
      </c>
      <c r="P9">
        <v>0.9836686</v>
      </c>
      <c r="Q9">
        <v>0.1585878</v>
      </c>
      <c r="R9">
        <v>8.5123210000000005E-2</v>
      </c>
      <c r="S9">
        <v>3.0352169999999998</v>
      </c>
      <c r="T9">
        <v>-3.8941259999999998E-2</v>
      </c>
      <c r="U9">
        <v>0.24765010000000001</v>
      </c>
      <c r="V9">
        <v>-8.4991590000000006E-2</v>
      </c>
      <c r="W9">
        <v>0.1672255</v>
      </c>
      <c r="X9">
        <v>0.98224849999999997</v>
      </c>
      <c r="Y9">
        <v>-8.1183980000000003E-2</v>
      </c>
      <c r="Z9">
        <v>8.7655549999999995E-4</v>
      </c>
      <c r="AA9">
        <v>0.99669870000000005</v>
      </c>
      <c r="AB9">
        <v>1</v>
      </c>
      <c r="AC9">
        <v>86.505699999999905</v>
      </c>
      <c r="AD9">
        <v>-1.110376094444</v>
      </c>
      <c r="AE9">
        <v>7.0587000000000399</v>
      </c>
      <c r="AF9">
        <v>-7.0465404030724201</v>
      </c>
      <c r="AG9">
        <v>-1.110376094444</v>
      </c>
      <c r="AH9">
        <v>86.492441182085201</v>
      </c>
      <c r="AI9">
        <v>90.733085041657702</v>
      </c>
      <c r="AJ9">
        <v>94.657601410209097</v>
      </c>
      <c r="AK9">
        <v>86.786110918508797</v>
      </c>
      <c r="AL9">
        <v>80.3734574966645</v>
      </c>
      <c r="AM9">
        <v>94.945347965736602</v>
      </c>
      <c r="AN9">
        <v>1.0000000269866101</v>
      </c>
    </row>
    <row r="10" spans="1:40" x14ac:dyDescent="0.25">
      <c r="A10" t="str">
        <f>"20190304155016423"</f>
        <v>20190304155016423</v>
      </c>
      <c r="B10" t="str">
        <f>"1551685816416261"</f>
        <v>1551685816416261</v>
      </c>
      <c r="C10" t="s">
        <v>40</v>
      </c>
      <c r="D10">
        <v>4.883864</v>
      </c>
      <c r="E10">
        <v>0.50127969999999999</v>
      </c>
      <c r="F10" t="s">
        <v>42</v>
      </c>
      <c r="G10">
        <v>-421.46899999999999</v>
      </c>
      <c r="H10">
        <v>-0.05</v>
      </c>
      <c r="I10">
        <v>371.67160000000001</v>
      </c>
      <c r="J10">
        <v>-476.52640000000002</v>
      </c>
      <c r="K10">
        <v>1.1106529999999999</v>
      </c>
      <c r="L10">
        <v>367.21769999999998</v>
      </c>
      <c r="M10">
        <v>0.9999517</v>
      </c>
      <c r="N10">
        <v>-9.8323019999999994E-3</v>
      </c>
      <c r="O10">
        <v>1.26558E-4</v>
      </c>
      <c r="P10">
        <v>0.98385120000000004</v>
      </c>
      <c r="Q10">
        <v>0.1574306</v>
      </c>
      <c r="R10">
        <v>8.5162039999999994E-2</v>
      </c>
      <c r="S10">
        <v>3.0388790000000001</v>
      </c>
      <c r="T10">
        <v>-6.4042329999999995E-2</v>
      </c>
      <c r="U10">
        <v>0.24581910000000001</v>
      </c>
      <c r="V10">
        <v>-8.5030880000000003E-2</v>
      </c>
      <c r="W10">
        <v>0.1670999</v>
      </c>
      <c r="X10">
        <v>0.98226639999999998</v>
      </c>
      <c r="Y10">
        <v>-8.0475779999999997E-2</v>
      </c>
      <c r="Z10">
        <v>1.2414399999999999E-3</v>
      </c>
      <c r="AA10">
        <v>0.99675579999999997</v>
      </c>
      <c r="AB10">
        <v>1</v>
      </c>
      <c r="AC10">
        <v>55.057400000000001</v>
      </c>
      <c r="AD10">
        <v>-1.1606529999999999</v>
      </c>
      <c r="AE10">
        <v>4.4539000000000302</v>
      </c>
      <c r="AF10">
        <v>-4.4449691748206899</v>
      </c>
      <c r="AG10">
        <v>-1.1606529999999999</v>
      </c>
      <c r="AH10">
        <v>55.033665346560603</v>
      </c>
      <c r="AI10">
        <v>91.204261142416598</v>
      </c>
      <c r="AJ10">
        <v>94.617652350498204</v>
      </c>
      <c r="AK10">
        <v>55.225077526688302</v>
      </c>
      <c r="AL10">
        <v>80.380755838786001</v>
      </c>
      <c r="AM10">
        <v>94.947533047290307</v>
      </c>
      <c r="AN10">
        <v>0.99999995385127105</v>
      </c>
    </row>
    <row r="11" spans="1:40" x14ac:dyDescent="0.25">
      <c r="A11" t="str">
        <f>"20190304155016454"</f>
        <v>20190304155016454</v>
      </c>
      <c r="B11" t="str">
        <f>"1551685816446515"</f>
        <v>1551685816446515</v>
      </c>
      <c r="C11" t="s">
        <v>40</v>
      </c>
      <c r="D11">
        <v>4.7008859999999997</v>
      </c>
      <c r="E11">
        <v>0.50087680000000001</v>
      </c>
      <c r="F11" t="s">
        <v>42</v>
      </c>
      <c r="G11">
        <v>-426.1968</v>
      </c>
      <c r="H11">
        <v>-0.05</v>
      </c>
      <c r="I11">
        <v>371.2423</v>
      </c>
      <c r="J11">
        <v>-476.51029999999997</v>
      </c>
      <c r="K11">
        <v>1.1104350000000001</v>
      </c>
      <c r="L11">
        <v>367.21769999999998</v>
      </c>
      <c r="M11">
        <v>0.99995540000000005</v>
      </c>
      <c r="N11">
        <v>-9.4565320000000001E-3</v>
      </c>
      <c r="O11">
        <v>1.2533299999999999E-4</v>
      </c>
      <c r="P11">
        <v>0.98387869999999999</v>
      </c>
      <c r="Q11">
        <v>0.1571902</v>
      </c>
      <c r="R11">
        <v>8.5288870000000003E-2</v>
      </c>
      <c r="S11">
        <v>3.0393680000000001</v>
      </c>
      <c r="T11">
        <v>-7.0091130000000001E-2</v>
      </c>
      <c r="U11">
        <v>0.24304200000000001</v>
      </c>
      <c r="V11">
        <v>-8.5159209999999999E-2</v>
      </c>
      <c r="W11">
        <v>0.16649059999999999</v>
      </c>
      <c r="X11">
        <v>0.98235879999999998</v>
      </c>
      <c r="Y11">
        <v>-7.9555609999999999E-2</v>
      </c>
      <c r="Z11">
        <v>1.2908730000000001E-3</v>
      </c>
      <c r="AA11">
        <v>0.99682959999999998</v>
      </c>
      <c r="AB11">
        <v>1</v>
      </c>
      <c r="AC11">
        <v>50.313499999999898</v>
      </c>
      <c r="AD11">
        <v>-1.1604350000000001</v>
      </c>
      <c r="AE11">
        <v>4.0246000000000199</v>
      </c>
      <c r="AF11">
        <v>-4.01617091733607</v>
      </c>
      <c r="AG11">
        <v>-1.1604350000000001</v>
      </c>
      <c r="AH11">
        <v>50.287423612895999</v>
      </c>
      <c r="AI11">
        <v>91.317731264028595</v>
      </c>
      <c r="AJ11">
        <v>94.5661967511504</v>
      </c>
      <c r="AK11">
        <v>50.460887941546702</v>
      </c>
      <c r="AL11">
        <v>80.416162703953802</v>
      </c>
      <c r="AM11">
        <v>94.9544990590597</v>
      </c>
      <c r="AN11">
        <v>1.0000000114368099</v>
      </c>
    </row>
    <row r="12" spans="1:40" x14ac:dyDescent="0.25">
      <c r="A12" t="str">
        <f>"20190304155016476"</f>
        <v>20190304155016476</v>
      </c>
      <c r="B12" t="str">
        <f>"1551685816467011"</f>
        <v>1551685816467011</v>
      </c>
      <c r="C12" t="s">
        <v>40</v>
      </c>
      <c r="D12">
        <v>4.7048620000000003</v>
      </c>
      <c r="E12">
        <v>0.50058320000000001</v>
      </c>
      <c r="F12" t="s">
        <v>42</v>
      </c>
      <c r="G12">
        <v>-433.52539999999999</v>
      </c>
      <c r="H12">
        <v>-0.05</v>
      </c>
      <c r="I12">
        <v>370.68239999999997</v>
      </c>
      <c r="J12">
        <v>-476.49369999999999</v>
      </c>
      <c r="K12">
        <v>1.1100300000000001</v>
      </c>
      <c r="L12">
        <v>367.21769999999998</v>
      </c>
      <c r="M12">
        <v>0.99996719999999895</v>
      </c>
      <c r="N12">
        <v>-8.1083869999999999E-3</v>
      </c>
      <c r="O12">
        <v>1.2573240000000001E-4</v>
      </c>
      <c r="P12">
        <v>0.98359580000000002</v>
      </c>
      <c r="Q12">
        <v>0.1588331</v>
      </c>
      <c r="R12">
        <v>8.5506219999999994E-2</v>
      </c>
      <c r="S12">
        <v>3.0410159999999999</v>
      </c>
      <c r="T12">
        <v>-8.2096340000000004E-2</v>
      </c>
      <c r="U12">
        <v>0.24511720000000001</v>
      </c>
      <c r="V12">
        <v>-8.5376170000000001E-2</v>
      </c>
      <c r="W12">
        <v>0.1668066</v>
      </c>
      <c r="X12">
        <v>0.98228629999999995</v>
      </c>
      <c r="Y12">
        <v>-8.0180059999999997E-2</v>
      </c>
      <c r="Z12">
        <v>1.4036400000000001E-3</v>
      </c>
      <c r="AA12">
        <v>0.99677939999999998</v>
      </c>
      <c r="AB12">
        <v>1</v>
      </c>
      <c r="AC12">
        <v>42.968299999999999</v>
      </c>
      <c r="AD12">
        <v>-1.1600299999999999</v>
      </c>
      <c r="AE12">
        <v>3.4646999999999899</v>
      </c>
      <c r="AF12">
        <v>-3.4567940563173098</v>
      </c>
      <c r="AG12">
        <v>-1.1600299999999999</v>
      </c>
      <c r="AH12">
        <v>42.937642077826297</v>
      </c>
      <c r="AI12">
        <v>91.542573367979898</v>
      </c>
      <c r="AJ12">
        <v>94.602801963900404</v>
      </c>
      <c r="AK12">
        <v>43.0921826083596</v>
      </c>
      <c r="AL12">
        <v>80.397799906902193</v>
      </c>
      <c r="AM12">
        <v>94.967423332789195</v>
      </c>
      <c r="AN12">
        <v>0.99999995368755801</v>
      </c>
    </row>
    <row r="13" spans="1:40" x14ac:dyDescent="0.25">
      <c r="A13" t="str">
        <f>"20190304155016498"</f>
        <v>20190304155016498</v>
      </c>
      <c r="B13" t="str">
        <f>"1551685816486534"</f>
        <v>1551685816486534</v>
      </c>
      <c r="C13" t="s">
        <v>40</v>
      </c>
      <c r="D13">
        <v>4.6674980000000001</v>
      </c>
      <c r="E13">
        <v>0.50075479999999895</v>
      </c>
      <c r="F13" t="s">
        <v>42</v>
      </c>
      <c r="G13">
        <v>-433.7448</v>
      </c>
      <c r="H13">
        <v>-0.05</v>
      </c>
      <c r="I13">
        <v>370.70580000000001</v>
      </c>
      <c r="J13">
        <v>-476.4753</v>
      </c>
      <c r="K13">
        <v>1.109753</v>
      </c>
      <c r="L13">
        <v>367.21769999999998</v>
      </c>
      <c r="M13">
        <v>0.99997570000000002</v>
      </c>
      <c r="N13">
        <v>-6.975289E-3</v>
      </c>
      <c r="O13">
        <v>1.2597459999999901E-4</v>
      </c>
      <c r="P13">
        <v>0.98335220000000001</v>
      </c>
      <c r="Q13">
        <v>0.16024059999999901</v>
      </c>
      <c r="R13">
        <v>8.5682590000000003E-2</v>
      </c>
      <c r="S13">
        <v>3.0418090000000002</v>
      </c>
      <c r="T13">
        <v>-8.2542299999999999E-2</v>
      </c>
      <c r="U13">
        <v>0.24819949999999999</v>
      </c>
      <c r="V13">
        <v>-8.5551740000000001E-2</v>
      </c>
      <c r="W13">
        <v>0.167099</v>
      </c>
      <c r="X13">
        <v>0.98222140000000002</v>
      </c>
      <c r="Y13">
        <v>-8.116284E-2</v>
      </c>
      <c r="Z13">
        <v>1.380257E-3</v>
      </c>
      <c r="AA13">
        <v>0.99669989999999997</v>
      </c>
      <c r="AB13">
        <v>2</v>
      </c>
      <c r="AC13">
        <v>42.730499999999999</v>
      </c>
      <c r="AD13">
        <v>-1.159753</v>
      </c>
      <c r="AE13">
        <v>3.48810000000003</v>
      </c>
      <c r="AF13">
        <v>-3.4801702223796802</v>
      </c>
      <c r="AG13">
        <v>-1.159753</v>
      </c>
      <c r="AH13">
        <v>42.699693006952302</v>
      </c>
      <c r="AI13">
        <v>91.550670884359207</v>
      </c>
      <c r="AJ13">
        <v>94.659501747707395</v>
      </c>
      <c r="AK13">
        <v>42.856976032913501</v>
      </c>
      <c r="AL13">
        <v>80.380808853753294</v>
      </c>
      <c r="AM13">
        <v>94.977914456273595</v>
      </c>
      <c r="AN13">
        <v>1.0000000273179901</v>
      </c>
    </row>
    <row r="14" spans="1:40" x14ac:dyDescent="0.25">
      <c r="A14" t="str">
        <f>"20190304155016519"</f>
        <v>20190304155016519</v>
      </c>
      <c r="B14" t="str">
        <f>"1551685816516787"</f>
        <v>1551685816516787</v>
      </c>
      <c r="C14" t="s">
        <v>40</v>
      </c>
      <c r="D14">
        <v>4.7022050000000002</v>
      </c>
      <c r="E14">
        <v>0.50058469999999999</v>
      </c>
      <c r="F14" t="s">
        <v>42</v>
      </c>
      <c r="G14">
        <v>-432.02</v>
      </c>
      <c r="H14">
        <v>-0.05</v>
      </c>
      <c r="I14">
        <v>370.83120000000002</v>
      </c>
      <c r="J14">
        <v>-476.4563</v>
      </c>
      <c r="K14">
        <v>1.109726</v>
      </c>
      <c r="L14">
        <v>367.21769999999998</v>
      </c>
      <c r="M14">
        <v>0.99997820000000004</v>
      </c>
      <c r="N14">
        <v>-6.6040119999999898E-3</v>
      </c>
      <c r="O14">
        <v>1.264095E-4</v>
      </c>
      <c r="P14">
        <v>0.98326959999999997</v>
      </c>
      <c r="Q14">
        <v>0.16031779999999901</v>
      </c>
      <c r="R14">
        <v>8.6482390000000006E-2</v>
      </c>
      <c r="S14">
        <v>3.0422359999999999</v>
      </c>
      <c r="T14">
        <v>-7.9366210000000006E-2</v>
      </c>
      <c r="U14">
        <v>0.2472839</v>
      </c>
      <c r="V14">
        <v>-8.6351699999999906E-2</v>
      </c>
      <c r="W14">
        <v>0.1668113</v>
      </c>
      <c r="X14">
        <v>0.98220030000000003</v>
      </c>
      <c r="Y14">
        <v>-8.0856140000000007E-2</v>
      </c>
      <c r="Z14">
        <v>1.3178059999999999E-3</v>
      </c>
      <c r="AA14">
        <v>0.99672490000000002</v>
      </c>
      <c r="AB14">
        <v>2</v>
      </c>
      <c r="AC14">
        <v>44.436300000000003</v>
      </c>
      <c r="AD14">
        <v>-1.159726</v>
      </c>
      <c r="AE14">
        <v>3.6135000000000401</v>
      </c>
      <c r="AF14">
        <v>-3.6054430074592401</v>
      </c>
      <c r="AG14">
        <v>-1.159726</v>
      </c>
      <c r="AH14">
        <v>44.406708048137801</v>
      </c>
      <c r="AI14">
        <v>91.491092683524101</v>
      </c>
      <c r="AJ14">
        <v>94.641743168316694</v>
      </c>
      <c r="AK14">
        <v>44.567924602203099</v>
      </c>
      <c r="AL14">
        <v>80.397527506714397</v>
      </c>
      <c r="AM14">
        <v>95.024331168673001</v>
      </c>
      <c r="AN14">
        <v>1.00000002761033</v>
      </c>
    </row>
    <row r="15" spans="1:40" x14ac:dyDescent="0.25">
      <c r="A15" t="str">
        <f>"20190304155016544"</f>
        <v>20190304155016544</v>
      </c>
      <c r="B15" t="str">
        <f>"1551685816536307"</f>
        <v>1551685816536307</v>
      </c>
      <c r="C15" t="s">
        <v>40</v>
      </c>
      <c r="D15">
        <v>4.7115830000000001</v>
      </c>
      <c r="E15">
        <v>0.50057299999999905</v>
      </c>
      <c r="F15" t="s">
        <v>42</v>
      </c>
      <c r="G15">
        <v>-432.13690000000003</v>
      </c>
      <c r="H15">
        <v>-0.05</v>
      </c>
      <c r="I15">
        <v>370.87700000000001</v>
      </c>
      <c r="J15">
        <v>-476.43880000000001</v>
      </c>
      <c r="K15">
        <v>1.1101030000000001</v>
      </c>
      <c r="L15">
        <v>367.21769999999998</v>
      </c>
      <c r="M15">
        <v>0.99997040000000004</v>
      </c>
      <c r="N15">
        <v>-7.6943649999999999E-3</v>
      </c>
      <c r="O15">
        <v>1.268443E-4</v>
      </c>
      <c r="P15">
        <v>0.98347410000000002</v>
      </c>
      <c r="Q15">
        <v>0.158749</v>
      </c>
      <c r="R15">
        <v>8.7049810000000005E-2</v>
      </c>
      <c r="S15">
        <v>3.0419619999999998</v>
      </c>
      <c r="T15">
        <v>-7.9600329999999997E-2</v>
      </c>
      <c r="U15">
        <v>0.25115969999999999</v>
      </c>
      <c r="V15">
        <v>-8.6918780000000001E-2</v>
      </c>
      <c r="W15">
        <v>0.166315299999999</v>
      </c>
      <c r="X15">
        <v>0.98223439999999995</v>
      </c>
      <c r="Y15">
        <v>-8.2122470000000003E-2</v>
      </c>
      <c r="Z15">
        <v>1.386672E-3</v>
      </c>
      <c r="AA15">
        <v>0.99662130000000004</v>
      </c>
      <c r="AB15">
        <v>2</v>
      </c>
      <c r="AC15">
        <v>44.301899999999897</v>
      </c>
      <c r="AD15">
        <v>-1.1601030000000001</v>
      </c>
      <c r="AE15">
        <v>3.6592999999999698</v>
      </c>
      <c r="AF15">
        <v>-3.6511936212657101</v>
      </c>
      <c r="AG15">
        <v>-1.1601030000000001</v>
      </c>
      <c r="AH15">
        <v>44.2722110884324</v>
      </c>
      <c r="AI15">
        <v>91.495950878147696</v>
      </c>
      <c r="AJ15">
        <v>94.714596723323197</v>
      </c>
      <c r="AK15">
        <v>44.437661150079698</v>
      </c>
      <c r="AL15">
        <v>80.426348895474007</v>
      </c>
      <c r="AM15">
        <v>95.056981234796098</v>
      </c>
      <c r="AN15">
        <v>1.0000000349370599</v>
      </c>
    </row>
    <row r="16" spans="1:40" x14ac:dyDescent="0.25">
      <c r="A16" t="str">
        <f>"20190304155016567"</f>
        <v>20190304155016567</v>
      </c>
      <c r="B16" t="str">
        <f>"1551685816556803"</f>
        <v>1551685816556803</v>
      </c>
      <c r="C16" t="s">
        <v>40</v>
      </c>
      <c r="D16">
        <v>4.6685230000000004</v>
      </c>
      <c r="E16">
        <v>0.5003824</v>
      </c>
      <c r="F16" t="s">
        <v>42</v>
      </c>
      <c r="G16">
        <v>-435.02140000000003</v>
      </c>
      <c r="H16">
        <v>-0.05</v>
      </c>
      <c r="I16">
        <v>370.65499999999997</v>
      </c>
      <c r="J16">
        <v>-476.42610000000002</v>
      </c>
      <c r="K16">
        <v>1.110582</v>
      </c>
      <c r="L16">
        <v>367.21769999999998</v>
      </c>
      <c r="M16">
        <v>0.9999557</v>
      </c>
      <c r="N16">
        <v>-9.4199520000000005E-3</v>
      </c>
      <c r="O16">
        <v>1.265234E-4</v>
      </c>
      <c r="P16">
        <v>0.98375509999999999</v>
      </c>
      <c r="Q16">
        <v>0.15667220000000001</v>
      </c>
      <c r="R16">
        <v>8.7634489999999995E-2</v>
      </c>
      <c r="S16">
        <v>3.041779</v>
      </c>
      <c r="T16">
        <v>-8.5200310000000001E-2</v>
      </c>
      <c r="U16">
        <v>0.25244139999999998</v>
      </c>
      <c r="V16">
        <v>-8.7503310000000001E-2</v>
      </c>
      <c r="W16">
        <v>0.16593579999999999</v>
      </c>
      <c r="X16">
        <v>0.98224659999999997</v>
      </c>
      <c r="Y16">
        <v>-8.2537949999999999E-2</v>
      </c>
      <c r="Z16">
        <v>1.5409179999999901E-3</v>
      </c>
      <c r="AA16">
        <v>0.99658670000000005</v>
      </c>
      <c r="AB16">
        <v>2</v>
      </c>
      <c r="AC16">
        <v>41.404699999999899</v>
      </c>
      <c r="AD16">
        <v>-1.160582</v>
      </c>
      <c r="AE16">
        <v>3.4372999999999898</v>
      </c>
      <c r="AF16">
        <v>-3.4293850788884299</v>
      </c>
      <c r="AG16">
        <v>-1.160582</v>
      </c>
      <c r="AH16">
        <v>41.372850760615499</v>
      </c>
      <c r="AI16">
        <v>91.601338195295597</v>
      </c>
      <c r="AJ16">
        <v>94.738400347810298</v>
      </c>
      <c r="AK16">
        <v>41.530957280782602</v>
      </c>
      <c r="AL16">
        <v>80.448398230194996</v>
      </c>
      <c r="AM16">
        <v>95.090748492557495</v>
      </c>
      <c r="AN16">
        <v>0.99999995109707596</v>
      </c>
    </row>
    <row r="17" spans="1:40" x14ac:dyDescent="0.25">
      <c r="A17" t="str">
        <f>"20190304155016587"</f>
        <v>20190304155016587</v>
      </c>
      <c r="B17" t="str">
        <f>"1551685816576833"</f>
        <v>1551685816576833</v>
      </c>
      <c r="C17" t="s">
        <v>40</v>
      </c>
      <c r="D17">
        <v>4.7315269999999998</v>
      </c>
      <c r="E17">
        <v>0.50012570000000001</v>
      </c>
      <c r="F17" t="s">
        <v>41</v>
      </c>
      <c r="G17">
        <v>-440.68830000000003</v>
      </c>
      <c r="H17" s="1">
        <v>-4.5428419999999998E-6</v>
      </c>
      <c r="I17">
        <v>370.2201</v>
      </c>
      <c r="J17">
        <v>-476.40989999999999</v>
      </c>
      <c r="K17">
        <v>1.11043</v>
      </c>
      <c r="L17">
        <v>367.21769999999998</v>
      </c>
      <c r="M17">
        <v>0.99995820000000002</v>
      </c>
      <c r="N17">
        <v>-9.1577140000000008E-3</v>
      </c>
      <c r="O17">
        <v>1.263759E-4</v>
      </c>
      <c r="P17">
        <v>0.98366790000000004</v>
      </c>
      <c r="Q17">
        <v>0.15698809999999999</v>
      </c>
      <c r="R17">
        <v>8.8049130000000003E-2</v>
      </c>
      <c r="S17">
        <v>3.0418699999999999</v>
      </c>
      <c r="T17">
        <v>-9.4528909999999994E-2</v>
      </c>
      <c r="U17">
        <v>0.25555420000000001</v>
      </c>
      <c r="V17">
        <v>-8.7918830000000003E-2</v>
      </c>
      <c r="W17">
        <v>0.16599320000000001</v>
      </c>
      <c r="X17">
        <v>0.98219979999999996</v>
      </c>
      <c r="Y17">
        <v>-8.3539459999999996E-2</v>
      </c>
      <c r="Z17">
        <v>1.67599E-3</v>
      </c>
      <c r="AA17">
        <v>0.99650309999999998</v>
      </c>
      <c r="AB17">
        <v>1</v>
      </c>
      <c r="AC17">
        <v>35.721599999999903</v>
      </c>
      <c r="AD17">
        <v>-1.1104345428419999</v>
      </c>
      <c r="AE17">
        <v>3.0024000000000202</v>
      </c>
      <c r="AF17">
        <v>-2.9950115794944101</v>
      </c>
      <c r="AG17">
        <v>-1.1104345428419999</v>
      </c>
      <c r="AH17">
        <v>35.687735053252702</v>
      </c>
      <c r="AI17">
        <v>91.775961225746997</v>
      </c>
      <c r="AJ17">
        <v>94.797176181823502</v>
      </c>
      <c r="AK17">
        <v>35.830400395005498</v>
      </c>
      <c r="AL17">
        <v>80.445063239969699</v>
      </c>
      <c r="AM17">
        <v>95.115037016469401</v>
      </c>
      <c r="AN17">
        <v>0.99999995511742301</v>
      </c>
    </row>
    <row r="18" spans="1:40" x14ac:dyDescent="0.25">
      <c r="A18" t="str">
        <f>"20190304155016610"</f>
        <v>20190304155016610</v>
      </c>
      <c r="B18" t="str">
        <f>"1551685816606110"</f>
        <v>1551685816606110</v>
      </c>
      <c r="C18" t="s">
        <v>40</v>
      </c>
      <c r="D18">
        <v>4.7451169999999996</v>
      </c>
      <c r="E18">
        <v>0.50000559999999905</v>
      </c>
      <c r="F18" t="s">
        <v>41</v>
      </c>
      <c r="G18">
        <v>-441.17439999999999</v>
      </c>
      <c r="H18" s="1">
        <v>-4.3107190000000004E-6</v>
      </c>
      <c r="I18">
        <v>370.2115</v>
      </c>
      <c r="J18">
        <v>-476.3879</v>
      </c>
      <c r="K18">
        <v>1.1100049999999999</v>
      </c>
      <c r="L18">
        <v>367.21769999999998</v>
      </c>
      <c r="M18">
        <v>0.99996960000000001</v>
      </c>
      <c r="N18">
        <v>-7.8120569999999999E-3</v>
      </c>
      <c r="O18">
        <v>1.2674560000000001E-4</v>
      </c>
      <c r="P18">
        <v>0.98344699999999996</v>
      </c>
      <c r="Q18">
        <v>0.15846769999999999</v>
      </c>
      <c r="R18">
        <v>8.7865589999999993E-2</v>
      </c>
      <c r="S18">
        <v>3.0419309999999999</v>
      </c>
      <c r="T18">
        <v>-9.5865489999999998E-2</v>
      </c>
      <c r="U18">
        <v>0.2584534</v>
      </c>
      <c r="V18">
        <v>-8.7734770000000004E-2</v>
      </c>
      <c r="W18">
        <v>0.1661493</v>
      </c>
      <c r="X18">
        <v>0.98218989999999995</v>
      </c>
      <c r="Y18">
        <v>-8.448029E-2</v>
      </c>
      <c r="Z18">
        <v>1.656147E-3</v>
      </c>
      <c r="AA18">
        <v>0.99642379999999997</v>
      </c>
      <c r="AB18">
        <v>1</v>
      </c>
      <c r="AC18">
        <v>35.213500000000003</v>
      </c>
      <c r="AD18">
        <v>-1.1100093107190001</v>
      </c>
      <c r="AE18">
        <v>2.9938000000000198</v>
      </c>
      <c r="AF18">
        <v>-2.9863905426085502</v>
      </c>
      <c r="AG18">
        <v>-1.1100093107190001</v>
      </c>
      <c r="AH18">
        <v>35.179174132304098</v>
      </c>
      <c r="AI18">
        <v>91.800782778984299</v>
      </c>
      <c r="AJ18">
        <v>94.852254773860594</v>
      </c>
      <c r="AK18">
        <v>35.3231502243761</v>
      </c>
      <c r="AL18">
        <v>80.435993756617805</v>
      </c>
      <c r="AM18">
        <v>95.104436381140701</v>
      </c>
      <c r="AN18">
        <v>0.99999998970972603</v>
      </c>
    </row>
    <row r="19" spans="1:40" x14ac:dyDescent="0.25">
      <c r="A19" t="str">
        <f>"20190304155016632"</f>
        <v>20190304155016632</v>
      </c>
      <c r="B19" t="str">
        <f>"1551685816626606"</f>
        <v>1551685816626606</v>
      </c>
      <c r="C19" t="s">
        <v>40</v>
      </c>
      <c r="D19">
        <v>4.7779759999999998</v>
      </c>
      <c r="E19">
        <v>0.49991989999999997</v>
      </c>
      <c r="F19" t="s">
        <v>41</v>
      </c>
      <c r="G19">
        <v>-441.19080000000002</v>
      </c>
      <c r="H19" s="1">
        <v>-4.3035000000000004E-6</v>
      </c>
      <c r="I19">
        <v>370.2133</v>
      </c>
      <c r="J19">
        <v>-476.36320000000001</v>
      </c>
      <c r="K19">
        <v>1.1096999999999999</v>
      </c>
      <c r="L19">
        <v>367.21769999999998</v>
      </c>
      <c r="M19">
        <v>0.99997809999999998</v>
      </c>
      <c r="N19">
        <v>-6.6241169999999997E-3</v>
      </c>
      <c r="O19">
        <v>1.2747950000000001E-4</v>
      </c>
      <c r="P19">
        <v>0.98321689999999995</v>
      </c>
      <c r="Q19">
        <v>0.159711299999999</v>
      </c>
      <c r="R19">
        <v>8.8186609999999999E-2</v>
      </c>
      <c r="S19">
        <v>3.0428160000000002</v>
      </c>
      <c r="T19">
        <v>-9.5960970000000007E-2</v>
      </c>
      <c r="U19">
        <v>0.25897219999999999</v>
      </c>
      <c r="V19">
        <v>-8.8054930000000003E-2</v>
      </c>
      <c r="W19">
        <v>0.1662245</v>
      </c>
      <c r="X19">
        <v>0.98214849999999998</v>
      </c>
      <c r="Y19">
        <v>-8.4625210000000006E-2</v>
      </c>
      <c r="Z19">
        <v>1.6093780000000001E-3</v>
      </c>
      <c r="AA19">
        <v>0.99641159999999995</v>
      </c>
      <c r="AB19">
        <v>2</v>
      </c>
      <c r="AC19">
        <v>35.172399999999897</v>
      </c>
      <c r="AD19">
        <v>-1.1097043034999901</v>
      </c>
      <c r="AE19">
        <v>2.99560000000002</v>
      </c>
      <c r="AF19">
        <v>-2.9881630327095698</v>
      </c>
      <c r="AG19">
        <v>-1.1097043034999901</v>
      </c>
      <c r="AH19">
        <v>35.138056031682098</v>
      </c>
      <c r="AI19">
        <v>91.802370814557307</v>
      </c>
      <c r="AJ19">
        <v>94.860775128814893</v>
      </c>
      <c r="AK19">
        <v>35.282340393416199</v>
      </c>
      <c r="AL19">
        <v>80.431624121130696</v>
      </c>
      <c r="AM19">
        <v>95.123179246806899</v>
      </c>
      <c r="AN19">
        <v>0.99999996557490101</v>
      </c>
    </row>
    <row r="20" spans="1:40" x14ac:dyDescent="0.25">
      <c r="A20" t="str">
        <f>"20190304155016654"</f>
        <v>20190304155016654</v>
      </c>
      <c r="B20" t="str">
        <f>"1551685816647102"</f>
        <v>1551685816647102</v>
      </c>
      <c r="C20" t="s">
        <v>40</v>
      </c>
      <c r="D20">
        <v>4.7643399999999998</v>
      </c>
      <c r="E20">
        <v>0.49978869999999997</v>
      </c>
      <c r="F20" t="s">
        <v>42</v>
      </c>
      <c r="G20">
        <v>-437.4948</v>
      </c>
      <c r="H20">
        <v>-0.05</v>
      </c>
      <c r="I20">
        <v>370.53840000000002</v>
      </c>
      <c r="J20">
        <v>-476.33730000000003</v>
      </c>
      <c r="K20">
        <v>1.109631</v>
      </c>
      <c r="L20">
        <v>367.21769999999998</v>
      </c>
      <c r="M20">
        <v>0.99998129999999996</v>
      </c>
      <c r="N20">
        <v>-6.1242980000000002E-3</v>
      </c>
      <c r="O20">
        <v>1.280691E-4</v>
      </c>
      <c r="P20">
        <v>0.98309369999999996</v>
      </c>
      <c r="Q20">
        <v>0.16048570000000001</v>
      </c>
      <c r="R20">
        <v>8.8156280000000004E-2</v>
      </c>
      <c r="S20">
        <v>3.0426639999999998</v>
      </c>
      <c r="T20">
        <v>-9.0782879999999996E-2</v>
      </c>
      <c r="U20">
        <v>0.25994869999999998</v>
      </c>
      <c r="V20">
        <v>-8.8023980000000002E-2</v>
      </c>
      <c r="W20">
        <v>0.1665066</v>
      </c>
      <c r="X20">
        <v>0.98210350000000002</v>
      </c>
      <c r="Y20">
        <v>-8.4951650000000004E-2</v>
      </c>
      <c r="Z20">
        <v>1.522401E-3</v>
      </c>
      <c r="AA20">
        <v>0.99638389999999999</v>
      </c>
      <c r="AB20">
        <v>2</v>
      </c>
      <c r="AC20">
        <v>38.842500000000001</v>
      </c>
      <c r="AD20">
        <v>-1.1596309999999901</v>
      </c>
      <c r="AE20">
        <v>3.32070000000004</v>
      </c>
      <c r="AF20">
        <v>-3.3127940771084701</v>
      </c>
      <c r="AG20">
        <v>-1.1596309999999901</v>
      </c>
      <c r="AH20">
        <v>38.808585744091403</v>
      </c>
      <c r="AI20">
        <v>91.705335384935395</v>
      </c>
      <c r="AJ20">
        <v>94.8790774185874</v>
      </c>
      <c r="AK20">
        <v>38.966981870681003</v>
      </c>
      <c r="AL20">
        <v>80.415232659252794</v>
      </c>
      <c r="AM20">
        <v>95.121621517312605</v>
      </c>
      <c r="AN20">
        <v>0.99999997680542496</v>
      </c>
    </row>
    <row r="21" spans="1:40" x14ac:dyDescent="0.25">
      <c r="A21" t="str">
        <f>"20190304155016677"</f>
        <v>20190304155016677</v>
      </c>
      <c r="B21" t="str">
        <f>"1551685816666625"</f>
        <v>1551685816666625</v>
      </c>
      <c r="C21" t="s">
        <v>40</v>
      </c>
      <c r="D21">
        <v>4.7477299999999998</v>
      </c>
      <c r="E21">
        <v>0.4997104</v>
      </c>
      <c r="F21" t="s">
        <v>42</v>
      </c>
      <c r="G21">
        <v>-435.9853</v>
      </c>
      <c r="H21">
        <v>-0.05</v>
      </c>
      <c r="I21">
        <v>370.67919999999998</v>
      </c>
      <c r="J21">
        <v>-476.31180000000001</v>
      </c>
      <c r="K21">
        <v>1.1097269999999999</v>
      </c>
      <c r="L21">
        <v>367.21769999999998</v>
      </c>
      <c r="M21">
        <v>0.9999808</v>
      </c>
      <c r="N21">
        <v>-6.2134790000000001E-3</v>
      </c>
      <c r="O21">
        <v>1.285077E-4</v>
      </c>
      <c r="P21">
        <v>0.98310529999999996</v>
      </c>
      <c r="Q21">
        <v>0.1605412</v>
      </c>
      <c r="R21">
        <v>8.7923589999999996E-2</v>
      </c>
      <c r="S21">
        <v>3.0424500000000001</v>
      </c>
      <c r="T21">
        <v>-8.7433460000000005E-2</v>
      </c>
      <c r="U21">
        <v>0.2609863</v>
      </c>
      <c r="V21">
        <v>-8.7790469999999995E-2</v>
      </c>
      <c r="W21">
        <v>0.16664999999999999</v>
      </c>
      <c r="X21">
        <v>0.98210010000000003</v>
      </c>
      <c r="Y21">
        <v>-8.529718E-2</v>
      </c>
      <c r="Z21">
        <v>1.48579299999999E-3</v>
      </c>
      <c r="AA21">
        <v>0.99635450000000003</v>
      </c>
      <c r="AB21">
        <v>3</v>
      </c>
      <c r="AC21">
        <v>40.326500000000003</v>
      </c>
      <c r="AD21">
        <v>-1.159727</v>
      </c>
      <c r="AE21">
        <v>3.4615</v>
      </c>
      <c r="AF21">
        <v>-3.4534823025643302</v>
      </c>
      <c r="AG21">
        <v>-1.159727</v>
      </c>
      <c r="AH21">
        <v>40.2938633054845</v>
      </c>
      <c r="AI21">
        <v>91.642597684314197</v>
      </c>
      <c r="AJ21">
        <v>94.898700868850995</v>
      </c>
      <c r="AK21">
        <v>40.458212105946103</v>
      </c>
      <c r="AL21">
        <v>80.406900225611594</v>
      </c>
      <c r="AM21">
        <v>95.108124445397095</v>
      </c>
      <c r="AN21">
        <v>0.99999999777141502</v>
      </c>
    </row>
    <row r="22" spans="1:40" x14ac:dyDescent="0.25">
      <c r="A22" t="str">
        <f>"20190304155016698"</f>
        <v>20190304155016698</v>
      </c>
      <c r="B22" t="str">
        <f>"1551685816687118"</f>
        <v>1551685816687118</v>
      </c>
      <c r="C22" t="s">
        <v>40</v>
      </c>
      <c r="D22">
        <v>4.7865729999999997</v>
      </c>
      <c r="E22">
        <v>0.49981629999999999</v>
      </c>
      <c r="F22" t="s">
        <v>42</v>
      </c>
      <c r="G22">
        <v>-435.74369999999999</v>
      </c>
      <c r="H22">
        <v>-0.05</v>
      </c>
      <c r="I22">
        <v>370.70069999999998</v>
      </c>
      <c r="J22">
        <v>-476.28440000000001</v>
      </c>
      <c r="K22">
        <v>1.1095870000000001</v>
      </c>
      <c r="L22">
        <v>367.21769999999998</v>
      </c>
      <c r="M22">
        <v>0.99998480000000001</v>
      </c>
      <c r="N22">
        <v>-5.5142680000000001E-3</v>
      </c>
      <c r="O22">
        <v>1.283666E-4</v>
      </c>
      <c r="P22">
        <v>0.98296689999999998</v>
      </c>
      <c r="Q22">
        <v>0.16123460000000001</v>
      </c>
      <c r="R22">
        <v>8.8199719999999995E-2</v>
      </c>
      <c r="S22">
        <v>3.0423580000000001</v>
      </c>
      <c r="T22">
        <v>-8.6972359999999999E-2</v>
      </c>
      <c r="U22">
        <v>0.26119999999999999</v>
      </c>
      <c r="V22">
        <v>-8.806667E-2</v>
      </c>
      <c r="W22">
        <v>0.1666561</v>
      </c>
      <c r="X22">
        <v>0.98207429999999996</v>
      </c>
      <c r="Y22">
        <v>-8.5370559999999998E-2</v>
      </c>
      <c r="Z22">
        <v>1.4506759999999999E-3</v>
      </c>
      <c r="AA22">
        <v>0.99634820000000002</v>
      </c>
      <c r="AB22">
        <v>2</v>
      </c>
      <c r="AC22">
        <v>40.540700000000001</v>
      </c>
      <c r="AD22">
        <v>-1.1595869999999999</v>
      </c>
      <c r="AE22">
        <v>3.4830000000000001</v>
      </c>
      <c r="AF22">
        <v>-3.4749736587917899</v>
      </c>
      <c r="AG22">
        <v>-1.1595869999999999</v>
      </c>
      <c r="AH22">
        <v>40.508248445276799</v>
      </c>
      <c r="AI22">
        <v>91.633701324188607</v>
      </c>
      <c r="AJ22">
        <v>94.903077393894904</v>
      </c>
      <c r="AK22">
        <v>40.673557454987098</v>
      </c>
      <c r="AL22">
        <v>80.406545421657597</v>
      </c>
      <c r="AM22">
        <v>95.124243732356902</v>
      </c>
      <c r="AN22">
        <v>0.99999996237629296</v>
      </c>
    </row>
    <row r="23" spans="1:40" x14ac:dyDescent="0.25">
      <c r="A23" t="str">
        <f>"20190304155016734"</f>
        <v>20190304155016734</v>
      </c>
      <c r="B23" t="str">
        <f>"1551685816727134"</f>
        <v>1551685816727134</v>
      </c>
      <c r="C23" t="s">
        <v>40</v>
      </c>
      <c r="D23">
        <v>4.7550860000000004</v>
      </c>
      <c r="E23">
        <v>0.49983919999999998</v>
      </c>
      <c r="F23" t="s">
        <v>42</v>
      </c>
      <c r="G23">
        <v>-434.40629999999999</v>
      </c>
      <c r="H23">
        <v>-0.05</v>
      </c>
      <c r="I23">
        <v>370.81319999999999</v>
      </c>
      <c r="J23">
        <v>-476.2312</v>
      </c>
      <c r="K23">
        <v>1.109278</v>
      </c>
      <c r="L23">
        <v>367.21769999999998</v>
      </c>
      <c r="M23">
        <v>0.9999924</v>
      </c>
      <c r="N23">
        <v>-3.9203049999999998E-3</v>
      </c>
      <c r="O23">
        <v>1.2762759999999999E-4</v>
      </c>
      <c r="P23">
        <v>0.98284899999999997</v>
      </c>
      <c r="Q23">
        <v>0.16223309999999999</v>
      </c>
      <c r="R23">
        <v>8.7684449999999997E-2</v>
      </c>
      <c r="S23">
        <v>3.0423580000000001</v>
      </c>
      <c r="T23">
        <v>-8.4241629999999998E-2</v>
      </c>
      <c r="U23">
        <v>0.26119999999999999</v>
      </c>
      <c r="V23">
        <v>-8.7552550000000007E-2</v>
      </c>
      <c r="W23">
        <v>0.16608809999999999</v>
      </c>
      <c r="X23">
        <v>0.98221650000000005</v>
      </c>
      <c r="Y23">
        <v>-8.5375530000000005E-2</v>
      </c>
      <c r="Z23">
        <v>1.3442770000000001E-3</v>
      </c>
      <c r="AA23">
        <v>0.99634800000000001</v>
      </c>
      <c r="AB23">
        <v>3</v>
      </c>
      <c r="AC23">
        <v>41.8249</v>
      </c>
      <c r="AD23">
        <v>-1.159278</v>
      </c>
      <c r="AE23">
        <v>3.5955000000000101</v>
      </c>
      <c r="AF23">
        <v>-3.5874260788063501</v>
      </c>
      <c r="AG23">
        <v>-1.159278</v>
      </c>
      <c r="AH23">
        <v>41.793486035660301</v>
      </c>
      <c r="AI23">
        <v>91.583058720568403</v>
      </c>
      <c r="AJ23">
        <v>94.906070231062898</v>
      </c>
      <c r="AK23">
        <v>41.963186561140901</v>
      </c>
      <c r="AL23">
        <v>80.439549565720597</v>
      </c>
      <c r="AM23">
        <v>95.093753373172703</v>
      </c>
      <c r="AN23">
        <v>0.99999997942268104</v>
      </c>
    </row>
    <row r="24" spans="1:40" x14ac:dyDescent="0.25">
      <c r="A24" t="str">
        <f>"20190304155016757"</f>
        <v>20190304155016757</v>
      </c>
      <c r="B24" t="str">
        <f>"1551685816746654"</f>
        <v>1551685816746654</v>
      </c>
      <c r="C24" t="s">
        <v>40</v>
      </c>
      <c r="D24">
        <v>4.7530910000000004</v>
      </c>
      <c r="E24">
        <v>0.4998573</v>
      </c>
      <c r="F24" t="s">
        <v>42</v>
      </c>
      <c r="G24">
        <v>-432.38200000000001</v>
      </c>
      <c r="H24">
        <v>-0.05</v>
      </c>
      <c r="I24">
        <v>370.94779999999997</v>
      </c>
      <c r="J24">
        <v>-476.19639999999998</v>
      </c>
      <c r="K24">
        <v>1.1093919999999999</v>
      </c>
      <c r="L24">
        <v>367.21769999999998</v>
      </c>
      <c r="M24">
        <v>0.99999229999999995</v>
      </c>
      <c r="N24">
        <v>-3.9299499999999998E-3</v>
      </c>
      <c r="O24">
        <v>1.2778689999999999E-4</v>
      </c>
      <c r="P24">
        <v>0.98280999999999996</v>
      </c>
      <c r="Q24">
        <v>0.16230240000000001</v>
      </c>
      <c r="R24">
        <v>8.799324E-2</v>
      </c>
      <c r="S24">
        <v>3.0425420000000001</v>
      </c>
      <c r="T24">
        <v>-8.0438140000000005E-2</v>
      </c>
      <c r="U24">
        <v>0.25881959999999998</v>
      </c>
      <c r="V24">
        <v>-8.7861419999999996E-2</v>
      </c>
      <c r="W24">
        <v>0.16616710000000001</v>
      </c>
      <c r="X24">
        <v>0.98217560000000004</v>
      </c>
      <c r="Y24">
        <v>-8.4599759999999996E-2</v>
      </c>
      <c r="Z24">
        <v>1.2798060000000001E-3</v>
      </c>
      <c r="AA24">
        <v>0.99641420000000003</v>
      </c>
      <c r="AB24">
        <v>3</v>
      </c>
      <c r="AC24">
        <v>43.814399999999999</v>
      </c>
      <c r="AD24">
        <v>-1.159392</v>
      </c>
      <c r="AE24">
        <v>3.73009999999999</v>
      </c>
      <c r="AF24">
        <v>-3.72191366035976</v>
      </c>
      <c r="AG24">
        <v>-1.159392</v>
      </c>
      <c r="AH24">
        <v>43.7844387103166</v>
      </c>
      <c r="AI24">
        <v>91.511363582050706</v>
      </c>
      <c r="AJ24">
        <v>94.8587700110144</v>
      </c>
      <c r="AK24">
        <v>43.957637610343703</v>
      </c>
      <c r="AL24">
        <v>80.4349598241091</v>
      </c>
      <c r="AM24">
        <v>95.111839937509998</v>
      </c>
      <c r="AN24">
        <v>1.00000002174109</v>
      </c>
    </row>
    <row r="25" spans="1:40" x14ac:dyDescent="0.25">
      <c r="A25" t="str">
        <f>"20190304155016777"</f>
        <v>20190304155016777</v>
      </c>
      <c r="B25" t="str">
        <f>"1551685816767150"</f>
        <v>1551685816767150</v>
      </c>
      <c r="C25" t="s">
        <v>40</v>
      </c>
      <c r="D25">
        <v>4.8007439999999999</v>
      </c>
      <c r="E25">
        <v>0.49990079999999998</v>
      </c>
      <c r="F25" t="s">
        <v>42</v>
      </c>
      <c r="G25">
        <v>-431.90039999999999</v>
      </c>
      <c r="H25">
        <v>-0.05</v>
      </c>
      <c r="I25">
        <v>370.99939999999998</v>
      </c>
      <c r="J25">
        <v>-476.16829999999999</v>
      </c>
      <c r="K25">
        <v>1.1098669999999999</v>
      </c>
      <c r="L25">
        <v>367.21769999999998</v>
      </c>
      <c r="M25">
        <v>0.99998569999999998</v>
      </c>
      <c r="N25">
        <v>-5.3727849999999997E-3</v>
      </c>
      <c r="O25">
        <v>1.2791939999999999E-4</v>
      </c>
      <c r="P25">
        <v>0.98304369999999996</v>
      </c>
      <c r="Q25">
        <v>0.1607372</v>
      </c>
      <c r="R25">
        <v>8.8253890000000002E-2</v>
      </c>
      <c r="S25">
        <v>3.042389</v>
      </c>
      <c r="T25">
        <v>-7.9630729999999997E-2</v>
      </c>
      <c r="U25">
        <v>0.2597351</v>
      </c>
      <c r="V25">
        <v>-8.8121690000000003E-2</v>
      </c>
      <c r="W25">
        <v>0.1660199</v>
      </c>
      <c r="X25">
        <v>0.98217710000000003</v>
      </c>
      <c r="Y25">
        <v>-8.4900409999999996E-2</v>
      </c>
      <c r="Z25">
        <v>1.3347579999999999E-3</v>
      </c>
      <c r="AA25">
        <v>0.99638859999999996</v>
      </c>
      <c r="AB25">
        <v>4</v>
      </c>
      <c r="AC25">
        <v>44.267899999999997</v>
      </c>
      <c r="AD25">
        <v>-1.159867</v>
      </c>
      <c r="AE25">
        <v>3.7816999999999998</v>
      </c>
      <c r="AF25">
        <v>-3.7734654607656699</v>
      </c>
      <c r="AG25">
        <v>-1.159867</v>
      </c>
      <c r="AH25">
        <v>44.238234015901298</v>
      </c>
      <c r="AI25">
        <v>91.496442593233596</v>
      </c>
      <c r="AJ25">
        <v>94.8754560448467</v>
      </c>
      <c r="AK25">
        <v>44.414025733848199</v>
      </c>
      <c r="AL25">
        <v>80.443511844971994</v>
      </c>
      <c r="AM25">
        <v>95.126894259889497</v>
      </c>
      <c r="AN25">
        <v>0.999999947604436</v>
      </c>
    </row>
    <row r="26" spans="1:40" x14ac:dyDescent="0.25">
      <c r="A26" t="str">
        <f>"20190304155016799"</f>
        <v>20190304155016799</v>
      </c>
      <c r="B26" t="str">
        <f>"1551685816796430"</f>
        <v>1551685816796430</v>
      </c>
      <c r="C26" t="s">
        <v>40</v>
      </c>
      <c r="D26">
        <v>4.9274529999999999</v>
      </c>
      <c r="E26">
        <v>0.49985879999999999</v>
      </c>
      <c r="F26" t="s">
        <v>42</v>
      </c>
      <c r="G26">
        <v>-434.40109999999999</v>
      </c>
      <c r="H26">
        <v>-0.05</v>
      </c>
      <c r="I26">
        <v>370.79079999999999</v>
      </c>
      <c r="J26">
        <v>-476.13900000000001</v>
      </c>
      <c r="K26">
        <v>1.110104</v>
      </c>
      <c r="L26">
        <v>367.21769999999998</v>
      </c>
      <c r="M26">
        <v>0.99998030000000004</v>
      </c>
      <c r="N26">
        <v>-6.2727399999999997E-3</v>
      </c>
      <c r="O26">
        <v>1.2814200000000001E-4</v>
      </c>
      <c r="P26">
        <v>0.98322500000000002</v>
      </c>
      <c r="Q26">
        <v>0.1596129</v>
      </c>
      <c r="R26">
        <v>8.8273229999999994E-2</v>
      </c>
      <c r="S26">
        <v>3.0422060000000002</v>
      </c>
      <c r="T26">
        <v>-8.4481239999999999E-2</v>
      </c>
      <c r="U26">
        <v>0.26025389999999998</v>
      </c>
      <c r="V26">
        <v>-8.8140259999999998E-2</v>
      </c>
      <c r="W26">
        <v>0.16578109999999999</v>
      </c>
      <c r="X26">
        <v>0.98221579999999997</v>
      </c>
      <c r="Y26">
        <v>-8.5068829999999998E-2</v>
      </c>
      <c r="Z26">
        <v>1.4434000000000001E-3</v>
      </c>
      <c r="AA26">
        <v>0.99637399999999998</v>
      </c>
      <c r="AB26">
        <v>3</v>
      </c>
      <c r="AC26">
        <v>41.737900000000003</v>
      </c>
      <c r="AD26">
        <v>-1.160104</v>
      </c>
      <c r="AE26">
        <v>3.5731000000000099</v>
      </c>
      <c r="AF26">
        <v>-3.5650173326699401</v>
      </c>
      <c r="AG26">
        <v>-1.160104</v>
      </c>
      <c r="AH26">
        <v>41.706371242671999</v>
      </c>
      <c r="AI26">
        <v>91.587541698852306</v>
      </c>
      <c r="AJ26">
        <v>94.885707480799297</v>
      </c>
      <c r="AK26">
        <v>41.874533932984001</v>
      </c>
      <c r="AL26">
        <v>80.457386638109199</v>
      </c>
      <c r="AM26">
        <v>95.127767928974706</v>
      </c>
      <c r="AN26">
        <v>0.99999997815985797</v>
      </c>
    </row>
    <row r="27" spans="1:40" x14ac:dyDescent="0.25">
      <c r="A27" t="str">
        <f>"20190304155016823"</f>
        <v>20190304155016823</v>
      </c>
      <c r="B27" t="str">
        <f>"1551685816816927"</f>
        <v>1551685816816927</v>
      </c>
      <c r="C27" t="s">
        <v>40</v>
      </c>
      <c r="D27">
        <v>4.7767369999999998</v>
      </c>
      <c r="E27">
        <v>0.49977080000000002</v>
      </c>
      <c r="F27" t="s">
        <v>42</v>
      </c>
      <c r="G27">
        <v>-436.4572</v>
      </c>
      <c r="H27">
        <v>-0.05</v>
      </c>
      <c r="I27">
        <v>370.62240000000003</v>
      </c>
      <c r="J27">
        <v>-476.1001</v>
      </c>
      <c r="K27">
        <v>1.109845</v>
      </c>
      <c r="L27">
        <v>367.21769999999998</v>
      </c>
      <c r="M27">
        <v>0.9999846</v>
      </c>
      <c r="N27">
        <v>-5.5650509999999997E-3</v>
      </c>
      <c r="O27">
        <v>1.282232E-4</v>
      </c>
      <c r="P27">
        <v>0.98315529999999995</v>
      </c>
      <c r="Q27">
        <v>0.160249799999999</v>
      </c>
      <c r="R27">
        <v>8.7899820000000004E-2</v>
      </c>
      <c r="S27">
        <v>3.0422060000000002</v>
      </c>
      <c r="T27">
        <v>-8.893943E-2</v>
      </c>
      <c r="U27">
        <v>0.26101679999999999</v>
      </c>
      <c r="V27">
        <v>-8.7767390000000001E-2</v>
      </c>
      <c r="W27">
        <v>0.16572229999999999</v>
      </c>
      <c r="X27">
        <v>0.9822592</v>
      </c>
      <c r="Y27">
        <v>-8.5313639999999996E-2</v>
      </c>
      <c r="Z27">
        <v>1.479384E-3</v>
      </c>
      <c r="AA27">
        <v>0.99635300000000004</v>
      </c>
      <c r="AB27">
        <v>3</v>
      </c>
      <c r="AC27">
        <v>39.642899999999997</v>
      </c>
      <c r="AD27">
        <v>-1.159845</v>
      </c>
      <c r="AE27">
        <v>3.40470000000004</v>
      </c>
      <c r="AF27">
        <v>-3.3967304738811102</v>
      </c>
      <c r="AG27">
        <v>-1.159845</v>
      </c>
      <c r="AH27">
        <v>39.609678982596002</v>
      </c>
      <c r="AI27">
        <v>91.671117733800401</v>
      </c>
      <c r="AJ27">
        <v>94.901411710873305</v>
      </c>
      <c r="AK27">
        <v>39.771971128428198</v>
      </c>
      <c r="AL27">
        <v>80.460803728298799</v>
      </c>
      <c r="AM27">
        <v>95.105965836198706</v>
      </c>
      <c r="AN27">
        <v>1.0000000657246599</v>
      </c>
    </row>
    <row r="28" spans="1:40" x14ac:dyDescent="0.25">
      <c r="A28" t="str">
        <f>"20190304155016845"</f>
        <v>20190304155016845</v>
      </c>
      <c r="B28" t="str">
        <f>"1551685816836449"</f>
        <v>1551685816836449</v>
      </c>
      <c r="C28" t="s">
        <v>40</v>
      </c>
      <c r="D28">
        <v>4.803407</v>
      </c>
      <c r="E28">
        <v>0.4997431</v>
      </c>
      <c r="F28" t="s">
        <v>42</v>
      </c>
      <c r="G28">
        <v>-435.6952</v>
      </c>
      <c r="H28">
        <v>-0.05</v>
      </c>
      <c r="I28">
        <v>370.67450000000002</v>
      </c>
      <c r="J28">
        <v>-476.06139999999999</v>
      </c>
      <c r="K28">
        <v>1.1095489999999999</v>
      </c>
      <c r="L28">
        <v>367.21769999999998</v>
      </c>
      <c r="M28">
        <v>0.99998980000000004</v>
      </c>
      <c r="N28">
        <v>-4.5494239999999998E-3</v>
      </c>
      <c r="O28">
        <v>1.283081E-4</v>
      </c>
      <c r="P28">
        <v>0.98300960000000004</v>
      </c>
      <c r="Q28">
        <v>0.16129009999999999</v>
      </c>
      <c r="R28">
        <v>8.762462E-2</v>
      </c>
      <c r="S28">
        <v>3.0423580000000001</v>
      </c>
      <c r="T28">
        <v>-8.7332729999999997E-2</v>
      </c>
      <c r="U28">
        <v>0.26028440000000003</v>
      </c>
      <c r="V28">
        <v>-8.7491830000000007E-2</v>
      </c>
      <c r="W28">
        <v>0.1657642</v>
      </c>
      <c r="X28">
        <v>0.9822767</v>
      </c>
      <c r="Y28">
        <v>-8.5073979999999993E-2</v>
      </c>
      <c r="Z28">
        <v>1.409399E-3</v>
      </c>
      <c r="AA28">
        <v>0.99637370000000003</v>
      </c>
      <c r="AB28">
        <v>3</v>
      </c>
      <c r="AC28">
        <v>40.3661999999999</v>
      </c>
      <c r="AD28">
        <v>-1.1595489999999999</v>
      </c>
      <c r="AE28">
        <v>3.4568000000000398</v>
      </c>
      <c r="AF28">
        <v>-3.4487954900850699</v>
      </c>
      <c r="AG28">
        <v>-1.1595489999999999</v>
      </c>
      <c r="AH28">
        <v>40.333603498735997</v>
      </c>
      <c r="AI28">
        <v>91.640756374063102</v>
      </c>
      <c r="AJ28">
        <v>94.887288245869001</v>
      </c>
      <c r="AK28">
        <v>40.497386525664602</v>
      </c>
      <c r="AL28">
        <v>80.458369241393299</v>
      </c>
      <c r="AM28">
        <v>95.089928963794705</v>
      </c>
      <c r="AN28">
        <v>1.0000000528406301</v>
      </c>
    </row>
    <row r="29" spans="1:40" x14ac:dyDescent="0.25">
      <c r="A29" t="str">
        <f>"20190304155016866"</f>
        <v>20190304155016866</v>
      </c>
      <c r="B29" t="str">
        <f>"1551685816856942"</f>
        <v>1551685816856942</v>
      </c>
      <c r="C29" t="s">
        <v>40</v>
      </c>
      <c r="D29">
        <v>4.9478150000000003</v>
      </c>
      <c r="E29">
        <v>0.50003339999999996</v>
      </c>
      <c r="F29" t="s">
        <v>42</v>
      </c>
      <c r="G29">
        <v>-433.90350000000001</v>
      </c>
      <c r="H29">
        <v>-0.05</v>
      </c>
      <c r="I29">
        <v>370.81209999999999</v>
      </c>
      <c r="J29">
        <v>-476.0197</v>
      </c>
      <c r="K29">
        <v>1.1093740000000001</v>
      </c>
      <c r="L29">
        <v>367.21769999999998</v>
      </c>
      <c r="M29">
        <v>0.99999280000000002</v>
      </c>
      <c r="N29">
        <v>-3.785362E-3</v>
      </c>
      <c r="O29">
        <v>1.2872369999999999E-4</v>
      </c>
      <c r="P29">
        <v>0.98290739999999999</v>
      </c>
      <c r="Q29">
        <v>0.1620125</v>
      </c>
      <c r="R29">
        <v>8.7437150000000005E-2</v>
      </c>
      <c r="S29">
        <v>3.0424500000000001</v>
      </c>
      <c r="T29">
        <v>-8.3682300000000001E-2</v>
      </c>
      <c r="U29">
        <v>0.2593994</v>
      </c>
      <c r="V29">
        <v>-8.7303969999999995E-2</v>
      </c>
      <c r="W29">
        <v>0.16573550000000001</v>
      </c>
      <c r="X29">
        <v>0.98229820000000001</v>
      </c>
      <c r="Y29">
        <v>-8.4787370000000001E-2</v>
      </c>
      <c r="Z29">
        <v>1.321458E-3</v>
      </c>
      <c r="AA29">
        <v>0.99639820000000001</v>
      </c>
      <c r="AB29">
        <v>4</v>
      </c>
      <c r="AC29">
        <v>42.1161999999999</v>
      </c>
      <c r="AD29">
        <v>-1.1593739999999999</v>
      </c>
      <c r="AE29">
        <v>3.5943999999999998</v>
      </c>
      <c r="AF29">
        <v>-3.5862805827931998</v>
      </c>
      <c r="AG29">
        <v>-1.1593739999999999</v>
      </c>
      <c r="AH29">
        <v>42.085001364457298</v>
      </c>
      <c r="AI29">
        <v>91.572311760600797</v>
      </c>
      <c r="AJ29">
        <v>94.870702646305404</v>
      </c>
      <c r="AK29">
        <v>42.253436503280597</v>
      </c>
      <c r="AL29">
        <v>80.460036151496396</v>
      </c>
      <c r="AM29">
        <v>95.078946650523406</v>
      </c>
      <c r="AN29">
        <v>0.99999999643062498</v>
      </c>
    </row>
    <row r="30" spans="1:40" x14ac:dyDescent="0.25">
      <c r="A30" t="str">
        <f>"20190304155016889"</f>
        <v>20190304155016889</v>
      </c>
      <c r="B30" t="str">
        <f>"1551685816887198"</f>
        <v>1551685816887198</v>
      </c>
      <c r="C30" t="s">
        <v>40</v>
      </c>
      <c r="D30">
        <v>4.8375309999999896</v>
      </c>
      <c r="E30">
        <v>0.49994919999999998</v>
      </c>
      <c r="F30" t="s">
        <v>42</v>
      </c>
      <c r="G30">
        <v>-432.19810000000001</v>
      </c>
      <c r="H30">
        <v>-0.05</v>
      </c>
      <c r="I30">
        <v>370.91379999999998</v>
      </c>
      <c r="J30">
        <v>-475.97930000000002</v>
      </c>
      <c r="K30">
        <v>1.1094809999999999</v>
      </c>
      <c r="L30">
        <v>367.21769999999998</v>
      </c>
      <c r="M30">
        <v>0.99999210000000005</v>
      </c>
      <c r="N30">
        <v>-3.9643550000000001E-3</v>
      </c>
      <c r="O30">
        <v>1.2902939999999999E-4</v>
      </c>
      <c r="P30">
        <v>0.98293169999999996</v>
      </c>
      <c r="Q30">
        <v>0.16192409999999999</v>
      </c>
      <c r="R30">
        <v>8.7326819999999999E-2</v>
      </c>
      <c r="S30">
        <v>3.0426329999999999</v>
      </c>
      <c r="T30">
        <v>-8.0497860000000004E-2</v>
      </c>
      <c r="U30">
        <v>0.25662230000000003</v>
      </c>
      <c r="V30">
        <v>-8.7193999999999994E-2</v>
      </c>
      <c r="W30">
        <v>0.1658229</v>
      </c>
      <c r="X30">
        <v>0.98229319999999998</v>
      </c>
      <c r="Y30">
        <v>-8.3881689999999995E-2</v>
      </c>
      <c r="Z30">
        <v>1.2711549999999999E-3</v>
      </c>
      <c r="AA30">
        <v>0.99647490000000005</v>
      </c>
      <c r="AB30">
        <v>4</v>
      </c>
      <c r="AC30">
        <v>43.781199999999998</v>
      </c>
      <c r="AD30">
        <v>-1.159481</v>
      </c>
      <c r="AE30">
        <v>3.6960999999999999</v>
      </c>
      <c r="AF30">
        <v>-3.6878825685637402</v>
      </c>
      <c r="AG30">
        <v>-1.159481</v>
      </c>
      <c r="AH30">
        <v>43.751207578718201</v>
      </c>
      <c r="AI30">
        <v>91.512717693740697</v>
      </c>
      <c r="AJ30">
        <v>94.818193605170293</v>
      </c>
      <c r="AK30">
        <v>43.921669351528202</v>
      </c>
      <c r="AL30">
        <v>80.454958071507406</v>
      </c>
      <c r="AM30">
        <v>95.0726081815002</v>
      </c>
      <c r="AN30">
        <v>0.99999997928332396</v>
      </c>
    </row>
    <row r="31" spans="1:40" x14ac:dyDescent="0.25">
      <c r="A31" t="str">
        <f>"20190304155016912"</f>
        <v>20190304155016912</v>
      </c>
      <c r="B31" t="str">
        <f>"1551685816906718"</f>
        <v>1551685816906718</v>
      </c>
      <c r="C31" t="s">
        <v>40</v>
      </c>
      <c r="D31">
        <v>4.7751769999999896</v>
      </c>
      <c r="E31">
        <v>0.49991730000000001</v>
      </c>
      <c r="F31" t="s">
        <v>42</v>
      </c>
      <c r="G31">
        <v>-431.67090000000002</v>
      </c>
      <c r="H31">
        <v>-0.05</v>
      </c>
      <c r="I31">
        <v>370.96080000000001</v>
      </c>
      <c r="J31">
        <v>-475.9409</v>
      </c>
      <c r="K31">
        <v>1.1100110000000001</v>
      </c>
      <c r="L31">
        <v>367.21769999999998</v>
      </c>
      <c r="M31">
        <v>0.99998339999999997</v>
      </c>
      <c r="N31">
        <v>-5.7714239999999998E-3</v>
      </c>
      <c r="O31">
        <v>1.284708E-4</v>
      </c>
      <c r="P31">
        <v>0.98328009999999999</v>
      </c>
      <c r="Q31">
        <v>0.1598695</v>
      </c>
      <c r="R31">
        <v>8.7191939999999996E-2</v>
      </c>
      <c r="S31">
        <v>3.0424190000000002</v>
      </c>
      <c r="T31">
        <v>-7.9615350000000001E-2</v>
      </c>
      <c r="U31">
        <v>0.257019</v>
      </c>
      <c r="V31">
        <v>-8.7059479999999995E-2</v>
      </c>
      <c r="W31">
        <v>0.165545</v>
      </c>
      <c r="X31">
        <v>0.982352</v>
      </c>
      <c r="Y31">
        <v>-8.4015779999999998E-2</v>
      </c>
      <c r="Z31">
        <v>1.3374529999999999E-3</v>
      </c>
      <c r="AA31">
        <v>0.99646349999999995</v>
      </c>
      <c r="AB31">
        <v>4</v>
      </c>
      <c r="AC31">
        <v>44.269999999999897</v>
      </c>
      <c r="AD31">
        <v>-1.1600109999999999</v>
      </c>
      <c r="AE31">
        <v>3.7431000000000201</v>
      </c>
      <c r="AF31">
        <v>-3.7348663075904498</v>
      </c>
      <c r="AG31">
        <v>-1.1600109999999999</v>
      </c>
      <c r="AH31">
        <v>44.240320633881097</v>
      </c>
      <c r="AI31">
        <v>91.496668211787593</v>
      </c>
      <c r="AJ31">
        <v>94.825594718649299</v>
      </c>
      <c r="AK31">
        <v>44.412845232480898</v>
      </c>
      <c r="AL31">
        <v>80.471103687957594</v>
      </c>
      <c r="AM31">
        <v>95.0645214813119</v>
      </c>
      <c r="AN31">
        <v>0.99999997599343404</v>
      </c>
    </row>
    <row r="32" spans="1:40" x14ac:dyDescent="0.25">
      <c r="A32" t="str">
        <f>"20190304155016934"</f>
        <v>20190304155016934</v>
      </c>
      <c r="B32" t="str">
        <f>"1551685816926238"</f>
        <v>1551685816926238</v>
      </c>
      <c r="C32" t="s">
        <v>40</v>
      </c>
      <c r="D32">
        <v>4.8143409999999998</v>
      </c>
      <c r="E32">
        <v>0.49991540000000001</v>
      </c>
      <c r="F32" t="s">
        <v>42</v>
      </c>
      <c r="G32">
        <v>-434.91500000000002</v>
      </c>
      <c r="H32">
        <v>-0.05</v>
      </c>
      <c r="I32">
        <v>370.68049999999999</v>
      </c>
      <c r="J32">
        <v>-475.90530000000001</v>
      </c>
      <c r="K32">
        <v>1.110376</v>
      </c>
      <c r="L32">
        <v>367.21769999999998</v>
      </c>
      <c r="M32">
        <v>0.99997309999999995</v>
      </c>
      <c r="N32">
        <v>-7.3395680000000003E-3</v>
      </c>
      <c r="O32">
        <v>1.27711E-4</v>
      </c>
      <c r="P32">
        <v>0.98355649999999994</v>
      </c>
      <c r="Q32">
        <v>0.15804370000000001</v>
      </c>
      <c r="R32">
        <v>8.7402309999999997E-2</v>
      </c>
      <c r="S32">
        <v>3.0422359999999999</v>
      </c>
      <c r="T32">
        <v>-8.6019399999999996E-2</v>
      </c>
      <c r="U32">
        <v>0.25677489999999997</v>
      </c>
      <c r="V32">
        <v>-8.7270710000000001E-2</v>
      </c>
      <c r="W32">
        <v>0.16526189999999999</v>
      </c>
      <c r="X32">
        <v>0.9823809</v>
      </c>
      <c r="Y32">
        <v>-8.3935040000000002E-2</v>
      </c>
      <c r="Z32">
        <v>1.490276E-3</v>
      </c>
      <c r="AA32">
        <v>0.99647010000000003</v>
      </c>
      <c r="AB32">
        <v>4</v>
      </c>
      <c r="AC32">
        <v>40.990299999999898</v>
      </c>
      <c r="AD32">
        <v>-1.1603760000000001</v>
      </c>
      <c r="AE32">
        <v>3.4628000000000099</v>
      </c>
      <c r="AF32">
        <v>-3.4548159373313601</v>
      </c>
      <c r="AG32">
        <v>-1.1603760000000001</v>
      </c>
      <c r="AH32">
        <v>40.958151698849797</v>
      </c>
      <c r="AI32">
        <v>91.617060154310096</v>
      </c>
      <c r="AJ32">
        <v>94.821480008209306</v>
      </c>
      <c r="AK32">
        <v>41.119975878010997</v>
      </c>
      <c r="AL32">
        <v>80.487550439381096</v>
      </c>
      <c r="AM32">
        <v>95.076596683305297</v>
      </c>
      <c r="AN32">
        <v>0.99999995255016005</v>
      </c>
    </row>
    <row r="33" spans="1:40" x14ac:dyDescent="0.25">
      <c r="A33" t="str">
        <f>"20190304155016958"</f>
        <v>20190304155016958</v>
      </c>
      <c r="B33" t="str">
        <f>"1551685816946734"</f>
        <v>1551685816946734</v>
      </c>
      <c r="C33" t="s">
        <v>40</v>
      </c>
      <c r="D33">
        <v>4.7546499999999998</v>
      </c>
      <c r="E33">
        <v>0.49989519999999998</v>
      </c>
      <c r="F33" t="s">
        <v>42</v>
      </c>
      <c r="G33">
        <v>-437.10809999999998</v>
      </c>
      <c r="H33">
        <v>-0.05</v>
      </c>
      <c r="I33">
        <v>370.50279999999998</v>
      </c>
      <c r="J33">
        <v>-475.86239999999998</v>
      </c>
      <c r="K33">
        <v>1.110114</v>
      </c>
      <c r="L33">
        <v>367.21769999999998</v>
      </c>
      <c r="M33">
        <v>0.99997659999999999</v>
      </c>
      <c r="N33">
        <v>-6.859843E-3</v>
      </c>
      <c r="O33">
        <v>1.2757299999999999E-4</v>
      </c>
      <c r="P33">
        <v>0.98347640000000003</v>
      </c>
      <c r="Q33">
        <v>0.15840460000000001</v>
      </c>
      <c r="R33">
        <v>8.7650179999999994E-2</v>
      </c>
      <c r="S33">
        <v>3.0419010000000002</v>
      </c>
      <c r="T33">
        <v>-9.0979580000000004E-2</v>
      </c>
      <c r="U33">
        <v>0.25756839999999998</v>
      </c>
      <c r="V33">
        <v>-8.7518299999999993E-2</v>
      </c>
      <c r="W33">
        <v>0.16515089999999999</v>
      </c>
      <c r="X33">
        <v>0.98237759999999996</v>
      </c>
      <c r="Y33">
        <v>-8.4198499999999996E-2</v>
      </c>
      <c r="Z33">
        <v>1.5430680000000001E-3</v>
      </c>
      <c r="AA33">
        <v>0.99644779999999999</v>
      </c>
      <c r="AB33">
        <v>3</v>
      </c>
      <c r="AC33">
        <v>38.754300000000001</v>
      </c>
      <c r="AD33">
        <v>-1.1601139999999901</v>
      </c>
      <c r="AE33">
        <v>3.2850999999999999</v>
      </c>
      <c r="AF33">
        <v>-3.2772400378806501</v>
      </c>
      <c r="AG33">
        <v>-1.1601139999999901</v>
      </c>
      <c r="AH33">
        <v>38.720268688484197</v>
      </c>
      <c r="AI33">
        <v>91.710038616385404</v>
      </c>
      <c r="AJ33">
        <v>94.837919858022204</v>
      </c>
      <c r="AK33">
        <v>38.876025697945202</v>
      </c>
      <c r="AL33">
        <v>80.493999437932501</v>
      </c>
      <c r="AM33">
        <v>95.090940595363605</v>
      </c>
      <c r="AN33">
        <v>1.0000000107937299</v>
      </c>
    </row>
    <row r="34" spans="1:40" x14ac:dyDescent="0.25">
      <c r="A34" t="str">
        <f>"20190304155016978"</f>
        <v>20190304155016978</v>
      </c>
      <c r="B34" t="str">
        <f>"1551685816966254"</f>
        <v>1551685816966254</v>
      </c>
      <c r="C34" t="s">
        <v>40</v>
      </c>
      <c r="D34">
        <v>4.7757670000000001</v>
      </c>
      <c r="E34">
        <v>0.49991669999999999</v>
      </c>
      <c r="F34" t="s">
        <v>42</v>
      </c>
      <c r="G34">
        <v>-436.9486</v>
      </c>
      <c r="H34">
        <v>-0.05</v>
      </c>
      <c r="I34">
        <v>370.52629999999999</v>
      </c>
      <c r="J34">
        <v>-475.81900000000002</v>
      </c>
      <c r="K34">
        <v>1.1097410000000001</v>
      </c>
      <c r="L34">
        <v>367.21769999999998</v>
      </c>
      <c r="M34">
        <v>0.99998359999999997</v>
      </c>
      <c r="N34">
        <v>-5.7513089999999996E-3</v>
      </c>
      <c r="O34">
        <v>1.2786930000000001E-4</v>
      </c>
      <c r="P34">
        <v>0.9833596</v>
      </c>
      <c r="Q34">
        <v>0.15905620000000001</v>
      </c>
      <c r="R34">
        <v>8.7780720000000007E-2</v>
      </c>
      <c r="S34">
        <v>3.0419309999999999</v>
      </c>
      <c r="T34">
        <v>-9.0687390000000007E-2</v>
      </c>
      <c r="U34">
        <v>0.25863649999999999</v>
      </c>
      <c r="V34">
        <v>-8.7648459999999997E-2</v>
      </c>
      <c r="W34">
        <v>0.1647131</v>
      </c>
      <c r="X34">
        <v>0.98243950000000002</v>
      </c>
      <c r="Y34">
        <v>-8.4546200000000002E-2</v>
      </c>
      <c r="Z34">
        <v>1.498276E-3</v>
      </c>
      <c r="AA34">
        <v>0.99641840000000004</v>
      </c>
      <c r="AB34">
        <v>4</v>
      </c>
      <c r="AC34">
        <v>38.870399999999997</v>
      </c>
      <c r="AD34">
        <v>-1.1597409999999999</v>
      </c>
      <c r="AE34">
        <v>3.30860000000001</v>
      </c>
      <c r="AF34">
        <v>-3.3007124259399299</v>
      </c>
      <c r="AG34">
        <v>-1.1597409999999999</v>
      </c>
      <c r="AH34">
        <v>38.836499470441701</v>
      </c>
      <c r="AI34">
        <v>91.704325596255799</v>
      </c>
      <c r="AJ34">
        <v>94.857891633301094</v>
      </c>
      <c r="AK34">
        <v>38.993760947406102</v>
      </c>
      <c r="AL34">
        <v>80.519431863770706</v>
      </c>
      <c r="AM34">
        <v>95.098152584519198</v>
      </c>
      <c r="AN34">
        <v>1.0000000145061101</v>
      </c>
    </row>
    <row r="35" spans="1:40" x14ac:dyDescent="0.25">
      <c r="A35" t="str">
        <f>"20190304155017000"</f>
        <v>20190304155017000</v>
      </c>
      <c r="B35" t="str">
        <f>"1551685816996511"</f>
        <v>1551685816996511</v>
      </c>
      <c r="C35" t="s">
        <v>40</v>
      </c>
      <c r="D35">
        <v>4.7932100000000002</v>
      </c>
      <c r="E35">
        <v>0.49990230000000002</v>
      </c>
      <c r="F35" t="s">
        <v>42</v>
      </c>
      <c r="G35">
        <v>-435.91090000000003</v>
      </c>
      <c r="H35">
        <v>-0.05</v>
      </c>
      <c r="I35">
        <v>370.61329999999998</v>
      </c>
      <c r="J35">
        <v>-475.77269999999999</v>
      </c>
      <c r="K35">
        <v>1.1094820000000001</v>
      </c>
      <c r="L35">
        <v>367.21769999999998</v>
      </c>
      <c r="M35">
        <v>0.99998860000000001</v>
      </c>
      <c r="N35">
        <v>-4.8196009999999997E-3</v>
      </c>
      <c r="O35">
        <v>1.2850239999999901E-4</v>
      </c>
      <c r="P35">
        <v>0.98318110000000003</v>
      </c>
      <c r="Q35">
        <v>0.1601204</v>
      </c>
      <c r="R35">
        <v>8.7844350000000002E-2</v>
      </c>
      <c r="S35">
        <v>3.0419309999999999</v>
      </c>
      <c r="T35">
        <v>-8.8399409999999998E-2</v>
      </c>
      <c r="U35">
        <v>0.25881959999999998</v>
      </c>
      <c r="V35">
        <v>-8.7711380000000005E-2</v>
      </c>
      <c r="W35">
        <v>0.1648607</v>
      </c>
      <c r="X35">
        <v>0.98240910000000004</v>
      </c>
      <c r="Y35">
        <v>-8.4608279999999994E-2</v>
      </c>
      <c r="Z35">
        <v>1.4280950000000001E-3</v>
      </c>
      <c r="AA35">
        <v>0.99641329999999995</v>
      </c>
      <c r="AB35">
        <v>4</v>
      </c>
      <c r="AC35">
        <v>39.861799999999903</v>
      </c>
      <c r="AD35">
        <v>-1.1594819999999999</v>
      </c>
      <c r="AE35">
        <v>3.3956</v>
      </c>
      <c r="AF35">
        <v>-3.3876319991602299</v>
      </c>
      <c r="AG35">
        <v>-1.1594819999999999</v>
      </c>
      <c r="AH35">
        <v>39.828780235851198</v>
      </c>
      <c r="AI35">
        <v>91.661508685374699</v>
      </c>
      <c r="AJ35">
        <v>94.861584564085405</v>
      </c>
      <c r="AK35">
        <v>39.989400897560202</v>
      </c>
      <c r="AL35">
        <v>80.510857540184205</v>
      </c>
      <c r="AM35">
        <v>95.101950114730798</v>
      </c>
      <c r="AN35">
        <v>0.99999998817440205</v>
      </c>
    </row>
    <row r="36" spans="1:40" x14ac:dyDescent="0.25">
      <c r="A36" t="str">
        <f>"20190304155017023"</f>
        <v>20190304155017023</v>
      </c>
      <c r="B36" t="str">
        <f>"1551685817017007"</f>
        <v>1551685817017007</v>
      </c>
      <c r="C36" t="s">
        <v>40</v>
      </c>
      <c r="D36">
        <v>4.845993</v>
      </c>
      <c r="E36">
        <v>0.49990380000000001</v>
      </c>
      <c r="F36" t="s">
        <v>42</v>
      </c>
      <c r="G36">
        <v>-434.13200000000001</v>
      </c>
      <c r="H36">
        <v>-0.05</v>
      </c>
      <c r="I36">
        <v>370.7602</v>
      </c>
      <c r="J36">
        <v>-475.72309999999999</v>
      </c>
      <c r="K36">
        <v>1.109618</v>
      </c>
      <c r="L36">
        <v>367.21769999999998</v>
      </c>
      <c r="M36">
        <v>0.99998679999999995</v>
      </c>
      <c r="N36">
        <v>-5.1368580000000002E-3</v>
      </c>
      <c r="O36">
        <v>1.288997E-4</v>
      </c>
      <c r="P36">
        <v>0.98323799999999995</v>
      </c>
      <c r="Q36">
        <v>0.15996070000000001</v>
      </c>
      <c r="R36">
        <v>8.7495740000000002E-2</v>
      </c>
      <c r="S36">
        <v>3.041992</v>
      </c>
      <c r="T36">
        <v>-8.4704039999999994E-2</v>
      </c>
      <c r="U36">
        <v>0.25878909999999999</v>
      </c>
      <c r="V36">
        <v>-8.7362460000000003E-2</v>
      </c>
      <c r="W36">
        <v>0.1650131</v>
      </c>
      <c r="X36">
        <v>0.98241460000000003</v>
      </c>
      <c r="Y36">
        <v>-8.4599060000000004E-2</v>
      </c>
      <c r="Z36">
        <v>1.390285E-3</v>
      </c>
      <c r="AA36">
        <v>0.99641409999999997</v>
      </c>
      <c r="AB36">
        <v>5</v>
      </c>
      <c r="AC36">
        <v>41.591099999999997</v>
      </c>
      <c r="AD36">
        <v>-1.159618</v>
      </c>
      <c r="AE36">
        <v>3.5425000000000102</v>
      </c>
      <c r="AF36">
        <v>-3.5344110552357999</v>
      </c>
      <c r="AG36">
        <v>-1.159618</v>
      </c>
      <c r="AH36">
        <v>41.559481786749302</v>
      </c>
      <c r="AI36">
        <v>91.592541327407105</v>
      </c>
      <c r="AJ36">
        <v>94.861002093185604</v>
      </c>
      <c r="AK36">
        <v>41.7256192500057</v>
      </c>
      <c r="AL36">
        <v>80.502004376108502</v>
      </c>
      <c r="AM36">
        <v>95.081732497328801</v>
      </c>
      <c r="AN36">
        <v>0.99999998444101001</v>
      </c>
    </row>
    <row r="37" spans="1:40" x14ac:dyDescent="0.25">
      <c r="A37" t="str">
        <f>"20190304155017037"</f>
        <v>20190304155017037</v>
      </c>
      <c r="B37" t="str">
        <f>"1551685817026767"</f>
        <v>1551685817026767</v>
      </c>
      <c r="C37" t="s">
        <v>40</v>
      </c>
      <c r="D37">
        <v>4.7542220000000004</v>
      </c>
      <c r="E37">
        <v>0.49987700000000002</v>
      </c>
      <c r="F37" t="s">
        <v>42</v>
      </c>
      <c r="G37">
        <v>-434.26440000000002</v>
      </c>
      <c r="H37">
        <v>-0.05</v>
      </c>
      <c r="I37">
        <v>370.733</v>
      </c>
      <c r="J37">
        <v>-475.69729999999998</v>
      </c>
      <c r="K37">
        <v>1.109907</v>
      </c>
      <c r="L37">
        <v>367.21769999999998</v>
      </c>
      <c r="M37">
        <v>0.99998120000000001</v>
      </c>
      <c r="N37">
        <v>-6.1303149999999999E-3</v>
      </c>
      <c r="O37">
        <v>1.28765E-4</v>
      </c>
      <c r="P37">
        <v>0.98344520000000002</v>
      </c>
      <c r="Q37">
        <v>0.15872990000000001</v>
      </c>
      <c r="R37">
        <v>8.7410479999999999E-2</v>
      </c>
      <c r="S37">
        <v>3.0420530000000001</v>
      </c>
      <c r="T37">
        <v>-8.5087540000000003E-2</v>
      </c>
      <c r="U37">
        <v>0.25793460000000001</v>
      </c>
      <c r="V37">
        <v>-8.72777E-2</v>
      </c>
      <c r="W37">
        <v>0.16475919999999999</v>
      </c>
      <c r="X37">
        <v>0.98246480000000003</v>
      </c>
      <c r="Y37">
        <v>-8.4318249999999997E-2</v>
      </c>
      <c r="Z37">
        <v>1.4330370000000001E-3</v>
      </c>
      <c r="AA37">
        <v>0.99643780000000004</v>
      </c>
      <c r="AB37">
        <v>5</v>
      </c>
      <c r="AC37">
        <v>41.432899999999897</v>
      </c>
      <c r="AD37">
        <v>-1.159907</v>
      </c>
      <c r="AE37">
        <v>3.5153000000000199</v>
      </c>
      <c r="AF37">
        <v>-3.5072357501290399</v>
      </c>
      <c r="AG37">
        <v>-1.159907</v>
      </c>
      <c r="AH37">
        <v>41.401137698244398</v>
      </c>
      <c r="AI37">
        <v>91.599071857498402</v>
      </c>
      <c r="AJ37">
        <v>94.842165682154203</v>
      </c>
      <c r="AK37">
        <v>41.565614269064099</v>
      </c>
      <c r="AL37">
        <v>80.516754157680893</v>
      </c>
      <c r="AM37">
        <v>95.076569874002203</v>
      </c>
      <c r="AN37">
        <v>1.00000003707048</v>
      </c>
    </row>
    <row r="38" spans="1:40" x14ac:dyDescent="0.25">
      <c r="A38" t="str">
        <f>"20190304155017051"</f>
        <v>20190304155017051</v>
      </c>
      <c r="B38" t="str">
        <f>"1551685817046286"</f>
        <v>1551685817046286</v>
      </c>
      <c r="C38" t="s">
        <v>40</v>
      </c>
      <c r="D38">
        <v>4.7914810000000001</v>
      </c>
      <c r="E38">
        <v>0.49993480000000001</v>
      </c>
      <c r="F38" t="s">
        <v>42</v>
      </c>
      <c r="G38">
        <v>-436.5179</v>
      </c>
      <c r="H38">
        <v>-0.05</v>
      </c>
      <c r="I38">
        <v>370.53730000000002</v>
      </c>
      <c r="J38">
        <v>-475.67309999999998</v>
      </c>
      <c r="K38">
        <v>1.1101449999999999</v>
      </c>
      <c r="L38">
        <v>367.21769999999998</v>
      </c>
      <c r="M38">
        <v>0.99997559999999996</v>
      </c>
      <c r="N38">
        <v>-7.0078029999999999E-3</v>
      </c>
      <c r="O38">
        <v>1.283701E-4</v>
      </c>
      <c r="P38">
        <v>0.98353389999999996</v>
      </c>
      <c r="Q38">
        <v>0.1583204</v>
      </c>
      <c r="R38">
        <v>8.7153670000000003E-2</v>
      </c>
      <c r="S38">
        <v>3.0421140000000002</v>
      </c>
      <c r="T38">
        <v>-9.0062139999999999E-2</v>
      </c>
      <c r="U38">
        <v>0.25775150000000002</v>
      </c>
      <c r="V38">
        <v>-8.7020810000000004E-2</v>
      </c>
      <c r="W38">
        <v>0.16521250000000001</v>
      </c>
      <c r="X38">
        <v>0.98241140000000005</v>
      </c>
      <c r="Y38">
        <v>-8.4251989999999999E-2</v>
      </c>
      <c r="Z38">
        <v>1.53757E-3</v>
      </c>
      <c r="AA38">
        <v>0.99644330000000003</v>
      </c>
      <c r="AB38">
        <v>5</v>
      </c>
      <c r="AC38">
        <v>39.155199999999901</v>
      </c>
      <c r="AD38">
        <v>-1.160145</v>
      </c>
      <c r="AE38">
        <v>3.3196000000000301</v>
      </c>
      <c r="AF38">
        <v>-3.31168690717189</v>
      </c>
      <c r="AG38">
        <v>-1.160145</v>
      </c>
      <c r="AH38">
        <v>39.1215260898827</v>
      </c>
      <c r="AI38">
        <v>91.6925529711677</v>
      </c>
      <c r="AJ38">
        <v>94.838624961444694</v>
      </c>
      <c r="AK38">
        <v>39.278582079722902</v>
      </c>
      <c r="AL38">
        <v>80.4904205178442</v>
      </c>
      <c r="AM38">
        <v>95.061979125389101</v>
      </c>
      <c r="AN38">
        <v>0.99999997518963202</v>
      </c>
    </row>
    <row r="39" spans="1:40" x14ac:dyDescent="0.25">
      <c r="A39" t="str">
        <f>"20190304155017068"</f>
        <v>20190304155017068</v>
      </c>
      <c r="B39" t="str">
        <f>"1551685817057022"</f>
        <v>1551685817057022</v>
      </c>
      <c r="C39" t="s">
        <v>40</v>
      </c>
      <c r="D39">
        <v>4.8067529999999996</v>
      </c>
      <c r="E39">
        <v>0.49992419999999999</v>
      </c>
      <c r="F39" t="s">
        <v>42</v>
      </c>
      <c r="G39">
        <v>-436.99209999999999</v>
      </c>
      <c r="H39">
        <v>-0.05</v>
      </c>
      <c r="I39">
        <v>370.48340000000002</v>
      </c>
      <c r="J39">
        <v>-475.63650000000001</v>
      </c>
      <c r="K39">
        <v>1.1101179999999999</v>
      </c>
      <c r="L39">
        <v>367.21780000000001</v>
      </c>
      <c r="M39">
        <v>0.99997480000000005</v>
      </c>
      <c r="N39">
        <v>-7.1061780000000003E-3</v>
      </c>
      <c r="O39">
        <v>1.2772369999999999E-4</v>
      </c>
      <c r="P39">
        <v>0.98352680000000003</v>
      </c>
      <c r="Q39">
        <v>0.158358</v>
      </c>
      <c r="R39">
        <v>8.7166809999999997E-2</v>
      </c>
      <c r="S39">
        <v>3.0421450000000001</v>
      </c>
      <c r="T39">
        <v>-9.1241840000000005E-2</v>
      </c>
      <c r="U39">
        <v>0.25683590000000001</v>
      </c>
      <c r="V39">
        <v>-8.703524E-2</v>
      </c>
      <c r="W39">
        <v>0.16534660000000001</v>
      </c>
      <c r="X39">
        <v>0.98238760000000003</v>
      </c>
      <c r="Y39">
        <v>-8.3953E-2</v>
      </c>
      <c r="Z39">
        <v>1.552459E-3</v>
      </c>
      <c r="AA39">
        <v>0.99646849999999998</v>
      </c>
      <c r="AB39">
        <v>4</v>
      </c>
      <c r="AC39">
        <v>38.644399999999997</v>
      </c>
      <c r="AD39">
        <v>-1.160118</v>
      </c>
      <c r="AE39">
        <v>3.2656000000000001</v>
      </c>
      <c r="AF39">
        <v>-3.2577489089564202</v>
      </c>
      <c r="AG39">
        <v>-1.160118</v>
      </c>
      <c r="AH39">
        <v>38.6102671306571</v>
      </c>
      <c r="AI39">
        <v>91.714951480659295</v>
      </c>
      <c r="AJ39">
        <v>94.822919283962307</v>
      </c>
      <c r="AK39">
        <v>38.764823353504802</v>
      </c>
      <c r="AL39">
        <v>80.482630380553999</v>
      </c>
      <c r="AM39">
        <v>95.062936170570396</v>
      </c>
      <c r="AN39">
        <v>1.0000000138835801</v>
      </c>
    </row>
    <row r="40" spans="1:40" x14ac:dyDescent="0.25">
      <c r="A40" t="str">
        <f>"20190304155017080"</f>
        <v>20190304155017080</v>
      </c>
      <c r="B40" t="str">
        <f>"1551685817076543"</f>
        <v>1551685817076543</v>
      </c>
      <c r="C40" t="s">
        <v>40</v>
      </c>
      <c r="D40">
        <v>4.8162140000000004</v>
      </c>
      <c r="E40">
        <v>0.49989899999999998</v>
      </c>
      <c r="F40" t="s">
        <v>42</v>
      </c>
      <c r="G40">
        <v>-436.7681</v>
      </c>
      <c r="H40">
        <v>-0.05</v>
      </c>
      <c r="I40">
        <v>370.5009</v>
      </c>
      <c r="J40">
        <v>-475.60750000000002</v>
      </c>
      <c r="K40">
        <v>1.1099060000000001</v>
      </c>
      <c r="L40">
        <v>367.21769999999998</v>
      </c>
      <c r="M40">
        <v>0.99997899999999995</v>
      </c>
      <c r="N40">
        <v>-6.4858989999999998E-3</v>
      </c>
      <c r="O40">
        <v>1.2745860000000001E-4</v>
      </c>
      <c r="P40">
        <v>0.9834176</v>
      </c>
      <c r="Q40">
        <v>0.1590751</v>
      </c>
      <c r="R40">
        <v>8.7092999999999907E-2</v>
      </c>
      <c r="S40">
        <v>3.042084</v>
      </c>
      <c r="T40">
        <v>-9.0798019999999993E-2</v>
      </c>
      <c r="U40">
        <v>0.25695800000000002</v>
      </c>
      <c r="V40">
        <v>-8.696152E-2</v>
      </c>
      <c r="W40">
        <v>0.16545379999999901</v>
      </c>
      <c r="X40">
        <v>0.98237600000000003</v>
      </c>
      <c r="Y40">
        <v>-8.3995799999999995E-2</v>
      </c>
      <c r="Z40">
        <v>1.5210029999999999E-3</v>
      </c>
      <c r="AA40">
        <v>0.99646500000000005</v>
      </c>
      <c r="AB40">
        <v>5</v>
      </c>
      <c r="AC40">
        <v>38.839399999999998</v>
      </c>
      <c r="AD40">
        <v>-1.1599059999999899</v>
      </c>
      <c r="AE40">
        <v>3.2832000000000199</v>
      </c>
      <c r="AF40">
        <v>-3.2753490010058099</v>
      </c>
      <c r="AG40">
        <v>-1.1599059999999899</v>
      </c>
      <c r="AH40">
        <v>38.805454379731401</v>
      </c>
      <c r="AI40">
        <v>91.706014777020499</v>
      </c>
      <c r="AJ40">
        <v>94.824577572964202</v>
      </c>
      <c r="AK40">
        <v>38.960705622776402</v>
      </c>
      <c r="AL40">
        <v>80.476401741333405</v>
      </c>
      <c r="AM40">
        <v>95.058729480471101</v>
      </c>
      <c r="AN40">
        <v>0.99999993563557299</v>
      </c>
    </row>
    <row r="41" spans="1:40" x14ac:dyDescent="0.25">
      <c r="A41" t="str">
        <f>"20190304155017100"</f>
        <v>20190304155017100</v>
      </c>
      <c r="B41" t="str">
        <f>"1551685817097038"</f>
        <v>1551685817097038</v>
      </c>
      <c r="C41" t="s">
        <v>40</v>
      </c>
      <c r="D41">
        <v>4.800732</v>
      </c>
      <c r="E41">
        <v>0.4998882</v>
      </c>
      <c r="F41" t="s">
        <v>42</v>
      </c>
      <c r="G41">
        <v>-435.72489999999999</v>
      </c>
      <c r="H41">
        <v>-0.05</v>
      </c>
      <c r="I41">
        <v>370.584</v>
      </c>
      <c r="J41">
        <v>-475.5609</v>
      </c>
      <c r="K41">
        <v>1.10959599999999</v>
      </c>
      <c r="L41">
        <v>367.21769999999998</v>
      </c>
      <c r="M41">
        <v>0.99998509999999996</v>
      </c>
      <c r="N41">
        <v>-5.4501389999999997E-3</v>
      </c>
      <c r="O41">
        <v>1.2735010000000001E-4</v>
      </c>
      <c r="P41">
        <v>0.98320940000000001</v>
      </c>
      <c r="Q41">
        <v>0.16036120000000001</v>
      </c>
      <c r="R41">
        <v>8.7084700000000001E-2</v>
      </c>
      <c r="S41">
        <v>3.0421450000000001</v>
      </c>
      <c r="T41">
        <v>-8.8474510000000006E-2</v>
      </c>
      <c r="U41">
        <v>0.25677489999999997</v>
      </c>
      <c r="V41">
        <v>-8.6953340000000004E-2</v>
      </c>
      <c r="W41">
        <v>0.16572089999999901</v>
      </c>
      <c r="X41">
        <v>0.98233179999999998</v>
      </c>
      <c r="Y41">
        <v>-8.3938079999999998E-2</v>
      </c>
      <c r="Z41">
        <v>1.4443590000000001E-3</v>
      </c>
      <c r="AA41">
        <v>0.99646990000000002</v>
      </c>
      <c r="AB41">
        <v>5</v>
      </c>
      <c r="AC41">
        <v>39.835999999999999</v>
      </c>
      <c r="AD41">
        <v>-1.1595959999999901</v>
      </c>
      <c r="AE41">
        <v>3.3663000000000198</v>
      </c>
      <c r="AF41">
        <v>-3.3584012200445899</v>
      </c>
      <c r="AG41">
        <v>-1.1595959999999901</v>
      </c>
      <c r="AH41">
        <v>39.802940561257202</v>
      </c>
      <c r="AI41">
        <v>91.662845024443797</v>
      </c>
      <c r="AJ41">
        <v>94.822948234654106</v>
      </c>
      <c r="AK41">
        <v>39.961201170147397</v>
      </c>
      <c r="AL41">
        <v>80.460884748761103</v>
      </c>
      <c r="AM41">
        <v>95.058482517202293</v>
      </c>
      <c r="AN41">
        <v>1.0000000326626</v>
      </c>
    </row>
    <row r="42" spans="1:40" x14ac:dyDescent="0.25">
      <c r="A42" t="str">
        <f>"20190304155017114"</f>
        <v>20190304155017114</v>
      </c>
      <c r="B42" t="str">
        <f>"1551685817106799"</f>
        <v>1551685817106799</v>
      </c>
      <c r="C42" t="s">
        <v>40</v>
      </c>
      <c r="D42">
        <v>5.121753</v>
      </c>
      <c r="E42">
        <v>0.49991190000000002</v>
      </c>
      <c r="F42" t="s">
        <v>42</v>
      </c>
      <c r="G42">
        <v>-433.70080000000002</v>
      </c>
      <c r="H42">
        <v>-0.05</v>
      </c>
      <c r="I42">
        <v>370.7559</v>
      </c>
      <c r="J42">
        <v>-475.52940000000001</v>
      </c>
      <c r="K42">
        <v>1.109591</v>
      </c>
      <c r="L42">
        <v>367.21769999999998</v>
      </c>
      <c r="M42">
        <v>0.99998560000000003</v>
      </c>
      <c r="N42">
        <v>-5.3775089999999999E-3</v>
      </c>
      <c r="O42">
        <v>1.2754779999999999E-4</v>
      </c>
      <c r="P42">
        <v>0.98322039999999999</v>
      </c>
      <c r="Q42">
        <v>0.16036320000000001</v>
      </c>
      <c r="R42">
        <v>8.6956790000000006E-2</v>
      </c>
      <c r="S42">
        <v>3.0422060000000002</v>
      </c>
      <c r="T42">
        <v>-8.4274409999999994E-2</v>
      </c>
      <c r="U42">
        <v>0.25714110000000001</v>
      </c>
      <c r="V42">
        <v>-8.6825089999999994E-2</v>
      </c>
      <c r="W42">
        <v>0.16565170000000001</v>
      </c>
      <c r="X42">
        <v>0.98235479999999997</v>
      </c>
      <c r="Y42">
        <v>-8.4058899999999895E-2</v>
      </c>
      <c r="Z42">
        <v>1.3856230000000001E-3</v>
      </c>
      <c r="AA42">
        <v>0.99645980000000001</v>
      </c>
      <c r="AB42">
        <v>5</v>
      </c>
      <c r="AC42">
        <v>41.828600000000002</v>
      </c>
      <c r="AD42">
        <v>-1.159591</v>
      </c>
      <c r="AE42">
        <v>3.53820000000001</v>
      </c>
      <c r="AF42">
        <v>-3.5301709669436301</v>
      </c>
      <c r="AG42">
        <v>-1.159591</v>
      </c>
      <c r="AH42">
        <v>41.797156633506802</v>
      </c>
      <c r="AI42">
        <v>91.583531208329802</v>
      </c>
      <c r="AJ42">
        <v>94.827720758673195</v>
      </c>
      <c r="AK42">
        <v>41.961995436216299</v>
      </c>
      <c r="AL42">
        <v>80.464905039309102</v>
      </c>
      <c r="AM42">
        <v>95.050942589934493</v>
      </c>
      <c r="AN42">
        <v>1.0000000175247099</v>
      </c>
    </row>
    <row r="43" spans="1:40" x14ac:dyDescent="0.25">
      <c r="A43" t="str">
        <f>"20190304155017128"</f>
        <v>20190304155017128</v>
      </c>
      <c r="B43" t="str">
        <f>"1551685817116558"</f>
        <v>1551685817116558</v>
      </c>
      <c r="C43" t="s">
        <v>40</v>
      </c>
      <c r="D43">
        <v>4.7761740000000001</v>
      </c>
      <c r="E43">
        <v>0.49986940000000002</v>
      </c>
      <c r="F43" t="s">
        <v>42</v>
      </c>
      <c r="G43">
        <v>-432.95580000000001</v>
      </c>
      <c r="H43">
        <v>-0.05</v>
      </c>
      <c r="I43">
        <v>370.81180000000001</v>
      </c>
      <c r="J43">
        <v>-475.50069999999999</v>
      </c>
      <c r="K43">
        <v>1.1097629999999901</v>
      </c>
      <c r="L43">
        <v>367.21769999999998</v>
      </c>
      <c r="M43">
        <v>0.9999827</v>
      </c>
      <c r="N43">
        <v>-5.903251E-3</v>
      </c>
      <c r="O43">
        <v>1.2760439999999999E-4</v>
      </c>
      <c r="P43">
        <v>0.98335410000000001</v>
      </c>
      <c r="Q43">
        <v>0.15972929999999999</v>
      </c>
      <c r="R43">
        <v>8.6611729999999998E-2</v>
      </c>
      <c r="S43">
        <v>3.0419619999999998</v>
      </c>
      <c r="T43">
        <v>-8.2854990000000003E-2</v>
      </c>
      <c r="U43">
        <v>0.25680540000000002</v>
      </c>
      <c r="V43">
        <v>-8.6479689999999998E-2</v>
      </c>
      <c r="W43">
        <v>0.16553509999999999</v>
      </c>
      <c r="X43">
        <v>0.98240490000000003</v>
      </c>
      <c r="Y43">
        <v>-8.395698E-2</v>
      </c>
      <c r="Z43">
        <v>1.38673299999999E-3</v>
      </c>
      <c r="AA43">
        <v>0.99646840000000003</v>
      </c>
      <c r="AB43">
        <v>5</v>
      </c>
      <c r="AC43">
        <v>42.544899999999899</v>
      </c>
      <c r="AD43">
        <v>-1.1597630000000001</v>
      </c>
      <c r="AE43">
        <v>3.5941000000000201</v>
      </c>
      <c r="AF43">
        <v>-3.58602509060468</v>
      </c>
      <c r="AG43">
        <v>-1.1597630000000001</v>
      </c>
      <c r="AH43">
        <v>42.513990270947602</v>
      </c>
      <c r="AI43">
        <v>91.557089542879694</v>
      </c>
      <c r="AJ43">
        <v>94.821445654244201</v>
      </c>
      <c r="AK43">
        <v>42.680721583928701</v>
      </c>
      <c r="AL43">
        <v>80.471679052064502</v>
      </c>
      <c r="AM43">
        <v>95.0306974467114</v>
      </c>
      <c r="AN43">
        <v>0.999999996829258</v>
      </c>
    </row>
    <row r="44" spans="1:40" x14ac:dyDescent="0.25">
      <c r="A44" t="str">
        <f>"20190304155017146"</f>
        <v>20190304155017146</v>
      </c>
      <c r="B44" t="str">
        <f>"1551685817137054"</f>
        <v>1551685817137054</v>
      </c>
      <c r="C44" t="s">
        <v>40</v>
      </c>
      <c r="D44">
        <v>4.7719519999999997</v>
      </c>
      <c r="E44">
        <v>0.49994460000000002</v>
      </c>
      <c r="F44" t="s">
        <v>42</v>
      </c>
      <c r="G44">
        <v>-433.75330000000002</v>
      </c>
      <c r="H44">
        <v>-0.05</v>
      </c>
      <c r="I44">
        <v>370.73750000000001</v>
      </c>
      <c r="J44">
        <v>-475.4615</v>
      </c>
      <c r="K44">
        <v>1.1102749999999999</v>
      </c>
      <c r="L44">
        <v>367.21769999999998</v>
      </c>
      <c r="M44">
        <v>0.99997009999999997</v>
      </c>
      <c r="N44">
        <v>-7.7430340000000002E-3</v>
      </c>
      <c r="O44">
        <v>1.276696E-4</v>
      </c>
      <c r="P44">
        <v>0.98375769999999996</v>
      </c>
      <c r="Q44">
        <v>0.15734860000000001</v>
      </c>
      <c r="R44">
        <v>8.6385219999999999E-2</v>
      </c>
      <c r="S44">
        <v>3.0419010000000002</v>
      </c>
      <c r="T44">
        <v>-8.4505440000000001E-2</v>
      </c>
      <c r="U44">
        <v>0.25646970000000002</v>
      </c>
      <c r="V44">
        <v>-8.6253350000000006E-2</v>
      </c>
      <c r="W44">
        <v>0.16496469999999999</v>
      </c>
      <c r="X44">
        <v>0.98252079999999997</v>
      </c>
      <c r="Y44">
        <v>-8.3845929999999999E-2</v>
      </c>
      <c r="Z44">
        <v>1.485072E-3</v>
      </c>
      <c r="AA44">
        <v>0.99647759999999996</v>
      </c>
      <c r="AB44">
        <v>5</v>
      </c>
      <c r="AC44">
        <v>41.708199999999898</v>
      </c>
      <c r="AD44">
        <v>-1.1602749999999999</v>
      </c>
      <c r="AE44">
        <v>3.5198000000000298</v>
      </c>
      <c r="AF44">
        <v>-3.5117764342755202</v>
      </c>
      <c r="AG44">
        <v>-1.1602749999999999</v>
      </c>
      <c r="AH44">
        <v>41.676624019280098</v>
      </c>
      <c r="AI44">
        <v>91.589071092101506</v>
      </c>
      <c r="AJ44">
        <v>94.816507652360897</v>
      </c>
      <c r="AK44">
        <v>41.840408715073501</v>
      </c>
      <c r="AL44">
        <v>80.504816724769896</v>
      </c>
      <c r="AM44">
        <v>95.0170092317166</v>
      </c>
      <c r="AN44">
        <v>1.0000000575324699</v>
      </c>
    </row>
    <row r="45" spans="1:40" x14ac:dyDescent="0.25">
      <c r="A45" t="str">
        <f>"20190304155017170"</f>
        <v>20190304155017170</v>
      </c>
      <c r="B45" t="str">
        <f>"1551685817166336"</f>
        <v>1551685817166336</v>
      </c>
      <c r="C45" t="s">
        <v>40</v>
      </c>
      <c r="D45">
        <v>4.7026830000000004</v>
      </c>
      <c r="E45">
        <v>0.53499719999999995</v>
      </c>
      <c r="F45" t="s">
        <v>42</v>
      </c>
      <c r="G45">
        <v>-436.67910000000001</v>
      </c>
      <c r="H45">
        <v>-0.05</v>
      </c>
      <c r="I45">
        <v>370.46640000000002</v>
      </c>
      <c r="J45">
        <v>-475.42070000000001</v>
      </c>
      <c r="K45">
        <v>1.1107929999999999</v>
      </c>
      <c r="L45">
        <v>367.21769999999998</v>
      </c>
      <c r="M45">
        <v>0.99995040000000002</v>
      </c>
      <c r="N45">
        <v>-9.9658239999999999E-3</v>
      </c>
      <c r="O45">
        <v>1.2690520000000001E-4</v>
      </c>
      <c r="P45">
        <v>0.98413759999999995</v>
      </c>
      <c r="Q45">
        <v>0.15506429999999999</v>
      </c>
      <c r="R45">
        <v>8.6188780000000006E-2</v>
      </c>
      <c r="S45">
        <v>3.0417179999999999</v>
      </c>
      <c r="T45">
        <v>-9.100068E-2</v>
      </c>
      <c r="U45">
        <v>0.2547913</v>
      </c>
      <c r="V45">
        <v>-8.6057990000000001E-2</v>
      </c>
      <c r="W45">
        <v>0.16486779999999901</v>
      </c>
      <c r="X45">
        <v>0.98255409999999999</v>
      </c>
      <c r="Y45">
        <v>-8.3297389999999999E-2</v>
      </c>
      <c r="Z45">
        <v>1.6569670000000001E-3</v>
      </c>
      <c r="AA45">
        <v>0.99652339999999995</v>
      </c>
      <c r="AB45">
        <v>5</v>
      </c>
      <c r="AC45">
        <v>38.741599999999998</v>
      </c>
      <c r="AD45">
        <v>-1.160793</v>
      </c>
      <c r="AE45">
        <v>3.2487000000000399</v>
      </c>
      <c r="AF45">
        <v>-3.2408940294103799</v>
      </c>
      <c r="AG45">
        <v>-1.160793</v>
      </c>
      <c r="AH45">
        <v>38.707505043978301</v>
      </c>
      <c r="AI45">
        <v>91.711733038126795</v>
      </c>
      <c r="AJ45">
        <v>94.786086050398694</v>
      </c>
      <c r="AK45">
        <v>38.860285398184203</v>
      </c>
      <c r="AL45">
        <v>80.510444867465495</v>
      </c>
      <c r="AM45">
        <v>95.0055349408062</v>
      </c>
      <c r="AN45">
        <v>0.999999964273244</v>
      </c>
    </row>
    <row r="46" spans="1:40" x14ac:dyDescent="0.25">
      <c r="A46" t="str">
        <f>"20190304155017190"</f>
        <v>20190304155017190</v>
      </c>
      <c r="B46" t="str">
        <f>"1551685817186830"</f>
        <v>1551685817186830</v>
      </c>
      <c r="C46" t="s">
        <v>40</v>
      </c>
      <c r="D46">
        <v>4.679449</v>
      </c>
      <c r="E46">
        <v>0.53657500000000002</v>
      </c>
      <c r="F46" t="s">
        <v>41</v>
      </c>
      <c r="G46">
        <v>-393.71199999999999</v>
      </c>
      <c r="H46" s="1">
        <v>-3.2186080000000002E-6</v>
      </c>
      <c r="I46">
        <v>366.57900000000001</v>
      </c>
      <c r="J46">
        <v>-475.3775</v>
      </c>
      <c r="K46">
        <v>1.110641</v>
      </c>
      <c r="L46">
        <v>367.21769999999998</v>
      </c>
      <c r="M46">
        <v>0.99995000000000001</v>
      </c>
      <c r="N46">
        <v>-1.0003069999999999E-2</v>
      </c>
      <c r="O46">
        <v>1.2606170000000001E-4</v>
      </c>
      <c r="P46">
        <v>0.98411230000000005</v>
      </c>
      <c r="Q46">
        <v>0.15516429999999901</v>
      </c>
      <c r="R46">
        <v>8.6298120000000006E-2</v>
      </c>
      <c r="S46">
        <v>3.0570369999999998</v>
      </c>
      <c r="T46">
        <v>-4.1559100000000002E-2</v>
      </c>
      <c r="U46">
        <v>-2.3895260000000001E-2</v>
      </c>
      <c r="V46">
        <v>-8.6167980000000005E-2</v>
      </c>
      <c r="W46">
        <v>0.16500419999999999</v>
      </c>
      <c r="X46">
        <v>0.98252159999999999</v>
      </c>
      <c r="Y46">
        <v>7.9410279999999993E-3</v>
      </c>
      <c r="Z46" s="1">
        <v>-9.4148900000000002E-5</v>
      </c>
      <c r="AA46">
        <v>0.99996850000000004</v>
      </c>
      <c r="AB46">
        <v>4</v>
      </c>
      <c r="AC46">
        <v>81.665499999999994</v>
      </c>
      <c r="AD46">
        <v>-1.1106442186079999</v>
      </c>
      <c r="AE46">
        <v>-0.63869999999997096</v>
      </c>
      <c r="AF46">
        <v>0.64887539414428597</v>
      </c>
      <c r="AG46">
        <v>-1.1106442186079999</v>
      </c>
      <c r="AH46">
        <v>81.650317891266994</v>
      </c>
      <c r="AI46">
        <v>90.779290205341297</v>
      </c>
      <c r="AJ46">
        <v>89.544679802226696</v>
      </c>
      <c r="AK46">
        <v>81.660449310559201</v>
      </c>
      <c r="AL46">
        <v>80.5025215509839</v>
      </c>
      <c r="AM46">
        <v>95.012064849010898</v>
      </c>
      <c r="AN46">
        <v>1.0000000006307399</v>
      </c>
    </row>
    <row r="47" spans="1:40" x14ac:dyDescent="0.25">
      <c r="A47" t="str">
        <f>"20190304155017204"</f>
        <v>20190304155017204</v>
      </c>
      <c r="B47" t="str">
        <f>"1551685817196591"</f>
        <v>1551685817196591</v>
      </c>
      <c r="C47" t="s">
        <v>40</v>
      </c>
      <c r="D47">
        <v>4.7677800000000001</v>
      </c>
      <c r="E47">
        <v>0.53601909999999997</v>
      </c>
      <c r="F47" t="s">
        <v>42</v>
      </c>
      <c r="G47">
        <v>-397.60879999999997</v>
      </c>
      <c r="H47">
        <v>-0.05</v>
      </c>
      <c r="I47">
        <v>366.29520000000002</v>
      </c>
      <c r="J47">
        <v>-475.34480000000002</v>
      </c>
      <c r="K47">
        <v>1.1103229999999999</v>
      </c>
      <c r="L47">
        <v>367.21769999999998</v>
      </c>
      <c r="M47">
        <v>0.99995769999999995</v>
      </c>
      <c r="N47">
        <v>-9.1979060000000005E-3</v>
      </c>
      <c r="O47">
        <v>1.260651E-4</v>
      </c>
      <c r="P47">
        <v>0.98403529999999995</v>
      </c>
      <c r="Q47">
        <v>0.1558312</v>
      </c>
      <c r="R47">
        <v>8.5973229999999998E-2</v>
      </c>
      <c r="S47">
        <v>3.0587770000000001</v>
      </c>
      <c r="T47">
        <v>-4.5650009999999998E-2</v>
      </c>
      <c r="U47">
        <v>-3.6285400000000002E-2</v>
      </c>
      <c r="V47">
        <v>-8.5842779999999994E-2</v>
      </c>
      <c r="W47">
        <v>0.1648791</v>
      </c>
      <c r="X47">
        <v>0.98257110000000003</v>
      </c>
      <c r="Y47">
        <v>1.198578E-2</v>
      </c>
      <c r="Z47">
        <v>-1.4528330000000001E-4</v>
      </c>
      <c r="AA47">
        <v>0.99992820000000004</v>
      </c>
      <c r="AB47">
        <v>5</v>
      </c>
      <c r="AC47">
        <v>77.736000000000004</v>
      </c>
      <c r="AD47">
        <v>-1.160323</v>
      </c>
      <c r="AE47">
        <v>-0.92249999999995602</v>
      </c>
      <c r="AF47">
        <v>0.93209256361547499</v>
      </c>
      <c r="AG47">
        <v>-1.160323</v>
      </c>
      <c r="AH47">
        <v>77.7185698934085</v>
      </c>
      <c r="AI47">
        <v>90.855289698561805</v>
      </c>
      <c r="AJ47">
        <v>89.312874519171302</v>
      </c>
      <c r="AK47">
        <v>77.732819659961507</v>
      </c>
      <c r="AL47">
        <v>80.509789105061401</v>
      </c>
      <c r="AM47">
        <v>94.992994728110503</v>
      </c>
      <c r="AN47">
        <v>1.0000000335250701</v>
      </c>
    </row>
    <row r="48" spans="1:40" x14ac:dyDescent="0.25">
      <c r="A48" t="str">
        <f>"20190304155017217"</f>
        <v>20190304155017217</v>
      </c>
      <c r="B48" t="str">
        <f>"1551685817206351"</f>
        <v>1551685817206351</v>
      </c>
      <c r="C48" t="s">
        <v>40</v>
      </c>
      <c r="D48">
        <v>4.700723</v>
      </c>
      <c r="E48">
        <v>0.53692320000000004</v>
      </c>
      <c r="F48" t="s">
        <v>41</v>
      </c>
      <c r="G48">
        <v>-396.98219999999998</v>
      </c>
      <c r="H48" s="1">
        <v>-1.875091E-6</v>
      </c>
      <c r="I48">
        <v>366.37630000000001</v>
      </c>
      <c r="J48">
        <v>-475.31630000000001</v>
      </c>
      <c r="K48">
        <v>1.1100719999999999</v>
      </c>
      <c r="L48">
        <v>367.21769999999998</v>
      </c>
      <c r="M48">
        <v>0.99996439999999998</v>
      </c>
      <c r="N48">
        <v>-8.4488050000000002E-3</v>
      </c>
      <c r="O48">
        <v>1.263437E-4</v>
      </c>
      <c r="P48">
        <v>0.98391099999999998</v>
      </c>
      <c r="Q48">
        <v>0.15632770000000001</v>
      </c>
      <c r="R48">
        <v>8.6489780000000002E-2</v>
      </c>
      <c r="S48">
        <v>3.0583499999999999</v>
      </c>
      <c r="T48">
        <v>-4.333389E-2</v>
      </c>
      <c r="U48">
        <v>-3.2836909999999997E-2</v>
      </c>
      <c r="V48">
        <v>-8.6358850000000001E-2</v>
      </c>
      <c r="W48">
        <v>0.16463829999999999</v>
      </c>
      <c r="X48">
        <v>0.98256619999999995</v>
      </c>
      <c r="Y48">
        <v>1.086079E-2</v>
      </c>
      <c r="Z48">
        <v>-1.235462E-4</v>
      </c>
      <c r="AA48">
        <v>0.99994099999999997</v>
      </c>
      <c r="AB48">
        <v>5</v>
      </c>
      <c r="AC48">
        <v>78.334100000000007</v>
      </c>
      <c r="AD48">
        <v>-1.110073875091</v>
      </c>
      <c r="AE48">
        <v>-0.84139999999996395</v>
      </c>
      <c r="AF48">
        <v>0.85112646401685599</v>
      </c>
      <c r="AG48">
        <v>-1.110073875091</v>
      </c>
      <c r="AH48">
        <v>78.318267183288597</v>
      </c>
      <c r="AI48">
        <v>90.812001296943805</v>
      </c>
      <c r="AJ48">
        <v>89.377360655398704</v>
      </c>
      <c r="AK48">
        <v>78.330758038326707</v>
      </c>
      <c r="AL48">
        <v>80.523776568881601</v>
      </c>
      <c r="AM48">
        <v>95.022883456355601</v>
      </c>
      <c r="AN48">
        <v>0.99999997909132599</v>
      </c>
    </row>
    <row r="49" spans="1:40" x14ac:dyDescent="0.25">
      <c r="A49" t="str">
        <f>"20190304155017235"</f>
        <v>20190304155017235</v>
      </c>
      <c r="B49" t="str">
        <f>"1551685817226850"</f>
        <v>1551685817226850</v>
      </c>
      <c r="C49" t="s">
        <v>40</v>
      </c>
      <c r="D49">
        <v>4.7022640000000004</v>
      </c>
      <c r="E49">
        <v>0.53754619999999997</v>
      </c>
      <c r="F49" t="s">
        <v>41</v>
      </c>
      <c r="G49">
        <v>-396.68810000000002</v>
      </c>
      <c r="H49" s="1">
        <v>-2.012586E-6</v>
      </c>
      <c r="I49">
        <v>366.23570000000001</v>
      </c>
      <c r="J49">
        <v>-475.2704</v>
      </c>
      <c r="K49">
        <v>1.1097490000000001</v>
      </c>
      <c r="L49">
        <v>367.21769999999998</v>
      </c>
      <c r="M49">
        <v>0.99997290000000005</v>
      </c>
      <c r="N49">
        <v>-7.3719669999999897E-3</v>
      </c>
      <c r="O49">
        <v>1.2657090000000001E-4</v>
      </c>
      <c r="P49">
        <v>0.98378350000000003</v>
      </c>
      <c r="Q49">
        <v>0.1570529</v>
      </c>
      <c r="R49">
        <v>8.6630830000000006E-2</v>
      </c>
      <c r="S49">
        <v>3.0592649999999999</v>
      </c>
      <c r="T49">
        <v>-4.3190720000000002E-2</v>
      </c>
      <c r="U49">
        <v>-3.8208010000000001E-2</v>
      </c>
      <c r="V49">
        <v>-8.6500069999999998E-2</v>
      </c>
      <c r="W49">
        <v>0.164304799999999</v>
      </c>
      <c r="X49">
        <v>0.98260959999999997</v>
      </c>
      <c r="Y49">
        <v>1.261295E-2</v>
      </c>
      <c r="Z49">
        <v>-1.363778E-4</v>
      </c>
      <c r="AA49">
        <v>0.99992040000000004</v>
      </c>
      <c r="AB49">
        <v>5</v>
      </c>
      <c r="AC49">
        <v>78.582299999999904</v>
      </c>
      <c r="AD49">
        <v>-1.109751012586</v>
      </c>
      <c r="AE49">
        <v>-0.98199999999997001</v>
      </c>
      <c r="AF49">
        <v>0.99174873539828301</v>
      </c>
      <c r="AG49">
        <v>-1.109751012586</v>
      </c>
      <c r="AH49">
        <v>78.566508600334402</v>
      </c>
      <c r="AI49">
        <v>90.8091839403248</v>
      </c>
      <c r="AJ49">
        <v>89.276791089591001</v>
      </c>
      <c r="AK49">
        <v>78.580604391354299</v>
      </c>
      <c r="AL49">
        <v>80.543148509309702</v>
      </c>
      <c r="AM49">
        <v>95.030834031708395</v>
      </c>
      <c r="AN49">
        <v>0.99999997771260196</v>
      </c>
    </row>
    <row r="50" spans="1:40" x14ac:dyDescent="0.25">
      <c r="A50" t="str">
        <f>"20190304155017249"</f>
        <v>20190304155017249</v>
      </c>
      <c r="B50" t="str">
        <f>"1551685817236607"</f>
        <v>1551685817236607</v>
      </c>
      <c r="C50" t="s">
        <v>40</v>
      </c>
      <c r="D50">
        <v>4.7441769999999996</v>
      </c>
      <c r="E50">
        <v>0.53806019999999999</v>
      </c>
      <c r="F50" t="s">
        <v>41</v>
      </c>
      <c r="G50">
        <v>-387.6748</v>
      </c>
      <c r="H50" s="1">
        <v>-1.7396250000000001E-6</v>
      </c>
      <c r="I50">
        <v>365.99959999999999</v>
      </c>
      <c r="J50">
        <v>-475.2396</v>
      </c>
      <c r="K50">
        <v>1.1096170000000001</v>
      </c>
      <c r="L50">
        <v>367.21769999999998</v>
      </c>
      <c r="M50">
        <v>0.99997659999999999</v>
      </c>
      <c r="N50">
        <v>-6.8470519999999898E-3</v>
      </c>
      <c r="O50">
        <v>1.268981E-4</v>
      </c>
      <c r="P50">
        <v>0.98371750000000002</v>
      </c>
      <c r="Q50">
        <v>0.15733749999999999</v>
      </c>
      <c r="R50">
        <v>8.6862369999999994E-2</v>
      </c>
      <c r="S50">
        <v>3.059418</v>
      </c>
      <c r="T50">
        <v>-3.8759830000000002E-2</v>
      </c>
      <c r="U50">
        <v>-4.2541500000000003E-2</v>
      </c>
      <c r="V50">
        <v>-8.6731180000000005E-2</v>
      </c>
      <c r="W50">
        <v>0.16407289999999999</v>
      </c>
      <c r="X50">
        <v>0.98262799999999995</v>
      </c>
      <c r="Y50">
        <v>1.402891E-2</v>
      </c>
      <c r="Z50">
        <v>-1.376313E-4</v>
      </c>
      <c r="AA50">
        <v>0.99990159999999995</v>
      </c>
      <c r="AB50">
        <v>5</v>
      </c>
      <c r="AC50">
        <v>87.564799999999906</v>
      </c>
      <c r="AD50">
        <v>-1.1096187396249999</v>
      </c>
      <c r="AE50">
        <v>-1.21809999999999</v>
      </c>
      <c r="AF50">
        <v>1.2290147412345001</v>
      </c>
      <c r="AG50">
        <v>-1.1096187396249999</v>
      </c>
      <c r="AH50">
        <v>87.550588660611297</v>
      </c>
      <c r="AI50">
        <v>90.726057992399106</v>
      </c>
      <c r="AJ50">
        <v>89.195748037785194</v>
      </c>
      <c r="AK50">
        <v>87.566245242108295</v>
      </c>
      <c r="AL50">
        <v>80.556618413798702</v>
      </c>
      <c r="AM50">
        <v>95.044112141673807</v>
      </c>
      <c r="AN50">
        <v>1.0000000002413001</v>
      </c>
    </row>
    <row r="51" spans="1:40" x14ac:dyDescent="0.25">
      <c r="A51" t="str">
        <f>"20190304155017262"</f>
        <v>20190304155017262</v>
      </c>
      <c r="B51" t="str">
        <f>"1551685817257103"</f>
        <v>1551685817257103</v>
      </c>
      <c r="C51" t="s">
        <v>40</v>
      </c>
      <c r="D51">
        <v>4.7046359999999998</v>
      </c>
      <c r="E51">
        <v>0.53810100000000005</v>
      </c>
      <c r="F51" t="s">
        <v>41</v>
      </c>
      <c r="G51">
        <v>-390.3476</v>
      </c>
      <c r="H51" s="1">
        <v>-4.7753970000000002E-6</v>
      </c>
      <c r="I51">
        <v>365.9393</v>
      </c>
      <c r="J51">
        <v>-475.2063</v>
      </c>
      <c r="K51">
        <v>1.1098330000000001</v>
      </c>
      <c r="L51">
        <v>367.21769999999998</v>
      </c>
      <c r="M51">
        <v>0.99997210000000003</v>
      </c>
      <c r="N51">
        <v>-7.468794E-3</v>
      </c>
      <c r="O51">
        <v>1.270462E-4</v>
      </c>
      <c r="P51">
        <v>0.98381240000000003</v>
      </c>
      <c r="Q51">
        <v>0.15669720000000001</v>
      </c>
      <c r="R51">
        <v>8.6944880000000002E-2</v>
      </c>
      <c r="S51">
        <v>3.0601500000000001</v>
      </c>
      <c r="T51">
        <v>-3.9999130000000001E-2</v>
      </c>
      <c r="U51">
        <v>-4.6081539999999997E-2</v>
      </c>
      <c r="V51">
        <v>-8.6813609999999999E-2</v>
      </c>
      <c r="W51">
        <v>0.1640442</v>
      </c>
      <c r="X51">
        <v>0.98262550000000004</v>
      </c>
      <c r="Y51">
        <v>1.518188E-2</v>
      </c>
      <c r="Z51">
        <v>-1.5662569999999999E-4</v>
      </c>
      <c r="AA51">
        <v>0.99988469999999996</v>
      </c>
      <c r="AB51">
        <v>6</v>
      </c>
      <c r="AC51">
        <v>84.858699999999999</v>
      </c>
      <c r="AD51">
        <v>-1.1098377753969999</v>
      </c>
      <c r="AE51">
        <v>-1.27839999999997</v>
      </c>
      <c r="AF51">
        <v>1.28896083742736</v>
      </c>
      <c r="AG51">
        <v>-1.1098377753969999</v>
      </c>
      <c r="AH51">
        <v>84.844027510595197</v>
      </c>
      <c r="AI51">
        <v>90.749352195213703</v>
      </c>
      <c r="AJ51">
        <v>89.129622470789698</v>
      </c>
      <c r="AK51">
        <v>84.861075671633799</v>
      </c>
      <c r="AL51">
        <v>80.558285271044994</v>
      </c>
      <c r="AM51">
        <v>95.048894117990997</v>
      </c>
      <c r="AN51">
        <v>0.99999998784256094</v>
      </c>
    </row>
    <row r="52" spans="1:40" x14ac:dyDescent="0.25">
      <c r="A52" t="str">
        <f>"20190304155017281"</f>
        <v>20190304155017281</v>
      </c>
      <c r="B52" t="str">
        <f>"1551685817276622"</f>
        <v>1551685817276622</v>
      </c>
      <c r="C52" t="s">
        <v>40</v>
      </c>
      <c r="D52">
        <v>4.7401679999999997</v>
      </c>
      <c r="E52">
        <v>0.53819490000000003</v>
      </c>
      <c r="F52" t="s">
        <v>41</v>
      </c>
      <c r="G52">
        <v>-397.76240000000001</v>
      </c>
      <c r="H52" s="1">
        <v>-1.6968250000000001E-6</v>
      </c>
      <c r="I52">
        <v>366.04849999999999</v>
      </c>
      <c r="J52">
        <v>-475.16770000000002</v>
      </c>
      <c r="K52">
        <v>1.1102350000000001</v>
      </c>
      <c r="L52">
        <v>367.21769999999998</v>
      </c>
      <c r="M52">
        <v>0.99996099999999999</v>
      </c>
      <c r="N52">
        <v>-8.8432919999999905E-3</v>
      </c>
      <c r="O52">
        <v>1.2630350000000001E-4</v>
      </c>
      <c r="P52">
        <v>0.98391640000000002</v>
      </c>
      <c r="Q52">
        <v>0.15588379999999999</v>
      </c>
      <c r="R52">
        <v>8.7230089999999996E-2</v>
      </c>
      <c r="S52">
        <v>3.0603940000000001</v>
      </c>
      <c r="T52">
        <v>-4.3857930000000003E-2</v>
      </c>
      <c r="U52">
        <v>-4.6203609999999999E-2</v>
      </c>
      <c r="V52">
        <v>-8.7099460000000004E-2</v>
      </c>
      <c r="W52">
        <v>0.16458229999999999</v>
      </c>
      <c r="X52">
        <v>0.9825102</v>
      </c>
      <c r="Y52">
        <v>1.521932E-2</v>
      </c>
      <c r="Z52">
        <v>-1.770389E-4</v>
      </c>
      <c r="AA52">
        <v>0.9998842</v>
      </c>
      <c r="AB52">
        <v>6</v>
      </c>
      <c r="AC52">
        <v>77.405299999999997</v>
      </c>
      <c r="AD52">
        <v>-1.1102366968249999</v>
      </c>
      <c r="AE52">
        <v>-1.16919999999998</v>
      </c>
      <c r="AF52">
        <v>1.17873449086523</v>
      </c>
      <c r="AG52">
        <v>-1.1102366968249999</v>
      </c>
      <c r="AH52">
        <v>77.389234335612798</v>
      </c>
      <c r="AI52">
        <v>90.8218215125776</v>
      </c>
      <c r="AJ52">
        <v>89.127381344682107</v>
      </c>
      <c r="AK52">
        <v>77.406173084420899</v>
      </c>
      <c r="AL52">
        <v>80.527029432048295</v>
      </c>
      <c r="AM52">
        <v>95.066023542307093</v>
      </c>
      <c r="AN52">
        <v>0.99999997125480999</v>
      </c>
    </row>
    <row r="53" spans="1:40" x14ac:dyDescent="0.25">
      <c r="A53" t="str">
        <f>"20190304155017302"</f>
        <v>20190304155017302</v>
      </c>
      <c r="B53" t="str">
        <f>"1551685817297119"</f>
        <v>1551685817297119</v>
      </c>
      <c r="C53" t="s">
        <v>40</v>
      </c>
      <c r="D53">
        <v>4.748297</v>
      </c>
      <c r="E53">
        <v>0.53847409999999996</v>
      </c>
      <c r="F53" t="s">
        <v>42</v>
      </c>
      <c r="G53">
        <v>-401.77449999999999</v>
      </c>
      <c r="H53">
        <v>-0.05</v>
      </c>
      <c r="I53">
        <v>366.11349999999999</v>
      </c>
      <c r="J53">
        <v>-475.12110000000001</v>
      </c>
      <c r="K53">
        <v>1.1104179999999999</v>
      </c>
      <c r="L53">
        <v>367.21769999999998</v>
      </c>
      <c r="M53">
        <v>0.99995339999999999</v>
      </c>
      <c r="N53">
        <v>-9.6612060000000003E-3</v>
      </c>
      <c r="O53">
        <v>1.2500949999999999E-4</v>
      </c>
      <c r="P53">
        <v>0.98397829999999997</v>
      </c>
      <c r="Q53">
        <v>0.155529</v>
      </c>
      <c r="R53">
        <v>8.7163930000000001E-2</v>
      </c>
      <c r="S53">
        <v>3.060791</v>
      </c>
      <c r="T53">
        <v>-4.8386449999999998E-2</v>
      </c>
      <c r="U53">
        <v>-4.605103E-2</v>
      </c>
      <c r="V53">
        <v>-8.7034730000000005E-2</v>
      </c>
      <c r="W53">
        <v>0.16503190000000001</v>
      </c>
      <c r="X53">
        <v>0.98244050000000005</v>
      </c>
      <c r="Y53">
        <v>1.5165710000000001E-2</v>
      </c>
      <c r="Z53">
        <v>-1.9390029999999999E-4</v>
      </c>
      <c r="AA53">
        <v>0.99988500000000002</v>
      </c>
      <c r="AB53">
        <v>5</v>
      </c>
      <c r="AC53">
        <v>73.346599999999995</v>
      </c>
      <c r="AD53">
        <v>-1.1604179999999999</v>
      </c>
      <c r="AE53">
        <v>-1.1041999999999901</v>
      </c>
      <c r="AF53">
        <v>1.1130908916784701</v>
      </c>
      <c r="AG53">
        <v>-1.1604179999999999</v>
      </c>
      <c r="AH53">
        <v>73.328111175655494</v>
      </c>
      <c r="AI53">
        <v>90.9065261162078</v>
      </c>
      <c r="AJ53">
        <v>89.130340171257302</v>
      </c>
      <c r="AK53">
        <v>73.345739002733893</v>
      </c>
      <c r="AL53">
        <v>80.500911951583802</v>
      </c>
      <c r="AM53">
        <v>95.062635459529005</v>
      </c>
      <c r="AN53">
        <v>0.99999995414201504</v>
      </c>
    </row>
    <row r="54" spans="1:40" x14ac:dyDescent="0.25">
      <c r="A54" t="str">
        <f>"20190304155017317"</f>
        <v>20190304155017317</v>
      </c>
      <c r="B54" t="str">
        <f>"1551685817306878"</f>
        <v>1551685817306878</v>
      </c>
      <c r="C54" t="s">
        <v>40</v>
      </c>
      <c r="D54">
        <v>4.7306460000000001</v>
      </c>
      <c r="E54">
        <v>0.53860319999999995</v>
      </c>
      <c r="F54" t="s">
        <v>42</v>
      </c>
      <c r="G54">
        <v>-405.65640000000002</v>
      </c>
      <c r="H54">
        <v>-0.05</v>
      </c>
      <c r="I54">
        <v>366.11799999999999</v>
      </c>
      <c r="J54">
        <v>-475.08699999999999</v>
      </c>
      <c r="K54">
        <v>1.1102609999999999</v>
      </c>
      <c r="L54">
        <v>367.21769999999998</v>
      </c>
      <c r="M54">
        <v>0.99995730000000005</v>
      </c>
      <c r="N54">
        <v>-9.2545130000000007E-3</v>
      </c>
      <c r="O54">
        <v>1.242572E-4</v>
      </c>
      <c r="P54">
        <v>0.98395440000000001</v>
      </c>
      <c r="Q54">
        <v>0.15585550000000001</v>
      </c>
      <c r="R54">
        <v>8.6850659999999996E-2</v>
      </c>
      <c r="S54">
        <v>3.0612789999999999</v>
      </c>
      <c r="T54">
        <v>-5.1139120000000003E-2</v>
      </c>
      <c r="U54">
        <v>-4.8461909999999997E-2</v>
      </c>
      <c r="V54">
        <v>-8.672241E-2</v>
      </c>
      <c r="W54">
        <v>0.16495860000000001</v>
      </c>
      <c r="X54">
        <v>0.98248049999999998</v>
      </c>
      <c r="Y54">
        <v>1.5949410000000001E-2</v>
      </c>
      <c r="Z54">
        <v>-2.079428E-4</v>
      </c>
      <c r="AA54">
        <v>0.99987280000000001</v>
      </c>
      <c r="AB54">
        <v>5</v>
      </c>
      <c r="AC54">
        <v>69.430599999999899</v>
      </c>
      <c r="AD54">
        <v>-1.160261</v>
      </c>
      <c r="AE54">
        <v>-1.09969999999992</v>
      </c>
      <c r="AF54">
        <v>1.1080182636349101</v>
      </c>
      <c r="AG54">
        <v>-1.160261</v>
      </c>
      <c r="AH54">
        <v>69.411083898214699</v>
      </c>
      <c r="AI54">
        <v>90.957532975830603</v>
      </c>
      <c r="AJ54">
        <v>89.085457610523406</v>
      </c>
      <c r="AK54">
        <v>69.429622481946893</v>
      </c>
      <c r="AL54">
        <v>80.505170767142005</v>
      </c>
      <c r="AM54">
        <v>95.044358017888598</v>
      </c>
      <c r="AN54">
        <v>1.0000000244952001</v>
      </c>
    </row>
    <row r="55" spans="1:40" x14ac:dyDescent="0.25">
      <c r="A55" t="str">
        <f>"20190304155017337"</f>
        <v>20190304155017337</v>
      </c>
      <c r="B55" t="str">
        <f>"1551685817326402"</f>
        <v>1551685817326402</v>
      </c>
      <c r="C55" t="s">
        <v>40</v>
      </c>
      <c r="D55">
        <v>4.7481879999999999</v>
      </c>
      <c r="E55">
        <v>0.53869630000000002</v>
      </c>
      <c r="F55" t="s">
        <v>42</v>
      </c>
      <c r="G55">
        <v>-407.50839999999999</v>
      </c>
      <c r="H55">
        <v>-0.05</v>
      </c>
      <c r="I55">
        <v>366.10160000000002</v>
      </c>
      <c r="J55">
        <v>-475.03789999999998</v>
      </c>
      <c r="K55">
        <v>1.1099129999999999</v>
      </c>
      <c r="L55">
        <v>367.21769999999998</v>
      </c>
      <c r="M55">
        <v>0.99996719999999895</v>
      </c>
      <c r="N55">
        <v>-8.1057049999999995E-3</v>
      </c>
      <c r="O55">
        <v>1.2389820000000001E-4</v>
      </c>
      <c r="P55">
        <v>0.98376390000000002</v>
      </c>
      <c r="Q55">
        <v>0.1571139</v>
      </c>
      <c r="R55">
        <v>8.6740449999999997E-2</v>
      </c>
      <c r="S55">
        <v>3.0617369999999999</v>
      </c>
      <c r="T55">
        <v>-5.2567120000000002E-2</v>
      </c>
      <c r="U55">
        <v>-5.0567630000000002E-2</v>
      </c>
      <c r="V55">
        <v>-8.6611839999999995E-2</v>
      </c>
      <c r="W55">
        <v>0.1650865</v>
      </c>
      <c r="X55">
        <v>0.98246869999999997</v>
      </c>
      <c r="Y55">
        <v>1.6634019999999999E-2</v>
      </c>
      <c r="Z55">
        <v>-2.1132590000000001E-4</v>
      </c>
      <c r="AA55">
        <v>0.99986160000000002</v>
      </c>
      <c r="AB55">
        <v>5</v>
      </c>
      <c r="AC55">
        <v>67.529499999999899</v>
      </c>
      <c r="AD55">
        <v>-1.159913</v>
      </c>
      <c r="AE55">
        <v>-1.1160999999999599</v>
      </c>
      <c r="AF55">
        <v>1.12413548802653</v>
      </c>
      <c r="AG55">
        <v>-1.159913</v>
      </c>
      <c r="AH55">
        <v>67.509449431380105</v>
      </c>
      <c r="AI55">
        <v>90.984193661189394</v>
      </c>
      <c r="AJ55">
        <v>89.046025886710297</v>
      </c>
      <c r="AK55">
        <v>67.528770470748796</v>
      </c>
      <c r="AL55">
        <v>80.497740102845697</v>
      </c>
      <c r="AM55">
        <v>95.0380198409499</v>
      </c>
      <c r="AN55">
        <v>0.99999995489506099</v>
      </c>
    </row>
    <row r="56" spans="1:40" x14ac:dyDescent="0.25">
      <c r="A56" t="str">
        <f>"20190304155017351"</f>
        <v>20190304155017351</v>
      </c>
      <c r="B56" t="str">
        <f>"1551685817346895"</f>
        <v>1551685817346895</v>
      </c>
      <c r="C56" t="s">
        <v>40</v>
      </c>
      <c r="D56">
        <v>5.0396020000000004</v>
      </c>
      <c r="E56">
        <v>0.53814499999999998</v>
      </c>
      <c r="F56" t="s">
        <v>42</v>
      </c>
      <c r="G56">
        <v>-403.6019</v>
      </c>
      <c r="H56">
        <v>-0.05</v>
      </c>
      <c r="I56">
        <v>366.00670000000002</v>
      </c>
      <c r="J56">
        <v>-475.00130000000001</v>
      </c>
      <c r="K56">
        <v>1.1096680000000001</v>
      </c>
      <c r="L56">
        <v>367.21769999999998</v>
      </c>
      <c r="M56">
        <v>0.99997409999999998</v>
      </c>
      <c r="N56">
        <v>-7.2079680000000004E-3</v>
      </c>
      <c r="O56">
        <v>1.2395409999999999E-4</v>
      </c>
      <c r="P56">
        <v>0.98358769999999995</v>
      </c>
      <c r="Q56">
        <v>0.15829119999999999</v>
      </c>
      <c r="R56">
        <v>8.6598880000000003E-2</v>
      </c>
      <c r="S56">
        <v>3.0620120000000002</v>
      </c>
      <c r="T56">
        <v>-4.9718140000000001E-2</v>
      </c>
      <c r="U56">
        <v>-5.1910400000000002E-2</v>
      </c>
      <c r="V56">
        <v>-8.6470720000000001E-2</v>
      </c>
      <c r="W56">
        <v>0.16538039999999901</v>
      </c>
      <c r="X56">
        <v>0.98243179999999997</v>
      </c>
      <c r="Y56">
        <v>1.7071289999999999E-2</v>
      </c>
      <c r="Z56">
        <v>-2.012296E-4</v>
      </c>
      <c r="AA56">
        <v>0.99985429999999997</v>
      </c>
      <c r="AB56">
        <v>6</v>
      </c>
      <c r="AC56">
        <v>71.3994</v>
      </c>
      <c r="AD56">
        <v>-1.1596679999999999</v>
      </c>
      <c r="AE56">
        <v>-1.2109999999999499</v>
      </c>
      <c r="AF56">
        <v>1.21952884649367</v>
      </c>
      <c r="AG56">
        <v>-1.1596679999999999</v>
      </c>
      <c r="AH56">
        <v>71.380424449836298</v>
      </c>
      <c r="AI56">
        <v>90.930626919367398</v>
      </c>
      <c r="AJ56">
        <v>89.021201414399698</v>
      </c>
      <c r="AK56">
        <v>71.400259629194906</v>
      </c>
      <c r="AL56">
        <v>80.480667114434794</v>
      </c>
      <c r="AM56">
        <v>95.030041296143196</v>
      </c>
      <c r="AN56">
        <v>1.0000000518863501</v>
      </c>
    </row>
    <row r="57" spans="1:40" x14ac:dyDescent="0.25">
      <c r="A57" t="str">
        <f>"20190304155017372"</f>
        <v>20190304155017372</v>
      </c>
      <c r="B57" t="str">
        <f>"1551685817366414"</f>
        <v>1551685817366414</v>
      </c>
      <c r="C57" t="s">
        <v>40</v>
      </c>
      <c r="D57">
        <v>4.8029099999999998</v>
      </c>
      <c r="E57">
        <v>0.53821409999999903</v>
      </c>
      <c r="F57" t="s">
        <v>42</v>
      </c>
      <c r="G57">
        <v>-399.64100000000002</v>
      </c>
      <c r="H57">
        <v>-0.05</v>
      </c>
      <c r="I57">
        <v>366.0437</v>
      </c>
      <c r="J57">
        <v>-474.94670000000002</v>
      </c>
      <c r="K57">
        <v>1.1095349999999999</v>
      </c>
      <c r="L57">
        <v>367.21769999999998</v>
      </c>
      <c r="M57">
        <v>0.99997899999999995</v>
      </c>
      <c r="N57">
        <v>-6.4999680000000001E-3</v>
      </c>
      <c r="O57">
        <v>1.2418910000000001E-4</v>
      </c>
      <c r="P57">
        <v>0.98346350000000005</v>
      </c>
      <c r="Q57">
        <v>0.15925</v>
      </c>
      <c r="R57">
        <v>8.6250789999999994E-2</v>
      </c>
      <c r="S57">
        <v>3.061798</v>
      </c>
      <c r="T57">
        <v>-4.7115919999999999E-2</v>
      </c>
      <c r="U57">
        <v>-4.769897E-2</v>
      </c>
      <c r="V57">
        <v>-8.6122089999999998E-2</v>
      </c>
      <c r="W57">
        <v>0.16564279999999901</v>
      </c>
      <c r="X57">
        <v>0.98241820000000002</v>
      </c>
      <c r="Y57">
        <v>1.569839E-2</v>
      </c>
      <c r="Z57">
        <v>-1.7290249999999999E-4</v>
      </c>
      <c r="AA57">
        <v>0.99987669999999995</v>
      </c>
      <c r="AB57">
        <v>6</v>
      </c>
      <c r="AC57">
        <v>75.305700000000002</v>
      </c>
      <c r="AD57">
        <v>-1.159535</v>
      </c>
      <c r="AE57">
        <v>-1.17399999999997</v>
      </c>
      <c r="AF57">
        <v>1.1830719088003201</v>
      </c>
      <c r="AG57">
        <v>-1.159535</v>
      </c>
      <c r="AH57">
        <v>75.2877080425271</v>
      </c>
      <c r="AI57">
        <v>90.882255710579301</v>
      </c>
      <c r="AJ57">
        <v>89.099727559327306</v>
      </c>
      <c r="AK57">
        <v>75.305930462709298</v>
      </c>
      <c r="AL57">
        <v>80.465422289385501</v>
      </c>
      <c r="AM57">
        <v>95.009933746730795</v>
      </c>
      <c r="AN57">
        <v>1.00000003563452</v>
      </c>
    </row>
    <row r="58" spans="1:40" x14ac:dyDescent="0.25">
      <c r="A58" t="str">
        <f>"20190304155017392"</f>
        <v>20190304155017392</v>
      </c>
      <c r="B58" t="str">
        <f>"1551685817386911"</f>
        <v>1551685817386911</v>
      </c>
      <c r="C58" t="s">
        <v>40</v>
      </c>
      <c r="D58">
        <v>4.7895810000000001</v>
      </c>
      <c r="E58">
        <v>0.53837259999999998</v>
      </c>
      <c r="F58" t="s">
        <v>41</v>
      </c>
      <c r="G58">
        <v>-399.34399999999999</v>
      </c>
      <c r="H58" s="1">
        <v>-1.1702869999999999E-6</v>
      </c>
      <c r="I58">
        <v>366.00450000000001</v>
      </c>
      <c r="J58">
        <v>-474.8956</v>
      </c>
      <c r="K58">
        <v>1.109936</v>
      </c>
      <c r="L58">
        <v>367.21769999999998</v>
      </c>
      <c r="M58">
        <v>0.99997069999999999</v>
      </c>
      <c r="N58">
        <v>-7.6546869999999899E-3</v>
      </c>
      <c r="O58">
        <v>1.246706E-4</v>
      </c>
      <c r="P58">
        <v>0.98361739999999998</v>
      </c>
      <c r="Q58">
        <v>0.15846189999999999</v>
      </c>
      <c r="R58">
        <v>8.5946250000000002E-2</v>
      </c>
      <c r="S58">
        <v>3.0620419999999999</v>
      </c>
      <c r="T58">
        <v>-4.493809E-2</v>
      </c>
      <c r="U58">
        <v>-4.9133299999999998E-2</v>
      </c>
      <c r="V58">
        <v>-8.5816729999999994E-2</v>
      </c>
      <c r="W58">
        <v>0.16598979999999999</v>
      </c>
      <c r="X58">
        <v>0.98238630000000005</v>
      </c>
      <c r="Y58">
        <v>1.6165869999999999E-2</v>
      </c>
      <c r="Z58">
        <v>-1.8136749999999999E-4</v>
      </c>
      <c r="AA58">
        <v>0.99986929999999996</v>
      </c>
      <c r="AB58">
        <v>6</v>
      </c>
      <c r="AC58">
        <v>75.551599999999993</v>
      </c>
      <c r="AD58">
        <v>-1.109937170287</v>
      </c>
      <c r="AE58">
        <v>-1.2131999999999701</v>
      </c>
      <c r="AF58">
        <v>1.2223555782216999</v>
      </c>
      <c r="AG58">
        <v>-1.109937170287</v>
      </c>
      <c r="AH58">
        <v>75.535149697602506</v>
      </c>
      <c r="AI58">
        <v>90.8417513632956</v>
      </c>
      <c r="AJ58">
        <v>89.072885890166106</v>
      </c>
      <c r="AK58">
        <v>75.553192874429996</v>
      </c>
      <c r="AL58">
        <v>80.445261061229601</v>
      </c>
      <c r="AM58">
        <v>94.992421421575699</v>
      </c>
      <c r="AN58">
        <v>0.99999998363981102</v>
      </c>
    </row>
    <row r="59" spans="1:40" x14ac:dyDescent="0.25">
      <c r="A59" t="str">
        <f>"20190304155017415"</f>
        <v>20190304155017415</v>
      </c>
      <c r="B59" t="str">
        <f>"1551685817406434"</f>
        <v>1551685817406434</v>
      </c>
      <c r="C59" t="s">
        <v>40</v>
      </c>
      <c r="D59">
        <v>4.8130800000000002</v>
      </c>
      <c r="E59">
        <v>0.53844759999999903</v>
      </c>
      <c r="F59" t="s">
        <v>42</v>
      </c>
      <c r="G59">
        <v>-401.36880000000002</v>
      </c>
      <c r="H59">
        <v>-0.05</v>
      </c>
      <c r="I59">
        <v>365.98379999999997</v>
      </c>
      <c r="J59">
        <v>-474.8458</v>
      </c>
      <c r="K59">
        <v>1.110527</v>
      </c>
      <c r="L59">
        <v>367.21769999999998</v>
      </c>
      <c r="M59">
        <v>0.99995259999999997</v>
      </c>
      <c r="N59">
        <v>-9.7371920000000004E-3</v>
      </c>
      <c r="O59">
        <v>1.239813E-4</v>
      </c>
      <c r="P59">
        <v>0.98395509999999997</v>
      </c>
      <c r="Q59">
        <v>0.15646679999999999</v>
      </c>
      <c r="R59">
        <v>8.5736019999999996E-2</v>
      </c>
      <c r="S59">
        <v>3.0622560000000001</v>
      </c>
      <c r="T59">
        <v>-4.8309209999999998E-2</v>
      </c>
      <c r="U59">
        <v>-5.1391600000000003E-2</v>
      </c>
      <c r="V59">
        <v>-8.5607970000000005E-2</v>
      </c>
      <c r="W59">
        <v>0.16604349999999901</v>
      </c>
      <c r="X59">
        <v>0.98239549999999998</v>
      </c>
      <c r="Y59">
        <v>1.6900479999999999E-2</v>
      </c>
      <c r="Z59">
        <v>-2.163368E-4</v>
      </c>
      <c r="AA59">
        <v>0.99985710000000005</v>
      </c>
      <c r="AB59">
        <v>5</v>
      </c>
      <c r="AC59">
        <v>73.476999999999904</v>
      </c>
      <c r="AD59">
        <v>-1.1605270000000001</v>
      </c>
      <c r="AE59">
        <v>-1.2339</v>
      </c>
      <c r="AF59">
        <v>1.24270027482199</v>
      </c>
      <c r="AG59">
        <v>-1.1605270000000001</v>
      </c>
      <c r="AH59">
        <v>73.458526365108497</v>
      </c>
      <c r="AI59">
        <v>90.904976738737801</v>
      </c>
      <c r="AJ59">
        <v>89.030817886673006</v>
      </c>
      <c r="AK59">
        <v>73.478202363858401</v>
      </c>
      <c r="AL59">
        <v>80.442141557027895</v>
      </c>
      <c r="AM59">
        <v>94.980291477922194</v>
      </c>
      <c r="AN59">
        <v>1.00000004342</v>
      </c>
    </row>
    <row r="60" spans="1:40" x14ac:dyDescent="0.25">
      <c r="A60" t="str">
        <f>"20190304155017427"</f>
        <v>20190304155017427</v>
      </c>
      <c r="B60" t="str">
        <f>"1551685817416191"</f>
        <v>1551685817416191</v>
      </c>
      <c r="C60" t="s">
        <v>40</v>
      </c>
      <c r="D60">
        <v>4.7658889999999996</v>
      </c>
      <c r="E60">
        <v>0.53856309999999996</v>
      </c>
      <c r="F60" t="s">
        <v>42</v>
      </c>
      <c r="G60">
        <v>-407.30470000000003</v>
      </c>
      <c r="H60">
        <v>-0.05</v>
      </c>
      <c r="I60">
        <v>366.06189999999998</v>
      </c>
      <c r="J60">
        <v>-474.8186</v>
      </c>
      <c r="K60">
        <v>1.1108480000000001</v>
      </c>
      <c r="L60">
        <v>367.21769999999998</v>
      </c>
      <c r="M60">
        <v>0.99993940000000003</v>
      </c>
      <c r="N60">
        <v>-1.101976E-2</v>
      </c>
      <c r="O60">
        <v>1.2338170000000001E-4</v>
      </c>
      <c r="P60">
        <v>0.98416619999999999</v>
      </c>
      <c r="Q60">
        <v>0.15530539999999901</v>
      </c>
      <c r="R60">
        <v>8.5424449999999999E-2</v>
      </c>
      <c r="S60">
        <v>3.06189</v>
      </c>
      <c r="T60">
        <v>-5.2610990000000003E-2</v>
      </c>
      <c r="U60">
        <v>-5.2398680000000003E-2</v>
      </c>
      <c r="V60">
        <v>-8.5296839999999999E-2</v>
      </c>
      <c r="W60">
        <v>0.16614499999999999</v>
      </c>
      <c r="X60">
        <v>0.98240539999999998</v>
      </c>
      <c r="Y60">
        <v>1.722988E-2</v>
      </c>
      <c r="Z60">
        <v>-2.437207E-4</v>
      </c>
      <c r="AA60">
        <v>0.9998515</v>
      </c>
      <c r="AB60">
        <v>5</v>
      </c>
      <c r="AC60">
        <v>67.513899999999893</v>
      </c>
      <c r="AD60">
        <v>-1.1608479999999901</v>
      </c>
      <c r="AE60">
        <v>-1.1557999999999899</v>
      </c>
      <c r="AF60">
        <v>1.1637865137883401</v>
      </c>
      <c r="AG60">
        <v>-1.1608479999999901</v>
      </c>
      <c r="AH60">
        <v>67.4938087976182</v>
      </c>
      <c r="AI60">
        <v>90.985205200305998</v>
      </c>
      <c r="AJ60">
        <v>89.012154603449005</v>
      </c>
      <c r="AK60">
        <v>67.513822237658999</v>
      </c>
      <c r="AL60">
        <v>80.436244095662403</v>
      </c>
      <c r="AM60">
        <v>94.9622320999854</v>
      </c>
      <c r="AN60">
        <v>1.0000000409440699</v>
      </c>
    </row>
    <row r="61" spans="1:40" x14ac:dyDescent="0.25">
      <c r="A61" t="str">
        <f>"20190304155017439"</f>
        <v>20190304155017439</v>
      </c>
      <c r="B61" t="str">
        <f>"1551685817436687"</f>
        <v>1551685817436687</v>
      </c>
      <c r="C61" t="s">
        <v>40</v>
      </c>
      <c r="D61">
        <v>4.7624300000000002</v>
      </c>
      <c r="E61">
        <v>0.53873599999999999</v>
      </c>
      <c r="F61" t="s">
        <v>42</v>
      </c>
      <c r="G61">
        <v>-411.8503</v>
      </c>
      <c r="H61">
        <v>-0.05</v>
      </c>
      <c r="I61">
        <v>366.10559999999998</v>
      </c>
      <c r="J61">
        <v>-474.7901</v>
      </c>
      <c r="K61">
        <v>1.1108469999999999</v>
      </c>
      <c r="L61">
        <v>367.21769999999998</v>
      </c>
      <c r="M61">
        <v>0.99993620000000005</v>
      </c>
      <c r="N61">
        <v>-1.1297099999999999E-2</v>
      </c>
      <c r="O61">
        <v>1.2230680000000001E-4</v>
      </c>
      <c r="P61">
        <v>0.9842303</v>
      </c>
      <c r="Q61">
        <v>0.15488060000000001</v>
      </c>
      <c r="R61">
        <v>8.5456760000000007E-2</v>
      </c>
      <c r="S61">
        <v>3.06189</v>
      </c>
      <c r="T61">
        <v>-5.6447270000000001E-2</v>
      </c>
      <c r="U61">
        <v>-5.4077149999999997E-2</v>
      </c>
      <c r="V61">
        <v>-8.5330450000000002E-2</v>
      </c>
      <c r="W61">
        <v>0.16599320000000001</v>
      </c>
      <c r="X61">
        <v>0.98242810000000003</v>
      </c>
      <c r="Y61">
        <v>1.777604E-2</v>
      </c>
      <c r="Z61">
        <v>-2.651342E-4</v>
      </c>
      <c r="AA61">
        <v>0.99984200000000001</v>
      </c>
      <c r="AB61">
        <v>5</v>
      </c>
      <c r="AC61">
        <v>62.939799999999899</v>
      </c>
      <c r="AD61">
        <v>-1.160847</v>
      </c>
      <c r="AE61">
        <v>-1.1120999999999901</v>
      </c>
      <c r="AF61">
        <v>1.1194177719798399</v>
      </c>
      <c r="AG61">
        <v>-1.160847</v>
      </c>
      <c r="AH61">
        <v>62.918267116547597</v>
      </c>
      <c r="AI61">
        <v>91.056824521760504</v>
      </c>
      <c r="AJ61">
        <v>88.980722918324801</v>
      </c>
      <c r="AK61">
        <v>62.938930709497001</v>
      </c>
      <c r="AL61">
        <v>80.445063671938598</v>
      </c>
      <c r="AM61">
        <v>94.964063498719895</v>
      </c>
      <c r="AN61">
        <v>0.99999999990652599</v>
      </c>
    </row>
    <row r="62" spans="1:40" x14ac:dyDescent="0.25">
      <c r="A62" t="str">
        <f>"20190304155017459"</f>
        <v>20190304155017459</v>
      </c>
      <c r="B62" t="str">
        <f>"1551685817457183"</f>
        <v>1551685817457183</v>
      </c>
      <c r="C62" t="s">
        <v>40</v>
      </c>
      <c r="D62">
        <v>4.9908570000000001</v>
      </c>
      <c r="E62">
        <v>0.5391473</v>
      </c>
      <c r="F62" t="s">
        <v>42</v>
      </c>
      <c r="G62">
        <v>-414.10129999999998</v>
      </c>
      <c r="H62">
        <v>-0.05</v>
      </c>
      <c r="I62">
        <v>366.11989999999997</v>
      </c>
      <c r="J62">
        <v>-474.745</v>
      </c>
      <c r="K62">
        <v>1.1106020000000001</v>
      </c>
      <c r="L62">
        <v>367.21769999999998</v>
      </c>
      <c r="M62">
        <v>0.99994130000000003</v>
      </c>
      <c r="N62">
        <v>-1.0831779999999999E-2</v>
      </c>
      <c r="O62">
        <v>1.217279E-4</v>
      </c>
      <c r="P62">
        <v>0.98429239999999996</v>
      </c>
      <c r="Q62">
        <v>0.1547422</v>
      </c>
      <c r="R62">
        <v>8.4990800000000005E-2</v>
      </c>
      <c r="S62">
        <v>3.0620729999999998</v>
      </c>
      <c r="T62">
        <v>-5.8570860000000002E-2</v>
      </c>
      <c r="U62">
        <v>-5.5389399999999998E-2</v>
      </c>
      <c r="V62">
        <v>-8.486494E-2</v>
      </c>
      <c r="W62">
        <v>0.16539870000000001</v>
      </c>
      <c r="X62">
        <v>0.98256869999999996</v>
      </c>
      <c r="Y62">
        <v>1.8202400000000001E-2</v>
      </c>
      <c r="Z62">
        <v>-2.7367299999999999E-4</v>
      </c>
      <c r="AA62">
        <v>0.99983429999999995</v>
      </c>
      <c r="AB62">
        <v>5</v>
      </c>
      <c r="AC62">
        <v>60.643700000000003</v>
      </c>
      <c r="AD62">
        <v>-1.1606019999999999</v>
      </c>
      <c r="AE62">
        <v>-1.0978000000000001</v>
      </c>
      <c r="AF62">
        <v>1.10477794663337</v>
      </c>
      <c r="AG62">
        <v>-1.1606019999999999</v>
      </c>
      <c r="AH62">
        <v>60.6213697063993</v>
      </c>
      <c r="AI62">
        <v>91.096617215317295</v>
      </c>
      <c r="AJ62">
        <v>88.955943957486497</v>
      </c>
      <c r="AK62">
        <v>60.642542792941398</v>
      </c>
      <c r="AL62">
        <v>80.479603645370503</v>
      </c>
      <c r="AM62">
        <v>94.936413882575096</v>
      </c>
      <c r="AN62">
        <v>1.0000000191112901</v>
      </c>
    </row>
    <row r="63" spans="1:40" x14ac:dyDescent="0.25">
      <c r="A63" t="str">
        <f>"20190304155017471"</f>
        <v>20190304155017471</v>
      </c>
      <c r="B63" t="str">
        <f>"1551685817466943"</f>
        <v>1551685817466943</v>
      </c>
      <c r="C63" t="s">
        <v>40</v>
      </c>
      <c r="D63">
        <v>4.7644950000000001</v>
      </c>
      <c r="E63">
        <v>0.53914340000000005</v>
      </c>
      <c r="F63" t="s">
        <v>42</v>
      </c>
      <c r="G63">
        <v>-416.50009999999997</v>
      </c>
      <c r="H63">
        <v>-0.05</v>
      </c>
      <c r="I63">
        <v>366.07440000000003</v>
      </c>
      <c r="J63">
        <v>-474.71260000000001</v>
      </c>
      <c r="K63">
        <v>1.11032999999999</v>
      </c>
      <c r="L63">
        <v>367.21769999999998</v>
      </c>
      <c r="M63">
        <v>0.99994930000000004</v>
      </c>
      <c r="N63">
        <v>-1.0067990000000001E-2</v>
      </c>
      <c r="O63">
        <v>1.218561E-4</v>
      </c>
      <c r="P63">
        <v>0.98415980000000003</v>
      </c>
      <c r="Q63">
        <v>0.15560769999999999</v>
      </c>
      <c r="R63">
        <v>8.4946389999999997E-2</v>
      </c>
      <c r="S63">
        <v>3.0626829999999998</v>
      </c>
      <c r="T63">
        <v>-6.1027770000000002E-2</v>
      </c>
      <c r="U63">
        <v>-6.011963E-2</v>
      </c>
      <c r="V63">
        <v>-8.4820199999999998E-2</v>
      </c>
      <c r="W63">
        <v>0.1655121</v>
      </c>
      <c r="X63">
        <v>0.98255340000000002</v>
      </c>
      <c r="Y63">
        <v>1.974188E-2</v>
      </c>
      <c r="Z63">
        <v>-2.972607E-4</v>
      </c>
      <c r="AA63">
        <v>0.9998051</v>
      </c>
      <c r="AB63">
        <v>5</v>
      </c>
      <c r="AC63">
        <v>58.212499999999999</v>
      </c>
      <c r="AD63">
        <v>-1.1603300000000001</v>
      </c>
      <c r="AE63">
        <v>-1.14329999999995</v>
      </c>
      <c r="AF63">
        <v>1.14993719286328</v>
      </c>
      <c r="AG63">
        <v>-1.1603300000000001</v>
      </c>
      <c r="AH63">
        <v>58.189249930587501</v>
      </c>
      <c r="AI63">
        <v>91.142139302509506</v>
      </c>
      <c r="AJ63">
        <v>88.867866953286395</v>
      </c>
      <c r="AK63">
        <v>58.212176808128397</v>
      </c>
      <c r="AL63">
        <v>80.473014863042195</v>
      </c>
      <c r="AM63">
        <v>94.9339007494589</v>
      </c>
      <c r="AN63">
        <v>0.99999995271300302</v>
      </c>
    </row>
    <row r="64" spans="1:40" x14ac:dyDescent="0.25">
      <c r="A64" t="str">
        <f>"20190304155017484"</f>
        <v>20190304155017484</v>
      </c>
      <c r="B64" t="str">
        <f>"1551685817476704"</f>
        <v>1551685817476704</v>
      </c>
      <c r="C64" t="s">
        <v>40</v>
      </c>
      <c r="D64">
        <v>4.8947139999999996</v>
      </c>
      <c r="E64">
        <v>0.53933509999999996</v>
      </c>
      <c r="F64" t="s">
        <v>42</v>
      </c>
      <c r="G64">
        <v>-413.9511</v>
      </c>
      <c r="H64">
        <v>-0.05</v>
      </c>
      <c r="I64">
        <v>366.02199999999999</v>
      </c>
      <c r="J64">
        <v>-474.67759999999998</v>
      </c>
      <c r="K64">
        <v>1.110044</v>
      </c>
      <c r="L64">
        <v>367.21769999999998</v>
      </c>
      <c r="M64">
        <v>0.99995829999999997</v>
      </c>
      <c r="N64">
        <v>-9.1358680000000001E-3</v>
      </c>
      <c r="O64">
        <v>1.2229440000000001E-4</v>
      </c>
      <c r="P64">
        <v>0.98404259999999999</v>
      </c>
      <c r="Q64">
        <v>0.1563764</v>
      </c>
      <c r="R64">
        <v>8.4891030000000006E-2</v>
      </c>
      <c r="S64">
        <v>3.0627439999999999</v>
      </c>
      <c r="T64">
        <v>-5.8487650000000002E-2</v>
      </c>
      <c r="U64">
        <v>-6.0272220000000001E-2</v>
      </c>
      <c r="V64">
        <v>-8.4763770000000002E-2</v>
      </c>
      <c r="W64">
        <v>0.1653635</v>
      </c>
      <c r="X64">
        <v>0.98258330000000005</v>
      </c>
      <c r="Y64">
        <v>1.9792279999999999E-2</v>
      </c>
      <c r="Z64">
        <v>-2.8059649999999999E-4</v>
      </c>
      <c r="AA64">
        <v>0.99980409999999997</v>
      </c>
      <c r="AB64">
        <v>6</v>
      </c>
      <c r="AC64">
        <v>60.726499999999902</v>
      </c>
      <c r="AD64">
        <v>-1.1600440000000001</v>
      </c>
      <c r="AE64">
        <v>-1.19569999999998</v>
      </c>
      <c r="AF64">
        <v>1.20268810202419</v>
      </c>
      <c r="AG64">
        <v>-1.1600440000000001</v>
      </c>
      <c r="AH64">
        <v>60.704209984329303</v>
      </c>
      <c r="AI64">
        <v>91.094561648621294</v>
      </c>
      <c r="AJ64">
        <v>88.864989128883195</v>
      </c>
      <c r="AK64">
        <v>60.727203711139502</v>
      </c>
      <c r="AL64">
        <v>80.481648074029394</v>
      </c>
      <c r="AM64">
        <v>94.930485164040405</v>
      </c>
      <c r="AN64">
        <v>0.99999996263787505</v>
      </c>
    </row>
    <row r="65" spans="1:40" x14ac:dyDescent="0.25">
      <c r="A65" t="str">
        <f>"20190304155017505"</f>
        <v>20190304155017505</v>
      </c>
      <c r="B65" t="str">
        <f>"1551685817496223"</f>
        <v>1551685817496223</v>
      </c>
      <c r="C65" t="s">
        <v>40</v>
      </c>
      <c r="D65">
        <v>4.7732070000000002</v>
      </c>
      <c r="E65">
        <v>0.53936569999999995</v>
      </c>
      <c r="F65" t="s">
        <v>42</v>
      </c>
      <c r="G65">
        <v>-413.39100000000002</v>
      </c>
      <c r="H65">
        <v>-0.05</v>
      </c>
      <c r="I65">
        <v>365.9776</v>
      </c>
      <c r="J65">
        <v>-474.62110000000001</v>
      </c>
      <c r="K65">
        <v>1.109734</v>
      </c>
      <c r="L65">
        <v>367.21769999999998</v>
      </c>
      <c r="M65">
        <v>0.99996879999999999</v>
      </c>
      <c r="N65">
        <v>-7.9254200000000007E-3</v>
      </c>
      <c r="O65">
        <v>1.228921E-4</v>
      </c>
      <c r="P65">
        <v>0.98384970000000005</v>
      </c>
      <c r="Q65">
        <v>0.15781510000000001</v>
      </c>
      <c r="R65">
        <v>8.4466719999999995E-2</v>
      </c>
      <c r="S65">
        <v>3.0631710000000001</v>
      </c>
      <c r="T65">
        <v>-5.7980299999999999E-2</v>
      </c>
      <c r="U65">
        <v>-6.19812E-2</v>
      </c>
      <c r="V65">
        <v>-8.4338999999999997E-2</v>
      </c>
      <c r="W65">
        <v>0.16561129999999999</v>
      </c>
      <c r="X65">
        <v>0.98257819999999996</v>
      </c>
      <c r="Y65">
        <v>2.0347879999999999E-2</v>
      </c>
      <c r="Z65">
        <v>-2.7454170000000002E-4</v>
      </c>
      <c r="AA65">
        <v>0.99979289999999998</v>
      </c>
      <c r="AB65">
        <v>6</v>
      </c>
      <c r="AC65">
        <v>61.2301</v>
      </c>
      <c r="AD65">
        <v>-1.159734</v>
      </c>
      <c r="AE65">
        <v>-1.24009999999998</v>
      </c>
      <c r="AF65">
        <v>1.24717768460636</v>
      </c>
      <c r="AG65">
        <v>-1.159734</v>
      </c>
      <c r="AH65">
        <v>61.2079980245841</v>
      </c>
      <c r="AI65">
        <v>91.085252432954405</v>
      </c>
      <c r="AJ65">
        <v>88.832699434750893</v>
      </c>
      <c r="AK65">
        <v>61.2316867096214</v>
      </c>
      <c r="AL65">
        <v>80.467252466753493</v>
      </c>
      <c r="AM65">
        <v>94.905923639062095</v>
      </c>
      <c r="AN65">
        <v>1.0000000443619601</v>
      </c>
    </row>
    <row r="66" spans="1:40" x14ac:dyDescent="0.25">
      <c r="A66" t="str">
        <f>"20190304155017517"</f>
        <v>20190304155017517</v>
      </c>
      <c r="B66" t="str">
        <f>"1551685817506959"</f>
        <v>1551685817506959</v>
      </c>
      <c r="C66" t="s">
        <v>40</v>
      </c>
      <c r="D66">
        <v>4.8065629999999997</v>
      </c>
      <c r="E66">
        <v>0.53940089999999996</v>
      </c>
      <c r="F66" t="s">
        <v>42</v>
      </c>
      <c r="G66">
        <v>-408.45319999999998</v>
      </c>
      <c r="H66">
        <v>-0.05</v>
      </c>
      <c r="I66">
        <v>365.8519</v>
      </c>
      <c r="J66">
        <v>-474.5872</v>
      </c>
      <c r="K66">
        <v>1.1096269999999999</v>
      </c>
      <c r="L66">
        <v>367.21769999999998</v>
      </c>
      <c r="M66">
        <v>0.99997290000000005</v>
      </c>
      <c r="N66">
        <v>-7.3800159999999997E-3</v>
      </c>
      <c r="O66">
        <v>1.2332240000000001E-4</v>
      </c>
      <c r="P66">
        <v>0.98376669999999999</v>
      </c>
      <c r="Q66">
        <v>0.15849649999999901</v>
      </c>
      <c r="R66">
        <v>8.4155690000000005E-2</v>
      </c>
      <c r="S66">
        <v>3.0633240000000002</v>
      </c>
      <c r="T66">
        <v>-5.3691269999999999E-2</v>
      </c>
      <c r="U66">
        <v>-6.3232419999999998E-2</v>
      </c>
      <c r="V66">
        <v>-8.4027699999999997E-2</v>
      </c>
      <c r="W66">
        <v>0.16575570000000001</v>
      </c>
      <c r="X66">
        <v>0.98258049999999997</v>
      </c>
      <c r="Y66">
        <v>2.0756139999999999E-2</v>
      </c>
      <c r="Z66">
        <v>-2.5972339999999998E-4</v>
      </c>
      <c r="AA66">
        <v>0.99978449999999996</v>
      </c>
      <c r="AB66">
        <v>6</v>
      </c>
      <c r="AC66">
        <v>66.134</v>
      </c>
      <c r="AD66">
        <v>-1.159627</v>
      </c>
      <c r="AE66">
        <v>-1.3657999999999699</v>
      </c>
      <c r="AF66">
        <v>1.3735338890150199</v>
      </c>
      <c r="AG66">
        <v>-1.159627</v>
      </c>
      <c r="AH66">
        <v>66.113512537550307</v>
      </c>
      <c r="AI66">
        <v>91.004644714739896</v>
      </c>
      <c r="AJ66">
        <v>88.809829150572597</v>
      </c>
      <c r="AK66">
        <v>66.137945766225798</v>
      </c>
      <c r="AL66">
        <v>80.4588627971725</v>
      </c>
      <c r="AM66">
        <v>94.887892103719594</v>
      </c>
      <c r="AN66">
        <v>1.0000000227150101</v>
      </c>
    </row>
    <row r="67" spans="1:40" x14ac:dyDescent="0.25">
      <c r="A67" t="str">
        <f>"20190304155017537"</f>
        <v>20190304155017537</v>
      </c>
      <c r="B67" t="str">
        <f>"1551685817526482"</f>
        <v>1551685817526482</v>
      </c>
      <c r="C67" t="s">
        <v>40</v>
      </c>
      <c r="D67">
        <v>4.8259720000000002</v>
      </c>
      <c r="E67">
        <v>0.53943260000000004</v>
      </c>
      <c r="F67" t="s">
        <v>42</v>
      </c>
      <c r="G67">
        <v>-406.03989999999999</v>
      </c>
      <c r="H67">
        <v>-0.05</v>
      </c>
      <c r="I67">
        <v>365.77820000000003</v>
      </c>
      <c r="J67">
        <v>-474.53429999999997</v>
      </c>
      <c r="K67">
        <v>1.109718</v>
      </c>
      <c r="L67">
        <v>367.21769999999998</v>
      </c>
      <c r="M67">
        <v>0.99997250000000004</v>
      </c>
      <c r="N67">
        <v>-7.4231540000000004E-3</v>
      </c>
      <c r="O67">
        <v>1.2352239999999999E-4</v>
      </c>
      <c r="P67">
        <v>0.98382849999999999</v>
      </c>
      <c r="Q67">
        <v>0.15823899999999999</v>
      </c>
      <c r="R67">
        <v>8.3915719999999999E-2</v>
      </c>
      <c r="S67">
        <v>3.0633240000000002</v>
      </c>
      <c r="T67">
        <v>-5.1822779999999999E-2</v>
      </c>
      <c r="U67">
        <v>-6.4331050000000001E-2</v>
      </c>
      <c r="V67">
        <v>-8.3787589999999995E-2</v>
      </c>
      <c r="W67">
        <v>0.165541299999999</v>
      </c>
      <c r="X67">
        <v>0.98263710000000004</v>
      </c>
      <c r="Y67">
        <v>2.1114919999999999E-2</v>
      </c>
      <c r="Z67">
        <v>-2.5812989999999999E-4</v>
      </c>
      <c r="AA67">
        <v>0.99977700000000003</v>
      </c>
      <c r="AB67">
        <v>6</v>
      </c>
      <c r="AC67">
        <v>68.494399999999899</v>
      </c>
      <c r="AD67">
        <v>-1.159718</v>
      </c>
      <c r="AE67">
        <v>-1.43949999999995</v>
      </c>
      <c r="AF67">
        <v>1.4475460176274999</v>
      </c>
      <c r="AG67">
        <v>-1.159718</v>
      </c>
      <c r="AH67">
        <v>68.474600153673606</v>
      </c>
      <c r="AI67">
        <v>90.970078777878001</v>
      </c>
      <c r="AJ67">
        <v>88.788953485248598</v>
      </c>
      <c r="AK67">
        <v>68.499716798817204</v>
      </c>
      <c r="AL67">
        <v>80.471318650911797</v>
      </c>
      <c r="AM67">
        <v>94.873712892588102</v>
      </c>
      <c r="AN67">
        <v>0.99999997627005299</v>
      </c>
    </row>
    <row r="68" spans="1:40" x14ac:dyDescent="0.25">
      <c r="A68" t="str">
        <f>"20190304155017551"</f>
        <v>20190304155017551</v>
      </c>
      <c r="B68" t="str">
        <f>"1551685817546976"</f>
        <v>1551685817546976</v>
      </c>
      <c r="C68" t="s">
        <v>40</v>
      </c>
      <c r="D68">
        <v>4.8092829999999998</v>
      </c>
      <c r="E68">
        <v>0.53943039999999998</v>
      </c>
      <c r="F68" t="s">
        <v>42</v>
      </c>
      <c r="G68">
        <v>-406.77730000000003</v>
      </c>
      <c r="H68">
        <v>-0.05</v>
      </c>
      <c r="I68">
        <v>365.78129999999999</v>
      </c>
      <c r="J68">
        <v>-474.4984</v>
      </c>
      <c r="K68">
        <v>1.1099920000000001</v>
      </c>
      <c r="L68">
        <v>367.21769999999998</v>
      </c>
      <c r="M68">
        <v>0.99996640000000003</v>
      </c>
      <c r="N68">
        <v>-8.2073319999999995E-3</v>
      </c>
      <c r="O68">
        <v>1.227697E-4</v>
      </c>
      <c r="P68">
        <v>0.98398680000000005</v>
      </c>
      <c r="Q68">
        <v>0.1574776</v>
      </c>
      <c r="R68">
        <v>8.3492609999999995E-2</v>
      </c>
      <c r="S68">
        <v>3.0632929999999998</v>
      </c>
      <c r="T68">
        <v>-5.2430869999999997E-2</v>
      </c>
      <c r="U68">
        <v>-6.4941410000000005E-2</v>
      </c>
      <c r="V68">
        <v>-8.336528E-2</v>
      </c>
      <c r="W68">
        <v>0.16555159999999999</v>
      </c>
      <c r="X68">
        <v>0.98267130000000003</v>
      </c>
      <c r="Y68">
        <v>2.1313229999999999E-2</v>
      </c>
      <c r="Z68">
        <v>-2.7093979999999999E-4</v>
      </c>
      <c r="AA68">
        <v>0.99977280000000002</v>
      </c>
      <c r="AB68">
        <v>6</v>
      </c>
      <c r="AC68">
        <v>67.721099999999893</v>
      </c>
      <c r="AD68">
        <v>-1.1599919999999999</v>
      </c>
      <c r="AE68">
        <v>-1.4363999999999899</v>
      </c>
      <c r="AF68">
        <v>1.4442908014151901</v>
      </c>
      <c r="AG68">
        <v>-1.1599919999999999</v>
      </c>
      <c r="AH68">
        <v>67.701068490544202</v>
      </c>
      <c r="AI68">
        <v>90.981388184825306</v>
      </c>
      <c r="AJ68">
        <v>88.777874281611403</v>
      </c>
      <c r="AK68">
        <v>67.726407199263605</v>
      </c>
      <c r="AL68">
        <v>80.470720408582196</v>
      </c>
      <c r="AM68">
        <v>94.849097654117301</v>
      </c>
      <c r="AN68">
        <v>0.99999999300786402</v>
      </c>
    </row>
    <row r="69" spans="1:40" x14ac:dyDescent="0.25">
      <c r="A69" t="str">
        <f>"20190304155017572"</f>
        <v>20190304155017572</v>
      </c>
      <c r="B69" t="str">
        <f>"1551685817566495"</f>
        <v>1551685817566495</v>
      </c>
      <c r="C69" t="s">
        <v>40</v>
      </c>
      <c r="D69">
        <v>4.7866629999999999</v>
      </c>
      <c r="E69">
        <v>0.53945569999999998</v>
      </c>
      <c r="F69" t="s">
        <v>42</v>
      </c>
      <c r="G69">
        <v>-409.54660000000001</v>
      </c>
      <c r="H69">
        <v>-0.05</v>
      </c>
      <c r="I69">
        <v>365.81540000000001</v>
      </c>
      <c r="J69">
        <v>-474.44979999999998</v>
      </c>
      <c r="K69">
        <v>1.1104290000000001</v>
      </c>
      <c r="L69">
        <v>367.21769999999998</v>
      </c>
      <c r="M69">
        <v>0.99995290000000003</v>
      </c>
      <c r="N69">
        <v>-9.7109710000000005E-3</v>
      </c>
      <c r="O69">
        <v>1.214322E-4</v>
      </c>
      <c r="P69">
        <v>0.98427480000000001</v>
      </c>
      <c r="Q69">
        <v>0.1559151</v>
      </c>
      <c r="R69">
        <v>8.3029640000000002E-2</v>
      </c>
      <c r="S69">
        <v>3.0631710000000001</v>
      </c>
      <c r="T69">
        <v>-5.4705980000000001E-2</v>
      </c>
      <c r="U69">
        <v>-6.6131590000000004E-2</v>
      </c>
      <c r="V69">
        <v>-8.2903450000000004E-2</v>
      </c>
      <c r="W69">
        <v>0.16546930000000001</v>
      </c>
      <c r="X69">
        <v>0.98272420000000005</v>
      </c>
      <c r="Y69">
        <v>2.1700290000000001E-2</v>
      </c>
      <c r="Z69">
        <v>-3.0012000000000002E-4</v>
      </c>
      <c r="AA69">
        <v>0.99976449999999994</v>
      </c>
      <c r="AB69">
        <v>6</v>
      </c>
      <c r="AC69">
        <v>64.903199999999899</v>
      </c>
      <c r="AD69">
        <v>-1.1604289999999999</v>
      </c>
      <c r="AE69">
        <v>-1.4022999999999599</v>
      </c>
      <c r="AF69">
        <v>1.40973125751644</v>
      </c>
      <c r="AG69">
        <v>-1.1604289999999999</v>
      </c>
      <c r="AH69">
        <v>64.882297837228194</v>
      </c>
      <c r="AI69">
        <v>91.024392091982307</v>
      </c>
      <c r="AJ69">
        <v>88.755300794942002</v>
      </c>
      <c r="AK69">
        <v>64.907984950399197</v>
      </c>
      <c r="AL69">
        <v>80.475501500455394</v>
      </c>
      <c r="AM69">
        <v>94.822103119043007</v>
      </c>
      <c r="AN69">
        <v>0.99999996226501497</v>
      </c>
    </row>
    <row r="70" spans="1:40" x14ac:dyDescent="0.25">
      <c r="A70" t="str">
        <f>"20190304155017594"</f>
        <v>20190304155017594</v>
      </c>
      <c r="B70" t="str">
        <f>"1551685817586991"</f>
        <v>1551685817586991</v>
      </c>
      <c r="C70" t="s">
        <v>40</v>
      </c>
      <c r="D70">
        <v>4.7950949999999999</v>
      </c>
      <c r="E70">
        <v>0.53942129999999999</v>
      </c>
      <c r="F70" t="s">
        <v>42</v>
      </c>
      <c r="G70">
        <v>-414.93329999999997</v>
      </c>
      <c r="H70">
        <v>-0.05</v>
      </c>
      <c r="I70">
        <v>365.90309999999999</v>
      </c>
      <c r="J70">
        <v>-474.39370000000002</v>
      </c>
      <c r="K70">
        <v>1.110544</v>
      </c>
      <c r="L70">
        <v>367.21769999999998</v>
      </c>
      <c r="M70">
        <v>0.99994669999999997</v>
      </c>
      <c r="N70">
        <v>-1.0341390000000001E-2</v>
      </c>
      <c r="O70">
        <v>1.2028830000000001E-4</v>
      </c>
      <c r="P70">
        <v>0.98441730000000005</v>
      </c>
      <c r="Q70">
        <v>0.1552742</v>
      </c>
      <c r="R70">
        <v>8.2539600000000005E-2</v>
      </c>
      <c r="S70">
        <v>3.0631409999999999</v>
      </c>
      <c r="T70">
        <v>-5.9723850000000002E-2</v>
      </c>
      <c r="U70">
        <v>-6.7657469999999997E-2</v>
      </c>
      <c r="V70">
        <v>-8.2414989999999994E-2</v>
      </c>
      <c r="W70">
        <v>0.1654495</v>
      </c>
      <c r="X70">
        <v>0.98276870000000005</v>
      </c>
      <c r="Y70">
        <v>2.2196029999999999E-2</v>
      </c>
      <c r="Z70">
        <v>-3.3224140000000002E-4</v>
      </c>
      <c r="AA70">
        <v>0.99975360000000002</v>
      </c>
      <c r="AB70">
        <v>5</v>
      </c>
      <c r="AC70">
        <v>59.4604</v>
      </c>
      <c r="AD70">
        <v>-1.160544</v>
      </c>
      <c r="AE70">
        <v>-1.31459999999998</v>
      </c>
      <c r="AF70">
        <v>1.32124967842982</v>
      </c>
      <c r="AG70">
        <v>-1.160544</v>
      </c>
      <c r="AH70">
        <v>59.437609756641997</v>
      </c>
      <c r="AI70">
        <v>91.1183055463259</v>
      </c>
      <c r="AJ70">
        <v>88.726571185957098</v>
      </c>
      <c r="AK70">
        <v>59.463619269865802</v>
      </c>
      <c r="AL70">
        <v>80.476652584927805</v>
      </c>
      <c r="AM70">
        <v>94.793608444991705</v>
      </c>
      <c r="AN70">
        <v>1.00000004266331</v>
      </c>
    </row>
    <row r="71" spans="1:40" x14ac:dyDescent="0.25">
      <c r="A71" t="str">
        <f>"20190304155017616"</f>
        <v>20190304155017616</v>
      </c>
      <c r="B71" t="str">
        <f>"1551685817606511"</f>
        <v>1551685817606511</v>
      </c>
      <c r="C71" t="s">
        <v>40</v>
      </c>
      <c r="D71">
        <v>4.8102340000000003</v>
      </c>
      <c r="E71">
        <v>0.53939939999999997</v>
      </c>
      <c r="F71" t="s">
        <v>42</v>
      </c>
      <c r="G71">
        <v>-417.03570000000002</v>
      </c>
      <c r="H71">
        <v>-0.05</v>
      </c>
      <c r="I71">
        <v>365.9273</v>
      </c>
      <c r="J71">
        <v>-474.33359999999999</v>
      </c>
      <c r="K71">
        <v>1.1101909999999999</v>
      </c>
      <c r="L71">
        <v>367.21769999999998</v>
      </c>
      <c r="M71">
        <v>0.99995690000000004</v>
      </c>
      <c r="N71">
        <v>-9.2903910000000003E-3</v>
      </c>
      <c r="O71">
        <v>1.208756E-4</v>
      </c>
      <c r="P71">
        <v>0.98426579999999997</v>
      </c>
      <c r="Q71">
        <v>0.15637889999999999</v>
      </c>
      <c r="R71">
        <v>8.2260120000000006E-2</v>
      </c>
      <c r="S71">
        <v>3.06311</v>
      </c>
      <c r="T71">
        <v>-6.1977030000000002E-2</v>
      </c>
      <c r="U71">
        <v>-6.8908689999999995E-2</v>
      </c>
      <c r="V71">
        <v>-8.2135180000000002E-2</v>
      </c>
      <c r="W71">
        <v>0.16551959999999999</v>
      </c>
      <c r="X71">
        <v>0.98278030000000005</v>
      </c>
      <c r="Y71">
        <v>2.2604719999999998E-2</v>
      </c>
      <c r="Z71">
        <v>-3.3498939999999997E-4</v>
      </c>
      <c r="AA71">
        <v>0.99974439999999998</v>
      </c>
      <c r="AB71">
        <v>5</v>
      </c>
      <c r="AC71">
        <v>57.297899999999899</v>
      </c>
      <c r="AD71">
        <v>-1.160191</v>
      </c>
      <c r="AE71">
        <v>-1.29039999999997</v>
      </c>
      <c r="AF71">
        <v>1.29679479353993</v>
      </c>
      <c r="AG71">
        <v>-1.160191</v>
      </c>
      <c r="AH71">
        <v>57.2742731721833</v>
      </c>
      <c r="AI71">
        <v>91.160170675772306</v>
      </c>
      <c r="AJ71">
        <v>88.702939880260999</v>
      </c>
      <c r="AK71">
        <v>57.300698837753401</v>
      </c>
      <c r="AL71">
        <v>80.472579800268704</v>
      </c>
      <c r="AM71">
        <v>94.777352826896106</v>
      </c>
      <c r="AN71">
        <v>1.0000000219229399</v>
      </c>
    </row>
    <row r="72" spans="1:40" x14ac:dyDescent="0.25">
      <c r="A72" t="str">
        <f>"20190304155017629"</f>
        <v>20190304155017629</v>
      </c>
      <c r="B72" t="str">
        <f>"1551685817627008"</f>
        <v>1551685817627008</v>
      </c>
      <c r="C72" t="s">
        <v>40</v>
      </c>
      <c r="D72">
        <v>4.8203279999999999</v>
      </c>
      <c r="E72">
        <v>0.53938409999999903</v>
      </c>
      <c r="F72" t="s">
        <v>42</v>
      </c>
      <c r="G72">
        <v>-412.98039999999997</v>
      </c>
      <c r="H72">
        <v>-0.05</v>
      </c>
      <c r="I72">
        <v>365.827</v>
      </c>
      <c r="J72">
        <v>-474.29489999999998</v>
      </c>
      <c r="K72">
        <v>1.1099209999999999</v>
      </c>
      <c r="L72">
        <v>367.21769999999998</v>
      </c>
      <c r="M72">
        <v>0.99996510000000005</v>
      </c>
      <c r="N72">
        <v>-8.3693299999999995E-3</v>
      </c>
      <c r="O72">
        <v>1.219197E-4</v>
      </c>
      <c r="P72">
        <v>0.9841396</v>
      </c>
      <c r="Q72">
        <v>0.15732650000000001</v>
      </c>
      <c r="R72">
        <v>8.1961809999999996E-2</v>
      </c>
      <c r="S72">
        <v>3.0629580000000001</v>
      </c>
      <c r="T72">
        <v>-5.7920689999999997E-2</v>
      </c>
      <c r="U72">
        <v>-6.9427489999999994E-2</v>
      </c>
      <c r="V72">
        <v>-8.1835610000000003E-2</v>
      </c>
      <c r="W72">
        <v>0.16556100000000001</v>
      </c>
      <c r="X72">
        <v>0.98279830000000001</v>
      </c>
      <c r="Y72">
        <v>2.277701E-2</v>
      </c>
      <c r="Z72">
        <v>-3.1193539999999997E-4</v>
      </c>
      <c r="AA72">
        <v>0.99974050000000003</v>
      </c>
      <c r="AB72">
        <v>6</v>
      </c>
      <c r="AC72">
        <v>61.314500000000002</v>
      </c>
      <c r="AD72">
        <v>-1.159921</v>
      </c>
      <c r="AE72">
        <v>-1.3906999999999801</v>
      </c>
      <c r="AF72">
        <v>1.39767576099289</v>
      </c>
      <c r="AG72">
        <v>-1.159921</v>
      </c>
      <c r="AH72">
        <v>61.292406289797903</v>
      </c>
      <c r="AI72">
        <v>91.083876189232697</v>
      </c>
      <c r="AJ72">
        <v>88.693687345018503</v>
      </c>
      <c r="AK72">
        <v>61.319311664864301</v>
      </c>
      <c r="AL72">
        <v>80.470174408665699</v>
      </c>
      <c r="AM72">
        <v>94.759921913417699</v>
      </c>
      <c r="AN72">
        <v>1.0000000051339799</v>
      </c>
    </row>
    <row r="73" spans="1:40" x14ac:dyDescent="0.25">
      <c r="A73" t="str">
        <f>"20190304155017642"</f>
        <v>20190304155017642</v>
      </c>
      <c r="B73" t="str">
        <f>"1551685817636767"</f>
        <v>1551685817636767</v>
      </c>
      <c r="C73" t="s">
        <v>40</v>
      </c>
      <c r="D73">
        <v>4.8846660000000002</v>
      </c>
      <c r="E73">
        <v>0.53945310000000002</v>
      </c>
      <c r="F73" t="s">
        <v>42</v>
      </c>
      <c r="G73">
        <v>-409.66789999999997</v>
      </c>
      <c r="H73">
        <v>-0.05</v>
      </c>
      <c r="I73">
        <v>365.73610000000002</v>
      </c>
      <c r="J73">
        <v>-474.25659999999999</v>
      </c>
      <c r="K73">
        <v>1.1097269999999999</v>
      </c>
      <c r="L73">
        <v>367.21769999999998</v>
      </c>
      <c r="M73">
        <v>0.99997130000000001</v>
      </c>
      <c r="N73">
        <v>-7.5932129999999997E-3</v>
      </c>
      <c r="O73">
        <v>1.2402100000000001E-4</v>
      </c>
      <c r="P73">
        <v>0.98402579999999995</v>
      </c>
      <c r="Q73">
        <v>0.15812570000000001</v>
      </c>
      <c r="R73">
        <v>8.1792030000000002E-2</v>
      </c>
      <c r="S73">
        <v>3.0629879999999998</v>
      </c>
      <c r="T73">
        <v>-5.497432E-2</v>
      </c>
      <c r="U73">
        <v>-7.0220950000000004E-2</v>
      </c>
      <c r="V73">
        <v>-8.1664059999999997E-2</v>
      </c>
      <c r="W73">
        <v>0.1655963</v>
      </c>
      <c r="X73">
        <v>0.98280659999999997</v>
      </c>
      <c r="Y73">
        <v>2.3038309999999999E-2</v>
      </c>
      <c r="Z73">
        <v>-2.9547539999999999E-4</v>
      </c>
      <c r="AA73">
        <v>0.99973449999999997</v>
      </c>
      <c r="AB73">
        <v>6</v>
      </c>
      <c r="AC73">
        <v>64.588700000000003</v>
      </c>
      <c r="AD73">
        <v>-1.159727</v>
      </c>
      <c r="AE73">
        <v>-1.4815999999999501</v>
      </c>
      <c r="AF73">
        <v>1.48913072658108</v>
      </c>
      <c r="AG73">
        <v>-1.159727</v>
      </c>
      <c r="AH73">
        <v>64.567709903012599</v>
      </c>
      <c r="AI73">
        <v>91.028728744187902</v>
      </c>
      <c r="AJ73">
        <v>88.678816653657407</v>
      </c>
      <c r="AK73">
        <v>64.5952911531094</v>
      </c>
      <c r="AL73">
        <v>80.468123347302594</v>
      </c>
      <c r="AM73">
        <v>94.749949577571201</v>
      </c>
      <c r="AN73">
        <v>0.99999998313646599</v>
      </c>
    </row>
    <row r="74" spans="1:40" x14ac:dyDescent="0.25">
      <c r="A74" t="str">
        <f>"20190304155017659"</f>
        <v>20190304155017659</v>
      </c>
      <c r="B74" t="str">
        <f>"1551685817656287"</f>
        <v>1551685817656287</v>
      </c>
      <c r="C74" t="s">
        <v>40</v>
      </c>
      <c r="D74">
        <v>4.9083170000000003</v>
      </c>
      <c r="E74">
        <v>0.53949789999999997</v>
      </c>
      <c r="F74" t="s">
        <v>42</v>
      </c>
      <c r="G74">
        <v>-407.16500000000002</v>
      </c>
      <c r="H74">
        <v>-0.05</v>
      </c>
      <c r="I74">
        <v>365.65629999999999</v>
      </c>
      <c r="J74">
        <v>-474.20600000000002</v>
      </c>
      <c r="K74">
        <v>1.109556</v>
      </c>
      <c r="L74">
        <v>367.21769999999998</v>
      </c>
      <c r="M74">
        <v>0.99997709999999995</v>
      </c>
      <c r="N74">
        <v>-6.7672829999999998E-3</v>
      </c>
      <c r="O74">
        <v>1.2736449999999999E-4</v>
      </c>
      <c r="P74">
        <v>0.98390770000000005</v>
      </c>
      <c r="Q74">
        <v>0.15892539999999999</v>
      </c>
      <c r="R74">
        <v>8.1660350000000007E-2</v>
      </c>
      <c r="S74">
        <v>3.06311</v>
      </c>
      <c r="T74">
        <v>-5.2948120000000001E-2</v>
      </c>
      <c r="U74">
        <v>-7.1289060000000001E-2</v>
      </c>
      <c r="V74">
        <v>-8.1529270000000001E-2</v>
      </c>
      <c r="W74">
        <v>0.1655836</v>
      </c>
      <c r="X74">
        <v>0.98282000000000003</v>
      </c>
      <c r="Y74">
        <v>2.3389589999999998E-2</v>
      </c>
      <c r="Z74">
        <v>-2.8261189999999998E-4</v>
      </c>
      <c r="AA74">
        <v>0.99972640000000002</v>
      </c>
      <c r="AB74">
        <v>6</v>
      </c>
      <c r="AC74">
        <v>67.040999999999897</v>
      </c>
      <c r="AD74">
        <v>-1.159556</v>
      </c>
      <c r="AE74">
        <v>-1.5613999999999899</v>
      </c>
      <c r="AF74">
        <v>1.5694695594041499</v>
      </c>
      <c r="AG74">
        <v>-1.159556</v>
      </c>
      <c r="AH74">
        <v>67.020761571433098</v>
      </c>
      <c r="AI74">
        <v>90.990929251714704</v>
      </c>
      <c r="AJ74">
        <v>88.658511968305305</v>
      </c>
      <c r="AK74">
        <v>67.049163204546502</v>
      </c>
      <c r="AL74">
        <v>80.468861846825206</v>
      </c>
      <c r="AM74">
        <v>94.742081007453905</v>
      </c>
      <c r="AN74">
        <v>1.00000005142784</v>
      </c>
    </row>
    <row r="75" spans="1:40" x14ac:dyDescent="0.25">
      <c r="A75" t="str">
        <f>"20190304155017672"</f>
        <v>20190304155017672</v>
      </c>
      <c r="B75" t="str">
        <f>"1551685817667023"</f>
        <v>1551685817667023</v>
      </c>
      <c r="C75" t="s">
        <v>40</v>
      </c>
      <c r="D75">
        <v>4.80349</v>
      </c>
      <c r="E75">
        <v>0.53948680000000004</v>
      </c>
      <c r="F75" t="s">
        <v>42</v>
      </c>
      <c r="G75">
        <v>-404.75979999999998</v>
      </c>
      <c r="H75">
        <v>-0.05</v>
      </c>
      <c r="I75">
        <v>365.5856</v>
      </c>
      <c r="J75">
        <v>-474.16669999999999</v>
      </c>
      <c r="K75">
        <v>1.1094729999999999</v>
      </c>
      <c r="L75">
        <v>367.21769999999998</v>
      </c>
      <c r="M75">
        <v>0.9999806</v>
      </c>
      <c r="N75">
        <v>-6.2431090000000002E-3</v>
      </c>
      <c r="O75">
        <v>1.3027629999999999E-4</v>
      </c>
      <c r="P75">
        <v>0.98385040000000001</v>
      </c>
      <c r="Q75">
        <v>0.1592819</v>
      </c>
      <c r="R75">
        <v>8.1655640000000002E-2</v>
      </c>
      <c r="S75">
        <v>3.0632929999999998</v>
      </c>
      <c r="T75">
        <v>-5.1148409999999998E-2</v>
      </c>
      <c r="U75">
        <v>-7.1990970000000001E-2</v>
      </c>
      <c r="V75">
        <v>-8.1521640000000006E-2</v>
      </c>
      <c r="W75">
        <v>0.16542370000000001</v>
      </c>
      <c r="X75">
        <v>0.98284749999999999</v>
      </c>
      <c r="Y75">
        <v>2.3620390000000002E-2</v>
      </c>
      <c r="Z75">
        <v>-2.7226810000000002E-4</v>
      </c>
      <c r="AA75">
        <v>0.99972099999999997</v>
      </c>
      <c r="AB75">
        <v>7</v>
      </c>
      <c r="AC75">
        <v>69.406899999999993</v>
      </c>
      <c r="AD75">
        <v>-1.159473</v>
      </c>
      <c r="AE75">
        <v>-1.6320999999999799</v>
      </c>
      <c r="AF75">
        <v>1.6406846198157501</v>
      </c>
      <c r="AG75">
        <v>-1.159473</v>
      </c>
      <c r="AH75">
        <v>69.387333434974707</v>
      </c>
      <c r="AI75">
        <v>90.957064717744103</v>
      </c>
      <c r="AJ75">
        <v>88.645476253843299</v>
      </c>
      <c r="AK75">
        <v>69.416412071467605</v>
      </c>
      <c r="AL75">
        <v>80.478150995401904</v>
      </c>
      <c r="AM75">
        <v>94.741507172749607</v>
      </c>
      <c r="AN75">
        <v>0.99999999328311395</v>
      </c>
    </row>
    <row r="76" spans="1:40" x14ac:dyDescent="0.25">
      <c r="A76" t="str">
        <f>"20190304155017695"</f>
        <v>20190304155017695</v>
      </c>
      <c r="B76" t="str">
        <f>"1551685817686838"</f>
        <v>1551685817686838</v>
      </c>
      <c r="C76" t="s">
        <v>40</v>
      </c>
      <c r="D76">
        <v>4.7993370000000004</v>
      </c>
      <c r="E76">
        <v>0.53946969999999905</v>
      </c>
      <c r="F76" t="s">
        <v>42</v>
      </c>
      <c r="G76">
        <v>-403.024</v>
      </c>
      <c r="H76">
        <v>-0.05</v>
      </c>
      <c r="I76">
        <v>365.54430000000002</v>
      </c>
      <c r="J76">
        <v>-474.09730000000002</v>
      </c>
      <c r="K76">
        <v>1.109542</v>
      </c>
      <c r="L76">
        <v>367.21769999999998</v>
      </c>
      <c r="M76">
        <v>0.99998169999999997</v>
      </c>
      <c r="N76">
        <v>-6.0692389999999997E-3</v>
      </c>
      <c r="O76">
        <v>1.3589019999999999E-4</v>
      </c>
      <c r="P76">
        <v>0.98395120000000003</v>
      </c>
      <c r="Q76">
        <v>0.15874959999999999</v>
      </c>
      <c r="R76">
        <v>8.1478309999999998E-2</v>
      </c>
      <c r="S76">
        <v>3.0632929999999998</v>
      </c>
      <c r="T76">
        <v>-4.9925089999999998E-2</v>
      </c>
      <c r="U76">
        <v>-7.2052000000000005E-2</v>
      </c>
      <c r="V76">
        <v>-8.1339190000000006E-2</v>
      </c>
      <c r="W76">
        <v>0.16472110000000001</v>
      </c>
      <c r="X76">
        <v>0.98298059999999998</v>
      </c>
      <c r="Y76">
        <v>2.3646130000000001E-2</v>
      </c>
      <c r="Z76">
        <v>-2.658149E-4</v>
      </c>
      <c r="AA76">
        <v>0.99972030000000001</v>
      </c>
      <c r="AB76">
        <v>7</v>
      </c>
      <c r="AC76">
        <v>71.073300000000003</v>
      </c>
      <c r="AD76">
        <v>-1.1595420000000001</v>
      </c>
      <c r="AE76">
        <v>-1.67339999999995</v>
      </c>
      <c r="AF76">
        <v>1.6826107128711101</v>
      </c>
      <c r="AG76">
        <v>-1.1595420000000001</v>
      </c>
      <c r="AH76">
        <v>71.054169891661303</v>
      </c>
      <c r="AI76">
        <v>90.934672108153904</v>
      </c>
      <c r="AJ76">
        <v>88.643450794577902</v>
      </c>
      <c r="AK76">
        <v>71.083547853591995</v>
      </c>
      <c r="AL76">
        <v>80.518966841740607</v>
      </c>
      <c r="AM76">
        <v>94.730305951076403</v>
      </c>
      <c r="AN76">
        <v>0.99999998229571196</v>
      </c>
    </row>
    <row r="77" spans="1:40" x14ac:dyDescent="0.25">
      <c r="A77" t="str">
        <f>"20190304155017707"</f>
        <v>20190304155017707</v>
      </c>
      <c r="B77" t="str">
        <f>"1551685817696597"</f>
        <v>1551685817696597</v>
      </c>
      <c r="C77" t="s">
        <v>40</v>
      </c>
      <c r="D77">
        <v>4.8244439999999997</v>
      </c>
      <c r="E77">
        <v>0.53945609999999999</v>
      </c>
      <c r="F77" t="s">
        <v>42</v>
      </c>
      <c r="G77">
        <v>-404.58609999999999</v>
      </c>
      <c r="H77">
        <v>-0.05</v>
      </c>
      <c r="I77">
        <v>365.57150000000001</v>
      </c>
      <c r="J77">
        <v>-474.06009999999998</v>
      </c>
      <c r="K77">
        <v>1.109783</v>
      </c>
      <c r="L77">
        <v>367.21769999999998</v>
      </c>
      <c r="M77">
        <v>0.99997769999999997</v>
      </c>
      <c r="N77">
        <v>-6.6869159999999898E-3</v>
      </c>
      <c r="O77">
        <v>1.37787099999999E-4</v>
      </c>
      <c r="P77">
        <v>0.98405900000000002</v>
      </c>
      <c r="Q77">
        <v>0.15800529999999999</v>
      </c>
      <c r="R77">
        <v>8.1623500000000002E-2</v>
      </c>
      <c r="S77">
        <v>3.0631710000000001</v>
      </c>
      <c r="T77">
        <v>-5.1097869999999997E-2</v>
      </c>
      <c r="U77">
        <v>-7.2540279999999999E-2</v>
      </c>
      <c r="V77">
        <v>-8.1482620000000006E-2</v>
      </c>
      <c r="W77">
        <v>0.1645847</v>
      </c>
      <c r="X77">
        <v>0.98299159999999997</v>
      </c>
      <c r="Y77">
        <v>2.38079E-2</v>
      </c>
      <c r="Z77">
        <v>-2.7952979999999999E-4</v>
      </c>
      <c r="AA77">
        <v>0.99971650000000001</v>
      </c>
      <c r="AB77">
        <v>7</v>
      </c>
      <c r="AC77">
        <v>69.473999999999904</v>
      </c>
      <c r="AD77">
        <v>-1.159783</v>
      </c>
      <c r="AE77">
        <v>-1.6461999999999599</v>
      </c>
      <c r="AF77">
        <v>1.6553117720594399</v>
      </c>
      <c r="AG77">
        <v>-1.159783</v>
      </c>
      <c r="AH77">
        <v>69.454427675111603</v>
      </c>
      <c r="AI77">
        <v>90.956391676781394</v>
      </c>
      <c r="AJ77">
        <v>88.634724519169296</v>
      </c>
      <c r="AK77">
        <v>69.483830330135902</v>
      </c>
      <c r="AL77">
        <v>80.526890422569295</v>
      </c>
      <c r="AM77">
        <v>94.738556431510702</v>
      </c>
      <c r="AN77">
        <v>1.00000001325335</v>
      </c>
    </row>
    <row r="78" spans="1:40" x14ac:dyDescent="0.25">
      <c r="A78" t="str">
        <f>"20190304155017720"</f>
        <v>20190304155017720</v>
      </c>
      <c r="B78" t="str">
        <f>"1551685817716118"</f>
        <v>1551685817716118</v>
      </c>
      <c r="C78" t="s">
        <v>40</v>
      </c>
      <c r="D78">
        <v>4.8122259999999999</v>
      </c>
      <c r="E78">
        <v>0.53949939999999996</v>
      </c>
      <c r="F78" t="s">
        <v>42</v>
      </c>
      <c r="G78">
        <v>-407.21359999999999</v>
      </c>
      <c r="H78">
        <v>-0.05</v>
      </c>
      <c r="I78">
        <v>365.64120000000003</v>
      </c>
      <c r="J78">
        <v>-474.02539999999999</v>
      </c>
      <c r="K78">
        <v>1.110087</v>
      </c>
      <c r="L78">
        <v>367.21769999999998</v>
      </c>
      <c r="M78">
        <v>0.99997040000000004</v>
      </c>
      <c r="N78">
        <v>-7.6909069999999899E-3</v>
      </c>
      <c r="O78">
        <v>1.3904750000000001E-4</v>
      </c>
      <c r="P78">
        <v>0.98421270000000005</v>
      </c>
      <c r="Q78">
        <v>0.15705620000000001</v>
      </c>
      <c r="R78">
        <v>8.1600679999999995E-2</v>
      </c>
      <c r="S78">
        <v>3.0630799999999998</v>
      </c>
      <c r="T78">
        <v>-5.3144219999999999E-2</v>
      </c>
      <c r="U78">
        <v>-7.2235110000000005E-2</v>
      </c>
      <c r="V78">
        <v>-8.1458639999999999E-2</v>
      </c>
      <c r="W78">
        <v>0.16462370000000001</v>
      </c>
      <c r="X78">
        <v>0.98298700000000006</v>
      </c>
      <c r="Y78">
        <v>2.370982E-2</v>
      </c>
      <c r="Z78">
        <v>-2.9817940000000001E-4</v>
      </c>
      <c r="AA78">
        <v>0.99971880000000002</v>
      </c>
      <c r="AB78">
        <v>6</v>
      </c>
      <c r="AC78">
        <v>66.811800000000005</v>
      </c>
      <c r="AD78">
        <v>-1.1600870000000001</v>
      </c>
      <c r="AE78">
        <v>-1.5764999999999501</v>
      </c>
      <c r="AF78">
        <v>1.5853125814490201</v>
      </c>
      <c r="AG78">
        <v>-1.1600870000000001</v>
      </c>
      <c r="AH78">
        <v>66.791454302857005</v>
      </c>
      <c r="AI78">
        <v>90.994778414135297</v>
      </c>
      <c r="AJ78">
        <v>88.640325027019202</v>
      </c>
      <c r="AK78">
        <v>66.820336617822406</v>
      </c>
      <c r="AL78">
        <v>80.524624451859907</v>
      </c>
      <c r="AM78">
        <v>94.737190308546005</v>
      </c>
      <c r="AN78">
        <v>0.99999995740066805</v>
      </c>
    </row>
    <row r="79" spans="1:40" x14ac:dyDescent="0.25">
      <c r="A79" t="str">
        <f>"20190304155017738"</f>
        <v>20190304155017738</v>
      </c>
      <c r="B79" t="str">
        <f>"1551685817726857"</f>
        <v>1551685817726857</v>
      </c>
      <c r="C79" t="s">
        <v>40</v>
      </c>
      <c r="D79">
        <v>4.8447740000000001</v>
      </c>
      <c r="E79">
        <v>0.5394892</v>
      </c>
      <c r="F79" t="s">
        <v>42</v>
      </c>
      <c r="G79">
        <v>-410.53469999999999</v>
      </c>
      <c r="H79">
        <v>-0.05</v>
      </c>
      <c r="I79">
        <v>365.71280000000002</v>
      </c>
      <c r="J79">
        <v>-473.97640000000001</v>
      </c>
      <c r="K79">
        <v>1.110474</v>
      </c>
      <c r="L79">
        <v>367.21769999999998</v>
      </c>
      <c r="M79">
        <v>0.99995860000000003</v>
      </c>
      <c r="N79">
        <v>-9.1061790000000007E-3</v>
      </c>
      <c r="O79">
        <v>1.41846E-4</v>
      </c>
      <c r="P79">
        <v>0.98445879999999997</v>
      </c>
      <c r="Q79">
        <v>0.15547520000000001</v>
      </c>
      <c r="R79">
        <v>8.1662310000000002E-2</v>
      </c>
      <c r="S79">
        <v>3.0630799999999998</v>
      </c>
      <c r="T79">
        <v>-5.5967929999999999E-2</v>
      </c>
      <c r="U79">
        <v>-7.2601319999999997E-2</v>
      </c>
      <c r="V79">
        <v>-8.1517489999999998E-2</v>
      </c>
      <c r="W79">
        <v>0.164436</v>
      </c>
      <c r="X79">
        <v>0.98301360000000004</v>
      </c>
      <c r="Y79">
        <v>2.383126E-2</v>
      </c>
      <c r="Z79">
        <v>-3.2750770000000002E-4</v>
      </c>
      <c r="AA79">
        <v>0.99971589999999999</v>
      </c>
      <c r="AB79">
        <v>6</v>
      </c>
      <c r="AC79">
        <v>63.441699999999997</v>
      </c>
      <c r="AD79">
        <v>-1.160474</v>
      </c>
      <c r="AE79">
        <v>-1.5048999999999599</v>
      </c>
      <c r="AF79">
        <v>1.51339321763469</v>
      </c>
      <c r="AG79">
        <v>-1.160474</v>
      </c>
      <c r="AH79">
        <v>63.420277628687003</v>
      </c>
      <c r="AI79">
        <v>91.047991729696406</v>
      </c>
      <c r="AJ79">
        <v>88.633014643101902</v>
      </c>
      <c r="AK79">
        <v>63.448945408380098</v>
      </c>
      <c r="AL79">
        <v>80.535528039015105</v>
      </c>
      <c r="AM79">
        <v>94.740469417103</v>
      </c>
      <c r="AN79">
        <v>1.0000000185284299</v>
      </c>
    </row>
    <row r="80" spans="1:40" x14ac:dyDescent="0.25">
      <c r="A80" t="str">
        <f>"20190304155017752"</f>
        <v>20190304155017752</v>
      </c>
      <c r="B80" t="str">
        <f>"1551685817746373"</f>
        <v>1551685817746373</v>
      </c>
      <c r="C80" t="s">
        <v>40</v>
      </c>
      <c r="D80">
        <v>4.7956079999999996</v>
      </c>
      <c r="E80">
        <v>0.53949829999999999</v>
      </c>
      <c r="F80" t="s">
        <v>42</v>
      </c>
      <c r="G80">
        <v>-415.64420000000001</v>
      </c>
      <c r="H80">
        <v>-0.05</v>
      </c>
      <c r="I80">
        <v>365.83909999999997</v>
      </c>
      <c r="J80">
        <v>-473.94040000000001</v>
      </c>
      <c r="K80">
        <v>1.110625</v>
      </c>
      <c r="L80">
        <v>367.21769999999998</v>
      </c>
      <c r="M80">
        <v>0.99995230000000002</v>
      </c>
      <c r="N80">
        <v>-9.7749889999999996E-3</v>
      </c>
      <c r="O80">
        <v>1.464378E-4</v>
      </c>
      <c r="P80">
        <v>0.98452550000000005</v>
      </c>
      <c r="Q80">
        <v>0.1550385</v>
      </c>
      <c r="R80">
        <v>8.1688339999999998E-2</v>
      </c>
      <c r="S80">
        <v>3.0630190000000002</v>
      </c>
      <c r="T80">
        <v>-6.0936329999999997E-2</v>
      </c>
      <c r="U80">
        <v>-7.2387699999999999E-2</v>
      </c>
      <c r="V80">
        <v>-8.1539749999999994E-2</v>
      </c>
      <c r="W80">
        <v>0.1646571</v>
      </c>
      <c r="X80">
        <v>0.98297469999999998</v>
      </c>
      <c r="Y80">
        <v>2.376559E-2</v>
      </c>
      <c r="Z80">
        <v>-3.5401399999999999E-4</v>
      </c>
      <c r="AA80">
        <v>0.99971750000000004</v>
      </c>
      <c r="AB80">
        <v>6</v>
      </c>
      <c r="AC80">
        <v>58.296199999999999</v>
      </c>
      <c r="AD80">
        <v>-1.160625</v>
      </c>
      <c r="AE80">
        <v>-1.3786</v>
      </c>
      <c r="AF80">
        <v>1.38658786172676</v>
      </c>
      <c r="AG80">
        <v>-1.160625</v>
      </c>
      <c r="AH80">
        <v>58.2729126248257</v>
      </c>
      <c r="AI80">
        <v>91.140689731105397</v>
      </c>
      <c r="AJ80">
        <v>88.636919965553403</v>
      </c>
      <c r="AK80">
        <v>58.300960730244199</v>
      </c>
      <c r="AL80">
        <v>80.522684475815197</v>
      </c>
      <c r="AM80">
        <v>94.741944789869507</v>
      </c>
      <c r="AN80">
        <v>0.99999997612528002</v>
      </c>
    </row>
    <row r="81" spans="1:40" x14ac:dyDescent="0.25">
      <c r="A81" t="str">
        <f>"20190304155017773"</f>
        <v>20190304155017773</v>
      </c>
      <c r="B81" t="str">
        <f>"1551685817766869"</f>
        <v>1551685817766869</v>
      </c>
      <c r="C81" t="s">
        <v>40</v>
      </c>
      <c r="D81">
        <v>4.8094700000000001</v>
      </c>
      <c r="E81">
        <v>0.5394466</v>
      </c>
      <c r="F81" t="s">
        <v>42</v>
      </c>
      <c r="G81">
        <v>-417.10180000000003</v>
      </c>
      <c r="H81">
        <v>-0.05</v>
      </c>
      <c r="I81">
        <v>365.875</v>
      </c>
      <c r="J81">
        <v>-473.87720000000002</v>
      </c>
      <c r="K81">
        <v>1.110385</v>
      </c>
      <c r="L81">
        <v>367.21769999999998</v>
      </c>
      <c r="M81">
        <v>0.99995730000000005</v>
      </c>
      <c r="N81">
        <v>-9.2414709999999994E-3</v>
      </c>
      <c r="O81">
        <v>1.624877E-4</v>
      </c>
      <c r="P81">
        <v>0.98440859999999997</v>
      </c>
      <c r="Q81">
        <v>0.15569459999999999</v>
      </c>
      <c r="R81">
        <v>8.1847310000000006E-2</v>
      </c>
      <c r="S81">
        <v>3.0629879999999998</v>
      </c>
      <c r="T81">
        <v>-6.2545180000000006E-2</v>
      </c>
      <c r="U81">
        <v>-7.2357179999999993E-2</v>
      </c>
      <c r="V81">
        <v>-8.1684190000000004E-2</v>
      </c>
      <c r="W81">
        <v>0.16478689999999999</v>
      </c>
      <c r="X81">
        <v>0.98294099999999995</v>
      </c>
      <c r="Y81">
        <v>2.3771730000000001E-2</v>
      </c>
      <c r="Z81">
        <v>-3.5433900000000001E-4</v>
      </c>
      <c r="AA81">
        <v>0.99971739999999998</v>
      </c>
      <c r="AB81">
        <v>6</v>
      </c>
      <c r="AC81">
        <v>56.775399999999898</v>
      </c>
      <c r="AD81">
        <v>-1.160385</v>
      </c>
      <c r="AE81">
        <v>-1.34269999999997</v>
      </c>
      <c r="AF81">
        <v>1.35136150696025</v>
      </c>
      <c r="AG81">
        <v>-1.160385</v>
      </c>
      <c r="AH81">
        <v>56.751488168289697</v>
      </c>
      <c r="AI81">
        <v>91.171018937347696</v>
      </c>
      <c r="AJ81">
        <v>88.635935647283205</v>
      </c>
      <c r="AK81">
        <v>56.7794336057189</v>
      </c>
      <c r="AL81">
        <v>80.515144901652405</v>
      </c>
      <c r="AM81">
        <v>94.750468411115904</v>
      </c>
      <c r="AN81">
        <v>1.00000001939428</v>
      </c>
    </row>
    <row r="82" spans="1:40" x14ac:dyDescent="0.25">
      <c r="A82" t="str">
        <f>"20190304155017795"</f>
        <v>20190304155017795</v>
      </c>
      <c r="B82" t="str">
        <f>"1551685817786389"</f>
        <v>1551685817786389</v>
      </c>
      <c r="C82" t="s">
        <v>40</v>
      </c>
      <c r="D82">
        <v>4.8967390000000002</v>
      </c>
      <c r="E82">
        <v>0.53936839999999997</v>
      </c>
      <c r="F82" t="s">
        <v>42</v>
      </c>
      <c r="G82">
        <v>-414.96039999999999</v>
      </c>
      <c r="H82">
        <v>-0.05</v>
      </c>
      <c r="I82">
        <v>365.84649999999999</v>
      </c>
      <c r="J82">
        <v>-473.80540000000002</v>
      </c>
      <c r="K82">
        <v>1.1099669999999999</v>
      </c>
      <c r="L82">
        <v>367.21769999999998</v>
      </c>
      <c r="M82">
        <v>0.99996890000000005</v>
      </c>
      <c r="N82">
        <v>-7.8946019999999902E-3</v>
      </c>
      <c r="O82">
        <v>1.8785359999999999E-4</v>
      </c>
      <c r="P82">
        <v>0.98413879999999998</v>
      </c>
      <c r="Q82">
        <v>0.15713139999999901</v>
      </c>
      <c r="R82">
        <v>8.2345329999999994E-2</v>
      </c>
      <c r="S82">
        <v>3.0629879999999998</v>
      </c>
      <c r="T82">
        <v>-6.0326459999999998E-2</v>
      </c>
      <c r="U82">
        <v>-7.1289060000000001E-2</v>
      </c>
      <c r="V82">
        <v>-8.2158369999999994E-2</v>
      </c>
      <c r="W82">
        <v>0.16489699999999999</v>
      </c>
      <c r="X82">
        <v>0.98288299999999995</v>
      </c>
      <c r="Y82">
        <v>2.3449480000000002E-2</v>
      </c>
      <c r="Z82">
        <v>-3.2567350000000002E-4</v>
      </c>
      <c r="AA82">
        <v>0.99972499999999997</v>
      </c>
      <c r="AB82">
        <v>7</v>
      </c>
      <c r="AC82">
        <v>58.844999999999999</v>
      </c>
      <c r="AD82">
        <v>-1.159967</v>
      </c>
      <c r="AE82">
        <v>-1.37119999999998</v>
      </c>
      <c r="AF82">
        <v>1.3817179581738499</v>
      </c>
      <c r="AG82">
        <v>-1.159967</v>
      </c>
      <c r="AH82">
        <v>58.821897197215598</v>
      </c>
      <c r="AI82">
        <v>91.129414087171398</v>
      </c>
      <c r="AJ82">
        <v>88.654377784545801</v>
      </c>
      <c r="AK82">
        <v>58.849556139675599</v>
      </c>
      <c r="AL82">
        <v>80.508749004828303</v>
      </c>
      <c r="AM82">
        <v>94.778198409491907</v>
      </c>
      <c r="AN82">
        <v>1.0000000050295199</v>
      </c>
    </row>
    <row r="83" spans="1:40" x14ac:dyDescent="0.25">
      <c r="A83" t="str">
        <f>"20190304155017817"</f>
        <v>20190304155017817</v>
      </c>
      <c r="B83" t="str">
        <f>"1551685817806885"</f>
        <v>1551685817806885</v>
      </c>
      <c r="C83" t="s">
        <v>40</v>
      </c>
      <c r="D83">
        <v>5.0604189999999996</v>
      </c>
      <c r="E83">
        <v>0.51849089999999998</v>
      </c>
      <c r="F83" t="s">
        <v>42</v>
      </c>
      <c r="G83">
        <v>-410.07760000000002</v>
      </c>
      <c r="H83">
        <v>-0.05</v>
      </c>
      <c r="I83">
        <v>365.77640000000002</v>
      </c>
      <c r="J83">
        <v>-473.73540000000003</v>
      </c>
      <c r="K83">
        <v>1.1096980000000001</v>
      </c>
      <c r="L83">
        <v>367.21780000000001</v>
      </c>
      <c r="M83">
        <v>0.9999768</v>
      </c>
      <c r="N83">
        <v>-6.8244179999999996E-3</v>
      </c>
      <c r="O83">
        <v>2.174543E-4</v>
      </c>
      <c r="P83">
        <v>0.98385409999999995</v>
      </c>
      <c r="Q83">
        <v>0.15879089999999901</v>
      </c>
      <c r="R83">
        <v>8.2565780000000005E-2</v>
      </c>
      <c r="S83">
        <v>3.0630489999999999</v>
      </c>
      <c r="T83">
        <v>-5.5753230000000001E-2</v>
      </c>
      <c r="U83">
        <v>-6.9274899999999903E-2</v>
      </c>
      <c r="V83">
        <v>-8.2350980000000004E-2</v>
      </c>
      <c r="W83">
        <v>0.16550219999999999</v>
      </c>
      <c r="X83">
        <v>0.98276509999999995</v>
      </c>
      <c r="Y83">
        <v>2.2822729999999999E-2</v>
      </c>
      <c r="Z83">
        <v>-2.8803370000000001E-4</v>
      </c>
      <c r="AA83">
        <v>0.9997395</v>
      </c>
      <c r="AB83">
        <v>7</v>
      </c>
      <c r="AC83">
        <v>63.657800000000002</v>
      </c>
      <c r="AD83">
        <v>-1.1596979999999999</v>
      </c>
      <c r="AE83">
        <v>-1.44139999999998</v>
      </c>
      <c r="AF83">
        <v>1.4547603845266699</v>
      </c>
      <c r="AG83">
        <v>-1.1596979999999999</v>
      </c>
      <c r="AH83">
        <v>63.636375964505703</v>
      </c>
      <c r="AI83">
        <v>91.043759890737803</v>
      </c>
      <c r="AJ83">
        <v>88.690417020426295</v>
      </c>
      <c r="AK83">
        <v>63.6635655074667</v>
      </c>
      <c r="AL83">
        <v>80.473590016176004</v>
      </c>
      <c r="AM83">
        <v>94.789920143247699</v>
      </c>
      <c r="AN83">
        <v>0.99999995194490399</v>
      </c>
    </row>
    <row r="84" spans="1:40" x14ac:dyDescent="0.25">
      <c r="A84" t="str">
        <f>"20190304155017839"</f>
        <v>20190304155017839</v>
      </c>
      <c r="B84" t="str">
        <f>"1551685817826409"</f>
        <v>1551685817826409</v>
      </c>
      <c r="C84" t="s">
        <v>40</v>
      </c>
      <c r="D84">
        <v>5.0053390000000002</v>
      </c>
      <c r="E84">
        <v>0.51621510000000004</v>
      </c>
      <c r="F84" t="s">
        <v>43</v>
      </c>
      <c r="G84">
        <v>-158.19499999999999</v>
      </c>
      <c r="H84">
        <v>5.7025829999999997</v>
      </c>
      <c r="I84">
        <v>377.37150000000003</v>
      </c>
      <c r="J84">
        <v>-473.66410000000002</v>
      </c>
      <c r="K84">
        <v>1.1095520000000001</v>
      </c>
      <c r="L84">
        <v>367.21780000000001</v>
      </c>
      <c r="M84">
        <v>0.99998169999999997</v>
      </c>
      <c r="N84">
        <v>-6.0440650000000004E-3</v>
      </c>
      <c r="O84">
        <v>2.5032670000000001E-4</v>
      </c>
      <c r="P84">
        <v>0.98367789999999999</v>
      </c>
      <c r="Q84">
        <v>0.159750799999999</v>
      </c>
      <c r="R84">
        <v>8.2810410000000001E-2</v>
      </c>
      <c r="S84">
        <v>3.0338750000000001</v>
      </c>
      <c r="T84">
        <v>4.4160720000000001E-2</v>
      </c>
      <c r="U84">
        <v>9.7625729999999994E-2</v>
      </c>
      <c r="V84">
        <v>-8.2564319999999997E-2</v>
      </c>
      <c r="W84">
        <v>0.16569310000000001</v>
      </c>
      <c r="X84">
        <v>0.98271509999999995</v>
      </c>
      <c r="Y84">
        <v>-3.190979E-2</v>
      </c>
      <c r="Z84">
        <v>-1.3054890000000001E-4</v>
      </c>
      <c r="AA84">
        <v>0.99949069999999995</v>
      </c>
      <c r="AB84">
        <v>7</v>
      </c>
      <c r="AC84">
        <v>315.46910000000003</v>
      </c>
      <c r="AD84">
        <v>4.5930309999999999</v>
      </c>
      <c r="AE84">
        <v>10.153700000000001</v>
      </c>
      <c r="AF84">
        <v>-10.072594969422401</v>
      </c>
      <c r="AG84">
        <v>4.5930309999999999</v>
      </c>
      <c r="AH84">
        <v>315.40484308159802</v>
      </c>
      <c r="AI84">
        <v>89.166123688581195</v>
      </c>
      <c r="AJ84">
        <v>91.829144725381695</v>
      </c>
      <c r="AK84">
        <v>315.59906232831599</v>
      </c>
      <c r="AL84">
        <v>80.462499769728396</v>
      </c>
      <c r="AM84">
        <v>94.802514235658705</v>
      </c>
      <c r="AN84">
        <v>1.0000000190463401</v>
      </c>
    </row>
    <row r="85" spans="1:40" x14ac:dyDescent="0.25">
      <c r="A85" t="str">
        <f>"20190304155017852"</f>
        <v>20190304155017852</v>
      </c>
      <c r="B85" t="str">
        <f>"1551685817846901"</f>
        <v>1551685817846901</v>
      </c>
      <c r="C85" t="s">
        <v>40</v>
      </c>
      <c r="D85">
        <v>4.5056789999999998</v>
      </c>
      <c r="E85">
        <v>0.51521249999999996</v>
      </c>
      <c r="F85" t="s">
        <v>43</v>
      </c>
      <c r="G85">
        <v>-170.08879999999999</v>
      </c>
      <c r="H85">
        <v>7.1018369999999997</v>
      </c>
      <c r="I85">
        <v>378.91210000000001</v>
      </c>
      <c r="J85">
        <v>-473.61970000000002</v>
      </c>
      <c r="K85">
        <v>1.1094919999999999</v>
      </c>
      <c r="L85">
        <v>367.21789999999999</v>
      </c>
      <c r="M85">
        <v>0.99998410000000004</v>
      </c>
      <c r="N85">
        <v>-5.639547E-3</v>
      </c>
      <c r="O85">
        <v>2.7178400000000001E-4</v>
      </c>
      <c r="P85">
        <v>0.98365630000000004</v>
      </c>
      <c r="Q85">
        <v>0.1599226</v>
      </c>
      <c r="R85">
        <v>8.273519E-2</v>
      </c>
      <c r="S85">
        <v>3.030243</v>
      </c>
      <c r="T85">
        <v>5.9814930000000002E-2</v>
      </c>
      <c r="U85">
        <v>0.11672970000000001</v>
      </c>
      <c r="V85">
        <v>-8.2468620000000006E-2</v>
      </c>
      <c r="W85">
        <v>0.16546739999999999</v>
      </c>
      <c r="X85">
        <v>0.98276110000000005</v>
      </c>
      <c r="Y85">
        <v>-3.8216229999999997E-2</v>
      </c>
      <c r="Z85">
        <v>-2.6230099999999999E-4</v>
      </c>
      <c r="AA85">
        <v>0.99926950000000003</v>
      </c>
      <c r="AB85">
        <v>7</v>
      </c>
      <c r="AC85">
        <v>303.53089999999997</v>
      </c>
      <c r="AD85">
        <v>5.9923449999999896</v>
      </c>
      <c r="AE85">
        <v>11.6942</v>
      </c>
      <c r="AF85">
        <v>-11.6071862041473</v>
      </c>
      <c r="AG85">
        <v>5.9923449999999896</v>
      </c>
      <c r="AH85">
        <v>303.41598557347697</v>
      </c>
      <c r="AI85">
        <v>88.8694050026794</v>
      </c>
      <c r="AJ85">
        <v>92.190783213180296</v>
      </c>
      <c r="AK85">
        <v>303.69704521397801</v>
      </c>
      <c r="AL85">
        <v>80.475611830670005</v>
      </c>
      <c r="AM85">
        <v>94.796750166555896</v>
      </c>
      <c r="AN85">
        <v>0.99999995671033604</v>
      </c>
    </row>
    <row r="86" spans="1:40" x14ac:dyDescent="0.25">
      <c r="A86" t="str">
        <f>"20190304155017865"</f>
        <v>20190304155017865</v>
      </c>
      <c r="B86" t="str">
        <f>"1551685817856661"</f>
        <v>1551685817856661</v>
      </c>
      <c r="C86" t="s">
        <v>40</v>
      </c>
      <c r="D86">
        <v>4.9604900000000001</v>
      </c>
      <c r="E86">
        <v>0.51483100000000004</v>
      </c>
      <c r="F86" t="s">
        <v>43</v>
      </c>
      <c r="G86">
        <v>-170.08879999999999</v>
      </c>
      <c r="H86">
        <v>7.4629440000000002</v>
      </c>
      <c r="I86">
        <v>379.67939999999999</v>
      </c>
      <c r="J86">
        <v>-473.5718</v>
      </c>
      <c r="K86">
        <v>1.1094409999999999</v>
      </c>
      <c r="L86">
        <v>367.21789999999999</v>
      </c>
      <c r="M86">
        <v>0.99998640000000005</v>
      </c>
      <c r="N86">
        <v>-5.2376649999999999E-3</v>
      </c>
      <c r="O86">
        <v>2.9511650000000001E-4</v>
      </c>
      <c r="P86">
        <v>0.98360000000000003</v>
      </c>
      <c r="Q86">
        <v>0.16022310000000001</v>
      </c>
      <c r="R86">
        <v>8.2824410000000001E-2</v>
      </c>
      <c r="S86">
        <v>3.029083</v>
      </c>
      <c r="T86">
        <v>6.3405039999999996E-2</v>
      </c>
      <c r="U86">
        <v>0.1243591</v>
      </c>
      <c r="V86">
        <v>-8.2535549999999999E-2</v>
      </c>
      <c r="W86">
        <v>0.1653724</v>
      </c>
      <c r="X86">
        <v>0.98277150000000002</v>
      </c>
      <c r="Y86">
        <v>-4.0719039999999998E-2</v>
      </c>
      <c r="Z86">
        <v>-3.1153160000000002E-4</v>
      </c>
      <c r="AA86">
        <v>0.99917060000000002</v>
      </c>
      <c r="AB86">
        <v>8</v>
      </c>
      <c r="AC86">
        <v>303.483</v>
      </c>
      <c r="AD86">
        <v>6.3535029999999999</v>
      </c>
      <c r="AE86">
        <v>12.461499999999999</v>
      </c>
      <c r="AF86">
        <v>-12.3665244492312</v>
      </c>
      <c r="AG86">
        <v>6.3535029999999999</v>
      </c>
      <c r="AH86">
        <v>303.353932396152</v>
      </c>
      <c r="AI86">
        <v>88.801157067179403</v>
      </c>
      <c r="AJ86">
        <v>92.334426781900504</v>
      </c>
      <c r="AK86">
        <v>303.67236658532801</v>
      </c>
      <c r="AL86">
        <v>80.481131232375802</v>
      </c>
      <c r="AM86">
        <v>94.800574368879893</v>
      </c>
      <c r="AN86">
        <v>0.99999998445390603</v>
      </c>
    </row>
    <row r="87" spans="1:40" x14ac:dyDescent="0.25">
      <c r="A87" t="str">
        <f>"20190304155017883"</f>
        <v>20190304155017883</v>
      </c>
      <c r="B87" t="str">
        <f>"1551685817877158"</f>
        <v>1551685817877158</v>
      </c>
      <c r="C87" t="s">
        <v>40</v>
      </c>
      <c r="D87">
        <v>4.940442</v>
      </c>
      <c r="E87">
        <v>0.51401399999999997</v>
      </c>
      <c r="F87" t="s">
        <v>43</v>
      </c>
      <c r="G87">
        <v>-170.08879999999999</v>
      </c>
      <c r="H87">
        <v>7.8088759999999997</v>
      </c>
      <c r="I87">
        <v>380.01049999999998</v>
      </c>
      <c r="J87">
        <v>-473.51080000000002</v>
      </c>
      <c r="K87">
        <v>1.1094059999999999</v>
      </c>
      <c r="L87">
        <v>367.21800000000002</v>
      </c>
      <c r="M87">
        <v>0.99998849999999995</v>
      </c>
      <c r="N87">
        <v>-4.8087809999999998E-3</v>
      </c>
      <c r="O87">
        <v>3.2314110000000002E-4</v>
      </c>
      <c r="P87">
        <v>0.98355999999999999</v>
      </c>
      <c r="Q87">
        <v>0.1604565</v>
      </c>
      <c r="R87">
        <v>8.2846600000000006E-2</v>
      </c>
      <c r="S87">
        <v>3.0284119999999999</v>
      </c>
      <c r="T87">
        <v>6.685352E-2</v>
      </c>
      <c r="U87">
        <v>0.12765499999999999</v>
      </c>
      <c r="V87">
        <v>-8.2530240000000005E-2</v>
      </c>
      <c r="W87">
        <v>0.16518379999999999</v>
      </c>
      <c r="X87">
        <v>0.98280369999999995</v>
      </c>
      <c r="Y87">
        <v>-4.1784380000000003E-2</v>
      </c>
      <c r="Z87">
        <v>-3.5174050000000002E-4</v>
      </c>
      <c r="AA87">
        <v>0.99912659999999998</v>
      </c>
      <c r="AB87">
        <v>8</v>
      </c>
      <c r="AC87">
        <v>303.42200000000003</v>
      </c>
      <c r="AD87">
        <v>6.6994699999999998</v>
      </c>
      <c r="AE87">
        <v>12.792499999999899</v>
      </c>
      <c r="AF87">
        <v>-12.6882753594133</v>
      </c>
      <c r="AG87">
        <v>6.6994699999999998</v>
      </c>
      <c r="AH87">
        <v>303.27852791814598</v>
      </c>
      <c r="AI87">
        <v>88.735638789383202</v>
      </c>
      <c r="AJ87">
        <v>92.395688613563706</v>
      </c>
      <c r="AK87">
        <v>303.61775429983498</v>
      </c>
      <c r="AL87">
        <v>80.492088249707606</v>
      </c>
      <c r="AM87">
        <v>94.800110424575195</v>
      </c>
      <c r="AN87">
        <v>1.0000000205152899</v>
      </c>
    </row>
    <row r="88" spans="1:40" x14ac:dyDescent="0.25">
      <c r="A88" t="str">
        <f>"20190304155017896"</f>
        <v>20190304155017896</v>
      </c>
      <c r="B88" t="str">
        <f>"1551685817886917"</f>
        <v>1551685817886917</v>
      </c>
      <c r="C88" t="s">
        <v>40</v>
      </c>
      <c r="D88">
        <v>5.0016980000000002</v>
      </c>
      <c r="E88">
        <v>0.51388040000000001</v>
      </c>
      <c r="F88" t="s">
        <v>43</v>
      </c>
      <c r="G88">
        <v>-170.08879999999999</v>
      </c>
      <c r="H88">
        <v>8.2043569999999999</v>
      </c>
      <c r="I88">
        <v>380.67329999999998</v>
      </c>
      <c r="J88">
        <v>-473.46530000000001</v>
      </c>
      <c r="K88">
        <v>1.1095520000000001</v>
      </c>
      <c r="L88">
        <v>367.21800000000002</v>
      </c>
      <c r="M88">
        <v>0.99998690000000001</v>
      </c>
      <c r="N88">
        <v>-5.1154349999999998E-3</v>
      </c>
      <c r="O88">
        <v>3.4293920000000002E-4</v>
      </c>
      <c r="P88">
        <v>0.9835737</v>
      </c>
      <c r="Q88">
        <v>0.16039709999999999</v>
      </c>
      <c r="R88">
        <v>8.2801239999999998E-2</v>
      </c>
      <c r="S88">
        <v>3.0273129999999999</v>
      </c>
      <c r="T88">
        <v>7.0788859999999995E-2</v>
      </c>
      <c r="U88">
        <v>0.134246799999999</v>
      </c>
      <c r="V88">
        <v>-8.2465449999999996E-2</v>
      </c>
      <c r="W88">
        <v>0.16542599999999999</v>
      </c>
      <c r="X88">
        <v>0.98276839999999999</v>
      </c>
      <c r="Y88">
        <v>-4.3949830000000002E-2</v>
      </c>
      <c r="Z88">
        <v>-3.9127930000000001E-4</v>
      </c>
      <c r="AA88">
        <v>0.99903370000000002</v>
      </c>
      <c r="AB88">
        <v>8</v>
      </c>
      <c r="AC88">
        <v>303.37650000000002</v>
      </c>
      <c r="AD88">
        <v>7.094805</v>
      </c>
      <c r="AE88">
        <v>13.4552999999999</v>
      </c>
      <c r="AF88">
        <v>-13.343974512188201</v>
      </c>
      <c r="AG88">
        <v>7.094805</v>
      </c>
      <c r="AH88">
        <v>303.215590042678</v>
      </c>
      <c r="AI88">
        <v>88.660902078698697</v>
      </c>
      <c r="AJ88">
        <v>92.519858620208893</v>
      </c>
      <c r="AK88">
        <v>303.59198269832399</v>
      </c>
      <c r="AL88">
        <v>80.478017630692804</v>
      </c>
      <c r="AM88">
        <v>94.796531182568401</v>
      </c>
      <c r="AN88">
        <v>1.0000000199791299</v>
      </c>
    </row>
    <row r="89" spans="1:40" x14ac:dyDescent="0.25">
      <c r="A89" t="str">
        <f>"20190304155017909"</f>
        <v>20190304155017909</v>
      </c>
      <c r="B89" t="str">
        <f>"1551685817906438"</f>
        <v>1551685817906438</v>
      </c>
      <c r="C89" t="s">
        <v>40</v>
      </c>
      <c r="D89">
        <v>4.8758480000000004</v>
      </c>
      <c r="E89">
        <v>0.51335699999999995</v>
      </c>
      <c r="F89" t="s">
        <v>43</v>
      </c>
      <c r="G89">
        <v>-170.08879999999999</v>
      </c>
      <c r="H89">
        <v>8.126182</v>
      </c>
      <c r="I89">
        <v>380.7448</v>
      </c>
      <c r="J89">
        <v>-473.42270000000002</v>
      </c>
      <c r="K89">
        <v>1.1097790000000001</v>
      </c>
      <c r="L89">
        <v>367.21800000000002</v>
      </c>
      <c r="M89">
        <v>0.99998350000000003</v>
      </c>
      <c r="N89">
        <v>-5.7524719999999998E-3</v>
      </c>
      <c r="O89">
        <v>3.607471E-4</v>
      </c>
      <c r="P89">
        <v>0.98368420000000001</v>
      </c>
      <c r="Q89">
        <v>0.15975049999999999</v>
      </c>
      <c r="R89">
        <v>8.2737379999999999E-2</v>
      </c>
      <c r="S89">
        <v>3.0273129999999999</v>
      </c>
      <c r="T89">
        <v>7.0017930000000006E-2</v>
      </c>
      <c r="U89">
        <v>0.13497919999999999</v>
      </c>
      <c r="V89">
        <v>-8.238326E-2</v>
      </c>
      <c r="W89">
        <v>0.16540629999999901</v>
      </c>
      <c r="X89">
        <v>0.98277859999999995</v>
      </c>
      <c r="Y89">
        <v>-4.4173799999999999E-2</v>
      </c>
      <c r="Z89">
        <v>-3.7297699999999998E-4</v>
      </c>
      <c r="AA89">
        <v>0.99902380000000002</v>
      </c>
      <c r="AB89">
        <v>8</v>
      </c>
      <c r="AC89">
        <v>303.33390000000003</v>
      </c>
      <c r="AD89">
        <v>7.0164029999999897</v>
      </c>
      <c r="AE89">
        <v>13.5267999999999</v>
      </c>
      <c r="AF89">
        <v>-13.4102097230144</v>
      </c>
      <c r="AG89">
        <v>7.0164029999999897</v>
      </c>
      <c r="AH89">
        <v>303.17686994171902</v>
      </c>
      <c r="AI89">
        <v>88.675538634912002</v>
      </c>
      <c r="AJ89">
        <v>92.5326731449329</v>
      </c>
      <c r="AK89">
        <v>303.55440715550702</v>
      </c>
      <c r="AL89">
        <v>80.479162039032801</v>
      </c>
      <c r="AM89">
        <v>94.791723442608102</v>
      </c>
      <c r="AN89">
        <v>1.0000000111129299</v>
      </c>
    </row>
    <row r="90" spans="1:40" x14ac:dyDescent="0.25">
      <c r="A90" t="str">
        <f>"20190304155017928"</f>
        <v>20190304155017928</v>
      </c>
      <c r="B90" t="str">
        <f>"1551685817926934"</f>
        <v>1551685817926934</v>
      </c>
      <c r="C90" t="s">
        <v>40</v>
      </c>
      <c r="D90">
        <v>4.9780749999999996</v>
      </c>
      <c r="E90">
        <v>0.51296260000000005</v>
      </c>
      <c r="F90" t="s">
        <v>43</v>
      </c>
      <c r="G90">
        <v>-170.08879999999999</v>
      </c>
      <c r="H90">
        <v>7.6332119999999897</v>
      </c>
      <c r="I90">
        <v>381.10570000000001</v>
      </c>
      <c r="J90">
        <v>-473.36020000000002</v>
      </c>
      <c r="K90">
        <v>1.1102289999999999</v>
      </c>
      <c r="L90">
        <v>367.21809999999999</v>
      </c>
      <c r="M90">
        <v>0.99997340000000001</v>
      </c>
      <c r="N90">
        <v>-7.30496599999999E-3</v>
      </c>
      <c r="O90">
        <v>3.8550360000000003E-4</v>
      </c>
      <c r="P90">
        <v>0.98387329999999995</v>
      </c>
      <c r="Q90">
        <v>0.15859309999999999</v>
      </c>
      <c r="R90">
        <v>8.2716629999999999E-2</v>
      </c>
      <c r="S90">
        <v>3.0275270000000001</v>
      </c>
      <c r="T90">
        <v>6.5110210000000002E-2</v>
      </c>
      <c r="U90">
        <v>0.13861080000000001</v>
      </c>
      <c r="V90">
        <v>-8.2336820000000005E-2</v>
      </c>
      <c r="W90">
        <v>0.1657769</v>
      </c>
      <c r="X90">
        <v>0.98272000000000004</v>
      </c>
      <c r="Y90">
        <v>-4.5343759999999997E-2</v>
      </c>
      <c r="Z90">
        <v>-3.1045310000000001E-4</v>
      </c>
      <c r="AA90">
        <v>0.99897139999999995</v>
      </c>
      <c r="AB90">
        <v>7</v>
      </c>
      <c r="AC90">
        <v>303.27140000000003</v>
      </c>
      <c r="AD90">
        <v>6.5229829999999902</v>
      </c>
      <c r="AE90">
        <v>13.887600000000001</v>
      </c>
      <c r="AF90">
        <v>-13.764329245344101</v>
      </c>
      <c r="AG90">
        <v>6.5229829999999902</v>
      </c>
      <c r="AH90">
        <v>303.13678597469499</v>
      </c>
      <c r="AI90">
        <v>88.768551885334901</v>
      </c>
      <c r="AJ90">
        <v>92.5998054081454</v>
      </c>
      <c r="AK90">
        <v>303.51922027749799</v>
      </c>
      <c r="AL90">
        <v>80.457630534483997</v>
      </c>
      <c r="AM90">
        <v>94.789319126181596</v>
      </c>
      <c r="AN90">
        <v>0.99999996545065994</v>
      </c>
    </row>
    <row r="91" spans="1:40" x14ac:dyDescent="0.25">
      <c r="A91" t="str">
        <f>"20190304155017941"</f>
        <v>20190304155017941</v>
      </c>
      <c r="B91" t="str">
        <f>"1551685817936693"</f>
        <v>1551685817936693</v>
      </c>
      <c r="C91" t="s">
        <v>40</v>
      </c>
      <c r="D91">
        <v>5.003304</v>
      </c>
      <c r="E91">
        <v>0.51294949999999995</v>
      </c>
      <c r="F91" t="s">
        <v>43</v>
      </c>
      <c r="G91">
        <v>-170.08879999999999</v>
      </c>
      <c r="H91">
        <v>7.3114350000000004</v>
      </c>
      <c r="I91">
        <v>381.43450000000001</v>
      </c>
      <c r="J91">
        <v>-473.32100000000003</v>
      </c>
      <c r="K91">
        <v>1.1104639999999999</v>
      </c>
      <c r="L91">
        <v>367.21809999999999</v>
      </c>
      <c r="M91">
        <v>0.99996569999999996</v>
      </c>
      <c r="N91">
        <v>-8.2768630000000006E-3</v>
      </c>
      <c r="O91">
        <v>4.0040330000000002E-4</v>
      </c>
      <c r="P91">
        <v>0.98404639999999999</v>
      </c>
      <c r="Q91">
        <v>0.15754479999999901</v>
      </c>
      <c r="R91">
        <v>8.2659549999999998E-2</v>
      </c>
      <c r="S91">
        <v>3.0272220000000001</v>
      </c>
      <c r="T91">
        <v>6.1900620000000003E-2</v>
      </c>
      <c r="U91">
        <v>0.1419067</v>
      </c>
      <c r="V91">
        <v>-8.2263600000000006E-2</v>
      </c>
      <c r="W91">
        <v>0.1656851</v>
      </c>
      <c r="X91">
        <v>0.98274170000000005</v>
      </c>
      <c r="Y91">
        <v>-4.6419910000000002E-2</v>
      </c>
      <c r="Z91">
        <v>-2.7056699999999999E-4</v>
      </c>
      <c r="AA91">
        <v>0.99892199999999998</v>
      </c>
      <c r="AB91">
        <v>7</v>
      </c>
      <c r="AC91">
        <v>303.23219999999998</v>
      </c>
      <c r="AD91">
        <v>6.200971</v>
      </c>
      <c r="AE91">
        <v>14.2164</v>
      </c>
      <c r="AF91">
        <v>-14.089100598920901</v>
      </c>
      <c r="AG91">
        <v>6.200971</v>
      </c>
      <c r="AH91">
        <v>303.1113894513</v>
      </c>
      <c r="AI91">
        <v>88.829285538215501</v>
      </c>
      <c r="AJ91">
        <v>92.661283673099405</v>
      </c>
      <c r="AK91">
        <v>303.502008580054</v>
      </c>
      <c r="AL91">
        <v>80.462964863847304</v>
      </c>
      <c r="AM91">
        <v>94.784974724729693</v>
      </c>
      <c r="AN91">
        <v>1.0000000505829201</v>
      </c>
    </row>
    <row r="92" spans="1:40" x14ac:dyDescent="0.25">
      <c r="A92" t="str">
        <f>"20190304155017962"</f>
        <v>20190304155017962</v>
      </c>
      <c r="B92" t="str">
        <f>"1551685817957189"</f>
        <v>1551685817957189</v>
      </c>
      <c r="C92" t="s">
        <v>40</v>
      </c>
      <c r="D92">
        <v>5.3662989999999997</v>
      </c>
      <c r="E92">
        <v>0.51340790000000003</v>
      </c>
      <c r="F92" t="s">
        <v>43</v>
      </c>
      <c r="G92">
        <v>-170.08879999999999</v>
      </c>
      <c r="H92">
        <v>6.9731300000000003</v>
      </c>
      <c r="I92">
        <v>381.45370000000003</v>
      </c>
      <c r="J92">
        <v>-473.25580000000002</v>
      </c>
      <c r="K92">
        <v>1.110503</v>
      </c>
      <c r="L92">
        <v>367.21820000000002</v>
      </c>
      <c r="M92">
        <v>0.99996160000000001</v>
      </c>
      <c r="N92">
        <v>-8.7629849999999992E-3</v>
      </c>
      <c r="O92">
        <v>4.2626520000000001E-4</v>
      </c>
      <c r="P92">
        <v>0.98411959999999998</v>
      </c>
      <c r="Q92">
        <v>0.15699340000000001</v>
      </c>
      <c r="R92">
        <v>8.283749E-2</v>
      </c>
      <c r="S92">
        <v>3.0273129999999999</v>
      </c>
      <c r="T92">
        <v>5.8530690000000003E-2</v>
      </c>
      <c r="U92">
        <v>0.14212040000000001</v>
      </c>
      <c r="V92">
        <v>-8.2415500000000003E-2</v>
      </c>
      <c r="W92">
        <v>0.1656127</v>
      </c>
      <c r="X92">
        <v>0.98274110000000003</v>
      </c>
      <c r="Y92">
        <v>-4.6464020000000002E-2</v>
      </c>
      <c r="Z92">
        <v>-2.3320630000000001E-4</v>
      </c>
      <c r="AA92">
        <v>0.99892000000000003</v>
      </c>
      <c r="AB92">
        <v>7</v>
      </c>
      <c r="AC92">
        <v>303.16699999999997</v>
      </c>
      <c r="AD92">
        <v>5.8626269999999998</v>
      </c>
      <c r="AE92">
        <v>14.2355</v>
      </c>
      <c r="AF92">
        <v>-14.101002658241001</v>
      </c>
      <c r="AG92">
        <v>5.8626269999999998</v>
      </c>
      <c r="AH92">
        <v>303.05995898122001</v>
      </c>
      <c r="AI92">
        <v>88.892961592414693</v>
      </c>
      <c r="AJ92">
        <v>92.663979971548201</v>
      </c>
      <c r="AK92">
        <v>303.44447170612199</v>
      </c>
      <c r="AL92">
        <v>80.467170465319995</v>
      </c>
      <c r="AM92">
        <v>94.793771971086599</v>
      </c>
      <c r="AN92">
        <v>0.99999997533537399</v>
      </c>
    </row>
    <row r="93" spans="1:40" x14ac:dyDescent="0.25">
      <c r="A93" t="str">
        <f>"20190304155017976"</f>
        <v>20190304155017976</v>
      </c>
      <c r="B93" t="str">
        <f>"1551685817966949"</f>
        <v>1551685817966949</v>
      </c>
      <c r="C93" t="s">
        <v>40</v>
      </c>
      <c r="D93">
        <v>5.5307060000000003</v>
      </c>
      <c r="E93">
        <v>0.51378140000000005</v>
      </c>
      <c r="F93" t="s">
        <v>43</v>
      </c>
      <c r="G93">
        <v>-170.08879999999999</v>
      </c>
      <c r="H93">
        <v>7.4892240000000001</v>
      </c>
      <c r="I93">
        <v>381.17630000000003</v>
      </c>
      <c r="J93">
        <v>-473.20499999999998</v>
      </c>
      <c r="K93">
        <v>1.1103289999999999</v>
      </c>
      <c r="L93">
        <v>367.2183</v>
      </c>
      <c r="M93">
        <v>0.99996470000000004</v>
      </c>
      <c r="N93">
        <v>-8.3962499999999992E-3</v>
      </c>
      <c r="O93">
        <v>4.4923910000000002E-4</v>
      </c>
      <c r="P93">
        <v>0.98403580000000002</v>
      </c>
      <c r="Q93">
        <v>0.15737570000000001</v>
      </c>
      <c r="R93">
        <v>8.3106929999999996E-2</v>
      </c>
      <c r="S93">
        <v>3.0265200000000001</v>
      </c>
      <c r="T93">
        <v>6.3679700000000006E-2</v>
      </c>
      <c r="U93">
        <v>0.1393433</v>
      </c>
      <c r="V93">
        <v>-8.2662169999999993E-2</v>
      </c>
      <c r="W93">
        <v>0.1656339</v>
      </c>
      <c r="X93">
        <v>0.9827169</v>
      </c>
      <c r="Y93">
        <v>-4.553741E-2</v>
      </c>
      <c r="Z93">
        <v>-2.7425540000000002E-4</v>
      </c>
      <c r="AA93">
        <v>0.99896260000000003</v>
      </c>
      <c r="AB93">
        <v>7</v>
      </c>
      <c r="AC93">
        <v>303.11619999999999</v>
      </c>
      <c r="AD93">
        <v>6.378895</v>
      </c>
      <c r="AE93">
        <v>13.958</v>
      </c>
      <c r="AF93">
        <v>-13.8157165808445</v>
      </c>
      <c r="AG93">
        <v>6.378895</v>
      </c>
      <c r="AH93">
        <v>302.98854063129397</v>
      </c>
      <c r="AI93">
        <v>88.795167037772302</v>
      </c>
      <c r="AJ93">
        <v>92.610773053763495</v>
      </c>
      <c r="AK93">
        <v>303.370433760352</v>
      </c>
      <c r="AL93">
        <v>80.4659396408329</v>
      </c>
      <c r="AM93">
        <v>94.8081704372769</v>
      </c>
      <c r="AN93">
        <v>1.00000006436196</v>
      </c>
    </row>
    <row r="94" spans="1:40" x14ac:dyDescent="0.25">
      <c r="A94" t="str">
        <f>"20190304155017997"</f>
        <v>20190304155017997</v>
      </c>
      <c r="B94" t="str">
        <f>"1551685817986472"</f>
        <v>1551685817986472</v>
      </c>
      <c r="C94" t="s">
        <v>40</v>
      </c>
      <c r="D94">
        <v>4.9683739999999998</v>
      </c>
      <c r="E94">
        <v>0.51342080000000001</v>
      </c>
      <c r="F94" t="s">
        <v>44</v>
      </c>
      <c r="G94">
        <v>-180.0205</v>
      </c>
      <c r="H94">
        <v>7.1488550000000002</v>
      </c>
      <c r="I94">
        <v>380.51609999999999</v>
      </c>
      <c r="J94">
        <v>-473.13310000000001</v>
      </c>
      <c r="K94">
        <v>1.1100209999999999</v>
      </c>
      <c r="L94">
        <v>367.2183</v>
      </c>
      <c r="M94">
        <v>0.99997159999999996</v>
      </c>
      <c r="N94">
        <v>-7.5305919999999896E-3</v>
      </c>
      <c r="O94">
        <v>4.8524450000000003E-4</v>
      </c>
      <c r="P94">
        <v>0.9838865</v>
      </c>
      <c r="Q94">
        <v>0.15817220000000001</v>
      </c>
      <c r="R94">
        <v>8.3359660000000002E-2</v>
      </c>
      <c r="S94">
        <v>3.0270999999999999</v>
      </c>
      <c r="T94">
        <v>6.2348479999999998E-2</v>
      </c>
      <c r="U94">
        <v>0.13729859999999999</v>
      </c>
      <c r="V94">
        <v>-8.2879419999999995E-2</v>
      </c>
      <c r="W94">
        <v>0.1655789</v>
      </c>
      <c r="X94">
        <v>0.98270780000000002</v>
      </c>
      <c r="Y94">
        <v>-4.4819310000000001E-2</v>
      </c>
      <c r="Z94">
        <v>-2.787822E-4</v>
      </c>
      <c r="AA94">
        <v>0.99899510000000002</v>
      </c>
      <c r="AB94">
        <v>7</v>
      </c>
      <c r="AC94">
        <v>293.11259999999999</v>
      </c>
      <c r="AD94">
        <v>6.0388339999999996</v>
      </c>
      <c r="AE94">
        <v>13.297799999999899</v>
      </c>
      <c r="AF94">
        <v>-13.1499929475857</v>
      </c>
      <c r="AG94">
        <v>6.0388339999999996</v>
      </c>
      <c r="AH94">
        <v>292.99490905548402</v>
      </c>
      <c r="AI94">
        <v>88.820447374243599</v>
      </c>
      <c r="AJ94">
        <v>92.569784633867499</v>
      </c>
      <c r="AK94">
        <v>293.352018167648</v>
      </c>
      <c r="AL94">
        <v>80.469134366143706</v>
      </c>
      <c r="AM94">
        <v>94.820792066810796</v>
      </c>
      <c r="AN94">
        <v>0.99999999528279304</v>
      </c>
    </row>
    <row r="95" spans="1:40" x14ac:dyDescent="0.25">
      <c r="A95" t="str">
        <f>"20190304155018018"</f>
        <v>20190304155018018</v>
      </c>
      <c r="B95" t="str">
        <f>"1551685818006966"</f>
        <v>1551685818006966</v>
      </c>
      <c r="C95" t="s">
        <v>40</v>
      </c>
      <c r="D95">
        <v>4.9118149999999998</v>
      </c>
      <c r="E95">
        <v>0.51325880000000002</v>
      </c>
      <c r="F95" t="s">
        <v>43</v>
      </c>
      <c r="G95">
        <v>-170.08879999999999</v>
      </c>
      <c r="H95">
        <v>7.7918859999999999</v>
      </c>
      <c r="I95">
        <v>381.27460000000002</v>
      </c>
      <c r="J95">
        <v>-473.05410000000001</v>
      </c>
      <c r="K95">
        <v>1.1097859999999999</v>
      </c>
      <c r="L95">
        <v>367.21839999999997</v>
      </c>
      <c r="M95">
        <v>0.99997740000000002</v>
      </c>
      <c r="N95">
        <v>-6.7299229999999996E-3</v>
      </c>
      <c r="O95">
        <v>5.2673990000000001E-4</v>
      </c>
      <c r="P95">
        <v>0.98374760000000006</v>
      </c>
      <c r="Q95">
        <v>0.1591446</v>
      </c>
      <c r="R95">
        <v>8.3150080000000001E-2</v>
      </c>
      <c r="S95">
        <v>3.0265200000000001</v>
      </c>
      <c r="T95">
        <v>6.6733000000000001E-2</v>
      </c>
      <c r="U95">
        <v>0.1403809</v>
      </c>
      <c r="V95">
        <v>-8.2629869999999994E-2</v>
      </c>
      <c r="W95">
        <v>0.1657632</v>
      </c>
      <c r="X95">
        <v>0.98269770000000001</v>
      </c>
      <c r="Y95">
        <v>-4.5800090000000002E-2</v>
      </c>
      <c r="Z95">
        <v>-3.3523789999999998E-4</v>
      </c>
      <c r="AA95">
        <v>0.99895049999999996</v>
      </c>
      <c r="AB95">
        <v>8</v>
      </c>
      <c r="AC95">
        <v>302.96530000000001</v>
      </c>
      <c r="AD95">
        <v>6.6821000000000002</v>
      </c>
      <c r="AE95">
        <v>14.0562</v>
      </c>
      <c r="AF95">
        <v>-13.8898683096324</v>
      </c>
      <c r="AG95">
        <v>6.6821000000000002</v>
      </c>
      <c r="AH95">
        <v>302.82566829609601</v>
      </c>
      <c r="AI95">
        <v>88.737253323279603</v>
      </c>
      <c r="AJ95">
        <v>92.626175786655693</v>
      </c>
      <c r="AK95">
        <v>303.217684644293</v>
      </c>
      <c r="AL95">
        <v>80.458426367250695</v>
      </c>
      <c r="AM95">
        <v>94.806393927702601</v>
      </c>
      <c r="AN95">
        <v>0.99999995173787204</v>
      </c>
    </row>
    <row r="96" spans="1:40" x14ac:dyDescent="0.25">
      <c r="A96" t="str">
        <f>"20190304155018039"</f>
        <v>20190304155018039</v>
      </c>
      <c r="B96" t="str">
        <f>"1551685818037222"</f>
        <v>1551685818037222</v>
      </c>
      <c r="C96" t="s">
        <v>40</v>
      </c>
      <c r="D96">
        <v>5.2022680000000001</v>
      </c>
      <c r="E96">
        <v>0.51364520000000002</v>
      </c>
      <c r="F96" t="s">
        <v>43</v>
      </c>
      <c r="G96">
        <v>-170.08879999999999</v>
      </c>
      <c r="H96">
        <v>8.2887690000000003</v>
      </c>
      <c r="I96">
        <v>381.34649999999999</v>
      </c>
      <c r="J96">
        <v>-472.9776</v>
      </c>
      <c r="K96">
        <v>1.109667</v>
      </c>
      <c r="L96">
        <v>367.21839999999997</v>
      </c>
      <c r="M96">
        <v>0.99998069999999895</v>
      </c>
      <c r="N96">
        <v>-6.1988299999999998E-3</v>
      </c>
      <c r="O96">
        <v>5.6637780000000002E-4</v>
      </c>
      <c r="P96">
        <v>0.98367839999999995</v>
      </c>
      <c r="Q96">
        <v>0.15965799999999999</v>
      </c>
      <c r="R96">
        <v>8.2983379999999995E-2</v>
      </c>
      <c r="S96">
        <v>3.026062</v>
      </c>
      <c r="T96">
        <v>7.1705580000000005E-2</v>
      </c>
      <c r="U96">
        <v>0.141113299999999</v>
      </c>
      <c r="V96">
        <v>-8.242476E-2</v>
      </c>
      <c r="W96">
        <v>0.16575379999999901</v>
      </c>
      <c r="X96">
        <v>0.98271660000000005</v>
      </c>
      <c r="Y96">
        <v>-4.6006999999999999E-2</v>
      </c>
      <c r="Z96">
        <v>-3.8511040000000001E-4</v>
      </c>
      <c r="AA96">
        <v>0.99894110000000003</v>
      </c>
      <c r="AB96">
        <v>8</v>
      </c>
      <c r="AC96">
        <v>302.8888</v>
      </c>
      <c r="AD96">
        <v>7.1791020000000003</v>
      </c>
      <c r="AE96">
        <v>14.1281</v>
      </c>
      <c r="AF96">
        <v>-13.948725719373099</v>
      </c>
      <c r="AG96">
        <v>7.1791020000000003</v>
      </c>
      <c r="AH96">
        <v>302.72705367143101</v>
      </c>
      <c r="AI96">
        <v>88.642937756886298</v>
      </c>
      <c r="AJ96">
        <v>92.638146250809797</v>
      </c>
      <c r="AK96">
        <v>303.13326356456901</v>
      </c>
      <c r="AL96">
        <v>80.4589733487242</v>
      </c>
      <c r="AM96">
        <v>94.794427046035693</v>
      </c>
      <c r="AN96">
        <v>1.00000003959552</v>
      </c>
    </row>
    <row r="97" spans="1:40" x14ac:dyDescent="0.25">
      <c r="A97" t="str">
        <f>"20190304155018052"</f>
        <v>20190304155018052</v>
      </c>
      <c r="B97" t="str">
        <f>"1551685818046981"</f>
        <v>1551685818046981</v>
      </c>
      <c r="C97" t="s">
        <v>40</v>
      </c>
      <c r="D97">
        <v>5.0273059999999896</v>
      </c>
      <c r="E97">
        <v>0.51371040000000001</v>
      </c>
      <c r="F97" t="s">
        <v>44</v>
      </c>
      <c r="G97">
        <v>-179.97640000000001</v>
      </c>
      <c r="H97">
        <v>8.4082410000000003</v>
      </c>
      <c r="I97">
        <v>380.56020000000001</v>
      </c>
      <c r="J97">
        <v>-472.9282</v>
      </c>
      <c r="K97">
        <v>1.1096250000000001</v>
      </c>
      <c r="L97">
        <v>367.21850000000001</v>
      </c>
      <c r="M97">
        <v>0.99998229999999999</v>
      </c>
      <c r="N97">
        <v>-5.9349509999999999E-3</v>
      </c>
      <c r="O97">
        <v>5.9096650000000001E-4</v>
      </c>
      <c r="P97">
        <v>0.9836144</v>
      </c>
      <c r="Q97">
        <v>0.16004599999999999</v>
      </c>
      <c r="R97">
        <v>8.2997189999999998E-2</v>
      </c>
      <c r="S97">
        <v>3.02597</v>
      </c>
      <c r="T97">
        <v>7.5377349999999996E-2</v>
      </c>
      <c r="U97">
        <v>0.13778689999999999</v>
      </c>
      <c r="V97">
        <v>-8.2414539999999994E-2</v>
      </c>
      <c r="W97">
        <v>0.16588169999999999</v>
      </c>
      <c r="X97">
        <v>0.98269580000000001</v>
      </c>
      <c r="Y97">
        <v>-4.4886969999999998E-2</v>
      </c>
      <c r="Z97">
        <v>-4.0719140000000003E-4</v>
      </c>
      <c r="AA97">
        <v>0.99899199999999999</v>
      </c>
      <c r="AB97">
        <v>8</v>
      </c>
      <c r="AC97">
        <v>292.95179999999999</v>
      </c>
      <c r="AD97">
        <v>7.298616</v>
      </c>
      <c r="AE97">
        <v>13.341699999999999</v>
      </c>
      <c r="AF97">
        <v>-13.1604180419287</v>
      </c>
      <c r="AG97">
        <v>7.298616</v>
      </c>
      <c r="AH97">
        <v>292.77827924271401</v>
      </c>
      <c r="AI97">
        <v>88.573419678067907</v>
      </c>
      <c r="AJ97">
        <v>92.573719540786797</v>
      </c>
      <c r="AK97">
        <v>293.16477823039799</v>
      </c>
      <c r="AL97">
        <v>80.451541628825495</v>
      </c>
      <c r="AM97">
        <v>94.793936341394399</v>
      </c>
      <c r="AN97">
        <v>0.99999996506796995</v>
      </c>
    </row>
    <row r="98" spans="1:40" x14ac:dyDescent="0.25">
      <c r="A98" t="str">
        <f>"20190304155018074"</f>
        <v>20190304155018074</v>
      </c>
      <c r="B98" t="str">
        <f>"1551685818066502"</f>
        <v>1551685818066502</v>
      </c>
      <c r="C98" t="s">
        <v>40</v>
      </c>
      <c r="D98">
        <v>5.1362730000000001</v>
      </c>
      <c r="E98">
        <v>0.51368479999999905</v>
      </c>
      <c r="F98" t="s">
        <v>44</v>
      </c>
      <c r="G98">
        <v>-180.0213</v>
      </c>
      <c r="H98">
        <v>8.5288109999999993</v>
      </c>
      <c r="I98">
        <v>380.4615</v>
      </c>
      <c r="J98">
        <v>-472.84899999999999</v>
      </c>
      <c r="K98">
        <v>1.109583</v>
      </c>
      <c r="L98">
        <v>367.21859999999998</v>
      </c>
      <c r="M98">
        <v>0.99998410000000004</v>
      </c>
      <c r="N98">
        <v>-5.588684E-3</v>
      </c>
      <c r="O98">
        <v>6.2850579999999996E-4</v>
      </c>
      <c r="P98">
        <v>0.9835045</v>
      </c>
      <c r="Q98">
        <v>0.16057060000000001</v>
      </c>
      <c r="R98">
        <v>8.3281610000000006E-2</v>
      </c>
      <c r="S98">
        <v>3.02597</v>
      </c>
      <c r="T98">
        <v>7.6647640000000003E-2</v>
      </c>
      <c r="U98">
        <v>0.1368103</v>
      </c>
      <c r="V98">
        <v>-8.2662169999999993E-2</v>
      </c>
      <c r="W98">
        <v>0.16606560000000001</v>
      </c>
      <c r="X98">
        <v>0.98264399999999996</v>
      </c>
      <c r="Y98">
        <v>-4.4527219999999999E-2</v>
      </c>
      <c r="Z98">
        <v>-4.1963390000000002E-4</v>
      </c>
      <c r="AA98">
        <v>0.99900809999999995</v>
      </c>
      <c r="AB98">
        <v>8</v>
      </c>
      <c r="AC98">
        <v>292.82769999999999</v>
      </c>
      <c r="AD98">
        <v>7.4192279999999897</v>
      </c>
      <c r="AE98">
        <v>13.242900000000001</v>
      </c>
      <c r="AF98">
        <v>-13.050490079396001</v>
      </c>
      <c r="AG98">
        <v>7.4192279999999897</v>
      </c>
      <c r="AH98">
        <v>292.64848676839802</v>
      </c>
      <c r="AI98">
        <v>88.549189032512501</v>
      </c>
      <c r="AJ98">
        <v>92.553380455855404</v>
      </c>
      <c r="AK98">
        <v>293.03326951604299</v>
      </c>
      <c r="AL98">
        <v>80.440857308602602</v>
      </c>
      <c r="AM98">
        <v>94.8085254713843</v>
      </c>
      <c r="AN98">
        <v>1.00000002429423</v>
      </c>
    </row>
    <row r="99" spans="1:40" x14ac:dyDescent="0.25">
      <c r="A99" t="str">
        <f>"20190304155018086"</f>
        <v>20190304155018086</v>
      </c>
      <c r="B99" t="str">
        <f>"1551685818077239"</f>
        <v>1551685818077239</v>
      </c>
      <c r="C99" t="s">
        <v>40</v>
      </c>
      <c r="D99">
        <v>4.8424149999999999</v>
      </c>
      <c r="E99">
        <v>0.51362759999999996</v>
      </c>
      <c r="F99" t="s">
        <v>44</v>
      </c>
      <c r="G99">
        <v>-179.965</v>
      </c>
      <c r="H99">
        <v>8.8502119999999902</v>
      </c>
      <c r="I99">
        <v>380.57159999999999</v>
      </c>
      <c r="J99">
        <v>-472.79860000000002</v>
      </c>
      <c r="K99">
        <v>1.109564</v>
      </c>
      <c r="L99">
        <v>367.21870000000001</v>
      </c>
      <c r="M99">
        <v>0.99998529999999997</v>
      </c>
      <c r="N99">
        <v>-5.3959129999999996E-3</v>
      </c>
      <c r="O99">
        <v>6.5144620000000004E-4</v>
      </c>
      <c r="P99">
        <v>0.98349600000000004</v>
      </c>
      <c r="Q99">
        <v>0.1607345</v>
      </c>
      <c r="R99">
        <v>8.3067650000000007E-2</v>
      </c>
      <c r="S99">
        <v>3.0255740000000002</v>
      </c>
      <c r="T99">
        <v>7.9964160000000006E-2</v>
      </c>
      <c r="U99">
        <v>0.13793949999999999</v>
      </c>
      <c r="V99">
        <v>-8.2425440000000003E-2</v>
      </c>
      <c r="W99">
        <v>0.16603970000000001</v>
      </c>
      <c r="X99">
        <v>0.98266819999999999</v>
      </c>
      <c r="Y99">
        <v>-4.4880969999999999E-2</v>
      </c>
      <c r="Z99">
        <v>-4.507925E-4</v>
      </c>
      <c r="AA99">
        <v>0.99899230000000006</v>
      </c>
      <c r="AB99">
        <v>8</v>
      </c>
      <c r="AC99">
        <v>292.83359999999999</v>
      </c>
      <c r="AD99">
        <v>7.7406479999999904</v>
      </c>
      <c r="AE99">
        <v>13.352899999999901</v>
      </c>
      <c r="AF99">
        <v>-13.1529576976709</v>
      </c>
      <c r="AG99">
        <v>7.7406479999999904</v>
      </c>
      <c r="AH99">
        <v>292.638184266758</v>
      </c>
      <c r="AI99">
        <v>88.486335323436506</v>
      </c>
      <c r="AJ99">
        <v>92.573492284077801</v>
      </c>
      <c r="AK99">
        <v>293.035876333602</v>
      </c>
      <c r="AL99">
        <v>80.442361572027195</v>
      </c>
      <c r="AM99">
        <v>94.794701459522898</v>
      </c>
      <c r="AN99">
        <v>0.99999996321326101</v>
      </c>
    </row>
    <row r="100" spans="1:40" x14ac:dyDescent="0.25">
      <c r="A100" t="str">
        <f>"20190304155018099"</f>
        <v>20190304155018099</v>
      </c>
      <c r="B100" t="str">
        <f>"1551685818096758"</f>
        <v>1551685818096758</v>
      </c>
      <c r="C100" t="s">
        <v>40</v>
      </c>
      <c r="D100">
        <v>4.9386530000000004</v>
      </c>
      <c r="E100">
        <v>0.51382139999999998</v>
      </c>
      <c r="F100" t="s">
        <v>44</v>
      </c>
      <c r="G100">
        <v>-179.9897</v>
      </c>
      <c r="H100">
        <v>8.8251589999999993</v>
      </c>
      <c r="I100">
        <v>380.54689999999999</v>
      </c>
      <c r="J100">
        <v>-472.75139999999999</v>
      </c>
      <c r="K100">
        <v>1.109559</v>
      </c>
      <c r="L100">
        <v>367.21870000000001</v>
      </c>
      <c r="M100">
        <v>0.99998580000000004</v>
      </c>
      <c r="N100">
        <v>-5.275007E-3</v>
      </c>
      <c r="O100">
        <v>6.723311E-4</v>
      </c>
      <c r="P100">
        <v>0.9834619</v>
      </c>
      <c r="Q100">
        <v>0.16077900000000001</v>
      </c>
      <c r="R100">
        <v>8.3382650000000003E-2</v>
      </c>
      <c r="S100">
        <v>3.0257260000000001</v>
      </c>
      <c r="T100">
        <v>7.9730029999999993E-2</v>
      </c>
      <c r="U100">
        <v>0.13772579999999901</v>
      </c>
      <c r="V100">
        <v>-8.2720269999999999E-2</v>
      </c>
      <c r="W100">
        <v>0.16596540000000001</v>
      </c>
      <c r="X100">
        <v>0.98265599999999997</v>
      </c>
      <c r="Y100">
        <v>-4.4787470000000003E-2</v>
      </c>
      <c r="Z100">
        <v>-4.5022980000000002E-4</v>
      </c>
      <c r="AA100">
        <v>0.99899640000000001</v>
      </c>
      <c r="AB100">
        <v>8</v>
      </c>
      <c r="AC100">
        <v>292.76170000000002</v>
      </c>
      <c r="AD100">
        <v>7.7155999999999896</v>
      </c>
      <c r="AE100">
        <v>13.328199999999899</v>
      </c>
      <c r="AF100">
        <v>-13.122266067583</v>
      </c>
      <c r="AG100">
        <v>7.7155999999999896</v>
      </c>
      <c r="AH100">
        <v>292.56780879071403</v>
      </c>
      <c r="AI100">
        <v>88.490862013001404</v>
      </c>
      <c r="AJ100">
        <v>92.5681120100962</v>
      </c>
      <c r="AK100">
        <v>292.96355932215903</v>
      </c>
      <c r="AL100">
        <v>80.446678762060102</v>
      </c>
      <c r="AM100">
        <v>94.811830845607901</v>
      </c>
      <c r="AN100">
        <v>0.999999985701016</v>
      </c>
    </row>
    <row r="101" spans="1:40" x14ac:dyDescent="0.25">
      <c r="A101" t="str">
        <f>"20190304155018118"</f>
        <v>20190304155018118</v>
      </c>
      <c r="B101" t="str">
        <f>"1551685818106521"</f>
        <v>1551685818106521</v>
      </c>
      <c r="C101" t="s">
        <v>40</v>
      </c>
      <c r="D101">
        <v>5.0301200000000001</v>
      </c>
      <c r="E101">
        <v>0.51371069999999996</v>
      </c>
      <c r="F101" t="s">
        <v>44</v>
      </c>
      <c r="G101">
        <v>-180.02459999999999</v>
      </c>
      <c r="H101">
        <v>8.9532579999999999</v>
      </c>
      <c r="I101">
        <v>380.49090000000001</v>
      </c>
      <c r="J101">
        <v>-472.67750000000001</v>
      </c>
      <c r="K101">
        <v>1.109572</v>
      </c>
      <c r="L101">
        <v>367.21879999999999</v>
      </c>
      <c r="M101">
        <v>0.99998640000000005</v>
      </c>
      <c r="N101">
        <v>-5.1583599999999999E-3</v>
      </c>
      <c r="O101">
        <v>7.0553269999999995E-4</v>
      </c>
      <c r="P101">
        <v>0.98353139999999994</v>
      </c>
      <c r="Q101">
        <v>0.16028829999999999</v>
      </c>
      <c r="R101">
        <v>8.3509269999999997E-2</v>
      </c>
      <c r="S101">
        <v>3.0255429999999999</v>
      </c>
      <c r="T101">
        <v>8.1071619999999997E-2</v>
      </c>
      <c r="U101">
        <v>0.13717650000000001</v>
      </c>
      <c r="V101">
        <v>-8.2813620000000004E-2</v>
      </c>
      <c r="W101">
        <v>0.1653607</v>
      </c>
      <c r="X101">
        <v>0.98275009999999996</v>
      </c>
      <c r="Y101">
        <v>-4.4575579999999997E-2</v>
      </c>
      <c r="Z101">
        <v>-4.5923019999999999E-4</v>
      </c>
      <c r="AA101">
        <v>0.9990059</v>
      </c>
      <c r="AB101">
        <v>9</v>
      </c>
      <c r="AC101">
        <v>292.65289999999999</v>
      </c>
      <c r="AD101">
        <v>7.8436859999999999</v>
      </c>
      <c r="AE101">
        <v>13.2721</v>
      </c>
      <c r="AF101">
        <v>-13.056258065810299</v>
      </c>
      <c r="AG101">
        <v>7.8436859999999999</v>
      </c>
      <c r="AH101">
        <v>292.45253975496303</v>
      </c>
      <c r="AI101">
        <v>88.465202167759301</v>
      </c>
      <c r="AJ101">
        <v>92.556216774629107</v>
      </c>
      <c r="AK101">
        <v>292.84889839962801</v>
      </c>
      <c r="AL101">
        <v>80.481811176554899</v>
      </c>
      <c r="AM101">
        <v>94.816776379083095</v>
      </c>
      <c r="AN101">
        <v>1.0000000079060001</v>
      </c>
    </row>
    <row r="102" spans="1:40" x14ac:dyDescent="0.25">
      <c r="A102" t="str">
        <f>"20190304155018130"</f>
        <v>20190304155018130</v>
      </c>
      <c r="B102" t="str">
        <f>"1551685818127014"</f>
        <v>1551685818127014</v>
      </c>
      <c r="C102" t="s">
        <v>40</v>
      </c>
      <c r="D102">
        <v>4.9149929999999999</v>
      </c>
      <c r="E102">
        <v>0.51378329999999905</v>
      </c>
      <c r="F102" t="s">
        <v>43</v>
      </c>
      <c r="G102">
        <v>-168.84350000000001</v>
      </c>
      <c r="H102">
        <v>8.7794249999999998</v>
      </c>
      <c r="I102">
        <v>381.12389999999999</v>
      </c>
      <c r="J102">
        <v>-472.6275</v>
      </c>
      <c r="K102">
        <v>1.1095889999999999</v>
      </c>
      <c r="L102">
        <v>367.21890000000002</v>
      </c>
      <c r="M102">
        <v>0.99998679999999995</v>
      </c>
      <c r="N102">
        <v>-5.1298250000000002E-3</v>
      </c>
      <c r="O102">
        <v>7.2813279999999999E-4</v>
      </c>
      <c r="P102">
        <v>0.98363719999999999</v>
      </c>
      <c r="Q102">
        <v>0.1595588</v>
      </c>
      <c r="R102">
        <v>8.3662210000000001E-2</v>
      </c>
      <c r="S102">
        <v>3.026062</v>
      </c>
      <c r="T102">
        <v>7.6389429999999994E-2</v>
      </c>
      <c r="U102">
        <v>0.1384888</v>
      </c>
      <c r="V102">
        <v>-8.2944219999999999E-2</v>
      </c>
      <c r="W102">
        <v>0.1646039</v>
      </c>
      <c r="X102">
        <v>0.98286609999999996</v>
      </c>
      <c r="Y102">
        <v>-4.497905E-2</v>
      </c>
      <c r="Z102">
        <v>-4.2979100000000001E-4</v>
      </c>
      <c r="AA102">
        <v>0.99898790000000004</v>
      </c>
      <c r="AB102">
        <v>9</v>
      </c>
      <c r="AC102">
        <v>303.78399999999999</v>
      </c>
      <c r="AD102">
        <v>7.6698360000000001</v>
      </c>
      <c r="AE102">
        <v>13.9049999999999</v>
      </c>
      <c r="AF102">
        <v>-13.675099466880001</v>
      </c>
      <c r="AG102">
        <v>7.6698360000000001</v>
      </c>
      <c r="AH102">
        <v>303.60092017706302</v>
      </c>
      <c r="AI102">
        <v>88.554316146613701</v>
      </c>
      <c r="AJ102">
        <v>92.579031171417498</v>
      </c>
      <c r="AK102">
        <v>304.00551551255597</v>
      </c>
      <c r="AL102">
        <v>80.525774805322101</v>
      </c>
      <c r="AM102">
        <v>94.823770088879897</v>
      </c>
      <c r="AN102">
        <v>0.99999997902791304</v>
      </c>
    </row>
    <row r="103" spans="1:40" x14ac:dyDescent="0.25">
      <c r="A103" t="str">
        <f>"20190304155018151"</f>
        <v>20190304155018151</v>
      </c>
      <c r="B103" t="str">
        <f>"1551685818146534"</f>
        <v>1551685818146534</v>
      </c>
      <c r="C103" t="s">
        <v>40</v>
      </c>
      <c r="D103">
        <v>4.992801</v>
      </c>
      <c r="E103">
        <v>0.51399090000000003</v>
      </c>
      <c r="F103" t="s">
        <v>43</v>
      </c>
      <c r="G103">
        <v>-170.08879999999999</v>
      </c>
      <c r="H103">
        <v>8.4457640000000005</v>
      </c>
      <c r="I103">
        <v>381.05500000000001</v>
      </c>
      <c r="J103">
        <v>-472.54790000000003</v>
      </c>
      <c r="K103">
        <v>1.1096269999999999</v>
      </c>
      <c r="L103">
        <v>367.21890000000002</v>
      </c>
      <c r="M103">
        <v>0.9999865</v>
      </c>
      <c r="N103">
        <v>-5.1537349999999996E-3</v>
      </c>
      <c r="O103">
        <v>7.648431E-4</v>
      </c>
      <c r="P103">
        <v>0.98384340000000003</v>
      </c>
      <c r="Q103">
        <v>0.1580106</v>
      </c>
      <c r="R103">
        <v>8.4171819999999994E-2</v>
      </c>
      <c r="S103">
        <v>3.0261840000000002</v>
      </c>
      <c r="T103">
        <v>7.33819E-2</v>
      </c>
      <c r="U103">
        <v>0.1383972</v>
      </c>
      <c r="V103">
        <v>-8.3417420000000006E-2</v>
      </c>
      <c r="W103">
        <v>0.16308029999999901</v>
      </c>
      <c r="X103">
        <v>0.98307999999999995</v>
      </c>
      <c r="Y103">
        <v>-4.4911390000000002E-2</v>
      </c>
      <c r="Z103">
        <v>-4.0588510000000001E-4</v>
      </c>
      <c r="AA103">
        <v>0.99899090000000001</v>
      </c>
      <c r="AB103">
        <v>9</v>
      </c>
      <c r="AC103">
        <v>302.45909999999998</v>
      </c>
      <c r="AD103">
        <v>7.3361369999999999</v>
      </c>
      <c r="AE103">
        <v>13.836099999999901</v>
      </c>
      <c r="AF103">
        <v>-13.5967768123623</v>
      </c>
      <c r="AG103">
        <v>7.3361369999999999</v>
      </c>
      <c r="AH103">
        <v>302.29212592664601</v>
      </c>
      <c r="AI103">
        <v>88.611201314152098</v>
      </c>
      <c r="AJ103">
        <v>92.575367130110294</v>
      </c>
      <c r="AK103">
        <v>302.686670738933</v>
      </c>
      <c r="AL103">
        <v>80.614266390307293</v>
      </c>
      <c r="AM103">
        <v>94.8501084338737</v>
      </c>
      <c r="AN103">
        <v>0.99999996830377202</v>
      </c>
    </row>
    <row r="104" spans="1:40" x14ac:dyDescent="0.25">
      <c r="A104" t="str">
        <f>"20190304155018164"</f>
        <v>20190304155018164</v>
      </c>
      <c r="B104" t="str">
        <f>"1551685818157270"</f>
        <v>1551685818157270</v>
      </c>
      <c r="C104" t="s">
        <v>40</v>
      </c>
      <c r="D104">
        <v>4.914981</v>
      </c>
      <c r="E104">
        <v>0.51399090000000003</v>
      </c>
      <c r="F104" t="s">
        <v>44</v>
      </c>
      <c r="G104">
        <v>-179.95679999999999</v>
      </c>
      <c r="H104">
        <v>7.5243839999999897</v>
      </c>
      <c r="I104">
        <v>380.57979999999998</v>
      </c>
      <c r="J104">
        <v>-472.49110000000002</v>
      </c>
      <c r="K104">
        <v>1.109659</v>
      </c>
      <c r="L104">
        <v>367.21899999999999</v>
      </c>
      <c r="M104">
        <v>0.99998640000000005</v>
      </c>
      <c r="N104">
        <v>-5.1826579999999997E-3</v>
      </c>
      <c r="O104">
        <v>7.9123080000000003E-4</v>
      </c>
      <c r="P104">
        <v>0.98395449999999995</v>
      </c>
      <c r="Q104">
        <v>0.15710180000000001</v>
      </c>
      <c r="R104">
        <v>8.4574300000000005E-2</v>
      </c>
      <c r="S104">
        <v>3.026764</v>
      </c>
      <c r="T104">
        <v>6.6360000000000002E-2</v>
      </c>
      <c r="U104">
        <v>0.13821410000000001</v>
      </c>
      <c r="V104">
        <v>-8.3793480000000004E-2</v>
      </c>
      <c r="W104">
        <v>0.1622005</v>
      </c>
      <c r="X104">
        <v>0.9831936</v>
      </c>
      <c r="Y104">
        <v>-4.48181E-2</v>
      </c>
      <c r="Z104">
        <v>-3.5334589999999898E-4</v>
      </c>
      <c r="AA104">
        <v>0.99899510000000002</v>
      </c>
      <c r="AB104">
        <v>9</v>
      </c>
      <c r="AC104">
        <v>292.53429999999997</v>
      </c>
      <c r="AD104">
        <v>6.4147249999999998</v>
      </c>
      <c r="AE104">
        <v>13.3607999999999</v>
      </c>
      <c r="AF104">
        <v>-13.1230336221548</v>
      </c>
      <c r="AG104">
        <v>6.4147249999999998</v>
      </c>
      <c r="AH104">
        <v>292.40447234040698</v>
      </c>
      <c r="AI104">
        <v>88.744518804992893</v>
      </c>
      <c r="AJ104">
        <v>92.569694726955902</v>
      </c>
      <c r="AK104">
        <v>292.76908674405098</v>
      </c>
      <c r="AL104">
        <v>80.665355770454994</v>
      </c>
      <c r="AM104">
        <v>94.871308351551903</v>
      </c>
      <c r="AN104">
        <v>1.0000000022858599</v>
      </c>
    </row>
    <row r="105" spans="1:40" x14ac:dyDescent="0.25">
      <c r="A105" t="str">
        <f>"20190304155018178"</f>
        <v>20190304155018178</v>
      </c>
      <c r="B105" t="str">
        <f>"1551685818167030"</f>
        <v>1551685818167030</v>
      </c>
      <c r="C105" t="s">
        <v>40</v>
      </c>
      <c r="D105">
        <v>4.8532060000000001</v>
      </c>
      <c r="E105">
        <v>0.56255630000000001</v>
      </c>
      <c r="F105" t="s">
        <v>43</v>
      </c>
      <c r="G105">
        <v>-170.08879999999999</v>
      </c>
      <c r="H105">
        <v>7.4604739999999996</v>
      </c>
      <c r="I105">
        <v>381.15249999999997</v>
      </c>
      <c r="J105">
        <v>-472.4384</v>
      </c>
      <c r="K105">
        <v>1.109672</v>
      </c>
      <c r="L105">
        <v>367.21910000000003</v>
      </c>
      <c r="M105">
        <v>0.99998620000000005</v>
      </c>
      <c r="N105">
        <v>-5.1968960000000003E-3</v>
      </c>
      <c r="O105">
        <v>8.161078E-4</v>
      </c>
      <c r="P105">
        <v>0.98410319999999996</v>
      </c>
      <c r="Q105">
        <v>0.15598960000000001</v>
      </c>
      <c r="R105">
        <v>8.4901219999999999E-2</v>
      </c>
      <c r="S105">
        <v>3.0268549999999999</v>
      </c>
      <c r="T105">
        <v>6.3568470000000002E-2</v>
      </c>
      <c r="U105">
        <v>0.13946529999999999</v>
      </c>
      <c r="V105">
        <v>-8.4095710000000004E-2</v>
      </c>
      <c r="W105">
        <v>0.1611032</v>
      </c>
      <c r="X105">
        <v>0.98334820000000001</v>
      </c>
      <c r="Y105">
        <v>-4.5204679999999997E-2</v>
      </c>
      <c r="Z105">
        <v>-3.3547729999999998E-4</v>
      </c>
      <c r="AA105">
        <v>0.99897769999999997</v>
      </c>
      <c r="AB105">
        <v>9</v>
      </c>
      <c r="AC105">
        <v>302.34960000000001</v>
      </c>
      <c r="AD105">
        <v>6.3508019999999998</v>
      </c>
      <c r="AE105">
        <v>13.933399999999899</v>
      </c>
      <c r="AF105">
        <v>-13.680619032664399</v>
      </c>
      <c r="AG105">
        <v>6.3508019999999998</v>
      </c>
      <c r="AH105">
        <v>302.227809420016</v>
      </c>
      <c r="AI105">
        <v>88.797435103277195</v>
      </c>
      <c r="AJ105">
        <v>92.591776797974404</v>
      </c>
      <c r="AK105">
        <v>302.603933897069</v>
      </c>
      <c r="AL105">
        <v>80.729064371710905</v>
      </c>
      <c r="AM105">
        <v>94.888028515705201</v>
      </c>
      <c r="AN105">
        <v>1.0000000059669401</v>
      </c>
    </row>
    <row r="106" spans="1:40" x14ac:dyDescent="0.25">
      <c r="A106" t="str">
        <f>"20190304155018197"</f>
        <v>20190304155018197</v>
      </c>
      <c r="B106" t="str">
        <f>"1551685818186549"</f>
        <v>1551685818186549</v>
      </c>
      <c r="C106" t="s">
        <v>40</v>
      </c>
      <c r="D106">
        <v>4.8414289999999998</v>
      </c>
      <c r="E106">
        <v>0.56756200000000001</v>
      </c>
      <c r="F106" t="s">
        <v>45</v>
      </c>
      <c r="G106">
        <v>-162.63069999999999</v>
      </c>
      <c r="H106">
        <v>10.4198</v>
      </c>
      <c r="I106">
        <v>342.35289999999998</v>
      </c>
      <c r="J106">
        <v>-472.35969999999998</v>
      </c>
      <c r="K106">
        <v>1.1096760000000001</v>
      </c>
      <c r="L106">
        <v>367.2192</v>
      </c>
      <c r="M106">
        <v>0.99998620000000005</v>
      </c>
      <c r="N106">
        <v>-5.1982570000000004E-3</v>
      </c>
      <c r="O106">
        <v>8.5300109999999997E-4</v>
      </c>
      <c r="P106">
        <v>0.98436129999999999</v>
      </c>
      <c r="Q106">
        <v>0.15404300000000001</v>
      </c>
      <c r="R106">
        <v>8.5463029999999995E-2</v>
      </c>
      <c r="S106">
        <v>3.0550540000000002</v>
      </c>
      <c r="T106">
        <v>9.1808440000000005E-2</v>
      </c>
      <c r="U106">
        <v>-0.2452087</v>
      </c>
      <c r="V106">
        <v>-8.4621650000000007E-2</v>
      </c>
      <c r="W106">
        <v>0.15915969999999999</v>
      </c>
      <c r="X106">
        <v>0.98361949999999998</v>
      </c>
      <c r="Y106">
        <v>8.0825789999999995E-2</v>
      </c>
      <c r="Z106">
        <v>1.031798E-3</v>
      </c>
      <c r="AA106">
        <v>0.99672769999999999</v>
      </c>
      <c r="AB106">
        <v>9</v>
      </c>
      <c r="AC106">
        <v>309.72899999999998</v>
      </c>
      <c r="AD106">
        <v>9.3101240000000001</v>
      </c>
      <c r="AE106">
        <v>-24.866299999999999</v>
      </c>
      <c r="AF106">
        <v>25.1079529381839</v>
      </c>
      <c r="AG106">
        <v>9.3101240000000001</v>
      </c>
      <c r="AH106">
        <v>309.42988441076602</v>
      </c>
      <c r="AI106">
        <v>88.282247226953103</v>
      </c>
      <c r="AJ106">
        <v>85.361033439120604</v>
      </c>
      <c r="AK106">
        <v>310.58644702578698</v>
      </c>
      <c r="AL106">
        <v>80.841874208339306</v>
      </c>
      <c r="AM106">
        <v>94.9170991189131</v>
      </c>
      <c r="AN106">
        <v>0.999999977266531</v>
      </c>
    </row>
    <row r="107" spans="1:40" x14ac:dyDescent="0.25">
      <c r="A107" t="str">
        <f>"20190304155018218"</f>
        <v>20190304155018218</v>
      </c>
      <c r="B107" t="str">
        <f>"1551685818207046"</f>
        <v>1551685818207046</v>
      </c>
      <c r="C107" t="s">
        <v>40</v>
      </c>
      <c r="D107">
        <v>4.785183</v>
      </c>
      <c r="E107">
        <v>0.56912419999999997</v>
      </c>
      <c r="F107" t="s">
        <v>45</v>
      </c>
      <c r="G107">
        <v>-168.4023</v>
      </c>
      <c r="H107">
        <v>6.7641419999999997</v>
      </c>
      <c r="I107">
        <v>339.06779999999998</v>
      </c>
      <c r="J107">
        <v>-472.27319999999997</v>
      </c>
      <c r="K107">
        <v>1.1096680000000001</v>
      </c>
      <c r="L107">
        <v>367.21929999999998</v>
      </c>
      <c r="M107">
        <v>0.99998640000000005</v>
      </c>
      <c r="N107">
        <v>-5.173459E-3</v>
      </c>
      <c r="O107">
        <v>8.9354039999999999E-4</v>
      </c>
      <c r="P107">
        <v>0.98477340000000002</v>
      </c>
      <c r="Q107">
        <v>0.15099660000000001</v>
      </c>
      <c r="R107">
        <v>8.6147779999999993E-2</v>
      </c>
      <c r="S107">
        <v>3.0634160000000001</v>
      </c>
      <c r="T107">
        <v>5.6988240000000003E-2</v>
      </c>
      <c r="U107">
        <v>-0.28372190000000003</v>
      </c>
      <c r="V107">
        <v>-8.5265670000000002E-2</v>
      </c>
      <c r="W107">
        <v>0.15609100000000001</v>
      </c>
      <c r="X107">
        <v>0.98405560000000003</v>
      </c>
      <c r="Y107">
        <v>9.3099479999999998E-2</v>
      </c>
      <c r="Z107">
        <v>6.4387820000000003E-4</v>
      </c>
      <c r="AA107">
        <v>0.9956566</v>
      </c>
      <c r="AB107">
        <v>9</v>
      </c>
      <c r="AC107">
        <v>303.87090000000001</v>
      </c>
      <c r="AD107">
        <v>5.6544740000000004</v>
      </c>
      <c r="AE107">
        <v>-28.151499999999999</v>
      </c>
      <c r="AF107">
        <v>28.413258530820901</v>
      </c>
      <c r="AG107">
        <v>5.6544740000000004</v>
      </c>
      <c r="AH107">
        <v>303.74134443943097</v>
      </c>
      <c r="AI107">
        <v>88.938134970122405</v>
      </c>
      <c r="AJ107">
        <v>84.655860654259399</v>
      </c>
      <c r="AK107">
        <v>305.11979722467902</v>
      </c>
      <c r="AL107">
        <v>81.019924116906793</v>
      </c>
      <c r="AM107">
        <v>94.952150873380106</v>
      </c>
      <c r="AN107">
        <v>1.0000000293264499</v>
      </c>
    </row>
    <row r="108" spans="1:40" x14ac:dyDescent="0.25">
      <c r="A108" t="str">
        <f>"20190304155018231"</f>
        <v>20190304155018231</v>
      </c>
      <c r="B108" t="str">
        <f>"1551685818226566"</f>
        <v>1551685818226566</v>
      </c>
      <c r="C108" t="s">
        <v>40</v>
      </c>
      <c r="D108">
        <v>4.734801</v>
      </c>
      <c r="E108">
        <v>0.57014980000000004</v>
      </c>
      <c r="F108" t="s">
        <v>46</v>
      </c>
      <c r="G108">
        <v>-265.90940000000001</v>
      </c>
      <c r="H108">
        <v>4.6303340000000004</v>
      </c>
      <c r="I108">
        <v>347.43040000000002</v>
      </c>
      <c r="J108">
        <v>-472.22</v>
      </c>
      <c r="K108">
        <v>1.109656</v>
      </c>
      <c r="L108">
        <v>367.21940000000001</v>
      </c>
      <c r="M108">
        <v>0.99998629999999999</v>
      </c>
      <c r="N108">
        <v>-5.1515809999999997E-3</v>
      </c>
      <c r="O108">
        <v>9.1833530000000004E-4</v>
      </c>
      <c r="P108">
        <v>0.9850411</v>
      </c>
      <c r="Q108">
        <v>0.1490727</v>
      </c>
      <c r="R108">
        <v>8.6436029999999997E-2</v>
      </c>
      <c r="S108">
        <v>3.0640559999999999</v>
      </c>
      <c r="T108">
        <v>5.2275420000000003E-2</v>
      </c>
      <c r="U108">
        <v>-0.29382320000000001</v>
      </c>
      <c r="V108">
        <v>-8.5529519999999998E-2</v>
      </c>
      <c r="W108">
        <v>0.1541469</v>
      </c>
      <c r="X108">
        <v>0.98433910000000002</v>
      </c>
      <c r="Y108">
        <v>9.6359899999999998E-2</v>
      </c>
      <c r="Z108">
        <v>5.9161629999999999E-4</v>
      </c>
      <c r="AA108">
        <v>0.99534639999999996</v>
      </c>
      <c r="AB108">
        <v>9</v>
      </c>
      <c r="AC108">
        <v>206.31059999999999</v>
      </c>
      <c r="AD108">
        <v>3.52067799999999</v>
      </c>
      <c r="AE108">
        <v>-19.788999999999898</v>
      </c>
      <c r="AF108">
        <v>19.972693210539799</v>
      </c>
      <c r="AG108">
        <v>3.52067799999999</v>
      </c>
      <c r="AH108">
        <v>206.23282982625801</v>
      </c>
      <c r="AI108">
        <v>89.026530815592807</v>
      </c>
      <c r="AJ108">
        <v>84.468420016675296</v>
      </c>
      <c r="AK108">
        <v>207.22761337671301</v>
      </c>
      <c r="AL108">
        <v>81.132677518214393</v>
      </c>
      <c r="AM108">
        <v>94.965974972211299</v>
      </c>
      <c r="AN108">
        <v>1.0000000146799199</v>
      </c>
    </row>
    <row r="109" spans="1:40" x14ac:dyDescent="0.25">
      <c r="A109" t="str">
        <f>"20190304155018244"</f>
        <v>20190304155018244</v>
      </c>
      <c r="B109" t="str">
        <f>"1551685818236326"</f>
        <v>1551685818236326</v>
      </c>
      <c r="C109" t="s">
        <v>40</v>
      </c>
      <c r="D109">
        <v>4.6949940000000003</v>
      </c>
      <c r="E109">
        <v>0.57071099999999997</v>
      </c>
      <c r="F109" t="s">
        <v>47</v>
      </c>
      <c r="G109">
        <v>-271.60539999999997</v>
      </c>
      <c r="H109">
        <v>4.0856050000000002</v>
      </c>
      <c r="I109">
        <v>347.53050000000002</v>
      </c>
      <c r="J109">
        <v>-472.1628</v>
      </c>
      <c r="K109">
        <v>1.1096440000000001</v>
      </c>
      <c r="L109">
        <v>367.21949999999998</v>
      </c>
      <c r="M109">
        <v>0.99998659999999995</v>
      </c>
      <c r="N109">
        <v>-5.1256909999999999E-3</v>
      </c>
      <c r="O109">
        <v>9.4439389999999995E-4</v>
      </c>
      <c r="P109">
        <v>0.98530830000000003</v>
      </c>
      <c r="Q109">
        <v>0.14714340000000001</v>
      </c>
      <c r="R109">
        <v>8.6698839999999999E-2</v>
      </c>
      <c r="S109">
        <v>3.0650330000000001</v>
      </c>
      <c r="T109">
        <v>4.5468330000000001E-2</v>
      </c>
      <c r="U109">
        <v>-0.30081180000000002</v>
      </c>
      <c r="V109">
        <v>-8.5766549999999997E-2</v>
      </c>
      <c r="W109">
        <v>0.15219279999999999</v>
      </c>
      <c r="X109">
        <v>0.98462249999999996</v>
      </c>
      <c r="Y109">
        <v>9.8606470000000002E-2</v>
      </c>
      <c r="Z109">
        <v>4.9507269999999996E-4</v>
      </c>
      <c r="AA109">
        <v>0.99512639999999997</v>
      </c>
      <c r="AB109">
        <v>9</v>
      </c>
      <c r="AC109">
        <v>200.5574</v>
      </c>
      <c r="AD109">
        <v>2.9759609999999999</v>
      </c>
      <c r="AE109">
        <v>-19.688999999999901</v>
      </c>
      <c r="AF109">
        <v>19.874064765034699</v>
      </c>
      <c r="AG109">
        <v>2.9759609999999999</v>
      </c>
      <c r="AH109">
        <v>200.49499263114001</v>
      </c>
      <c r="AI109">
        <v>89.153763929418503</v>
      </c>
      <c r="AJ109">
        <v>84.339048973864294</v>
      </c>
      <c r="AK109">
        <v>201.49957038246899</v>
      </c>
      <c r="AL109">
        <v>81.245976102069804</v>
      </c>
      <c r="AM109">
        <v>94.978242118442097</v>
      </c>
      <c r="AN109">
        <v>1.0000000084884899</v>
      </c>
    </row>
    <row r="110" spans="1:40" x14ac:dyDescent="0.25">
      <c r="A110" t="str">
        <f>"20190304155018265"</f>
        <v>20190304155018265</v>
      </c>
      <c r="B110" t="str">
        <f>"1551685818256823"</f>
        <v>1551685818256823</v>
      </c>
      <c r="C110" t="s">
        <v>40</v>
      </c>
      <c r="D110">
        <v>4.8335489999999997</v>
      </c>
      <c r="E110">
        <v>0.5716928</v>
      </c>
      <c r="F110" t="s">
        <v>47</v>
      </c>
      <c r="G110">
        <v>-271.60539999999997</v>
      </c>
      <c r="H110">
        <v>3.8690609999999999</v>
      </c>
      <c r="I110">
        <v>347.29770000000002</v>
      </c>
      <c r="J110">
        <v>-472.07760000000002</v>
      </c>
      <c r="K110">
        <v>1.1096239999999999</v>
      </c>
      <c r="L110">
        <v>367.21960000000001</v>
      </c>
      <c r="M110">
        <v>0.99998659999999995</v>
      </c>
      <c r="N110">
        <v>-5.0890350000000004E-3</v>
      </c>
      <c r="O110">
        <v>9.8359360000000004E-4</v>
      </c>
      <c r="P110">
        <v>0.98595049999999995</v>
      </c>
      <c r="Q110">
        <v>0.14269670000000001</v>
      </c>
      <c r="R110">
        <v>8.6829909999999996E-2</v>
      </c>
      <c r="S110">
        <v>3.0652159999999999</v>
      </c>
      <c r="T110">
        <v>4.2174700000000002E-2</v>
      </c>
      <c r="U110">
        <v>-0.30447390000000002</v>
      </c>
      <c r="V110">
        <v>-8.5859340000000006E-2</v>
      </c>
      <c r="W110">
        <v>0.1477136</v>
      </c>
      <c r="X110">
        <v>0.98529630000000001</v>
      </c>
      <c r="Y110">
        <v>9.9818199999999996E-2</v>
      </c>
      <c r="Z110">
        <v>4.4885880000000001E-4</v>
      </c>
      <c r="AA110">
        <v>0.99500560000000005</v>
      </c>
      <c r="AB110">
        <v>9</v>
      </c>
      <c r="AC110">
        <v>200.47219999999999</v>
      </c>
      <c r="AD110">
        <v>2.7594369999999899</v>
      </c>
      <c r="AE110">
        <v>-19.921899999999901</v>
      </c>
      <c r="AF110">
        <v>20.115302173658101</v>
      </c>
      <c r="AG110">
        <v>2.7594369999999899</v>
      </c>
      <c r="AH110">
        <v>200.41490710643001</v>
      </c>
      <c r="AI110">
        <v>89.215108954989006</v>
      </c>
      <c r="AJ110">
        <v>84.268514902048295</v>
      </c>
      <c r="AK110">
        <v>201.44074777604899</v>
      </c>
      <c r="AL110">
        <v>81.505550213069299</v>
      </c>
      <c r="AM110">
        <v>94.9802100053994</v>
      </c>
      <c r="AN110">
        <v>0.99999996634194199</v>
      </c>
    </row>
    <row r="111" spans="1:40" x14ac:dyDescent="0.25">
      <c r="A111" t="str">
        <f>"20190304155018286"</f>
        <v>20190304155018286</v>
      </c>
      <c r="B111" t="str">
        <f>"1551685818276342"</f>
        <v>1551685818276342</v>
      </c>
      <c r="C111" t="s">
        <v>40</v>
      </c>
      <c r="D111">
        <v>4.8115069999999998</v>
      </c>
      <c r="E111">
        <v>0.5719455</v>
      </c>
      <c r="F111" t="s">
        <v>48</v>
      </c>
      <c r="G111">
        <v>-277.51830000000001</v>
      </c>
      <c r="H111">
        <v>3.2755139999999998</v>
      </c>
      <c r="I111">
        <v>347.43689999999998</v>
      </c>
      <c r="J111">
        <v>-471.98390000000001</v>
      </c>
      <c r="K111">
        <v>1.1096090000000001</v>
      </c>
      <c r="L111">
        <v>367.21969999999999</v>
      </c>
      <c r="M111">
        <v>0.99998679999999995</v>
      </c>
      <c r="N111">
        <v>-5.0522270000000003E-3</v>
      </c>
      <c r="O111">
        <v>1.027617E-3</v>
      </c>
      <c r="P111">
        <v>0.98631729999999995</v>
      </c>
      <c r="Q111">
        <v>0.14024210000000001</v>
      </c>
      <c r="R111">
        <v>8.6663270000000001E-2</v>
      </c>
      <c r="S111">
        <v>3.065277</v>
      </c>
      <c r="T111">
        <v>3.4124729999999999E-2</v>
      </c>
      <c r="U111">
        <v>-0.31167600000000001</v>
      </c>
      <c r="V111">
        <v>-8.5648799999999997E-2</v>
      </c>
      <c r="W111">
        <v>0.14522449999999901</v>
      </c>
      <c r="X111">
        <v>0.98568460000000002</v>
      </c>
      <c r="Y111">
        <v>0.1021768</v>
      </c>
      <c r="Z111">
        <v>3.2507940000000001E-4</v>
      </c>
      <c r="AA111">
        <v>0.99476620000000004</v>
      </c>
      <c r="AB111">
        <v>9</v>
      </c>
      <c r="AC111">
        <v>194.46559999999999</v>
      </c>
      <c r="AD111">
        <v>2.1659049999999902</v>
      </c>
      <c r="AE111">
        <v>-19.782800000000002</v>
      </c>
      <c r="AF111">
        <v>19.980175109724101</v>
      </c>
      <c r="AG111">
        <v>2.1659049999999902</v>
      </c>
      <c r="AH111">
        <v>194.42129718854599</v>
      </c>
      <c r="AI111">
        <v>89.365079828469007</v>
      </c>
      <c r="AJ111">
        <v>84.132458687497703</v>
      </c>
      <c r="AK111">
        <v>195.45725707264299</v>
      </c>
      <c r="AL111">
        <v>81.649720313436006</v>
      </c>
      <c r="AM111">
        <v>94.966111651138604</v>
      </c>
      <c r="AN111">
        <v>1.0000000015094199</v>
      </c>
    </row>
    <row r="112" spans="1:40" x14ac:dyDescent="0.25">
      <c r="A112" t="str">
        <f>"20190304155018310"</f>
        <v>20190304155018310</v>
      </c>
      <c r="B112" t="str">
        <f>"1551685818307105"</f>
        <v>1551685818307105</v>
      </c>
      <c r="C112" t="s">
        <v>40</v>
      </c>
      <c r="D112">
        <v>4.7486189999999997</v>
      </c>
      <c r="E112">
        <v>0.57251919999999901</v>
      </c>
      <c r="F112" t="s">
        <v>49</v>
      </c>
      <c r="G112">
        <v>-282.78550000000001</v>
      </c>
      <c r="H112">
        <v>3.1617479999999998</v>
      </c>
      <c r="I112">
        <v>347.80590000000001</v>
      </c>
      <c r="J112">
        <v>-471.8852</v>
      </c>
      <c r="K112">
        <v>1.109604</v>
      </c>
      <c r="L112">
        <v>367.2199</v>
      </c>
      <c r="M112">
        <v>0.99998690000000001</v>
      </c>
      <c r="N112">
        <v>-5.016576E-3</v>
      </c>
      <c r="O112">
        <v>1.073723E-3</v>
      </c>
      <c r="P112">
        <v>0.98625640000000003</v>
      </c>
      <c r="Q112">
        <v>0.14070940000000001</v>
      </c>
      <c r="R112">
        <v>8.6599809999999999E-2</v>
      </c>
      <c r="S112">
        <v>3.064514</v>
      </c>
      <c r="T112">
        <v>3.3246400000000002E-2</v>
      </c>
      <c r="U112">
        <v>-0.31445309999999999</v>
      </c>
      <c r="V112">
        <v>-8.5540379999999999E-2</v>
      </c>
      <c r="W112">
        <v>0.14565620000000001</v>
      </c>
      <c r="X112">
        <v>0.98563029999999996</v>
      </c>
      <c r="Y112">
        <v>0.1031398</v>
      </c>
      <c r="Z112">
        <v>3.1559479999999999E-4</v>
      </c>
      <c r="AA112">
        <v>0.99466679999999996</v>
      </c>
      <c r="AB112">
        <v>10</v>
      </c>
      <c r="AC112">
        <v>189.09970000000001</v>
      </c>
      <c r="AD112">
        <v>2.0521440000000002</v>
      </c>
      <c r="AE112">
        <v>-19.413999999999898</v>
      </c>
      <c r="AF112">
        <v>19.614746117869</v>
      </c>
      <c r="AG112">
        <v>2.0521440000000002</v>
      </c>
      <c r="AH112">
        <v>189.05671253084401</v>
      </c>
      <c r="AI112">
        <v>89.381419014627596</v>
      </c>
      <c r="AJ112">
        <v>84.076721300391796</v>
      </c>
      <c r="AK112">
        <v>190.08258761190001</v>
      </c>
      <c r="AL112">
        <v>81.624719771812593</v>
      </c>
      <c r="AM112">
        <v>94.960128475439006</v>
      </c>
      <c r="AN112">
        <v>0.99999998674353696</v>
      </c>
    </row>
    <row r="113" spans="1:40" x14ac:dyDescent="0.25">
      <c r="A113" t="str">
        <f>"20190304155018330"</f>
        <v>20190304155018330</v>
      </c>
      <c r="B113" t="str">
        <f>"1551685818326624"</f>
        <v>1551685818326624</v>
      </c>
      <c r="C113" t="s">
        <v>40</v>
      </c>
      <c r="D113">
        <v>4.7489970000000001</v>
      </c>
      <c r="E113">
        <v>0.57238509999999998</v>
      </c>
      <c r="F113" t="s">
        <v>49</v>
      </c>
      <c r="G113">
        <v>-285.10789999999997</v>
      </c>
      <c r="H113">
        <v>3.1597780000000002</v>
      </c>
      <c r="I113">
        <v>347.77679999999998</v>
      </c>
      <c r="J113">
        <v>-471.79239999999999</v>
      </c>
      <c r="K113">
        <v>1.109599</v>
      </c>
      <c r="L113">
        <v>367.22</v>
      </c>
      <c r="M113">
        <v>0.99998710000000002</v>
      </c>
      <c r="N113">
        <v>-4.9848959999999999E-3</v>
      </c>
      <c r="O113">
        <v>1.1169559999999999E-3</v>
      </c>
      <c r="P113">
        <v>0.98608300000000004</v>
      </c>
      <c r="Q113">
        <v>0.14213480000000001</v>
      </c>
      <c r="R113">
        <v>8.6245069999999993E-2</v>
      </c>
      <c r="S113">
        <v>3.0650019999999998</v>
      </c>
      <c r="T113">
        <v>3.3642529999999997E-2</v>
      </c>
      <c r="U113">
        <v>-0.31906129999999999</v>
      </c>
      <c r="V113">
        <v>-8.5142880000000004E-2</v>
      </c>
      <c r="W113">
        <v>0.1470496</v>
      </c>
      <c r="X113">
        <v>0.98545780000000005</v>
      </c>
      <c r="Y113">
        <v>0.10464610000000001</v>
      </c>
      <c r="Z113">
        <v>3.2899739999999898E-4</v>
      </c>
      <c r="AA113">
        <v>0.99450950000000005</v>
      </c>
      <c r="AB113">
        <v>10</v>
      </c>
      <c r="AC113">
        <v>186.68450000000001</v>
      </c>
      <c r="AD113">
        <v>2.050179</v>
      </c>
      <c r="AE113">
        <v>-19.443200000000001</v>
      </c>
      <c r="AF113">
        <v>19.649364412484001</v>
      </c>
      <c r="AG113">
        <v>2.050179</v>
      </c>
      <c r="AH113">
        <v>186.640397773503</v>
      </c>
      <c r="AI113">
        <v>89.374110124003394</v>
      </c>
      <c r="AJ113">
        <v>83.990081131978101</v>
      </c>
      <c r="AK113">
        <v>187.68308084853601</v>
      </c>
      <c r="AL113">
        <v>81.544014816644705</v>
      </c>
      <c r="AM113">
        <v>94.938053269304604</v>
      </c>
      <c r="AN113">
        <v>0.99999998522784705</v>
      </c>
    </row>
    <row r="114" spans="1:40" x14ac:dyDescent="0.25">
      <c r="A114" t="str">
        <f>"20190304155018343"</f>
        <v>20190304155018343</v>
      </c>
      <c r="B114" t="str">
        <f>"1551685818336384"</f>
        <v>1551685818336384</v>
      </c>
      <c r="C114" t="s">
        <v>40</v>
      </c>
      <c r="D114">
        <v>4.7948180000000002</v>
      </c>
      <c r="E114">
        <v>0.57240080000000004</v>
      </c>
      <c r="F114" t="s">
        <v>49</v>
      </c>
      <c r="G114">
        <v>-284.87200000000001</v>
      </c>
      <c r="H114">
        <v>3.5558610000000002</v>
      </c>
      <c r="I114">
        <v>347.77679999999998</v>
      </c>
      <c r="J114">
        <v>-471.73219999999998</v>
      </c>
      <c r="K114">
        <v>1.1095969999999999</v>
      </c>
      <c r="L114">
        <v>367.2201</v>
      </c>
      <c r="M114">
        <v>0.99998710000000002</v>
      </c>
      <c r="N114">
        <v>-4.964652E-3</v>
      </c>
      <c r="O114">
        <v>1.145318E-3</v>
      </c>
      <c r="P114">
        <v>0.9859272</v>
      </c>
      <c r="Q114">
        <v>0.143293899999999</v>
      </c>
      <c r="R114">
        <v>8.6108219999999999E-2</v>
      </c>
      <c r="S114">
        <v>3.0643919999999998</v>
      </c>
      <c r="T114">
        <v>4.0104029999999999E-2</v>
      </c>
      <c r="U114">
        <v>-0.31875609999999999</v>
      </c>
      <c r="V114">
        <v>-8.4978380000000006E-2</v>
      </c>
      <c r="W114">
        <v>0.14818799999999999</v>
      </c>
      <c r="X114">
        <v>0.98530150000000005</v>
      </c>
      <c r="Y114">
        <v>0.1045946</v>
      </c>
      <c r="Z114">
        <v>4.4282389999999999E-4</v>
      </c>
      <c r="AA114">
        <v>0.99451480000000003</v>
      </c>
      <c r="AB114">
        <v>10</v>
      </c>
      <c r="AC114">
        <v>186.86019999999999</v>
      </c>
      <c r="AD114">
        <v>2.44626399999999</v>
      </c>
      <c r="AE114">
        <v>-19.443300000000001</v>
      </c>
      <c r="AF114">
        <v>19.653971899448699</v>
      </c>
      <c r="AG114">
        <v>2.44626399999999</v>
      </c>
      <c r="AH114">
        <v>186.806135540453</v>
      </c>
      <c r="AI114">
        <v>89.253860869369205</v>
      </c>
      <c r="AJ114">
        <v>83.993976560607194</v>
      </c>
      <c r="AK114">
        <v>187.85312106680601</v>
      </c>
      <c r="AL114">
        <v>81.4780671517033</v>
      </c>
      <c r="AM114">
        <v>94.929337732858798</v>
      </c>
      <c r="AN114">
        <v>1.0000000271568299</v>
      </c>
    </row>
    <row r="115" spans="1:40" x14ac:dyDescent="0.25">
      <c r="A115" t="str">
        <f>"20190304155018366"</f>
        <v>20190304155018366</v>
      </c>
      <c r="B115" t="str">
        <f>"1551685818356880"</f>
        <v>1551685818356880</v>
      </c>
      <c r="C115" t="s">
        <v>40</v>
      </c>
      <c r="D115">
        <v>4.9259199999999996</v>
      </c>
      <c r="E115">
        <v>0.57260009999999995</v>
      </c>
      <c r="F115" t="s">
        <v>49</v>
      </c>
      <c r="G115">
        <v>-285.02249999999998</v>
      </c>
      <c r="H115">
        <v>3.8508110000000002</v>
      </c>
      <c r="I115">
        <v>347.77679999999998</v>
      </c>
      <c r="J115">
        <v>-471.63</v>
      </c>
      <c r="K115">
        <v>1.10959599999999</v>
      </c>
      <c r="L115">
        <v>367.22030000000001</v>
      </c>
      <c r="M115">
        <v>0.99998710000000002</v>
      </c>
      <c r="N115">
        <v>-4.9298609999999998E-3</v>
      </c>
      <c r="O115">
        <v>1.1930879999999999E-3</v>
      </c>
      <c r="P115">
        <v>0.98578589999999999</v>
      </c>
      <c r="Q115">
        <v>0.1448171</v>
      </c>
      <c r="R115">
        <v>8.5172360000000003E-2</v>
      </c>
      <c r="S115">
        <v>3.0641479999999999</v>
      </c>
      <c r="T115">
        <v>4.4987079999999999E-2</v>
      </c>
      <c r="U115">
        <v>-0.31909179999999998</v>
      </c>
      <c r="V115">
        <v>-8.3995680000000003E-2</v>
      </c>
      <c r="W115">
        <v>0.14967620000000001</v>
      </c>
      <c r="X115">
        <v>0.98516079999999995</v>
      </c>
      <c r="Y115">
        <v>0.1047561</v>
      </c>
      <c r="Z115">
        <v>5.312979E-4</v>
      </c>
      <c r="AA115">
        <v>0.99449779999999999</v>
      </c>
      <c r="AB115">
        <v>10</v>
      </c>
      <c r="AC115">
        <v>186.60749999999999</v>
      </c>
      <c r="AD115">
        <v>2.741215</v>
      </c>
      <c r="AE115">
        <v>-19.4435</v>
      </c>
      <c r="AF115">
        <v>19.661930795480998</v>
      </c>
      <c r="AG115">
        <v>2.741215</v>
      </c>
      <c r="AH115">
        <v>186.54434732094401</v>
      </c>
      <c r="AI115">
        <v>89.162752875473998</v>
      </c>
      <c r="AJ115">
        <v>83.983192034523796</v>
      </c>
      <c r="AK115">
        <v>187.59770600857399</v>
      </c>
      <c r="AL115">
        <v>81.391837830156504</v>
      </c>
      <c r="AM115">
        <v>94.873302882888098</v>
      </c>
      <c r="AN115">
        <v>1.0000000204808699</v>
      </c>
    </row>
    <row r="116" spans="1:40" x14ac:dyDescent="0.25">
      <c r="A116" t="str">
        <f>"20190304155018379"</f>
        <v>20190304155018379</v>
      </c>
      <c r="B116" t="str">
        <f>"1551685818366641"</f>
        <v>1551685818366641</v>
      </c>
      <c r="C116" t="s">
        <v>40</v>
      </c>
      <c r="D116">
        <v>4.7720960000000003</v>
      </c>
      <c r="E116">
        <v>0.57249839999999996</v>
      </c>
      <c r="F116" t="s">
        <v>49</v>
      </c>
      <c r="G116">
        <v>-285.86779999999999</v>
      </c>
      <c r="H116">
        <v>4.326098</v>
      </c>
      <c r="I116">
        <v>347.57709999999997</v>
      </c>
      <c r="J116">
        <v>-471.57279999999997</v>
      </c>
      <c r="K116">
        <v>1.10959599999999</v>
      </c>
      <c r="L116">
        <v>367.22039999999998</v>
      </c>
      <c r="M116">
        <v>0.99998719999999996</v>
      </c>
      <c r="N116">
        <v>-4.9097990000000003E-3</v>
      </c>
      <c r="O116">
        <v>1.2194249999999999E-3</v>
      </c>
      <c r="P116">
        <v>0.98567740000000004</v>
      </c>
      <c r="Q116">
        <v>0.1458786</v>
      </c>
      <c r="R116">
        <v>8.4614250000000002E-2</v>
      </c>
      <c r="S116">
        <v>3.0634769999999998</v>
      </c>
      <c r="T116">
        <v>5.3044559999999998E-2</v>
      </c>
      <c r="U116">
        <v>-0.32394410000000001</v>
      </c>
      <c r="V116">
        <v>-8.3411089999999993E-2</v>
      </c>
      <c r="W116">
        <v>0.15071709999999999</v>
      </c>
      <c r="X116">
        <v>0.98505180000000003</v>
      </c>
      <c r="Y116">
        <v>0.1063587</v>
      </c>
      <c r="Z116">
        <v>6.8336389999999996E-4</v>
      </c>
      <c r="AA116">
        <v>0.99432759999999998</v>
      </c>
      <c r="AB116">
        <v>10</v>
      </c>
      <c r="AC116">
        <v>185.70500000000001</v>
      </c>
      <c r="AD116">
        <v>3.2165020000000002</v>
      </c>
      <c r="AE116">
        <v>-19.6433</v>
      </c>
      <c r="AF116">
        <v>19.8638482388609</v>
      </c>
      <c r="AG116">
        <v>3.2165020000000002</v>
      </c>
      <c r="AH116">
        <v>185.625836637605</v>
      </c>
      <c r="AI116">
        <v>89.012919427308304</v>
      </c>
      <c r="AJ116">
        <v>83.892013920482597</v>
      </c>
      <c r="AK116">
        <v>186.713335301428</v>
      </c>
      <c r="AL116">
        <v>81.331514620862194</v>
      </c>
      <c r="AM116">
        <v>94.840080474213707</v>
      </c>
      <c r="AN116">
        <v>1.00000005142531</v>
      </c>
    </row>
    <row r="117" spans="1:40" x14ac:dyDescent="0.25">
      <c r="A117" t="str">
        <f>"20190304155018399"</f>
        <v>20190304155018399</v>
      </c>
      <c r="B117" t="str">
        <f>"1551685818396427"</f>
        <v>1551685818396427</v>
      </c>
      <c r="C117" t="s">
        <v>40</v>
      </c>
      <c r="D117">
        <v>4.8104319999999996</v>
      </c>
      <c r="E117">
        <v>0.57255459999999903</v>
      </c>
      <c r="F117" t="s">
        <v>49</v>
      </c>
      <c r="G117">
        <v>-285.86779999999999</v>
      </c>
      <c r="H117">
        <v>4.5391279999999998</v>
      </c>
      <c r="I117">
        <v>347.54750000000001</v>
      </c>
      <c r="J117">
        <v>-471.48059999999998</v>
      </c>
      <c r="K117">
        <v>1.109605</v>
      </c>
      <c r="L117">
        <v>367.22059999999999</v>
      </c>
      <c r="M117">
        <v>0.99998739999999997</v>
      </c>
      <c r="N117">
        <v>-4.8764200000000002E-3</v>
      </c>
      <c r="O117">
        <v>1.262483E-3</v>
      </c>
      <c r="P117">
        <v>0.98541820000000002</v>
      </c>
      <c r="Q117">
        <v>0.14812139999999999</v>
      </c>
      <c r="R117">
        <v>8.3733130000000003E-2</v>
      </c>
      <c r="S117">
        <v>3.0630799999999998</v>
      </c>
      <c r="T117">
        <v>5.656779E-2</v>
      </c>
      <c r="U117">
        <v>-0.32449339999999999</v>
      </c>
      <c r="V117">
        <v>-8.2488409999999998E-2</v>
      </c>
      <c r="W117">
        <v>0.15292559999999999</v>
      </c>
      <c r="X117">
        <v>0.98478900000000003</v>
      </c>
      <c r="Y117">
        <v>0.1065893</v>
      </c>
      <c r="Z117">
        <v>7.5015360000000003E-4</v>
      </c>
      <c r="AA117">
        <v>0.99430289999999999</v>
      </c>
      <c r="AB117">
        <v>10</v>
      </c>
      <c r="AC117">
        <v>185.61279999999999</v>
      </c>
      <c r="AD117">
        <v>3.4295230000000001</v>
      </c>
      <c r="AE117">
        <v>-19.673099999999899</v>
      </c>
      <c r="AF117">
        <v>19.900701653054899</v>
      </c>
      <c r="AG117">
        <v>3.4295230000000001</v>
      </c>
      <c r="AH117">
        <v>185.525181880791</v>
      </c>
      <c r="AI117">
        <v>88.947019524766205</v>
      </c>
      <c r="AJ117">
        <v>83.877472949073507</v>
      </c>
      <c r="AK117">
        <v>186.62098667135999</v>
      </c>
      <c r="AL117">
        <v>81.203492164257199</v>
      </c>
      <c r="AM117">
        <v>94.788061913995804</v>
      </c>
      <c r="AN117">
        <v>0.99999997572034305</v>
      </c>
    </row>
    <row r="118" spans="1:40" x14ac:dyDescent="0.25">
      <c r="A118" t="str">
        <f>"20190304155018418"</f>
        <v>20190304155018418</v>
      </c>
      <c r="B118" t="str">
        <f>"1551685818416923"</f>
        <v>1551685818416923</v>
      </c>
      <c r="C118" t="s">
        <v>40</v>
      </c>
      <c r="D118">
        <v>4.8635419999999998</v>
      </c>
      <c r="E118">
        <v>0.57231929999999998</v>
      </c>
      <c r="F118" t="s">
        <v>49</v>
      </c>
      <c r="G118">
        <v>-282.32900000000001</v>
      </c>
      <c r="H118">
        <v>5.2094319999999996</v>
      </c>
      <c r="I118">
        <v>346.98079999999999</v>
      </c>
      <c r="J118">
        <v>-471.38749999999999</v>
      </c>
      <c r="K118">
        <v>1.109607</v>
      </c>
      <c r="L118">
        <v>367.22070000000002</v>
      </c>
      <c r="M118">
        <v>0.99998750000000003</v>
      </c>
      <c r="N118">
        <v>-4.8411060000000004E-3</v>
      </c>
      <c r="O118">
        <v>1.305842E-3</v>
      </c>
      <c r="P118">
        <v>0.98505799999999999</v>
      </c>
      <c r="Q118">
        <v>0.15085379999999901</v>
      </c>
      <c r="R118">
        <v>8.3090230000000001E-2</v>
      </c>
      <c r="S118">
        <v>3.0622250000000002</v>
      </c>
      <c r="T118">
        <v>6.6373230000000005E-2</v>
      </c>
      <c r="U118">
        <v>-0.32766719999999999</v>
      </c>
      <c r="V118">
        <v>-8.1803169999999994E-2</v>
      </c>
      <c r="W118">
        <v>0.15562190000000001</v>
      </c>
      <c r="X118">
        <v>0.98442370000000001</v>
      </c>
      <c r="Y118">
        <v>0.10767409999999999</v>
      </c>
      <c r="Z118">
        <v>9.365784E-4</v>
      </c>
      <c r="AA118">
        <v>0.99418580000000001</v>
      </c>
      <c r="AB118">
        <v>10</v>
      </c>
      <c r="AC118">
        <v>189.05850000000001</v>
      </c>
      <c r="AD118">
        <v>4.0998249999999903</v>
      </c>
      <c r="AE118">
        <v>-20.239899999999999</v>
      </c>
      <c r="AF118">
        <v>20.477245629632399</v>
      </c>
      <c r="AG118">
        <v>4.0998249999999903</v>
      </c>
      <c r="AH118">
        <v>188.94406231897401</v>
      </c>
      <c r="AI118">
        <v>88.764190076246706</v>
      </c>
      <c r="AJ118">
        <v>83.814580471065</v>
      </c>
      <c r="AK118">
        <v>190.09467335831101</v>
      </c>
      <c r="AL118">
        <v>81.047133614484494</v>
      </c>
      <c r="AM118">
        <v>94.750223610286</v>
      </c>
      <c r="AN118">
        <v>0.99999997775167404</v>
      </c>
    </row>
    <row r="119" spans="1:40" x14ac:dyDescent="0.25">
      <c r="A119" t="str">
        <f>"20190304155018432"</f>
        <v>20190304155018432</v>
      </c>
      <c r="B119" t="str">
        <f>"1551685818426683"</f>
        <v>1551685818426683</v>
      </c>
      <c r="C119" t="s">
        <v>40</v>
      </c>
      <c r="D119">
        <v>4.9029210000000001</v>
      </c>
      <c r="E119">
        <v>0.53600309999999995</v>
      </c>
      <c r="F119" t="s">
        <v>49</v>
      </c>
      <c r="G119">
        <v>-285.85379999999998</v>
      </c>
      <c r="H119">
        <v>5.6716340000000001</v>
      </c>
      <c r="I119">
        <v>347.37329999999997</v>
      </c>
      <c r="J119">
        <v>-471.3236</v>
      </c>
      <c r="K119">
        <v>1.109607</v>
      </c>
      <c r="L119">
        <v>367.2208</v>
      </c>
      <c r="M119">
        <v>0.99998750000000003</v>
      </c>
      <c r="N119">
        <v>-4.8162389999999999E-3</v>
      </c>
      <c r="O119">
        <v>1.335527E-3</v>
      </c>
      <c r="P119">
        <v>0.9849407</v>
      </c>
      <c r="Q119">
        <v>0.15183949999999999</v>
      </c>
      <c r="R119">
        <v>8.2684069999999998E-2</v>
      </c>
      <c r="S119">
        <v>3.0615839999999999</v>
      </c>
      <c r="T119">
        <v>7.5280310000000003E-2</v>
      </c>
      <c r="U119">
        <v>-0.32751459999999999</v>
      </c>
      <c r="V119">
        <v>-8.1367709999999996E-2</v>
      </c>
      <c r="W119">
        <v>0.1565822</v>
      </c>
      <c r="X119">
        <v>0.9843075</v>
      </c>
      <c r="Y119">
        <v>0.1076701</v>
      </c>
      <c r="Z119">
        <v>1.098871E-3</v>
      </c>
      <c r="AA119">
        <v>0.99418600000000001</v>
      </c>
      <c r="AB119">
        <v>10</v>
      </c>
      <c r="AC119">
        <v>185.46979999999999</v>
      </c>
      <c r="AD119">
        <v>4.5620269999999996</v>
      </c>
      <c r="AE119">
        <v>-19.8475</v>
      </c>
      <c r="AF119">
        <v>20.083171961080399</v>
      </c>
      <c r="AG119">
        <v>4.5620269999999996</v>
      </c>
      <c r="AH119">
        <v>185.33226731812499</v>
      </c>
      <c r="AI119">
        <v>88.598129936653294</v>
      </c>
      <c r="AJ119">
        <v>83.815386274774895</v>
      </c>
      <c r="AK119">
        <v>186.47304147153301</v>
      </c>
      <c r="AL119">
        <v>80.991429542907298</v>
      </c>
      <c r="AM119">
        <v>94.725606983594901</v>
      </c>
      <c r="AN119">
        <v>0.99999997207186597</v>
      </c>
    </row>
    <row r="120" spans="1:40" x14ac:dyDescent="0.25">
      <c r="A120" t="str">
        <f>"20190304155018453"</f>
        <v>20190304155018453</v>
      </c>
      <c r="B120" t="str">
        <f>"1551685818447179"</f>
        <v>1551685818447179</v>
      </c>
      <c r="C120" t="s">
        <v>40</v>
      </c>
      <c r="D120">
        <v>4.9147809999999996</v>
      </c>
      <c r="E120">
        <v>0.53561029999999998</v>
      </c>
      <c r="F120" t="s">
        <v>43</v>
      </c>
      <c r="G120">
        <v>-158.19499999999999</v>
      </c>
      <c r="H120">
        <v>0.38553379999999998</v>
      </c>
      <c r="I120">
        <v>363.05430000000001</v>
      </c>
      <c r="J120">
        <v>-471.22699999999998</v>
      </c>
      <c r="K120">
        <v>1.109604</v>
      </c>
      <c r="L120">
        <v>367.221</v>
      </c>
      <c r="M120">
        <v>0.99998759999999998</v>
      </c>
      <c r="N120">
        <v>-4.777969E-3</v>
      </c>
      <c r="O120">
        <v>1.3804430000000001E-3</v>
      </c>
      <c r="P120">
        <v>0.98475889999999999</v>
      </c>
      <c r="Q120">
        <v>0.15323139999999999</v>
      </c>
      <c r="R120">
        <v>8.2280759999999994E-2</v>
      </c>
      <c r="S120">
        <v>3.0503230000000001</v>
      </c>
      <c r="T120">
        <v>-7.0526599999999997E-3</v>
      </c>
      <c r="U120">
        <v>-4.058838E-2</v>
      </c>
      <c r="V120">
        <v>-8.0921049999999994E-2</v>
      </c>
      <c r="W120">
        <v>0.15793560000000001</v>
      </c>
      <c r="X120">
        <v>0.98412809999999995</v>
      </c>
      <c r="Y120">
        <v>1.468528E-2</v>
      </c>
      <c r="Z120" s="1">
        <v>-4.8657089999999998E-5</v>
      </c>
      <c r="AA120">
        <v>0.99989220000000001</v>
      </c>
      <c r="AB120">
        <v>10</v>
      </c>
      <c r="AC120">
        <v>313.03199999999998</v>
      </c>
      <c r="AD120">
        <v>-0.7240702</v>
      </c>
      <c r="AE120">
        <v>-4.1666999999999899</v>
      </c>
      <c r="AF120">
        <v>4.5987992087250698</v>
      </c>
      <c r="AG120">
        <v>-0.7240702</v>
      </c>
      <c r="AH120">
        <v>313.02427527562799</v>
      </c>
      <c r="AI120">
        <v>90.1325188471546</v>
      </c>
      <c r="AJ120">
        <v>89.158299047846498</v>
      </c>
      <c r="AK120">
        <v>313.05889245259999</v>
      </c>
      <c r="AL120">
        <v>80.912908617736306</v>
      </c>
      <c r="AM120">
        <v>94.700635652835004</v>
      </c>
      <c r="AN120">
        <v>0.999999993645036</v>
      </c>
    </row>
    <row r="121" spans="1:40" x14ac:dyDescent="0.25">
      <c r="A121" t="str">
        <f>"20190304155018477"</f>
        <v>20190304155018477</v>
      </c>
      <c r="B121" t="str">
        <f>"1551685818466699"</f>
        <v>1551685818466699</v>
      </c>
      <c r="C121" t="s">
        <v>40</v>
      </c>
      <c r="D121">
        <v>4.9407310000000004</v>
      </c>
      <c r="E121">
        <v>0.53453649999999997</v>
      </c>
      <c r="F121" t="s">
        <v>43</v>
      </c>
      <c r="G121">
        <v>-158.19499999999999</v>
      </c>
      <c r="H121">
        <v>1.2527870000000001</v>
      </c>
      <c r="I121">
        <v>363.27699999999999</v>
      </c>
      <c r="J121">
        <v>-471.11099999999999</v>
      </c>
      <c r="K121">
        <v>1.1095930000000001</v>
      </c>
      <c r="L121">
        <v>367.22120000000001</v>
      </c>
      <c r="M121">
        <v>0.99998779999999998</v>
      </c>
      <c r="N121">
        <v>-4.7318489999999998E-3</v>
      </c>
      <c r="O121">
        <v>1.4343190000000001E-3</v>
      </c>
      <c r="P121">
        <v>0.98465879999999995</v>
      </c>
      <c r="Q121">
        <v>0.15418850000000001</v>
      </c>
      <c r="R121">
        <v>8.1690750000000006E-2</v>
      </c>
      <c r="S121">
        <v>3.0494690000000002</v>
      </c>
      <c r="T121">
        <v>1.395702E-3</v>
      </c>
      <c r="U121">
        <v>-3.8421629999999998E-2</v>
      </c>
      <c r="V121">
        <v>-8.0278459999999996E-2</v>
      </c>
      <c r="W121">
        <v>0.15884670000000001</v>
      </c>
      <c r="X121">
        <v>0.98403410000000002</v>
      </c>
      <c r="Y121">
        <v>1.4032650000000001E-2</v>
      </c>
      <c r="Z121" s="1">
        <v>-2.2547360000000001E-5</v>
      </c>
      <c r="AA121">
        <v>0.9999015</v>
      </c>
      <c r="AB121">
        <v>11</v>
      </c>
      <c r="AC121">
        <v>312.916</v>
      </c>
      <c r="AD121">
        <v>0.14319399999999999</v>
      </c>
      <c r="AE121">
        <v>-3.9442000000000199</v>
      </c>
      <c r="AF121">
        <v>4.3930214011753801</v>
      </c>
      <c r="AG121">
        <v>0.14319399999999999</v>
      </c>
      <c r="AH121">
        <v>312.90995529637303</v>
      </c>
      <c r="AI121">
        <v>89.973782864007404</v>
      </c>
      <c r="AJ121">
        <v>89.1956630127887</v>
      </c>
      <c r="AK121">
        <v>312.94082390306801</v>
      </c>
      <c r="AL121">
        <v>80.860039157162504</v>
      </c>
      <c r="AM121">
        <v>94.6639169491974</v>
      </c>
      <c r="AN121">
        <v>1.0000000076018301</v>
      </c>
    </row>
    <row r="122" spans="1:40" x14ac:dyDescent="0.25">
      <c r="A122" t="str">
        <f>"20190304155018490"</f>
        <v>20190304155018490</v>
      </c>
      <c r="B122" t="str">
        <f>"1551685818487195"</f>
        <v>1551685818487195</v>
      </c>
      <c r="C122" t="s">
        <v>40</v>
      </c>
      <c r="D122">
        <v>4.878819</v>
      </c>
      <c r="E122">
        <v>0.53343260000000003</v>
      </c>
      <c r="F122" t="s">
        <v>43</v>
      </c>
      <c r="G122">
        <v>-158.19499999999999</v>
      </c>
      <c r="H122">
        <v>1.1369819999999999</v>
      </c>
      <c r="I122">
        <v>364.00810000000001</v>
      </c>
      <c r="J122">
        <v>-471.0496</v>
      </c>
      <c r="K122">
        <v>1.1095870000000001</v>
      </c>
      <c r="L122">
        <v>367.22129999999999</v>
      </c>
      <c r="M122">
        <v>0.99998790000000004</v>
      </c>
      <c r="N122">
        <v>-4.7074589999999998E-3</v>
      </c>
      <c r="O122">
        <v>1.462512E-3</v>
      </c>
      <c r="P122">
        <v>0.98464169999999995</v>
      </c>
      <c r="Q122">
        <v>0.15448599999999901</v>
      </c>
      <c r="R122">
        <v>8.133174E-2</v>
      </c>
      <c r="S122">
        <v>3.049255</v>
      </c>
      <c r="T122">
        <v>2.6774410000000002E-4</v>
      </c>
      <c r="U122">
        <v>-3.1311039999999998E-2</v>
      </c>
      <c r="V122">
        <v>-7.9891530000000002E-2</v>
      </c>
      <c r="W122">
        <v>0.15912019999999999</v>
      </c>
      <c r="X122">
        <v>0.98402140000000005</v>
      </c>
      <c r="Y122">
        <v>1.1730310000000001E-2</v>
      </c>
      <c r="Z122" s="1">
        <v>-2.0082879999999999E-5</v>
      </c>
      <c r="AA122">
        <v>0.99993120000000002</v>
      </c>
      <c r="AB122">
        <v>11</v>
      </c>
      <c r="AC122">
        <v>312.8546</v>
      </c>
      <c r="AD122">
        <v>2.7394999999999801E-2</v>
      </c>
      <c r="AE122">
        <v>-3.2131999999999699</v>
      </c>
      <c r="AF122">
        <v>3.6707551892200398</v>
      </c>
      <c r="AG122">
        <v>2.7394999999999801E-2</v>
      </c>
      <c r="AH122">
        <v>312.84956360968198</v>
      </c>
      <c r="AI122">
        <v>89.9949831803374</v>
      </c>
      <c r="AJ122">
        <v>89.327762753444702</v>
      </c>
      <c r="AK122">
        <v>312.87109908860799</v>
      </c>
      <c r="AL122">
        <v>80.8441668632817</v>
      </c>
      <c r="AM122">
        <v>94.641595676347094</v>
      </c>
      <c r="AN122">
        <v>1.00000000513587</v>
      </c>
    </row>
    <row r="123" spans="1:40" x14ac:dyDescent="0.25">
      <c r="A123" t="str">
        <f>"20190304155018501"</f>
        <v>20190304155018501</v>
      </c>
      <c r="B123" t="str">
        <f>"1551685818496957"</f>
        <v>1551685818496957</v>
      </c>
      <c r="C123" t="s">
        <v>40</v>
      </c>
      <c r="D123">
        <v>4.9132049999999996</v>
      </c>
      <c r="E123">
        <v>0.53301949999999998</v>
      </c>
      <c r="F123" t="s">
        <v>43</v>
      </c>
      <c r="G123">
        <v>-158.19499999999999</v>
      </c>
      <c r="H123">
        <v>0.13122220000000001</v>
      </c>
      <c r="I123">
        <v>364.79230000000001</v>
      </c>
      <c r="J123">
        <v>-470.98680000000002</v>
      </c>
      <c r="K123">
        <v>1.10958</v>
      </c>
      <c r="L123">
        <v>367.22140000000002</v>
      </c>
      <c r="M123">
        <v>0.99998799999999999</v>
      </c>
      <c r="N123">
        <v>-4.6828260000000002E-3</v>
      </c>
      <c r="O123">
        <v>1.4915389999999901E-3</v>
      </c>
      <c r="P123">
        <v>0.98460429999999999</v>
      </c>
      <c r="Q123">
        <v>0.15483129999999901</v>
      </c>
      <c r="R123">
        <v>8.1130240000000006E-2</v>
      </c>
      <c r="S123">
        <v>3.0501710000000002</v>
      </c>
      <c r="T123">
        <v>-9.5376969999999995E-3</v>
      </c>
      <c r="U123">
        <v>-2.368164E-2</v>
      </c>
      <c r="V123">
        <v>-7.9661659999999995E-2</v>
      </c>
      <c r="W123">
        <v>0.15944079999999999</v>
      </c>
      <c r="X123">
        <v>0.98398819999999998</v>
      </c>
      <c r="Y123">
        <v>9.2551909999999994E-3</v>
      </c>
      <c r="Z123" s="1">
        <v>-3.3820079999999997E-5</v>
      </c>
      <c r="AA123">
        <v>0.99995710000000004</v>
      </c>
      <c r="AB123">
        <v>11</v>
      </c>
      <c r="AC123">
        <v>312.79180000000002</v>
      </c>
      <c r="AD123">
        <v>-0.97835780000000006</v>
      </c>
      <c r="AE123">
        <v>-2.4291</v>
      </c>
      <c r="AF123">
        <v>2.89561521919275</v>
      </c>
      <c r="AG123">
        <v>-0.97835780000000006</v>
      </c>
      <c r="AH123">
        <v>312.78476904522302</v>
      </c>
      <c r="AI123">
        <v>90.179206897729998</v>
      </c>
      <c r="AJ123">
        <v>89.469597600927102</v>
      </c>
      <c r="AK123">
        <v>312.79970191506902</v>
      </c>
      <c r="AL123">
        <v>80.825560830991407</v>
      </c>
      <c r="AM123">
        <v>94.628454109439701</v>
      </c>
      <c r="AN123">
        <v>1.0000000632589101</v>
      </c>
    </row>
    <row r="124" spans="1:40" x14ac:dyDescent="0.25">
      <c r="A124" t="str">
        <f>"20190304155018520"</f>
        <v>20190304155018520</v>
      </c>
      <c r="B124" t="str">
        <f>"1551685818516475"</f>
        <v>1551685818516475</v>
      </c>
      <c r="C124" t="s">
        <v>40</v>
      </c>
      <c r="D124">
        <v>5.0487489999999999</v>
      </c>
      <c r="E124">
        <v>0.53237209999999902</v>
      </c>
      <c r="F124" t="s">
        <v>50</v>
      </c>
      <c r="G124">
        <v>-184.50190000000001</v>
      </c>
      <c r="H124" s="1">
        <v>-7.6968110000000007E-6</v>
      </c>
      <c r="I124">
        <v>365.25529999999998</v>
      </c>
      <c r="J124">
        <v>-470.90190000000001</v>
      </c>
      <c r="K124">
        <v>1.109577</v>
      </c>
      <c r="L124">
        <v>367.22160000000002</v>
      </c>
      <c r="M124">
        <v>0.99998810000000005</v>
      </c>
      <c r="N124">
        <v>-4.6498470000000004E-3</v>
      </c>
      <c r="O124">
        <v>1.530719E-3</v>
      </c>
      <c r="P124">
        <v>0.98457740000000005</v>
      </c>
      <c r="Q124">
        <v>0.15545599999999901</v>
      </c>
      <c r="R124">
        <v>8.0257239999999994E-2</v>
      </c>
      <c r="S124">
        <v>3.0504760000000002</v>
      </c>
      <c r="T124">
        <v>-1.181483E-2</v>
      </c>
      <c r="U124">
        <v>-2.0935059999999998E-2</v>
      </c>
      <c r="V124">
        <v>-7.8750299999999995E-2</v>
      </c>
      <c r="W124">
        <v>0.16003290000000001</v>
      </c>
      <c r="X124">
        <v>0.98396539999999999</v>
      </c>
      <c r="Y124">
        <v>8.3932729999999997E-3</v>
      </c>
      <c r="Z124" s="1">
        <v>-3.4579000000000002E-5</v>
      </c>
      <c r="AA124">
        <v>0.99996479999999999</v>
      </c>
      <c r="AB124">
        <v>11</v>
      </c>
      <c r="AC124">
        <v>286.39999999999998</v>
      </c>
      <c r="AD124">
        <v>-1.1095846968109999</v>
      </c>
      <c r="AE124">
        <v>-1.9663000000000399</v>
      </c>
      <c r="AF124">
        <v>2.4046642294779401</v>
      </c>
      <c r="AG124">
        <v>-1.1095846968109999</v>
      </c>
      <c r="AH124">
        <v>286.39235608631401</v>
      </c>
      <c r="AI124">
        <v>90.221975062742899</v>
      </c>
      <c r="AJ124">
        <v>89.518933131541402</v>
      </c>
      <c r="AK124">
        <v>286.40460054427501</v>
      </c>
      <c r="AL124">
        <v>80.791194359932405</v>
      </c>
      <c r="AM124">
        <v>94.575834541724404</v>
      </c>
      <c r="AN124">
        <v>1.0000000236148201</v>
      </c>
    </row>
    <row r="125" spans="1:40" x14ac:dyDescent="0.25">
      <c r="A125" t="str">
        <f>"20190304155018533"</f>
        <v>20190304155018533</v>
      </c>
      <c r="B125" t="str">
        <f>"1551685818527212"</f>
        <v>1551685818527212</v>
      </c>
      <c r="C125" t="s">
        <v>40</v>
      </c>
      <c r="D125">
        <v>4.94529</v>
      </c>
      <c r="E125">
        <v>0.53237209999999902</v>
      </c>
      <c r="F125" t="s">
        <v>41</v>
      </c>
      <c r="G125">
        <v>-213.3492</v>
      </c>
      <c r="H125" s="1">
        <v>-3.5367989999999999E-6</v>
      </c>
      <c r="I125">
        <v>365.66269999999997</v>
      </c>
      <c r="J125">
        <v>-470.83870000000002</v>
      </c>
      <c r="K125">
        <v>1.109567</v>
      </c>
      <c r="L125">
        <v>367.2217</v>
      </c>
      <c r="M125">
        <v>0.99998810000000005</v>
      </c>
      <c r="N125">
        <v>-4.6254979999999996E-3</v>
      </c>
      <c r="O125">
        <v>1.5602210000000001E-3</v>
      </c>
      <c r="P125">
        <v>0.98452729999999999</v>
      </c>
      <c r="Q125">
        <v>0.1560251</v>
      </c>
      <c r="R125">
        <v>7.9764440000000006E-2</v>
      </c>
      <c r="S125">
        <v>3.0505369999999998</v>
      </c>
      <c r="T125">
        <v>-1.314223E-2</v>
      </c>
      <c r="U125">
        <v>-1.8463130000000001E-2</v>
      </c>
      <c r="V125">
        <v>-7.8228580000000006E-2</v>
      </c>
      <c r="W125">
        <v>0.160578</v>
      </c>
      <c r="X125">
        <v>0.98391819999999997</v>
      </c>
      <c r="Y125">
        <v>7.6123659999999998E-3</v>
      </c>
      <c r="Z125" s="1">
        <v>-3.3508209999999999E-5</v>
      </c>
      <c r="AA125">
        <v>0.99997100000000005</v>
      </c>
      <c r="AB125">
        <v>11</v>
      </c>
      <c r="AC125">
        <v>257.48950000000002</v>
      </c>
      <c r="AD125">
        <v>-1.1095705367990001</v>
      </c>
      <c r="AE125">
        <v>-1.5590000000000199</v>
      </c>
      <c r="AF125">
        <v>1.96070651217056</v>
      </c>
      <c r="AG125">
        <v>-1.1095705367990001</v>
      </c>
      <c r="AH125">
        <v>257.48197314812199</v>
      </c>
      <c r="AI125">
        <v>90.246896788225399</v>
      </c>
      <c r="AJ125">
        <v>89.563705236196</v>
      </c>
      <c r="AK125">
        <v>257.49182902191899</v>
      </c>
      <c r="AL125">
        <v>80.759553146072705</v>
      </c>
      <c r="AM125">
        <v>94.545864295765497</v>
      </c>
      <c r="AN125">
        <v>1.00000001455202</v>
      </c>
    </row>
    <row r="126" spans="1:40" x14ac:dyDescent="0.25">
      <c r="A126" t="str">
        <f>"20190304155018554"</f>
        <v>20190304155018554</v>
      </c>
      <c r="B126" t="str">
        <f>"1551685818546732"</f>
        <v>1551685818546732</v>
      </c>
      <c r="C126" t="s">
        <v>40</v>
      </c>
      <c r="D126">
        <v>4.8825830000000003</v>
      </c>
      <c r="E126">
        <v>0.5317267</v>
      </c>
      <c r="F126" t="s">
        <v>50</v>
      </c>
      <c r="G126">
        <v>-180</v>
      </c>
      <c r="H126">
        <v>3.1429980000000003E-2</v>
      </c>
      <c r="I126">
        <v>365.31889999999999</v>
      </c>
      <c r="J126">
        <v>-470.73129999999998</v>
      </c>
      <c r="K126">
        <v>1.109564</v>
      </c>
      <c r="L126">
        <v>367.22199999999998</v>
      </c>
      <c r="M126">
        <v>0.99998830000000005</v>
      </c>
      <c r="N126">
        <v>-4.5846319999999999E-3</v>
      </c>
      <c r="O126">
        <v>1.610027E-3</v>
      </c>
      <c r="P126">
        <v>0.98431809999999997</v>
      </c>
      <c r="Q126">
        <v>0.1575674</v>
      </c>
      <c r="R126">
        <v>7.9314250000000003E-2</v>
      </c>
      <c r="S126">
        <v>3.0505680000000002</v>
      </c>
      <c r="T126">
        <v>-1.130843E-2</v>
      </c>
      <c r="U126">
        <v>-1.9958500000000001E-2</v>
      </c>
      <c r="V126">
        <v>-7.772975E-2</v>
      </c>
      <c r="W126">
        <v>0.16207869999999999</v>
      </c>
      <c r="X126">
        <v>0.98371169999999997</v>
      </c>
      <c r="Y126">
        <v>8.1522869999999994E-3</v>
      </c>
      <c r="Z126" s="1">
        <v>-3.2385019999999997E-5</v>
      </c>
      <c r="AA126">
        <v>0.99996669999999999</v>
      </c>
      <c r="AB126">
        <v>11</v>
      </c>
      <c r="AC126">
        <v>290.73129999999998</v>
      </c>
      <c r="AD126">
        <v>-1.07813402</v>
      </c>
      <c r="AE126">
        <v>-1.90309999999999</v>
      </c>
      <c r="AF126">
        <v>2.3711550396249099</v>
      </c>
      <c r="AG126">
        <v>-1.07813402</v>
      </c>
      <c r="AH126">
        <v>290.72386127578</v>
      </c>
      <c r="AI126">
        <v>90.212470318728407</v>
      </c>
      <c r="AJ126">
        <v>89.532703771147098</v>
      </c>
      <c r="AK126">
        <v>290.73552975906802</v>
      </c>
      <c r="AL126">
        <v>80.672428556614506</v>
      </c>
      <c r="AM126">
        <v>94.517941893993196</v>
      </c>
      <c r="AN126">
        <v>1.0000000638728099</v>
      </c>
    </row>
    <row r="127" spans="1:40" x14ac:dyDescent="0.25">
      <c r="A127" t="str">
        <f>"20190304155018577"</f>
        <v>20190304155018577</v>
      </c>
      <c r="B127" t="str">
        <f>"1551685818566251"</f>
        <v>1551685818566251</v>
      </c>
      <c r="C127" t="s">
        <v>40</v>
      </c>
      <c r="D127">
        <v>4.9888570000000003</v>
      </c>
      <c r="E127">
        <v>0.53021319999999905</v>
      </c>
      <c r="F127" t="s">
        <v>43</v>
      </c>
      <c r="G127">
        <v>-158.19499999999999</v>
      </c>
      <c r="H127">
        <v>0.41542600000000002</v>
      </c>
      <c r="I127">
        <v>365.52719999999999</v>
      </c>
      <c r="J127">
        <v>-470.60890000000001</v>
      </c>
      <c r="K127">
        <v>1.1095660000000001</v>
      </c>
      <c r="L127">
        <v>367.22219999999999</v>
      </c>
      <c r="M127">
        <v>0.99998849999999995</v>
      </c>
      <c r="N127">
        <v>-4.538785E-3</v>
      </c>
      <c r="O127">
        <v>1.6664E-3</v>
      </c>
      <c r="P127">
        <v>0.98410019999999998</v>
      </c>
      <c r="Q127">
        <v>0.1589914</v>
      </c>
      <c r="R127">
        <v>7.9177570000000003E-2</v>
      </c>
      <c r="S127">
        <v>3.0502009999999999</v>
      </c>
      <c r="T127">
        <v>-6.7735909999999998E-3</v>
      </c>
      <c r="U127">
        <v>-1.6540530000000001E-2</v>
      </c>
      <c r="V127">
        <v>-7.7537850000000005E-2</v>
      </c>
      <c r="W127">
        <v>0.16345670000000001</v>
      </c>
      <c r="X127">
        <v>0.98349880000000001</v>
      </c>
      <c r="Y127">
        <v>7.0890149999999997E-3</v>
      </c>
      <c r="Z127" s="1">
        <v>-2.0096370000000001E-5</v>
      </c>
      <c r="AA127">
        <v>0.99997480000000005</v>
      </c>
      <c r="AB127">
        <v>11</v>
      </c>
      <c r="AC127">
        <v>312.41390000000001</v>
      </c>
      <c r="AD127">
        <v>-0.69413999999999998</v>
      </c>
      <c r="AE127">
        <v>-1.6949999999999901</v>
      </c>
      <c r="AF127">
        <v>2.2155984963442599</v>
      </c>
      <c r="AG127">
        <v>-0.69413999999999998</v>
      </c>
      <c r="AH127">
        <v>312.40909943208902</v>
      </c>
      <c r="AI127">
        <v>90.1273017555731</v>
      </c>
      <c r="AJ127">
        <v>89.593666397814104</v>
      </c>
      <c r="AK127">
        <v>312.41772695384299</v>
      </c>
      <c r="AL127">
        <v>80.592407719006601</v>
      </c>
      <c r="AM127">
        <v>94.507805543751701</v>
      </c>
      <c r="AN127">
        <v>1.0000000502794699</v>
      </c>
    </row>
    <row r="128" spans="1:40" x14ac:dyDescent="0.25">
      <c r="A128" t="str">
        <f>"20190304155018600"</f>
        <v>20190304155018600</v>
      </c>
      <c r="B128" t="str">
        <f>"1551685818596507"</f>
        <v>1551685818596507</v>
      </c>
      <c r="C128" t="s">
        <v>40</v>
      </c>
      <c r="D128">
        <v>4.8903530000000002</v>
      </c>
      <c r="E128">
        <v>0.52927259999999998</v>
      </c>
      <c r="F128" t="s">
        <v>50</v>
      </c>
      <c r="G128">
        <v>-179.56030000000001</v>
      </c>
      <c r="H128">
        <v>7.9987899999999904E-2</v>
      </c>
      <c r="I128">
        <v>366.7593</v>
      </c>
      <c r="J128">
        <v>-470.49759999999998</v>
      </c>
      <c r="K128">
        <v>1.109567</v>
      </c>
      <c r="L128">
        <v>367.22250000000003</v>
      </c>
      <c r="M128">
        <v>0.9999884</v>
      </c>
      <c r="N128">
        <v>-4.4977699999999999E-3</v>
      </c>
      <c r="O128">
        <v>1.717695E-3</v>
      </c>
      <c r="P128">
        <v>0.98401459999999996</v>
      </c>
      <c r="Q128">
        <v>0.15934870000000001</v>
      </c>
      <c r="R128">
        <v>7.9518790000000006E-2</v>
      </c>
      <c r="S128">
        <v>3.0505979999999999</v>
      </c>
      <c r="T128">
        <v>-1.0791419999999999E-2</v>
      </c>
      <c r="U128">
        <v>-4.8522950000000004E-3</v>
      </c>
      <c r="V128">
        <v>-7.7829140000000005E-2</v>
      </c>
      <c r="W128">
        <v>0.16377369999999999</v>
      </c>
      <c r="X128">
        <v>0.98342300000000005</v>
      </c>
      <c r="Y128">
        <v>3.3082630000000001E-3</v>
      </c>
      <c r="Z128" s="1">
        <v>-1.1641870000000001E-5</v>
      </c>
      <c r="AA128">
        <v>0.99999450000000001</v>
      </c>
      <c r="AB128">
        <v>11</v>
      </c>
      <c r="AC128">
        <v>290.93729999999903</v>
      </c>
      <c r="AD128">
        <v>-1.0295790999999901</v>
      </c>
      <c r="AE128">
        <v>-0.46320000000002798</v>
      </c>
      <c r="AF128">
        <v>0.96293386285605898</v>
      </c>
      <c r="AG128">
        <v>-1.0295790999999901</v>
      </c>
      <c r="AH128">
        <v>290.93243170448301</v>
      </c>
      <c r="AI128">
        <v>90.202761745703597</v>
      </c>
      <c r="AJ128">
        <v>89.810361998826394</v>
      </c>
      <c r="AK128">
        <v>290.93584703888098</v>
      </c>
      <c r="AL128">
        <v>80.573996363709199</v>
      </c>
      <c r="AM128">
        <v>94.525017338404595</v>
      </c>
      <c r="AN128">
        <v>0.999999998386914</v>
      </c>
    </row>
    <row r="129" spans="1:40" x14ac:dyDescent="0.25">
      <c r="A129" t="str">
        <f>"20190304155018688"</f>
        <v>20190304155018688</v>
      </c>
      <c r="B129" t="str">
        <f>"1551685818676539"</f>
        <v>1551685818676539</v>
      </c>
      <c r="C129" t="s">
        <v>40</v>
      </c>
      <c r="D129">
        <v>4.7512999999999996</v>
      </c>
      <c r="E129">
        <v>0.53686919999999905</v>
      </c>
      <c r="F129" t="s">
        <v>42</v>
      </c>
      <c r="G129">
        <v>-295.54390000000001</v>
      </c>
      <c r="H129">
        <v>-0.05</v>
      </c>
      <c r="I129">
        <v>367.4307</v>
      </c>
      <c r="J129">
        <v>-470.02839999999998</v>
      </c>
      <c r="K129">
        <v>1.10954</v>
      </c>
      <c r="L129">
        <v>367.22359999999998</v>
      </c>
      <c r="M129">
        <v>0.99998869999999895</v>
      </c>
      <c r="N129">
        <v>-4.335162E-3</v>
      </c>
      <c r="O129">
        <v>1.9334739999999999E-3</v>
      </c>
      <c r="P129">
        <v>0.98336599999999996</v>
      </c>
      <c r="Q129">
        <v>0.161771</v>
      </c>
      <c r="R129">
        <v>8.2593990000000006E-2</v>
      </c>
      <c r="S129">
        <v>3.051758</v>
      </c>
      <c r="T129">
        <v>-2.0226600000000001E-2</v>
      </c>
      <c r="U129">
        <v>3.6315919999999999E-3</v>
      </c>
      <c r="V129">
        <v>-8.0693559999999998E-2</v>
      </c>
      <c r="W129">
        <v>0.1660326</v>
      </c>
      <c r="X129">
        <v>0.98281320000000005</v>
      </c>
      <c r="Y129">
        <v>7.4346179999999903E-4</v>
      </c>
      <c r="Z129" s="1">
        <v>-8.5079899999999998E-6</v>
      </c>
      <c r="AA129">
        <v>0.99999970000000005</v>
      </c>
      <c r="AB129">
        <v>12</v>
      </c>
      <c r="AC129">
        <v>174.484499999999</v>
      </c>
      <c r="AD129">
        <v>-1.15954</v>
      </c>
      <c r="AE129">
        <v>0.20710000000002499</v>
      </c>
      <c r="AF129">
        <v>0.13025906027482601</v>
      </c>
      <c r="AG129">
        <v>-1.15954</v>
      </c>
      <c r="AH129">
        <v>174.47686888335301</v>
      </c>
      <c r="AI129">
        <v>90.3807711131833</v>
      </c>
      <c r="AJ129">
        <v>89.957224742407007</v>
      </c>
      <c r="AK129">
        <v>174.480770504296</v>
      </c>
      <c r="AL129">
        <v>80.442774747097602</v>
      </c>
      <c r="AM129">
        <v>94.693723269413098</v>
      </c>
      <c r="AN129">
        <v>1.00000003049123</v>
      </c>
    </row>
    <row r="130" spans="1:40" x14ac:dyDescent="0.25">
      <c r="A130" t="str">
        <f>"20190304155018709"</f>
        <v>20190304155018709</v>
      </c>
      <c r="B130" t="str">
        <f>"1551685818706795"</f>
        <v>1551685818706795</v>
      </c>
      <c r="C130" t="s">
        <v>40</v>
      </c>
      <c r="D130">
        <v>5.0807229999999999</v>
      </c>
      <c r="E130">
        <v>0.53984709999999902</v>
      </c>
      <c r="F130" t="s">
        <v>51</v>
      </c>
      <c r="G130">
        <v>-469.20420000000001</v>
      </c>
      <c r="H130">
        <v>1.017727</v>
      </c>
      <c r="I130">
        <v>367.21050000000002</v>
      </c>
      <c r="J130">
        <v>-469.91109999999998</v>
      </c>
      <c r="K130">
        <v>1.109531</v>
      </c>
      <c r="L130">
        <v>367.22379999999998</v>
      </c>
      <c r="M130">
        <v>0.99998889999999996</v>
      </c>
      <c r="N130">
        <v>-4.2975899999999996E-3</v>
      </c>
      <c r="O130">
        <v>1.9875000000000001E-3</v>
      </c>
      <c r="P130">
        <v>0.98323640000000001</v>
      </c>
      <c r="Q130">
        <v>0.16230329999999901</v>
      </c>
      <c r="R130">
        <v>8.308923E-2</v>
      </c>
      <c r="S130">
        <v>3.111847</v>
      </c>
      <c r="T130">
        <v>-0.34690539999999997</v>
      </c>
      <c r="U130">
        <v>-4.8095699999999998E-2</v>
      </c>
      <c r="V130">
        <v>-8.113658E-2</v>
      </c>
      <c r="W130">
        <v>0.16652729999999999</v>
      </c>
      <c r="X130">
        <v>0.98269300000000004</v>
      </c>
      <c r="Y130">
        <v>1.731829E-2</v>
      </c>
      <c r="Z130">
        <v>-1.211962E-3</v>
      </c>
      <c r="AA130">
        <v>0.99984930000000005</v>
      </c>
      <c r="AB130">
        <v>12</v>
      </c>
      <c r="AC130">
        <v>0.706899999999961</v>
      </c>
      <c r="AD130">
        <v>-9.1803999999999997E-2</v>
      </c>
      <c r="AE130">
        <v>-1.32999999999583E-2</v>
      </c>
      <c r="AF130">
        <v>1.44611377819895E-2</v>
      </c>
      <c r="AG130">
        <v>-9.1803999999999997E-2</v>
      </c>
      <c r="AH130">
        <v>0.69515201563750795</v>
      </c>
      <c r="AI130">
        <v>97.521520716076793</v>
      </c>
      <c r="AJ130">
        <v>88.808256824573505</v>
      </c>
      <c r="AK130">
        <v>0.70133688322149401</v>
      </c>
      <c r="AL130">
        <v>80.414030157576605</v>
      </c>
      <c r="AM130">
        <v>94.719951098162696</v>
      </c>
      <c r="AN130">
        <v>1.0000000092541901</v>
      </c>
    </row>
    <row r="131" spans="1:40" x14ac:dyDescent="0.25">
      <c r="A131" t="str">
        <f>"20190304155018754"</f>
        <v>20190304155018754</v>
      </c>
      <c r="B131" t="str">
        <f>"1551685818746814"</f>
        <v>1551685818746814</v>
      </c>
      <c r="C131" t="s">
        <v>40</v>
      </c>
      <c r="D131">
        <v>5.3456659999999996</v>
      </c>
      <c r="E131">
        <v>0.53746159999999998</v>
      </c>
      <c r="F131" t="s">
        <v>41</v>
      </c>
      <c r="G131">
        <v>-450.31720000000001</v>
      </c>
      <c r="H131" s="1">
        <v>-4.6393380000000004E-6</v>
      </c>
      <c r="I131">
        <v>366.77980000000002</v>
      </c>
      <c r="J131">
        <v>-469.66</v>
      </c>
      <c r="K131">
        <v>1.109529</v>
      </c>
      <c r="L131">
        <v>367.22449999999998</v>
      </c>
      <c r="M131">
        <v>0.99998889999999996</v>
      </c>
      <c r="N131">
        <v>-4.2213140000000003E-3</v>
      </c>
      <c r="O131">
        <v>2.1031790000000002E-3</v>
      </c>
      <c r="P131">
        <v>0.98308070000000003</v>
      </c>
      <c r="Q131">
        <v>0.1629765</v>
      </c>
      <c r="R131">
        <v>8.3611790000000005E-2</v>
      </c>
      <c r="S131">
        <v>3.0859070000000002</v>
      </c>
      <c r="T131">
        <v>-0.1747437</v>
      </c>
      <c r="U131">
        <v>-6.9915770000000002E-2</v>
      </c>
      <c r="V131">
        <v>-8.1545720000000002E-2</v>
      </c>
      <c r="W131">
        <v>0.16712489999999999</v>
      </c>
      <c r="X131">
        <v>0.98255769999999998</v>
      </c>
      <c r="Y131">
        <v>2.4707860000000002E-2</v>
      </c>
      <c r="Z131">
        <v>-8.6122520000000004E-4</v>
      </c>
      <c r="AA131">
        <v>0.99969430000000004</v>
      </c>
      <c r="AB131">
        <v>12</v>
      </c>
      <c r="AC131">
        <v>19.3428</v>
      </c>
      <c r="AD131">
        <v>-1.109533639338</v>
      </c>
      <c r="AE131">
        <v>-0.44469999999995402</v>
      </c>
      <c r="AF131">
        <v>0.483789751514351</v>
      </c>
      <c r="AG131">
        <v>-1.109533639338</v>
      </c>
      <c r="AH131">
        <v>19.278422654958302</v>
      </c>
      <c r="AI131">
        <v>93.292883583237099</v>
      </c>
      <c r="AJ131">
        <v>88.562470856935803</v>
      </c>
      <c r="AK131">
        <v>19.316384172088298</v>
      </c>
      <c r="AL131">
        <v>80.379303804854203</v>
      </c>
      <c r="AM131">
        <v>94.744293846893996</v>
      </c>
      <c r="AN131">
        <v>1.0000000352398</v>
      </c>
    </row>
    <row r="132" spans="1:40" x14ac:dyDescent="0.25">
      <c r="A132" t="str">
        <f>"20190304155018777"</f>
        <v>20190304155018777</v>
      </c>
      <c r="B132" t="str">
        <f>"1551685818766334"</f>
        <v>1551685818766334</v>
      </c>
      <c r="C132" t="s">
        <v>40</v>
      </c>
      <c r="D132">
        <v>5.0171089999999996</v>
      </c>
      <c r="E132">
        <v>0.53439119999999996</v>
      </c>
      <c r="F132" t="s">
        <v>41</v>
      </c>
      <c r="G132">
        <v>-446.91890000000001</v>
      </c>
      <c r="H132" s="1">
        <v>-1.9267210000000001E-6</v>
      </c>
      <c r="I132">
        <v>366.85500000000002</v>
      </c>
      <c r="J132">
        <v>-469.53199999999998</v>
      </c>
      <c r="K132">
        <v>1.109524</v>
      </c>
      <c r="L132">
        <v>367.22489999999999</v>
      </c>
      <c r="M132">
        <v>0.99998900000000002</v>
      </c>
      <c r="N132">
        <v>-4.1847100000000003E-3</v>
      </c>
      <c r="O132">
        <v>2.161849E-3</v>
      </c>
      <c r="P132">
        <v>0.98300679999999996</v>
      </c>
      <c r="Q132">
        <v>0.16344330000000001</v>
      </c>
      <c r="R132">
        <v>8.3570469999999994E-2</v>
      </c>
      <c r="S132">
        <v>3.0808110000000002</v>
      </c>
      <c r="T132">
        <v>-0.1503121</v>
      </c>
      <c r="U132">
        <v>-5.0048830000000002E-2</v>
      </c>
      <c r="V132">
        <v>-8.1446909999999997E-2</v>
      </c>
      <c r="W132">
        <v>0.1675555</v>
      </c>
      <c r="X132">
        <v>0.98249249999999999</v>
      </c>
      <c r="Y132">
        <v>1.8378869999999999E-2</v>
      </c>
      <c r="Z132">
        <v>-5.829028E-4</v>
      </c>
      <c r="AA132">
        <v>0.99983089999999997</v>
      </c>
      <c r="AB132">
        <v>12</v>
      </c>
      <c r="AC132">
        <v>22.6130999999999</v>
      </c>
      <c r="AD132">
        <v>-1.109525926721</v>
      </c>
      <c r="AE132">
        <v>-0.36989999999997197</v>
      </c>
      <c r="AF132">
        <v>0.41778015690839898</v>
      </c>
      <c r="AG132">
        <v>-1.109525926721</v>
      </c>
      <c r="AH132">
        <v>22.557955181813799</v>
      </c>
      <c r="AI132">
        <v>92.815374399931102</v>
      </c>
      <c r="AJ132">
        <v>88.938986122147696</v>
      </c>
      <c r="AK132">
        <v>22.589088738288901</v>
      </c>
      <c r="AL132">
        <v>80.354278827627795</v>
      </c>
      <c r="AM132">
        <v>94.738884346758496</v>
      </c>
      <c r="AN132">
        <v>0.99999997864252299</v>
      </c>
    </row>
    <row r="133" spans="1:40" x14ac:dyDescent="0.25">
      <c r="A133" t="str">
        <f>"20190304155018801"</f>
        <v>20190304155018801</v>
      </c>
      <c r="B133" t="str">
        <f>"1551685818796587"</f>
        <v>1551685818796587</v>
      </c>
      <c r="C133" t="s">
        <v>40</v>
      </c>
      <c r="D133">
        <v>4.9783850000000003</v>
      </c>
      <c r="E133">
        <v>0.53113959999999905</v>
      </c>
      <c r="F133" t="s">
        <v>41</v>
      </c>
      <c r="G133">
        <v>-444.1241</v>
      </c>
      <c r="H133" s="1">
        <v>-3.219867E-6</v>
      </c>
      <c r="I133">
        <v>367.0129</v>
      </c>
      <c r="J133">
        <v>-469.39580000000001</v>
      </c>
      <c r="K133">
        <v>1.1095250000000001</v>
      </c>
      <c r="L133">
        <v>367.22519999999997</v>
      </c>
      <c r="M133">
        <v>0.99998900000000002</v>
      </c>
      <c r="N133">
        <v>-4.1473109999999999E-3</v>
      </c>
      <c r="O133">
        <v>2.224097E-3</v>
      </c>
      <c r="P133">
        <v>0.98286750000000001</v>
      </c>
      <c r="Q133">
        <v>0.1641281</v>
      </c>
      <c r="R133">
        <v>8.3868120000000004E-2</v>
      </c>
      <c r="S133">
        <v>3.0763850000000001</v>
      </c>
      <c r="T133">
        <v>-0.13434160000000001</v>
      </c>
      <c r="U133">
        <v>-2.5665279999999999E-2</v>
      </c>
      <c r="V133">
        <v>-8.1684220000000002E-2</v>
      </c>
      <c r="W133">
        <v>0.1682023</v>
      </c>
      <c r="X133">
        <v>0.98236230000000002</v>
      </c>
      <c r="Y133">
        <v>1.0553659999999999E-2</v>
      </c>
      <c r="Z133">
        <v>-3.4007029999999998E-4</v>
      </c>
      <c r="AA133">
        <v>0.99994430000000001</v>
      </c>
      <c r="AB133">
        <v>13</v>
      </c>
      <c r="AC133">
        <v>25.271699999999999</v>
      </c>
      <c r="AD133">
        <v>-1.109528219867</v>
      </c>
      <c r="AE133">
        <v>-0.21229999999997001</v>
      </c>
      <c r="AF133">
        <v>0.26799013584624098</v>
      </c>
      <c r="AG133">
        <v>-1.109528219867</v>
      </c>
      <c r="AH133">
        <v>25.2225507781632</v>
      </c>
      <c r="AI133">
        <v>92.518648732906698</v>
      </c>
      <c r="AJ133">
        <v>89.391254036663398</v>
      </c>
      <c r="AK133">
        <v>25.248365082527901</v>
      </c>
      <c r="AL133">
        <v>80.316686667114993</v>
      </c>
      <c r="AM133">
        <v>94.753255784650506</v>
      </c>
      <c r="AN133">
        <v>1.00000000699179</v>
      </c>
    </row>
    <row r="134" spans="1:40" x14ac:dyDescent="0.25">
      <c r="A134" t="str">
        <f>"20190304155018822"</f>
        <v>20190304155018822</v>
      </c>
      <c r="B134" t="str">
        <f>"1551685818817084"</f>
        <v>1551685818817084</v>
      </c>
      <c r="C134" t="s">
        <v>40</v>
      </c>
      <c r="D134">
        <v>5.031447</v>
      </c>
      <c r="E134">
        <v>0.52946689999999996</v>
      </c>
      <c r="F134" t="s">
        <v>41</v>
      </c>
      <c r="G134">
        <v>-441.27659999999997</v>
      </c>
      <c r="H134" s="1">
        <v>-4.5278309999999999E-6</v>
      </c>
      <c r="I134">
        <v>367.22739999999999</v>
      </c>
      <c r="J134">
        <v>-469.26650000000001</v>
      </c>
      <c r="K134">
        <v>1.1095280000000001</v>
      </c>
      <c r="L134">
        <v>367.22559999999999</v>
      </c>
      <c r="M134">
        <v>0.99998909999999996</v>
      </c>
      <c r="N134">
        <v>-4.1133480000000002E-3</v>
      </c>
      <c r="O134">
        <v>2.2831190000000001E-3</v>
      </c>
      <c r="P134">
        <v>0.98257419999999995</v>
      </c>
      <c r="Q134">
        <v>0.16557230000000001</v>
      </c>
      <c r="R134">
        <v>8.4464269999999994E-2</v>
      </c>
      <c r="S134">
        <v>3.0725099999999999</v>
      </c>
      <c r="T134">
        <v>-0.1212355</v>
      </c>
      <c r="U134">
        <v>2.4414059999999999E-4</v>
      </c>
      <c r="V134">
        <v>-8.2222890000000007E-2</v>
      </c>
      <c r="W134">
        <v>0.16961180000000001</v>
      </c>
      <c r="X134">
        <v>0.98207500000000003</v>
      </c>
      <c r="Y134">
        <v>2.200362E-3</v>
      </c>
      <c r="Z134">
        <v>-1.2858610000000001E-4</v>
      </c>
      <c r="AA134">
        <v>0.99999760000000004</v>
      </c>
      <c r="AB134">
        <v>13</v>
      </c>
      <c r="AC134">
        <v>27.989899999999999</v>
      </c>
      <c r="AD134">
        <v>-1.109532527831</v>
      </c>
      <c r="AE134">
        <v>1.8000000000029099E-3</v>
      </c>
      <c r="AF134">
        <v>6.2007370913005802E-2</v>
      </c>
      <c r="AG134">
        <v>-1.109532527831</v>
      </c>
      <c r="AH134">
        <v>27.945917889552099</v>
      </c>
      <c r="AI134">
        <v>92.273605887626402</v>
      </c>
      <c r="AJ134">
        <v>89.872870347800799</v>
      </c>
      <c r="AK134">
        <v>27.9680037548973</v>
      </c>
      <c r="AL134">
        <v>80.234751291991699</v>
      </c>
      <c r="AM134">
        <v>94.785849452485706</v>
      </c>
      <c r="AN134">
        <v>1.00000003598209</v>
      </c>
    </row>
    <row r="135" spans="1:40" x14ac:dyDescent="0.25">
      <c r="A135" t="str">
        <f>"20190304155018856"</f>
        <v>20190304155018856</v>
      </c>
      <c r="B135" t="str">
        <f>"1551685818846367"</f>
        <v>1551685818846367</v>
      </c>
      <c r="C135" t="s">
        <v>40</v>
      </c>
      <c r="D135">
        <v>5.0013730000000001</v>
      </c>
      <c r="E135">
        <v>0.52753369999999999</v>
      </c>
      <c r="F135" t="s">
        <v>42</v>
      </c>
      <c r="G135">
        <v>-437.70760000000001</v>
      </c>
      <c r="H135">
        <v>-0.05</v>
      </c>
      <c r="I135">
        <v>367.38299999999998</v>
      </c>
      <c r="J135">
        <v>-469.07339999999999</v>
      </c>
      <c r="K135">
        <v>1.1095269999999999</v>
      </c>
      <c r="L135">
        <v>367.22609999999997</v>
      </c>
      <c r="M135">
        <v>0.99998900000000002</v>
      </c>
      <c r="N135">
        <v>-4.0657840000000002E-3</v>
      </c>
      <c r="O135">
        <v>2.3716129999999998E-3</v>
      </c>
      <c r="P135">
        <v>0.98214449999999998</v>
      </c>
      <c r="Q135">
        <v>0.1676164</v>
      </c>
      <c r="R135">
        <v>8.5424349999999996E-2</v>
      </c>
      <c r="S135">
        <v>3.0708920000000002</v>
      </c>
      <c r="T135">
        <v>-0.1128296</v>
      </c>
      <c r="U135">
        <v>1.531982E-2</v>
      </c>
      <c r="V135">
        <v>-8.3097980000000002E-2</v>
      </c>
      <c r="W135">
        <v>0.17160719999999999</v>
      </c>
      <c r="X135">
        <v>0.98165460000000004</v>
      </c>
      <c r="Y135">
        <v>-2.6163459999999999E-3</v>
      </c>
      <c r="Z135" s="1">
        <v>-2.4098520000000001E-5</v>
      </c>
      <c r="AA135">
        <v>0.99999660000000001</v>
      </c>
      <c r="AB135">
        <v>13</v>
      </c>
      <c r="AC135">
        <v>31.365799999999901</v>
      </c>
      <c r="AD135">
        <v>-1.159527</v>
      </c>
      <c r="AE135">
        <v>0.15690000000006399</v>
      </c>
      <c r="AF135">
        <v>-8.2398805288903795E-2</v>
      </c>
      <c r="AG135">
        <v>-1.159527</v>
      </c>
      <c r="AH135">
        <v>31.323277831093002</v>
      </c>
      <c r="AI135">
        <v>92.120003292615607</v>
      </c>
      <c r="AJ135">
        <v>90.150721546941199</v>
      </c>
      <c r="AK135">
        <v>31.3448405086178</v>
      </c>
      <c r="AL135">
        <v>80.118722076611107</v>
      </c>
      <c r="AM135">
        <v>94.838605861975097</v>
      </c>
      <c r="AN135">
        <v>1.0000000295365301</v>
      </c>
    </row>
    <row r="136" spans="1:40" x14ac:dyDescent="0.25">
      <c r="A136" t="str">
        <f>"20190304155018876"</f>
        <v>20190304155018876</v>
      </c>
      <c r="B136" t="str">
        <f>"1551685818866863"</f>
        <v>1551685818866863</v>
      </c>
      <c r="C136" t="s">
        <v>40</v>
      </c>
      <c r="D136">
        <v>5.3739379999999999</v>
      </c>
      <c r="E136">
        <v>0.52649619999999997</v>
      </c>
      <c r="F136" t="s">
        <v>42</v>
      </c>
      <c r="G136">
        <v>-434.81659999999999</v>
      </c>
      <c r="H136">
        <v>-0.05</v>
      </c>
      <c r="I136">
        <v>367.59969999999998</v>
      </c>
      <c r="J136">
        <v>-468.94729999999998</v>
      </c>
      <c r="K136">
        <v>1.1095159999999999</v>
      </c>
      <c r="L136">
        <v>367.22649999999999</v>
      </c>
      <c r="M136">
        <v>0.99998900000000002</v>
      </c>
      <c r="N136">
        <v>-4.0367220000000004E-3</v>
      </c>
      <c r="O136">
        <v>2.4290729999999999E-3</v>
      </c>
      <c r="P136">
        <v>0.9820951</v>
      </c>
      <c r="Q136">
        <v>0.16741410000000001</v>
      </c>
      <c r="R136">
        <v>8.6381550000000001E-2</v>
      </c>
      <c r="S136">
        <v>3.069366</v>
      </c>
      <c r="T136">
        <v>-0.10389230000000001</v>
      </c>
      <c r="U136">
        <v>3.3477779999999999E-2</v>
      </c>
      <c r="V136">
        <v>-8.3999149999999995E-2</v>
      </c>
      <c r="W136">
        <v>0.17137659999999999</v>
      </c>
      <c r="X136">
        <v>0.9816182</v>
      </c>
      <c r="Y136">
        <v>-8.4730859999999995E-3</v>
      </c>
      <c r="Z136" s="1">
        <v>8.8071089999999997E-5</v>
      </c>
      <c r="AA136">
        <v>0.99996410000000002</v>
      </c>
      <c r="AB136">
        <v>13</v>
      </c>
      <c r="AC136">
        <v>34.130699999999898</v>
      </c>
      <c r="AD136">
        <v>-1.159516</v>
      </c>
      <c r="AE136">
        <v>0.37319999999999698</v>
      </c>
      <c r="AF136">
        <v>-0.28995765447552402</v>
      </c>
      <c r="AG136">
        <v>-1.159516</v>
      </c>
      <c r="AH136">
        <v>34.092163000703501</v>
      </c>
      <c r="AI136">
        <v>91.947877998310304</v>
      </c>
      <c r="AJ136">
        <v>90.487295255211194</v>
      </c>
      <c r="AK136">
        <v>34.113107903886203</v>
      </c>
      <c r="AL136">
        <v>80.132133299277797</v>
      </c>
      <c r="AM136">
        <v>94.891006245150706</v>
      </c>
      <c r="AN136">
        <v>1.00000004339976</v>
      </c>
    </row>
    <row r="137" spans="1:40" x14ac:dyDescent="0.25">
      <c r="A137" t="str">
        <f>"20190304155018899"</f>
        <v>20190304155018899</v>
      </c>
      <c r="B137" t="str">
        <f>"1551685818897115"</f>
        <v>1551685818897115</v>
      </c>
      <c r="C137" t="s">
        <v>40</v>
      </c>
      <c r="D137">
        <v>4.9575430000000003</v>
      </c>
      <c r="E137">
        <v>0.52587150000000005</v>
      </c>
      <c r="F137" t="s">
        <v>42</v>
      </c>
      <c r="G137">
        <v>-432.60120000000001</v>
      </c>
      <c r="H137">
        <v>-0.05</v>
      </c>
      <c r="I137">
        <v>367.75259999999997</v>
      </c>
      <c r="J137">
        <v>-468.81540000000001</v>
      </c>
      <c r="K137">
        <v>1.10951</v>
      </c>
      <c r="L137">
        <v>367.2269</v>
      </c>
      <c r="M137">
        <v>0.99998900000000002</v>
      </c>
      <c r="N137">
        <v>-4.0078989999999997E-3</v>
      </c>
      <c r="O137">
        <v>2.4893929999999999E-3</v>
      </c>
      <c r="P137">
        <v>0.98205050000000005</v>
      </c>
      <c r="Q137">
        <v>0.16728670000000001</v>
      </c>
      <c r="R137">
        <v>8.7132230000000005E-2</v>
      </c>
      <c r="S137">
        <v>3.0675050000000001</v>
      </c>
      <c r="T137">
        <v>-9.7859619999999994E-2</v>
      </c>
      <c r="U137">
        <v>4.4403079999999998E-2</v>
      </c>
      <c r="V137">
        <v>-8.4690470000000004E-2</v>
      </c>
      <c r="W137">
        <v>0.1712206</v>
      </c>
      <c r="X137">
        <v>0.98158599999999996</v>
      </c>
      <c r="Y137">
        <v>-1.197871E-2</v>
      </c>
      <c r="Z137">
        <v>1.456095E-4</v>
      </c>
      <c r="AA137">
        <v>0.99992820000000004</v>
      </c>
      <c r="AB137">
        <v>13</v>
      </c>
      <c r="AC137">
        <v>36.214199999999998</v>
      </c>
      <c r="AD137">
        <v>-1.15951</v>
      </c>
      <c r="AE137">
        <v>0.52569999999997197</v>
      </c>
      <c r="AF137">
        <v>-0.43510032973756202</v>
      </c>
      <c r="AG137">
        <v>-1.15951</v>
      </c>
      <c r="AH137">
        <v>36.178315761041702</v>
      </c>
      <c r="AI137">
        <v>91.835560767313595</v>
      </c>
      <c r="AJ137">
        <v>90.689037348088704</v>
      </c>
      <c r="AK137">
        <v>36.199506999994803</v>
      </c>
      <c r="AL137">
        <v>80.141205327527402</v>
      </c>
      <c r="AM137">
        <v>94.931222924888999</v>
      </c>
      <c r="AN137">
        <v>1.00000002248459</v>
      </c>
    </row>
    <row r="138" spans="1:40" x14ac:dyDescent="0.25">
      <c r="A138" t="str">
        <f>"20190304155018922"</f>
        <v>20190304155018922</v>
      </c>
      <c r="B138" t="str">
        <f>"1551685818916636"</f>
        <v>1551685818916636</v>
      </c>
      <c r="C138" t="s">
        <v>40</v>
      </c>
      <c r="D138">
        <v>4.9832020000000004</v>
      </c>
      <c r="E138">
        <v>0.52565099999999998</v>
      </c>
      <c r="F138" t="s">
        <v>42</v>
      </c>
      <c r="G138">
        <v>-432.38900000000001</v>
      </c>
      <c r="H138">
        <v>-0.05</v>
      </c>
      <c r="I138">
        <v>367.83800000000002</v>
      </c>
      <c r="J138">
        <v>-468.67619999999999</v>
      </c>
      <c r="K138">
        <v>1.1095060000000001</v>
      </c>
      <c r="L138">
        <v>367.22730000000001</v>
      </c>
      <c r="M138">
        <v>0.99998889999999996</v>
      </c>
      <c r="N138">
        <v>-3.9793169999999996E-3</v>
      </c>
      <c r="O138">
        <v>2.5532879999999999E-3</v>
      </c>
      <c r="P138">
        <v>0.98189870000000001</v>
      </c>
      <c r="Q138">
        <v>0.16768279999999999</v>
      </c>
      <c r="R138">
        <v>8.8077719999999998E-2</v>
      </c>
      <c r="S138">
        <v>3.0668950000000001</v>
      </c>
      <c r="T138">
        <v>-9.7623940000000006E-2</v>
      </c>
      <c r="U138">
        <v>5.1452640000000001E-2</v>
      </c>
      <c r="V138">
        <v>-8.5574189999999994E-2</v>
      </c>
      <c r="W138">
        <v>0.17158799999999999</v>
      </c>
      <c r="X138">
        <v>0.98144520000000002</v>
      </c>
      <c r="Y138">
        <v>-1.4214320000000001E-2</v>
      </c>
      <c r="Z138">
        <v>1.833595E-4</v>
      </c>
      <c r="AA138">
        <v>0.99989899999999998</v>
      </c>
      <c r="AB138">
        <v>13</v>
      </c>
      <c r="AC138">
        <v>36.287199999999899</v>
      </c>
      <c r="AD138">
        <v>-1.1595059999999999</v>
      </c>
      <c r="AE138">
        <v>0.61070000000000801</v>
      </c>
      <c r="AF138">
        <v>-0.517517358728943</v>
      </c>
      <c r="AG138">
        <v>-1.1595059999999999</v>
      </c>
      <c r="AH138">
        <v>36.251637441814601</v>
      </c>
      <c r="AI138">
        <v>91.831790287049998</v>
      </c>
      <c r="AJ138">
        <v>90.817881578147393</v>
      </c>
      <c r="AK138">
        <v>36.273867943650501</v>
      </c>
      <c r="AL138">
        <v>80.119838744840905</v>
      </c>
      <c r="AM138">
        <v>94.983132279456399</v>
      </c>
      <c r="AN138">
        <v>1.00000003217059</v>
      </c>
    </row>
    <row r="139" spans="1:40" x14ac:dyDescent="0.25">
      <c r="A139" t="str">
        <f>"20190304155018943"</f>
        <v>20190304155018943</v>
      </c>
      <c r="B139" t="str">
        <f>"1551685818937131"</f>
        <v>1551685818937131</v>
      </c>
      <c r="C139" t="s">
        <v>40</v>
      </c>
      <c r="D139">
        <v>4.9637379999999904</v>
      </c>
      <c r="E139">
        <v>0.52551250000000005</v>
      </c>
      <c r="F139" t="s">
        <v>42</v>
      </c>
      <c r="G139">
        <v>-430.43619999999999</v>
      </c>
      <c r="H139">
        <v>-0.05</v>
      </c>
      <c r="I139">
        <v>367.92219999999998</v>
      </c>
      <c r="J139">
        <v>-468.53719999999998</v>
      </c>
      <c r="K139">
        <v>1.109504</v>
      </c>
      <c r="L139">
        <v>367.2278</v>
      </c>
      <c r="M139">
        <v>0.99998869999999895</v>
      </c>
      <c r="N139">
        <v>-3.9524579999999998E-3</v>
      </c>
      <c r="O139">
        <v>2.6170009999999999E-3</v>
      </c>
      <c r="P139">
        <v>0.98188319999999996</v>
      </c>
      <c r="Q139">
        <v>0.16767850000000001</v>
      </c>
      <c r="R139">
        <v>8.8256749999999995E-2</v>
      </c>
      <c r="S139">
        <v>3.0662229999999999</v>
      </c>
      <c r="T139">
        <v>-9.2973349999999996E-2</v>
      </c>
      <c r="U139">
        <v>5.57251E-2</v>
      </c>
      <c r="V139">
        <v>-8.5690710000000003E-2</v>
      </c>
      <c r="W139">
        <v>0.17155699999999999</v>
      </c>
      <c r="X139">
        <v>0.98144039999999999</v>
      </c>
      <c r="Y139">
        <v>-1.554704E-2</v>
      </c>
      <c r="Z139">
        <v>1.973825E-4</v>
      </c>
      <c r="AA139">
        <v>0.99987910000000002</v>
      </c>
      <c r="AB139">
        <v>14</v>
      </c>
      <c r="AC139">
        <v>38.100999999999999</v>
      </c>
      <c r="AD139">
        <v>-1.1595040000000001</v>
      </c>
      <c r="AE139">
        <v>0.69439999999997304</v>
      </c>
      <c r="AF139">
        <v>-0.59413641710479204</v>
      </c>
      <c r="AG139">
        <v>-1.1595040000000001</v>
      </c>
      <c r="AH139">
        <v>38.067443108050703</v>
      </c>
      <c r="AI139">
        <v>91.744432086339401</v>
      </c>
      <c r="AJ139">
        <v>90.894169471023005</v>
      </c>
      <c r="AK139">
        <v>38.089731849841399</v>
      </c>
      <c r="AL139">
        <v>80.121641131678402</v>
      </c>
      <c r="AM139">
        <v>94.989907487047702</v>
      </c>
      <c r="AN139">
        <v>0.99999998039073101</v>
      </c>
    </row>
    <row r="140" spans="1:40" x14ac:dyDescent="0.25">
      <c r="A140" t="str">
        <f>"20190304155018967"</f>
        <v>20190304155018967</v>
      </c>
      <c r="B140" t="str">
        <f>"1551685818956655"</f>
        <v>1551685818956655</v>
      </c>
      <c r="C140" t="s">
        <v>40</v>
      </c>
      <c r="D140">
        <v>5.0476460000000003</v>
      </c>
      <c r="E140">
        <v>0.52553649999999996</v>
      </c>
      <c r="F140" t="s">
        <v>42</v>
      </c>
      <c r="G140">
        <v>-429.42599999999999</v>
      </c>
      <c r="H140">
        <v>-0.05</v>
      </c>
      <c r="I140">
        <v>367.95769999999999</v>
      </c>
      <c r="J140">
        <v>-468.3963</v>
      </c>
      <c r="K140">
        <v>1.1094980000000001</v>
      </c>
      <c r="L140">
        <v>367.22820000000002</v>
      </c>
      <c r="M140">
        <v>0.99998869999999895</v>
      </c>
      <c r="N140">
        <v>-3.9293649999999998E-3</v>
      </c>
      <c r="O140">
        <v>2.681541E-3</v>
      </c>
      <c r="P140">
        <v>0.98199449999999999</v>
      </c>
      <c r="Q140">
        <v>0.16697899999999999</v>
      </c>
      <c r="R140">
        <v>8.8346809999999998E-2</v>
      </c>
      <c r="S140">
        <v>3.0657350000000001</v>
      </c>
      <c r="T140">
        <v>-9.088802E-2</v>
      </c>
      <c r="U140">
        <v>5.7220460000000001E-2</v>
      </c>
      <c r="V140">
        <v>-8.5717070000000006E-2</v>
      </c>
      <c r="W140">
        <v>0.1708354</v>
      </c>
      <c r="X140">
        <v>0.98156399999999999</v>
      </c>
      <c r="Y140">
        <v>-1.5973049999999999E-2</v>
      </c>
      <c r="Z140">
        <v>1.9915260000000001E-4</v>
      </c>
      <c r="AA140">
        <v>0.99987239999999999</v>
      </c>
      <c r="AB140">
        <v>14</v>
      </c>
      <c r="AC140">
        <v>38.970300000000002</v>
      </c>
      <c r="AD140">
        <v>-1.1594979999999999</v>
      </c>
      <c r="AE140">
        <v>0.72949999999997295</v>
      </c>
      <c r="AF140">
        <v>-0.624443511438731</v>
      </c>
      <c r="AG140">
        <v>-1.1594979999999999</v>
      </c>
      <c r="AH140">
        <v>38.937658076704103</v>
      </c>
      <c r="AI140">
        <v>91.705448783122193</v>
      </c>
      <c r="AJ140">
        <v>90.918774081349895</v>
      </c>
      <c r="AK140">
        <v>38.959922764416497</v>
      </c>
      <c r="AL140">
        <v>80.163605660656998</v>
      </c>
      <c r="AM140">
        <v>94.990809364495504</v>
      </c>
      <c r="AN140">
        <v>1.0000000180392701</v>
      </c>
    </row>
    <row r="141" spans="1:40" x14ac:dyDescent="0.25">
      <c r="A141" t="str">
        <f>"20190304155018988"</f>
        <v>20190304155018988</v>
      </c>
      <c r="B141" t="str">
        <f>"1551685818986909"</f>
        <v>1551685818986909</v>
      </c>
      <c r="C141" t="s">
        <v>40</v>
      </c>
      <c r="D141">
        <v>5.0043689999999996</v>
      </c>
      <c r="E141">
        <v>0.52575000000000005</v>
      </c>
      <c r="F141" t="s">
        <v>42</v>
      </c>
      <c r="G141">
        <v>-429.4796</v>
      </c>
      <c r="H141">
        <v>-0.05</v>
      </c>
      <c r="I141">
        <v>367.94920000000002</v>
      </c>
      <c r="J141">
        <v>-468.25990000000002</v>
      </c>
      <c r="K141">
        <v>1.1094930000000001</v>
      </c>
      <c r="L141">
        <v>367.22859999999997</v>
      </c>
      <c r="M141">
        <v>0.99998860000000001</v>
      </c>
      <c r="N141">
        <v>-3.9132759999999898E-3</v>
      </c>
      <c r="O141">
        <v>2.7435039999999999E-3</v>
      </c>
      <c r="P141">
        <v>0.98201519999999998</v>
      </c>
      <c r="Q141">
        <v>0.166736299999999</v>
      </c>
      <c r="R141">
        <v>8.8573659999999999E-2</v>
      </c>
      <c r="S141">
        <v>3.0654300000000001</v>
      </c>
      <c r="T141">
        <v>-9.1332440000000001E-2</v>
      </c>
      <c r="U141">
        <v>5.6793209999999997E-2</v>
      </c>
      <c r="V141">
        <v>-8.5883390000000004E-2</v>
      </c>
      <c r="W141">
        <v>0.1705769</v>
      </c>
      <c r="X141">
        <v>0.98159439999999998</v>
      </c>
      <c r="Y141">
        <v>-1.5773699999999901E-2</v>
      </c>
      <c r="Z141">
        <v>1.948032E-4</v>
      </c>
      <c r="AA141">
        <v>0.99987550000000003</v>
      </c>
      <c r="AB141">
        <v>14</v>
      </c>
      <c r="AC141">
        <v>38.780299999999997</v>
      </c>
      <c r="AD141">
        <v>-1.1594930000000001</v>
      </c>
      <c r="AE141">
        <v>0.72060000000004698</v>
      </c>
      <c r="AF141">
        <v>-0.61365417968282598</v>
      </c>
      <c r="AG141">
        <v>-1.1594930000000001</v>
      </c>
      <c r="AH141">
        <v>38.747504603248402</v>
      </c>
      <c r="AI141">
        <v>91.713811363358005</v>
      </c>
      <c r="AJ141">
        <v>90.907332118562493</v>
      </c>
      <c r="AK141">
        <v>38.769706066051697</v>
      </c>
      <c r="AL141">
        <v>80.178637082427898</v>
      </c>
      <c r="AM141">
        <v>95.000290086477307</v>
      </c>
      <c r="AN141">
        <v>1.00000000080143</v>
      </c>
    </row>
    <row r="142" spans="1:40" x14ac:dyDescent="0.25">
      <c r="A142" t="str">
        <f>"20190304155019012"</f>
        <v>20190304155019012</v>
      </c>
      <c r="B142" t="str">
        <f>"1551685819006427"</f>
        <v>1551685819006427</v>
      </c>
      <c r="C142" t="s">
        <v>40</v>
      </c>
      <c r="D142">
        <v>5.0103269999999904</v>
      </c>
      <c r="E142">
        <v>0.52567149999999996</v>
      </c>
      <c r="F142" t="s">
        <v>42</v>
      </c>
      <c r="G142">
        <v>-424.79469999999998</v>
      </c>
      <c r="H142">
        <v>-0.05</v>
      </c>
      <c r="I142">
        <v>368.02010000000001</v>
      </c>
      <c r="J142">
        <v>-468.113</v>
      </c>
      <c r="K142">
        <v>1.1094930000000001</v>
      </c>
      <c r="L142">
        <v>367.22910000000002</v>
      </c>
      <c r="M142">
        <v>0.99998860000000001</v>
      </c>
      <c r="N142">
        <v>-3.9013289999999998E-3</v>
      </c>
      <c r="O142">
        <v>2.810346E-3</v>
      </c>
      <c r="P142">
        <v>0.98199179999999997</v>
      </c>
      <c r="Q142">
        <v>0.16686110000000001</v>
      </c>
      <c r="R142">
        <v>8.8597629999999997E-2</v>
      </c>
      <c r="S142">
        <v>3.0637509999999999</v>
      </c>
      <c r="T142">
        <v>-8.1729650000000001E-2</v>
      </c>
      <c r="U142">
        <v>5.5786130000000003E-2</v>
      </c>
      <c r="V142">
        <v>-8.5841899999999999E-2</v>
      </c>
      <c r="W142">
        <v>0.1706897</v>
      </c>
      <c r="X142">
        <v>0.98157839999999996</v>
      </c>
      <c r="Y142">
        <v>-1.53899E-2</v>
      </c>
      <c r="Z142">
        <v>1.7126089999999999E-4</v>
      </c>
      <c r="AA142">
        <v>0.99988160000000004</v>
      </c>
      <c r="AB142">
        <v>14</v>
      </c>
      <c r="AC142">
        <v>43.318300000000001</v>
      </c>
      <c r="AD142">
        <v>-1.1594930000000001</v>
      </c>
      <c r="AE142">
        <v>0.79099999999999604</v>
      </c>
      <c r="AF142">
        <v>-0.66877756373925101</v>
      </c>
      <c r="AG142">
        <v>-1.1594930000000001</v>
      </c>
      <c r="AH142">
        <v>43.289347077484102</v>
      </c>
      <c r="AI142">
        <v>91.534101543605502</v>
      </c>
      <c r="AJ142">
        <v>90.885092669933002</v>
      </c>
      <c r="AK142">
        <v>43.310036456249897</v>
      </c>
      <c r="AL142">
        <v>80.172077723502099</v>
      </c>
      <c r="AM142">
        <v>94.9979677540654</v>
      </c>
      <c r="AN142">
        <v>0.99999998041412896</v>
      </c>
    </row>
    <row r="143" spans="1:40" x14ac:dyDescent="0.25">
      <c r="A143" t="str">
        <f>"20190304155019034"</f>
        <v>20190304155019034</v>
      </c>
      <c r="B143" t="str">
        <f>"1551685819026924"</f>
        <v>1551685819026924</v>
      </c>
      <c r="C143" t="s">
        <v>40</v>
      </c>
      <c r="D143">
        <v>5.0066059999999997</v>
      </c>
      <c r="E143">
        <v>0.52570099999999997</v>
      </c>
      <c r="F143" t="s">
        <v>42</v>
      </c>
      <c r="G143">
        <v>-423.1456</v>
      </c>
      <c r="H143">
        <v>-0.05</v>
      </c>
      <c r="I143">
        <v>368.05329999999998</v>
      </c>
      <c r="J143">
        <v>-467.96780000000001</v>
      </c>
      <c r="K143">
        <v>1.109483</v>
      </c>
      <c r="L143">
        <v>367.2296</v>
      </c>
      <c r="M143">
        <v>0.99998830000000005</v>
      </c>
      <c r="N143">
        <v>-3.8923640000000002E-3</v>
      </c>
      <c r="O143">
        <v>2.8765269999999998E-3</v>
      </c>
      <c r="P143">
        <v>0.9819717</v>
      </c>
      <c r="Q143">
        <v>0.16689899999999999</v>
      </c>
      <c r="R143">
        <v>8.8747359999999997E-2</v>
      </c>
      <c r="S143">
        <v>3.0633539999999999</v>
      </c>
      <c r="T143">
        <v>-7.898927E-2</v>
      </c>
      <c r="U143">
        <v>5.6152340000000002E-2</v>
      </c>
      <c r="V143">
        <v>-8.5927110000000001E-2</v>
      </c>
      <c r="W143">
        <v>0.170718799999999</v>
      </c>
      <c r="X143">
        <v>0.98156589999999999</v>
      </c>
      <c r="Y143">
        <v>-1.544591E-2</v>
      </c>
      <c r="Z143">
        <v>1.66198499999999E-4</v>
      </c>
      <c r="AA143">
        <v>0.99988069999999896</v>
      </c>
      <c r="AB143">
        <v>14</v>
      </c>
      <c r="AC143">
        <v>44.822200000000002</v>
      </c>
      <c r="AD143">
        <v>-1.159483</v>
      </c>
      <c r="AE143">
        <v>0.82369999999997301</v>
      </c>
      <c r="AF143">
        <v>-0.69429889501145103</v>
      </c>
      <c r="AG143">
        <v>-1.159483</v>
      </c>
      <c r="AH143">
        <v>44.794418598073001</v>
      </c>
      <c r="AI143">
        <v>91.482565911742</v>
      </c>
      <c r="AJ143">
        <v>90.887994810423606</v>
      </c>
      <c r="AK143">
        <v>44.814801007282099</v>
      </c>
      <c r="AL143">
        <v>80.170385738959098</v>
      </c>
      <c r="AM143">
        <v>95.002967152008694</v>
      </c>
      <c r="AN143">
        <v>0.99999999647460103</v>
      </c>
    </row>
    <row r="144" spans="1:40" x14ac:dyDescent="0.25">
      <c r="A144" t="str">
        <f>"20190304155019057"</f>
        <v>20190304155019057</v>
      </c>
      <c r="B144" t="str">
        <f>"1551685819046443"</f>
        <v>1551685819046443</v>
      </c>
      <c r="C144" t="s">
        <v>40</v>
      </c>
      <c r="D144">
        <v>5.0320739999999997</v>
      </c>
      <c r="E144">
        <v>0.5256731</v>
      </c>
      <c r="F144" t="s">
        <v>42</v>
      </c>
      <c r="G144">
        <v>-423.1943</v>
      </c>
      <c r="H144">
        <v>-0.05</v>
      </c>
      <c r="I144">
        <v>368.0521</v>
      </c>
      <c r="J144">
        <v>-467.822</v>
      </c>
      <c r="K144">
        <v>1.1094820000000001</v>
      </c>
      <c r="L144">
        <v>367.23009999999999</v>
      </c>
      <c r="M144">
        <v>0.99998810000000005</v>
      </c>
      <c r="N144">
        <v>-3.8847869999999998E-3</v>
      </c>
      <c r="O144">
        <v>2.9430630000000001E-3</v>
      </c>
      <c r="P144">
        <v>0.98189660000000001</v>
      </c>
      <c r="Q144">
        <v>0.167022799999999</v>
      </c>
      <c r="R144">
        <v>8.9345499999999994E-2</v>
      </c>
      <c r="S144">
        <v>3.0634459999999999</v>
      </c>
      <c r="T144">
        <v>-7.9332949999999999E-2</v>
      </c>
      <c r="U144">
        <v>5.6274409999999997E-2</v>
      </c>
      <c r="V144">
        <v>-8.6460319999999993E-2</v>
      </c>
      <c r="W144">
        <v>0.17083489999999901</v>
      </c>
      <c r="X144">
        <v>0.98149889999999995</v>
      </c>
      <c r="Y144">
        <v>-1.5418650000000001E-2</v>
      </c>
      <c r="Z144">
        <v>1.6478779999999901E-4</v>
      </c>
      <c r="AA144">
        <v>0.99988109999999997</v>
      </c>
      <c r="AB144">
        <v>14</v>
      </c>
      <c r="AC144">
        <v>44.627699999999898</v>
      </c>
      <c r="AD144">
        <v>-1.1594819999999999</v>
      </c>
      <c r="AE144">
        <v>0.82200000000000195</v>
      </c>
      <c r="AF144">
        <v>-0.690187578254983</v>
      </c>
      <c r="AG144">
        <v>-1.1594819999999999</v>
      </c>
      <c r="AH144">
        <v>44.599830207218702</v>
      </c>
      <c r="AI144">
        <v>91.489030701084999</v>
      </c>
      <c r="AJ144">
        <v>90.886588107035706</v>
      </c>
      <c r="AK144">
        <v>44.620237694506201</v>
      </c>
      <c r="AL144">
        <v>80.163634758888094</v>
      </c>
      <c r="AM144">
        <v>95.034195279816103</v>
      </c>
      <c r="AN144">
        <v>1.00000002034686</v>
      </c>
    </row>
    <row r="145" spans="1:40" x14ac:dyDescent="0.25">
      <c r="A145" t="str">
        <f>"20190304155019078"</f>
        <v>20190304155019078</v>
      </c>
      <c r="B145" t="str">
        <f>"1551685819066942"</f>
        <v>1551685819066942</v>
      </c>
      <c r="C145" t="s">
        <v>40</v>
      </c>
      <c r="D145">
        <v>6.0342710000000004</v>
      </c>
      <c r="E145">
        <v>0.52565090000000003</v>
      </c>
      <c r="F145" t="s">
        <v>42</v>
      </c>
      <c r="G145">
        <v>-422.69490000000002</v>
      </c>
      <c r="H145">
        <v>-0.05</v>
      </c>
      <c r="I145">
        <v>368.08600000000001</v>
      </c>
      <c r="J145">
        <v>-467.67770000000002</v>
      </c>
      <c r="K145">
        <v>1.109483</v>
      </c>
      <c r="L145">
        <v>367.23059999999998</v>
      </c>
      <c r="M145">
        <v>0.99998799999999999</v>
      </c>
      <c r="N145">
        <v>-3.8782130000000001E-3</v>
      </c>
      <c r="O145">
        <v>3.0087030000000002E-3</v>
      </c>
      <c r="P145">
        <v>0.98185560000000005</v>
      </c>
      <c r="Q145">
        <v>0.16711489999999901</v>
      </c>
      <c r="R145">
        <v>8.9622610000000005E-2</v>
      </c>
      <c r="S145">
        <v>3.0634459999999999</v>
      </c>
      <c r="T145">
        <v>-7.8711390000000006E-2</v>
      </c>
      <c r="U145">
        <v>5.8105469999999999E-2</v>
      </c>
      <c r="V145">
        <v>-8.6673360000000005E-2</v>
      </c>
      <c r="W145">
        <v>0.17091990000000001</v>
      </c>
      <c r="X145">
        <v>0.98146529999999998</v>
      </c>
      <c r="Y145">
        <v>-1.5950329999999999E-2</v>
      </c>
      <c r="Z145">
        <v>1.70179199999999E-4</v>
      </c>
      <c r="AA145">
        <v>0.99987269999999995</v>
      </c>
      <c r="AB145">
        <v>14</v>
      </c>
      <c r="AC145">
        <v>44.982799999999997</v>
      </c>
      <c r="AD145">
        <v>-1.159483</v>
      </c>
      <c r="AE145">
        <v>0.85540000000003102</v>
      </c>
      <c r="AF145">
        <v>-0.71957731030494898</v>
      </c>
      <c r="AG145">
        <v>-1.159483</v>
      </c>
      <c r="AH145">
        <v>44.955312124362798</v>
      </c>
      <c r="AI145">
        <v>91.477250428004893</v>
      </c>
      <c r="AJ145">
        <v>90.917026719662402</v>
      </c>
      <c r="AK145">
        <v>44.976018949343199</v>
      </c>
      <c r="AL145">
        <v>80.158691810401507</v>
      </c>
      <c r="AM145">
        <v>95.046707537127105</v>
      </c>
      <c r="AN145">
        <v>1.0000000093268899</v>
      </c>
    </row>
    <row r="146" spans="1:40" x14ac:dyDescent="0.25">
      <c r="A146" t="str">
        <f>"20190304155019091"</f>
        <v>20190304155019091</v>
      </c>
      <c r="B146" t="str">
        <f>"1551685819086459"</f>
        <v>1551685819086459</v>
      </c>
      <c r="C146" t="s">
        <v>40</v>
      </c>
      <c r="D146">
        <v>4.9802039999999996</v>
      </c>
      <c r="E146">
        <v>0.52569969999999999</v>
      </c>
      <c r="F146" t="s">
        <v>42</v>
      </c>
      <c r="G146">
        <v>-420.28910000000002</v>
      </c>
      <c r="H146">
        <v>-0.05</v>
      </c>
      <c r="I146">
        <v>368.14710000000002</v>
      </c>
      <c r="J146">
        <v>-467.59649999999999</v>
      </c>
      <c r="K146">
        <v>1.109483</v>
      </c>
      <c r="L146">
        <v>367.23090000000002</v>
      </c>
      <c r="M146">
        <v>0.99998790000000004</v>
      </c>
      <c r="N146">
        <v>-3.8748179999999999E-3</v>
      </c>
      <c r="O146">
        <v>3.0457850000000001E-3</v>
      </c>
      <c r="P146">
        <v>0.98184340000000003</v>
      </c>
      <c r="Q146">
        <v>0.16708419999999999</v>
      </c>
      <c r="R146">
        <v>8.9813619999999997E-2</v>
      </c>
      <c r="S146">
        <v>3.0627749999999998</v>
      </c>
      <c r="T146">
        <v>-7.4938539999999998E-2</v>
      </c>
      <c r="U146">
        <v>5.9234620000000002E-2</v>
      </c>
      <c r="V146">
        <v>-8.6827860000000007E-2</v>
      </c>
      <c r="W146">
        <v>0.1708856</v>
      </c>
      <c r="X146">
        <v>0.98145760000000004</v>
      </c>
      <c r="Y146">
        <v>-1.628624E-2</v>
      </c>
      <c r="Z146">
        <v>1.6805060000000001E-4</v>
      </c>
      <c r="AA146">
        <v>0.99986739999999996</v>
      </c>
      <c r="AB146">
        <v>15</v>
      </c>
      <c r="AC146">
        <v>47.307399999999902</v>
      </c>
      <c r="AD146">
        <v>-1.159483</v>
      </c>
      <c r="AE146">
        <v>0.91620000000000301</v>
      </c>
      <c r="AF146">
        <v>-0.77164313969532705</v>
      </c>
      <c r="AG146">
        <v>-1.159483</v>
      </c>
      <c r="AH146">
        <v>47.281578890530298</v>
      </c>
      <c r="AI146">
        <v>91.404592051020401</v>
      </c>
      <c r="AJ146">
        <v>90.934993534750404</v>
      </c>
      <c r="AK146">
        <v>47.302088075937696</v>
      </c>
      <c r="AL146">
        <v>80.1606862387588</v>
      </c>
      <c r="AM146">
        <v>95.055696446396595</v>
      </c>
      <c r="AN146">
        <v>0.99999999307864895</v>
      </c>
    </row>
    <row r="147" spans="1:40" x14ac:dyDescent="0.25">
      <c r="A147" t="str">
        <f>"20190304155019112"</f>
        <v>20190304155019112</v>
      </c>
      <c r="B147" t="str">
        <f>"1551685819106956"</f>
        <v>1551685819106956</v>
      </c>
      <c r="C147" t="s">
        <v>40</v>
      </c>
      <c r="D147">
        <v>5.0412220000000003</v>
      </c>
      <c r="E147">
        <v>0.52577739999999995</v>
      </c>
      <c r="F147" t="s">
        <v>42</v>
      </c>
      <c r="G147">
        <v>-418.57330000000002</v>
      </c>
      <c r="H147">
        <v>-0.05</v>
      </c>
      <c r="I147">
        <v>368.19040000000001</v>
      </c>
      <c r="J147">
        <v>-467.45589999999999</v>
      </c>
      <c r="K147">
        <v>1.1094839999999999</v>
      </c>
      <c r="L147">
        <v>367.23140000000001</v>
      </c>
      <c r="M147">
        <v>0.99998770000000003</v>
      </c>
      <c r="N147">
        <v>-3.869501E-3</v>
      </c>
      <c r="O147">
        <v>3.1097529999999998E-3</v>
      </c>
      <c r="P147">
        <v>0.98179419999999995</v>
      </c>
      <c r="Q147">
        <v>0.1672746</v>
      </c>
      <c r="R147">
        <v>8.9997969999999997E-2</v>
      </c>
      <c r="S147">
        <v>3.0623170000000002</v>
      </c>
      <c r="T147">
        <v>-7.2429179999999996E-2</v>
      </c>
      <c r="U147">
        <v>5.993652E-2</v>
      </c>
      <c r="V147">
        <v>-8.6949970000000001E-2</v>
      </c>
      <c r="W147">
        <v>0.17107069999999999</v>
      </c>
      <c r="X147">
        <v>0.98141460000000003</v>
      </c>
      <c r="Y147">
        <v>-1.6454509999999999E-2</v>
      </c>
      <c r="Z147">
        <v>1.648846E-4</v>
      </c>
      <c r="AA147">
        <v>0.99986459999999999</v>
      </c>
      <c r="AB147">
        <v>15</v>
      </c>
      <c r="AC147">
        <v>48.882599999999897</v>
      </c>
      <c r="AD147">
        <v>-1.159484</v>
      </c>
      <c r="AE147">
        <v>0.95900000000000296</v>
      </c>
      <c r="AF147">
        <v>-0.80652781603825896</v>
      </c>
      <c r="AG147">
        <v>-1.159484</v>
      </c>
      <c r="AH147">
        <v>48.857867707985498</v>
      </c>
      <c r="AI147">
        <v>91.359290335820106</v>
      </c>
      <c r="AJ147">
        <v>90.945731880565802</v>
      </c>
      <c r="AK147">
        <v>48.878278685273997</v>
      </c>
      <c r="AL147">
        <v>80.149922848958894</v>
      </c>
      <c r="AM147">
        <v>95.062990246917195</v>
      </c>
      <c r="AN147">
        <v>1.00000004938732</v>
      </c>
    </row>
    <row r="148" spans="1:40" x14ac:dyDescent="0.25">
      <c r="A148" t="str">
        <f>"20190304155019125"</f>
        <v>20190304155019125</v>
      </c>
      <c r="B148" t="str">
        <f>"1551685819116716"</f>
        <v>1551685819116716</v>
      </c>
      <c r="C148" t="s">
        <v>40</v>
      </c>
      <c r="D148">
        <v>5.034802</v>
      </c>
      <c r="E148">
        <v>0.52581940000000005</v>
      </c>
      <c r="F148" t="s">
        <v>42</v>
      </c>
      <c r="G148">
        <v>-418.40219999999999</v>
      </c>
      <c r="H148">
        <v>-0.05</v>
      </c>
      <c r="I148">
        <v>368.18360000000001</v>
      </c>
      <c r="J148">
        <v>-467.36520000000002</v>
      </c>
      <c r="K148">
        <v>1.1094820000000001</v>
      </c>
      <c r="L148">
        <v>367.23169999999999</v>
      </c>
      <c r="M148">
        <v>0.99998770000000003</v>
      </c>
      <c r="N148">
        <v>-3.8662940000000002E-3</v>
      </c>
      <c r="O148">
        <v>3.1510069999999999E-3</v>
      </c>
      <c r="P148">
        <v>0.98170409999999997</v>
      </c>
      <c r="Q148">
        <v>0.16766819999999999</v>
      </c>
      <c r="R148">
        <v>9.0247499999999994E-2</v>
      </c>
      <c r="S148">
        <v>3.0625</v>
      </c>
      <c r="T148">
        <v>-7.238841E-2</v>
      </c>
      <c r="U148">
        <v>5.9448239999999999E-2</v>
      </c>
      <c r="V148">
        <v>-8.7159230000000004E-2</v>
      </c>
      <c r="W148">
        <v>0.17146110000000001</v>
      </c>
      <c r="X148">
        <v>0.98132779999999997</v>
      </c>
      <c r="Y148">
        <v>-1.6252820000000001E-2</v>
      </c>
      <c r="Z148">
        <v>1.6118449999999999E-4</v>
      </c>
      <c r="AA148">
        <v>0.99986790000000003</v>
      </c>
      <c r="AB148">
        <v>15</v>
      </c>
      <c r="AC148">
        <v>48.963000000000001</v>
      </c>
      <c r="AD148">
        <v>-1.1594819999999999</v>
      </c>
      <c r="AE148">
        <v>0.95190000000002295</v>
      </c>
      <c r="AF148">
        <v>-0.79716452231563595</v>
      </c>
      <c r="AG148">
        <v>-1.1594819999999999</v>
      </c>
      <c r="AH148">
        <v>48.938323157901003</v>
      </c>
      <c r="AI148">
        <v>91.357058993970199</v>
      </c>
      <c r="AJ148">
        <v>90.933217991974701</v>
      </c>
      <c r="AK148">
        <v>48.958547193427897</v>
      </c>
      <c r="AL148">
        <v>80.127218091822996</v>
      </c>
      <c r="AM148">
        <v>95.0755581980046</v>
      </c>
      <c r="AN148">
        <v>0.99999994562011996</v>
      </c>
    </row>
    <row r="149" spans="1:40" x14ac:dyDescent="0.25">
      <c r="A149" t="str">
        <f>"20190304155019138"</f>
        <v>20190304155019138</v>
      </c>
      <c r="B149" t="str">
        <f>"1551685819126476"</f>
        <v>1551685819126476</v>
      </c>
      <c r="C149" t="s">
        <v>40</v>
      </c>
      <c r="D149">
        <v>5.0225169999999997</v>
      </c>
      <c r="E149">
        <v>0.52581899999999904</v>
      </c>
      <c r="F149" t="s">
        <v>42</v>
      </c>
      <c r="G149">
        <v>-417.4905</v>
      </c>
      <c r="H149">
        <v>-0.05</v>
      </c>
      <c r="I149">
        <v>368.20729999999998</v>
      </c>
      <c r="J149">
        <v>-467.28620000000001</v>
      </c>
      <c r="K149">
        <v>1.1094850000000001</v>
      </c>
      <c r="L149">
        <v>367.23200000000003</v>
      </c>
      <c r="M149">
        <v>0.99998759999999998</v>
      </c>
      <c r="N149">
        <v>-3.863684E-3</v>
      </c>
      <c r="O149">
        <v>3.1868360000000002E-3</v>
      </c>
      <c r="P149">
        <v>0.98169399999999996</v>
      </c>
      <c r="Q149">
        <v>0.16759489999999999</v>
      </c>
      <c r="R149">
        <v>9.0492450000000002E-2</v>
      </c>
      <c r="S149">
        <v>3.0625610000000001</v>
      </c>
      <c r="T149">
        <v>-7.1198230000000001E-2</v>
      </c>
      <c r="U149">
        <v>5.9906010000000003E-2</v>
      </c>
      <c r="V149">
        <v>-8.7369100000000005E-2</v>
      </c>
      <c r="W149">
        <v>0.17138499999999901</v>
      </c>
      <c r="X149">
        <v>0.98132249999999999</v>
      </c>
      <c r="Y149">
        <v>-1.636611E-2</v>
      </c>
      <c r="Z149">
        <v>1.600611E-4</v>
      </c>
      <c r="AA149">
        <v>0.99986609999999998</v>
      </c>
      <c r="AB149">
        <v>15</v>
      </c>
      <c r="AC149">
        <v>49.795699999999997</v>
      </c>
      <c r="AD149">
        <v>-1.1594850000000001</v>
      </c>
      <c r="AE149">
        <v>0.97530000000000405</v>
      </c>
      <c r="AF149">
        <v>-0.81616081649798</v>
      </c>
      <c r="AG149">
        <v>-1.1594850000000001</v>
      </c>
      <c r="AH149">
        <v>49.771580279301098</v>
      </c>
      <c r="AI149">
        <v>91.334348981731196</v>
      </c>
      <c r="AJ149">
        <v>90.939459409145101</v>
      </c>
      <c r="AK149">
        <v>49.791773692473797</v>
      </c>
      <c r="AL149">
        <v>80.131644488465696</v>
      </c>
      <c r="AM149">
        <v>95.087742861171606</v>
      </c>
      <c r="AN149">
        <v>1.00000001343303</v>
      </c>
    </row>
    <row r="150" spans="1:40" x14ac:dyDescent="0.25">
      <c r="A150" t="str">
        <f>"20190304155019150"</f>
        <v>20190304155019150</v>
      </c>
      <c r="B150" t="str">
        <f>"1551685819146972"</f>
        <v>1551685819146972</v>
      </c>
      <c r="C150" t="s">
        <v>40</v>
      </c>
      <c r="D150">
        <v>5.0335449999999904</v>
      </c>
      <c r="E150">
        <v>0.5258275</v>
      </c>
      <c r="F150" t="s">
        <v>42</v>
      </c>
      <c r="G150">
        <v>-417.5752</v>
      </c>
      <c r="H150">
        <v>-0.05</v>
      </c>
      <c r="I150">
        <v>368.21730000000002</v>
      </c>
      <c r="J150">
        <v>-467.19990000000001</v>
      </c>
      <c r="K150">
        <v>1.1094850000000001</v>
      </c>
      <c r="L150">
        <v>367.23230000000001</v>
      </c>
      <c r="M150">
        <v>0.99998730000000002</v>
      </c>
      <c r="N150">
        <v>-3.860937E-3</v>
      </c>
      <c r="O150">
        <v>3.2264199999999998E-3</v>
      </c>
      <c r="P150">
        <v>0.98169050000000002</v>
      </c>
      <c r="Q150">
        <v>0.16754959999999999</v>
      </c>
      <c r="R150">
        <v>9.0615249999999994E-2</v>
      </c>
      <c r="S150">
        <v>3.0625309999999999</v>
      </c>
      <c r="T150">
        <v>-7.1432109999999993E-2</v>
      </c>
      <c r="U150">
        <v>6.0699459999999997E-2</v>
      </c>
      <c r="V150">
        <v>-8.7453139999999999E-2</v>
      </c>
      <c r="W150">
        <v>0.17133709999999999</v>
      </c>
      <c r="X150">
        <v>0.98132339999999996</v>
      </c>
      <c r="Y150">
        <v>-1.6585590000000001E-2</v>
      </c>
      <c r="Z150">
        <v>1.6262469999999999E-4</v>
      </c>
      <c r="AA150">
        <v>0.99986240000000004</v>
      </c>
      <c r="AB150">
        <v>15</v>
      </c>
      <c r="AC150">
        <v>49.624699999999997</v>
      </c>
      <c r="AD150">
        <v>-1.1594850000000001</v>
      </c>
      <c r="AE150">
        <v>0.98500000000001298</v>
      </c>
      <c r="AF150">
        <v>-0.824433645236892</v>
      </c>
      <c r="AG150">
        <v>-1.1594850000000001</v>
      </c>
      <c r="AH150">
        <v>49.600552141058699</v>
      </c>
      <c r="AI150">
        <v>91.338943357409406</v>
      </c>
      <c r="AJ150">
        <v>90.952251879877707</v>
      </c>
      <c r="AK150">
        <v>49.620951915481299</v>
      </c>
      <c r="AL150">
        <v>80.134430370622994</v>
      </c>
      <c r="AM150">
        <v>95.092606373374196</v>
      </c>
      <c r="AN150">
        <v>1.00000003445991</v>
      </c>
    </row>
    <row r="151" spans="1:40" x14ac:dyDescent="0.25">
      <c r="A151" t="str">
        <f>"20190304155019167"</f>
        <v>20190304155019167</v>
      </c>
      <c r="B151" t="str">
        <f>"1551685819156735"</f>
        <v>1551685819156735</v>
      </c>
      <c r="C151" t="s">
        <v>40</v>
      </c>
      <c r="D151">
        <v>4.8178419999999997</v>
      </c>
      <c r="E151">
        <v>0.5258275</v>
      </c>
      <c r="F151" t="s">
        <v>42</v>
      </c>
      <c r="G151">
        <v>-417.61160000000001</v>
      </c>
      <c r="H151">
        <v>-0.05</v>
      </c>
      <c r="I151">
        <v>368.21809999999999</v>
      </c>
      <c r="J151">
        <v>-467.0813</v>
      </c>
      <c r="K151">
        <v>1.1094850000000001</v>
      </c>
      <c r="L151">
        <v>367.2328</v>
      </c>
      <c r="M151">
        <v>0.99998739999999997</v>
      </c>
      <c r="N151">
        <v>-3.8575020000000001E-3</v>
      </c>
      <c r="O151">
        <v>3.2801319999999998E-3</v>
      </c>
      <c r="P151">
        <v>0.98163999999999996</v>
      </c>
      <c r="Q151">
        <v>0.16772310000000001</v>
      </c>
      <c r="R151">
        <v>9.0841459999999999E-2</v>
      </c>
      <c r="S151">
        <v>3.062592</v>
      </c>
      <c r="T151">
        <v>-7.1610209999999994E-2</v>
      </c>
      <c r="U151">
        <v>6.0882569999999997E-2</v>
      </c>
      <c r="V151">
        <v>-8.7626899999999994E-2</v>
      </c>
      <c r="W151">
        <v>0.17150670000000001</v>
      </c>
      <c r="X151">
        <v>0.98127819999999999</v>
      </c>
      <c r="Y151">
        <v>-1.6591229999999998E-2</v>
      </c>
      <c r="Z151">
        <v>1.6190559999999999E-4</v>
      </c>
      <c r="AA151">
        <v>0.99986229999999998</v>
      </c>
      <c r="AB151">
        <v>15</v>
      </c>
      <c r="AC151">
        <v>49.469699999999897</v>
      </c>
      <c r="AD151">
        <v>-1.1594850000000001</v>
      </c>
      <c r="AE151">
        <v>0.98529999999999496</v>
      </c>
      <c r="AF151">
        <v>-0.82257467682746999</v>
      </c>
      <c r="AG151">
        <v>-1.1594850000000001</v>
      </c>
      <c r="AH151">
        <v>49.445513520562301</v>
      </c>
      <c r="AI151">
        <v>91.343139814596896</v>
      </c>
      <c r="AJ151">
        <v>90.953083643843897</v>
      </c>
      <c r="AK151">
        <v>49.4659462850585</v>
      </c>
      <c r="AL151">
        <v>80.124566301322901</v>
      </c>
      <c r="AM151">
        <v>95.102905270638104</v>
      </c>
      <c r="AN151">
        <v>0.99999996377186895</v>
      </c>
    </row>
    <row r="152" spans="1:40" x14ac:dyDescent="0.25">
      <c r="A152" t="str">
        <f>"20190304155019181"</f>
        <v>20190304155019181</v>
      </c>
      <c r="B152" t="str">
        <f>"1551685819177228"</f>
        <v>1551685819177228</v>
      </c>
      <c r="C152" t="s">
        <v>40</v>
      </c>
      <c r="D152">
        <v>5.026554</v>
      </c>
      <c r="E152">
        <v>0.52600570000000002</v>
      </c>
      <c r="F152" t="s">
        <v>42</v>
      </c>
      <c r="G152">
        <v>-417.09469999999999</v>
      </c>
      <c r="H152">
        <v>-0.05</v>
      </c>
      <c r="I152">
        <v>368.23599999999999</v>
      </c>
      <c r="J152">
        <v>-466.9907</v>
      </c>
      <c r="K152">
        <v>1.1094839999999999</v>
      </c>
      <c r="L152">
        <v>367.23309999999998</v>
      </c>
      <c r="M152">
        <v>0.99998710000000002</v>
      </c>
      <c r="N152">
        <v>-3.8552959999999998E-3</v>
      </c>
      <c r="O152">
        <v>3.3213240000000001E-3</v>
      </c>
      <c r="P152">
        <v>0.98162519999999998</v>
      </c>
      <c r="Q152">
        <v>0.16771900000000001</v>
      </c>
      <c r="R152">
        <v>9.1008279999999997E-2</v>
      </c>
      <c r="S152">
        <v>3.0625309999999999</v>
      </c>
      <c r="T152">
        <v>-7.1038130000000005E-2</v>
      </c>
      <c r="U152">
        <v>6.14624E-2</v>
      </c>
      <c r="V152">
        <v>-8.7753369999999997E-2</v>
      </c>
      <c r="W152">
        <v>0.17150009999999999</v>
      </c>
      <c r="X152">
        <v>0.98126809999999998</v>
      </c>
      <c r="Y152">
        <v>-1.67397E-2</v>
      </c>
      <c r="Z152">
        <v>1.6215709999999999E-4</v>
      </c>
      <c r="AA152">
        <v>0.99985990000000002</v>
      </c>
      <c r="AB152">
        <v>15</v>
      </c>
      <c r="AC152">
        <v>49.896000000000001</v>
      </c>
      <c r="AD152">
        <v>-1.159484</v>
      </c>
      <c r="AE152">
        <v>1.0029000000000099</v>
      </c>
      <c r="AF152">
        <v>-0.83672081101675</v>
      </c>
      <c r="AG152">
        <v>-1.159484</v>
      </c>
      <c r="AH152">
        <v>49.872135425618097</v>
      </c>
      <c r="AI152">
        <v>91.3316500394549</v>
      </c>
      <c r="AJ152">
        <v>90.961179491765805</v>
      </c>
      <c r="AK152">
        <v>49.8926286817304</v>
      </c>
      <c r="AL152">
        <v>80.124950613295496</v>
      </c>
      <c r="AM152">
        <v>95.110283534756604</v>
      </c>
      <c r="AN152">
        <v>1.00000001116198</v>
      </c>
    </row>
    <row r="153" spans="1:40" x14ac:dyDescent="0.25">
      <c r="A153" t="str">
        <f>"20190304155019194"</f>
        <v>20190304155019194</v>
      </c>
      <c r="B153" t="str">
        <f>"1551685819186988"</f>
        <v>1551685819186988</v>
      </c>
      <c r="C153" t="s">
        <v>40</v>
      </c>
      <c r="D153">
        <v>4.9889999999999999</v>
      </c>
      <c r="E153">
        <v>0.52607569999999904</v>
      </c>
      <c r="F153" t="s">
        <v>42</v>
      </c>
      <c r="G153">
        <v>-413.70179999999999</v>
      </c>
      <c r="H153">
        <v>-0.05</v>
      </c>
      <c r="I153">
        <v>368.28899999999999</v>
      </c>
      <c r="J153">
        <v>-466.8974</v>
      </c>
      <c r="K153">
        <v>1.1094820000000001</v>
      </c>
      <c r="L153">
        <v>367.23349999999999</v>
      </c>
      <c r="M153">
        <v>0.99998699999999996</v>
      </c>
      <c r="N153">
        <v>-3.853296E-3</v>
      </c>
      <c r="O153">
        <v>3.3635890000000002E-3</v>
      </c>
      <c r="P153">
        <v>0.98156639999999995</v>
      </c>
      <c r="Q153">
        <v>0.16793669999999999</v>
      </c>
      <c r="R153">
        <v>9.1240699999999994E-2</v>
      </c>
      <c r="S153">
        <v>3.0619510000000001</v>
      </c>
      <c r="T153">
        <v>-6.6623329999999994E-2</v>
      </c>
      <c r="U153">
        <v>6.0668949999999999E-2</v>
      </c>
      <c r="V153">
        <v>-8.7944649999999999E-2</v>
      </c>
      <c r="W153">
        <v>0.17171620000000001</v>
      </c>
      <c r="X153">
        <v>0.98121320000000001</v>
      </c>
      <c r="Y153">
        <v>-1.6442829999999999E-2</v>
      </c>
      <c r="Z153">
        <v>1.5032239999999999E-4</v>
      </c>
      <c r="AA153">
        <v>0.9998648</v>
      </c>
      <c r="AB153">
        <v>15</v>
      </c>
      <c r="AC153">
        <v>53.195599999999999</v>
      </c>
      <c r="AD153">
        <v>-1.1594819999999999</v>
      </c>
      <c r="AE153">
        <v>1.0554999999999899</v>
      </c>
      <c r="AF153">
        <v>-0.87614849391801497</v>
      </c>
      <c r="AG153">
        <v>-1.1594819999999999</v>
      </c>
      <c r="AH153">
        <v>53.173597025006202</v>
      </c>
      <c r="AI153">
        <v>91.249001201970799</v>
      </c>
      <c r="AJ153">
        <v>90.943984824789993</v>
      </c>
      <c r="AK153">
        <v>53.193453124134301</v>
      </c>
      <c r="AL153">
        <v>80.112382733319393</v>
      </c>
      <c r="AM153">
        <v>95.121648500798898</v>
      </c>
      <c r="AN153">
        <v>1.0000000293301501</v>
      </c>
    </row>
    <row r="154" spans="1:40" x14ac:dyDescent="0.25">
      <c r="A154" t="str">
        <f>"20190304155019214"</f>
        <v>20190304155019214</v>
      </c>
      <c r="B154" t="str">
        <f>"1551685819206508"</f>
        <v>1551685819206508</v>
      </c>
      <c r="C154" t="s">
        <v>40</v>
      </c>
      <c r="D154">
        <v>4.9889919999999996</v>
      </c>
      <c r="E154">
        <v>0.52587919999999999</v>
      </c>
      <c r="F154" t="s">
        <v>42</v>
      </c>
      <c r="G154">
        <v>-410.98970000000003</v>
      </c>
      <c r="H154">
        <v>-0.05</v>
      </c>
      <c r="I154">
        <v>368.34859999999998</v>
      </c>
      <c r="J154">
        <v>-466.75869999999998</v>
      </c>
      <c r="K154">
        <v>1.1094809999999999</v>
      </c>
      <c r="L154">
        <v>367.23399999999998</v>
      </c>
      <c r="M154">
        <v>0.99998679999999995</v>
      </c>
      <c r="N154">
        <v>-3.8510039999999999E-3</v>
      </c>
      <c r="O154">
        <v>3.4267170000000001E-3</v>
      </c>
      <c r="P154">
        <v>0.98156399999999999</v>
      </c>
      <c r="Q154">
        <v>0.16803789999999999</v>
      </c>
      <c r="R154">
        <v>9.1079930000000003E-2</v>
      </c>
      <c r="S154">
        <v>3.0615230000000002</v>
      </c>
      <c r="T154">
        <v>-6.3493610000000006E-2</v>
      </c>
      <c r="U154">
        <v>6.1065670000000002E-2</v>
      </c>
      <c r="V154">
        <v>-8.7722739999999993E-2</v>
      </c>
      <c r="W154">
        <v>0.17181489999999999</v>
      </c>
      <c r="X154">
        <v>0.98121579999999997</v>
      </c>
      <c r="Y154">
        <v>-1.6512309999999999E-2</v>
      </c>
      <c r="Z154">
        <v>1.4513459999999901E-4</v>
      </c>
      <c r="AA154">
        <v>0.99986359999999996</v>
      </c>
      <c r="AB154">
        <v>15</v>
      </c>
      <c r="AC154">
        <v>55.768999999999899</v>
      </c>
      <c r="AD154">
        <v>-1.159481</v>
      </c>
      <c r="AE154">
        <v>1.1145999999999301</v>
      </c>
      <c r="AF154">
        <v>-0.92308862314768902</v>
      </c>
      <c r="AG154">
        <v>-1.159481</v>
      </c>
      <c r="AH154">
        <v>55.748404020632101</v>
      </c>
      <c r="AI154">
        <v>91.191328988999999</v>
      </c>
      <c r="AJ154">
        <v>90.948623559572496</v>
      </c>
      <c r="AK154">
        <v>55.768100556170801</v>
      </c>
      <c r="AL154">
        <v>80.106642457608203</v>
      </c>
      <c r="AM154">
        <v>95.108780097305498</v>
      </c>
      <c r="AN154">
        <v>1.0000000425723701</v>
      </c>
    </row>
    <row r="155" spans="1:40" x14ac:dyDescent="0.25">
      <c r="A155" t="str">
        <f>"20190304155019235"</f>
        <v>20190304155019235</v>
      </c>
      <c r="B155" t="str">
        <f>"1551685819227007"</f>
        <v>1551685819227007</v>
      </c>
      <c r="C155" t="s">
        <v>40</v>
      </c>
      <c r="D155">
        <v>5.0120449999999996</v>
      </c>
      <c r="E155">
        <v>0.52584059999999999</v>
      </c>
      <c r="F155" t="s">
        <v>42</v>
      </c>
      <c r="G155">
        <v>-411.9307</v>
      </c>
      <c r="H155">
        <v>-0.05</v>
      </c>
      <c r="I155">
        <v>368.34609999999998</v>
      </c>
      <c r="J155">
        <v>-466.60640000000001</v>
      </c>
      <c r="K155">
        <v>1.1094790000000001</v>
      </c>
      <c r="L155">
        <v>367.2346</v>
      </c>
      <c r="M155">
        <v>0.9999865</v>
      </c>
      <c r="N155">
        <v>-3.849458E-3</v>
      </c>
      <c r="O155">
        <v>3.4959230000000002E-3</v>
      </c>
      <c r="P155">
        <v>0.98164390000000001</v>
      </c>
      <c r="Q155">
        <v>0.16758039999999999</v>
      </c>
      <c r="R155">
        <v>9.10633E-2</v>
      </c>
      <c r="S155">
        <v>3.0616460000000001</v>
      </c>
      <c r="T155">
        <v>-6.4746380000000006E-2</v>
      </c>
      <c r="U155">
        <v>6.2103270000000002E-2</v>
      </c>
      <c r="V155">
        <v>-8.7637660000000006E-2</v>
      </c>
      <c r="W155">
        <v>0.17135590000000001</v>
      </c>
      <c r="X155">
        <v>0.98130360000000005</v>
      </c>
      <c r="Y155">
        <v>-1.678085E-2</v>
      </c>
      <c r="Z155">
        <v>1.4924670000000001E-4</v>
      </c>
      <c r="AA155">
        <v>0.99985919999999895</v>
      </c>
      <c r="AB155">
        <v>16</v>
      </c>
      <c r="AC155">
        <v>54.675699999999999</v>
      </c>
      <c r="AD155">
        <v>-1.1594789999999999</v>
      </c>
      <c r="AE155">
        <v>1.11149999999997</v>
      </c>
      <c r="AF155">
        <v>-0.91993622029733402</v>
      </c>
      <c r="AG155">
        <v>-1.1594789999999999</v>
      </c>
      <c r="AH155">
        <v>54.654682772203898</v>
      </c>
      <c r="AI155">
        <v>91.215154526206803</v>
      </c>
      <c r="AJ155">
        <v>90.964299551647599</v>
      </c>
      <c r="AK155">
        <v>54.674720146801803</v>
      </c>
      <c r="AL155">
        <v>80.133336494300394</v>
      </c>
      <c r="AM155">
        <v>95.103397162733799</v>
      </c>
      <c r="AN155">
        <v>0.99999997964402199</v>
      </c>
    </row>
    <row r="156" spans="1:40" x14ac:dyDescent="0.25">
      <c r="A156" t="str">
        <f>"20190304155019249"</f>
        <v>20190304155019249</v>
      </c>
      <c r="B156" t="str">
        <f>"1551685819246524"</f>
        <v>1551685819246524</v>
      </c>
      <c r="C156" t="s">
        <v>40</v>
      </c>
      <c r="D156">
        <v>5.0485980000000001</v>
      </c>
      <c r="E156">
        <v>0.52577839999999998</v>
      </c>
      <c r="F156" t="s">
        <v>42</v>
      </c>
      <c r="G156">
        <v>-414.78129999999999</v>
      </c>
      <c r="H156">
        <v>-0.05</v>
      </c>
      <c r="I156">
        <v>368.28620000000001</v>
      </c>
      <c r="J156">
        <v>-466.51499999999999</v>
      </c>
      <c r="K156">
        <v>1.109478</v>
      </c>
      <c r="L156">
        <v>367.23500000000001</v>
      </c>
      <c r="M156">
        <v>0.99998640000000005</v>
      </c>
      <c r="N156">
        <v>-3.8489420000000002E-3</v>
      </c>
      <c r="O156">
        <v>3.5372910000000001E-3</v>
      </c>
      <c r="P156">
        <v>0.98168880000000003</v>
      </c>
      <c r="Q156">
        <v>0.16735459999999999</v>
      </c>
      <c r="R156">
        <v>9.0992939999999994E-2</v>
      </c>
      <c r="S156">
        <v>3.0620729999999998</v>
      </c>
      <c r="T156">
        <v>-6.850755E-2</v>
      </c>
      <c r="U156">
        <v>6.2133790000000001E-2</v>
      </c>
      <c r="V156">
        <v>-8.7526519999999997E-2</v>
      </c>
      <c r="W156">
        <v>0.1711299</v>
      </c>
      <c r="X156">
        <v>0.98135300000000003</v>
      </c>
      <c r="Y156">
        <v>-1.6746219999999999E-2</v>
      </c>
      <c r="Z156">
        <v>1.5401569999999999E-4</v>
      </c>
      <c r="AA156">
        <v>0.99985979999999997</v>
      </c>
      <c r="AB156">
        <v>16</v>
      </c>
      <c r="AC156">
        <v>51.733699999999999</v>
      </c>
      <c r="AD156">
        <v>-1.159478</v>
      </c>
      <c r="AE156">
        <v>1.0511999999999899</v>
      </c>
      <c r="AF156">
        <v>-0.86775921767463104</v>
      </c>
      <c r="AG156">
        <v>-1.159478</v>
      </c>
      <c r="AH156">
        <v>51.711130101199302</v>
      </c>
      <c r="AI156">
        <v>91.2843022144679</v>
      </c>
      <c r="AJ156">
        <v>90.961384417052898</v>
      </c>
      <c r="AK156">
        <v>51.7314060473471</v>
      </c>
      <c r="AL156">
        <v>80.146479904299696</v>
      </c>
      <c r="AM156">
        <v>95.096704045135994</v>
      </c>
      <c r="AN156">
        <v>1.00000002249316</v>
      </c>
    </row>
    <row r="157" spans="1:40" x14ac:dyDescent="0.25">
      <c r="A157" t="str">
        <f>"20190304155019268"</f>
        <v>20190304155019268</v>
      </c>
      <c r="B157" t="str">
        <f>"1551685819267020"</f>
        <v>1551685819267020</v>
      </c>
      <c r="C157" t="s">
        <v>40</v>
      </c>
      <c r="D157">
        <v>5.0364209999999998</v>
      </c>
      <c r="E157">
        <v>0.52569489999999996</v>
      </c>
      <c r="F157" t="s">
        <v>42</v>
      </c>
      <c r="G157">
        <v>-416.99650000000003</v>
      </c>
      <c r="H157">
        <v>-0.05</v>
      </c>
      <c r="I157">
        <v>368.24709999999999</v>
      </c>
      <c r="J157">
        <v>-466.3716</v>
      </c>
      <c r="K157">
        <v>1.109475</v>
      </c>
      <c r="L157">
        <v>367.2355</v>
      </c>
      <c r="M157">
        <v>0.99998609999999999</v>
      </c>
      <c r="N157">
        <v>-3.8490070000000002E-3</v>
      </c>
      <c r="O157">
        <v>3.6024410000000001E-3</v>
      </c>
      <c r="P157">
        <v>0.98171419999999998</v>
      </c>
      <c r="Q157">
        <v>0.1674196</v>
      </c>
      <c r="R157">
        <v>9.0598209999999998E-2</v>
      </c>
      <c r="S157">
        <v>3.0623779999999998</v>
      </c>
      <c r="T157">
        <v>-7.1705820000000003E-2</v>
      </c>
      <c r="U157">
        <v>6.2591549999999996E-2</v>
      </c>
      <c r="V157">
        <v>-8.7067870000000006E-2</v>
      </c>
      <c r="W157">
        <v>0.17119479999999901</v>
      </c>
      <c r="X157">
        <v>0.98138250000000005</v>
      </c>
      <c r="Y157">
        <v>-1.6828079999999999E-2</v>
      </c>
      <c r="Z157">
        <v>1.5889499999999999E-4</v>
      </c>
      <c r="AA157">
        <v>0.99985840000000004</v>
      </c>
      <c r="AB157">
        <v>16</v>
      </c>
      <c r="AC157">
        <v>49.375099999999897</v>
      </c>
      <c r="AD157">
        <v>-1.159475</v>
      </c>
      <c r="AE157">
        <v>1.0115999999999801</v>
      </c>
      <c r="AF157">
        <v>-0.83326192277996203</v>
      </c>
      <c r="AG157">
        <v>-1.159475</v>
      </c>
      <c r="AH157">
        <v>49.351220512799898</v>
      </c>
      <c r="AI157">
        <v>91.345687945367501</v>
      </c>
      <c r="AJ157">
        <v>90.967308505812895</v>
      </c>
      <c r="AK157">
        <v>49.371871281232401</v>
      </c>
      <c r="AL157">
        <v>80.142705910310696</v>
      </c>
      <c r="AM157">
        <v>95.069984629464201</v>
      </c>
      <c r="AN157">
        <v>1.0000000424198101</v>
      </c>
    </row>
    <row r="158" spans="1:40" x14ac:dyDescent="0.25">
      <c r="A158" t="str">
        <f>"20190304155019291"</f>
        <v>20190304155019291</v>
      </c>
      <c r="B158" t="str">
        <f>"1551685819286540"</f>
        <v>1551685819286540</v>
      </c>
      <c r="C158" t="s">
        <v>40</v>
      </c>
      <c r="D158">
        <v>4.9902030000000002</v>
      </c>
      <c r="E158">
        <v>0.52561630000000004</v>
      </c>
      <c r="F158" t="s">
        <v>42</v>
      </c>
      <c r="G158">
        <v>-417.81189999999998</v>
      </c>
      <c r="H158">
        <v>-0.05</v>
      </c>
      <c r="I158">
        <v>368.22019999999998</v>
      </c>
      <c r="J158">
        <v>-466.21699999999998</v>
      </c>
      <c r="K158">
        <v>1.1094729999999999</v>
      </c>
      <c r="L158">
        <v>367.2362</v>
      </c>
      <c r="M158">
        <v>0.99998589999999998</v>
      </c>
      <c r="N158">
        <v>-3.8501429999999999E-3</v>
      </c>
      <c r="O158">
        <v>3.6731310000000001E-3</v>
      </c>
      <c r="P158">
        <v>0.98175210000000002</v>
      </c>
      <c r="Q158">
        <v>0.1674215</v>
      </c>
      <c r="R158">
        <v>9.0183059999999995E-2</v>
      </c>
      <c r="S158">
        <v>3.0625610000000001</v>
      </c>
      <c r="T158">
        <v>-7.3125720000000005E-2</v>
      </c>
      <c r="U158">
        <v>6.2103270000000002E-2</v>
      </c>
      <c r="V158">
        <v>-8.6583010000000002E-2</v>
      </c>
      <c r="W158">
        <v>0.17119809999999999</v>
      </c>
      <c r="X158">
        <v>0.98142479999999999</v>
      </c>
      <c r="Y158">
        <v>-1.659675E-2</v>
      </c>
      <c r="Z158">
        <v>1.5651010000000001E-4</v>
      </c>
      <c r="AA158">
        <v>0.99986229999999998</v>
      </c>
      <c r="AB158">
        <v>16</v>
      </c>
      <c r="AC158">
        <v>48.405099999999997</v>
      </c>
      <c r="AD158">
        <v>-1.159473</v>
      </c>
      <c r="AE158">
        <v>0.98399999999998</v>
      </c>
      <c r="AF158">
        <v>-0.805731665998484</v>
      </c>
      <c r="AG158">
        <v>-1.159473</v>
      </c>
      <c r="AH158">
        <v>48.380639873718998</v>
      </c>
      <c r="AI158">
        <v>91.372676957332303</v>
      </c>
      <c r="AJ158">
        <v>90.954116288307901</v>
      </c>
      <c r="AK158">
        <v>48.4012385765676</v>
      </c>
      <c r="AL158">
        <v>80.142513803347896</v>
      </c>
      <c r="AM158">
        <v>95.041680848461198</v>
      </c>
      <c r="AN158">
        <v>1.0000000225596499</v>
      </c>
    </row>
    <row r="159" spans="1:40" x14ac:dyDescent="0.25">
      <c r="A159" t="str">
        <f>"20190304155019314"</f>
        <v>20190304155019314</v>
      </c>
      <c r="B159" t="str">
        <f>"1551685819307036"</f>
        <v>1551685819307036</v>
      </c>
      <c r="C159" t="s">
        <v>40</v>
      </c>
      <c r="D159">
        <v>5.0016210000000001</v>
      </c>
      <c r="E159">
        <v>0.52553709999999998</v>
      </c>
      <c r="F159" t="s">
        <v>42</v>
      </c>
      <c r="G159">
        <v>-418.92790000000002</v>
      </c>
      <c r="H159">
        <v>-0.05</v>
      </c>
      <c r="I159">
        <v>368.1866</v>
      </c>
      <c r="J159">
        <v>-466.0428</v>
      </c>
      <c r="K159">
        <v>1.1094679999999999</v>
      </c>
      <c r="L159">
        <v>367.23689999999999</v>
      </c>
      <c r="M159">
        <v>0.99998560000000003</v>
      </c>
      <c r="N159">
        <v>-3.8527679999999999E-3</v>
      </c>
      <c r="O159">
        <v>3.7521640000000001E-3</v>
      </c>
      <c r="P159">
        <v>0.98179019999999995</v>
      </c>
      <c r="Q159">
        <v>0.16744970000000001</v>
      </c>
      <c r="R159">
        <v>8.9713119999999993E-2</v>
      </c>
      <c r="S159">
        <v>3.0628660000000001</v>
      </c>
      <c r="T159">
        <v>-7.5097800000000006E-2</v>
      </c>
      <c r="U159">
        <v>6.1553959999999998E-2</v>
      </c>
      <c r="V159">
        <v>-8.6035940000000005E-2</v>
      </c>
      <c r="W159">
        <v>0.17122860000000001</v>
      </c>
      <c r="X159">
        <v>0.98146750000000005</v>
      </c>
      <c r="Y159">
        <v>-1.6336340000000001E-2</v>
      </c>
      <c r="Z159">
        <v>1.5418100000000001E-4</v>
      </c>
      <c r="AA159">
        <v>0.99986649999999999</v>
      </c>
      <c r="AB159">
        <v>16</v>
      </c>
      <c r="AC159">
        <v>47.114899999999899</v>
      </c>
      <c r="AD159">
        <v>-1.1594679999999999</v>
      </c>
      <c r="AE159">
        <v>0.94970000000000698</v>
      </c>
      <c r="AF159">
        <v>-0.77244156481618298</v>
      </c>
      <c r="AG159">
        <v>-1.1594679999999999</v>
      </c>
      <c r="AH159">
        <v>47.089624904121898</v>
      </c>
      <c r="AI159">
        <v>91.410295195220797</v>
      </c>
      <c r="AJ159">
        <v>90.939775432603199</v>
      </c>
      <c r="AK159">
        <v>47.110230371172896</v>
      </c>
      <c r="AL159">
        <v>80.140739219475506</v>
      </c>
      <c r="AM159">
        <v>95.0097710471818</v>
      </c>
      <c r="AN159">
        <v>0.99999993499294404</v>
      </c>
    </row>
    <row r="160" spans="1:40" x14ac:dyDescent="0.25">
      <c r="A160" t="str">
        <f>"20190304155019336"</f>
        <v>20190304155019336</v>
      </c>
      <c r="B160" t="str">
        <f>"1551685819326559"</f>
        <v>1551685819326559</v>
      </c>
      <c r="C160" t="s">
        <v>40</v>
      </c>
      <c r="D160">
        <v>4.951365</v>
      </c>
      <c r="E160">
        <v>0.52539990000000003</v>
      </c>
      <c r="F160" t="s">
        <v>42</v>
      </c>
      <c r="G160">
        <v>-419.53680000000003</v>
      </c>
      <c r="H160">
        <v>-0.05</v>
      </c>
      <c r="I160">
        <v>368.16269999999997</v>
      </c>
      <c r="J160">
        <v>-465.88420000000002</v>
      </c>
      <c r="K160">
        <v>1.1094660000000001</v>
      </c>
      <c r="L160">
        <v>367.23759999999999</v>
      </c>
      <c r="M160">
        <v>0.99998529999999997</v>
      </c>
      <c r="N160">
        <v>-3.8563439999999998E-3</v>
      </c>
      <c r="O160">
        <v>3.824221E-3</v>
      </c>
      <c r="P160">
        <v>0.98175190000000001</v>
      </c>
      <c r="Q160">
        <v>0.1676714</v>
      </c>
      <c r="R160">
        <v>8.9718950000000006E-2</v>
      </c>
      <c r="S160">
        <v>3.0630799999999998</v>
      </c>
      <c r="T160">
        <v>-7.6367379999999999E-2</v>
      </c>
      <c r="U160">
        <v>6.097412E-2</v>
      </c>
      <c r="V160">
        <v>-8.5971210000000006E-2</v>
      </c>
      <c r="W160">
        <v>0.17145360000000001</v>
      </c>
      <c r="X160">
        <v>0.98143389999999997</v>
      </c>
      <c r="Y160">
        <v>-1.607366E-2</v>
      </c>
      <c r="Z160">
        <v>1.507472E-4</v>
      </c>
      <c r="AA160">
        <v>0.99987079999999995</v>
      </c>
      <c r="AB160">
        <v>16</v>
      </c>
      <c r="AC160">
        <v>46.347399999999901</v>
      </c>
      <c r="AD160">
        <v>-1.1594659999999899</v>
      </c>
      <c r="AE160">
        <v>0.92509999999998604</v>
      </c>
      <c r="AF160">
        <v>-0.74738166827175601</v>
      </c>
      <c r="AG160">
        <v>-1.1594659999999899</v>
      </c>
      <c r="AH160">
        <v>46.321620390162799</v>
      </c>
      <c r="AI160">
        <v>91.433671766918195</v>
      </c>
      <c r="AJ160">
        <v>90.924365331373096</v>
      </c>
      <c r="AK160">
        <v>46.342156362577398</v>
      </c>
      <c r="AL160">
        <v>80.127654243038606</v>
      </c>
      <c r="AM160">
        <v>95.006191568970607</v>
      </c>
      <c r="AN160">
        <v>0.99999994298551498</v>
      </c>
    </row>
    <row r="161" spans="1:40" x14ac:dyDescent="0.25">
      <c r="A161" t="str">
        <f>"20190304155019349"</f>
        <v>20190304155019349</v>
      </c>
      <c r="B161" t="str">
        <f>"1551685819347052"</f>
        <v>1551685819347052</v>
      </c>
      <c r="C161" t="s">
        <v>40</v>
      </c>
      <c r="D161">
        <v>4.9865529999999998</v>
      </c>
      <c r="E161">
        <v>0.52530809999999994</v>
      </c>
      <c r="F161" t="s">
        <v>42</v>
      </c>
      <c r="G161">
        <v>-419.7398</v>
      </c>
      <c r="H161">
        <v>-0.05</v>
      </c>
      <c r="I161">
        <v>368.17540000000002</v>
      </c>
      <c r="J161">
        <v>-465.79109999999997</v>
      </c>
      <c r="K161">
        <v>1.109467</v>
      </c>
      <c r="L161">
        <v>367.238</v>
      </c>
      <c r="M161">
        <v>0.99998520000000002</v>
      </c>
      <c r="N161">
        <v>-3.8588720000000002E-3</v>
      </c>
      <c r="O161">
        <v>3.8661199999999998E-3</v>
      </c>
      <c r="P161">
        <v>0.98172320000000002</v>
      </c>
      <c r="Q161">
        <v>0.16792119999999999</v>
      </c>
      <c r="R161">
        <v>8.9566599999999996E-2</v>
      </c>
      <c r="S161">
        <v>3.0632320000000002</v>
      </c>
      <c r="T161">
        <v>-7.6969620000000002E-2</v>
      </c>
      <c r="U161">
        <v>6.2255860000000003E-2</v>
      </c>
      <c r="V161">
        <v>-8.5778309999999997E-2</v>
      </c>
      <c r="W161">
        <v>0.17170589999999999</v>
      </c>
      <c r="X161">
        <v>0.98140669999999997</v>
      </c>
      <c r="Y161">
        <v>-1.6448770000000001E-2</v>
      </c>
      <c r="Z161">
        <v>1.5614399999999999E-4</v>
      </c>
      <c r="AA161">
        <v>0.99986470000000005</v>
      </c>
      <c r="AB161">
        <v>16</v>
      </c>
      <c r="AC161">
        <v>46.051299999999898</v>
      </c>
      <c r="AD161">
        <v>-1.159467</v>
      </c>
      <c r="AE161">
        <v>0.93739999999996804</v>
      </c>
      <c r="AF161">
        <v>-0.758870975267667</v>
      </c>
      <c r="AG161">
        <v>-1.159467</v>
      </c>
      <c r="AH161">
        <v>46.025415709984998</v>
      </c>
      <c r="AI161">
        <v>91.442887457006506</v>
      </c>
      <c r="AJ161">
        <v>90.944612100224205</v>
      </c>
      <c r="AK161">
        <v>46.046271729186998</v>
      </c>
      <c r="AL161">
        <v>80.1129812115188</v>
      </c>
      <c r="AM161">
        <v>94.995153434090398</v>
      </c>
      <c r="AN161">
        <v>0.99999997268307705</v>
      </c>
    </row>
    <row r="162" spans="1:40" x14ac:dyDescent="0.25">
      <c r="A162" t="str">
        <f>"20190304155019362"</f>
        <v>20190304155019362</v>
      </c>
      <c r="B162" t="str">
        <f>"1551685819356812"</f>
        <v>1551685819356812</v>
      </c>
      <c r="C162" t="s">
        <v>40</v>
      </c>
      <c r="D162">
        <v>4.980156</v>
      </c>
      <c r="E162">
        <v>0.52531490000000003</v>
      </c>
      <c r="F162" t="s">
        <v>42</v>
      </c>
      <c r="G162">
        <v>-419.851</v>
      </c>
      <c r="H162">
        <v>-0.05</v>
      </c>
      <c r="I162">
        <v>368.173</v>
      </c>
      <c r="J162">
        <v>-465.6902</v>
      </c>
      <c r="K162">
        <v>1.1094679999999999</v>
      </c>
      <c r="L162">
        <v>367.23840000000001</v>
      </c>
      <c r="M162">
        <v>0.99998489999999995</v>
      </c>
      <c r="N162">
        <v>-3.8622130000000002E-3</v>
      </c>
      <c r="O162">
        <v>3.912011E-3</v>
      </c>
      <c r="P162">
        <v>0.98172499999999996</v>
      </c>
      <c r="Q162">
        <v>0.16803080000000001</v>
      </c>
      <c r="R162">
        <v>8.9340180000000005E-2</v>
      </c>
      <c r="S162">
        <v>3.0633849999999998</v>
      </c>
      <c r="T162">
        <v>-7.7315690000000006E-2</v>
      </c>
      <c r="U162">
        <v>6.2347409999999999E-2</v>
      </c>
      <c r="V162">
        <v>-8.5507040000000006E-2</v>
      </c>
      <c r="W162">
        <v>0.1718191</v>
      </c>
      <c r="X162">
        <v>0.98141060000000002</v>
      </c>
      <c r="Y162">
        <v>-1.643172E-2</v>
      </c>
      <c r="Z162">
        <v>1.55442199999999E-4</v>
      </c>
      <c r="AA162">
        <v>0.999865</v>
      </c>
      <c r="AB162">
        <v>16</v>
      </c>
      <c r="AC162">
        <v>45.839199999999998</v>
      </c>
      <c r="AD162">
        <v>-1.1594679999999999</v>
      </c>
      <c r="AE162">
        <v>0.934599999999989</v>
      </c>
      <c r="AF162">
        <v>-0.75478534798596597</v>
      </c>
      <c r="AG162">
        <v>-1.1594679999999999</v>
      </c>
      <c r="AH162">
        <v>45.813206369934797</v>
      </c>
      <c r="AI162">
        <v>91.449569702959096</v>
      </c>
      <c r="AJ162">
        <v>90.943878547622703</v>
      </c>
      <c r="AK162">
        <v>45.834091513400701</v>
      </c>
      <c r="AL162">
        <v>80.106397871228793</v>
      </c>
      <c r="AM162">
        <v>94.979416347594395</v>
      </c>
      <c r="AN162">
        <v>1.00000001140336</v>
      </c>
    </row>
    <row r="163" spans="1:40" x14ac:dyDescent="0.25">
      <c r="A163" t="str">
        <f>"20190304155019379"</f>
        <v>20190304155019379</v>
      </c>
      <c r="B163" t="str">
        <f>"1551685819376331"</f>
        <v>1551685819376331</v>
      </c>
      <c r="C163" t="s">
        <v>40</v>
      </c>
      <c r="D163">
        <v>4.9414230000000003</v>
      </c>
      <c r="E163">
        <v>0.5253795</v>
      </c>
      <c r="F163" t="s">
        <v>42</v>
      </c>
      <c r="G163">
        <v>-420.37580000000003</v>
      </c>
      <c r="H163">
        <v>-0.05</v>
      </c>
      <c r="I163">
        <v>368.15300000000002</v>
      </c>
      <c r="J163">
        <v>-465.56259999999997</v>
      </c>
      <c r="K163">
        <v>1.1094630000000001</v>
      </c>
      <c r="L163">
        <v>367.23899999999998</v>
      </c>
      <c r="M163">
        <v>0.99998469999999995</v>
      </c>
      <c r="N163">
        <v>-3.8669870000000001E-3</v>
      </c>
      <c r="O163">
        <v>3.969701E-3</v>
      </c>
      <c r="P163">
        <v>0.98178019999999999</v>
      </c>
      <c r="Q163">
        <v>0.167825799999999</v>
      </c>
      <c r="R163">
        <v>8.9118030000000001E-2</v>
      </c>
      <c r="S163">
        <v>3.0636290000000002</v>
      </c>
      <c r="T163">
        <v>-7.8389639999999997E-2</v>
      </c>
      <c r="U163">
        <v>6.1828609999999999E-2</v>
      </c>
      <c r="V163">
        <v>-8.5227869999999997E-2</v>
      </c>
      <c r="W163">
        <v>0.17161850000000001</v>
      </c>
      <c r="X163">
        <v>0.98146999999999995</v>
      </c>
      <c r="Y163">
        <v>-1.6203140000000001E-2</v>
      </c>
      <c r="Z163">
        <v>1.523812E-4</v>
      </c>
      <c r="AA163">
        <v>0.99986870000000005</v>
      </c>
      <c r="AB163">
        <v>16</v>
      </c>
      <c r="AC163">
        <v>45.186799999999899</v>
      </c>
      <c r="AD163">
        <v>-1.1594629999999999</v>
      </c>
      <c r="AE163">
        <v>0.91399999999998705</v>
      </c>
      <c r="AF163">
        <v>-0.73413022741297695</v>
      </c>
      <c r="AG163">
        <v>-1.1594629999999999</v>
      </c>
      <c r="AH163">
        <v>45.160350819197497</v>
      </c>
      <c r="AI163">
        <v>91.470515042199807</v>
      </c>
      <c r="AJ163">
        <v>90.931322682745204</v>
      </c>
      <c r="AK163">
        <v>45.1811972810832</v>
      </c>
      <c r="AL163">
        <v>80.118064890486593</v>
      </c>
      <c r="AM163">
        <v>94.962941619403495</v>
      </c>
      <c r="AN163">
        <v>1.0000000301334899</v>
      </c>
    </row>
    <row r="164" spans="1:40" x14ac:dyDescent="0.25">
      <c r="A164" t="str">
        <f>"20190304155019403"</f>
        <v>20190304155019403</v>
      </c>
      <c r="B164" t="str">
        <f>"1551685819396828"</f>
        <v>1551685819396828</v>
      </c>
      <c r="C164" t="s">
        <v>40</v>
      </c>
      <c r="D164">
        <v>4.9776879999999997</v>
      </c>
      <c r="E164">
        <v>0.5255069</v>
      </c>
      <c r="F164" t="s">
        <v>42</v>
      </c>
      <c r="G164">
        <v>-420.99790000000002</v>
      </c>
      <c r="H164">
        <v>-0.05</v>
      </c>
      <c r="I164">
        <v>368.12900000000002</v>
      </c>
      <c r="J164">
        <v>-465.38420000000002</v>
      </c>
      <c r="K164">
        <v>1.1094599999999999</v>
      </c>
      <c r="L164">
        <v>367.2398</v>
      </c>
      <c r="M164">
        <v>0.9999844</v>
      </c>
      <c r="N164">
        <v>-3.8746890000000002E-3</v>
      </c>
      <c r="O164">
        <v>4.0504540000000002E-3</v>
      </c>
      <c r="P164">
        <v>0.98179240000000001</v>
      </c>
      <c r="Q164">
        <v>0.16761329999999999</v>
      </c>
      <c r="R164">
        <v>8.9384839999999993E-2</v>
      </c>
      <c r="S164">
        <v>3.0637509999999999</v>
      </c>
      <c r="T164">
        <v>-7.9711199999999996E-2</v>
      </c>
      <c r="U164">
        <v>6.1187739999999997E-2</v>
      </c>
      <c r="V164">
        <v>-8.5415840000000007E-2</v>
      </c>
      <c r="W164">
        <v>0.17141319999999999</v>
      </c>
      <c r="X164">
        <v>0.98148950000000001</v>
      </c>
      <c r="Y164">
        <v>-1.59125E-2</v>
      </c>
      <c r="Z164">
        <v>1.4812089999999999E-4</v>
      </c>
      <c r="AA164">
        <v>0.99987340000000002</v>
      </c>
      <c r="AB164">
        <v>17</v>
      </c>
      <c r="AC164">
        <v>44.386299999999999</v>
      </c>
      <c r="AD164">
        <v>-1.1594599999999999</v>
      </c>
      <c r="AE164">
        <v>0.88920000000001598</v>
      </c>
      <c r="AF164">
        <v>-0.70892316260084598</v>
      </c>
      <c r="AG164">
        <v>-1.1594599999999999</v>
      </c>
      <c r="AH164">
        <v>44.359280716442001</v>
      </c>
      <c r="AI164">
        <v>91.497061378568006</v>
      </c>
      <c r="AJ164">
        <v>90.915588509348296</v>
      </c>
      <c r="AK164">
        <v>44.380093569326498</v>
      </c>
      <c r="AL164">
        <v>80.130004291696295</v>
      </c>
      <c r="AM164">
        <v>94.973734211728598</v>
      </c>
      <c r="AN164">
        <v>0.99999999473369705</v>
      </c>
    </row>
    <row r="165" spans="1:40" x14ac:dyDescent="0.25">
      <c r="A165" t="str">
        <f>"20190304155019427"</f>
        <v>20190304155019427</v>
      </c>
      <c r="B165" t="str">
        <f>"1551685819416347"</f>
        <v>1551685819416347</v>
      </c>
      <c r="C165" t="s">
        <v>40</v>
      </c>
      <c r="D165">
        <v>4.9842909999999998</v>
      </c>
      <c r="E165">
        <v>0.52546419999999905</v>
      </c>
      <c r="F165" t="s">
        <v>42</v>
      </c>
      <c r="G165">
        <v>-420.98469999999998</v>
      </c>
      <c r="H165">
        <v>-0.05</v>
      </c>
      <c r="I165">
        <v>368.11759999999998</v>
      </c>
      <c r="J165">
        <v>-465.20749999999998</v>
      </c>
      <c r="K165">
        <v>1.1094580000000001</v>
      </c>
      <c r="L165">
        <v>367.24059999999997</v>
      </c>
      <c r="M165">
        <v>0.99998399999999998</v>
      </c>
      <c r="N165">
        <v>-3.8834260000000002E-3</v>
      </c>
      <c r="O165">
        <v>4.1303700000000004E-3</v>
      </c>
      <c r="P165">
        <v>0.9818055</v>
      </c>
      <c r="Q165">
        <v>0.16763510000000001</v>
      </c>
      <c r="R165">
        <v>8.9198689999999997E-2</v>
      </c>
      <c r="S165">
        <v>3.0637509999999999</v>
      </c>
      <c r="T165">
        <v>-8.0007670000000003E-2</v>
      </c>
      <c r="U165">
        <v>6.0577390000000002E-2</v>
      </c>
      <c r="V165">
        <v>-8.5151399999999905E-2</v>
      </c>
      <c r="W165">
        <v>0.1714437</v>
      </c>
      <c r="X165">
        <v>0.98150709999999997</v>
      </c>
      <c r="Y165">
        <v>-1.5633569999999999E-2</v>
      </c>
      <c r="Z165">
        <v>1.4264489999999999E-4</v>
      </c>
      <c r="AA165">
        <v>0.99987780000000004</v>
      </c>
      <c r="AB165">
        <v>17</v>
      </c>
      <c r="AC165">
        <v>44.222799999999999</v>
      </c>
      <c r="AD165">
        <v>-1.1594580000000001</v>
      </c>
      <c r="AE165">
        <v>0.87700000000000899</v>
      </c>
      <c r="AF165">
        <v>-0.69385784898220804</v>
      </c>
      <c r="AG165">
        <v>-1.1594580000000001</v>
      </c>
      <c r="AH165">
        <v>44.195676407837901</v>
      </c>
      <c r="AI165">
        <v>91.502604799911794</v>
      </c>
      <c r="AJ165">
        <v>90.899451343735393</v>
      </c>
      <c r="AK165">
        <v>44.216327241355899</v>
      </c>
      <c r="AL165">
        <v>80.128230019224603</v>
      </c>
      <c r="AM165">
        <v>94.958324379183907</v>
      </c>
      <c r="AN165">
        <v>0.99999994527102798</v>
      </c>
    </row>
    <row r="166" spans="1:40" x14ac:dyDescent="0.25">
      <c r="A166" t="str">
        <f>"20190304155019447"</f>
        <v>20190304155019447</v>
      </c>
      <c r="B166" t="str">
        <f>"1551685819436847"</f>
        <v>1551685819436847</v>
      </c>
      <c r="C166" t="s">
        <v>40</v>
      </c>
      <c r="D166">
        <v>4.9540309999999996</v>
      </c>
      <c r="E166">
        <v>0.52555879999999999</v>
      </c>
      <c r="F166" t="s">
        <v>42</v>
      </c>
      <c r="G166">
        <v>-421.0317</v>
      </c>
      <c r="H166">
        <v>-0.05</v>
      </c>
      <c r="I166">
        <v>368.11180000000002</v>
      </c>
      <c r="J166">
        <v>-465.04739999999998</v>
      </c>
      <c r="K166">
        <v>1.1094660000000001</v>
      </c>
      <c r="L166">
        <v>367.24130000000002</v>
      </c>
      <c r="M166">
        <v>0.99998370000000003</v>
      </c>
      <c r="N166">
        <v>-3.8922420000000002E-3</v>
      </c>
      <c r="O166">
        <v>4.2023579999999998E-3</v>
      </c>
      <c r="P166">
        <v>0.9817612</v>
      </c>
      <c r="Q166">
        <v>0.16786189999999901</v>
      </c>
      <c r="R166">
        <v>8.9261339999999995E-2</v>
      </c>
      <c r="S166">
        <v>3.063812</v>
      </c>
      <c r="T166">
        <v>-8.0414180000000002E-2</v>
      </c>
      <c r="U166">
        <v>6.0424800000000001E-2</v>
      </c>
      <c r="V166">
        <v>-8.5143679999999999E-2</v>
      </c>
      <c r="W166">
        <v>0.17167859999999999</v>
      </c>
      <c r="X166">
        <v>0.98146679999999997</v>
      </c>
      <c r="Y166">
        <v>-1.551144E-2</v>
      </c>
      <c r="Z166">
        <v>1.3978840000000001E-4</v>
      </c>
      <c r="AA166">
        <v>0.99987969999999904</v>
      </c>
      <c r="AB166">
        <v>17</v>
      </c>
      <c r="AC166">
        <v>44.015699999999903</v>
      </c>
      <c r="AD166">
        <v>-1.1594659999999899</v>
      </c>
      <c r="AE166">
        <v>0.87049999999999195</v>
      </c>
      <c r="AF166">
        <v>-0.68504603078544901</v>
      </c>
      <c r="AG166">
        <v>-1.1594659999999899</v>
      </c>
      <c r="AH166">
        <v>43.988457585696402</v>
      </c>
      <c r="AI166">
        <v>91.509693326600399</v>
      </c>
      <c r="AJ166">
        <v>90.892212999868903</v>
      </c>
      <c r="AK166">
        <v>44.0090678183265</v>
      </c>
      <c r="AL166">
        <v>80.114569572909602</v>
      </c>
      <c r="AM166">
        <v>94.958079648669298</v>
      </c>
      <c r="AN166">
        <v>1.00000003372207</v>
      </c>
    </row>
    <row r="167" spans="1:40" x14ac:dyDescent="0.25">
      <c r="A167" t="str">
        <f>"20190304155019460"</f>
        <v>20190304155019460</v>
      </c>
      <c r="B167" t="str">
        <f>"1551685819456363"</f>
        <v>1551685819456363</v>
      </c>
      <c r="C167" t="s">
        <v>40</v>
      </c>
      <c r="D167">
        <v>4.959568</v>
      </c>
      <c r="E167">
        <v>0.52542800000000001</v>
      </c>
      <c r="F167" t="s">
        <v>42</v>
      </c>
      <c r="G167">
        <v>-420.35469999999998</v>
      </c>
      <c r="H167">
        <v>-0.05</v>
      </c>
      <c r="I167">
        <v>368.11470000000003</v>
      </c>
      <c r="J167">
        <v>-464.94749999999999</v>
      </c>
      <c r="K167">
        <v>1.109467</v>
      </c>
      <c r="L167">
        <v>367.24180000000001</v>
      </c>
      <c r="M167">
        <v>0.99998350000000003</v>
      </c>
      <c r="N167">
        <v>-3.898229E-3</v>
      </c>
      <c r="O167">
        <v>4.2474690000000002E-3</v>
      </c>
      <c r="P167">
        <v>0.9817169</v>
      </c>
      <c r="Q167">
        <v>0.16796410000000001</v>
      </c>
      <c r="R167">
        <v>8.9555099999999999E-2</v>
      </c>
      <c r="S167">
        <v>3.0638429999999999</v>
      </c>
      <c r="T167">
        <v>-7.9485539999999993E-2</v>
      </c>
      <c r="U167">
        <v>5.9875490000000003E-2</v>
      </c>
      <c r="V167">
        <v>-8.5393350000000007E-2</v>
      </c>
      <c r="W167">
        <v>0.17178669999999999</v>
      </c>
      <c r="X167">
        <v>0.98142620000000003</v>
      </c>
      <c r="Y167">
        <v>-1.5287129999999999E-2</v>
      </c>
      <c r="Z167">
        <v>1.3444250000000001E-4</v>
      </c>
      <c r="AA167">
        <v>0.99988310000000002</v>
      </c>
      <c r="AB167">
        <v>17</v>
      </c>
      <c r="AC167">
        <v>44.592799999999997</v>
      </c>
      <c r="AD167">
        <v>-1.159467</v>
      </c>
      <c r="AE167">
        <v>0.872900000000015</v>
      </c>
      <c r="AF167">
        <v>-0.68302258400883198</v>
      </c>
      <c r="AG167">
        <v>-1.159467</v>
      </c>
      <c r="AH167">
        <v>44.565987502554499</v>
      </c>
      <c r="AI167">
        <v>91.490145086064203</v>
      </c>
      <c r="AJ167">
        <v>90.878051849060199</v>
      </c>
      <c r="AK167">
        <v>44.586299752863503</v>
      </c>
      <c r="AL167">
        <v>80.108282561535404</v>
      </c>
      <c r="AM167">
        <v>94.972750297181804</v>
      </c>
      <c r="AN167">
        <v>1.0000000402837701</v>
      </c>
    </row>
    <row r="168" spans="1:40" x14ac:dyDescent="0.25">
      <c r="A168" t="str">
        <f>"20190304155019484"</f>
        <v>20190304155019484</v>
      </c>
      <c r="B168" t="str">
        <f>"1551685819476859"</f>
        <v>1551685819476859</v>
      </c>
      <c r="C168" t="s">
        <v>40</v>
      </c>
      <c r="D168">
        <v>5.0146949999999997</v>
      </c>
      <c r="E168">
        <v>0.52533949999999996</v>
      </c>
      <c r="F168" t="s">
        <v>42</v>
      </c>
      <c r="G168">
        <v>-420.71050000000002</v>
      </c>
      <c r="H168">
        <v>-0.05</v>
      </c>
      <c r="I168">
        <v>368.13569999999999</v>
      </c>
      <c r="J168">
        <v>-464.76150000000001</v>
      </c>
      <c r="K168">
        <v>1.1094660000000001</v>
      </c>
      <c r="L168">
        <v>367.24270000000001</v>
      </c>
      <c r="M168">
        <v>0.99998310000000001</v>
      </c>
      <c r="N168">
        <v>-3.9099019999999998E-3</v>
      </c>
      <c r="O168">
        <v>4.3320269999999996E-3</v>
      </c>
      <c r="P168">
        <v>0.98168679999999997</v>
      </c>
      <c r="Q168">
        <v>0.16813699999999901</v>
      </c>
      <c r="R168">
        <v>8.9561979999999999E-2</v>
      </c>
      <c r="S168">
        <v>3.0639949999999998</v>
      </c>
      <c r="T168">
        <v>-8.0308320000000002E-2</v>
      </c>
      <c r="U168">
        <v>6.1920169999999997E-2</v>
      </c>
      <c r="V168">
        <v>-8.5318030000000003E-2</v>
      </c>
      <c r="W168">
        <v>0.17197079999999901</v>
      </c>
      <c r="X168">
        <v>0.98140050000000001</v>
      </c>
      <c r="Y168">
        <v>-1.586829E-2</v>
      </c>
      <c r="Z168">
        <v>1.4235340000000001E-4</v>
      </c>
      <c r="AA168">
        <v>0.99987409999999999</v>
      </c>
      <c r="AB168">
        <v>17</v>
      </c>
      <c r="AC168">
        <v>44.050999999999902</v>
      </c>
      <c r="AD168">
        <v>-1.1594659999999899</v>
      </c>
      <c r="AE168">
        <v>0.89299999999997204</v>
      </c>
      <c r="AF168">
        <v>-0.70167414844805198</v>
      </c>
      <c r="AG168">
        <v>-1.1594659999999899</v>
      </c>
      <c r="AH168">
        <v>44.0239681418388</v>
      </c>
      <c r="AI168">
        <v>91.508467470266595</v>
      </c>
      <c r="AJ168">
        <v>90.913129034078906</v>
      </c>
      <c r="AK168">
        <v>44.044823520697598</v>
      </c>
      <c r="AL168">
        <v>80.097574976753606</v>
      </c>
      <c r="AM168">
        <v>94.968515573236502</v>
      </c>
      <c r="AN168">
        <v>1.00000003184798</v>
      </c>
    </row>
    <row r="169" spans="1:40" x14ac:dyDescent="0.25">
      <c r="A169" t="str">
        <f>"20190304155019497"</f>
        <v>20190304155019497</v>
      </c>
      <c r="B169" t="str">
        <f>"1551685819486620"</f>
        <v>1551685819486620</v>
      </c>
      <c r="C169" t="s">
        <v>40</v>
      </c>
      <c r="D169">
        <v>4.9662949999999997</v>
      </c>
      <c r="E169">
        <v>0.52528560000000002</v>
      </c>
      <c r="F169" t="s">
        <v>42</v>
      </c>
      <c r="G169">
        <v>-420.67219999999998</v>
      </c>
      <c r="H169">
        <v>-0.05</v>
      </c>
      <c r="I169">
        <v>368.1481</v>
      </c>
      <c r="J169">
        <v>-464.6626</v>
      </c>
      <c r="K169">
        <v>1.1094649999999999</v>
      </c>
      <c r="L169">
        <v>367.2432</v>
      </c>
      <c r="M169">
        <v>0.99998279999999995</v>
      </c>
      <c r="N169">
        <v>-3.916508E-3</v>
      </c>
      <c r="O169">
        <v>4.3771359999999898E-3</v>
      </c>
      <c r="P169">
        <v>0.98165049999999998</v>
      </c>
      <c r="Q169">
        <v>0.168259299999999</v>
      </c>
      <c r="R169">
        <v>8.9729349999999999E-2</v>
      </c>
      <c r="S169">
        <v>3.0640260000000001</v>
      </c>
      <c r="T169">
        <v>-8.0578090000000005E-2</v>
      </c>
      <c r="U169">
        <v>6.2927250000000004E-2</v>
      </c>
      <c r="V169">
        <v>-8.5441050000000004E-2</v>
      </c>
      <c r="W169">
        <v>0.17209949999999999</v>
      </c>
      <c r="X169">
        <v>0.9813672</v>
      </c>
      <c r="Y169">
        <v>-1.6151349999999998E-2</v>
      </c>
      <c r="Z169">
        <v>1.4601640000000001E-4</v>
      </c>
      <c r="AA169">
        <v>0.99986949999999997</v>
      </c>
      <c r="AB169">
        <v>17</v>
      </c>
      <c r="AC169">
        <v>43.990400000000001</v>
      </c>
      <c r="AD169">
        <v>-1.159465</v>
      </c>
      <c r="AE169">
        <v>0.90489999999999704</v>
      </c>
      <c r="AF169">
        <v>-0.71184358935359104</v>
      </c>
      <c r="AG169">
        <v>-1.159465</v>
      </c>
      <c r="AH169">
        <v>43.963410863111598</v>
      </c>
      <c r="AI169">
        <v>91.510536898735495</v>
      </c>
      <c r="AJ169">
        <v>90.927636614604907</v>
      </c>
      <c r="AK169">
        <v>43.984458335879197</v>
      </c>
      <c r="AL169">
        <v>80.090089048359005</v>
      </c>
      <c r="AM169">
        <v>94.975811720753896</v>
      </c>
      <c r="AN169">
        <v>0.99999999608059598</v>
      </c>
    </row>
    <row r="170" spans="1:40" x14ac:dyDescent="0.25">
      <c r="A170" t="str">
        <f>"20190304155019514"</f>
        <v>20190304155019514</v>
      </c>
      <c r="B170" t="str">
        <f>"1551685819507115"</f>
        <v>1551685819507115</v>
      </c>
      <c r="C170" t="s">
        <v>40</v>
      </c>
      <c r="D170">
        <v>4.9653489999999998</v>
      </c>
      <c r="E170">
        <v>0.52526280000000003</v>
      </c>
      <c r="F170" t="s">
        <v>42</v>
      </c>
      <c r="G170">
        <v>-420.85489999999999</v>
      </c>
      <c r="H170">
        <v>-0.05</v>
      </c>
      <c r="I170">
        <v>368.16070000000002</v>
      </c>
      <c r="J170">
        <v>-464.52749999999997</v>
      </c>
      <c r="K170">
        <v>1.109467</v>
      </c>
      <c r="L170">
        <v>367.24380000000002</v>
      </c>
      <c r="M170">
        <v>0.99998260000000005</v>
      </c>
      <c r="N170">
        <v>-3.9258059999999996E-3</v>
      </c>
      <c r="O170">
        <v>4.4385120000000004E-3</v>
      </c>
      <c r="P170">
        <v>0.98164459999999998</v>
      </c>
      <c r="Q170">
        <v>0.16825599999999999</v>
      </c>
      <c r="R170">
        <v>8.9800450000000004E-2</v>
      </c>
      <c r="S170">
        <v>3.064117</v>
      </c>
      <c r="T170">
        <v>-8.109856E-2</v>
      </c>
      <c r="U170">
        <v>6.4178470000000001E-2</v>
      </c>
      <c r="V170">
        <v>-8.5452180000000003E-2</v>
      </c>
      <c r="W170">
        <v>0.17210520000000001</v>
      </c>
      <c r="X170">
        <v>0.9813653</v>
      </c>
      <c r="Y170">
        <v>-1.6497299999999999E-2</v>
      </c>
      <c r="Z170">
        <v>1.5062990000000001E-4</v>
      </c>
      <c r="AA170">
        <v>0.99986390000000003</v>
      </c>
      <c r="AB170">
        <v>17</v>
      </c>
      <c r="AC170">
        <v>43.672599999999903</v>
      </c>
      <c r="AD170">
        <v>-1.159467</v>
      </c>
      <c r="AE170">
        <v>0.91689999999999805</v>
      </c>
      <c r="AF170">
        <v>-0.722539085935619</v>
      </c>
      <c r="AG170">
        <v>-1.159467</v>
      </c>
      <c r="AH170">
        <v>43.645489400498498</v>
      </c>
      <c r="AI170">
        <v>91.521528349923301</v>
      </c>
      <c r="AJ170">
        <v>90.948429252987395</v>
      </c>
      <c r="AK170">
        <v>43.666865830556397</v>
      </c>
      <c r="AL170">
        <v>80.089758190414798</v>
      </c>
      <c r="AM170">
        <v>94.976466227837093</v>
      </c>
      <c r="AN170">
        <v>1.0000000634889299</v>
      </c>
    </row>
    <row r="171" spans="1:40" x14ac:dyDescent="0.25">
      <c r="A171" t="str">
        <f>"20190304155019526"</f>
        <v>20190304155019526</v>
      </c>
      <c r="B171" t="str">
        <f>"1551685819516876"</f>
        <v>1551685819516876</v>
      </c>
      <c r="C171" t="s">
        <v>40</v>
      </c>
      <c r="D171">
        <v>4.9710279999999996</v>
      </c>
      <c r="E171">
        <v>0.52532270000000003</v>
      </c>
      <c r="F171" t="s">
        <v>42</v>
      </c>
      <c r="G171">
        <v>-420.83890000000002</v>
      </c>
      <c r="H171">
        <v>-0.05</v>
      </c>
      <c r="I171">
        <v>368.16669999999999</v>
      </c>
      <c r="J171">
        <v>-464.428</v>
      </c>
      <c r="K171">
        <v>1.109469</v>
      </c>
      <c r="L171">
        <v>367.24430000000001</v>
      </c>
      <c r="M171">
        <v>0.99998209999999998</v>
      </c>
      <c r="N171">
        <v>-3.9328499999999999E-3</v>
      </c>
      <c r="O171">
        <v>4.4840369999999997E-3</v>
      </c>
      <c r="P171">
        <v>0.98162510000000003</v>
      </c>
      <c r="Q171">
        <v>0.16840569999999999</v>
      </c>
      <c r="R171">
        <v>8.9730219999999999E-2</v>
      </c>
      <c r="S171">
        <v>3.064117</v>
      </c>
      <c r="T171">
        <v>-8.131969E-2</v>
      </c>
      <c r="U171">
        <v>6.4727779999999999E-2</v>
      </c>
      <c r="V171">
        <v>-8.533702E-2</v>
      </c>
      <c r="W171">
        <v>0.17226159999999999</v>
      </c>
      <c r="X171">
        <v>0.98134779999999999</v>
      </c>
      <c r="Y171">
        <v>-1.6630880000000001E-2</v>
      </c>
      <c r="Z171">
        <v>1.519999E-4</v>
      </c>
      <c r="AA171">
        <v>0.99986169999999996</v>
      </c>
      <c r="AB171">
        <v>17</v>
      </c>
      <c r="AC171">
        <v>43.589100000000002</v>
      </c>
      <c r="AD171">
        <v>-1.1594690000000001</v>
      </c>
      <c r="AE171">
        <v>0.92239999999998201</v>
      </c>
      <c r="AF171">
        <v>-0.72642030083758202</v>
      </c>
      <c r="AG171">
        <v>-1.1594690000000001</v>
      </c>
      <c r="AH171">
        <v>43.5619890166478</v>
      </c>
      <c r="AI171">
        <v>91.524443037380195</v>
      </c>
      <c r="AJ171">
        <v>90.955350319926495</v>
      </c>
      <c r="AK171">
        <v>43.583470971252098</v>
      </c>
      <c r="AL171">
        <v>80.080660483196993</v>
      </c>
      <c r="AM171">
        <v>94.969881462795101</v>
      </c>
      <c r="AN171">
        <v>0.99999998519094002</v>
      </c>
    </row>
    <row r="172" spans="1:40" x14ac:dyDescent="0.25">
      <c r="A172" t="str">
        <f>"20190304155019539"</f>
        <v>20190304155019539</v>
      </c>
      <c r="B172" t="str">
        <f>"1551685819536396"</f>
        <v>1551685819536396</v>
      </c>
      <c r="C172" t="s">
        <v>40</v>
      </c>
      <c r="D172">
        <v>4.9617579999999997</v>
      </c>
      <c r="E172">
        <v>0.52537319999999998</v>
      </c>
      <c r="F172" t="s">
        <v>42</v>
      </c>
      <c r="G172">
        <v>-420.5197</v>
      </c>
      <c r="H172">
        <v>-0.05</v>
      </c>
      <c r="I172">
        <v>368.16039999999998</v>
      </c>
      <c r="J172">
        <v>-464.33229999999998</v>
      </c>
      <c r="K172">
        <v>1.10947</v>
      </c>
      <c r="L172">
        <v>367.2448</v>
      </c>
      <c r="M172">
        <v>0.99998209999999998</v>
      </c>
      <c r="N172">
        <v>-3.939924E-3</v>
      </c>
      <c r="O172">
        <v>4.5271189999999996E-3</v>
      </c>
      <c r="P172">
        <v>0.98161449999999995</v>
      </c>
      <c r="Q172">
        <v>0.16858589999999901</v>
      </c>
      <c r="R172">
        <v>8.9510569999999998E-2</v>
      </c>
      <c r="S172">
        <v>3.064209</v>
      </c>
      <c r="T172">
        <v>-8.0915329999999994E-2</v>
      </c>
      <c r="U172">
        <v>6.3934329999999998E-2</v>
      </c>
      <c r="V172">
        <v>-8.5075419999999999E-2</v>
      </c>
      <c r="W172">
        <v>0.17244899999999999</v>
      </c>
      <c r="X172">
        <v>0.98133760000000003</v>
      </c>
      <c r="Y172">
        <v>-1.6328550000000001E-2</v>
      </c>
      <c r="Z172">
        <v>1.4602850000000001E-4</v>
      </c>
      <c r="AA172">
        <v>0.9998667</v>
      </c>
      <c r="AB172">
        <v>17</v>
      </c>
      <c r="AC172">
        <v>43.812599999999897</v>
      </c>
      <c r="AD172">
        <v>-1.15947</v>
      </c>
      <c r="AE172">
        <v>0.91559999999998298</v>
      </c>
      <c r="AF172">
        <v>-0.716742487322378</v>
      </c>
      <c r="AG172">
        <v>-1.15947</v>
      </c>
      <c r="AH172">
        <v>43.785643785685899</v>
      </c>
      <c r="AI172">
        <v>91.516668883649004</v>
      </c>
      <c r="AJ172">
        <v>90.9378108571062</v>
      </c>
      <c r="AK172">
        <v>43.8068566802162</v>
      </c>
      <c r="AL172">
        <v>80.069760125859801</v>
      </c>
      <c r="AM172">
        <v>94.954773526803393</v>
      </c>
      <c r="AN172">
        <v>0.99999998493146802</v>
      </c>
    </row>
    <row r="173" spans="1:40" x14ac:dyDescent="0.25">
      <c r="A173" t="str">
        <f>"20190304155019558"</f>
        <v>20190304155019558</v>
      </c>
      <c r="B173" t="str">
        <f>"1551685819556892"</f>
        <v>1551685819556892</v>
      </c>
      <c r="C173" t="s">
        <v>40</v>
      </c>
      <c r="D173">
        <v>4.9856259999999999</v>
      </c>
      <c r="E173">
        <v>0.52549489999999999</v>
      </c>
      <c r="F173" t="s">
        <v>42</v>
      </c>
      <c r="G173">
        <v>-419.89819999999997</v>
      </c>
      <c r="H173">
        <v>-0.05</v>
      </c>
      <c r="I173">
        <v>368.15550000000002</v>
      </c>
      <c r="J173">
        <v>-464.17410000000001</v>
      </c>
      <c r="K173">
        <v>1.109469</v>
      </c>
      <c r="L173">
        <v>367.24560000000002</v>
      </c>
      <c r="M173">
        <v>0.99998169999999997</v>
      </c>
      <c r="N173">
        <v>-3.9519059999999998E-3</v>
      </c>
      <c r="O173">
        <v>4.5985640000000003E-3</v>
      </c>
      <c r="P173">
        <v>0.98153049999999997</v>
      </c>
      <c r="Q173">
        <v>0.16928190000000001</v>
      </c>
      <c r="R173">
        <v>8.9115669999999994E-2</v>
      </c>
      <c r="S173">
        <v>3.0641780000000001</v>
      </c>
      <c r="T173">
        <v>-7.9957130000000001E-2</v>
      </c>
      <c r="U173">
        <v>6.2805180000000002E-2</v>
      </c>
      <c r="V173">
        <v>-8.4611320000000004E-2</v>
      </c>
      <c r="W173">
        <v>0.17315630000000001</v>
      </c>
      <c r="X173">
        <v>0.98125320000000005</v>
      </c>
      <c r="Y173">
        <v>-1.588933E-2</v>
      </c>
      <c r="Z173">
        <v>1.368664E-4</v>
      </c>
      <c r="AA173">
        <v>0.99987380000000003</v>
      </c>
      <c r="AB173">
        <v>18</v>
      </c>
      <c r="AC173">
        <v>44.2759</v>
      </c>
      <c r="AD173">
        <v>-1.1594690000000001</v>
      </c>
      <c r="AE173">
        <v>0.90989999999999305</v>
      </c>
      <c r="AF173">
        <v>-0.705799428774884</v>
      </c>
      <c r="AG173">
        <v>-1.1594690000000001</v>
      </c>
      <c r="AH173">
        <v>44.249283738660601</v>
      </c>
      <c r="AI173">
        <v>91.500793528381493</v>
      </c>
      <c r="AJ173">
        <v>90.913820429232004</v>
      </c>
      <c r="AK173">
        <v>44.270098628533802</v>
      </c>
      <c r="AL173">
        <v>80.028616128086199</v>
      </c>
      <c r="AM173">
        <v>94.928299677835298</v>
      </c>
      <c r="AN173">
        <v>1.0000000111060301</v>
      </c>
    </row>
    <row r="174" spans="1:40" x14ac:dyDescent="0.25">
      <c r="A174" t="str">
        <f>"20190304155019581"</f>
        <v>20190304155019581</v>
      </c>
      <c r="B174" t="str">
        <f>"1551685819576412"</f>
        <v>1551685819576412</v>
      </c>
      <c r="C174" t="s">
        <v>40</v>
      </c>
      <c r="D174">
        <v>5.0178799999999999</v>
      </c>
      <c r="E174">
        <v>0.52561880000000005</v>
      </c>
      <c r="F174" t="s">
        <v>42</v>
      </c>
      <c r="G174">
        <v>-418.649</v>
      </c>
      <c r="H174">
        <v>-0.05</v>
      </c>
      <c r="I174">
        <v>368.14370000000002</v>
      </c>
      <c r="J174">
        <v>-463.99919999999997</v>
      </c>
      <c r="K174">
        <v>1.1094729999999999</v>
      </c>
      <c r="L174">
        <v>367.24650000000003</v>
      </c>
      <c r="M174">
        <v>0.99998120000000001</v>
      </c>
      <c r="N174">
        <v>-3.9656279999999997E-3</v>
      </c>
      <c r="O174">
        <v>4.6772790000000003E-3</v>
      </c>
      <c r="P174">
        <v>0.98140289999999997</v>
      </c>
      <c r="Q174">
        <v>0.1701192</v>
      </c>
      <c r="R174">
        <v>8.8926480000000002E-2</v>
      </c>
      <c r="S174">
        <v>3.0644529999999999</v>
      </c>
      <c r="T174">
        <v>-7.8047870000000005E-2</v>
      </c>
      <c r="U174">
        <v>6.045532E-2</v>
      </c>
      <c r="V174">
        <v>-8.4345829999999997E-2</v>
      </c>
      <c r="W174">
        <v>0.174006299999999</v>
      </c>
      <c r="X174">
        <v>0.98112569999999999</v>
      </c>
      <c r="Y174">
        <v>-1.504292E-2</v>
      </c>
      <c r="Z174">
        <v>1.20801E-4</v>
      </c>
      <c r="AA174">
        <v>0.99988690000000002</v>
      </c>
      <c r="AB174">
        <v>18</v>
      </c>
      <c r="AC174">
        <v>45.350199999999901</v>
      </c>
      <c r="AD174">
        <v>-1.159473</v>
      </c>
      <c r="AE174">
        <v>0.897199999999997</v>
      </c>
      <c r="AF174">
        <v>-0.684625631567645</v>
      </c>
      <c r="AG174">
        <v>-1.159473</v>
      </c>
      <c r="AH174">
        <v>45.324284587710203</v>
      </c>
      <c r="AI174">
        <v>91.465237706075698</v>
      </c>
      <c r="AJ174">
        <v>90.8653898607934</v>
      </c>
      <c r="AK174">
        <v>45.344281483786602</v>
      </c>
      <c r="AL174">
        <v>79.9791641527341</v>
      </c>
      <c r="AM174">
        <v>94.913546983041002</v>
      </c>
      <c r="AN174">
        <v>1.00000002533928</v>
      </c>
    </row>
    <row r="175" spans="1:40" x14ac:dyDescent="0.25">
      <c r="A175" t="str">
        <f>"20190304155019605"</f>
        <v>20190304155019605</v>
      </c>
      <c r="B175" t="str">
        <f>"1551685819597226"</f>
        <v>1551685819597226</v>
      </c>
      <c r="C175" t="s">
        <v>40</v>
      </c>
      <c r="D175">
        <v>5.0480720000000003</v>
      </c>
      <c r="E175">
        <v>0.55678989999999995</v>
      </c>
      <c r="F175" t="s">
        <v>42</v>
      </c>
      <c r="G175">
        <v>-416.4853</v>
      </c>
      <c r="H175">
        <v>-0.05</v>
      </c>
      <c r="I175">
        <v>368.16019999999997</v>
      </c>
      <c r="J175">
        <v>-463.80169999999998</v>
      </c>
      <c r="K175">
        <v>1.109475</v>
      </c>
      <c r="L175">
        <v>367.2475</v>
      </c>
      <c r="M175">
        <v>0.99998089999999995</v>
      </c>
      <c r="N175">
        <v>-3.98235E-3</v>
      </c>
      <c r="O175">
        <v>4.7657029999999996E-3</v>
      </c>
      <c r="P175">
        <v>0.98123260000000001</v>
      </c>
      <c r="Q175">
        <v>0.1710034</v>
      </c>
      <c r="R175">
        <v>8.9110830000000002E-2</v>
      </c>
      <c r="S175">
        <v>3.064514</v>
      </c>
      <c r="T175">
        <v>-7.4782849999999998E-2</v>
      </c>
      <c r="U175">
        <v>5.892944E-2</v>
      </c>
      <c r="V175">
        <v>-8.4444420000000006E-2</v>
      </c>
      <c r="W175">
        <v>0.1749059</v>
      </c>
      <c r="X175">
        <v>0.98095719999999997</v>
      </c>
      <c r="Y175">
        <v>-1.4456979999999999E-2</v>
      </c>
      <c r="Z175">
        <v>1.078552E-4</v>
      </c>
      <c r="AA175">
        <v>0.99989550000000005</v>
      </c>
      <c r="AB175">
        <v>18</v>
      </c>
      <c r="AC175">
        <v>47.316399999999902</v>
      </c>
      <c r="AD175">
        <v>-1.159475</v>
      </c>
      <c r="AE175">
        <v>0.91269999999997198</v>
      </c>
      <c r="AF175">
        <v>-0.68677973462874098</v>
      </c>
      <c r="AG175">
        <v>-1.159475</v>
      </c>
      <c r="AH175">
        <v>47.291825068257403</v>
      </c>
      <c r="AI175">
        <v>91.404317083252394</v>
      </c>
      <c r="AJ175">
        <v>90.832000337369806</v>
      </c>
      <c r="AK175">
        <v>47.311021622516002</v>
      </c>
      <c r="AL175">
        <v>79.926817689791406</v>
      </c>
      <c r="AM175">
        <v>94.920102993292303</v>
      </c>
      <c r="AN175">
        <v>0.99999998107789301</v>
      </c>
    </row>
    <row r="176" spans="1:40" x14ac:dyDescent="0.25">
      <c r="A176" t="str">
        <f>"20190304155019626"</f>
        <v>20190304155019626</v>
      </c>
      <c r="B176" t="str">
        <f>"1551685819616746"</f>
        <v>1551685819616746</v>
      </c>
      <c r="C176" t="s">
        <v>40</v>
      </c>
      <c r="D176">
        <v>5.0288629999999896</v>
      </c>
      <c r="E176">
        <v>0.5568495</v>
      </c>
      <c r="F176" t="s">
        <v>42</v>
      </c>
      <c r="G176">
        <v>-426.43939999999998</v>
      </c>
      <c r="H176">
        <v>-0.05</v>
      </c>
      <c r="I176">
        <v>364.96690000000001</v>
      </c>
      <c r="J176">
        <v>-463.6268</v>
      </c>
      <c r="K176">
        <v>1.109478</v>
      </c>
      <c r="L176">
        <v>367.2484</v>
      </c>
      <c r="M176">
        <v>0.99998039999999999</v>
      </c>
      <c r="N176">
        <v>-3.9987199999999999E-3</v>
      </c>
      <c r="O176">
        <v>4.8442320000000004E-3</v>
      </c>
      <c r="P176">
        <v>0.98106910000000003</v>
      </c>
      <c r="Q176">
        <v>0.17192850000000001</v>
      </c>
      <c r="R176">
        <v>8.9130059999999997E-2</v>
      </c>
      <c r="S176">
        <v>3.091278</v>
      </c>
      <c r="T176">
        <v>-9.5932359999999994E-2</v>
      </c>
      <c r="U176">
        <v>-0.1886902</v>
      </c>
      <c r="V176">
        <v>-8.4387970000000007E-2</v>
      </c>
      <c r="W176">
        <v>0.17584659999999999</v>
      </c>
      <c r="X176">
        <v>0.9807939</v>
      </c>
      <c r="Y176">
        <v>6.5723340000000005E-2</v>
      </c>
      <c r="Z176">
        <v>-1.2809869999999999E-3</v>
      </c>
      <c r="AA176">
        <v>0.99783710000000003</v>
      </c>
      <c r="AB176">
        <v>18</v>
      </c>
      <c r="AC176">
        <v>37.187399999999997</v>
      </c>
      <c r="AD176">
        <v>-1.159478</v>
      </c>
      <c r="AE176">
        <v>-2.2814999999999901</v>
      </c>
      <c r="AF176">
        <v>2.4592372570144501</v>
      </c>
      <c r="AG176">
        <v>-1.159478</v>
      </c>
      <c r="AH176">
        <v>37.139941246089599</v>
      </c>
      <c r="AI176">
        <v>91.784241010265703</v>
      </c>
      <c r="AJ176">
        <v>86.2116653747849</v>
      </c>
      <c r="AK176">
        <v>37.239326966014801</v>
      </c>
      <c r="AL176">
        <v>79.872071404771305</v>
      </c>
      <c r="AM176">
        <v>94.9176447242466</v>
      </c>
      <c r="AN176">
        <v>1.0000000152447399</v>
      </c>
    </row>
    <row r="177" spans="1:40" x14ac:dyDescent="0.25">
      <c r="A177" t="str">
        <f>"20190304155019648"</f>
        <v>20190304155019648</v>
      </c>
      <c r="B177" t="str">
        <f>"1551685819636266"</f>
        <v>1551685819636266</v>
      </c>
      <c r="C177" t="s">
        <v>40</v>
      </c>
      <c r="D177">
        <v>4.9890749999999997</v>
      </c>
      <c r="E177">
        <v>0.55619659999999904</v>
      </c>
      <c r="F177" t="s">
        <v>42</v>
      </c>
      <c r="G177">
        <v>-428.42469999999997</v>
      </c>
      <c r="H177">
        <v>-0.05</v>
      </c>
      <c r="I177">
        <v>365.09769999999997</v>
      </c>
      <c r="J177">
        <v>-463.45159999999998</v>
      </c>
      <c r="K177">
        <v>1.109483</v>
      </c>
      <c r="L177">
        <v>367.24939999999998</v>
      </c>
      <c r="M177">
        <v>0.99997990000000003</v>
      </c>
      <c r="N177">
        <v>-4.0166109999999998E-3</v>
      </c>
      <c r="O177">
        <v>4.922877E-3</v>
      </c>
      <c r="P177">
        <v>0.98100220000000005</v>
      </c>
      <c r="Q177">
        <v>0.17201949999999999</v>
      </c>
      <c r="R177">
        <v>8.9689640000000001E-2</v>
      </c>
      <c r="S177">
        <v>3.0928650000000002</v>
      </c>
      <c r="T177">
        <v>-0.101872</v>
      </c>
      <c r="U177">
        <v>-0.18896479999999999</v>
      </c>
      <c r="V177">
        <v>-8.4870340000000002E-2</v>
      </c>
      <c r="W177">
        <v>0.17595459999999999</v>
      </c>
      <c r="X177">
        <v>0.98073290000000002</v>
      </c>
      <c r="Y177">
        <v>6.5854330000000003E-2</v>
      </c>
      <c r="Z177">
        <v>-1.357872E-3</v>
      </c>
      <c r="AA177">
        <v>0.9978283</v>
      </c>
      <c r="AB177">
        <v>18</v>
      </c>
      <c r="AC177">
        <v>35.026899999999998</v>
      </c>
      <c r="AD177">
        <v>-1.159483</v>
      </c>
      <c r="AE177">
        <v>-2.1516999999999999</v>
      </c>
      <c r="AF177">
        <v>2.3215740410878101</v>
      </c>
      <c r="AG177">
        <v>-1.159483</v>
      </c>
      <c r="AH177">
        <v>34.977698971275899</v>
      </c>
      <c r="AI177">
        <v>91.894449198529202</v>
      </c>
      <c r="AJ177">
        <v>86.202678161851395</v>
      </c>
      <c r="AK177">
        <v>35.073829733588198</v>
      </c>
      <c r="AL177">
        <v>79.865785380649299</v>
      </c>
      <c r="AM177">
        <v>94.945921529015607</v>
      </c>
      <c r="AN177">
        <v>1.0000000085076399</v>
      </c>
    </row>
    <row r="178" spans="1:40" x14ac:dyDescent="0.25">
      <c r="A178" t="str">
        <f>"20190304155019670"</f>
        <v>20190304155019670</v>
      </c>
      <c r="B178" t="str">
        <f>"1551685819666522"</f>
        <v>1551685819666522</v>
      </c>
      <c r="C178" t="s">
        <v>40</v>
      </c>
      <c r="D178">
        <v>4.9821920000000004</v>
      </c>
      <c r="E178">
        <v>0.5562513</v>
      </c>
      <c r="F178" t="s">
        <v>42</v>
      </c>
      <c r="G178">
        <v>-426.4049</v>
      </c>
      <c r="H178">
        <v>-0.05</v>
      </c>
      <c r="I178">
        <v>365.06810000000002</v>
      </c>
      <c r="J178">
        <v>-463.27030000000002</v>
      </c>
      <c r="K178">
        <v>1.109488</v>
      </c>
      <c r="L178">
        <v>367.25029999999998</v>
      </c>
      <c r="M178">
        <v>0.99997939999999996</v>
      </c>
      <c r="N178">
        <v>-4.0361900000000003E-3</v>
      </c>
      <c r="O178">
        <v>5.0045569999999998E-3</v>
      </c>
      <c r="P178">
        <v>0.98101130000000003</v>
      </c>
      <c r="Q178">
        <v>0.17169899999999999</v>
      </c>
      <c r="R178">
        <v>9.0202119999999997E-2</v>
      </c>
      <c r="S178">
        <v>3.0917050000000001</v>
      </c>
      <c r="T178">
        <v>-9.6763970000000005E-2</v>
      </c>
      <c r="U178">
        <v>-0.18203739999999999</v>
      </c>
      <c r="V178">
        <v>-8.5302900000000001E-2</v>
      </c>
      <c r="W178">
        <v>0.17565320000000001</v>
      </c>
      <c r="X178">
        <v>0.98074939999999999</v>
      </c>
      <c r="Y178">
        <v>6.3735710000000001E-2</v>
      </c>
      <c r="Z178">
        <v>-1.2613500000000001E-3</v>
      </c>
      <c r="AA178">
        <v>0.99796600000000002</v>
      </c>
      <c r="AB178">
        <v>18</v>
      </c>
      <c r="AC178">
        <v>36.865400000000001</v>
      </c>
      <c r="AD178">
        <v>-1.1594879999999901</v>
      </c>
      <c r="AE178">
        <v>-2.1821999999999599</v>
      </c>
      <c r="AF178">
        <v>2.3643384642640002</v>
      </c>
      <c r="AG178">
        <v>-1.1594879999999901</v>
      </c>
      <c r="AH178">
        <v>36.817723495712599</v>
      </c>
      <c r="AI178">
        <v>91.800094840871097</v>
      </c>
      <c r="AJ178">
        <v>86.325659325622496</v>
      </c>
      <c r="AK178">
        <v>36.911776876797603</v>
      </c>
      <c r="AL178">
        <v>79.883327544094996</v>
      </c>
      <c r="AM178">
        <v>94.970920281155003</v>
      </c>
      <c r="AN178">
        <v>1.0000000085095</v>
      </c>
    </row>
    <row r="179" spans="1:40" x14ac:dyDescent="0.25">
      <c r="A179" t="str">
        <f>"20190304155019694"</f>
        <v>20190304155019694</v>
      </c>
      <c r="B179" t="str">
        <f>"1551685819687018"</f>
        <v>1551685819687018</v>
      </c>
      <c r="C179" t="s">
        <v>40</v>
      </c>
      <c r="D179">
        <v>4.9761470000000001</v>
      </c>
      <c r="E179">
        <v>0.55560810000000005</v>
      </c>
      <c r="F179" t="s">
        <v>42</v>
      </c>
      <c r="G179">
        <v>-426.63099999999997</v>
      </c>
      <c r="H179">
        <v>-0.05</v>
      </c>
      <c r="I179">
        <v>365.09890000000001</v>
      </c>
      <c r="J179">
        <v>-463.072</v>
      </c>
      <c r="K179">
        <v>1.1094820000000001</v>
      </c>
      <c r="L179">
        <v>367.25139999999999</v>
      </c>
      <c r="M179">
        <v>0.9999789</v>
      </c>
      <c r="N179">
        <v>-4.0582689999999998E-3</v>
      </c>
      <c r="O179">
        <v>5.0933269999999999E-3</v>
      </c>
      <c r="P179">
        <v>0.98096510000000003</v>
      </c>
      <c r="Q179">
        <v>0.17169409999999999</v>
      </c>
      <c r="R179">
        <v>9.0712840000000003E-2</v>
      </c>
      <c r="S179">
        <v>3.091888</v>
      </c>
      <c r="T179">
        <v>-9.7845790000000002E-2</v>
      </c>
      <c r="U179">
        <v>-0.18154909999999999</v>
      </c>
      <c r="V179">
        <v>-8.572726E-2</v>
      </c>
      <c r="W179">
        <v>0.1756702</v>
      </c>
      <c r="X179">
        <v>0.98070939999999995</v>
      </c>
      <c r="Y179">
        <v>6.3662979999999994E-2</v>
      </c>
      <c r="Z179">
        <v>-1.2759119999999999E-3</v>
      </c>
      <c r="AA179">
        <v>0.99797060000000004</v>
      </c>
      <c r="AB179">
        <v>19</v>
      </c>
      <c r="AC179">
        <v>36.440999999999903</v>
      </c>
      <c r="AD179">
        <v>-1.1594819999999999</v>
      </c>
      <c r="AE179">
        <v>-2.1524999999999701</v>
      </c>
      <c r="AF179">
        <v>2.3357230784663998</v>
      </c>
      <c r="AG179">
        <v>-1.1594819999999999</v>
      </c>
      <c r="AH179">
        <v>36.392848218212599</v>
      </c>
      <c r="AI179">
        <v>91.821091161766603</v>
      </c>
      <c r="AJ179">
        <v>86.327746210351805</v>
      </c>
      <c r="AK179">
        <v>36.486153568737002</v>
      </c>
      <c r="AL179">
        <v>79.882338603954594</v>
      </c>
      <c r="AM179">
        <v>94.995727226092797</v>
      </c>
      <c r="AN179">
        <v>1.00000005476175</v>
      </c>
    </row>
    <row r="180" spans="1:40" x14ac:dyDescent="0.25">
      <c r="A180" t="str">
        <f>"20190304155019715"</f>
        <v>20190304155019715</v>
      </c>
      <c r="B180" t="str">
        <f>"1551685819707013"</f>
        <v>1551685819707013</v>
      </c>
      <c r="C180" t="s">
        <v>40</v>
      </c>
      <c r="D180">
        <v>5.0043550000000003</v>
      </c>
      <c r="E180">
        <v>0.55519770000000002</v>
      </c>
      <c r="F180" t="s">
        <v>42</v>
      </c>
      <c r="G180">
        <v>-424.86720000000003</v>
      </c>
      <c r="H180">
        <v>-0.05</v>
      </c>
      <c r="I180">
        <v>365.0874</v>
      </c>
      <c r="J180">
        <v>-462.88990000000001</v>
      </c>
      <c r="K180">
        <v>1.1094820000000001</v>
      </c>
      <c r="L180">
        <v>367.2525</v>
      </c>
      <c r="M180">
        <v>0.99997829999999999</v>
      </c>
      <c r="N180">
        <v>-4.0787499999999999E-3</v>
      </c>
      <c r="O180">
        <v>5.1753629999999997E-3</v>
      </c>
      <c r="P180">
        <v>0.98100359999999998</v>
      </c>
      <c r="Q180">
        <v>0.1711056</v>
      </c>
      <c r="R180">
        <v>9.1404609999999997E-2</v>
      </c>
      <c r="S180">
        <v>3.0908509999999998</v>
      </c>
      <c r="T180">
        <v>-9.3804719999999994E-2</v>
      </c>
      <c r="U180">
        <v>-0.17507929999999999</v>
      </c>
      <c r="V180">
        <v>-8.6338440000000002E-2</v>
      </c>
      <c r="W180">
        <v>0.1751017</v>
      </c>
      <c r="X180">
        <v>0.9807574</v>
      </c>
      <c r="Y180">
        <v>6.1686190000000002E-2</v>
      </c>
      <c r="Z180">
        <v>-1.196857E-3</v>
      </c>
      <c r="AA180">
        <v>0.99809490000000001</v>
      </c>
      <c r="AB180">
        <v>19</v>
      </c>
      <c r="AC180">
        <v>38.022699999999901</v>
      </c>
      <c r="AD180">
        <v>-1.1594819999999999</v>
      </c>
      <c r="AE180">
        <v>-2.16509999999999</v>
      </c>
      <c r="AF180">
        <v>2.35966672149975</v>
      </c>
      <c r="AG180">
        <v>-1.1594819999999999</v>
      </c>
      <c r="AH180">
        <v>37.9757854827213</v>
      </c>
      <c r="AI180">
        <v>91.745455300866297</v>
      </c>
      <c r="AJ180">
        <v>86.444435626312895</v>
      </c>
      <c r="AK180">
        <v>38.066687649105297</v>
      </c>
      <c r="AL180">
        <v>79.915423575278894</v>
      </c>
      <c r="AM180">
        <v>95.030916405202504</v>
      </c>
      <c r="AN180">
        <v>1.00000000460964</v>
      </c>
    </row>
    <row r="181" spans="1:40" x14ac:dyDescent="0.25">
      <c r="A181" t="str">
        <f>"20190304155019737"</f>
        <v>20190304155019737</v>
      </c>
      <c r="B181" t="str">
        <f>"1551685819726537"</f>
        <v>1551685819726537</v>
      </c>
      <c r="C181" t="s">
        <v>40</v>
      </c>
      <c r="D181">
        <v>4.9651909999999999</v>
      </c>
      <c r="E181">
        <v>0.55522349999999998</v>
      </c>
      <c r="F181" t="s">
        <v>42</v>
      </c>
      <c r="G181">
        <v>-426.2294</v>
      </c>
      <c r="H181">
        <v>-0.05</v>
      </c>
      <c r="I181">
        <v>365.23860000000002</v>
      </c>
      <c r="J181">
        <v>-462.70620000000002</v>
      </c>
      <c r="K181">
        <v>1.109486</v>
      </c>
      <c r="L181">
        <v>367.25349999999997</v>
      </c>
      <c r="M181">
        <v>0.99997780000000003</v>
      </c>
      <c r="N181">
        <v>-4.099241E-3</v>
      </c>
      <c r="O181">
        <v>5.258235E-3</v>
      </c>
      <c r="P181">
        <v>0.98104170000000002</v>
      </c>
      <c r="Q181">
        <v>0.17063059999999999</v>
      </c>
      <c r="R181">
        <v>9.1883359999999997E-2</v>
      </c>
      <c r="S181">
        <v>3.090973</v>
      </c>
      <c r="T181">
        <v>-9.7759960000000007E-2</v>
      </c>
      <c r="U181">
        <v>-0.169799799999999</v>
      </c>
      <c r="V181">
        <v>-8.6735580000000007E-2</v>
      </c>
      <c r="W181">
        <v>0.1746462</v>
      </c>
      <c r="X181">
        <v>0.98080350000000005</v>
      </c>
      <c r="Y181">
        <v>6.0065180000000003E-2</v>
      </c>
      <c r="Z181">
        <v>-1.2167549999999999E-3</v>
      </c>
      <c r="AA181">
        <v>0.99819369999999996</v>
      </c>
      <c r="AB181">
        <v>19</v>
      </c>
      <c r="AC181">
        <v>36.476799999999997</v>
      </c>
      <c r="AD181">
        <v>-1.159486</v>
      </c>
      <c r="AE181">
        <v>-2.0148999999999502</v>
      </c>
      <c r="AF181">
        <v>2.2044567081312199</v>
      </c>
      <c r="AG181">
        <v>-1.159486</v>
      </c>
      <c r="AH181">
        <v>36.429004552218203</v>
      </c>
      <c r="AI181">
        <v>91.819705290868995</v>
      </c>
      <c r="AJ181">
        <v>86.537038802435802</v>
      </c>
      <c r="AK181">
        <v>36.514057701490202</v>
      </c>
      <c r="AL181">
        <v>79.9419294988503</v>
      </c>
      <c r="AM181">
        <v>95.053701747133402</v>
      </c>
      <c r="AN181">
        <v>0.99999993081230998</v>
      </c>
    </row>
    <row r="182" spans="1:40" x14ac:dyDescent="0.25">
      <c r="A182" t="str">
        <f>"20190304155019759"</f>
        <v>20190304155019759</v>
      </c>
      <c r="B182" t="str">
        <f>"1551685819756789"</f>
        <v>1551685819756789</v>
      </c>
      <c r="C182" t="s">
        <v>40</v>
      </c>
      <c r="D182">
        <v>4.94367</v>
      </c>
      <c r="E182">
        <v>0.55595919999999999</v>
      </c>
      <c r="F182" t="s">
        <v>42</v>
      </c>
      <c r="G182">
        <v>-427.59840000000003</v>
      </c>
      <c r="H182">
        <v>-0.05</v>
      </c>
      <c r="I182">
        <v>365.34089999999998</v>
      </c>
      <c r="J182">
        <v>-462.51690000000002</v>
      </c>
      <c r="K182">
        <v>1.109483</v>
      </c>
      <c r="L182">
        <v>367.25459999999998</v>
      </c>
      <c r="M182">
        <v>0.99997720000000001</v>
      </c>
      <c r="N182">
        <v>-4.1202180000000001E-3</v>
      </c>
      <c r="O182">
        <v>5.3432499999999999E-3</v>
      </c>
      <c r="P182">
        <v>0.98092550000000001</v>
      </c>
      <c r="Q182">
        <v>0.17119289999999901</v>
      </c>
      <c r="R182">
        <v>9.2076610000000003E-2</v>
      </c>
      <c r="S182">
        <v>3.0915530000000002</v>
      </c>
      <c r="T182">
        <v>-0.102103</v>
      </c>
      <c r="U182">
        <v>-0.16842650000000001</v>
      </c>
      <c r="V182">
        <v>-8.6846649999999997E-2</v>
      </c>
      <c r="W182">
        <v>0.17522889999999999</v>
      </c>
      <c r="X182">
        <v>0.98068979999999994</v>
      </c>
      <c r="Y182">
        <v>5.9694799999999999E-2</v>
      </c>
      <c r="Z182">
        <v>-1.262165E-3</v>
      </c>
      <c r="AA182">
        <v>0.99821590000000004</v>
      </c>
      <c r="AB182">
        <v>19</v>
      </c>
      <c r="AC182">
        <v>34.918499999999902</v>
      </c>
      <c r="AD182">
        <v>-1.159483</v>
      </c>
      <c r="AE182">
        <v>-1.9137</v>
      </c>
      <c r="AF182">
        <v>2.09794628005905</v>
      </c>
      <c r="AG182">
        <v>-1.159483</v>
      </c>
      <c r="AH182">
        <v>34.869444172370798</v>
      </c>
      <c r="AI182">
        <v>91.901069279581293</v>
      </c>
      <c r="AJ182">
        <v>86.556906990031706</v>
      </c>
      <c r="AK182">
        <v>34.951736957001003</v>
      </c>
      <c r="AL182">
        <v>79.908021014172505</v>
      </c>
      <c r="AM182">
        <v>95.060723351775806</v>
      </c>
      <c r="AN182">
        <v>0.99999999591773603</v>
      </c>
    </row>
    <row r="183" spans="1:40" x14ac:dyDescent="0.25">
      <c r="A183" t="str">
        <f>"20190304155019782"</f>
        <v>20190304155019782</v>
      </c>
      <c r="B183" t="str">
        <f>"1551685819777286"</f>
        <v>1551685819777286</v>
      </c>
      <c r="C183" t="s">
        <v>40</v>
      </c>
      <c r="D183">
        <v>5.0023679999999997</v>
      </c>
      <c r="E183">
        <v>0.55614359999999996</v>
      </c>
      <c r="F183" t="s">
        <v>42</v>
      </c>
      <c r="G183">
        <v>-426.90309999999999</v>
      </c>
      <c r="H183">
        <v>-0.05</v>
      </c>
      <c r="I183">
        <v>365.25080000000003</v>
      </c>
      <c r="J183">
        <v>-462.32240000000002</v>
      </c>
      <c r="K183">
        <v>1.1094790000000001</v>
      </c>
      <c r="L183">
        <v>367.25580000000002</v>
      </c>
      <c r="M183">
        <v>0.99997670000000005</v>
      </c>
      <c r="N183">
        <v>-4.1414980000000004E-3</v>
      </c>
      <c r="O183">
        <v>5.4306500000000004E-3</v>
      </c>
      <c r="P183">
        <v>0.98102840000000002</v>
      </c>
      <c r="Q183">
        <v>0.1705576</v>
      </c>
      <c r="R183">
        <v>9.2158539999999997E-2</v>
      </c>
      <c r="S183">
        <v>3.0922239999999999</v>
      </c>
      <c r="T183">
        <v>-0.100674</v>
      </c>
      <c r="U183">
        <v>-0.17398069999999999</v>
      </c>
      <c r="V183">
        <v>-8.6842240000000001E-2</v>
      </c>
      <c r="W183">
        <v>0.17461479999999999</v>
      </c>
      <c r="X183">
        <v>0.98079970000000005</v>
      </c>
      <c r="Y183">
        <v>6.1557540000000001E-2</v>
      </c>
      <c r="Z183">
        <v>-1.282781E-3</v>
      </c>
      <c r="AA183">
        <v>0.99810270000000001</v>
      </c>
      <c r="AB183">
        <v>19</v>
      </c>
      <c r="AC183">
        <v>35.4193</v>
      </c>
      <c r="AD183">
        <v>-1.1594789999999999</v>
      </c>
      <c r="AE183">
        <v>-2.0049999999999901</v>
      </c>
      <c r="AF183">
        <v>2.1949772052003298</v>
      </c>
      <c r="AG183">
        <v>-1.1594789999999999</v>
      </c>
      <c r="AH183">
        <v>35.370106468638298</v>
      </c>
      <c r="AI183">
        <v>91.873956909517602</v>
      </c>
      <c r="AJ183">
        <v>86.448926176879695</v>
      </c>
      <c r="AK183">
        <v>35.457111389474399</v>
      </c>
      <c r="AL183">
        <v>79.943757134668601</v>
      </c>
      <c r="AM183">
        <v>95.059903618026198</v>
      </c>
      <c r="AN183">
        <v>0.99999997727367296</v>
      </c>
    </row>
    <row r="184" spans="1:40" x14ac:dyDescent="0.25">
      <c r="A184" t="str">
        <f>"20190304155019805"</f>
        <v>20190304155019805</v>
      </c>
      <c r="B184" t="str">
        <f>"1551685819796805"</f>
        <v>1551685819796805</v>
      </c>
      <c r="C184" t="s">
        <v>40</v>
      </c>
      <c r="D184">
        <v>4.9879150000000001</v>
      </c>
      <c r="E184">
        <v>0.5564656</v>
      </c>
      <c r="F184" t="s">
        <v>42</v>
      </c>
      <c r="G184">
        <v>-426.90780000000001</v>
      </c>
      <c r="H184">
        <v>-0.05</v>
      </c>
      <c r="I184">
        <v>365.24630000000002</v>
      </c>
      <c r="J184">
        <v>-462.11770000000001</v>
      </c>
      <c r="K184">
        <v>1.1094790000000001</v>
      </c>
      <c r="L184">
        <v>367.25700000000001</v>
      </c>
      <c r="M184">
        <v>0.99997610000000003</v>
      </c>
      <c r="N184">
        <v>-4.1636420000000004E-3</v>
      </c>
      <c r="O184">
        <v>5.5225780000000002E-3</v>
      </c>
      <c r="P184">
        <v>0.9810314</v>
      </c>
      <c r="Q184">
        <v>0.17065439999999901</v>
      </c>
      <c r="R184">
        <v>9.1949340000000004E-2</v>
      </c>
      <c r="S184">
        <v>3.0920719999999999</v>
      </c>
      <c r="T184">
        <v>-0.1012347</v>
      </c>
      <c r="U184">
        <v>-0.17544560000000001</v>
      </c>
      <c r="V184">
        <v>-8.6543410000000001E-2</v>
      </c>
      <c r="W184">
        <v>0.17473359999999999</v>
      </c>
      <c r="X184">
        <v>0.98080500000000004</v>
      </c>
      <c r="Y184">
        <v>6.2122570000000002E-2</v>
      </c>
      <c r="Z184">
        <v>-1.302985E-3</v>
      </c>
      <c r="AA184">
        <v>0.9980677</v>
      </c>
      <c r="AB184">
        <v>19</v>
      </c>
      <c r="AC184">
        <v>35.209899999999998</v>
      </c>
      <c r="AD184">
        <v>-1.1594789999999999</v>
      </c>
      <c r="AE184">
        <v>-2.01069999999992</v>
      </c>
      <c r="AF184">
        <v>2.2027395153439899</v>
      </c>
      <c r="AG184">
        <v>-1.1594789999999999</v>
      </c>
      <c r="AH184">
        <v>35.160254282011699</v>
      </c>
      <c r="AI184">
        <v>91.8850643134286</v>
      </c>
      <c r="AJ184">
        <v>86.415186613018605</v>
      </c>
      <c r="AK184">
        <v>35.248261433716401</v>
      </c>
      <c r="AL184">
        <v>79.936844555694705</v>
      </c>
      <c r="AM184">
        <v>95.042554964334997</v>
      </c>
      <c r="AN184">
        <v>1.0000000204041899</v>
      </c>
    </row>
    <row r="185" spans="1:40" x14ac:dyDescent="0.25">
      <c r="A185" t="str">
        <f>"20190304155019829"</f>
        <v>20190304155019829</v>
      </c>
      <c r="B185" t="str">
        <f>"1551685819827061"</f>
        <v>1551685819827061</v>
      </c>
      <c r="C185" t="s">
        <v>40</v>
      </c>
      <c r="D185">
        <v>4.8405950000000004</v>
      </c>
      <c r="E185">
        <v>0.55676340000000002</v>
      </c>
      <c r="F185" t="s">
        <v>42</v>
      </c>
      <c r="G185">
        <v>-426.38409999999999</v>
      </c>
      <c r="H185">
        <v>-0.05</v>
      </c>
      <c r="I185">
        <v>365.19670000000002</v>
      </c>
      <c r="J185">
        <v>-461.91340000000002</v>
      </c>
      <c r="K185">
        <v>1.109483</v>
      </c>
      <c r="L185">
        <v>367.25819999999999</v>
      </c>
      <c r="M185">
        <v>0.99997550000000002</v>
      </c>
      <c r="N185">
        <v>-4.185584E-3</v>
      </c>
      <c r="O185">
        <v>5.614623E-3</v>
      </c>
      <c r="P185">
        <v>0.98103019999999996</v>
      </c>
      <c r="Q185">
        <v>0.170682</v>
      </c>
      <c r="R185">
        <v>9.1909389999999994E-2</v>
      </c>
      <c r="S185">
        <v>3.092133</v>
      </c>
      <c r="T185">
        <v>-0.10033309999999999</v>
      </c>
      <c r="U185">
        <v>-0.17828369999999999</v>
      </c>
      <c r="V185">
        <v>-8.6413100000000007E-2</v>
      </c>
      <c r="W185">
        <v>0.17478239999999901</v>
      </c>
      <c r="X185">
        <v>0.98080780000000001</v>
      </c>
      <c r="Y185">
        <v>6.3126429999999997E-2</v>
      </c>
      <c r="Z185">
        <v>-1.313816E-3</v>
      </c>
      <c r="AA185">
        <v>0.99800469999999997</v>
      </c>
      <c r="AB185">
        <v>19</v>
      </c>
      <c r="AC185">
        <v>35.529299999999999</v>
      </c>
      <c r="AD185">
        <v>-1.159483</v>
      </c>
      <c r="AE185">
        <v>-2.0614999999999601</v>
      </c>
      <c r="AF185">
        <v>2.2585555505669102</v>
      </c>
      <c r="AG185">
        <v>-1.159483</v>
      </c>
      <c r="AH185">
        <v>35.4795059275895</v>
      </c>
      <c r="AI185">
        <v>91.868002109565495</v>
      </c>
      <c r="AJ185">
        <v>86.357578202079395</v>
      </c>
      <c r="AK185">
        <v>35.570223711246797</v>
      </c>
      <c r="AL185">
        <v>79.934004877840593</v>
      </c>
      <c r="AM185">
        <v>95.034987054920705</v>
      </c>
      <c r="AN185">
        <v>1.0000000258710999</v>
      </c>
    </row>
    <row r="186" spans="1:40" x14ac:dyDescent="0.25">
      <c r="A186" t="str">
        <f>"20190304155019849"</f>
        <v>20190304155019849</v>
      </c>
      <c r="B186" t="str">
        <f>"1551685819846581"</f>
        <v>1551685819846581</v>
      </c>
      <c r="C186" t="s">
        <v>40</v>
      </c>
      <c r="D186">
        <v>5.0411380000000001</v>
      </c>
      <c r="E186">
        <v>0.55694679999999996</v>
      </c>
      <c r="F186" t="s">
        <v>42</v>
      </c>
      <c r="G186">
        <v>-425.21140000000003</v>
      </c>
      <c r="H186">
        <v>-0.05</v>
      </c>
      <c r="I186">
        <v>365.11399999999998</v>
      </c>
      <c r="J186">
        <v>-461.73410000000001</v>
      </c>
      <c r="K186">
        <v>1.10948</v>
      </c>
      <c r="L186">
        <v>367.2593</v>
      </c>
      <c r="M186">
        <v>0.99997510000000001</v>
      </c>
      <c r="N186">
        <v>-4.2047859999999899E-3</v>
      </c>
      <c r="O186">
        <v>5.6946360000000003E-3</v>
      </c>
      <c r="P186">
        <v>0.98103050000000003</v>
      </c>
      <c r="Q186">
        <v>0.1709466</v>
      </c>
      <c r="R186">
        <v>9.1414300000000004E-2</v>
      </c>
      <c r="S186">
        <v>3.0919189999999999</v>
      </c>
      <c r="T186">
        <v>-9.7679260000000004E-2</v>
      </c>
      <c r="U186">
        <v>-0.1806335</v>
      </c>
      <c r="V186">
        <v>-8.5839520000000002E-2</v>
      </c>
      <c r="W186">
        <v>0.17506550000000001</v>
      </c>
      <c r="X186">
        <v>0.98080769999999995</v>
      </c>
      <c r="Y186">
        <v>6.3967590000000005E-2</v>
      </c>
      <c r="Z186">
        <v>-1.2997460000000001E-3</v>
      </c>
      <c r="AA186">
        <v>0.99795109999999998</v>
      </c>
      <c r="AB186">
        <v>20</v>
      </c>
      <c r="AC186">
        <v>36.522699999999901</v>
      </c>
      <c r="AD186">
        <v>-1.1594799999999901</v>
      </c>
      <c r="AE186">
        <v>-2.1452999999999598</v>
      </c>
      <c r="AF186">
        <v>2.3508892793946599</v>
      </c>
      <c r="AG186">
        <v>-1.1594799999999901</v>
      </c>
      <c r="AH186">
        <v>36.4732573912463</v>
      </c>
      <c r="AI186">
        <v>91.817044028333896</v>
      </c>
      <c r="AJ186">
        <v>86.312093381030493</v>
      </c>
      <c r="AK186">
        <v>36.567329393906697</v>
      </c>
      <c r="AL186">
        <v>79.917530669120296</v>
      </c>
      <c r="AM186">
        <v>95.001737170865397</v>
      </c>
      <c r="AN186">
        <v>1.00000004843168</v>
      </c>
    </row>
    <row r="187" spans="1:40" x14ac:dyDescent="0.25">
      <c r="A187" t="str">
        <f>"20190304155019870"</f>
        <v>20190304155019870</v>
      </c>
      <c r="B187" t="str">
        <f>"1551685819867078"</f>
        <v>1551685819867078</v>
      </c>
      <c r="C187" t="s">
        <v>40</v>
      </c>
      <c r="D187">
        <v>5.0321809999999996</v>
      </c>
      <c r="E187">
        <v>0.55770989999999998</v>
      </c>
      <c r="F187" t="s">
        <v>42</v>
      </c>
      <c r="G187">
        <v>-424.33800000000002</v>
      </c>
      <c r="H187">
        <v>-0.05</v>
      </c>
      <c r="I187">
        <v>365.03570000000002</v>
      </c>
      <c r="J187">
        <v>-461.54399999999998</v>
      </c>
      <c r="K187">
        <v>1.10948</v>
      </c>
      <c r="L187">
        <v>367.26049999999998</v>
      </c>
      <c r="M187">
        <v>0.99997449999999999</v>
      </c>
      <c r="N187">
        <v>-4.2251770000000001E-3</v>
      </c>
      <c r="O187">
        <v>5.7800100000000004E-3</v>
      </c>
      <c r="P187">
        <v>0.98097800000000002</v>
      </c>
      <c r="Q187">
        <v>0.171071</v>
      </c>
      <c r="R187">
        <v>9.1744510000000001E-2</v>
      </c>
      <c r="S187">
        <v>3.0918269999999999</v>
      </c>
      <c r="T187">
        <v>-9.5863100000000007E-2</v>
      </c>
      <c r="U187">
        <v>-0.1838379</v>
      </c>
      <c r="V187">
        <v>-8.6087029999999995E-2</v>
      </c>
      <c r="W187">
        <v>0.17520959999999999</v>
      </c>
      <c r="X187">
        <v>0.98076019999999997</v>
      </c>
      <c r="Y187">
        <v>6.5085870000000004E-2</v>
      </c>
      <c r="Z187">
        <v>-1.300154E-3</v>
      </c>
      <c r="AA187">
        <v>0.99787879999999995</v>
      </c>
      <c r="AB187">
        <v>20</v>
      </c>
      <c r="AC187">
        <v>37.206000000000003</v>
      </c>
      <c r="AD187">
        <v>-1.1594799999999901</v>
      </c>
      <c r="AE187">
        <v>-2.2247999999999601</v>
      </c>
      <c r="AF187">
        <v>2.4374569991291501</v>
      </c>
      <c r="AG187">
        <v>-1.1594799999999901</v>
      </c>
      <c r="AH187">
        <v>37.156561797933897</v>
      </c>
      <c r="AI187">
        <v>91.783518512721699</v>
      </c>
      <c r="AJ187">
        <v>86.246795184897806</v>
      </c>
      <c r="AK187">
        <v>37.254471881059899</v>
      </c>
      <c r="AL187">
        <v>79.909143988643095</v>
      </c>
      <c r="AM187">
        <v>95.016327423469093</v>
      </c>
      <c r="AN187">
        <v>0.99999997528521001</v>
      </c>
    </row>
    <row r="188" spans="1:40" x14ac:dyDescent="0.25">
      <c r="A188" t="str">
        <f>"20190304155019894"</f>
        <v>20190304155019894</v>
      </c>
      <c r="B188" t="str">
        <f>"1551685819886598"</f>
        <v>1551685819886598</v>
      </c>
      <c r="C188" t="s">
        <v>40</v>
      </c>
      <c r="D188">
        <v>4.8427730000000002</v>
      </c>
      <c r="E188">
        <v>0.55791899999999905</v>
      </c>
      <c r="F188" t="s">
        <v>52</v>
      </c>
      <c r="G188">
        <v>102.6936</v>
      </c>
      <c r="H188">
        <v>-0.1</v>
      </c>
      <c r="I188">
        <v>332.72059999999999</v>
      </c>
      <c r="J188">
        <v>-461.33530000000002</v>
      </c>
      <c r="K188">
        <v>1.109483</v>
      </c>
      <c r="L188">
        <v>367.26179999999999</v>
      </c>
      <c r="M188">
        <v>0.99997380000000002</v>
      </c>
      <c r="N188">
        <v>-4.2475600000000001E-3</v>
      </c>
      <c r="O188">
        <v>5.8737240000000003E-3</v>
      </c>
      <c r="P188">
        <v>0.98092829999999998</v>
      </c>
      <c r="Q188">
        <v>0.171126</v>
      </c>
      <c r="R188">
        <v>9.2172030000000002E-2</v>
      </c>
      <c r="S188">
        <v>3.0769350000000002</v>
      </c>
      <c r="T188">
        <v>-6.5956119999999998E-3</v>
      </c>
      <c r="U188">
        <v>-0.18835450000000001</v>
      </c>
      <c r="V188">
        <v>-8.6423009999999995E-2</v>
      </c>
      <c r="W188">
        <v>0.1752862</v>
      </c>
      <c r="X188">
        <v>0.98071699999999995</v>
      </c>
      <c r="Y188">
        <v>6.6961889999999996E-2</v>
      </c>
      <c r="Z188">
        <v>-2.0170250000000001E-4</v>
      </c>
      <c r="AA188">
        <v>0.99775550000000002</v>
      </c>
      <c r="AB188">
        <v>20</v>
      </c>
      <c r="AC188">
        <v>564.02890000000002</v>
      </c>
      <c r="AD188">
        <v>-1.2094830000000001</v>
      </c>
      <c r="AE188">
        <v>-34.541200000000003</v>
      </c>
      <c r="AF188">
        <v>37.853410462496903</v>
      </c>
      <c r="AG188">
        <v>-1.2094830000000001</v>
      </c>
      <c r="AH188">
        <v>563.81369987865401</v>
      </c>
      <c r="AI188">
        <v>90.122633610483803</v>
      </c>
      <c r="AJ188">
        <v>86.159031362366093</v>
      </c>
      <c r="AK188">
        <v>565.08426955952905</v>
      </c>
      <c r="AL188">
        <v>79.904686511401806</v>
      </c>
      <c r="AM188">
        <v>95.036025328794494</v>
      </c>
      <c r="AN188">
        <v>1.00000001132845</v>
      </c>
    </row>
    <row r="189" spans="1:40" x14ac:dyDescent="0.25">
      <c r="A189" t="str">
        <f>"20190304155019916"</f>
        <v>20190304155019916</v>
      </c>
      <c r="B189" t="str">
        <f>"1551685819907093"</f>
        <v>1551685819907093</v>
      </c>
      <c r="C189" t="s">
        <v>40</v>
      </c>
      <c r="D189">
        <v>4.9981470000000003</v>
      </c>
      <c r="E189">
        <v>0.56029839999999997</v>
      </c>
      <c r="F189" t="s">
        <v>50</v>
      </c>
      <c r="G189">
        <v>-180</v>
      </c>
      <c r="H189">
        <v>1.2696789999999999E-2</v>
      </c>
      <c r="I189">
        <v>349.99680000000001</v>
      </c>
      <c r="J189">
        <v>-461.13400000000001</v>
      </c>
      <c r="K189">
        <v>1.1094839999999999</v>
      </c>
      <c r="L189">
        <v>367.26310000000001</v>
      </c>
      <c r="M189">
        <v>0.99997309999999995</v>
      </c>
      <c r="N189">
        <v>-4.2691329999999996E-3</v>
      </c>
      <c r="O189">
        <v>5.9634469999999898E-3</v>
      </c>
      <c r="P189">
        <v>0.98089919999999997</v>
      </c>
      <c r="Q189">
        <v>0.17103109999999999</v>
      </c>
      <c r="R189">
        <v>9.2656589999999997E-2</v>
      </c>
      <c r="S189">
        <v>3.078217</v>
      </c>
      <c r="T189">
        <v>-1.2000439999999999E-2</v>
      </c>
      <c r="U189">
        <v>-0.18890380000000001</v>
      </c>
      <c r="V189">
        <v>-8.6819789999999994E-2</v>
      </c>
      <c r="W189">
        <v>0.17521199999999901</v>
      </c>
      <c r="X189">
        <v>0.98069519999999999</v>
      </c>
      <c r="Y189">
        <v>6.7202860000000003E-2</v>
      </c>
      <c r="Z189">
        <v>-2.7225090000000001E-4</v>
      </c>
      <c r="AA189">
        <v>0.9977393</v>
      </c>
      <c r="AB189">
        <v>20</v>
      </c>
      <c r="AC189">
        <v>281.13400000000001</v>
      </c>
      <c r="AD189">
        <v>-1.09678721</v>
      </c>
      <c r="AE189">
        <v>-17.266300000000001</v>
      </c>
      <c r="AF189">
        <v>18.9422487498545</v>
      </c>
      <c r="AG189">
        <v>-1.09678721</v>
      </c>
      <c r="AH189">
        <v>281.02177220695802</v>
      </c>
      <c r="AI189">
        <v>90.223109718995204</v>
      </c>
      <c r="AJ189">
        <v>86.143815867968698</v>
      </c>
      <c r="AK189">
        <v>281.66158450208502</v>
      </c>
      <c r="AL189">
        <v>79.909004550744498</v>
      </c>
      <c r="AM189">
        <v>95.059138578702601</v>
      </c>
      <c r="AN189">
        <v>0.99999999809134199</v>
      </c>
    </row>
    <row r="190" spans="1:40" x14ac:dyDescent="0.25">
      <c r="A190" t="str">
        <f>"20190304155019938"</f>
        <v>20190304155019938</v>
      </c>
      <c r="B190" t="str">
        <f>"1551685819926617"</f>
        <v>1551685819926617</v>
      </c>
      <c r="C190" t="s">
        <v>40</v>
      </c>
      <c r="D190">
        <v>4.8400249999999998</v>
      </c>
      <c r="E190">
        <v>0.56175399999999998</v>
      </c>
      <c r="F190" t="s">
        <v>44</v>
      </c>
      <c r="G190">
        <v>-325.9298</v>
      </c>
      <c r="H190">
        <v>0.34967399999999998</v>
      </c>
      <c r="I190">
        <v>358.2045</v>
      </c>
      <c r="J190">
        <v>-460.9434</v>
      </c>
      <c r="K190">
        <v>1.1094820000000001</v>
      </c>
      <c r="L190">
        <v>367.26429999999999</v>
      </c>
      <c r="M190">
        <v>0.99997250000000004</v>
      </c>
      <c r="N190">
        <v>-4.2896260000000004E-3</v>
      </c>
      <c r="O190">
        <v>6.0489380000000002E-3</v>
      </c>
      <c r="P190">
        <v>0.980796</v>
      </c>
      <c r="Q190">
        <v>0.17135520000000001</v>
      </c>
      <c r="R190">
        <v>9.314733E-2</v>
      </c>
      <c r="S190">
        <v>3.0809329999999999</v>
      </c>
      <c r="T190">
        <v>-1.7312049999999999E-2</v>
      </c>
      <c r="U190">
        <v>-0.20642089999999999</v>
      </c>
      <c r="V190">
        <v>-8.7227750000000007E-2</v>
      </c>
      <c r="W190">
        <v>0.17555609999999999</v>
      </c>
      <c r="X190">
        <v>0.98059739999999995</v>
      </c>
      <c r="Y190">
        <v>7.2881840000000003E-2</v>
      </c>
      <c r="Z190">
        <v>-3.6906519999999998E-4</v>
      </c>
      <c r="AA190">
        <v>0.99734049999999996</v>
      </c>
      <c r="AB190">
        <v>20</v>
      </c>
      <c r="AC190">
        <v>135.0136</v>
      </c>
      <c r="AD190">
        <v>-0.75980800000000004</v>
      </c>
      <c r="AE190">
        <v>-9.0597999999999903</v>
      </c>
      <c r="AF190">
        <v>9.8760192862830607</v>
      </c>
      <c r="AG190">
        <v>-0.75980800000000004</v>
      </c>
      <c r="AH190">
        <v>134.952072389666</v>
      </c>
      <c r="AI190">
        <v>90.321723311369098</v>
      </c>
      <c r="AJ190">
        <v>85.814459963309901</v>
      </c>
      <c r="AK190">
        <v>135.31509489855699</v>
      </c>
      <c r="AL190">
        <v>79.888978108233204</v>
      </c>
      <c r="AM190">
        <v>95.0832911495758</v>
      </c>
      <c r="AN190">
        <v>0.99999994275201398</v>
      </c>
    </row>
    <row r="191" spans="1:40" x14ac:dyDescent="0.25">
      <c r="A191" t="str">
        <f>"20190304155019958"</f>
        <v>20190304155019958</v>
      </c>
      <c r="B191" t="str">
        <f>"1551685819956870"</f>
        <v>1551685819956870</v>
      </c>
      <c r="C191" t="s">
        <v>40</v>
      </c>
      <c r="D191">
        <v>5.0249069999999998</v>
      </c>
      <c r="E191">
        <v>0.56205680000000002</v>
      </c>
      <c r="F191" t="s">
        <v>52</v>
      </c>
      <c r="G191">
        <v>-15.07681</v>
      </c>
      <c r="H191">
        <v>-0.1</v>
      </c>
      <c r="I191">
        <v>335.92309999999998</v>
      </c>
      <c r="J191">
        <v>-460.75310000000002</v>
      </c>
      <c r="K191">
        <v>1.1094869999999999</v>
      </c>
      <c r="L191">
        <v>367.26560000000001</v>
      </c>
      <c r="M191">
        <v>0.99997179999999997</v>
      </c>
      <c r="N191">
        <v>-4.310113E-3</v>
      </c>
      <c r="O191">
        <v>6.1343109999999999E-3</v>
      </c>
      <c r="P191">
        <v>0.98078739999999998</v>
      </c>
      <c r="Q191">
        <v>0.17111479999999901</v>
      </c>
      <c r="R191">
        <v>9.3679490000000004E-2</v>
      </c>
      <c r="S191">
        <v>3.0807190000000002</v>
      </c>
      <c r="T191">
        <v>-8.3569290000000008E-3</v>
      </c>
      <c r="U191">
        <v>-0.21655269999999999</v>
      </c>
      <c r="V191">
        <v>-8.7676379999999998E-2</v>
      </c>
      <c r="W191">
        <v>0.17533550000000001</v>
      </c>
      <c r="X191">
        <v>0.98059700000000005</v>
      </c>
      <c r="Y191">
        <v>7.6237109999999997E-2</v>
      </c>
      <c r="Z191">
        <v>-2.5798889999999999E-4</v>
      </c>
      <c r="AA191">
        <v>0.99708969999999997</v>
      </c>
      <c r="AB191">
        <v>20</v>
      </c>
      <c r="AC191">
        <v>445.67628999999999</v>
      </c>
      <c r="AD191">
        <v>-1.209487</v>
      </c>
      <c r="AE191">
        <v>-31.342500000000001</v>
      </c>
      <c r="AF191">
        <v>34.075603177099602</v>
      </c>
      <c r="AG191">
        <v>-1.209487</v>
      </c>
      <c r="AH191">
        <v>445.47237328153801</v>
      </c>
      <c r="AI191">
        <v>90.155108332718896</v>
      </c>
      <c r="AJ191">
        <v>85.625781231515106</v>
      </c>
      <c r="AK191">
        <v>446.77538534231297</v>
      </c>
      <c r="AL191">
        <v>79.901818104674803</v>
      </c>
      <c r="AM191">
        <v>95.109299590428705</v>
      </c>
      <c r="AN191">
        <v>1.0000000807895699</v>
      </c>
    </row>
    <row r="192" spans="1:40" x14ac:dyDescent="0.25">
      <c r="A192" t="str">
        <f>"20190304155019984"</f>
        <v>20190304155019984</v>
      </c>
      <c r="B192" t="str">
        <f>"1551685819976390"</f>
        <v>1551685819976390</v>
      </c>
      <c r="C192" t="s">
        <v>40</v>
      </c>
      <c r="D192">
        <v>5.0147459999999997</v>
      </c>
      <c r="E192">
        <v>0.55971800000000005</v>
      </c>
      <c r="F192" t="s">
        <v>44</v>
      </c>
      <c r="G192">
        <v>-326.18560000000002</v>
      </c>
      <c r="H192">
        <v>8.2945389999999994E-2</v>
      </c>
      <c r="I192">
        <v>357.7688</v>
      </c>
      <c r="J192">
        <v>-460.52710000000002</v>
      </c>
      <c r="K192">
        <v>1.109488</v>
      </c>
      <c r="L192">
        <v>367.26710000000003</v>
      </c>
      <c r="M192">
        <v>0.99997119999999995</v>
      </c>
      <c r="N192">
        <v>-4.3343369999999997E-3</v>
      </c>
      <c r="O192">
        <v>6.2349349999999996E-3</v>
      </c>
      <c r="P192">
        <v>0.98072610000000005</v>
      </c>
      <c r="Q192">
        <v>0.171095</v>
      </c>
      <c r="R192">
        <v>9.4353430000000002E-2</v>
      </c>
      <c r="S192">
        <v>3.0836489999999999</v>
      </c>
      <c r="T192">
        <v>-2.3521540000000001E-2</v>
      </c>
      <c r="U192">
        <v>-0.2176208</v>
      </c>
      <c r="V192">
        <v>-8.8252360000000002E-2</v>
      </c>
      <c r="W192">
        <v>0.1753392</v>
      </c>
      <c r="X192">
        <v>0.98054459999999999</v>
      </c>
      <c r="Y192">
        <v>7.6612079999999999E-2</v>
      </c>
      <c r="Z192">
        <v>-4.7857910000000001E-4</v>
      </c>
      <c r="AA192">
        <v>0.99706079999999997</v>
      </c>
      <c r="AB192">
        <v>20</v>
      </c>
      <c r="AC192">
        <v>134.3415</v>
      </c>
      <c r="AD192">
        <v>-1.0265426099999999</v>
      </c>
      <c r="AE192">
        <v>-9.4983000000000199</v>
      </c>
      <c r="AF192">
        <v>10.3351332767568</v>
      </c>
      <c r="AG192">
        <v>-1.0265426099999999</v>
      </c>
      <c r="AH192">
        <v>134.27186581517799</v>
      </c>
      <c r="AI192">
        <v>90.4367404874192</v>
      </c>
      <c r="AJ192">
        <v>85.598525356756497</v>
      </c>
      <c r="AK192">
        <v>134.67294724282101</v>
      </c>
      <c r="AL192">
        <v>79.901602086285806</v>
      </c>
      <c r="AM192">
        <v>95.1429585023849</v>
      </c>
      <c r="AN192">
        <v>1.0000000133456799</v>
      </c>
    </row>
    <row r="193" spans="1:40" x14ac:dyDescent="0.25">
      <c r="A193" t="str">
        <f>"20190304155020007"</f>
        <v>20190304155020007</v>
      </c>
      <c r="B193" t="str">
        <f>"1551685819996885"</f>
        <v>1551685819996885</v>
      </c>
      <c r="C193" t="s">
        <v>40</v>
      </c>
      <c r="D193">
        <v>4.9492589999999996</v>
      </c>
      <c r="E193">
        <v>0.53496330000000003</v>
      </c>
      <c r="F193" t="s">
        <v>41</v>
      </c>
      <c r="G193">
        <v>-368.32440000000003</v>
      </c>
      <c r="H193" s="1">
        <v>-2.7491719999999999E-6</v>
      </c>
      <c r="I193">
        <v>361.37459999999999</v>
      </c>
      <c r="J193">
        <v>-460.31279999999998</v>
      </c>
      <c r="K193">
        <v>1.1094839999999999</v>
      </c>
      <c r="L193">
        <v>367.26850000000002</v>
      </c>
      <c r="M193">
        <v>0.99997060000000004</v>
      </c>
      <c r="N193">
        <v>-4.3573190000000001E-3</v>
      </c>
      <c r="O193">
        <v>6.3301980000000004E-3</v>
      </c>
      <c r="P193">
        <v>0.98068049999999996</v>
      </c>
      <c r="Q193">
        <v>0.171050799999999</v>
      </c>
      <c r="R193">
        <v>9.4908400000000004E-2</v>
      </c>
      <c r="S193">
        <v>3.084381</v>
      </c>
      <c r="T193">
        <v>-3.711486E-2</v>
      </c>
      <c r="U193">
        <v>-0.19711300000000001</v>
      </c>
      <c r="V193">
        <v>-8.8714199999999993E-2</v>
      </c>
      <c r="W193">
        <v>0.1753171</v>
      </c>
      <c r="X193">
        <v>0.98050680000000001</v>
      </c>
      <c r="Y193">
        <v>7.0085750000000002E-2</v>
      </c>
      <c r="Z193">
        <v>-6.2263119999999997E-4</v>
      </c>
      <c r="AA193">
        <v>0.99754080000000001</v>
      </c>
      <c r="AB193">
        <v>20</v>
      </c>
      <c r="AC193">
        <v>91.988399999999899</v>
      </c>
      <c r="AD193">
        <v>-1.109486749172</v>
      </c>
      <c r="AE193">
        <v>-5.8939000000000297</v>
      </c>
      <c r="AF193">
        <v>6.4751540469186901</v>
      </c>
      <c r="AG193">
        <v>-1.109486749172</v>
      </c>
      <c r="AH193">
        <v>91.935927607520199</v>
      </c>
      <c r="AI193">
        <v>90.689706002184806</v>
      </c>
      <c r="AJ193">
        <v>85.971244596141901</v>
      </c>
      <c r="AK193">
        <v>92.170349710918998</v>
      </c>
      <c r="AL193">
        <v>79.902887495563604</v>
      </c>
      <c r="AM193">
        <v>95.169925261017397</v>
      </c>
      <c r="AN193">
        <v>0.99999993984014302</v>
      </c>
    </row>
    <row r="194" spans="1:40" x14ac:dyDescent="0.25">
      <c r="A194" t="str">
        <f>"20190304155020030"</f>
        <v>20190304155020030</v>
      </c>
      <c r="B194" t="str">
        <f>"1551685820027142"</f>
        <v>1551685820027142</v>
      </c>
      <c r="C194" t="s">
        <v>40</v>
      </c>
      <c r="D194">
        <v>4.9852689999999997</v>
      </c>
      <c r="E194">
        <v>0.53690979999999999</v>
      </c>
      <c r="F194" t="s">
        <v>42</v>
      </c>
      <c r="G194">
        <v>-304.81470000000002</v>
      </c>
      <c r="H194">
        <v>-0.05</v>
      </c>
      <c r="I194">
        <v>367.31810000000002</v>
      </c>
      <c r="J194">
        <v>-460.10199999999998</v>
      </c>
      <c r="K194">
        <v>1.1094889999999999</v>
      </c>
      <c r="L194">
        <v>367.27</v>
      </c>
      <c r="M194">
        <v>0.99996980000000002</v>
      </c>
      <c r="N194">
        <v>-4.379979E-3</v>
      </c>
      <c r="O194">
        <v>6.4245639999999998E-3</v>
      </c>
      <c r="P194">
        <v>0.98066790000000004</v>
      </c>
      <c r="Q194">
        <v>0.1710564</v>
      </c>
      <c r="R194">
        <v>9.5028089999999996E-2</v>
      </c>
      <c r="S194">
        <v>3.0629879999999998</v>
      </c>
      <c r="T194">
        <v>-2.2839430000000001E-2</v>
      </c>
      <c r="U194">
        <v>9.765625E-4</v>
      </c>
      <c r="V194">
        <v>-8.8741329999999993E-2</v>
      </c>
      <c r="W194">
        <v>0.1753448</v>
      </c>
      <c r="X194">
        <v>0.98049940000000002</v>
      </c>
      <c r="Y194">
        <v>6.1055049999999998E-3</v>
      </c>
      <c r="Z194" s="1">
        <v>-5.5898930000000003E-5</v>
      </c>
      <c r="AA194">
        <v>0.99998129999999996</v>
      </c>
      <c r="AB194">
        <v>21</v>
      </c>
      <c r="AC194">
        <v>155.28729999999899</v>
      </c>
      <c r="AD194">
        <v>-1.159489</v>
      </c>
      <c r="AE194">
        <v>4.8100000000033498E-2</v>
      </c>
      <c r="AF194">
        <v>0.94951079242522995</v>
      </c>
      <c r="AG194">
        <v>-1.159489</v>
      </c>
      <c r="AH194">
        <v>155.275747235419</v>
      </c>
      <c r="AI194">
        <v>90.427828238092204</v>
      </c>
      <c r="AJ194">
        <v>89.649640823555799</v>
      </c>
      <c r="AK194">
        <v>155.282979315197</v>
      </c>
      <c r="AL194">
        <v>79.9012755137163</v>
      </c>
      <c r="AM194">
        <v>95.1715365408796</v>
      </c>
      <c r="AN194">
        <v>0.999999947968783</v>
      </c>
    </row>
    <row r="195" spans="1:40" x14ac:dyDescent="0.25">
      <c r="A195" t="str">
        <f>"20190304155020051"</f>
        <v>20190304155020051</v>
      </c>
      <c r="B195" t="str">
        <f>"1551685820046661"</f>
        <v>1551685820046661</v>
      </c>
      <c r="C195" t="s">
        <v>40</v>
      </c>
      <c r="D195">
        <v>4.7950739999999996</v>
      </c>
      <c r="E195">
        <v>0.53737619999999997</v>
      </c>
      <c r="F195" t="s">
        <v>42</v>
      </c>
      <c r="G195">
        <v>-280.33440000000002</v>
      </c>
      <c r="H195">
        <v>-0.05</v>
      </c>
      <c r="I195">
        <v>366.44810000000001</v>
      </c>
      <c r="J195">
        <v>-459.89769999999999</v>
      </c>
      <c r="K195">
        <v>1.1094900000000001</v>
      </c>
      <c r="L195">
        <v>367.27140000000003</v>
      </c>
      <c r="M195">
        <v>0.9999692</v>
      </c>
      <c r="N195">
        <v>-4.4020029999999998E-3</v>
      </c>
      <c r="O195">
        <v>6.5151200000000001E-3</v>
      </c>
      <c r="P195">
        <v>0.9806821</v>
      </c>
      <c r="Q195">
        <v>0.17114199999999999</v>
      </c>
      <c r="R195">
        <v>9.4727049999999993E-2</v>
      </c>
      <c r="S195">
        <v>3.0639340000000002</v>
      </c>
      <c r="T195">
        <v>-1.9762160000000001E-2</v>
      </c>
      <c r="U195">
        <v>-1.400757E-2</v>
      </c>
      <c r="V195">
        <v>-8.8352009999999995E-2</v>
      </c>
      <c r="W195">
        <v>0.17545179999999999</v>
      </c>
      <c r="X195">
        <v>0.98051549999999998</v>
      </c>
      <c r="Y195">
        <v>1.108633E-2</v>
      </c>
      <c r="Z195" s="1">
        <v>-7.3495980000000001E-5</v>
      </c>
      <c r="AA195">
        <v>0.99993849999999995</v>
      </c>
      <c r="AB195">
        <v>21</v>
      </c>
      <c r="AC195">
        <v>179.563299999999</v>
      </c>
      <c r="AD195">
        <v>-1.1594899999999999</v>
      </c>
      <c r="AE195">
        <v>-0.82330000000001702</v>
      </c>
      <c r="AF195">
        <v>1.99308707354098</v>
      </c>
      <c r="AG195">
        <v>-1.1594899999999999</v>
      </c>
      <c r="AH195">
        <v>179.54663869796099</v>
      </c>
      <c r="AI195">
        <v>90.3699811245055</v>
      </c>
      <c r="AJ195">
        <v>89.364004872936206</v>
      </c>
      <c r="AK195">
        <v>179.561444304948</v>
      </c>
      <c r="AL195">
        <v>79.895049153416196</v>
      </c>
      <c r="AM195">
        <v>95.148886454338793</v>
      </c>
      <c r="AN195">
        <v>1.0000000287672599</v>
      </c>
    </row>
    <row r="196" spans="1:40" x14ac:dyDescent="0.25">
      <c r="A196" t="str">
        <f>"20190304155020073"</f>
        <v>20190304155020073</v>
      </c>
      <c r="B196" t="str">
        <f>"1551685820067158"</f>
        <v>1551685820067158</v>
      </c>
      <c r="C196" t="s">
        <v>40</v>
      </c>
      <c r="D196">
        <v>5.00021</v>
      </c>
      <c r="E196">
        <v>0.53728599999999904</v>
      </c>
      <c r="F196" t="s">
        <v>43</v>
      </c>
      <c r="G196">
        <v>-158.19499999999999</v>
      </c>
      <c r="H196">
        <v>0.4540691</v>
      </c>
      <c r="I196">
        <v>365.47930000000002</v>
      </c>
      <c r="J196">
        <v>-459.6968</v>
      </c>
      <c r="K196">
        <v>1.109494</v>
      </c>
      <c r="L196">
        <v>367.27280000000002</v>
      </c>
      <c r="M196">
        <v>0.99996850000000004</v>
      </c>
      <c r="N196">
        <v>-4.423756E-3</v>
      </c>
      <c r="O196">
        <v>6.6047800000000002E-3</v>
      </c>
      <c r="P196">
        <v>0.98060250000000004</v>
      </c>
      <c r="Q196">
        <v>0.17171059999999999</v>
      </c>
      <c r="R196">
        <v>9.4521569999999999E-2</v>
      </c>
      <c r="S196">
        <v>3.0620120000000002</v>
      </c>
      <c r="T196">
        <v>-6.6510440000000001E-3</v>
      </c>
      <c r="U196">
        <v>-1.818848E-2</v>
      </c>
      <c r="V196">
        <v>-8.8059280000000004E-2</v>
      </c>
      <c r="W196">
        <v>0.176041</v>
      </c>
      <c r="X196">
        <v>0.98043619999999998</v>
      </c>
      <c r="Y196">
        <v>1.2544430000000001E-2</v>
      </c>
      <c r="Z196" s="1">
        <v>-2.6499389999999998E-5</v>
      </c>
      <c r="AA196">
        <v>0.99992130000000001</v>
      </c>
      <c r="AB196">
        <v>21</v>
      </c>
      <c r="AC196">
        <v>301.5018</v>
      </c>
      <c r="AD196">
        <v>-0.65542489999999998</v>
      </c>
      <c r="AE196">
        <v>-1.7934999999999901</v>
      </c>
      <c r="AF196">
        <v>3.78481534552055</v>
      </c>
      <c r="AG196">
        <v>-0.65542489999999998</v>
      </c>
      <c r="AH196">
        <v>301.48195312618799</v>
      </c>
      <c r="AI196">
        <v>90.124551609524502</v>
      </c>
      <c r="AJ196">
        <v>89.280744495561706</v>
      </c>
      <c r="AK196">
        <v>301.50642193787502</v>
      </c>
      <c r="AL196">
        <v>79.860756505888403</v>
      </c>
      <c r="AM196">
        <v>95.132331149334803</v>
      </c>
      <c r="AN196">
        <v>1.0000000063727701</v>
      </c>
    </row>
    <row r="197" spans="1:40" x14ac:dyDescent="0.25">
      <c r="A197" t="str">
        <f>"20190304155020085"</f>
        <v>20190304155020085</v>
      </c>
      <c r="B197" t="str">
        <f>"1551685820076918"</f>
        <v>1551685820076918</v>
      </c>
      <c r="C197" t="s">
        <v>40</v>
      </c>
      <c r="D197">
        <v>4.9816820000000002</v>
      </c>
      <c r="E197">
        <v>0.53728310000000001</v>
      </c>
      <c r="F197" t="s">
        <v>43</v>
      </c>
      <c r="G197">
        <v>-158.19499999999999</v>
      </c>
      <c r="H197">
        <v>1.2453989999999999</v>
      </c>
      <c r="I197">
        <v>365.53530000000001</v>
      </c>
      <c r="J197">
        <v>-459.5668</v>
      </c>
      <c r="K197">
        <v>1.1094930000000001</v>
      </c>
      <c r="L197">
        <v>367.27370000000002</v>
      </c>
      <c r="M197">
        <v>0.99996799999999997</v>
      </c>
      <c r="N197">
        <v>-4.4378760000000003E-3</v>
      </c>
      <c r="O197">
        <v>6.6627459999999998E-3</v>
      </c>
      <c r="P197">
        <v>0.98057280000000002</v>
      </c>
      <c r="Q197">
        <v>0.17195250000000001</v>
      </c>
      <c r="R197">
        <v>9.4389399999999901E-2</v>
      </c>
      <c r="S197">
        <v>3.060791</v>
      </c>
      <c r="T197">
        <v>1.38056299999999E-3</v>
      </c>
      <c r="U197">
        <v>-1.7639160000000001E-2</v>
      </c>
      <c r="V197">
        <v>-8.7870980000000001E-2</v>
      </c>
      <c r="W197">
        <v>0.17629729999999999</v>
      </c>
      <c r="X197">
        <v>0.98040709999999998</v>
      </c>
      <c r="Y197">
        <v>1.242535E-2</v>
      </c>
      <c r="Z197" s="1">
        <v>7.8042900000000001E-6</v>
      </c>
      <c r="AA197">
        <v>0.9999228</v>
      </c>
      <c r="AB197">
        <v>21</v>
      </c>
      <c r="AC197">
        <v>301.37180000000001</v>
      </c>
      <c r="AD197">
        <v>0.135905999999999</v>
      </c>
      <c r="AE197">
        <v>-1.7384000000000099</v>
      </c>
      <c r="AF197">
        <v>3.7463440914018999</v>
      </c>
      <c r="AG197">
        <v>0.135905999999999</v>
      </c>
      <c r="AH197">
        <v>301.35346660504501</v>
      </c>
      <c r="AI197">
        <v>89.974162440802502</v>
      </c>
      <c r="AJ197">
        <v>89.287751189320701</v>
      </c>
      <c r="AK197">
        <v>301.37678311271799</v>
      </c>
      <c r="AL197">
        <v>79.845838870855303</v>
      </c>
      <c r="AM197">
        <v>95.121566148332604</v>
      </c>
      <c r="AN197">
        <v>1.00000006442192</v>
      </c>
    </row>
    <row r="198" spans="1:40" x14ac:dyDescent="0.25">
      <c r="A198" t="str">
        <f>"20190304155020098"</f>
        <v>20190304155020098</v>
      </c>
      <c r="B198" t="str">
        <f>"1551685820086678"</f>
        <v>1551685820086678</v>
      </c>
      <c r="C198" t="s">
        <v>40</v>
      </c>
      <c r="D198">
        <v>5.068352</v>
      </c>
      <c r="E198">
        <v>0.53790119999999997</v>
      </c>
      <c r="F198" t="s">
        <v>43</v>
      </c>
      <c r="G198">
        <v>-158.19499999999999</v>
      </c>
      <c r="H198">
        <v>1.1861170000000001</v>
      </c>
      <c r="I198">
        <v>365.47399999999999</v>
      </c>
      <c r="J198">
        <v>-459.45249999999999</v>
      </c>
      <c r="K198">
        <v>1.109494</v>
      </c>
      <c r="L198">
        <v>367.27449999999999</v>
      </c>
      <c r="M198">
        <v>0.99996779999999996</v>
      </c>
      <c r="N198">
        <v>-4.451811E-3</v>
      </c>
      <c r="O198">
        <v>6.713798E-3</v>
      </c>
      <c r="P198">
        <v>0.98051410000000006</v>
      </c>
      <c r="Q198">
        <v>0.1722503</v>
      </c>
      <c r="R198">
        <v>9.4457509999999995E-2</v>
      </c>
      <c r="S198">
        <v>3.061035</v>
      </c>
      <c r="T198">
        <v>7.7915190000000004E-4</v>
      </c>
      <c r="U198">
        <v>-1.8280029999999999E-2</v>
      </c>
      <c r="V198">
        <v>-8.7889380000000003E-2</v>
      </c>
      <c r="W198">
        <v>0.17660799999999999</v>
      </c>
      <c r="X198">
        <v>0.98034949999999998</v>
      </c>
      <c r="Y198">
        <v>1.268528E-2</v>
      </c>
      <c r="Z198" s="1">
        <v>4.9751629999999999E-6</v>
      </c>
      <c r="AA198">
        <v>0.99991949999999996</v>
      </c>
      <c r="AB198">
        <v>21</v>
      </c>
      <c r="AC198">
        <v>301.25749999999999</v>
      </c>
      <c r="AD198">
        <v>7.6623000000000094E-2</v>
      </c>
      <c r="AE198">
        <v>-1.80049999999999</v>
      </c>
      <c r="AF198">
        <v>3.8230607159402301</v>
      </c>
      <c r="AG198">
        <v>7.6623000000000094E-2</v>
      </c>
      <c r="AH198">
        <v>301.23860239201599</v>
      </c>
      <c r="AI198">
        <v>89.9854274290375</v>
      </c>
      <c r="AJ198">
        <v>89.272890383006597</v>
      </c>
      <c r="AK198">
        <v>301.26287065520802</v>
      </c>
      <c r="AL198">
        <v>79.827752997144898</v>
      </c>
      <c r="AM198">
        <v>95.122932264728803</v>
      </c>
      <c r="AN198">
        <v>1.0000000354655101</v>
      </c>
    </row>
    <row r="199" spans="1:40" x14ac:dyDescent="0.25">
      <c r="A199" t="str">
        <f>"20190304155020117"</f>
        <v>20190304155020117</v>
      </c>
      <c r="B199" t="str">
        <f>"1551685820107174"</f>
        <v>1551685820107174</v>
      </c>
      <c r="C199" t="s">
        <v>40</v>
      </c>
      <c r="D199">
        <v>5.0055420000000002</v>
      </c>
      <c r="E199">
        <v>0.53838359999999996</v>
      </c>
      <c r="F199" t="s">
        <v>43</v>
      </c>
      <c r="G199">
        <v>-158.19499999999999</v>
      </c>
      <c r="H199">
        <v>0.95778750000000001</v>
      </c>
      <c r="I199">
        <v>365.00479999999999</v>
      </c>
      <c r="J199">
        <v>-459.26949999999999</v>
      </c>
      <c r="K199">
        <v>1.1094980000000001</v>
      </c>
      <c r="L199">
        <v>367.2758</v>
      </c>
      <c r="M199">
        <v>0.99996700000000005</v>
      </c>
      <c r="N199">
        <v>-4.479111E-3</v>
      </c>
      <c r="O199">
        <v>6.7956960000000004E-3</v>
      </c>
      <c r="P199">
        <v>0.98044260000000005</v>
      </c>
      <c r="Q199">
        <v>0.17275450000000001</v>
      </c>
      <c r="R199">
        <v>9.4278260000000003E-2</v>
      </c>
      <c r="S199">
        <v>3.0621339999999999</v>
      </c>
      <c r="T199">
        <v>-1.5411379999999901E-3</v>
      </c>
      <c r="U199">
        <v>-2.3071290000000001E-2</v>
      </c>
      <c r="V199">
        <v>-8.7630330000000006E-2</v>
      </c>
      <c r="W199">
        <v>0.177138299999999</v>
      </c>
      <c r="X199">
        <v>0.98027699999999995</v>
      </c>
      <c r="Y199">
        <v>1.432949E-2</v>
      </c>
      <c r="Z199" s="1">
        <v>-8.6799809999999996E-6</v>
      </c>
      <c r="AA199">
        <v>0.99989729999999999</v>
      </c>
      <c r="AB199">
        <v>21</v>
      </c>
      <c r="AC199">
        <v>301.0745</v>
      </c>
      <c r="AD199">
        <v>-0.151710499999999</v>
      </c>
      <c r="AE199">
        <v>-2.2710000000000101</v>
      </c>
      <c r="AF199">
        <v>4.3169775121975897</v>
      </c>
      <c r="AG199">
        <v>-0.151710499999999</v>
      </c>
      <c r="AH199">
        <v>301.05203813340103</v>
      </c>
      <c r="AI199">
        <v>90.028870347892095</v>
      </c>
      <c r="AJ199">
        <v>89.178455519198494</v>
      </c>
      <c r="AK199">
        <v>301.083026713881</v>
      </c>
      <c r="AL199">
        <v>79.796882214228901</v>
      </c>
      <c r="AM199">
        <v>95.108288422641806</v>
      </c>
      <c r="AN199">
        <v>1.00000002439589</v>
      </c>
    </row>
    <row r="200" spans="1:40" x14ac:dyDescent="0.25">
      <c r="A200" t="str">
        <f>"20190304155020131"</f>
        <v>20190304155020131</v>
      </c>
      <c r="B200" t="str">
        <f>"1551685820126693"</f>
        <v>1551685820126693</v>
      </c>
      <c r="C200" t="s">
        <v>40</v>
      </c>
      <c r="D200">
        <v>4.9846899999999996</v>
      </c>
      <c r="E200">
        <v>0.53838090000000005</v>
      </c>
      <c r="F200" t="s">
        <v>43</v>
      </c>
      <c r="G200">
        <v>-158.19499999999999</v>
      </c>
      <c r="H200">
        <v>0.74250319999999903</v>
      </c>
      <c r="I200">
        <v>364.57920000000001</v>
      </c>
      <c r="J200">
        <v>-459.14</v>
      </c>
      <c r="K200">
        <v>1.109502</v>
      </c>
      <c r="L200">
        <v>367.27679999999998</v>
      </c>
      <c r="M200">
        <v>0.99996640000000003</v>
      </c>
      <c r="N200">
        <v>-4.5038150000000004E-3</v>
      </c>
      <c r="O200">
        <v>6.8532810000000001E-3</v>
      </c>
      <c r="P200">
        <v>0.98038829999999999</v>
      </c>
      <c r="Q200">
        <v>0.1731192</v>
      </c>
      <c r="R200">
        <v>9.4174809999999998E-2</v>
      </c>
      <c r="S200">
        <v>3.0631409999999999</v>
      </c>
      <c r="T200">
        <v>-3.7329199999999998E-3</v>
      </c>
      <c r="U200">
        <v>-2.7435299999999999E-2</v>
      </c>
      <c r="V200">
        <v>-8.7470779999999998E-2</v>
      </c>
      <c r="W200">
        <v>0.1775274</v>
      </c>
      <c r="X200">
        <v>0.98022089999999995</v>
      </c>
      <c r="Y200">
        <v>1.5809009999999998E-2</v>
      </c>
      <c r="Z200" s="1">
        <v>-2.2720289999999999E-5</v>
      </c>
      <c r="AA200">
        <v>0.99987499999999996</v>
      </c>
      <c r="AB200">
        <v>21</v>
      </c>
      <c r="AC200">
        <v>300.94499999999999</v>
      </c>
      <c r="AD200">
        <v>-0.36699880000000001</v>
      </c>
      <c r="AE200">
        <v>-2.69759999999996</v>
      </c>
      <c r="AF200">
        <v>4.7600110840836001</v>
      </c>
      <c r="AG200">
        <v>-0.36699880000000001</v>
      </c>
      <c r="AH200">
        <v>300.91899738900099</v>
      </c>
      <c r="AI200">
        <v>90.069868774868397</v>
      </c>
      <c r="AJ200">
        <v>89.093756777627704</v>
      </c>
      <c r="AK200">
        <v>300.95686631682202</v>
      </c>
      <c r="AL200">
        <v>79.774229809710206</v>
      </c>
      <c r="AM200">
        <v>95.099327041608603</v>
      </c>
      <c r="AN200">
        <v>1.0000000639506801</v>
      </c>
    </row>
    <row r="201" spans="1:40" x14ac:dyDescent="0.25">
      <c r="A201" t="str">
        <f>"20190304155020151"</f>
        <v>20190304155020151</v>
      </c>
      <c r="B201" t="str">
        <f>"1551685820147190"</f>
        <v>1551685820147190</v>
      </c>
      <c r="C201" t="s">
        <v>40</v>
      </c>
      <c r="D201">
        <v>4.9751050000000001</v>
      </c>
      <c r="E201">
        <v>0.53844519999999996</v>
      </c>
      <c r="F201" t="s">
        <v>43</v>
      </c>
      <c r="G201">
        <v>-158.19499999999999</v>
      </c>
      <c r="H201">
        <v>0.94130060000000004</v>
      </c>
      <c r="I201">
        <v>364.62009999999998</v>
      </c>
      <c r="J201">
        <v>-458.9554</v>
      </c>
      <c r="K201">
        <v>1.1095200000000001</v>
      </c>
      <c r="L201">
        <v>367.27809999999999</v>
      </c>
      <c r="M201">
        <v>0.99996549999999995</v>
      </c>
      <c r="N201">
        <v>-4.5497799999999998E-3</v>
      </c>
      <c r="O201">
        <v>6.9353180000000002E-3</v>
      </c>
      <c r="P201">
        <v>0.9804254</v>
      </c>
      <c r="Q201">
        <v>0.172987</v>
      </c>
      <c r="R201">
        <v>9.4029630000000003E-2</v>
      </c>
      <c r="S201">
        <v>3.0629270000000002</v>
      </c>
      <c r="T201">
        <v>-1.7110109999999999E-3</v>
      </c>
      <c r="U201">
        <v>-2.7038570000000001E-2</v>
      </c>
      <c r="V201">
        <v>-8.7245009999999998E-2</v>
      </c>
      <c r="W201">
        <v>0.1774405</v>
      </c>
      <c r="X201">
        <v>0.98025669999999998</v>
      </c>
      <c r="Y201">
        <v>1.5762180000000001E-2</v>
      </c>
      <c r="Z201" s="1">
        <v>-1.2581009999999999E-5</v>
      </c>
      <c r="AA201">
        <v>0.99987579999999998</v>
      </c>
      <c r="AB201">
        <v>21</v>
      </c>
      <c r="AC201">
        <v>300.7604</v>
      </c>
      <c r="AD201">
        <v>-0.16821939999999999</v>
      </c>
      <c r="AE201">
        <v>-2.6580000000000101</v>
      </c>
      <c r="AF201">
        <v>4.7438254045665103</v>
      </c>
      <c r="AG201">
        <v>-0.16821939999999999</v>
      </c>
      <c r="AH201">
        <v>300.73463833949103</v>
      </c>
      <c r="AI201">
        <v>90.032045067418295</v>
      </c>
      <c r="AJ201">
        <v>89.096284233054106</v>
      </c>
      <c r="AK201">
        <v>300.77209789875798</v>
      </c>
      <c r="AL201">
        <v>79.779288582332498</v>
      </c>
      <c r="AM201">
        <v>95.086049563186705</v>
      </c>
      <c r="AN201">
        <v>1.00000001035252</v>
      </c>
    </row>
    <row r="202" spans="1:40" x14ac:dyDescent="0.25">
      <c r="A202" t="str">
        <f>"20190304155020163"</f>
        <v>20190304155020163</v>
      </c>
      <c r="B202" t="str">
        <f>"1551685820156950"</f>
        <v>1551685820156950</v>
      </c>
      <c r="C202" t="s">
        <v>40</v>
      </c>
      <c r="D202">
        <v>4.9647030000000001</v>
      </c>
      <c r="E202">
        <v>0.53843569999999996</v>
      </c>
      <c r="F202" t="s">
        <v>43</v>
      </c>
      <c r="G202">
        <v>-158.19499999999999</v>
      </c>
      <c r="H202">
        <v>0.69954709999999998</v>
      </c>
      <c r="I202">
        <v>364.52460000000002</v>
      </c>
      <c r="J202">
        <v>-458.82339999999999</v>
      </c>
      <c r="K202">
        <v>1.1095269999999999</v>
      </c>
      <c r="L202">
        <v>367.27910000000003</v>
      </c>
      <c r="M202">
        <v>0.99996510000000005</v>
      </c>
      <c r="N202">
        <v>-4.5901099999999997E-3</v>
      </c>
      <c r="O202">
        <v>6.9940590000000004E-3</v>
      </c>
      <c r="P202">
        <v>0.98047019999999996</v>
      </c>
      <c r="Q202">
        <v>0.1728431</v>
      </c>
      <c r="R202">
        <v>9.3826350000000003E-2</v>
      </c>
      <c r="S202">
        <v>3.0633539999999999</v>
      </c>
      <c r="T202">
        <v>-4.1748289999999997E-3</v>
      </c>
      <c r="U202">
        <v>-2.8045649999999998E-2</v>
      </c>
      <c r="V202">
        <v>-8.6984450000000005E-2</v>
      </c>
      <c r="W202">
        <v>0.17733589999999999</v>
      </c>
      <c r="X202">
        <v>0.98029880000000003</v>
      </c>
      <c r="Y202">
        <v>1.6148349999999999E-2</v>
      </c>
      <c r="Z202" s="1">
        <v>-2.549439E-5</v>
      </c>
      <c r="AA202">
        <v>0.99986960000000003</v>
      </c>
      <c r="AB202">
        <v>21</v>
      </c>
      <c r="AC202">
        <v>300.6284</v>
      </c>
      <c r="AD202">
        <v>-0.40997990000000001</v>
      </c>
      <c r="AE202">
        <v>-2.7545000000000002</v>
      </c>
      <c r="AF202">
        <v>4.8570583149625302</v>
      </c>
      <c r="AG202">
        <v>-0.40997990000000001</v>
      </c>
      <c r="AH202">
        <v>300.601222511213</v>
      </c>
      <c r="AI202">
        <v>90.0781335400427</v>
      </c>
      <c r="AJ202">
        <v>89.074306066765104</v>
      </c>
      <c r="AK202">
        <v>300.64073921248399</v>
      </c>
      <c r="AL202">
        <v>79.785378465870394</v>
      </c>
      <c r="AM202">
        <v>95.070722587042297</v>
      </c>
      <c r="AN202">
        <v>1.0000000266260201</v>
      </c>
    </row>
    <row r="203" spans="1:40" x14ac:dyDescent="0.25">
      <c r="A203" t="str">
        <f>"20190304155020177"</f>
        <v>20190304155020177</v>
      </c>
      <c r="B203" t="str">
        <f>"1551685820166710"</f>
        <v>1551685820166710</v>
      </c>
      <c r="C203" t="s">
        <v>40</v>
      </c>
      <c r="D203">
        <v>4.9734369999999997</v>
      </c>
      <c r="E203">
        <v>0.53841300000000003</v>
      </c>
      <c r="F203" t="s">
        <v>43</v>
      </c>
      <c r="G203">
        <v>-158.19499999999999</v>
      </c>
      <c r="H203">
        <v>0.54379869999999997</v>
      </c>
      <c r="I203">
        <v>364.4341</v>
      </c>
      <c r="J203">
        <v>-458.69819999999999</v>
      </c>
      <c r="K203">
        <v>1.1095349999999999</v>
      </c>
      <c r="L203">
        <v>367.28</v>
      </c>
      <c r="M203">
        <v>0.99996450000000003</v>
      </c>
      <c r="N203">
        <v>-4.6337540000000003E-3</v>
      </c>
      <c r="O203">
        <v>7.0497509999999999E-3</v>
      </c>
      <c r="P203">
        <v>0.98052689999999998</v>
      </c>
      <c r="Q203">
        <v>0.17235159999999999</v>
      </c>
      <c r="R203">
        <v>9.4140039999999994E-2</v>
      </c>
      <c r="S203">
        <v>3.0635379999999999</v>
      </c>
      <c r="T203">
        <v>-5.764127E-3</v>
      </c>
      <c r="U203">
        <v>-2.8991699999999999E-2</v>
      </c>
      <c r="V203">
        <v>-8.7243089999999995E-2</v>
      </c>
      <c r="W203">
        <v>0.17688719999999999</v>
      </c>
      <c r="X203">
        <v>0.98035689999999998</v>
      </c>
      <c r="Y203">
        <v>1.6512200000000001E-2</v>
      </c>
      <c r="Z203" s="1">
        <v>-3.4389389999999999E-5</v>
      </c>
      <c r="AA203">
        <v>0.99986370000000002</v>
      </c>
      <c r="AB203">
        <v>21</v>
      </c>
      <c r="AC203">
        <v>300.50319999999999</v>
      </c>
      <c r="AD203">
        <v>-0.56573629999999997</v>
      </c>
      <c r="AE203">
        <v>-2.8458999999999701</v>
      </c>
      <c r="AF203">
        <v>4.9643069815807603</v>
      </c>
      <c r="AG203">
        <v>-0.56573629999999997</v>
      </c>
      <c r="AH203">
        <v>300.47460442027898</v>
      </c>
      <c r="AI203">
        <v>90.107862163782499</v>
      </c>
      <c r="AJ203">
        <v>89.053470880874201</v>
      </c>
      <c r="AK203">
        <v>300.51614316520698</v>
      </c>
      <c r="AL203">
        <v>79.811500230763301</v>
      </c>
      <c r="AM203">
        <v>95.085421125562107</v>
      </c>
      <c r="AN203">
        <v>1.00000004482709</v>
      </c>
    </row>
    <row r="204" spans="1:40" x14ac:dyDescent="0.25">
      <c r="A204" t="str">
        <f>"20190304155020196"</f>
        <v>20190304155020196</v>
      </c>
      <c r="B204" t="str">
        <f>"1551685820187206"</f>
        <v>1551685820187206</v>
      </c>
      <c r="C204" t="s">
        <v>40</v>
      </c>
      <c r="D204">
        <v>5.0392849999999996</v>
      </c>
      <c r="E204">
        <v>0.53807530000000003</v>
      </c>
      <c r="F204" t="s">
        <v>43</v>
      </c>
      <c r="G204">
        <v>-158.19499999999999</v>
      </c>
      <c r="H204">
        <v>0.32274389999999997</v>
      </c>
      <c r="I204">
        <v>364.54109999999997</v>
      </c>
      <c r="J204">
        <v>-458.51119999999997</v>
      </c>
      <c r="K204">
        <v>1.109548</v>
      </c>
      <c r="L204">
        <v>367.28140000000002</v>
      </c>
      <c r="M204">
        <v>0.99996359999999995</v>
      </c>
      <c r="N204">
        <v>-4.7085909999999998E-3</v>
      </c>
      <c r="O204">
        <v>7.132551E-3</v>
      </c>
      <c r="P204">
        <v>0.98050150000000003</v>
      </c>
      <c r="Q204">
        <v>0.1723083</v>
      </c>
      <c r="R204">
        <v>9.4480640000000005E-2</v>
      </c>
      <c r="S204">
        <v>3.06366</v>
      </c>
      <c r="T204">
        <v>-8.0205199999999997E-3</v>
      </c>
      <c r="U204">
        <v>-2.792358E-2</v>
      </c>
      <c r="V204">
        <v>-8.750252E-2</v>
      </c>
      <c r="W204">
        <v>0.176917299999999</v>
      </c>
      <c r="X204">
        <v>0.98032830000000004</v>
      </c>
      <c r="Y204">
        <v>1.6246010000000002E-2</v>
      </c>
      <c r="Z204" s="1">
        <v>-4.4602820000000001E-5</v>
      </c>
      <c r="AA204">
        <v>0.99986799999999998</v>
      </c>
      <c r="AB204">
        <v>22</v>
      </c>
      <c r="AC204">
        <v>300.31619999999998</v>
      </c>
      <c r="AD204">
        <v>-0.78680409999999901</v>
      </c>
      <c r="AE204">
        <v>-2.7403000000000399</v>
      </c>
      <c r="AF204">
        <v>4.8822408800971697</v>
      </c>
      <c r="AG204">
        <v>-0.78680409999999901</v>
      </c>
      <c r="AH204">
        <v>300.286954165314</v>
      </c>
      <c r="AI204">
        <v>90.150104735934306</v>
      </c>
      <c r="AJ204">
        <v>89.068533784846494</v>
      </c>
      <c r="AK204">
        <v>300.32767135011801</v>
      </c>
      <c r="AL204">
        <v>79.809747519450994</v>
      </c>
      <c r="AM204">
        <v>95.100611732027204</v>
      </c>
      <c r="AN204">
        <v>0.99999999891326496</v>
      </c>
    </row>
    <row r="205" spans="1:40" x14ac:dyDescent="0.25">
      <c r="A205" t="str">
        <f>"20190304155020219"</f>
        <v>20190304155020219</v>
      </c>
      <c r="B205" t="str">
        <f>"1551685820216486"</f>
        <v>1551685820216486</v>
      </c>
      <c r="C205" t="s">
        <v>40</v>
      </c>
      <c r="D205">
        <v>5.0025709999999997</v>
      </c>
      <c r="E205">
        <v>0.53794249999999999</v>
      </c>
      <c r="F205" t="s">
        <v>50</v>
      </c>
      <c r="G205">
        <v>-204.64519999999999</v>
      </c>
      <c r="H205" s="1">
        <v>-3.7403250000000001E-6</v>
      </c>
      <c r="I205">
        <v>365.26889999999997</v>
      </c>
      <c r="J205">
        <v>-458.2921</v>
      </c>
      <c r="K205">
        <v>1.1095680000000001</v>
      </c>
      <c r="L205">
        <v>367.28309999999999</v>
      </c>
      <c r="M205">
        <v>0.99996229999999997</v>
      </c>
      <c r="N205">
        <v>-4.8144659999999999E-3</v>
      </c>
      <c r="O205">
        <v>7.2295819999999896E-3</v>
      </c>
      <c r="P205">
        <v>0.98044260000000005</v>
      </c>
      <c r="Q205">
        <v>0.17233479999999901</v>
      </c>
      <c r="R205">
        <v>9.5042840000000003E-2</v>
      </c>
      <c r="S205">
        <v>3.064362</v>
      </c>
      <c r="T205">
        <v>-1.3393159999999999E-2</v>
      </c>
      <c r="U205">
        <v>-2.4291989999999999E-2</v>
      </c>
      <c r="V205">
        <v>-8.7970670000000001E-2</v>
      </c>
      <c r="W205">
        <v>0.17704719999999999</v>
      </c>
      <c r="X205">
        <v>0.98026290000000005</v>
      </c>
      <c r="Y205">
        <v>1.515594E-2</v>
      </c>
      <c r="Z205" s="1">
        <v>-6.6395689999999998E-5</v>
      </c>
      <c r="AA205">
        <v>0.99988509999999997</v>
      </c>
      <c r="AB205">
        <v>22</v>
      </c>
      <c r="AC205">
        <v>253.64689999999999</v>
      </c>
      <c r="AD205">
        <v>-1.1095717403250001</v>
      </c>
      <c r="AE205">
        <v>-2.01420000000001</v>
      </c>
      <c r="AF205">
        <v>3.8478560041206098</v>
      </c>
      <c r="AG205">
        <v>-1.1095717403250001</v>
      </c>
      <c r="AH205">
        <v>253.62085611636701</v>
      </c>
      <c r="AI205">
        <v>90.250634186245193</v>
      </c>
      <c r="AJ205">
        <v>89.130793108646003</v>
      </c>
      <c r="AK205">
        <v>253.65247052310499</v>
      </c>
      <c r="AL205">
        <v>79.802184933675306</v>
      </c>
      <c r="AM205">
        <v>95.128095861472801</v>
      </c>
      <c r="AN205">
        <v>0.99999995146224796</v>
      </c>
    </row>
    <row r="206" spans="1:40" x14ac:dyDescent="0.25">
      <c r="A206" t="str">
        <f>"20190304155020241"</f>
        <v>20190304155020241</v>
      </c>
      <c r="B206" t="str">
        <f>"1551685820236981"</f>
        <v>1551685820236981</v>
      </c>
      <c r="C206" t="s">
        <v>40</v>
      </c>
      <c r="D206">
        <v>5.0163699999999896</v>
      </c>
      <c r="E206">
        <v>0.53783300000000001</v>
      </c>
      <c r="F206" t="s">
        <v>41</v>
      </c>
      <c r="G206">
        <v>-272.67559999999997</v>
      </c>
      <c r="H206" s="1">
        <v>-3.766175E-6</v>
      </c>
      <c r="I206">
        <v>365.99860000000001</v>
      </c>
      <c r="J206">
        <v>-458.0772</v>
      </c>
      <c r="K206">
        <v>1.1095809999999999</v>
      </c>
      <c r="L206">
        <v>367.28480000000002</v>
      </c>
      <c r="M206">
        <v>0.99996099999999999</v>
      </c>
      <c r="N206">
        <v>-4.9373070000000002E-3</v>
      </c>
      <c r="O206">
        <v>7.3246580000000004E-3</v>
      </c>
      <c r="P206">
        <v>0.98042870000000004</v>
      </c>
      <c r="Q206">
        <v>0.17224719999999999</v>
      </c>
      <c r="R206">
        <v>9.5344819999999997E-2</v>
      </c>
      <c r="S206">
        <v>3.0651250000000001</v>
      </c>
      <c r="T206">
        <v>-1.832259E-2</v>
      </c>
      <c r="U206">
        <v>-2.1209720000000001E-2</v>
      </c>
      <c r="V206">
        <v>-8.8180030000000006E-2</v>
      </c>
      <c r="W206">
        <v>0.1770796</v>
      </c>
      <c r="X206">
        <v>0.98023830000000001</v>
      </c>
      <c r="Y206">
        <v>1.424344E-2</v>
      </c>
      <c r="Z206" s="1">
        <v>-8.5354719999999898E-5</v>
      </c>
      <c r="AA206">
        <v>0.99989859999999997</v>
      </c>
      <c r="AB206">
        <v>22</v>
      </c>
      <c r="AC206">
        <v>185.4016</v>
      </c>
      <c r="AD206">
        <v>-1.109584766175</v>
      </c>
      <c r="AE206">
        <v>-1.2862</v>
      </c>
      <c r="AF206">
        <v>2.6440906412960601</v>
      </c>
      <c r="AG206">
        <v>-1.109584766175</v>
      </c>
      <c r="AH206">
        <v>185.38056573776501</v>
      </c>
      <c r="AI206">
        <v>90.342901637383406</v>
      </c>
      <c r="AJ206">
        <v>89.182843347488898</v>
      </c>
      <c r="AK206">
        <v>185.402741476297</v>
      </c>
      <c r="AL206">
        <v>79.800299388181799</v>
      </c>
      <c r="AM206">
        <v>95.140363140632303</v>
      </c>
      <c r="AN206">
        <v>1.00000001360692</v>
      </c>
    </row>
    <row r="207" spans="1:40" x14ac:dyDescent="0.25">
      <c r="A207" t="str">
        <f>"20190304155020263"</f>
        <v>20190304155020263</v>
      </c>
      <c r="B207" t="str">
        <f>"1551685820256503"</f>
        <v>1551685820256503</v>
      </c>
      <c r="C207" t="s">
        <v>40</v>
      </c>
      <c r="D207">
        <v>5.0217179999999999</v>
      </c>
      <c r="E207">
        <v>0.53764719999999999</v>
      </c>
      <c r="F207" t="s">
        <v>42</v>
      </c>
      <c r="G207">
        <v>-289.5532</v>
      </c>
      <c r="H207">
        <v>-0.05</v>
      </c>
      <c r="I207">
        <v>366.20600000000002</v>
      </c>
      <c r="J207">
        <v>-457.8578</v>
      </c>
      <c r="K207">
        <v>1.1096060000000001</v>
      </c>
      <c r="L207">
        <v>367.28649999999999</v>
      </c>
      <c r="M207">
        <v>0.99995959999999995</v>
      </c>
      <c r="N207">
        <v>-5.0837469999999996E-3</v>
      </c>
      <c r="O207">
        <v>7.4220500000000003E-3</v>
      </c>
      <c r="P207">
        <v>0.98051659999999996</v>
      </c>
      <c r="Q207">
        <v>0.171654</v>
      </c>
      <c r="R207">
        <v>9.5511109999999996E-2</v>
      </c>
      <c r="S207">
        <v>3.0655209999999999</v>
      </c>
      <c r="T207">
        <v>-2.1093250000000001E-2</v>
      </c>
      <c r="U207">
        <v>-1.9622799999999999E-2</v>
      </c>
      <c r="V207">
        <v>-8.8250369999999995E-2</v>
      </c>
      <c r="W207">
        <v>0.1766305</v>
      </c>
      <c r="X207">
        <v>0.98031299999999999</v>
      </c>
      <c r="Y207">
        <v>1.382224E-2</v>
      </c>
      <c r="Z207" s="1">
        <v>-9.6025580000000003E-5</v>
      </c>
      <c r="AA207">
        <v>0.99990449999999997</v>
      </c>
      <c r="AB207">
        <v>22</v>
      </c>
      <c r="AC207">
        <v>168.30459999999999</v>
      </c>
      <c r="AD207">
        <v>-1.1596059999999999</v>
      </c>
      <c r="AE207">
        <v>-1.08050000000002</v>
      </c>
      <c r="AF207">
        <v>2.3295408726692202</v>
      </c>
      <c r="AG207">
        <v>-1.1596059999999999</v>
      </c>
      <c r="AH207">
        <v>168.283956217053</v>
      </c>
      <c r="AI207">
        <v>90.394767956303795</v>
      </c>
      <c r="AJ207">
        <v>89.206909924462195</v>
      </c>
      <c r="AK207">
        <v>168.30407412423401</v>
      </c>
      <c r="AL207">
        <v>79.826443089385606</v>
      </c>
      <c r="AM207">
        <v>95.144051640285596</v>
      </c>
      <c r="AN207">
        <v>1.0000000196521901</v>
      </c>
    </row>
    <row r="208" spans="1:40" x14ac:dyDescent="0.25">
      <c r="A208" t="str">
        <f>"20190304155020286"</f>
        <v>20190304155020286</v>
      </c>
      <c r="B208" t="str">
        <f>"1551685820276998"</f>
        <v>1551685820276998</v>
      </c>
      <c r="C208" t="s">
        <v>40</v>
      </c>
      <c r="D208">
        <v>5.0278900000000002</v>
      </c>
      <c r="E208">
        <v>0.53771420000000003</v>
      </c>
      <c r="F208" t="s">
        <v>41</v>
      </c>
      <c r="G208">
        <v>-325.41199999999998</v>
      </c>
      <c r="H208" s="1">
        <v>-2.4976189999999999E-6</v>
      </c>
      <c r="I208">
        <v>366.53230000000002</v>
      </c>
      <c r="J208">
        <v>-457.63249999999999</v>
      </c>
      <c r="K208">
        <v>1.109634</v>
      </c>
      <c r="L208">
        <v>367.28820000000002</v>
      </c>
      <c r="M208">
        <v>0.99995789999999996</v>
      </c>
      <c r="N208">
        <v>-5.260621E-3</v>
      </c>
      <c r="O208">
        <v>7.5215600000000001E-3</v>
      </c>
      <c r="P208">
        <v>0.98046650000000002</v>
      </c>
      <c r="Q208">
        <v>0.1718469</v>
      </c>
      <c r="R208">
        <v>9.5676999999999998E-2</v>
      </c>
      <c r="S208">
        <v>3.0658259999999999</v>
      </c>
      <c r="T208">
        <v>-2.5684950000000002E-2</v>
      </c>
      <c r="U208">
        <v>-1.7456050000000001E-2</v>
      </c>
      <c r="V208">
        <v>-8.8319239999999993E-2</v>
      </c>
      <c r="W208">
        <v>0.1769966</v>
      </c>
      <c r="X208">
        <v>0.98024080000000002</v>
      </c>
      <c r="Y208">
        <v>1.321425E-2</v>
      </c>
      <c r="Z208">
        <v>-1.1355579999999999E-4</v>
      </c>
      <c r="AA208">
        <v>0.99991269999999999</v>
      </c>
      <c r="AB208">
        <v>22</v>
      </c>
      <c r="AC208">
        <v>132.22049999999899</v>
      </c>
      <c r="AD208">
        <v>-1.1096364976189901</v>
      </c>
      <c r="AE208">
        <v>-0.75589999999999602</v>
      </c>
      <c r="AF208">
        <v>1.75027350806427</v>
      </c>
      <c r="AG208">
        <v>-1.1096364976189901</v>
      </c>
      <c r="AH208">
        <v>132.201763307166</v>
      </c>
      <c r="AI208">
        <v>90.480859125310403</v>
      </c>
      <c r="AJ208">
        <v>89.241481930134597</v>
      </c>
      <c r="AK208">
        <v>132.21800547593199</v>
      </c>
      <c r="AL208">
        <v>79.805131691445794</v>
      </c>
      <c r="AM208">
        <v>95.148421604856097</v>
      </c>
      <c r="AN208">
        <v>1.00000005527518</v>
      </c>
    </row>
    <row r="209" spans="1:40" x14ac:dyDescent="0.25">
      <c r="A209" t="str">
        <f>"20190304155020309"</f>
        <v>20190304155020309</v>
      </c>
      <c r="B209" t="str">
        <f>"1551685820296518"</f>
        <v>1551685820296518</v>
      </c>
      <c r="C209" t="s">
        <v>40</v>
      </c>
      <c r="D209">
        <v>5.0332309999999998</v>
      </c>
      <c r="E209">
        <v>0.5379294</v>
      </c>
      <c r="F209" t="s">
        <v>41</v>
      </c>
      <c r="G209">
        <v>-322.78410000000002</v>
      </c>
      <c r="H209" s="1">
        <v>-3.6246929999999998E-6</v>
      </c>
      <c r="I209">
        <v>366.53379999999999</v>
      </c>
      <c r="J209">
        <v>-457.41079999999999</v>
      </c>
      <c r="K209">
        <v>1.109666</v>
      </c>
      <c r="L209">
        <v>367.29</v>
      </c>
      <c r="M209">
        <v>0.99995619999999996</v>
      </c>
      <c r="N209">
        <v>-5.4646520000000004E-3</v>
      </c>
      <c r="O209">
        <v>7.61943E-3</v>
      </c>
      <c r="P209">
        <v>0.98047139999999999</v>
      </c>
      <c r="Q209">
        <v>0.17193610000000001</v>
      </c>
      <c r="R209">
        <v>9.5468449999999996E-2</v>
      </c>
      <c r="S209">
        <v>3.0658569999999998</v>
      </c>
      <c r="T209">
        <v>-2.5228259999999999E-2</v>
      </c>
      <c r="U209">
        <v>-1.715088E-2</v>
      </c>
      <c r="V209">
        <v>-8.8014519999999999E-2</v>
      </c>
      <c r="W209">
        <v>0.17728569999999999</v>
      </c>
      <c r="X209">
        <v>0.98021590000000003</v>
      </c>
      <c r="Y209">
        <v>1.321256E-2</v>
      </c>
      <c r="Z209">
        <v>-1.1152239999999999E-4</v>
      </c>
      <c r="AA209">
        <v>0.99991269999999999</v>
      </c>
      <c r="AB209">
        <v>22</v>
      </c>
      <c r="AC209">
        <v>134.626699999999</v>
      </c>
      <c r="AD209">
        <v>-1.109669624693</v>
      </c>
      <c r="AE209">
        <v>-0.75620000000003496</v>
      </c>
      <c r="AF209">
        <v>1.7818508622748399</v>
      </c>
      <c r="AG209">
        <v>-1.109669624693</v>
      </c>
      <c r="AH209">
        <v>134.60788504552301</v>
      </c>
      <c r="AI209">
        <v>90.472278251852003</v>
      </c>
      <c r="AJ209">
        <v>89.2416003595159</v>
      </c>
      <c r="AK209">
        <v>134.624251439331</v>
      </c>
      <c r="AL209">
        <v>79.788300673841604</v>
      </c>
      <c r="AM209">
        <v>95.130883075002401</v>
      </c>
      <c r="AN209">
        <v>0.99999999288406505</v>
      </c>
    </row>
    <row r="210" spans="1:40" x14ac:dyDescent="0.25">
      <c r="A210" t="str">
        <f>"20190304155020329"</f>
        <v>20190304155020329</v>
      </c>
      <c r="B210" t="str">
        <f>"1551685820326774"</f>
        <v>1551685820326774</v>
      </c>
      <c r="C210" t="s">
        <v>40</v>
      </c>
      <c r="D210">
        <v>5.1017859999999997</v>
      </c>
      <c r="E210">
        <v>0.53566440000000004</v>
      </c>
      <c r="F210" t="s">
        <v>41</v>
      </c>
      <c r="G210">
        <v>-323.45370000000003</v>
      </c>
      <c r="H210" s="1">
        <v>-3.3556550000000001E-6</v>
      </c>
      <c r="I210">
        <v>366.43130000000002</v>
      </c>
      <c r="J210">
        <v>-457.2</v>
      </c>
      <c r="K210">
        <v>1.109702</v>
      </c>
      <c r="L210">
        <v>367.29180000000002</v>
      </c>
      <c r="M210">
        <v>0.99995420000000002</v>
      </c>
      <c r="N210">
        <v>-5.6819940000000001E-3</v>
      </c>
      <c r="O210">
        <v>7.7125319999999898E-3</v>
      </c>
      <c r="P210">
        <v>0.98048590000000002</v>
      </c>
      <c r="Q210">
        <v>0.172125799999999</v>
      </c>
      <c r="R210">
        <v>9.497485E-2</v>
      </c>
      <c r="S210">
        <v>3.0661320000000001</v>
      </c>
      <c r="T210">
        <v>-2.5399089999999999E-2</v>
      </c>
      <c r="U210">
        <v>-1.9653319999999998E-2</v>
      </c>
      <c r="V210">
        <v>-8.7429870000000007E-2</v>
      </c>
      <c r="W210">
        <v>0.17768829999999999</v>
      </c>
      <c r="X210">
        <v>0.98019529999999999</v>
      </c>
      <c r="Y210">
        <v>1.4121140000000001E-2</v>
      </c>
      <c r="Z210">
        <v>-1.186711E-4</v>
      </c>
      <c r="AA210">
        <v>0.99990029999999996</v>
      </c>
      <c r="AB210">
        <v>22</v>
      </c>
      <c r="AC210">
        <v>133.746299999999</v>
      </c>
      <c r="AD210">
        <v>-1.1097053556550001</v>
      </c>
      <c r="AE210">
        <v>-0.86050000000000104</v>
      </c>
      <c r="AF210">
        <v>1.89188335360686</v>
      </c>
      <c r="AG210">
        <v>-1.1097053556550001</v>
      </c>
      <c r="AH210">
        <v>133.726479665227</v>
      </c>
      <c r="AI210">
        <v>90.475400329510904</v>
      </c>
      <c r="AJ210">
        <v>89.189467181227698</v>
      </c>
      <c r="AK210">
        <v>133.74446542662699</v>
      </c>
      <c r="AL210">
        <v>79.764861012943598</v>
      </c>
      <c r="AM210">
        <v>95.097087073869105</v>
      </c>
      <c r="AN210">
        <v>0.99999997013359798</v>
      </c>
    </row>
    <row r="211" spans="1:40" x14ac:dyDescent="0.25">
      <c r="A211" t="str">
        <f>"20190304155020352"</f>
        <v>20190304155020352</v>
      </c>
      <c r="B211" t="str">
        <f>"1551685820347270"</f>
        <v>1551685820347270</v>
      </c>
      <c r="C211" t="s">
        <v>40</v>
      </c>
      <c r="D211">
        <v>4.9831250000000002</v>
      </c>
      <c r="E211">
        <v>0.5462726</v>
      </c>
      <c r="F211" t="s">
        <v>42</v>
      </c>
      <c r="G211">
        <v>-432.91649999999998</v>
      </c>
      <c r="H211">
        <v>-0.05</v>
      </c>
      <c r="I211">
        <v>367.25619999999998</v>
      </c>
      <c r="J211">
        <v>-456.983</v>
      </c>
      <c r="K211">
        <v>1.1097379999999999</v>
      </c>
      <c r="L211">
        <v>367.29349999999999</v>
      </c>
      <c r="M211">
        <v>0.99995199999999995</v>
      </c>
      <c r="N211">
        <v>-5.9147959999999999E-3</v>
      </c>
      <c r="O211">
        <v>7.8086060000000001E-3</v>
      </c>
      <c r="P211">
        <v>0.98047600000000001</v>
      </c>
      <c r="Q211">
        <v>0.1722457</v>
      </c>
      <c r="R211">
        <v>9.4858230000000002E-2</v>
      </c>
      <c r="S211">
        <v>3.0860289999999999</v>
      </c>
      <c r="T211">
        <v>-0.14737879999999901</v>
      </c>
      <c r="U211">
        <v>-4.5166019999999998E-3</v>
      </c>
      <c r="V211">
        <v>-8.7219099999999994E-2</v>
      </c>
      <c r="W211">
        <v>0.17803649999999999</v>
      </c>
      <c r="X211">
        <v>0.98015090000000005</v>
      </c>
      <c r="Y211">
        <v>9.2535670000000007E-3</v>
      </c>
      <c r="Z211">
        <v>-5.7475359999999999E-4</v>
      </c>
      <c r="AA211">
        <v>0.99995699999999998</v>
      </c>
      <c r="AB211">
        <v>22</v>
      </c>
      <c r="AC211">
        <v>24.066500000000001</v>
      </c>
      <c r="AD211">
        <v>-1.1597379999999999</v>
      </c>
      <c r="AE211">
        <v>-3.7300000000016098E-2</v>
      </c>
      <c r="AF211">
        <v>0.22470616551861999</v>
      </c>
      <c r="AG211">
        <v>-1.1597379999999999</v>
      </c>
      <c r="AH211">
        <v>24.009720472585801</v>
      </c>
      <c r="AI211">
        <v>92.765279327902803</v>
      </c>
      <c r="AJ211">
        <v>89.463786383960496</v>
      </c>
      <c r="AK211">
        <v>24.0387637423635</v>
      </c>
      <c r="AL211">
        <v>79.744587434569198</v>
      </c>
      <c r="AM211">
        <v>95.085092989904396</v>
      </c>
      <c r="AN211">
        <v>0.99999997675393404</v>
      </c>
    </row>
    <row r="212" spans="1:40" x14ac:dyDescent="0.25">
      <c r="A212" t="str">
        <f>"20190304155020376"</f>
        <v>20190304155020376</v>
      </c>
      <c r="B212" t="str">
        <f>"1551685820366790"</f>
        <v>1551685820366790</v>
      </c>
      <c r="C212" t="s">
        <v>40</v>
      </c>
      <c r="D212">
        <v>4.984407</v>
      </c>
      <c r="E212">
        <v>0.5475333</v>
      </c>
      <c r="F212" t="s">
        <v>43</v>
      </c>
      <c r="G212">
        <v>-158.19499999999999</v>
      </c>
      <c r="H212">
        <v>0.23203470000000001</v>
      </c>
      <c r="I212">
        <v>358.73599999999999</v>
      </c>
      <c r="J212">
        <v>-456.73829999999998</v>
      </c>
      <c r="K212">
        <v>1.1097859999999999</v>
      </c>
      <c r="L212">
        <v>367.2955</v>
      </c>
      <c r="M212">
        <v>0.99994959999999999</v>
      </c>
      <c r="N212">
        <v>-6.1849390000000004E-3</v>
      </c>
      <c r="O212">
        <v>7.9164600000000002E-3</v>
      </c>
      <c r="P212">
        <v>0.98034920000000003</v>
      </c>
      <c r="Q212">
        <v>0.1728807</v>
      </c>
      <c r="R212">
        <v>9.5015349999999998E-2</v>
      </c>
      <c r="S212">
        <v>3.0697939999999999</v>
      </c>
      <c r="T212">
        <v>-9.0167519999999994E-3</v>
      </c>
      <c r="U212">
        <v>-8.7921139999999995E-2</v>
      </c>
      <c r="V212">
        <v>-8.7271959999999996E-2</v>
      </c>
      <c r="W212">
        <v>0.17893489999999901</v>
      </c>
      <c r="X212">
        <v>0.97998260000000004</v>
      </c>
      <c r="Y212">
        <v>3.6540929999999999E-2</v>
      </c>
      <c r="Z212">
        <v>-1.4097639999999999E-4</v>
      </c>
      <c r="AA212">
        <v>0.99933209999999995</v>
      </c>
      <c r="AB212">
        <v>22</v>
      </c>
      <c r="AC212">
        <v>298.54329999999999</v>
      </c>
      <c r="AD212">
        <v>-0.87775130000000001</v>
      </c>
      <c r="AE212">
        <v>-8.5595000000000105</v>
      </c>
      <c r="AF212">
        <v>10.9225885808778</v>
      </c>
      <c r="AG212">
        <v>-0.87775130000000001</v>
      </c>
      <c r="AH212">
        <v>298.46360447985398</v>
      </c>
      <c r="AI212">
        <v>90.168387891719206</v>
      </c>
      <c r="AJ212">
        <v>87.904136176347393</v>
      </c>
      <c r="AK212">
        <v>298.66468922147197</v>
      </c>
      <c r="AL212">
        <v>79.692273050907104</v>
      </c>
      <c r="AM212">
        <v>95.0890279289072</v>
      </c>
      <c r="AN212">
        <v>0.99999999487150504</v>
      </c>
    </row>
    <row r="213" spans="1:40" x14ac:dyDescent="0.25">
      <c r="A213" t="str">
        <f>"20190304155020397"</f>
        <v>20190304155020397</v>
      </c>
      <c r="B213" t="str">
        <f>"1551685820387286"</f>
        <v>1551685820387286</v>
      </c>
      <c r="C213" t="s">
        <v>40</v>
      </c>
      <c r="D213">
        <v>5.1311549999999997</v>
      </c>
      <c r="E213">
        <v>0.54473110000000002</v>
      </c>
      <c r="F213" t="s">
        <v>50</v>
      </c>
      <c r="G213">
        <v>-179.9836</v>
      </c>
      <c r="H213">
        <v>6.6370600000000002E-2</v>
      </c>
      <c r="I213">
        <v>358.5378</v>
      </c>
      <c r="J213">
        <v>-456.52229999999997</v>
      </c>
      <c r="K213">
        <v>1.1098209999999999</v>
      </c>
      <c r="L213">
        <v>367.29739999999998</v>
      </c>
      <c r="M213">
        <v>0.99994740000000004</v>
      </c>
      <c r="N213">
        <v>-6.42999E-3</v>
      </c>
      <c r="O213">
        <v>8.0114230000000002E-3</v>
      </c>
      <c r="P213">
        <v>0.98027690000000001</v>
      </c>
      <c r="Q213">
        <v>0.173429799999999</v>
      </c>
      <c r="R213">
        <v>9.476155E-2</v>
      </c>
      <c r="S213">
        <v>3.0715940000000002</v>
      </c>
      <c r="T213">
        <v>-1.1580470000000001E-2</v>
      </c>
      <c r="U213">
        <v>-9.7198489999999999E-2</v>
      </c>
      <c r="V213">
        <v>-8.6925589999999997E-2</v>
      </c>
      <c r="W213">
        <v>0.17972449999999901</v>
      </c>
      <c r="X213">
        <v>0.97986890000000004</v>
      </c>
      <c r="Y213">
        <v>3.9634250000000003E-2</v>
      </c>
      <c r="Z213">
        <v>-1.8085120000000001E-4</v>
      </c>
      <c r="AA213">
        <v>0.99921420000000005</v>
      </c>
      <c r="AB213">
        <v>22</v>
      </c>
      <c r="AC213">
        <v>276.53869999999898</v>
      </c>
      <c r="AD213">
        <v>-1.0434504</v>
      </c>
      <c r="AE213">
        <v>-8.7595999999999705</v>
      </c>
      <c r="AF213">
        <v>10.9746767170125</v>
      </c>
      <c r="AG213">
        <v>-1.0434504</v>
      </c>
      <c r="AH213">
        <v>276.45571459058198</v>
      </c>
      <c r="AI213">
        <v>90.216085127011397</v>
      </c>
      <c r="AJ213">
        <v>87.726678728700307</v>
      </c>
      <c r="AK213">
        <v>276.67543159371701</v>
      </c>
      <c r="AL213">
        <v>79.6462869541825</v>
      </c>
      <c r="AM213">
        <v>95.069520847107299</v>
      </c>
      <c r="AN213">
        <v>1.00000000764215</v>
      </c>
    </row>
    <row r="214" spans="1:40" x14ac:dyDescent="0.25">
      <c r="A214" t="str">
        <f>"20190304155020410"</f>
        <v>20190304155020410</v>
      </c>
      <c r="B214" t="str">
        <f>"1551685820406806"</f>
        <v>1551685820406806</v>
      </c>
      <c r="C214" t="s">
        <v>40</v>
      </c>
      <c r="D214">
        <v>5.0242769999999997</v>
      </c>
      <c r="E214">
        <v>0.54642000000000002</v>
      </c>
      <c r="F214" t="s">
        <v>42</v>
      </c>
      <c r="G214">
        <v>-299.24360000000001</v>
      </c>
      <c r="H214">
        <v>-0.05</v>
      </c>
      <c r="I214">
        <v>363.42989999999998</v>
      </c>
      <c r="J214">
        <v>-456.3897</v>
      </c>
      <c r="K214">
        <v>1.109842</v>
      </c>
      <c r="L214">
        <v>367.29849999999999</v>
      </c>
      <c r="M214">
        <v>0.99994590000000005</v>
      </c>
      <c r="N214">
        <v>-6.5820640000000003E-3</v>
      </c>
      <c r="O214">
        <v>8.0698230000000003E-3</v>
      </c>
      <c r="P214">
        <v>0.98024880000000003</v>
      </c>
      <c r="Q214">
        <v>0.17341570000000001</v>
      </c>
      <c r="R214">
        <v>9.5076499999999994E-2</v>
      </c>
      <c r="S214">
        <v>3.0716549999999998</v>
      </c>
      <c r="T214">
        <v>-2.2651310000000001E-2</v>
      </c>
      <c r="U214">
        <v>-7.5531009999999996E-2</v>
      </c>
      <c r="V214">
        <v>-8.7183650000000001E-2</v>
      </c>
      <c r="W214">
        <v>0.17985909999999999</v>
      </c>
      <c r="X214">
        <v>0.97982130000000001</v>
      </c>
      <c r="Y214">
        <v>3.2647320000000001E-2</v>
      </c>
      <c r="Z214">
        <v>-2.3421219999999999E-4</v>
      </c>
      <c r="AA214">
        <v>0.99946690000000005</v>
      </c>
      <c r="AB214">
        <v>22</v>
      </c>
      <c r="AC214">
        <v>157.14609999999999</v>
      </c>
      <c r="AD214">
        <v>-1.159842</v>
      </c>
      <c r="AE214">
        <v>-3.86860000000001</v>
      </c>
      <c r="AF214">
        <v>5.1363629230588499</v>
      </c>
      <c r="AG214">
        <v>-1.159842</v>
      </c>
      <c r="AH214">
        <v>157.101210497739</v>
      </c>
      <c r="AI214">
        <v>90.422767951511503</v>
      </c>
      <c r="AJ214">
        <v>88.127403831499706</v>
      </c>
      <c r="AK214">
        <v>157.18943284266001</v>
      </c>
      <c r="AL214">
        <v>79.638447449295796</v>
      </c>
      <c r="AM214">
        <v>95.084737905361706</v>
      </c>
      <c r="AN214">
        <v>1.00000003230691</v>
      </c>
    </row>
    <row r="215" spans="1:40" x14ac:dyDescent="0.25">
      <c r="A215" t="str">
        <f>"20190304155020431"</f>
        <v>20190304155020431</v>
      </c>
      <c r="B215" t="str">
        <f>"1551685820427302"</f>
        <v>1551685820427302</v>
      </c>
      <c r="C215" t="s">
        <v>40</v>
      </c>
      <c r="D215">
        <v>4.9542989999999998</v>
      </c>
      <c r="E215">
        <v>0.54667469999999996</v>
      </c>
      <c r="F215" t="s">
        <v>42</v>
      </c>
      <c r="G215">
        <v>-302.80700000000002</v>
      </c>
      <c r="H215">
        <v>-0.05</v>
      </c>
      <c r="I215">
        <v>362.90609999999998</v>
      </c>
      <c r="J215">
        <v>-456.18509999999998</v>
      </c>
      <c r="K215">
        <v>1.1098749999999999</v>
      </c>
      <c r="L215">
        <v>367.30020000000002</v>
      </c>
      <c r="M215">
        <v>0.99994360000000004</v>
      </c>
      <c r="N215">
        <v>-6.8175609999999998E-3</v>
      </c>
      <c r="O215">
        <v>8.1602369999999903E-3</v>
      </c>
      <c r="P215">
        <v>0.98022589999999998</v>
      </c>
      <c r="Q215">
        <v>0.17362839999999999</v>
      </c>
      <c r="R215">
        <v>9.4924410000000001E-2</v>
      </c>
      <c r="S215">
        <v>3.0731199999999999</v>
      </c>
      <c r="T215">
        <v>-2.32079E-2</v>
      </c>
      <c r="U215">
        <v>-8.7890629999999997E-2</v>
      </c>
      <c r="V215">
        <v>-8.6943339999999994E-2</v>
      </c>
      <c r="W215">
        <v>0.1803023</v>
      </c>
      <c r="X215">
        <v>0.9797612</v>
      </c>
      <c r="Y215">
        <v>3.6742259999999999E-2</v>
      </c>
      <c r="Z215">
        <v>-2.6997559999999998E-4</v>
      </c>
      <c r="AA215">
        <v>0.99932469999999995</v>
      </c>
      <c r="AB215">
        <v>22</v>
      </c>
      <c r="AC215">
        <v>153.37809999999899</v>
      </c>
      <c r="AD215">
        <v>-1.159875</v>
      </c>
      <c r="AE215">
        <v>-4.3941000000000301</v>
      </c>
      <c r="AF215">
        <v>5.6452616850174797</v>
      </c>
      <c r="AG215">
        <v>-1.159875</v>
      </c>
      <c r="AH215">
        <v>153.328374104375</v>
      </c>
      <c r="AI215">
        <v>90.433120617287599</v>
      </c>
      <c r="AJ215">
        <v>87.8914298402387</v>
      </c>
      <c r="AK215">
        <v>153.43664684487601</v>
      </c>
      <c r="AL215">
        <v>79.612631966968394</v>
      </c>
      <c r="AM215">
        <v>95.071105108195297</v>
      </c>
      <c r="AN215">
        <v>1.0000000363905399</v>
      </c>
    </row>
    <row r="216" spans="1:40" x14ac:dyDescent="0.25">
      <c r="A216" t="str">
        <f>"20190304155020452"</f>
        <v>20190304155020452</v>
      </c>
      <c r="B216" t="str">
        <f>"1551685820446822"</f>
        <v>1551685820446822</v>
      </c>
      <c r="C216" t="s">
        <v>40</v>
      </c>
      <c r="D216">
        <v>5.0387089999999999</v>
      </c>
      <c r="E216">
        <v>0.54738690000000001</v>
      </c>
      <c r="F216" t="s">
        <v>41</v>
      </c>
      <c r="G216">
        <v>-249.5403</v>
      </c>
      <c r="H216" s="1">
        <v>-2.39698E-6</v>
      </c>
      <c r="I216">
        <v>361.21190000000001</v>
      </c>
      <c r="J216">
        <v>-455.96570000000003</v>
      </c>
      <c r="K216">
        <v>1.1099030000000001</v>
      </c>
      <c r="L216">
        <v>367.3021</v>
      </c>
      <c r="M216">
        <v>0.99994099999999997</v>
      </c>
      <c r="N216">
        <v>-7.0634490000000003E-3</v>
      </c>
      <c r="O216">
        <v>8.2570850000000008E-3</v>
      </c>
      <c r="P216">
        <v>0.98023419999999895</v>
      </c>
      <c r="Q216">
        <v>0.17353170000000001</v>
      </c>
      <c r="R216">
        <v>9.5014989999999994E-2</v>
      </c>
      <c r="S216">
        <v>3.072174</v>
      </c>
      <c r="T216">
        <v>-1.650047E-2</v>
      </c>
      <c r="U216">
        <v>-9.0515139999999994E-2</v>
      </c>
      <c r="V216">
        <v>-8.6939130000000003E-2</v>
      </c>
      <c r="W216">
        <v>0.1804463</v>
      </c>
      <c r="X216">
        <v>0.97973500000000002</v>
      </c>
      <c r="Y216">
        <v>3.770155E-2</v>
      </c>
      <c r="Z216">
        <v>-2.204369E-4</v>
      </c>
      <c r="AA216">
        <v>0.99928899999999998</v>
      </c>
      <c r="AB216">
        <v>23</v>
      </c>
      <c r="AC216">
        <v>206.4254</v>
      </c>
      <c r="AD216">
        <v>-1.1099053969799999</v>
      </c>
      <c r="AE216">
        <v>-6.0901999999999799</v>
      </c>
      <c r="AF216">
        <v>7.7942817688540904</v>
      </c>
      <c r="AG216">
        <v>-1.1099053969799999</v>
      </c>
      <c r="AH216">
        <v>206.36211328553301</v>
      </c>
      <c r="AI216">
        <v>90.307939140182199</v>
      </c>
      <c r="AJ216">
        <v>87.836970819805899</v>
      </c>
      <c r="AK216">
        <v>206.512238179614</v>
      </c>
      <c r="AL216">
        <v>79.604243145855193</v>
      </c>
      <c r="AM216">
        <v>95.070995731248999</v>
      </c>
      <c r="AN216">
        <v>0.99999997486692305</v>
      </c>
    </row>
    <row r="217" spans="1:40" x14ac:dyDescent="0.25">
      <c r="A217" t="str">
        <f>"20190304155020466"</f>
        <v>20190304155020466</v>
      </c>
      <c r="B217" t="str">
        <f>"1551685820456582"</f>
        <v>1551685820456582</v>
      </c>
      <c r="C217" t="s">
        <v>40</v>
      </c>
      <c r="D217">
        <v>4.8984740000000002</v>
      </c>
      <c r="E217">
        <v>0.54694679999999996</v>
      </c>
      <c r="F217" t="s">
        <v>41</v>
      </c>
      <c r="G217">
        <v>-231.9119</v>
      </c>
      <c r="H217" s="1">
        <v>-5.2165239999999998E-6</v>
      </c>
      <c r="I217">
        <v>360.303</v>
      </c>
      <c r="J217">
        <v>-455.82190000000003</v>
      </c>
      <c r="K217">
        <v>1.1099220000000001</v>
      </c>
      <c r="L217">
        <v>367.30340000000001</v>
      </c>
      <c r="M217">
        <v>0.99993940000000003</v>
      </c>
      <c r="N217">
        <v>-7.2196319999999897E-3</v>
      </c>
      <c r="O217">
        <v>8.3201899999999999E-3</v>
      </c>
      <c r="P217">
        <v>0.98029180000000005</v>
      </c>
      <c r="Q217">
        <v>0.17325699999999999</v>
      </c>
      <c r="R217">
        <v>9.4921130000000006E-2</v>
      </c>
      <c r="S217">
        <v>3.0724490000000002</v>
      </c>
      <c r="T217">
        <v>-1.522017E-2</v>
      </c>
      <c r="U217">
        <v>-9.5977779999999999E-2</v>
      </c>
      <c r="V217">
        <v>-8.6782719999999994E-2</v>
      </c>
      <c r="W217">
        <v>0.18032529999999999</v>
      </c>
      <c r="X217">
        <v>0.97977110000000001</v>
      </c>
      <c r="Y217">
        <v>3.9537030000000001E-2</v>
      </c>
      <c r="Z217">
        <v>-2.2181739999999999E-4</v>
      </c>
      <c r="AA217">
        <v>0.9992181</v>
      </c>
      <c r="AB217">
        <v>23</v>
      </c>
      <c r="AC217">
        <v>223.91</v>
      </c>
      <c r="AD217">
        <v>-1.1099272165239999</v>
      </c>
      <c r="AE217">
        <v>-7.0003999999999502</v>
      </c>
      <c r="AF217">
        <v>8.8629622659711202</v>
      </c>
      <c r="AG217">
        <v>-1.1099272165239999</v>
      </c>
      <c r="AH217">
        <v>223.83850833559001</v>
      </c>
      <c r="AI217">
        <v>90.2838824871437</v>
      </c>
      <c r="AJ217">
        <v>87.732538494907701</v>
      </c>
      <c r="AK217">
        <v>224.01665530146599</v>
      </c>
      <c r="AL217">
        <v>79.611291100898399</v>
      </c>
      <c r="AM217">
        <v>95.061734531447797</v>
      </c>
      <c r="AN217">
        <v>0.99999993135294596</v>
      </c>
    </row>
    <row r="218" spans="1:40" x14ac:dyDescent="0.25">
      <c r="A218" t="str">
        <f>"20190304155020486"</f>
        <v>20190304155020486</v>
      </c>
      <c r="B218" t="str">
        <f>"1551685820477081"</f>
        <v>1551685820477081</v>
      </c>
      <c r="C218" t="s">
        <v>40</v>
      </c>
      <c r="D218">
        <v>4.9120119999999998</v>
      </c>
      <c r="E218">
        <v>0.54540069999999996</v>
      </c>
      <c r="F218" t="s">
        <v>42</v>
      </c>
      <c r="G218">
        <v>-286.55689999999998</v>
      </c>
      <c r="H218">
        <v>-0.05</v>
      </c>
      <c r="I218">
        <v>362.21339999999998</v>
      </c>
      <c r="J218">
        <v>-455.62060000000002</v>
      </c>
      <c r="K218">
        <v>1.1099380000000001</v>
      </c>
      <c r="L218">
        <v>367.30509999999998</v>
      </c>
      <c r="M218">
        <v>0.99993699999999996</v>
      </c>
      <c r="N218">
        <v>-7.429476E-3</v>
      </c>
      <c r="O218">
        <v>8.4097259999999993E-3</v>
      </c>
      <c r="P218">
        <v>0.98033300000000001</v>
      </c>
      <c r="Q218">
        <v>0.1730526</v>
      </c>
      <c r="R218">
        <v>9.4868820000000006E-2</v>
      </c>
      <c r="S218">
        <v>3.0729980000000001</v>
      </c>
      <c r="T218">
        <v>-2.1058319999999998E-2</v>
      </c>
      <c r="U218">
        <v>-9.2407230000000007E-2</v>
      </c>
      <c r="V218">
        <v>-8.6642540000000004E-2</v>
      </c>
      <c r="W218">
        <v>0.18032670000000001</v>
      </c>
      <c r="X218">
        <v>0.97978330000000002</v>
      </c>
      <c r="Y218">
        <v>3.8460340000000003E-2</v>
      </c>
      <c r="Z218">
        <v>-2.6980670000000001E-4</v>
      </c>
      <c r="AA218">
        <v>0.99926009999999998</v>
      </c>
      <c r="AB218">
        <v>23</v>
      </c>
      <c r="AC218">
        <v>169.06370000000001</v>
      </c>
      <c r="AD218">
        <v>-1.1599379999999999</v>
      </c>
      <c r="AE218">
        <v>-5.0917000000000003</v>
      </c>
      <c r="AF218">
        <v>6.5130323153419898</v>
      </c>
      <c r="AG218">
        <v>-1.1599379999999999</v>
      </c>
      <c r="AH218">
        <v>169.00695179231499</v>
      </c>
      <c r="AI218">
        <v>90.392937776855206</v>
      </c>
      <c r="AJ218">
        <v>87.793080745723401</v>
      </c>
      <c r="AK218">
        <v>169.13637929267199</v>
      </c>
      <c r="AL218">
        <v>79.611210078936097</v>
      </c>
      <c r="AM218">
        <v>95.0535380919396</v>
      </c>
      <c r="AN218">
        <v>0.99999998171471505</v>
      </c>
    </row>
    <row r="219" spans="1:40" x14ac:dyDescent="0.25">
      <c r="A219" t="str">
        <f>"20190304155020499"</f>
        <v>20190304155020499</v>
      </c>
      <c r="B219" t="str">
        <f>"1551685820496598"</f>
        <v>1551685820496598</v>
      </c>
      <c r="C219" t="s">
        <v>40</v>
      </c>
      <c r="D219">
        <v>5.0271319999999999</v>
      </c>
      <c r="E219">
        <v>0.54604819999999998</v>
      </c>
      <c r="F219" t="s">
        <v>42</v>
      </c>
      <c r="G219">
        <v>-291.39870000000002</v>
      </c>
      <c r="H219">
        <v>-0.05</v>
      </c>
      <c r="I219">
        <v>363.01429999999999</v>
      </c>
      <c r="J219">
        <v>-455.48610000000002</v>
      </c>
      <c r="K219">
        <v>1.109952</v>
      </c>
      <c r="L219">
        <v>367.3064</v>
      </c>
      <c r="M219">
        <v>0.99993560000000004</v>
      </c>
      <c r="N219">
        <v>-7.5647409999999998E-3</v>
      </c>
      <c r="O219">
        <v>8.4688290000000006E-3</v>
      </c>
      <c r="P219">
        <v>0.98035870000000003</v>
      </c>
      <c r="Q219">
        <v>0.1728787</v>
      </c>
      <c r="R219">
        <v>9.4921649999999996E-2</v>
      </c>
      <c r="S219">
        <v>3.071777</v>
      </c>
      <c r="T219">
        <v>-2.1696690000000001E-2</v>
      </c>
      <c r="U219">
        <v>-8.0261230000000003E-2</v>
      </c>
      <c r="V219">
        <v>-8.6636660000000004E-2</v>
      </c>
      <c r="W219">
        <v>0.18028540000000001</v>
      </c>
      <c r="X219">
        <v>0.97979150000000004</v>
      </c>
      <c r="Y219">
        <v>3.4583139999999998E-2</v>
      </c>
      <c r="Z219">
        <v>-2.4869999999999997E-4</v>
      </c>
      <c r="AA219">
        <v>0.99940180000000001</v>
      </c>
      <c r="AB219">
        <v>23</v>
      </c>
      <c r="AC219">
        <v>164.0874</v>
      </c>
      <c r="AD219">
        <v>-1.1599520000000001</v>
      </c>
      <c r="AE219">
        <v>-4.2920999999999996</v>
      </c>
      <c r="AF219">
        <v>5.6813301460170802</v>
      </c>
      <c r="AG219">
        <v>-1.1599520000000001</v>
      </c>
      <c r="AH219">
        <v>164.03697349444599</v>
      </c>
      <c r="AI219">
        <v>90.404905196904906</v>
      </c>
      <c r="AJ219">
        <v>88.016385154376493</v>
      </c>
      <c r="AK219">
        <v>164.13942754282999</v>
      </c>
      <c r="AL219">
        <v>79.613616644465594</v>
      </c>
      <c r="AM219">
        <v>95.053154837179903</v>
      </c>
      <c r="AN219">
        <v>1.00000005989068</v>
      </c>
    </row>
    <row r="220" spans="1:40" x14ac:dyDescent="0.25">
      <c r="A220" t="str">
        <f>"20190304155020514"</f>
        <v>20190304155020514</v>
      </c>
      <c r="B220" t="str">
        <f>"1551685820507335"</f>
        <v>1551685820507335</v>
      </c>
      <c r="C220" t="s">
        <v>40</v>
      </c>
      <c r="D220">
        <v>4.9579170000000001</v>
      </c>
      <c r="E220">
        <v>0.54591290000000003</v>
      </c>
      <c r="F220" t="s">
        <v>41</v>
      </c>
      <c r="G220">
        <v>-323.76389999999998</v>
      </c>
      <c r="H220" s="1">
        <v>-3.7175669999999999E-6</v>
      </c>
      <c r="I220">
        <v>363.64080000000001</v>
      </c>
      <c r="J220">
        <v>-455.34469999999999</v>
      </c>
      <c r="K220">
        <v>1.109966</v>
      </c>
      <c r="L220">
        <v>367.30759999999998</v>
      </c>
      <c r="M220">
        <v>0.99993399999999999</v>
      </c>
      <c r="N220">
        <v>-7.7042730000000002E-3</v>
      </c>
      <c r="O220">
        <v>8.5309459999999993E-3</v>
      </c>
      <c r="P220">
        <v>0.98039419999999999</v>
      </c>
      <c r="Q220">
        <v>0.1726154</v>
      </c>
      <c r="R220">
        <v>9.5031989999999997E-2</v>
      </c>
      <c r="S220">
        <v>3.0729060000000001</v>
      </c>
      <c r="T220">
        <v>-2.589381E-2</v>
      </c>
      <c r="U220">
        <v>-8.5510249999999996E-2</v>
      </c>
      <c r="V220">
        <v>-8.6685890000000002E-2</v>
      </c>
      <c r="W220">
        <v>0.18015929999999999</v>
      </c>
      <c r="X220">
        <v>0.97981030000000002</v>
      </c>
      <c r="Y220">
        <v>3.6340810000000001E-2</v>
      </c>
      <c r="Z220">
        <v>-2.9926470000000001E-4</v>
      </c>
      <c r="AA220">
        <v>0.99933939999999999</v>
      </c>
      <c r="AB220">
        <v>23</v>
      </c>
      <c r="AC220">
        <v>131.58080000000001</v>
      </c>
      <c r="AD220">
        <v>-1.109969717567</v>
      </c>
      <c r="AE220">
        <v>-3.6667999999999599</v>
      </c>
      <c r="AF220">
        <v>4.7888679854474896</v>
      </c>
      <c r="AG220">
        <v>-1.109969717567</v>
      </c>
      <c r="AH220">
        <v>131.53537657807499</v>
      </c>
      <c r="AI220">
        <v>90.4831625415095</v>
      </c>
      <c r="AJ220">
        <v>87.914927555214405</v>
      </c>
      <c r="AK220">
        <v>131.627203042882</v>
      </c>
      <c r="AL220">
        <v>79.620961500065107</v>
      </c>
      <c r="AM220">
        <v>95.055914829887001</v>
      </c>
      <c r="AN220">
        <v>1.00000002044383</v>
      </c>
    </row>
    <row r="221" spans="1:40" x14ac:dyDescent="0.25">
      <c r="A221" t="str">
        <f>"20190304155020530"</f>
        <v>20190304155020530</v>
      </c>
      <c r="B221" t="str">
        <f>"1551685820526856"</f>
        <v>1551685820526856</v>
      </c>
      <c r="C221" t="s">
        <v>40</v>
      </c>
      <c r="D221">
        <v>5.0843239999999996</v>
      </c>
      <c r="E221">
        <v>0.54682089999999905</v>
      </c>
      <c r="F221" t="s">
        <v>41</v>
      </c>
      <c r="G221">
        <v>-320.9941</v>
      </c>
      <c r="H221" s="1">
        <v>-4.9036830000000003E-6</v>
      </c>
      <c r="I221">
        <v>363.65260000000001</v>
      </c>
      <c r="J221">
        <v>-455.17599999999999</v>
      </c>
      <c r="K221">
        <v>1.109982</v>
      </c>
      <c r="L221">
        <v>367.3091</v>
      </c>
      <c r="M221">
        <v>0.99993220000000005</v>
      </c>
      <c r="N221">
        <v>-7.8663190000000001E-3</v>
      </c>
      <c r="O221">
        <v>8.6051819999999994E-3</v>
      </c>
      <c r="P221">
        <v>0.98048679999999999</v>
      </c>
      <c r="Q221">
        <v>0.1721174</v>
      </c>
      <c r="R221">
        <v>9.4981449999999995E-2</v>
      </c>
      <c r="S221">
        <v>3.0725709999999999</v>
      </c>
      <c r="T221">
        <v>-2.5384779999999999E-2</v>
      </c>
      <c r="U221">
        <v>-8.3587649999999999E-2</v>
      </c>
      <c r="V221">
        <v>-8.6561920000000001E-2</v>
      </c>
      <c r="W221">
        <v>0.1798206</v>
      </c>
      <c r="X221">
        <v>0.97988339999999996</v>
      </c>
      <c r="Y221">
        <v>3.5793270000000002E-2</v>
      </c>
      <c r="Z221">
        <v>-2.9204369999999999E-4</v>
      </c>
      <c r="AA221">
        <v>0.9993592</v>
      </c>
      <c r="AB221">
        <v>23</v>
      </c>
      <c r="AC221">
        <v>134.18189999999899</v>
      </c>
      <c r="AD221">
        <v>-1.1099869036829999</v>
      </c>
      <c r="AE221">
        <v>-3.6564999999999901</v>
      </c>
      <c r="AF221">
        <v>4.8107308585000599</v>
      </c>
      <c r="AG221">
        <v>-1.1099869036829999</v>
      </c>
      <c r="AH221">
        <v>134.136293594747</v>
      </c>
      <c r="AI221">
        <v>90.4738110189232</v>
      </c>
      <c r="AJ221">
        <v>87.945995980234798</v>
      </c>
      <c r="AK221">
        <v>134.22712267517099</v>
      </c>
      <c r="AL221">
        <v>79.640688992698202</v>
      </c>
      <c r="AM221">
        <v>95.0483470408183</v>
      </c>
      <c r="AN221">
        <v>0.99999994588700103</v>
      </c>
    </row>
    <row r="222" spans="1:40" x14ac:dyDescent="0.25">
      <c r="A222" t="str">
        <f>"20190304155020564"</f>
        <v>20190304155020564</v>
      </c>
      <c r="B222" t="str">
        <f>"1551685820557111"</f>
        <v>1551685820557111</v>
      </c>
      <c r="C222" t="s">
        <v>40</v>
      </c>
      <c r="D222">
        <v>5.0531119999999996</v>
      </c>
      <c r="E222">
        <v>0.54777670000000001</v>
      </c>
      <c r="F222" t="s">
        <v>41</v>
      </c>
      <c r="G222">
        <v>-341.73349999999999</v>
      </c>
      <c r="H222" s="1">
        <v>-4.8939340000000004E-6</v>
      </c>
      <c r="I222">
        <v>363.94600000000003</v>
      </c>
      <c r="J222">
        <v>-454.82249999999999</v>
      </c>
      <c r="K222">
        <v>1.110012</v>
      </c>
      <c r="L222">
        <v>367.31240000000003</v>
      </c>
      <c r="M222">
        <v>0.99992809999999999</v>
      </c>
      <c r="N222">
        <v>-8.1797729999999996E-3</v>
      </c>
      <c r="O222">
        <v>8.7615249999999992E-3</v>
      </c>
      <c r="P222">
        <v>0.98048820000000003</v>
      </c>
      <c r="Q222">
        <v>0.17206689999999999</v>
      </c>
      <c r="R222">
        <v>9.5057619999999995E-2</v>
      </c>
      <c r="S222">
        <v>3.0738219999999998</v>
      </c>
      <c r="T222">
        <v>-3.007603E-2</v>
      </c>
      <c r="U222">
        <v>-9.1125490000000003E-2</v>
      </c>
      <c r="V222">
        <v>-8.6484420000000006E-2</v>
      </c>
      <c r="W222">
        <v>0.18007770000000001</v>
      </c>
      <c r="X222">
        <v>0.97984309999999997</v>
      </c>
      <c r="Y222">
        <v>3.8386099999999999E-2</v>
      </c>
      <c r="Z222">
        <v>-3.5884680000000001E-4</v>
      </c>
      <c r="AA222">
        <v>0.99926289999999995</v>
      </c>
      <c r="AB222">
        <v>23</v>
      </c>
      <c r="AC222">
        <v>113.089</v>
      </c>
      <c r="AD222">
        <v>-1.110016893934</v>
      </c>
      <c r="AE222">
        <v>-3.3664000000000498</v>
      </c>
      <c r="AF222">
        <v>4.3567167236456097</v>
      </c>
      <c r="AG222">
        <v>-1.110016893934</v>
      </c>
      <c r="AH222">
        <v>113.04428189918001</v>
      </c>
      <c r="AI222">
        <v>90.562169642761802</v>
      </c>
      <c r="AJ222">
        <v>87.792917987798205</v>
      </c>
      <c r="AK222">
        <v>113.133650114438</v>
      </c>
      <c r="AL222">
        <v>79.625714534018798</v>
      </c>
      <c r="AM222">
        <v>95.044056894870707</v>
      </c>
      <c r="AN222">
        <v>1.0000000167788099</v>
      </c>
    </row>
    <row r="223" spans="1:40" x14ac:dyDescent="0.25">
      <c r="A223" t="str">
        <f>"20190304155020586"</f>
        <v>20190304155020586</v>
      </c>
      <c r="B223" t="str">
        <f>"1551685820576634"</f>
        <v>1551685820576634</v>
      </c>
      <c r="C223" t="s">
        <v>40</v>
      </c>
      <c r="D223">
        <v>5.4585910000000002</v>
      </c>
      <c r="E223">
        <v>0.547732</v>
      </c>
      <c r="F223" t="s">
        <v>41</v>
      </c>
      <c r="G223">
        <v>-360.77269999999999</v>
      </c>
      <c r="H223" s="1">
        <v>-4.8848009999999996E-6</v>
      </c>
      <c r="I223">
        <v>364.2944</v>
      </c>
      <c r="J223">
        <v>-454.60210000000001</v>
      </c>
      <c r="K223">
        <v>1.110028</v>
      </c>
      <c r="L223">
        <v>367.31439999999998</v>
      </c>
      <c r="M223">
        <v>0.99992590000000003</v>
      </c>
      <c r="N223">
        <v>-8.3560979999999993E-3</v>
      </c>
      <c r="O223">
        <v>8.8581370000000003E-3</v>
      </c>
      <c r="P223">
        <v>0.98042479999999999</v>
      </c>
      <c r="Q223">
        <v>0.17242209999999999</v>
      </c>
      <c r="R223">
        <v>9.5069109999999998E-2</v>
      </c>
      <c r="S223">
        <v>3.0756839999999999</v>
      </c>
      <c r="T223">
        <v>-3.6300539999999999E-2</v>
      </c>
      <c r="U223">
        <v>-9.869385E-2</v>
      </c>
      <c r="V223">
        <v>-8.6402119999999999E-2</v>
      </c>
      <c r="W223">
        <v>0.18060490000000001</v>
      </c>
      <c r="X223">
        <v>0.97975330000000005</v>
      </c>
      <c r="Y223">
        <v>4.0919629999999999E-2</v>
      </c>
      <c r="Z223">
        <v>-4.4294709999999999E-4</v>
      </c>
      <c r="AA223">
        <v>0.99916229999999995</v>
      </c>
      <c r="AB223">
        <v>23</v>
      </c>
      <c r="AC223">
        <v>93.829400000000007</v>
      </c>
      <c r="AD223">
        <v>-1.1100328848009999</v>
      </c>
      <c r="AE223">
        <v>-3.01999999999998</v>
      </c>
      <c r="AF223">
        <v>3.85052581417869</v>
      </c>
      <c r="AG223">
        <v>-1.1100328848009999</v>
      </c>
      <c r="AH223">
        <v>93.7858535495876</v>
      </c>
      <c r="AI223">
        <v>90.677540364450707</v>
      </c>
      <c r="AJ223">
        <v>87.648952017443406</v>
      </c>
      <c r="AK223">
        <v>93.871428283986802</v>
      </c>
      <c r="AL223">
        <v>79.595004428508204</v>
      </c>
      <c r="AM223">
        <v>95.039741114857506</v>
      </c>
      <c r="AN223">
        <v>0.999999992552697</v>
      </c>
    </row>
    <row r="224" spans="1:40" x14ac:dyDescent="0.25">
      <c r="A224" t="str">
        <f>"20190304155020607"</f>
        <v>20190304155020607</v>
      </c>
      <c r="B224" t="str">
        <f>"1551685820597126"</f>
        <v>1551685820597126</v>
      </c>
      <c r="C224" t="s">
        <v>40</v>
      </c>
      <c r="D224">
        <v>5.0513029999999999</v>
      </c>
      <c r="E224">
        <v>0.54768490000000003</v>
      </c>
      <c r="F224" t="s">
        <v>41</v>
      </c>
      <c r="G224">
        <v>-370.42860000000002</v>
      </c>
      <c r="H224" s="1">
        <v>-4.9729329999999997E-6</v>
      </c>
      <c r="I224">
        <v>364.62990000000002</v>
      </c>
      <c r="J224">
        <v>-454.38139999999999</v>
      </c>
      <c r="K224">
        <v>1.1100350000000001</v>
      </c>
      <c r="L224">
        <v>367.31650000000002</v>
      </c>
      <c r="M224">
        <v>0.99992369999999997</v>
      </c>
      <c r="N224">
        <v>-8.5227289999999997E-3</v>
      </c>
      <c r="O224">
        <v>8.9551279999999997E-3</v>
      </c>
      <c r="P224">
        <v>0.98032520000000001</v>
      </c>
      <c r="Q224">
        <v>0.17291970000000001</v>
      </c>
      <c r="R224">
        <v>9.5192570000000004E-2</v>
      </c>
      <c r="S224">
        <v>3.076508</v>
      </c>
      <c r="T224">
        <v>-4.0571210000000003E-2</v>
      </c>
      <c r="U224">
        <v>-9.8114010000000001E-2</v>
      </c>
      <c r="V224">
        <v>-8.6431620000000001E-2</v>
      </c>
      <c r="W224">
        <v>0.18126510000000001</v>
      </c>
      <c r="X224">
        <v>0.97962879999999997</v>
      </c>
      <c r="Y224">
        <v>4.0818840000000002E-2</v>
      </c>
      <c r="Z224">
        <v>-4.8483329999999999E-4</v>
      </c>
      <c r="AA224">
        <v>0.99916640000000001</v>
      </c>
      <c r="AB224">
        <v>23</v>
      </c>
      <c r="AC224">
        <v>83.952799999999897</v>
      </c>
      <c r="AD224">
        <v>-1.1100399729329999</v>
      </c>
      <c r="AE224">
        <v>-2.6865999999999901</v>
      </c>
      <c r="AF224">
        <v>3.43772716144221</v>
      </c>
      <c r="AG224">
        <v>-1.1100399729329999</v>
      </c>
      <c r="AH224">
        <v>83.910718906026204</v>
      </c>
      <c r="AI224">
        <v>90.757276280587106</v>
      </c>
      <c r="AJ224">
        <v>87.653968752683099</v>
      </c>
      <c r="AK224">
        <v>83.988445063021501</v>
      </c>
      <c r="AL224">
        <v>79.556543277148094</v>
      </c>
      <c r="AM224">
        <v>95.042090361878195</v>
      </c>
      <c r="AN224">
        <v>1.00000002360163</v>
      </c>
    </row>
    <row r="225" spans="1:40" x14ac:dyDescent="0.25">
      <c r="A225" t="str">
        <f>"20190304155020632"</f>
        <v>20190304155020632</v>
      </c>
      <c r="B225" t="str">
        <f>"1551685820627382"</f>
        <v>1551685820627382</v>
      </c>
      <c r="C225" t="s">
        <v>40</v>
      </c>
      <c r="D225">
        <v>5.0576999999999996</v>
      </c>
      <c r="E225">
        <v>0.54762359999999999</v>
      </c>
      <c r="F225" t="s">
        <v>41</v>
      </c>
      <c r="G225">
        <v>-363.5283</v>
      </c>
      <c r="H225" s="1">
        <v>-3.675644E-6</v>
      </c>
      <c r="I225">
        <v>364.44670000000002</v>
      </c>
      <c r="J225">
        <v>-454.13920000000002</v>
      </c>
      <c r="K225">
        <v>1.1100509999999999</v>
      </c>
      <c r="L225">
        <v>367.31880000000001</v>
      </c>
      <c r="M225">
        <v>0.99992119999999995</v>
      </c>
      <c r="N225">
        <v>-8.6986340000000002E-3</v>
      </c>
      <c r="O225">
        <v>9.0621369999999996E-3</v>
      </c>
      <c r="P225">
        <v>0.98027770000000003</v>
      </c>
      <c r="Q225">
        <v>0.17312640000000001</v>
      </c>
      <c r="R225">
        <v>9.5305399999999998E-2</v>
      </c>
      <c r="S225">
        <v>3.076263</v>
      </c>
      <c r="T225">
        <v>-3.758562E-2</v>
      </c>
      <c r="U225">
        <v>-9.7167970000000006E-2</v>
      </c>
      <c r="V225">
        <v>-8.6439500000000002E-2</v>
      </c>
      <c r="W225">
        <v>0.18164359999999999</v>
      </c>
      <c r="X225">
        <v>0.97955800000000004</v>
      </c>
      <c r="Y225">
        <v>4.0622039999999998E-2</v>
      </c>
      <c r="Z225">
        <v>-4.5670919999999998E-4</v>
      </c>
      <c r="AA225">
        <v>0.99917449999999997</v>
      </c>
      <c r="AB225">
        <v>23</v>
      </c>
      <c r="AC225">
        <v>90.610900000000001</v>
      </c>
      <c r="AD225">
        <v>-1.110054675644</v>
      </c>
      <c r="AE225">
        <v>-2.8720999999999801</v>
      </c>
      <c r="AF225">
        <v>3.6925878002778099</v>
      </c>
      <c r="AG225">
        <v>-1.110054675644</v>
      </c>
      <c r="AH225">
        <v>90.567571812020802</v>
      </c>
      <c r="AI225">
        <v>90.7016360566559</v>
      </c>
      <c r="AJ225">
        <v>87.665250636746194</v>
      </c>
      <c r="AK225">
        <v>90.649613843475507</v>
      </c>
      <c r="AL225">
        <v>79.534490806360594</v>
      </c>
      <c r="AM225">
        <v>95.042910264478095</v>
      </c>
      <c r="AN225">
        <v>1.0000000299726</v>
      </c>
    </row>
    <row r="226" spans="1:40" x14ac:dyDescent="0.25">
      <c r="A226" t="str">
        <f>"20190304155020654"</f>
        <v>20190304155020654</v>
      </c>
      <c r="B226" t="str">
        <f>"1551685820646903"</f>
        <v>1551685820646903</v>
      </c>
      <c r="C226" t="s">
        <v>40</v>
      </c>
      <c r="D226">
        <v>4.909554</v>
      </c>
      <c r="E226">
        <v>0.54747579999999996</v>
      </c>
      <c r="F226" t="s">
        <v>41</v>
      </c>
      <c r="G226">
        <v>-359.35309999999998</v>
      </c>
      <c r="H226" s="1">
        <v>-1.6101879999999999E-6</v>
      </c>
      <c r="I226">
        <v>364.33969999999999</v>
      </c>
      <c r="J226">
        <v>-453.90649999999999</v>
      </c>
      <c r="K226">
        <v>1.1100650000000001</v>
      </c>
      <c r="L226">
        <v>367.32100000000003</v>
      </c>
      <c r="M226">
        <v>0.9999188</v>
      </c>
      <c r="N226">
        <v>-8.8585529999999999E-3</v>
      </c>
      <c r="O226">
        <v>9.1641399999999994E-3</v>
      </c>
      <c r="P226">
        <v>0.98013700000000004</v>
      </c>
      <c r="Q226">
        <v>0.17369189999999901</v>
      </c>
      <c r="R226">
        <v>9.5722070000000006E-2</v>
      </c>
      <c r="S226">
        <v>3.0761409999999998</v>
      </c>
      <c r="T226">
        <v>-3.6025050000000003E-2</v>
      </c>
      <c r="U226">
        <v>-9.6679689999999999E-2</v>
      </c>
      <c r="V226">
        <v>-8.6757479999999998E-2</v>
      </c>
      <c r="W226">
        <v>0.1823642</v>
      </c>
      <c r="X226">
        <v>0.97939589999999999</v>
      </c>
      <c r="Y226">
        <v>4.0567100000000002E-2</v>
      </c>
      <c r="Z226">
        <v>-4.4335300000000001E-4</v>
      </c>
      <c r="AA226">
        <v>0.99917670000000003</v>
      </c>
      <c r="AB226">
        <v>23</v>
      </c>
      <c r="AC226">
        <v>94.553399999999996</v>
      </c>
      <c r="AD226">
        <v>-1.1100666101879999</v>
      </c>
      <c r="AE226">
        <v>-2.9812999999999699</v>
      </c>
      <c r="AF226">
        <v>3.8471796394998599</v>
      </c>
      <c r="AG226">
        <v>-1.1100666101879999</v>
      </c>
      <c r="AH226">
        <v>94.509093865278501</v>
      </c>
      <c r="AI226">
        <v>90.672385915381099</v>
      </c>
      <c r="AJ226">
        <v>87.668948936697205</v>
      </c>
      <c r="AK226">
        <v>94.593878566710998</v>
      </c>
      <c r="AL226">
        <v>79.492501266389894</v>
      </c>
      <c r="AM226">
        <v>95.062198499288996</v>
      </c>
      <c r="AN226">
        <v>0.99999994535719805</v>
      </c>
    </row>
    <row r="227" spans="1:40" x14ac:dyDescent="0.25">
      <c r="A227" t="str">
        <f>"20190304155020677"</f>
        <v>20190304155020677</v>
      </c>
      <c r="B227" t="str">
        <f>"1551685820666422"</f>
        <v>1551685820666422</v>
      </c>
      <c r="C227" t="s">
        <v>40</v>
      </c>
      <c r="D227">
        <v>5.1387609999999997</v>
      </c>
      <c r="E227">
        <v>0.54779060000000002</v>
      </c>
      <c r="F227" t="s">
        <v>41</v>
      </c>
      <c r="G227">
        <v>-366.70929999999998</v>
      </c>
      <c r="H227" s="1">
        <v>-2.4279379999999999E-6</v>
      </c>
      <c r="I227">
        <v>364.64769999999999</v>
      </c>
      <c r="J227">
        <v>-453.67720000000003</v>
      </c>
      <c r="K227">
        <v>1.1100810000000001</v>
      </c>
      <c r="L227">
        <v>367.32319999999999</v>
      </c>
      <c r="M227">
        <v>0.99991660000000004</v>
      </c>
      <c r="N227">
        <v>-9.0042760000000003E-3</v>
      </c>
      <c r="O227">
        <v>9.2649970000000005E-3</v>
      </c>
      <c r="P227">
        <v>0.98007549999999999</v>
      </c>
      <c r="Q227">
        <v>0.17376059999999999</v>
      </c>
      <c r="R227">
        <v>9.6227259999999995E-2</v>
      </c>
      <c r="S227">
        <v>3.0769350000000002</v>
      </c>
      <c r="T227">
        <v>-3.9170980000000001E-2</v>
      </c>
      <c r="U227">
        <v>-9.4329830000000003E-2</v>
      </c>
      <c r="V227">
        <v>-8.7164510000000001E-2</v>
      </c>
      <c r="W227">
        <v>0.18257570000000001</v>
      </c>
      <c r="X227">
        <v>0.97932039999999998</v>
      </c>
      <c r="Y227">
        <v>3.9896809999999998E-2</v>
      </c>
      <c r="Z227">
        <v>-4.6807800000000003E-4</v>
      </c>
      <c r="AA227">
        <v>0.99920370000000003</v>
      </c>
      <c r="AB227">
        <v>23</v>
      </c>
      <c r="AC227">
        <v>86.9679</v>
      </c>
      <c r="AD227">
        <v>-1.1100834279380001</v>
      </c>
      <c r="AE227">
        <v>-2.6754999999999902</v>
      </c>
      <c r="AF227">
        <v>3.4806085551325601</v>
      </c>
      <c r="AG227">
        <v>-1.1100834279380001</v>
      </c>
      <c r="AH227">
        <v>86.925228362827895</v>
      </c>
      <c r="AI227">
        <v>90.731073370740205</v>
      </c>
      <c r="AJ227">
        <v>87.707021233919605</v>
      </c>
      <c r="AK227">
        <v>87.001966914896997</v>
      </c>
      <c r="AL227">
        <v>79.480176785263197</v>
      </c>
      <c r="AM227">
        <v>95.086213993491498</v>
      </c>
      <c r="AN227">
        <v>0.99999999194509503</v>
      </c>
    </row>
    <row r="228" spans="1:40" x14ac:dyDescent="0.25">
      <c r="A228" t="str">
        <f>"20190304155020697"</f>
        <v>20190304155020697</v>
      </c>
      <c r="B228" t="str">
        <f>"1551685820686918"</f>
        <v>1551685820686918</v>
      </c>
      <c r="C228" t="s">
        <v>40</v>
      </c>
      <c r="D228">
        <v>5.0187900000000001</v>
      </c>
      <c r="E228">
        <v>0.54769950000000001</v>
      </c>
      <c r="F228" t="s">
        <v>41</v>
      </c>
      <c r="G228">
        <v>-368.04989999999998</v>
      </c>
      <c r="H228" s="1">
        <v>-1.9638580000000001E-6</v>
      </c>
      <c r="I228">
        <v>364.67720000000003</v>
      </c>
      <c r="J228">
        <v>-453.45920000000001</v>
      </c>
      <c r="K228">
        <v>1.110098</v>
      </c>
      <c r="L228">
        <v>367.32530000000003</v>
      </c>
      <c r="M228">
        <v>0.99991450000000004</v>
      </c>
      <c r="N228">
        <v>-9.1333909999999994E-3</v>
      </c>
      <c r="O228">
        <v>9.3609139999999997E-3</v>
      </c>
      <c r="P228">
        <v>0.98001530000000003</v>
      </c>
      <c r="Q228">
        <v>0.17370039999999901</v>
      </c>
      <c r="R228">
        <v>9.6945429999999999E-2</v>
      </c>
      <c r="S228">
        <v>3.0773929999999998</v>
      </c>
      <c r="T228">
        <v>-3.9895649999999998E-2</v>
      </c>
      <c r="U228">
        <v>-9.5092769999999993E-2</v>
      </c>
      <c r="V228">
        <v>-8.7789149999999996E-2</v>
      </c>
      <c r="W228">
        <v>0.18264130000000001</v>
      </c>
      <c r="X228">
        <v>0.97925240000000002</v>
      </c>
      <c r="Y228">
        <v>4.0235350000000003E-2</v>
      </c>
      <c r="Z228">
        <v>-4.8038790000000002E-4</v>
      </c>
      <c r="AA228">
        <v>0.99919009999999997</v>
      </c>
      <c r="AB228">
        <v>23</v>
      </c>
      <c r="AC228">
        <v>85.409300000000002</v>
      </c>
      <c r="AD228">
        <v>-1.110099963858</v>
      </c>
      <c r="AE228">
        <v>-2.6480999999999901</v>
      </c>
      <c r="AF228">
        <v>3.44694466313919</v>
      </c>
      <c r="AG228">
        <v>-1.110099963858</v>
      </c>
      <c r="AH228">
        <v>85.366360543999903</v>
      </c>
      <c r="AI228">
        <v>90.744422972453194</v>
      </c>
      <c r="AJ228">
        <v>87.687752498228903</v>
      </c>
      <c r="AK228">
        <v>85.443134668437096</v>
      </c>
      <c r="AL228">
        <v>79.476354213504194</v>
      </c>
      <c r="AM228">
        <v>95.122823502602699</v>
      </c>
      <c r="AN228">
        <v>1.0000000211145801</v>
      </c>
    </row>
    <row r="229" spans="1:40" x14ac:dyDescent="0.25">
      <c r="A229" t="str">
        <f>"20190304155020720"</f>
        <v>20190304155020720</v>
      </c>
      <c r="B229" t="str">
        <f>"1551685820717174"</f>
        <v>1551685820717174</v>
      </c>
      <c r="C229" t="s">
        <v>40</v>
      </c>
      <c r="D229">
        <v>4.962726</v>
      </c>
      <c r="E229">
        <v>0.54771999999999998</v>
      </c>
      <c r="F229" t="s">
        <v>41</v>
      </c>
      <c r="G229">
        <v>-365.64870000000002</v>
      </c>
      <c r="H229" s="1">
        <v>-2.7771020000000001E-6</v>
      </c>
      <c r="I229">
        <v>364.6918</v>
      </c>
      <c r="J229">
        <v>-453.23329999999999</v>
      </c>
      <c r="K229">
        <v>1.1101129999999999</v>
      </c>
      <c r="L229">
        <v>367.32760000000002</v>
      </c>
      <c r="M229">
        <v>0.99991240000000003</v>
      </c>
      <c r="N229">
        <v>-9.2596420000000002E-3</v>
      </c>
      <c r="O229">
        <v>9.460174E-3</v>
      </c>
      <c r="P229">
        <v>0.97995259999999995</v>
      </c>
      <c r="Q229">
        <v>0.17387820000000001</v>
      </c>
      <c r="R229">
        <v>9.7259739999999997E-2</v>
      </c>
      <c r="S229">
        <v>3.0772089999999999</v>
      </c>
      <c r="T229">
        <v>-3.8902039999999999E-2</v>
      </c>
      <c r="U229">
        <v>-9.2285160000000005E-2</v>
      </c>
      <c r="V229">
        <v>-8.8006879999999996E-2</v>
      </c>
      <c r="W229">
        <v>0.18294179999999999</v>
      </c>
      <c r="X229">
        <v>0.97917679999999996</v>
      </c>
      <c r="Y229">
        <v>3.9425889999999998E-2</v>
      </c>
      <c r="Z229">
        <v>-4.6372690000000001E-4</v>
      </c>
      <c r="AA229">
        <v>0.99922239999999996</v>
      </c>
      <c r="AB229">
        <v>23</v>
      </c>
      <c r="AC229">
        <v>87.584599999999895</v>
      </c>
      <c r="AD229">
        <v>-1.1101157771019901</v>
      </c>
      <c r="AE229">
        <v>-2.6358000000000099</v>
      </c>
      <c r="AF229">
        <v>3.4637271582333198</v>
      </c>
      <c r="AG229">
        <v>-1.1101157771019901</v>
      </c>
      <c r="AH229">
        <v>87.541693336185205</v>
      </c>
      <c r="AI229">
        <v>90.725960584171006</v>
      </c>
      <c r="AJ229">
        <v>87.734182711536505</v>
      </c>
      <c r="AK229">
        <v>87.617223392618101</v>
      </c>
      <c r="AL229">
        <v>79.458842185182306</v>
      </c>
      <c r="AM229">
        <v>95.135855380470403</v>
      </c>
      <c r="AN229">
        <v>1.0000000593864</v>
      </c>
    </row>
    <row r="230" spans="1:40" x14ac:dyDescent="0.25">
      <c r="A230" t="str">
        <f>"20190304155020743"</f>
        <v>20190304155020743</v>
      </c>
      <c r="B230" t="str">
        <f>"1551685820736694"</f>
        <v>1551685820736694</v>
      </c>
      <c r="C230" t="s">
        <v>40</v>
      </c>
      <c r="D230">
        <v>5.1845470000000002</v>
      </c>
      <c r="E230">
        <v>0.54806919999999903</v>
      </c>
      <c r="F230" t="s">
        <v>41</v>
      </c>
      <c r="G230">
        <v>-361.1225</v>
      </c>
      <c r="H230" s="1">
        <v>-4.6820829999999998E-6</v>
      </c>
      <c r="I230">
        <v>364.59140000000002</v>
      </c>
      <c r="J230">
        <v>-452.99869999999999</v>
      </c>
      <c r="K230">
        <v>1.110134</v>
      </c>
      <c r="L230">
        <v>367.32990000000001</v>
      </c>
      <c r="M230">
        <v>0.99991039999999998</v>
      </c>
      <c r="N230">
        <v>-9.3840190000000004E-3</v>
      </c>
      <c r="O230">
        <v>9.5636049999999993E-3</v>
      </c>
      <c r="P230">
        <v>0.97990569999999999</v>
      </c>
      <c r="Q230">
        <v>0.17403379999999999</v>
      </c>
      <c r="R230">
        <v>9.7453999999999999E-2</v>
      </c>
      <c r="S230">
        <v>3.0769959999999998</v>
      </c>
      <c r="T230">
        <v>-3.7083860000000003E-2</v>
      </c>
      <c r="U230">
        <v>-9.1400149999999999E-2</v>
      </c>
      <c r="V230">
        <v>-8.8099839999999999E-2</v>
      </c>
      <c r="W230">
        <v>0.18321889999999999</v>
      </c>
      <c r="X230">
        <v>0.9791166</v>
      </c>
      <c r="Y230">
        <v>3.9244599999999998E-2</v>
      </c>
      <c r="Z230">
        <v>-4.4612839999999998E-4</v>
      </c>
      <c r="AA230">
        <v>0.99922960000000005</v>
      </c>
      <c r="AB230">
        <v>23</v>
      </c>
      <c r="AC230">
        <v>91.876199999999898</v>
      </c>
      <c r="AD230">
        <v>-1.1101386820829999</v>
      </c>
      <c r="AE230">
        <v>-2.7384999999999802</v>
      </c>
      <c r="AF230">
        <v>3.61655343907842</v>
      </c>
      <c r="AG230">
        <v>-1.1101386820829999</v>
      </c>
      <c r="AH230">
        <v>91.832411344418603</v>
      </c>
      <c r="AI230">
        <v>90.692063961974995</v>
      </c>
      <c r="AJ230">
        <v>87.744737188182398</v>
      </c>
      <c r="AK230">
        <v>91.910302142913594</v>
      </c>
      <c r="AL230">
        <v>79.442692268939197</v>
      </c>
      <c r="AM230">
        <v>95.141565639569606</v>
      </c>
      <c r="AN230">
        <v>1.0000000317603901</v>
      </c>
    </row>
    <row r="231" spans="1:40" x14ac:dyDescent="0.25">
      <c r="A231" t="str">
        <f>"20190304155020765"</f>
        <v>20190304155020765</v>
      </c>
      <c r="B231" t="str">
        <f>"1551685820757190"</f>
        <v>1551685820757190</v>
      </c>
      <c r="C231" t="s">
        <v>40</v>
      </c>
      <c r="D231">
        <v>4.932976</v>
      </c>
      <c r="E231">
        <v>0.54796429999999996</v>
      </c>
      <c r="F231" t="s">
        <v>41</v>
      </c>
      <c r="G231">
        <v>-364.71460000000002</v>
      </c>
      <c r="H231" s="1">
        <v>-3.1326599999999998E-6</v>
      </c>
      <c r="I231">
        <v>364.63889999999998</v>
      </c>
      <c r="J231">
        <v>-452.76409999999998</v>
      </c>
      <c r="K231">
        <v>1.110141</v>
      </c>
      <c r="L231">
        <v>367.3322</v>
      </c>
      <c r="M231">
        <v>0.99990829999999997</v>
      </c>
      <c r="N231">
        <v>-9.5023509999999992E-3</v>
      </c>
      <c r="O231">
        <v>9.666404E-3</v>
      </c>
      <c r="P231">
        <v>0.97981019999999996</v>
      </c>
      <c r="Q231">
        <v>0.17440249999999999</v>
      </c>
      <c r="R231">
        <v>9.7753720000000002E-2</v>
      </c>
      <c r="S231">
        <v>3.0777589999999999</v>
      </c>
      <c r="T231">
        <v>-3.8701529999999998E-2</v>
      </c>
      <c r="U231">
        <v>-9.3811039999999998E-2</v>
      </c>
      <c r="V231">
        <v>-8.8299939999999993E-2</v>
      </c>
      <c r="W231">
        <v>0.18370310000000001</v>
      </c>
      <c r="X231">
        <v>0.97900779999999998</v>
      </c>
      <c r="Y231">
        <v>4.0121480000000001E-2</v>
      </c>
      <c r="Z231">
        <v>-4.7256279999999999E-4</v>
      </c>
      <c r="AA231">
        <v>0.99919469999999999</v>
      </c>
      <c r="AB231">
        <v>23</v>
      </c>
      <c r="AC231">
        <v>88.049499999999895</v>
      </c>
      <c r="AD231">
        <v>-1.1101441326599999</v>
      </c>
      <c r="AE231">
        <v>-2.6933000000000198</v>
      </c>
      <c r="AF231">
        <v>3.5437716638421399</v>
      </c>
      <c r="AG231">
        <v>-1.1101441326599999</v>
      </c>
      <c r="AH231">
        <v>88.0053733848668</v>
      </c>
      <c r="AI231">
        <v>90.722134339795701</v>
      </c>
      <c r="AJ231">
        <v>87.694078044482694</v>
      </c>
      <c r="AK231">
        <v>88.083690216807796</v>
      </c>
      <c r="AL231">
        <v>79.414470204415593</v>
      </c>
      <c r="AM231">
        <v>95.153750409161205</v>
      </c>
      <c r="AN231">
        <v>0.99999999040722598</v>
      </c>
    </row>
    <row r="232" spans="1:40" x14ac:dyDescent="0.25">
      <c r="A232" t="str">
        <f>"20190304155020787"</f>
        <v>20190304155020787</v>
      </c>
      <c r="B232" t="str">
        <f>"1551685820776714"</f>
        <v>1551685820776714</v>
      </c>
      <c r="C232" t="s">
        <v>40</v>
      </c>
      <c r="D232">
        <v>5.0123110000000004</v>
      </c>
      <c r="E232">
        <v>0.54784239999999995</v>
      </c>
      <c r="F232" t="s">
        <v>41</v>
      </c>
      <c r="G232">
        <v>-362.30059999999997</v>
      </c>
      <c r="H232" s="1">
        <v>-4.1702149999999997E-6</v>
      </c>
      <c r="I232">
        <v>364.6277</v>
      </c>
      <c r="J232">
        <v>-452.53579999999999</v>
      </c>
      <c r="K232">
        <v>1.1101540000000001</v>
      </c>
      <c r="L232">
        <v>367.33460000000002</v>
      </c>
      <c r="M232">
        <v>0.99990610000000002</v>
      </c>
      <c r="N232">
        <v>-9.6119640000000006E-3</v>
      </c>
      <c r="O232">
        <v>9.7668519999999995E-3</v>
      </c>
      <c r="P232">
        <v>0.97982429999999998</v>
      </c>
      <c r="Q232">
        <v>0.1744512</v>
      </c>
      <c r="R232">
        <v>9.7524910000000006E-2</v>
      </c>
      <c r="S232">
        <v>3.077728</v>
      </c>
      <c r="T232">
        <v>-3.7769079999999997E-2</v>
      </c>
      <c r="U232">
        <v>-9.2010499999999995E-2</v>
      </c>
      <c r="V232">
        <v>-8.7972419999999996E-2</v>
      </c>
      <c r="W232">
        <v>0.18385870000000001</v>
      </c>
      <c r="X232">
        <v>0.97900810000000005</v>
      </c>
      <c r="Y232">
        <v>3.9638399999999997E-2</v>
      </c>
      <c r="Z232">
        <v>-4.5968490000000001E-4</v>
      </c>
      <c r="AA232">
        <v>0.99921400000000005</v>
      </c>
      <c r="AB232">
        <v>23</v>
      </c>
      <c r="AC232">
        <v>90.235200000000006</v>
      </c>
      <c r="AD232">
        <v>-1.1101581702150001</v>
      </c>
      <c r="AE232">
        <v>-2.7069000000000099</v>
      </c>
      <c r="AF232">
        <v>3.5875829039084599</v>
      </c>
      <c r="AG232">
        <v>-1.1101581702150001</v>
      </c>
      <c r="AH232">
        <v>90.190817338883605</v>
      </c>
      <c r="AI232">
        <v>90.704660550593701</v>
      </c>
      <c r="AJ232">
        <v>87.722106810709107</v>
      </c>
      <c r="AK232">
        <v>90.268968834872496</v>
      </c>
      <c r="AL232">
        <v>79.405400752285402</v>
      </c>
      <c r="AM232">
        <v>95.134735055180201</v>
      </c>
      <c r="AN232">
        <v>1.0000000140559699</v>
      </c>
    </row>
    <row r="233" spans="1:40" x14ac:dyDescent="0.25">
      <c r="A233" t="str">
        <f>"20190304155020809"</f>
        <v>20190304155020809</v>
      </c>
      <c r="B233" t="str">
        <f>"1551685820806967"</f>
        <v>1551685820806967</v>
      </c>
      <c r="C233" t="s">
        <v>40</v>
      </c>
      <c r="D233">
        <v>4.920363</v>
      </c>
      <c r="E233">
        <v>0.5478539</v>
      </c>
      <c r="F233" t="s">
        <v>41</v>
      </c>
      <c r="G233">
        <v>-360.00720000000001</v>
      </c>
      <c r="H233" s="1">
        <v>-5.1640199999999904E-6</v>
      </c>
      <c r="I233">
        <v>364.57170000000002</v>
      </c>
      <c r="J233">
        <v>-452.30860000000001</v>
      </c>
      <c r="K233">
        <v>1.1101700000000001</v>
      </c>
      <c r="L233">
        <v>367.33690000000001</v>
      </c>
      <c r="M233">
        <v>0.99990420000000002</v>
      </c>
      <c r="N233">
        <v>-9.7166189999999993E-3</v>
      </c>
      <c r="O233">
        <v>9.86684E-3</v>
      </c>
      <c r="P233">
        <v>0.97979559999999999</v>
      </c>
      <c r="Q233">
        <v>0.17473029999999901</v>
      </c>
      <c r="R233">
        <v>9.7313419999999998E-2</v>
      </c>
      <c r="S233">
        <v>3.0774840000000001</v>
      </c>
      <c r="T233">
        <v>-3.6923650000000002E-2</v>
      </c>
      <c r="U233">
        <v>-9.1888429999999993E-2</v>
      </c>
      <c r="V233">
        <v>-8.7663539999999998E-2</v>
      </c>
      <c r="W233">
        <v>0.1842406</v>
      </c>
      <c r="X233">
        <v>0.97896399999999995</v>
      </c>
      <c r="Y233">
        <v>3.9701260000000002E-2</v>
      </c>
      <c r="Z233">
        <v>-4.535516E-4</v>
      </c>
      <c r="AA233">
        <v>0.99921150000000003</v>
      </c>
      <c r="AB233">
        <v>23</v>
      </c>
      <c r="AC233">
        <v>92.301400000000001</v>
      </c>
      <c r="AD233">
        <v>-1.1101751640199999</v>
      </c>
      <c r="AE233">
        <v>-2.7651999999999899</v>
      </c>
      <c r="AF233">
        <v>3.6753002276842999</v>
      </c>
      <c r="AG233">
        <v>-1.1101751640199999</v>
      </c>
      <c r="AH233">
        <v>92.256287036504006</v>
      </c>
      <c r="AI233">
        <v>90.688894768293693</v>
      </c>
      <c r="AJ233">
        <v>87.718660662424497</v>
      </c>
      <c r="AK233">
        <v>92.336140369956098</v>
      </c>
      <c r="AL233">
        <v>79.383139092210698</v>
      </c>
      <c r="AM233">
        <v>95.117031631909796</v>
      </c>
      <c r="AN233">
        <v>1.00000000411484</v>
      </c>
    </row>
    <row r="234" spans="1:40" x14ac:dyDescent="0.25">
      <c r="A234" t="str">
        <f>"20190304155020832"</f>
        <v>20190304155020832</v>
      </c>
      <c r="B234" t="str">
        <f>"1551685820826487"</f>
        <v>1551685820826487</v>
      </c>
      <c r="C234" t="s">
        <v>40</v>
      </c>
      <c r="D234">
        <v>5.1409089999999997</v>
      </c>
      <c r="E234">
        <v>0.54743039999999998</v>
      </c>
      <c r="F234" t="s">
        <v>41</v>
      </c>
      <c r="G234">
        <v>-362.80220000000003</v>
      </c>
      <c r="H234" s="1">
        <v>-3.9502300000000003E-6</v>
      </c>
      <c r="I234">
        <v>364.6549</v>
      </c>
      <c r="J234">
        <v>-452.06659999999999</v>
      </c>
      <c r="K234">
        <v>1.11019</v>
      </c>
      <c r="L234">
        <v>367.33940000000001</v>
      </c>
      <c r="M234">
        <v>0.99990210000000002</v>
      </c>
      <c r="N234">
        <v>-9.8225210000000007E-3</v>
      </c>
      <c r="O234">
        <v>9.9733700000000005E-3</v>
      </c>
      <c r="P234">
        <v>0.9796608</v>
      </c>
      <c r="Q234">
        <v>0.1755526</v>
      </c>
      <c r="R234">
        <v>9.7191079999999999E-2</v>
      </c>
      <c r="S234">
        <v>3.0778810000000001</v>
      </c>
      <c r="T234">
        <v>-3.8175819999999999E-2</v>
      </c>
      <c r="U234">
        <v>-9.2224120000000007E-2</v>
      </c>
      <c r="V234">
        <v>-8.7438000000000002E-2</v>
      </c>
      <c r="W234">
        <v>0.1851653</v>
      </c>
      <c r="X234">
        <v>0.9788097</v>
      </c>
      <c r="Y234">
        <v>3.9912419999999997E-2</v>
      </c>
      <c r="Z234">
        <v>-4.6927230000000001E-4</v>
      </c>
      <c r="AA234">
        <v>0.99920310000000001</v>
      </c>
      <c r="AB234">
        <v>23</v>
      </c>
      <c r="AC234">
        <v>89.264399999999895</v>
      </c>
      <c r="AD234">
        <v>-1.11019395022999</v>
      </c>
      <c r="AE234">
        <v>-2.6845000000000101</v>
      </c>
      <c r="AF234">
        <v>3.5741238863606499</v>
      </c>
      <c r="AG234">
        <v>-1.11019395022999</v>
      </c>
      <c r="AH234">
        <v>89.219396972624807</v>
      </c>
      <c r="AI234">
        <v>90.712347048401398</v>
      </c>
      <c r="AJ234">
        <v>87.705961016484807</v>
      </c>
      <c r="AK234">
        <v>89.297859371437298</v>
      </c>
      <c r="AL234">
        <v>79.329230215706104</v>
      </c>
      <c r="AM234">
        <v>95.104736537682996</v>
      </c>
      <c r="AN234">
        <v>1.00000001049109</v>
      </c>
    </row>
    <row r="235" spans="1:40" x14ac:dyDescent="0.25">
      <c r="A235" t="str">
        <f>"20190304155020855"</f>
        <v>20190304155020855</v>
      </c>
      <c r="B235" t="str">
        <f>"1551685820846984"</f>
        <v>1551685820846984</v>
      </c>
      <c r="C235" t="s">
        <v>40</v>
      </c>
      <c r="D235">
        <v>5.1723689999999998</v>
      </c>
      <c r="E235">
        <v>0.54723759999999999</v>
      </c>
      <c r="F235" t="s">
        <v>41</v>
      </c>
      <c r="G235">
        <v>-361.78660000000002</v>
      </c>
      <c r="H235" s="1">
        <v>-4.3751099999999997E-6</v>
      </c>
      <c r="I235">
        <v>364.71570000000003</v>
      </c>
      <c r="J235">
        <v>-451.82709999999997</v>
      </c>
      <c r="K235">
        <v>1.110204</v>
      </c>
      <c r="L235">
        <v>367.34190000000001</v>
      </c>
      <c r="M235">
        <v>0.99990020000000002</v>
      </c>
      <c r="N235">
        <v>-9.9193509999999999E-3</v>
      </c>
      <c r="O235">
        <v>1.0078220000000001E-2</v>
      </c>
      <c r="P235">
        <v>0.97958210000000001</v>
      </c>
      <c r="Q235">
        <v>0.17593429999999999</v>
      </c>
      <c r="R235">
        <v>9.7295489999999998E-2</v>
      </c>
      <c r="S235">
        <v>3.0779420000000002</v>
      </c>
      <c r="T235">
        <v>-3.7850139999999997E-2</v>
      </c>
      <c r="U235">
        <v>-8.9447020000000002E-2</v>
      </c>
      <c r="V235">
        <v>-8.744122E-2</v>
      </c>
      <c r="W235">
        <v>0.1856409</v>
      </c>
      <c r="X235">
        <v>0.97871929999999996</v>
      </c>
      <c r="Y235">
        <v>3.911601E-2</v>
      </c>
      <c r="Z235">
        <v>-4.5846960000000002E-4</v>
      </c>
      <c r="AA235">
        <v>0.99923459999999997</v>
      </c>
      <c r="AB235">
        <v>23</v>
      </c>
      <c r="AC235">
        <v>90.040499999999895</v>
      </c>
      <c r="AD235">
        <v>-1.11020837511</v>
      </c>
      <c r="AE235">
        <v>-2.6261999999999799</v>
      </c>
      <c r="AF235">
        <v>3.53302238260502</v>
      </c>
      <c r="AG235">
        <v>-1.11020837511</v>
      </c>
      <c r="AH235">
        <v>89.995787433827402</v>
      </c>
      <c r="AI235">
        <v>90.706233888869306</v>
      </c>
      <c r="AJ235">
        <v>87.751857257212194</v>
      </c>
      <c r="AK235">
        <v>90.071952158409403</v>
      </c>
      <c r="AL235">
        <v>79.301499336475899</v>
      </c>
      <c r="AM235">
        <v>95.105392559463596</v>
      </c>
      <c r="AN235">
        <v>0.99999998945019397</v>
      </c>
    </row>
    <row r="236" spans="1:40" x14ac:dyDescent="0.25">
      <c r="A236" t="str">
        <f>"20190304155020877"</f>
        <v>20190304155020877</v>
      </c>
      <c r="B236" t="str">
        <f>"1551685820866506"</f>
        <v>1551685820866506</v>
      </c>
      <c r="C236" t="s">
        <v>40</v>
      </c>
      <c r="D236">
        <v>5.1522540000000001</v>
      </c>
      <c r="E236">
        <v>0.54694609999999899</v>
      </c>
      <c r="F236" t="s">
        <v>41</v>
      </c>
      <c r="G236">
        <v>-366.23489999999998</v>
      </c>
      <c r="H236" s="1">
        <v>-2.5216050000000001E-6</v>
      </c>
      <c r="I236">
        <v>364.9024</v>
      </c>
      <c r="J236">
        <v>-451.59989999999999</v>
      </c>
      <c r="K236">
        <v>1.1102160000000001</v>
      </c>
      <c r="L236">
        <v>367.34440000000001</v>
      </c>
      <c r="M236">
        <v>0.99989810000000001</v>
      </c>
      <c r="N236">
        <v>-1.0002489999999999E-2</v>
      </c>
      <c r="O236">
        <v>1.0178120000000001E-2</v>
      </c>
      <c r="P236">
        <v>0.97949509999999995</v>
      </c>
      <c r="Q236">
        <v>0.17631040000000001</v>
      </c>
      <c r="R236">
        <v>9.7487569999999996E-2</v>
      </c>
      <c r="S236">
        <v>3.07843</v>
      </c>
      <c r="T236">
        <v>-3.9929869999999999E-2</v>
      </c>
      <c r="U236">
        <v>-8.7738040000000003E-2</v>
      </c>
      <c r="V236">
        <v>-8.753619E-2</v>
      </c>
      <c r="W236">
        <v>0.1860977</v>
      </c>
      <c r="X236">
        <v>0.97862400000000005</v>
      </c>
      <c r="Y236">
        <v>3.8656549999999998E-2</v>
      </c>
      <c r="Z236">
        <v>-4.7423670000000003E-4</v>
      </c>
      <c r="AA236">
        <v>0.99925240000000004</v>
      </c>
      <c r="AB236">
        <v>23</v>
      </c>
      <c r="AC236">
        <v>85.364999999999995</v>
      </c>
      <c r="AD236">
        <v>-1.110218521605</v>
      </c>
      <c r="AE236">
        <v>-2.4420000000000002</v>
      </c>
      <c r="AF236">
        <v>3.3102127947206101</v>
      </c>
      <c r="AG236">
        <v>-1.110218521605</v>
      </c>
      <c r="AH236">
        <v>85.321301764120506</v>
      </c>
      <c r="AI236">
        <v>90.744942151483698</v>
      </c>
      <c r="AJ236">
        <v>87.778208437813106</v>
      </c>
      <c r="AK236">
        <v>85.392708287277998</v>
      </c>
      <c r="AL236">
        <v>79.274861881694406</v>
      </c>
      <c r="AM236">
        <v>95.111403252067305</v>
      </c>
      <c r="AN236">
        <v>0.99999993594050096</v>
      </c>
    </row>
    <row r="237" spans="1:40" x14ac:dyDescent="0.25">
      <c r="A237" t="str">
        <f>"20190304155020899"</f>
        <v>20190304155020899</v>
      </c>
      <c r="B237" t="str">
        <f>"1551685820896758"</f>
        <v>1551685820896758</v>
      </c>
      <c r="C237" t="s">
        <v>40</v>
      </c>
      <c r="D237">
        <v>5.1439360000000001</v>
      </c>
      <c r="E237">
        <v>0.54669049999999997</v>
      </c>
      <c r="F237" t="s">
        <v>41</v>
      </c>
      <c r="G237">
        <v>-368.86869999999999</v>
      </c>
      <c r="H237" s="1">
        <v>-1.5804419999999901E-6</v>
      </c>
      <c r="I237">
        <v>365.07100000000003</v>
      </c>
      <c r="J237">
        <v>-451.37400000000002</v>
      </c>
      <c r="K237">
        <v>1.110231</v>
      </c>
      <c r="L237">
        <v>367.3467</v>
      </c>
      <c r="M237">
        <v>0.99989640000000002</v>
      </c>
      <c r="N237">
        <v>-1.007833E-2</v>
      </c>
      <c r="O237">
        <v>1.027716E-2</v>
      </c>
      <c r="P237">
        <v>0.97943820000000004</v>
      </c>
      <c r="Q237">
        <v>0.1765671</v>
      </c>
      <c r="R237">
        <v>9.7595879999999996E-2</v>
      </c>
      <c r="S237">
        <v>3.0787049999999998</v>
      </c>
      <c r="T237">
        <v>-4.1314839999999999E-2</v>
      </c>
      <c r="U237">
        <v>-8.4594730000000007E-2</v>
      </c>
      <c r="V237">
        <v>-8.7547410000000006E-2</v>
      </c>
      <c r="W237">
        <v>0.18642800000000001</v>
      </c>
      <c r="X237">
        <v>0.97856019999999999</v>
      </c>
      <c r="Y237">
        <v>3.7733349999999999E-2</v>
      </c>
      <c r="Z237">
        <v>-4.7765299999999998E-4</v>
      </c>
      <c r="AA237">
        <v>0.9992877</v>
      </c>
      <c r="AB237">
        <v>23</v>
      </c>
      <c r="AC237">
        <v>82.505300000000005</v>
      </c>
      <c r="AD237">
        <v>-1.1102325804419999</v>
      </c>
      <c r="AE237">
        <v>-2.27570000000002</v>
      </c>
      <c r="AF237">
        <v>3.12297796760117</v>
      </c>
      <c r="AG237">
        <v>-1.1102325804419999</v>
      </c>
      <c r="AH237">
        <v>82.462632648703405</v>
      </c>
      <c r="AI237">
        <v>90.770800493623994</v>
      </c>
      <c r="AJ237">
        <v>87.831163279350704</v>
      </c>
      <c r="AK237">
        <v>82.529215379305498</v>
      </c>
      <c r="AL237">
        <v>79.255600768723298</v>
      </c>
      <c r="AM237">
        <v>95.112386466527198</v>
      </c>
      <c r="AN237">
        <v>1.00000000660287</v>
      </c>
    </row>
    <row r="238" spans="1:40" x14ac:dyDescent="0.25">
      <c r="A238" t="str">
        <f>"20190304155020921"</f>
        <v>20190304155020921</v>
      </c>
      <c r="B238" t="str">
        <f>"1551685820917255"</f>
        <v>1551685820917255</v>
      </c>
      <c r="C238" t="s">
        <v>40</v>
      </c>
      <c r="D238">
        <v>5.2022539999999999</v>
      </c>
      <c r="E238">
        <v>0.54652330000000005</v>
      </c>
      <c r="F238" t="s">
        <v>41</v>
      </c>
      <c r="G238">
        <v>-375.97309999999999</v>
      </c>
      <c r="H238" s="1">
        <v>-2.49579E-6</v>
      </c>
      <c r="I238">
        <v>365.33429999999998</v>
      </c>
      <c r="J238">
        <v>-451.15140000000002</v>
      </c>
      <c r="K238">
        <v>1.110239</v>
      </c>
      <c r="L238">
        <v>367.34910000000002</v>
      </c>
      <c r="M238">
        <v>0.99989470000000003</v>
      </c>
      <c r="N238">
        <v>-1.0149689999999999E-2</v>
      </c>
      <c r="O238">
        <v>1.037443E-2</v>
      </c>
      <c r="P238">
        <v>0.97946699999999998</v>
      </c>
      <c r="Q238">
        <v>0.1764027</v>
      </c>
      <c r="R238">
        <v>9.7604739999999995E-2</v>
      </c>
      <c r="S238">
        <v>3.0793460000000001</v>
      </c>
      <c r="T238">
        <v>-4.5341489999999998E-2</v>
      </c>
      <c r="U238">
        <v>-8.2183839999999994E-2</v>
      </c>
      <c r="V238">
        <v>-8.7461280000000002E-2</v>
      </c>
      <c r="W238">
        <v>0.18633379999999999</v>
      </c>
      <c r="X238">
        <v>0.97858579999999995</v>
      </c>
      <c r="Y238">
        <v>3.7042180000000001E-2</v>
      </c>
      <c r="Z238">
        <v>-5.0813509999999998E-4</v>
      </c>
      <c r="AA238">
        <v>0.99931360000000002</v>
      </c>
      <c r="AB238">
        <v>23</v>
      </c>
      <c r="AC238">
        <v>75.178299999999993</v>
      </c>
      <c r="AD238">
        <v>-1.11024149579</v>
      </c>
      <c r="AE238">
        <v>-2.0148000000000299</v>
      </c>
      <c r="AF238">
        <v>2.7940547876816901</v>
      </c>
      <c r="AG238">
        <v>-1.11024149579</v>
      </c>
      <c r="AH238">
        <v>75.136974926501196</v>
      </c>
      <c r="AI238">
        <v>90.8459695959492</v>
      </c>
      <c r="AJ238">
        <v>87.870371835225797</v>
      </c>
      <c r="AK238">
        <v>75.1971035309287</v>
      </c>
      <c r="AL238">
        <v>79.261093830705803</v>
      </c>
      <c r="AM238">
        <v>95.107250561494595</v>
      </c>
      <c r="AN238">
        <v>0.99999996424165805</v>
      </c>
    </row>
    <row r="239" spans="1:40" x14ac:dyDescent="0.25">
      <c r="A239" t="str">
        <f>"20190304155020944"</f>
        <v>20190304155020944</v>
      </c>
      <c r="B239" t="str">
        <f>"1551685820936774"</f>
        <v>1551685820936774</v>
      </c>
      <c r="C239" t="s">
        <v>40</v>
      </c>
      <c r="D239">
        <v>5.1332909999999998</v>
      </c>
      <c r="E239">
        <v>0.54629469999999902</v>
      </c>
      <c r="F239" t="s">
        <v>41</v>
      </c>
      <c r="G239">
        <v>-381.18079999999998</v>
      </c>
      <c r="H239" s="1">
        <v>-4.4917020000000002E-6</v>
      </c>
      <c r="I239">
        <v>365.52350000000001</v>
      </c>
      <c r="J239">
        <v>-450.90600000000001</v>
      </c>
      <c r="K239">
        <v>1.1102430000000001</v>
      </c>
      <c r="L239">
        <v>367.35180000000003</v>
      </c>
      <c r="M239">
        <v>0.99989269999999997</v>
      </c>
      <c r="N239">
        <v>-1.0224499999999999E-2</v>
      </c>
      <c r="O239">
        <v>1.0482409999999999E-2</v>
      </c>
      <c r="P239">
        <v>0.97958920000000005</v>
      </c>
      <c r="Q239">
        <v>0.1756645</v>
      </c>
      <c r="R239">
        <v>9.7707420000000003E-2</v>
      </c>
      <c r="S239">
        <v>3.0797119999999998</v>
      </c>
      <c r="T239">
        <v>-4.8866630000000001E-2</v>
      </c>
      <c r="U239">
        <v>-8.0352779999999999E-2</v>
      </c>
      <c r="V239">
        <v>-8.7456140000000002E-2</v>
      </c>
      <c r="W239">
        <v>0.1856699</v>
      </c>
      <c r="X239">
        <v>0.97871249999999999</v>
      </c>
      <c r="Y239">
        <v>3.6552349999999997E-2</v>
      </c>
      <c r="Z239">
        <v>-5.3598070000000005E-4</v>
      </c>
      <c r="AA239">
        <v>0.99933159999999999</v>
      </c>
      <c r="AB239">
        <v>23</v>
      </c>
      <c r="AC239">
        <v>69.725200000000001</v>
      </c>
      <c r="AD239">
        <v>-1.110247491702</v>
      </c>
      <c r="AE239">
        <v>-1.82830000000001</v>
      </c>
      <c r="AF239">
        <v>2.5584776895772499</v>
      </c>
      <c r="AG239">
        <v>-1.110247491702</v>
      </c>
      <c r="AH239">
        <v>69.684546532949398</v>
      </c>
      <c r="AI239">
        <v>90.912172012616196</v>
      </c>
      <c r="AJ239">
        <v>87.897322056627502</v>
      </c>
      <c r="AK239">
        <v>69.740336126833199</v>
      </c>
      <c r="AL239">
        <v>79.299808723490301</v>
      </c>
      <c r="AM239">
        <v>95.106294372319795</v>
      </c>
      <c r="AN239">
        <v>1.00000002292297</v>
      </c>
    </row>
    <row r="240" spans="1:40" x14ac:dyDescent="0.25">
      <c r="A240" t="str">
        <f>"20190304155020966"</f>
        <v>20190304155020966</v>
      </c>
      <c r="B240" t="str">
        <f>"1551685820957270"</f>
        <v>1551685820957270</v>
      </c>
      <c r="C240" t="s">
        <v>40</v>
      </c>
      <c r="D240">
        <v>5.1932679999999998</v>
      </c>
      <c r="E240">
        <v>0.54622309999999996</v>
      </c>
      <c r="F240" t="s">
        <v>41</v>
      </c>
      <c r="G240">
        <v>-385.96879999999999</v>
      </c>
      <c r="H240" s="1">
        <v>-2.408173E-6</v>
      </c>
      <c r="I240">
        <v>365.68970000000002</v>
      </c>
      <c r="J240">
        <v>-450.67360000000002</v>
      </c>
      <c r="K240">
        <v>1.1102540000000001</v>
      </c>
      <c r="L240">
        <v>367.3544</v>
      </c>
      <c r="M240">
        <v>0.99989110000000003</v>
      </c>
      <c r="N240">
        <v>-1.0288769999999999E-2</v>
      </c>
      <c r="O240">
        <v>1.0584E-2</v>
      </c>
      <c r="P240">
        <v>0.97954600000000003</v>
      </c>
      <c r="Q240">
        <v>0.17590339999999999</v>
      </c>
      <c r="R240">
        <v>9.7712930000000003E-2</v>
      </c>
      <c r="S240">
        <v>3.0797729999999999</v>
      </c>
      <c r="T240">
        <v>-5.265558E-2</v>
      </c>
      <c r="U240">
        <v>-7.8826899999999894E-2</v>
      </c>
      <c r="V240">
        <v>-8.7362860000000001E-2</v>
      </c>
      <c r="W240">
        <v>0.18597169999999999</v>
      </c>
      <c r="X240">
        <v>0.97866350000000002</v>
      </c>
      <c r="Y240">
        <v>3.615761E-2</v>
      </c>
      <c r="Z240">
        <v>-5.671319E-4</v>
      </c>
      <c r="AA240">
        <v>0.99934599999999996</v>
      </c>
      <c r="AB240">
        <v>23</v>
      </c>
      <c r="AC240">
        <v>64.704800000000006</v>
      </c>
      <c r="AD240">
        <v>-1.110256408173</v>
      </c>
      <c r="AE240">
        <v>-1.6646999999999801</v>
      </c>
      <c r="AF240">
        <v>2.3487874868432601</v>
      </c>
      <c r="AG240">
        <v>-1.110256408173</v>
      </c>
      <c r="AH240">
        <v>64.664529036591404</v>
      </c>
      <c r="AI240">
        <v>90.982994045539996</v>
      </c>
      <c r="AJ240">
        <v>87.919779586674295</v>
      </c>
      <c r="AK240">
        <v>64.716696357852001</v>
      </c>
      <c r="AL240">
        <v>79.282210048647997</v>
      </c>
      <c r="AM240">
        <v>95.101130832832098</v>
      </c>
      <c r="AN240">
        <v>0.99999999437025899</v>
      </c>
    </row>
    <row r="241" spans="1:40" x14ac:dyDescent="0.25">
      <c r="A241" t="str">
        <f>"20190304155020988"</f>
        <v>20190304155020988</v>
      </c>
      <c r="B241" t="str">
        <f>"1551685820976794"</f>
        <v>1551685820976794</v>
      </c>
      <c r="C241" t="s">
        <v>40</v>
      </c>
      <c r="D241">
        <v>5.1577529999999996</v>
      </c>
      <c r="E241">
        <v>0.54598999999999998</v>
      </c>
      <c r="F241" t="s">
        <v>41</v>
      </c>
      <c r="G241">
        <v>-386.39800000000002</v>
      </c>
      <c r="H241" s="1">
        <v>-2.2481699999999999E-6</v>
      </c>
      <c r="I241">
        <v>365.72140000000002</v>
      </c>
      <c r="J241">
        <v>-450.447</v>
      </c>
      <c r="K241">
        <v>1.1102609999999999</v>
      </c>
      <c r="L241">
        <v>367.3569</v>
      </c>
      <c r="M241">
        <v>0.99988940000000004</v>
      </c>
      <c r="N241">
        <v>-1.03447E-2</v>
      </c>
      <c r="O241">
        <v>1.068349E-2</v>
      </c>
      <c r="P241">
        <v>0.97963279999999997</v>
      </c>
      <c r="Q241">
        <v>0.17541789999999999</v>
      </c>
      <c r="R241">
        <v>9.7714570000000001E-2</v>
      </c>
      <c r="S241">
        <v>3.079987</v>
      </c>
      <c r="T241">
        <v>-5.3201680000000001E-2</v>
      </c>
      <c r="U241">
        <v>-7.8247070000000002E-2</v>
      </c>
      <c r="V241">
        <v>-8.7266010000000005E-2</v>
      </c>
      <c r="W241">
        <v>0.18554200000000001</v>
      </c>
      <c r="X241">
        <v>0.97875369999999995</v>
      </c>
      <c r="Y241">
        <v>3.6067120000000001E-2</v>
      </c>
      <c r="Z241">
        <v>-5.7203820000000004E-4</v>
      </c>
      <c r="AA241">
        <v>0.99934920000000005</v>
      </c>
      <c r="AB241">
        <v>23</v>
      </c>
      <c r="AC241">
        <v>64.048999999999893</v>
      </c>
      <c r="AD241">
        <v>-1.1102632481700001</v>
      </c>
      <c r="AE241">
        <v>-1.63549999999997</v>
      </c>
      <c r="AF241">
        <v>2.3190137495824401</v>
      </c>
      <c r="AG241">
        <v>-1.1102632481700001</v>
      </c>
      <c r="AH241">
        <v>64.008649240326207</v>
      </c>
      <c r="AI241">
        <v>90.993073980838901</v>
      </c>
      <c r="AJ241">
        <v>87.925098978179307</v>
      </c>
      <c r="AK241">
        <v>64.060266053319694</v>
      </c>
      <c r="AL241">
        <v>79.307266164648695</v>
      </c>
      <c r="AM241">
        <v>95.095038413706604</v>
      </c>
      <c r="AN241">
        <v>0.99999999776450399</v>
      </c>
    </row>
    <row r="242" spans="1:40" x14ac:dyDescent="0.25">
      <c r="A242" t="str">
        <f>"20190304155021010"</f>
        <v>20190304155021010</v>
      </c>
      <c r="B242" t="str">
        <f>"1551685821007047"</f>
        <v>1551685821007047</v>
      </c>
      <c r="C242" t="s">
        <v>40</v>
      </c>
      <c r="D242">
        <v>5.3856830000000002</v>
      </c>
      <c r="E242">
        <v>0.54565160000000001</v>
      </c>
      <c r="F242" t="s">
        <v>41</v>
      </c>
      <c r="G242">
        <v>-388.05250000000001</v>
      </c>
      <c r="H242" s="1">
        <v>-1.6612390000000001E-6</v>
      </c>
      <c r="I242">
        <v>365.81110000000001</v>
      </c>
      <c r="J242">
        <v>-450.21379999999999</v>
      </c>
      <c r="K242">
        <v>1.1102620000000001</v>
      </c>
      <c r="L242">
        <v>367.35950000000003</v>
      </c>
      <c r="M242">
        <v>0.99988779999999999</v>
      </c>
      <c r="N242">
        <v>-1.0395659999999999E-2</v>
      </c>
      <c r="O242">
        <v>1.078586E-2</v>
      </c>
      <c r="P242">
        <v>0.97966520000000001</v>
      </c>
      <c r="Q242">
        <v>0.1752042</v>
      </c>
      <c r="R242">
        <v>9.7773139999999994E-2</v>
      </c>
      <c r="S242">
        <v>3.0797729999999999</v>
      </c>
      <c r="T242">
        <v>-5.4802179999999999E-2</v>
      </c>
      <c r="U242">
        <v>-7.6293949999999999E-2</v>
      </c>
      <c r="V242">
        <v>-8.7223930000000005E-2</v>
      </c>
      <c r="W242">
        <v>0.1853785</v>
      </c>
      <c r="X242">
        <v>0.9787884</v>
      </c>
      <c r="Y242">
        <v>3.5537489999999998E-2</v>
      </c>
      <c r="Z242">
        <v>-5.8066080000000004E-4</v>
      </c>
      <c r="AA242">
        <v>0.99936820000000004</v>
      </c>
      <c r="AB242">
        <v>23</v>
      </c>
      <c r="AC242">
        <v>62.161299999999898</v>
      </c>
      <c r="AD242">
        <v>-1.110263661239</v>
      </c>
      <c r="AE242">
        <v>-1.54840000000001</v>
      </c>
      <c r="AF242">
        <v>2.2181020554434299</v>
      </c>
      <c r="AG242">
        <v>-1.110263661239</v>
      </c>
      <c r="AH242">
        <v>62.1211766729526</v>
      </c>
      <c r="AI242">
        <v>91.0232605677284</v>
      </c>
      <c r="AJ242">
        <v>87.955062583671406</v>
      </c>
      <c r="AK242">
        <v>62.170678405161603</v>
      </c>
      <c r="AL242">
        <v>79.316799078147596</v>
      </c>
      <c r="AM242">
        <v>95.092414895837805</v>
      </c>
      <c r="AN242">
        <v>0.99999996710072603</v>
      </c>
    </row>
    <row r="243" spans="1:40" x14ac:dyDescent="0.25">
      <c r="A243" t="str">
        <f>"20190304155021035"</f>
        <v>20190304155021035</v>
      </c>
      <c r="B243" t="str">
        <f>"1551685821026567"</f>
        <v>1551685821026567</v>
      </c>
      <c r="C243" t="s">
        <v>40</v>
      </c>
      <c r="D243">
        <v>5.1796959999999999</v>
      </c>
      <c r="E243">
        <v>0.54553929999999995</v>
      </c>
      <c r="F243" t="s">
        <v>41</v>
      </c>
      <c r="G243">
        <v>-386.73849999999999</v>
      </c>
      <c r="H243" s="1">
        <v>-2.0973370000000002E-6</v>
      </c>
      <c r="I243">
        <v>365.85270000000003</v>
      </c>
      <c r="J243">
        <v>-449.9597</v>
      </c>
      <c r="K243">
        <v>1.1102700000000001</v>
      </c>
      <c r="L243">
        <v>367.3623</v>
      </c>
      <c r="M243">
        <v>0.99988619999999995</v>
      </c>
      <c r="N243">
        <v>-1.0444810000000001E-2</v>
      </c>
      <c r="O243">
        <v>1.0896950000000001E-2</v>
      </c>
      <c r="P243">
        <v>0.97975440000000003</v>
      </c>
      <c r="Q243">
        <v>0.1747388</v>
      </c>
      <c r="R243">
        <v>9.7714919999999997E-2</v>
      </c>
      <c r="S243">
        <v>3.0791930000000001</v>
      </c>
      <c r="T243">
        <v>-5.3858999999999997E-2</v>
      </c>
      <c r="U243">
        <v>-7.3089600000000005E-2</v>
      </c>
      <c r="V243">
        <v>-8.7055399999999894E-2</v>
      </c>
      <c r="W243">
        <v>0.1849624</v>
      </c>
      <c r="X243">
        <v>0.97888209999999998</v>
      </c>
      <c r="Y243">
        <v>3.4614260000000001E-2</v>
      </c>
      <c r="Z243">
        <v>-5.6024519999999997E-4</v>
      </c>
      <c r="AA243">
        <v>0.99940059999999997</v>
      </c>
      <c r="AB243">
        <v>23</v>
      </c>
      <c r="AC243">
        <v>63.221200000000003</v>
      </c>
      <c r="AD243">
        <v>-1.1102720973369999</v>
      </c>
      <c r="AE243">
        <v>-1.5095999999999701</v>
      </c>
      <c r="AF243">
        <v>2.1977886690757198</v>
      </c>
      <c r="AG243">
        <v>-1.1102720973369999</v>
      </c>
      <c r="AH243">
        <v>63.181520065090197</v>
      </c>
      <c r="AI243">
        <v>91.006131511293205</v>
      </c>
      <c r="AJ243">
        <v>88.007751924659104</v>
      </c>
      <c r="AK243">
        <v>63.229482497482401</v>
      </c>
      <c r="AL243">
        <v>79.341059204527298</v>
      </c>
      <c r="AM243">
        <v>95.082143188206601</v>
      </c>
      <c r="AN243">
        <v>0.99999994889166299</v>
      </c>
    </row>
    <row r="244" spans="1:40" x14ac:dyDescent="0.25">
      <c r="A244" t="str">
        <f>"20190304155021057"</f>
        <v>20190304155021057</v>
      </c>
      <c r="B244" t="str">
        <f>"1551685821047063"</f>
        <v>1551685821047063</v>
      </c>
      <c r="C244" t="s">
        <v>40</v>
      </c>
      <c r="D244">
        <v>5.1722359999999998</v>
      </c>
      <c r="E244">
        <v>0.54528189999999999</v>
      </c>
      <c r="F244" t="s">
        <v>41</v>
      </c>
      <c r="G244">
        <v>-388.87520000000001</v>
      </c>
      <c r="H244" s="1">
        <v>-1.3503499999999999E-6</v>
      </c>
      <c r="I244">
        <v>365.92750000000001</v>
      </c>
      <c r="J244">
        <v>-449.72160000000002</v>
      </c>
      <c r="K244">
        <v>1.1102780000000001</v>
      </c>
      <c r="L244">
        <v>367.36509999999998</v>
      </c>
      <c r="M244">
        <v>0.99988449999999995</v>
      </c>
      <c r="N244">
        <v>-1.0485420000000001E-2</v>
      </c>
      <c r="O244">
        <v>1.1001520000000001E-2</v>
      </c>
      <c r="P244">
        <v>0.97975800000000002</v>
      </c>
      <c r="Q244">
        <v>0.17461969999999999</v>
      </c>
      <c r="R244">
        <v>9.7887689999999999E-2</v>
      </c>
      <c r="S244">
        <v>3.0791930000000001</v>
      </c>
      <c r="T244">
        <v>-5.5967210000000003E-2</v>
      </c>
      <c r="U244">
        <v>-7.2326660000000001E-2</v>
      </c>
      <c r="V244">
        <v>-8.7125800000000003E-2</v>
      </c>
      <c r="W244">
        <v>0.18488270000000001</v>
      </c>
      <c r="X244">
        <v>0.97889099999999996</v>
      </c>
      <c r="Y244">
        <v>3.4470729999999998E-2</v>
      </c>
      <c r="Z244">
        <v>-5.7855869999999998E-4</v>
      </c>
      <c r="AA244">
        <v>0.99940560000000001</v>
      </c>
      <c r="AB244">
        <v>23</v>
      </c>
      <c r="AC244">
        <v>60.846400000000003</v>
      </c>
      <c r="AD244">
        <v>-1.1102793503499999</v>
      </c>
      <c r="AE244">
        <v>-1.43759999999997</v>
      </c>
      <c r="AF244">
        <v>2.1062517693618399</v>
      </c>
      <c r="AG244">
        <v>-1.1102793503499999</v>
      </c>
      <c r="AH244">
        <v>60.806665587308999</v>
      </c>
      <c r="AI244">
        <v>91.045430398077301</v>
      </c>
      <c r="AJ244">
        <v>88.016153232533895</v>
      </c>
      <c r="AK244">
        <v>60.853262826232999</v>
      </c>
      <c r="AL244">
        <v>79.345706949232195</v>
      </c>
      <c r="AM244">
        <v>95.086185468289003</v>
      </c>
      <c r="AN244">
        <v>1.0000000538329601</v>
      </c>
    </row>
    <row r="245" spans="1:40" x14ac:dyDescent="0.25">
      <c r="A245" t="str">
        <f>"20190304155021078"</f>
        <v>20190304155021078</v>
      </c>
      <c r="B245" t="str">
        <f>"1551685821066583"</f>
        <v>1551685821066583</v>
      </c>
      <c r="C245" t="s">
        <v>40</v>
      </c>
      <c r="D245">
        <v>5.1788509999999999</v>
      </c>
      <c r="E245">
        <v>0.54513739999999999</v>
      </c>
      <c r="F245" t="s">
        <v>41</v>
      </c>
      <c r="G245">
        <v>-390.57859999999999</v>
      </c>
      <c r="H245" s="1">
        <v>-4.6612030000000002E-6</v>
      </c>
      <c r="I245">
        <v>366.02440000000001</v>
      </c>
      <c r="J245">
        <v>-449.50470000000001</v>
      </c>
      <c r="K245">
        <v>1.1102829999999999</v>
      </c>
      <c r="L245">
        <v>367.36750000000001</v>
      </c>
      <c r="M245">
        <v>0.99988310000000002</v>
      </c>
      <c r="N245">
        <v>-1.051818E-2</v>
      </c>
      <c r="O245">
        <v>1.109653E-2</v>
      </c>
      <c r="P245">
        <v>0.97968250000000001</v>
      </c>
      <c r="Q245">
        <v>0.17505219999999999</v>
      </c>
      <c r="R245">
        <v>9.7873119999999994E-2</v>
      </c>
      <c r="S245">
        <v>3.079224</v>
      </c>
      <c r="T245">
        <v>-5.7805660000000002E-2</v>
      </c>
      <c r="U245">
        <v>-6.97937E-2</v>
      </c>
      <c r="V245">
        <v>-8.7019100000000002E-2</v>
      </c>
      <c r="W245">
        <v>0.1853466</v>
      </c>
      <c r="X245">
        <v>0.97881269999999998</v>
      </c>
      <c r="Y245">
        <v>3.3743429999999998E-2</v>
      </c>
      <c r="Z245">
        <v>-5.857468E-4</v>
      </c>
      <c r="AA245">
        <v>0.99943040000000005</v>
      </c>
      <c r="AB245">
        <v>23</v>
      </c>
      <c r="AC245">
        <v>58.926099999999998</v>
      </c>
      <c r="AD245">
        <v>-1.1102876612029999</v>
      </c>
      <c r="AE245">
        <v>-1.34309999999999</v>
      </c>
      <c r="AF245">
        <v>1.99622037977975</v>
      </c>
      <c r="AG245">
        <v>-1.1102876612029999</v>
      </c>
      <c r="AH245">
        <v>58.8866718135857</v>
      </c>
      <c r="AI245">
        <v>91.079543992236793</v>
      </c>
      <c r="AJ245">
        <v>88.058453340484107</v>
      </c>
      <c r="AK245">
        <v>58.930957499231397</v>
      </c>
      <c r="AL245">
        <v>79.318659334865899</v>
      </c>
      <c r="AM245">
        <v>95.080393448877999</v>
      </c>
      <c r="AN245">
        <v>0.99999999378882998</v>
      </c>
    </row>
    <row r="246" spans="1:40" x14ac:dyDescent="0.25">
      <c r="A246" t="str">
        <f>"20190304155021099"</f>
        <v>20190304155021099</v>
      </c>
      <c r="B246" t="str">
        <f>"1551685821096838"</f>
        <v>1551685821096838</v>
      </c>
      <c r="C246" t="s">
        <v>40</v>
      </c>
      <c r="D246">
        <v>5.1711660000000004</v>
      </c>
      <c r="E246">
        <v>0.54482609999999998</v>
      </c>
      <c r="F246" t="s">
        <v>41</v>
      </c>
      <c r="G246">
        <v>-390.92309999999998</v>
      </c>
      <c r="H246" s="1">
        <v>-4.5076970000000002E-6</v>
      </c>
      <c r="I246">
        <v>366.0566</v>
      </c>
      <c r="J246">
        <v>-449.28199999999998</v>
      </c>
      <c r="K246">
        <v>1.1102890000000001</v>
      </c>
      <c r="L246">
        <v>367.37009999999998</v>
      </c>
      <c r="M246">
        <v>0.99988180000000004</v>
      </c>
      <c r="N246">
        <v>-1.0548180000000001E-2</v>
      </c>
      <c r="O246">
        <v>1.119377E-2</v>
      </c>
      <c r="P246">
        <v>0.97968270000000002</v>
      </c>
      <c r="Q246">
        <v>0.17500079999999901</v>
      </c>
      <c r="R246">
        <v>9.7963060000000005E-2</v>
      </c>
      <c r="S246">
        <v>3.079529</v>
      </c>
      <c r="T246">
        <v>-5.8365699999999902E-2</v>
      </c>
      <c r="U246">
        <v>-6.8908689999999995E-2</v>
      </c>
      <c r="V246">
        <v>-8.7013409999999999E-2</v>
      </c>
      <c r="W246">
        <v>0.18532509999999999</v>
      </c>
      <c r="X246">
        <v>0.9788173</v>
      </c>
      <c r="Y246">
        <v>3.3551190000000002E-2</v>
      </c>
      <c r="Z246">
        <v>-5.8893509999999999E-4</v>
      </c>
      <c r="AA246">
        <v>0.99943689999999996</v>
      </c>
      <c r="AB246">
        <v>23</v>
      </c>
      <c r="AC246">
        <v>58.358899999999998</v>
      </c>
      <c r="AD246">
        <v>-1.11029350769699</v>
      </c>
      <c r="AE246">
        <v>-1.3134999999999699</v>
      </c>
      <c r="AF246">
        <v>1.9659988339279499</v>
      </c>
      <c r="AG246">
        <v>-1.11029350769699</v>
      </c>
      <c r="AH246">
        <v>58.319440789487899</v>
      </c>
      <c r="AI246">
        <v>91.090054089424797</v>
      </c>
      <c r="AJ246">
        <v>88.069240838360102</v>
      </c>
      <c r="AK246">
        <v>58.363131145328602</v>
      </c>
      <c r="AL246">
        <v>79.319913157407797</v>
      </c>
      <c r="AM246">
        <v>95.080039241627603</v>
      </c>
      <c r="AN246">
        <v>1.0000000164945599</v>
      </c>
    </row>
    <row r="247" spans="1:40" x14ac:dyDescent="0.25">
      <c r="A247" t="str">
        <f>"20190304155021112"</f>
        <v>20190304155021112</v>
      </c>
      <c r="B247" t="str">
        <f>"1551685821106598"</f>
        <v>1551685821106598</v>
      </c>
      <c r="C247" t="s">
        <v>40</v>
      </c>
      <c r="D247">
        <v>5.196364</v>
      </c>
      <c r="E247">
        <v>0.54477679999999995</v>
      </c>
      <c r="F247" t="s">
        <v>41</v>
      </c>
      <c r="G247">
        <v>-392.7038</v>
      </c>
      <c r="H247" s="1">
        <v>-3.7261319999999998E-6</v>
      </c>
      <c r="I247">
        <v>366.15620000000001</v>
      </c>
      <c r="J247">
        <v>-449.14839999999998</v>
      </c>
      <c r="K247">
        <v>1.1102890000000001</v>
      </c>
      <c r="L247">
        <v>367.3716</v>
      </c>
      <c r="M247">
        <v>0.99988100000000002</v>
      </c>
      <c r="N247">
        <v>-1.05646E-2</v>
      </c>
      <c r="O247">
        <v>1.1252389999999999E-2</v>
      </c>
      <c r="P247">
        <v>0.9796591</v>
      </c>
      <c r="Q247">
        <v>0.17524529999999999</v>
      </c>
      <c r="R247">
        <v>9.7761139999999996E-2</v>
      </c>
      <c r="S247">
        <v>3.07959</v>
      </c>
      <c r="T247">
        <v>-6.0433859999999999E-2</v>
      </c>
      <c r="U247">
        <v>-6.607056E-2</v>
      </c>
      <c r="V247">
        <v>-8.6754230000000002E-2</v>
      </c>
      <c r="W247">
        <v>0.1855851</v>
      </c>
      <c r="X247">
        <v>0.97879099999999997</v>
      </c>
      <c r="Y247">
        <v>3.2688330000000002E-2</v>
      </c>
      <c r="Z247">
        <v>-5.9530369999999996E-4</v>
      </c>
      <c r="AA247">
        <v>0.99946539999999995</v>
      </c>
      <c r="AB247">
        <v>23</v>
      </c>
      <c r="AC247">
        <v>56.444599999999902</v>
      </c>
      <c r="AD247">
        <v>-1.1102927261319999</v>
      </c>
      <c r="AE247">
        <v>-1.2153999999999801</v>
      </c>
      <c r="AF247">
        <v>1.84977966737133</v>
      </c>
      <c r="AG247">
        <v>-1.1102927261319999</v>
      </c>
      <c r="AH247">
        <v>56.405534402068398</v>
      </c>
      <c r="AI247">
        <v>91.127065038958904</v>
      </c>
      <c r="AJ247">
        <v>88.121698529504101</v>
      </c>
      <c r="AK247">
        <v>56.446777994305798</v>
      </c>
      <c r="AL247">
        <v>79.304752809621803</v>
      </c>
      <c r="AM247">
        <v>95.065121941429993</v>
      </c>
      <c r="AN247">
        <v>0.99999997372295102</v>
      </c>
    </row>
    <row r="248" spans="1:40" x14ac:dyDescent="0.25">
      <c r="A248" t="str">
        <f>"20190304155021133"</f>
        <v>20190304155021133</v>
      </c>
      <c r="B248" t="str">
        <f>"1551685821127095"</f>
        <v>1551685821127095</v>
      </c>
      <c r="C248" t="s">
        <v>40</v>
      </c>
      <c r="D248">
        <v>5.1751170000000002</v>
      </c>
      <c r="E248">
        <v>0.54462619999999995</v>
      </c>
      <c r="F248" t="s">
        <v>41</v>
      </c>
      <c r="G248">
        <v>-392.81959999999998</v>
      </c>
      <c r="H248" s="1">
        <v>-3.6754999999999998E-6</v>
      </c>
      <c r="I248">
        <v>366.16149999999999</v>
      </c>
      <c r="J248">
        <v>-448.92270000000002</v>
      </c>
      <c r="K248">
        <v>1.1102939999999999</v>
      </c>
      <c r="L248">
        <v>367.37430000000001</v>
      </c>
      <c r="M248">
        <v>0.99987950000000003</v>
      </c>
      <c r="N248">
        <v>-1.058951E-2</v>
      </c>
      <c r="O248">
        <v>1.13515E-2</v>
      </c>
      <c r="P248">
        <v>0.97962850000000001</v>
      </c>
      <c r="Q248">
        <v>0.1754473</v>
      </c>
      <c r="R248">
        <v>9.7706310000000005E-2</v>
      </c>
      <c r="S248">
        <v>3.0797729999999999</v>
      </c>
      <c r="T248">
        <v>-6.070507E-2</v>
      </c>
      <c r="U248">
        <v>-6.6162109999999996E-2</v>
      </c>
      <c r="V248">
        <v>-8.6602990000000005E-2</v>
      </c>
      <c r="W248">
        <v>0.18581139999999999</v>
      </c>
      <c r="X248">
        <v>0.97876149999999995</v>
      </c>
      <c r="Y248">
        <v>3.2815690000000002E-2</v>
      </c>
      <c r="Z248">
        <v>-6.0066120000000001E-4</v>
      </c>
      <c r="AA248">
        <v>0.99946120000000005</v>
      </c>
      <c r="AB248">
        <v>23</v>
      </c>
      <c r="AC248">
        <v>56.103099999999998</v>
      </c>
      <c r="AD248">
        <v>-1.1102976755</v>
      </c>
      <c r="AE248">
        <v>-1.2128000000000101</v>
      </c>
      <c r="AF248">
        <v>1.84888810717143</v>
      </c>
      <c r="AG248">
        <v>-1.1102976755</v>
      </c>
      <c r="AH248">
        <v>56.063769507451802</v>
      </c>
      <c r="AI248">
        <v>91.133932042770297</v>
      </c>
      <c r="AJ248">
        <v>88.111166837478393</v>
      </c>
      <c r="AK248">
        <v>56.105235045811298</v>
      </c>
      <c r="AL248">
        <v>79.291557698873206</v>
      </c>
      <c r="AM248">
        <v>95.0564892583903</v>
      </c>
      <c r="AN248">
        <v>1.00000001406457</v>
      </c>
    </row>
    <row r="249" spans="1:40" x14ac:dyDescent="0.25">
      <c r="A249" t="str">
        <f>"20190304155021156"</f>
        <v>20190304155021156</v>
      </c>
      <c r="B249" t="str">
        <f>"1551685821146614"</f>
        <v>1551685821146614</v>
      </c>
      <c r="C249" t="s">
        <v>40</v>
      </c>
      <c r="D249">
        <v>5.1917589999999896</v>
      </c>
      <c r="E249">
        <v>0.54448589999999997</v>
      </c>
      <c r="F249" t="s">
        <v>41</v>
      </c>
      <c r="G249">
        <v>-393.39249999999998</v>
      </c>
      <c r="H249" s="1">
        <v>-3.4235590000000001E-6</v>
      </c>
      <c r="I249">
        <v>366.19619999999998</v>
      </c>
      <c r="J249">
        <v>-448.68259999999998</v>
      </c>
      <c r="K249">
        <v>1.1102970000000001</v>
      </c>
      <c r="L249">
        <v>367.37720000000002</v>
      </c>
      <c r="M249">
        <v>0.99987820000000005</v>
      </c>
      <c r="N249">
        <v>-1.0613050000000001E-2</v>
      </c>
      <c r="O249">
        <v>1.145675E-2</v>
      </c>
      <c r="P249">
        <v>0.97962249999999995</v>
      </c>
      <c r="Q249">
        <v>0.175491799999999</v>
      </c>
      <c r="R249">
        <v>9.7685060000000004E-2</v>
      </c>
      <c r="S249">
        <v>3.0799259999999999</v>
      </c>
      <c r="T249">
        <v>-6.1581370000000003E-2</v>
      </c>
      <c r="U249">
        <v>-6.5338129999999994E-2</v>
      </c>
      <c r="V249">
        <v>-8.6478169999999993E-2</v>
      </c>
      <c r="W249">
        <v>0.18587890000000001</v>
      </c>
      <c r="X249">
        <v>0.97875970000000001</v>
      </c>
      <c r="Y249">
        <v>3.2652359999999998E-2</v>
      </c>
      <c r="Z249">
        <v>-6.0713719999999996E-4</v>
      </c>
      <c r="AA249">
        <v>0.99946659999999998</v>
      </c>
      <c r="AB249">
        <v>23</v>
      </c>
      <c r="AC249">
        <v>55.290100000000002</v>
      </c>
      <c r="AD249">
        <v>-1.1103004235589999</v>
      </c>
      <c r="AE249">
        <v>-1.18100000000004</v>
      </c>
      <c r="AF249">
        <v>1.8136718647524901</v>
      </c>
      <c r="AG249">
        <v>-1.1103004235589999</v>
      </c>
      <c r="AH249">
        <v>55.250669400611997</v>
      </c>
      <c r="AI249">
        <v>91.150623770587899</v>
      </c>
      <c r="AJ249">
        <v>88.119869980088396</v>
      </c>
      <c r="AK249">
        <v>55.291578399239697</v>
      </c>
      <c r="AL249">
        <v>79.287621456043297</v>
      </c>
      <c r="AM249">
        <v>95.049248331131693</v>
      </c>
      <c r="AN249">
        <v>0.99999999484792401</v>
      </c>
    </row>
    <row r="250" spans="1:40" x14ac:dyDescent="0.25">
      <c r="A250" t="str">
        <f>"20190304155021170"</f>
        <v>20190304155021170</v>
      </c>
      <c r="B250" t="str">
        <f>"1551685821167111"</f>
        <v>1551685821167111</v>
      </c>
      <c r="C250" t="s">
        <v>40</v>
      </c>
      <c r="D250">
        <v>5.199319</v>
      </c>
      <c r="E250">
        <v>0.54433860000000001</v>
      </c>
      <c r="F250" t="s">
        <v>41</v>
      </c>
      <c r="G250">
        <v>-394.33420000000001</v>
      </c>
      <c r="H250" s="1">
        <v>-3.0105170000000001E-6</v>
      </c>
      <c r="I250">
        <v>366.2473</v>
      </c>
      <c r="J250">
        <v>-448.54090000000002</v>
      </c>
      <c r="K250">
        <v>1.110301</v>
      </c>
      <c r="L250">
        <v>367.37880000000001</v>
      </c>
      <c r="M250">
        <v>0.99987720000000002</v>
      </c>
      <c r="N250">
        <v>-1.0625839999999999E-2</v>
      </c>
      <c r="O250">
        <v>1.151891E-2</v>
      </c>
      <c r="P250">
        <v>0.97957490000000003</v>
      </c>
      <c r="Q250">
        <v>0.17571539999999999</v>
      </c>
      <c r="R250">
        <v>9.7761509999999996E-2</v>
      </c>
      <c r="S250">
        <v>3.0800480000000001</v>
      </c>
      <c r="T250">
        <v>-6.2923190000000004E-2</v>
      </c>
      <c r="U250">
        <v>-6.4025879999999993E-2</v>
      </c>
      <c r="V250">
        <v>-8.6494769999999999E-2</v>
      </c>
      <c r="W250">
        <v>0.186115</v>
      </c>
      <c r="X250">
        <v>0.97871339999999996</v>
      </c>
      <c r="Y250">
        <v>3.2287719999999999E-2</v>
      </c>
      <c r="Z250">
        <v>-6.1422599999999897E-4</v>
      </c>
      <c r="AA250">
        <v>0.99947839999999999</v>
      </c>
      <c r="AB250">
        <v>24</v>
      </c>
      <c r="AC250">
        <v>54.206699999999998</v>
      </c>
      <c r="AD250">
        <v>-1.1103040105169999</v>
      </c>
      <c r="AE250">
        <v>-1.1315000000000099</v>
      </c>
      <c r="AF250">
        <v>1.75512623879778</v>
      </c>
      <c r="AG250">
        <v>-1.1103040105169999</v>
      </c>
      <c r="AH250">
        <v>54.167353166858597</v>
      </c>
      <c r="AI250">
        <v>91.173649228415698</v>
      </c>
      <c r="AJ250">
        <v>88.144156033454095</v>
      </c>
      <c r="AK250">
        <v>54.2071525927444</v>
      </c>
      <c r="AL250">
        <v>79.273854048698595</v>
      </c>
      <c r="AM250">
        <v>95.050450227464097</v>
      </c>
      <c r="AN250">
        <v>1.0000000289009501</v>
      </c>
    </row>
    <row r="251" spans="1:40" x14ac:dyDescent="0.25">
      <c r="A251" t="str">
        <f>"20190304155021189"</f>
        <v>20190304155021189</v>
      </c>
      <c r="B251" t="str">
        <f>"1551685821186631"</f>
        <v>1551685821186631</v>
      </c>
      <c r="C251" t="s">
        <v>40</v>
      </c>
      <c r="D251">
        <v>5.1760250000000001</v>
      </c>
      <c r="E251">
        <v>0.54420009999999996</v>
      </c>
      <c r="F251" t="s">
        <v>41</v>
      </c>
      <c r="G251">
        <v>-394.85820000000001</v>
      </c>
      <c r="H251" s="1">
        <v>-2.7786399999999998E-6</v>
      </c>
      <c r="I251">
        <v>366.28739999999999</v>
      </c>
      <c r="J251">
        <v>-448.33600000000001</v>
      </c>
      <c r="K251">
        <v>1.1103080000000001</v>
      </c>
      <c r="L251">
        <v>367.38130000000001</v>
      </c>
      <c r="M251">
        <v>0.99987599999999999</v>
      </c>
      <c r="N251">
        <v>-1.064258E-2</v>
      </c>
      <c r="O251">
        <v>1.160829E-2</v>
      </c>
      <c r="P251">
        <v>0.97958959999999995</v>
      </c>
      <c r="Q251">
        <v>0.17569509999999999</v>
      </c>
      <c r="R251">
        <v>9.7652089999999997E-2</v>
      </c>
      <c r="S251">
        <v>3.0802</v>
      </c>
      <c r="T251">
        <v>-6.3706760000000001E-2</v>
      </c>
      <c r="U251">
        <v>-6.2622070000000002E-2</v>
      </c>
      <c r="V251">
        <v>-8.6297910000000005E-2</v>
      </c>
      <c r="W251">
        <v>0.18611079999999999</v>
      </c>
      <c r="X251">
        <v>0.97873160000000003</v>
      </c>
      <c r="Y251">
        <v>3.1920570000000002E-2</v>
      </c>
      <c r="Z251">
        <v>-6.1645850000000002E-4</v>
      </c>
      <c r="AA251">
        <v>0.9994902</v>
      </c>
      <c r="AB251">
        <v>24</v>
      </c>
      <c r="AC251">
        <v>53.477800000000002</v>
      </c>
      <c r="AD251">
        <v>-1.1103107786399999</v>
      </c>
      <c r="AE251">
        <v>-1.0939000000000101</v>
      </c>
      <c r="AF251">
        <v>1.7139087509138999</v>
      </c>
      <c r="AG251">
        <v>-1.1103107786399999</v>
      </c>
      <c r="AH251">
        <v>53.438471529850702</v>
      </c>
      <c r="AI251">
        <v>91.189672678828202</v>
      </c>
      <c r="AJ251">
        <v>88.163007196444298</v>
      </c>
      <c r="AK251">
        <v>53.477476685781397</v>
      </c>
      <c r="AL251">
        <v>79.274099220758401</v>
      </c>
      <c r="AM251">
        <v>95.038921552314207</v>
      </c>
      <c r="AN251">
        <v>1.0000000519927801</v>
      </c>
    </row>
    <row r="252" spans="1:40" x14ac:dyDescent="0.25">
      <c r="A252" t="str">
        <f>"20190304155021202"</f>
        <v>20190304155021202</v>
      </c>
      <c r="B252" t="str">
        <f>"1551685821196391"</f>
        <v>1551685821196391</v>
      </c>
      <c r="C252" t="s">
        <v>40</v>
      </c>
      <c r="D252">
        <v>5.1606540000000001</v>
      </c>
      <c r="E252">
        <v>0.54412749999999999</v>
      </c>
      <c r="F252" t="s">
        <v>41</v>
      </c>
      <c r="G252">
        <v>-395.96589999999998</v>
      </c>
      <c r="H252" s="1">
        <v>-2.2962940000000002E-6</v>
      </c>
      <c r="I252">
        <v>366.32749999999999</v>
      </c>
      <c r="J252">
        <v>-448.19709999999998</v>
      </c>
      <c r="K252">
        <v>1.1103019999999999</v>
      </c>
      <c r="L252">
        <v>367.38299999999998</v>
      </c>
      <c r="M252">
        <v>0.99987539999999997</v>
      </c>
      <c r="N252">
        <v>-1.065285E-2</v>
      </c>
      <c r="O252">
        <v>1.166945E-2</v>
      </c>
      <c r="P252">
        <v>0.979572</v>
      </c>
      <c r="Q252">
        <v>0.17576839999999999</v>
      </c>
      <c r="R252">
        <v>9.7697000000000006E-2</v>
      </c>
      <c r="S252">
        <v>3.0804140000000002</v>
      </c>
      <c r="T252">
        <v>-6.5308450000000004E-2</v>
      </c>
      <c r="U252">
        <v>-6.19812E-2</v>
      </c>
      <c r="V252">
        <v>-8.6282999999999999E-2</v>
      </c>
      <c r="W252">
        <v>0.18619369999999999</v>
      </c>
      <c r="X252">
        <v>0.97871710000000001</v>
      </c>
      <c r="Y252">
        <v>3.1772000000000002E-2</v>
      </c>
      <c r="Z252">
        <v>-6.2907299999999996E-4</v>
      </c>
      <c r="AA252">
        <v>0.99949500000000002</v>
      </c>
      <c r="AB252">
        <v>24</v>
      </c>
      <c r="AC252">
        <v>52.231200000000001</v>
      </c>
      <c r="AD252">
        <v>-1.110304296294</v>
      </c>
      <c r="AE252">
        <v>-1.0555000000000501</v>
      </c>
      <c r="AF252">
        <v>1.6642202196842399</v>
      </c>
      <c r="AG252">
        <v>-1.110304296294</v>
      </c>
      <c r="AH252">
        <v>52.191750526356202</v>
      </c>
      <c r="AI252">
        <v>91.218082430625202</v>
      </c>
      <c r="AJ252">
        <v>88.173648199523797</v>
      </c>
      <c r="AK252">
        <v>52.2300797201706</v>
      </c>
      <c r="AL252">
        <v>79.269264401139097</v>
      </c>
      <c r="AM252">
        <v>95.038129696897002</v>
      </c>
      <c r="AN252">
        <v>1.0000000059205401</v>
      </c>
    </row>
    <row r="253" spans="1:40" x14ac:dyDescent="0.25">
      <c r="A253" t="str">
        <f>"20190304155021222"</f>
        <v>20190304155021222</v>
      </c>
      <c r="B253" t="str">
        <f>"1551685821216887"</f>
        <v>1551685821216887</v>
      </c>
      <c r="C253" t="s">
        <v>40</v>
      </c>
      <c r="D253">
        <v>5.2159829999999996</v>
      </c>
      <c r="E253">
        <v>0.5440062</v>
      </c>
      <c r="F253" t="s">
        <v>41</v>
      </c>
      <c r="G253">
        <v>-396.23719999999997</v>
      </c>
      <c r="H253" s="1">
        <v>-2.1766719999999999E-6</v>
      </c>
      <c r="I253">
        <v>366.34570000000002</v>
      </c>
      <c r="J253">
        <v>-447.98469999999998</v>
      </c>
      <c r="K253">
        <v>1.1103050000000001</v>
      </c>
      <c r="L253">
        <v>367.38560000000001</v>
      </c>
      <c r="M253">
        <v>0.99987400000000004</v>
      </c>
      <c r="N253">
        <v>-1.06674E-2</v>
      </c>
      <c r="O253">
        <v>1.176235E-2</v>
      </c>
      <c r="P253">
        <v>0.97965230000000003</v>
      </c>
      <c r="Q253">
        <v>0.17530179999999901</v>
      </c>
      <c r="R253">
        <v>9.7727309999999998E-2</v>
      </c>
      <c r="S253">
        <v>3.080505</v>
      </c>
      <c r="T253">
        <v>-6.5825700000000001E-2</v>
      </c>
      <c r="U253">
        <v>-6.149292E-2</v>
      </c>
      <c r="V253">
        <v>-8.6220950000000005E-2</v>
      </c>
      <c r="W253">
        <v>0.18574260000000001</v>
      </c>
      <c r="X253">
        <v>0.97880829999999996</v>
      </c>
      <c r="Y253">
        <v>3.1705759999999999E-2</v>
      </c>
      <c r="Z253">
        <v>-6.3367580000000005E-4</v>
      </c>
      <c r="AA253">
        <v>0.99949710000000003</v>
      </c>
      <c r="AB253">
        <v>24</v>
      </c>
      <c r="AC253">
        <v>51.747500000000002</v>
      </c>
      <c r="AD253">
        <v>-1.1103071766720001</v>
      </c>
      <c r="AE253">
        <v>-1.0398999999999801</v>
      </c>
      <c r="AF253">
        <v>1.6477765628152701</v>
      </c>
      <c r="AG253">
        <v>-1.1103071766720001</v>
      </c>
      <c r="AH253">
        <v>51.707892216610396</v>
      </c>
      <c r="AI253">
        <v>91.229481151644904</v>
      </c>
      <c r="AJ253">
        <v>88.174771784042605</v>
      </c>
      <c r="AK253">
        <v>51.746053638051798</v>
      </c>
      <c r="AL253">
        <v>79.295569625044905</v>
      </c>
      <c r="AM253">
        <v>95.034058498740904</v>
      </c>
      <c r="AN253">
        <v>1.0000000269112701</v>
      </c>
    </row>
    <row r="254" spans="1:40" x14ac:dyDescent="0.25">
      <c r="A254" t="str">
        <f>"20190304155021237"</f>
        <v>20190304155021237</v>
      </c>
      <c r="B254" t="str">
        <f>"1551685821226646"</f>
        <v>1551685821226646</v>
      </c>
      <c r="C254" t="s">
        <v>40</v>
      </c>
      <c r="D254">
        <v>5.1834150000000001</v>
      </c>
      <c r="E254">
        <v>0.54395280000000001</v>
      </c>
      <c r="F254" t="s">
        <v>41</v>
      </c>
      <c r="G254">
        <v>-398.02140000000003</v>
      </c>
      <c r="H254" s="1">
        <v>-1.515411E-6</v>
      </c>
      <c r="I254">
        <v>366.399</v>
      </c>
      <c r="J254">
        <v>-447.83690000000001</v>
      </c>
      <c r="K254">
        <v>1.110304</v>
      </c>
      <c r="L254">
        <v>367.38740000000001</v>
      </c>
      <c r="M254">
        <v>0.99987309999999996</v>
      </c>
      <c r="N254">
        <v>-1.0676659999999999E-2</v>
      </c>
      <c r="O254">
        <v>1.1827030000000001E-2</v>
      </c>
      <c r="P254">
        <v>0.97962930000000004</v>
      </c>
      <c r="Q254">
        <v>0.1753942</v>
      </c>
      <c r="R254">
        <v>9.7793379999999999E-2</v>
      </c>
      <c r="S254">
        <v>3.0806269999999998</v>
      </c>
      <c r="T254">
        <v>-6.8458909999999998E-2</v>
      </c>
      <c r="U254">
        <v>-6.0821529999999999E-2</v>
      </c>
      <c r="V254">
        <v>-8.6223939999999999E-2</v>
      </c>
      <c r="W254">
        <v>0.1858437</v>
      </c>
      <c r="X254">
        <v>0.97878880000000001</v>
      </c>
      <c r="Y254">
        <v>3.1551089999999997E-2</v>
      </c>
      <c r="Z254">
        <v>-6.5549009999999895E-4</v>
      </c>
      <c r="AA254">
        <v>0.99950190000000005</v>
      </c>
      <c r="AB254">
        <v>24</v>
      </c>
      <c r="AC254">
        <v>49.815499999999901</v>
      </c>
      <c r="AD254">
        <v>-1.110305515411</v>
      </c>
      <c r="AE254">
        <v>-0.98840000000001205</v>
      </c>
      <c r="AF254">
        <v>1.57675085681106</v>
      </c>
      <c r="AG254">
        <v>-1.110305515411</v>
      </c>
      <c r="AH254">
        <v>49.775607581996198</v>
      </c>
      <c r="AI254">
        <v>91.277199769040095</v>
      </c>
      <c r="AJ254">
        <v>88.185638014680805</v>
      </c>
      <c r="AK254">
        <v>49.812950442218202</v>
      </c>
      <c r="AL254">
        <v>79.289673890538594</v>
      </c>
      <c r="AM254">
        <v>95.034331953987106</v>
      </c>
      <c r="AN254">
        <v>0.99999998183212602</v>
      </c>
    </row>
    <row r="255" spans="1:40" x14ac:dyDescent="0.25">
      <c r="A255" t="str">
        <f>"20190304155021252"</f>
        <v>20190304155021252</v>
      </c>
      <c r="B255" t="str">
        <f>"1551685821247143"</f>
        <v>1551685821247143</v>
      </c>
      <c r="C255" t="s">
        <v>40</v>
      </c>
      <c r="D255">
        <v>5.1786820000000002</v>
      </c>
      <c r="E255">
        <v>0.54383249999999905</v>
      </c>
      <c r="F255" t="s">
        <v>41</v>
      </c>
      <c r="G255">
        <v>-398.21260000000001</v>
      </c>
      <c r="H255" s="1">
        <v>-1.445332E-6</v>
      </c>
      <c r="I255">
        <v>366.41789999999997</v>
      </c>
      <c r="J255">
        <v>-447.68079999999998</v>
      </c>
      <c r="K255">
        <v>1.110306</v>
      </c>
      <c r="L255">
        <v>367.38929999999999</v>
      </c>
      <c r="M255">
        <v>0.99987210000000004</v>
      </c>
      <c r="N255">
        <v>-1.068587E-2</v>
      </c>
      <c r="O255">
        <v>1.1895350000000001E-2</v>
      </c>
      <c r="P255">
        <v>0.9796591</v>
      </c>
      <c r="Q255">
        <v>0.17533670000000001</v>
      </c>
      <c r="R255">
        <v>9.7596950000000002E-2</v>
      </c>
      <c r="S255">
        <v>3.0807500000000001</v>
      </c>
      <c r="T255">
        <v>-6.8929199999999996E-2</v>
      </c>
      <c r="U255">
        <v>-6.0180659999999997E-2</v>
      </c>
      <c r="V255">
        <v>-8.5960079999999994E-2</v>
      </c>
      <c r="W255">
        <v>0.18579590000000001</v>
      </c>
      <c r="X255">
        <v>0.9788211</v>
      </c>
      <c r="Y255">
        <v>3.141066E-2</v>
      </c>
      <c r="Z255">
        <v>-6.5819190000000001E-4</v>
      </c>
      <c r="AA255">
        <v>0.99950640000000002</v>
      </c>
      <c r="AB255">
        <v>24</v>
      </c>
      <c r="AC255">
        <v>49.468199999999896</v>
      </c>
      <c r="AD255">
        <v>-1.1103074453319901</v>
      </c>
      <c r="AE255">
        <v>-0.97140000000001603</v>
      </c>
      <c r="AF255">
        <v>1.55902135499672</v>
      </c>
      <c r="AG255">
        <v>-1.1103074453319901</v>
      </c>
      <c r="AH255">
        <v>49.4282528269583</v>
      </c>
      <c r="AI255">
        <v>91.286179986679798</v>
      </c>
      <c r="AJ255">
        <v>88.1934271419006</v>
      </c>
      <c r="AK255">
        <v>49.465295993597401</v>
      </c>
      <c r="AL255">
        <v>79.292461356516498</v>
      </c>
      <c r="AM255">
        <v>95.018840071570494</v>
      </c>
      <c r="AN255">
        <v>0.99999999880781298</v>
      </c>
    </row>
    <row r="256" spans="1:40" x14ac:dyDescent="0.25">
      <c r="A256" t="str">
        <f>"20190304155021270"</f>
        <v>20190304155021270</v>
      </c>
      <c r="B256" t="str">
        <f>"1551685821266663"</f>
        <v>1551685821266663</v>
      </c>
      <c r="C256" t="s">
        <v>40</v>
      </c>
      <c r="D256">
        <v>5.2085990000000004</v>
      </c>
      <c r="E256">
        <v>0.54371309999999995</v>
      </c>
      <c r="F256" t="s">
        <v>41</v>
      </c>
      <c r="G256">
        <v>-399.63189999999997</v>
      </c>
      <c r="H256" s="1">
        <v>-9.5118060000000003E-7</v>
      </c>
      <c r="I256">
        <v>366.4597</v>
      </c>
      <c r="J256">
        <v>-447.48430000000002</v>
      </c>
      <c r="K256">
        <v>1.110306</v>
      </c>
      <c r="L256">
        <v>367.39179999999999</v>
      </c>
      <c r="M256">
        <v>0.99987110000000001</v>
      </c>
      <c r="N256">
        <v>-1.0696519999999999E-2</v>
      </c>
      <c r="O256">
        <v>1.198142E-2</v>
      </c>
      <c r="P256">
        <v>0.97969740000000005</v>
      </c>
      <c r="Q256">
        <v>0.17507420000000001</v>
      </c>
      <c r="R256">
        <v>9.7685460000000002E-2</v>
      </c>
      <c r="S256">
        <v>3.0809630000000001</v>
      </c>
      <c r="T256">
        <v>-7.1194289999999993E-2</v>
      </c>
      <c r="U256">
        <v>-5.960083E-2</v>
      </c>
      <c r="V256">
        <v>-8.5963789999999998E-2</v>
      </c>
      <c r="W256">
        <v>0.1855444</v>
      </c>
      <c r="X256">
        <v>0.97886850000000003</v>
      </c>
      <c r="Y256">
        <v>3.1306580000000001E-2</v>
      </c>
      <c r="Z256">
        <v>-6.7778390000000003E-4</v>
      </c>
      <c r="AA256">
        <v>0.9995096</v>
      </c>
      <c r="AB256">
        <v>24</v>
      </c>
      <c r="AC256">
        <v>47.852400000000003</v>
      </c>
      <c r="AD256">
        <v>-1.1103069511806001</v>
      </c>
      <c r="AE256">
        <v>-0.93209999999999105</v>
      </c>
      <c r="AF256">
        <v>1.50459581966834</v>
      </c>
      <c r="AG256">
        <v>-1.1103069511806001</v>
      </c>
      <c r="AH256">
        <v>47.812065563235898</v>
      </c>
      <c r="AI256">
        <v>91.329643695091093</v>
      </c>
      <c r="AJ256">
        <v>88.197556423662405</v>
      </c>
      <c r="AK256">
        <v>47.848617571770802</v>
      </c>
      <c r="AL256">
        <v>79.307126453834897</v>
      </c>
      <c r="AM256">
        <v>95.018813778456803</v>
      </c>
      <c r="AN256">
        <v>1.0000000189273801</v>
      </c>
    </row>
    <row r="257" spans="1:40" x14ac:dyDescent="0.25">
      <c r="A257" t="str">
        <f>"20190304155021291"</f>
        <v>20190304155021291</v>
      </c>
      <c r="B257" t="str">
        <f>"1551685821287159"</f>
        <v>1551685821287159</v>
      </c>
      <c r="C257" t="s">
        <v>40</v>
      </c>
      <c r="D257">
        <v>5.4503329999999997</v>
      </c>
      <c r="E257">
        <v>0.5438463</v>
      </c>
      <c r="F257" t="s">
        <v>42</v>
      </c>
      <c r="G257">
        <v>-398.30290000000002</v>
      </c>
      <c r="H257">
        <v>-0.05</v>
      </c>
      <c r="I257">
        <v>366.46030000000002</v>
      </c>
      <c r="J257">
        <v>-447.26580000000001</v>
      </c>
      <c r="K257">
        <v>1.1103080000000001</v>
      </c>
      <c r="L257">
        <v>367.39449999999999</v>
      </c>
      <c r="M257">
        <v>0.99986980000000003</v>
      </c>
      <c r="N257">
        <v>-1.0707329999999999E-2</v>
      </c>
      <c r="O257">
        <v>1.20775E-2</v>
      </c>
      <c r="P257">
        <v>0.979684</v>
      </c>
      <c r="Q257">
        <v>0.17501729999999999</v>
      </c>
      <c r="R257">
        <v>9.7921400000000006E-2</v>
      </c>
      <c r="S257">
        <v>3.080994</v>
      </c>
      <c r="T257">
        <v>-7.2687860000000007E-2</v>
      </c>
      <c r="U257">
        <v>-5.8349610000000003E-2</v>
      </c>
      <c r="V257">
        <v>-8.6105520000000005E-2</v>
      </c>
      <c r="W257">
        <v>0.185498</v>
      </c>
      <c r="X257">
        <v>0.97886479999999998</v>
      </c>
      <c r="Y257">
        <v>3.0996280000000001E-2</v>
      </c>
      <c r="Z257">
        <v>-6.8712619999999999E-4</v>
      </c>
      <c r="AA257">
        <v>0.9995193</v>
      </c>
      <c r="AB257">
        <v>24</v>
      </c>
      <c r="AC257">
        <v>48.962899999999898</v>
      </c>
      <c r="AD257">
        <v>-1.1603079999999999</v>
      </c>
      <c r="AE257">
        <v>-0.93419999999997505</v>
      </c>
      <c r="AF257">
        <v>1.52465923526821</v>
      </c>
      <c r="AG257">
        <v>-1.1603079999999999</v>
      </c>
      <c r="AH257">
        <v>48.920582137060798</v>
      </c>
      <c r="AI257">
        <v>91.358038701028804</v>
      </c>
      <c r="AJ257">
        <v>88.2148971186583</v>
      </c>
      <c r="AK257">
        <v>48.958086738223997</v>
      </c>
      <c r="AL257">
        <v>79.309831551957998</v>
      </c>
      <c r="AM257">
        <v>95.027064922997198</v>
      </c>
      <c r="AN257">
        <v>0.999999982628755</v>
      </c>
    </row>
    <row r="258" spans="1:40" x14ac:dyDescent="0.25">
      <c r="A258" t="str">
        <f>"20190304155021313"</f>
        <v>20190304155021313</v>
      </c>
      <c r="B258" t="str">
        <f>"1551685821306684"</f>
        <v>1551685821306684</v>
      </c>
      <c r="C258" t="s">
        <v>40</v>
      </c>
      <c r="D258">
        <v>5.1524489999999998</v>
      </c>
      <c r="E258">
        <v>0.54379089999999997</v>
      </c>
      <c r="F258" t="s">
        <v>42</v>
      </c>
      <c r="G258">
        <v>-398.41890000000001</v>
      </c>
      <c r="H258">
        <v>-0.05</v>
      </c>
      <c r="I258">
        <v>366.4665</v>
      </c>
      <c r="J258">
        <v>-447.03089999999997</v>
      </c>
      <c r="K258">
        <v>1.1103130000000001</v>
      </c>
      <c r="L258">
        <v>367.3974</v>
      </c>
      <c r="M258">
        <v>0.99986850000000005</v>
      </c>
      <c r="N258">
        <v>-1.0717849999999999E-2</v>
      </c>
      <c r="O258">
        <v>1.21802E-2</v>
      </c>
      <c r="P258">
        <v>0.97962269999999896</v>
      </c>
      <c r="Q258">
        <v>0.17525729999999901</v>
      </c>
      <c r="R258">
        <v>9.8105239999999996E-2</v>
      </c>
      <c r="S258">
        <v>3.0811769999999998</v>
      </c>
      <c r="T258">
        <v>-7.3190089999999999E-2</v>
      </c>
      <c r="U258">
        <v>-5.8532710000000002E-2</v>
      </c>
      <c r="V258">
        <v>-8.6189600000000005E-2</v>
      </c>
      <c r="W258">
        <v>0.18574769999999999</v>
      </c>
      <c r="X258">
        <v>0.97881010000000002</v>
      </c>
      <c r="Y258">
        <v>3.1156949999999999E-2</v>
      </c>
      <c r="Z258">
        <v>-6.9572419999999995E-4</v>
      </c>
      <c r="AA258">
        <v>0.99951429999999997</v>
      </c>
      <c r="AB258">
        <v>24</v>
      </c>
      <c r="AC258">
        <v>48.611999999999902</v>
      </c>
      <c r="AD258">
        <v>-1.1603129999999999</v>
      </c>
      <c r="AE258">
        <v>-0.93090000000000805</v>
      </c>
      <c r="AF258">
        <v>1.52210189928082</v>
      </c>
      <c r="AG258">
        <v>-1.1603129999999999</v>
      </c>
      <c r="AH258">
        <v>48.569393352297404</v>
      </c>
      <c r="AI258">
        <v>91.367853019822206</v>
      </c>
      <c r="AJ258">
        <v>88.205011931579193</v>
      </c>
      <c r="AK258">
        <v>48.607088897196398</v>
      </c>
      <c r="AL258">
        <v>79.295272313212607</v>
      </c>
      <c r="AM258">
        <v>95.032228305010904</v>
      </c>
      <c r="AN258">
        <v>1.0000000335327199</v>
      </c>
    </row>
    <row r="259" spans="1:40" x14ac:dyDescent="0.25">
      <c r="A259" t="str">
        <f>"20190304155021334"</f>
        <v>20190304155021334</v>
      </c>
      <c r="B259" t="str">
        <f>"1551685821327180"</f>
        <v>1551685821327180</v>
      </c>
      <c r="C259" t="s">
        <v>40</v>
      </c>
      <c r="D259">
        <v>5.1627150000000004</v>
      </c>
      <c r="E259">
        <v>0.54390099999999997</v>
      </c>
      <c r="F259" t="s">
        <v>41</v>
      </c>
      <c r="G259">
        <v>-399.01530000000002</v>
      </c>
      <c r="H259" s="1">
        <v>-1.1488220000000001E-6</v>
      </c>
      <c r="I259">
        <v>366.50560000000002</v>
      </c>
      <c r="J259">
        <v>-446.79489999999998</v>
      </c>
      <c r="K259">
        <v>1.1103160000000001</v>
      </c>
      <c r="L259">
        <v>367.40039999999999</v>
      </c>
      <c r="M259">
        <v>0.99986699999999995</v>
      </c>
      <c r="N259">
        <v>-1.072739E-2</v>
      </c>
      <c r="O259">
        <v>1.228368E-2</v>
      </c>
      <c r="P259">
        <v>0.97964340000000005</v>
      </c>
      <c r="Q259">
        <v>0.17525750000000001</v>
      </c>
      <c r="R259">
        <v>9.7897970000000001E-2</v>
      </c>
      <c r="S259">
        <v>3.080902</v>
      </c>
      <c r="T259">
        <v>-7.1242689999999997E-2</v>
      </c>
      <c r="U259">
        <v>-5.7220460000000001E-2</v>
      </c>
      <c r="V259">
        <v>-8.5880910000000005E-2</v>
      </c>
      <c r="W259">
        <v>0.18575749999999999</v>
      </c>
      <c r="X259">
        <v>0.97883529999999996</v>
      </c>
      <c r="Y259">
        <v>3.083729E-2</v>
      </c>
      <c r="Z259">
        <v>-6.741494E-4</v>
      </c>
      <c r="AA259">
        <v>0.99952419999999997</v>
      </c>
      <c r="AB259">
        <v>24</v>
      </c>
      <c r="AC259">
        <v>47.779599999999903</v>
      </c>
      <c r="AD259">
        <v>-1.1103171488220001</v>
      </c>
      <c r="AE259">
        <v>-0.89479999999997495</v>
      </c>
      <c r="AF259">
        <v>1.48087615565869</v>
      </c>
      <c r="AG259">
        <v>-1.1103171488220001</v>
      </c>
      <c r="AH259">
        <v>47.739231620822601</v>
      </c>
      <c r="AI259">
        <v>91.331702429489496</v>
      </c>
      <c r="AJ259">
        <v>88.223248434835099</v>
      </c>
      <c r="AK259">
        <v>47.775098473011198</v>
      </c>
      <c r="AL259">
        <v>79.294700094869896</v>
      </c>
      <c r="AM259">
        <v>95.014168880405506</v>
      </c>
      <c r="AN259">
        <v>0.99999996201738295</v>
      </c>
    </row>
    <row r="260" spans="1:40" x14ac:dyDescent="0.25">
      <c r="A260" t="str">
        <f>"20190304155021348"</f>
        <v>20190304155021348</v>
      </c>
      <c r="B260" t="str">
        <f>"1551685821336940"</f>
        <v>1551685821336940</v>
      </c>
      <c r="C260" t="s">
        <v>40</v>
      </c>
      <c r="D260">
        <v>5.2939540000000003</v>
      </c>
      <c r="E260">
        <v>0.54374489999999998</v>
      </c>
      <c r="F260" t="s">
        <v>41</v>
      </c>
      <c r="G260">
        <v>-398.01190000000003</v>
      </c>
      <c r="H260" s="1">
        <v>-1.4981910000000001E-6</v>
      </c>
      <c r="I260">
        <v>366.47590000000002</v>
      </c>
      <c r="J260">
        <v>-446.65530000000001</v>
      </c>
      <c r="K260">
        <v>1.1103179999999999</v>
      </c>
      <c r="L260">
        <v>367.40219999999999</v>
      </c>
      <c r="M260">
        <v>0.99986620000000004</v>
      </c>
      <c r="N260">
        <v>-1.0732759999999999E-2</v>
      </c>
      <c r="O260">
        <v>1.2344809999999999E-2</v>
      </c>
      <c r="P260">
        <v>0.9797283</v>
      </c>
      <c r="Q260">
        <v>0.17495959999999999</v>
      </c>
      <c r="R260">
        <v>9.7578570000000003E-2</v>
      </c>
      <c r="S260">
        <v>3.0807500000000001</v>
      </c>
      <c r="T260">
        <v>-7.0118780000000006E-2</v>
      </c>
      <c r="U260">
        <v>-5.8380130000000002E-2</v>
      </c>
      <c r="V260">
        <v>-8.5499690000000003E-2</v>
      </c>
      <c r="W260">
        <v>0.18546609999999999</v>
      </c>
      <c r="X260">
        <v>0.97892400000000002</v>
      </c>
      <c r="Y260">
        <v>3.1275629999999999E-2</v>
      </c>
      <c r="Z260">
        <v>-6.7216949999999998E-4</v>
      </c>
      <c r="AA260">
        <v>0.99951060000000003</v>
      </c>
      <c r="AB260">
        <v>24</v>
      </c>
      <c r="AC260">
        <v>48.6433999999999</v>
      </c>
      <c r="AD260">
        <v>-1.1103194981910001</v>
      </c>
      <c r="AE260">
        <v>-0.92629999999996904</v>
      </c>
      <c r="AF260">
        <v>1.5259627688613699</v>
      </c>
      <c r="AG260">
        <v>-1.1103194981910001</v>
      </c>
      <c r="AH260">
        <v>48.602943727656204</v>
      </c>
      <c r="AI260">
        <v>91.308032759789995</v>
      </c>
      <c r="AJ260">
        <v>88.201703262184296</v>
      </c>
      <c r="AK260">
        <v>48.639567337238198</v>
      </c>
      <c r="AL260">
        <v>79.311692123934293</v>
      </c>
      <c r="AM260">
        <v>94.991573975620796</v>
      </c>
      <c r="AN260">
        <v>1.0000000345076501</v>
      </c>
    </row>
    <row r="261" spans="1:40" x14ac:dyDescent="0.25">
      <c r="A261" t="str">
        <f>"20190304155021368"</f>
        <v>20190304155021368</v>
      </c>
      <c r="B261" t="str">
        <f>"1551685821356463"</f>
        <v>1551685821356463</v>
      </c>
      <c r="C261" t="s">
        <v>40</v>
      </c>
      <c r="D261">
        <v>4.5184030000000002</v>
      </c>
      <c r="E261">
        <v>0.54367239999999994</v>
      </c>
      <c r="F261" t="s">
        <v>41</v>
      </c>
      <c r="G261">
        <v>-398.37970000000001</v>
      </c>
      <c r="H261" s="1">
        <v>-1.3695040000000001E-6</v>
      </c>
      <c r="I261">
        <v>366.48910000000001</v>
      </c>
      <c r="J261">
        <v>-446.44639999999998</v>
      </c>
      <c r="K261">
        <v>1.11032</v>
      </c>
      <c r="L261">
        <v>367.40480000000002</v>
      </c>
      <c r="M261">
        <v>0.99986509999999995</v>
      </c>
      <c r="N261">
        <v>-1.0740130000000001E-2</v>
      </c>
      <c r="O261">
        <v>1.243608E-2</v>
      </c>
      <c r="P261">
        <v>0.97968409999999995</v>
      </c>
      <c r="Q261">
        <v>0.17534810000000001</v>
      </c>
      <c r="R261">
        <v>9.7327839999999999E-2</v>
      </c>
      <c r="S261">
        <v>3.080505</v>
      </c>
      <c r="T261">
        <v>-7.0850250000000004E-2</v>
      </c>
      <c r="U261">
        <v>-5.825806E-2</v>
      </c>
      <c r="V261">
        <v>-8.516087E-2</v>
      </c>
      <c r="W261">
        <v>0.1858611</v>
      </c>
      <c r="X261">
        <v>0.97887860000000004</v>
      </c>
      <c r="Y261">
        <v>3.1328500000000002E-2</v>
      </c>
      <c r="Z261">
        <v>-6.808971E-4</v>
      </c>
      <c r="AA261">
        <v>0.99950890000000003</v>
      </c>
      <c r="AB261">
        <v>24</v>
      </c>
      <c r="AC261">
        <v>48.066699999999898</v>
      </c>
      <c r="AD261">
        <v>-1.110321369504</v>
      </c>
      <c r="AE261">
        <v>-0.91570000000001495</v>
      </c>
      <c r="AF261">
        <v>1.5126180910617599</v>
      </c>
      <c r="AG261">
        <v>-1.110321369504</v>
      </c>
      <c r="AH261">
        <v>48.025977201316202</v>
      </c>
      <c r="AI261">
        <v>91.323739530137303</v>
      </c>
      <c r="AJ261">
        <v>88.196018127614295</v>
      </c>
      <c r="AK261">
        <v>48.062618667466801</v>
      </c>
      <c r="AL261">
        <v>79.2886596578075</v>
      </c>
      <c r="AM261">
        <v>94.9721220441414</v>
      </c>
      <c r="AN261">
        <v>1.00000001790516</v>
      </c>
    </row>
    <row r="262" spans="1:40" x14ac:dyDescent="0.25">
      <c r="A262" t="str">
        <f>"20190304155021382"</f>
        <v>20190304155021382</v>
      </c>
      <c r="B262" t="str">
        <f>"1551685821376957"</f>
        <v>1551685821376957</v>
      </c>
      <c r="C262" t="s">
        <v>40</v>
      </c>
      <c r="D262">
        <v>5.295922</v>
      </c>
      <c r="E262">
        <v>0.54330979999999995</v>
      </c>
      <c r="F262" t="s">
        <v>41</v>
      </c>
      <c r="G262">
        <v>-397.25240000000002</v>
      </c>
      <c r="H262" s="1">
        <v>-1.7574220000000001E-6</v>
      </c>
      <c r="I262">
        <v>366.47289999999998</v>
      </c>
      <c r="J262">
        <v>-446.28809999999999</v>
      </c>
      <c r="K262">
        <v>1.1103209999999999</v>
      </c>
      <c r="L262">
        <v>367.40690000000001</v>
      </c>
      <c r="M262">
        <v>0.99986419999999998</v>
      </c>
      <c r="N262">
        <v>-1.074285E-2</v>
      </c>
      <c r="O262">
        <v>1.2505270000000001E-2</v>
      </c>
      <c r="P262">
        <v>0.97967579999999999</v>
      </c>
      <c r="Q262">
        <v>0.1754481</v>
      </c>
      <c r="R262">
        <v>9.7228010000000004E-2</v>
      </c>
      <c r="S262">
        <v>3.0803829999999999</v>
      </c>
      <c r="T262">
        <v>-6.9525000000000003E-2</v>
      </c>
      <c r="U262">
        <v>-5.8349610000000003E-2</v>
      </c>
      <c r="V262">
        <v>-8.4993020000000002E-2</v>
      </c>
      <c r="W262">
        <v>0.18596370000000001</v>
      </c>
      <c r="X262">
        <v>0.97887369999999996</v>
      </c>
      <c r="Y262">
        <v>3.1428499999999998E-2</v>
      </c>
      <c r="Z262">
        <v>-6.713299E-4</v>
      </c>
      <c r="AA262">
        <v>0.9995058</v>
      </c>
      <c r="AB262">
        <v>24</v>
      </c>
      <c r="AC262">
        <v>49.035699999999899</v>
      </c>
      <c r="AD262">
        <v>-1.11032275742199</v>
      </c>
      <c r="AE262">
        <v>-0.93400000000002603</v>
      </c>
      <c r="AF262">
        <v>1.5463743925446201</v>
      </c>
      <c r="AG262">
        <v>-1.11032275742199</v>
      </c>
      <c r="AH262">
        <v>48.995073402692498</v>
      </c>
      <c r="AI262">
        <v>91.297564640707805</v>
      </c>
      <c r="AJ262">
        <v>88.192240202800505</v>
      </c>
      <c r="AK262">
        <v>49.032043686988899</v>
      </c>
      <c r="AL262">
        <v>79.282676785675093</v>
      </c>
      <c r="AM262">
        <v>94.962395811332001</v>
      </c>
      <c r="AN262">
        <v>1.0000000158590501</v>
      </c>
    </row>
    <row r="263" spans="1:40" x14ac:dyDescent="0.25">
      <c r="A263" t="str">
        <f>"20190304155021402"</f>
        <v>20190304155021402</v>
      </c>
      <c r="B263" t="str">
        <f>"1551685821396476"</f>
        <v>1551685821396476</v>
      </c>
      <c r="C263" t="s">
        <v>40</v>
      </c>
      <c r="D263">
        <v>5.1853239999999996</v>
      </c>
      <c r="E263">
        <v>0.54342279999999998</v>
      </c>
      <c r="F263" t="s">
        <v>41</v>
      </c>
      <c r="G263">
        <v>-395.87959999999998</v>
      </c>
      <c r="H263" s="1">
        <v>-2.3043379999999999E-6</v>
      </c>
      <c r="I263">
        <v>366.49079999999998</v>
      </c>
      <c r="J263">
        <v>-446.09059999999999</v>
      </c>
      <c r="K263">
        <v>1.1103190000000001</v>
      </c>
      <c r="L263">
        <v>367.40949999999998</v>
      </c>
      <c r="M263">
        <v>0.99986299999999995</v>
      </c>
      <c r="N263">
        <v>-1.0740639999999999E-2</v>
      </c>
      <c r="O263">
        <v>1.259218E-2</v>
      </c>
      <c r="P263">
        <v>0.97966379999999997</v>
      </c>
      <c r="Q263">
        <v>0.17552679999999901</v>
      </c>
      <c r="R263">
        <v>9.7207150000000006E-2</v>
      </c>
      <c r="S263">
        <v>3.079987</v>
      </c>
      <c r="T263">
        <v>-6.7841289999999999E-2</v>
      </c>
      <c r="U263">
        <v>-5.5969240000000003E-2</v>
      </c>
      <c r="V263">
        <v>-8.4887219999999999E-2</v>
      </c>
      <c r="W263">
        <v>0.18604000000000001</v>
      </c>
      <c r="X263">
        <v>0.97886839999999997</v>
      </c>
      <c r="Y263">
        <v>3.07464E-2</v>
      </c>
      <c r="Z263">
        <v>-6.4579109999999998E-4</v>
      </c>
      <c r="AA263">
        <v>0.99952700000000005</v>
      </c>
      <c r="AB263">
        <v>24</v>
      </c>
      <c r="AC263">
        <v>50.210999999999999</v>
      </c>
      <c r="AD263">
        <v>-1.110321304338</v>
      </c>
      <c r="AE263">
        <v>-0.91870000000000096</v>
      </c>
      <c r="AF263">
        <v>1.55017182924778</v>
      </c>
      <c r="AG263">
        <v>-1.110321304338</v>
      </c>
      <c r="AH263">
        <v>50.170924626799</v>
      </c>
      <c r="AI263">
        <v>91.267188360967495</v>
      </c>
      <c r="AJ263">
        <v>88.230248775045396</v>
      </c>
      <c r="AK263">
        <v>50.207146144816903</v>
      </c>
      <c r="AL263">
        <v>79.278227661841996</v>
      </c>
      <c r="AM263">
        <v>94.956276070377896</v>
      </c>
      <c r="AN263">
        <v>1.00000003311894</v>
      </c>
    </row>
    <row r="264" spans="1:40" x14ac:dyDescent="0.25">
      <c r="A264" t="str">
        <f>"20190304155021424"</f>
        <v>20190304155021424</v>
      </c>
      <c r="B264" t="str">
        <f>"1551685821416971"</f>
        <v>1551685821416971</v>
      </c>
      <c r="C264" t="s">
        <v>40</v>
      </c>
      <c r="D264">
        <v>5.7617520000000004</v>
      </c>
      <c r="E264">
        <v>0.54354469999999899</v>
      </c>
      <c r="F264" t="s">
        <v>41</v>
      </c>
      <c r="G264">
        <v>-395.05549999999999</v>
      </c>
      <c r="H264" s="1">
        <v>-2.6615030000000001E-6</v>
      </c>
      <c r="I264">
        <v>366.47030000000001</v>
      </c>
      <c r="J264">
        <v>-445.8449</v>
      </c>
      <c r="K264">
        <v>1.1103179999999999</v>
      </c>
      <c r="L264">
        <v>367.41269999999997</v>
      </c>
      <c r="M264">
        <v>0.99986169999999996</v>
      </c>
      <c r="N264">
        <v>-1.072974E-2</v>
      </c>
      <c r="O264">
        <v>1.2700120000000001E-2</v>
      </c>
      <c r="P264">
        <v>0.97969850000000003</v>
      </c>
      <c r="Q264">
        <v>0.17534669999999999</v>
      </c>
      <c r="R264">
        <v>9.7181130000000004E-2</v>
      </c>
      <c r="S264">
        <v>3.0798649999999999</v>
      </c>
      <c r="T264">
        <v>-6.7005629999999997E-2</v>
      </c>
      <c r="U264">
        <v>-5.6671140000000002E-2</v>
      </c>
      <c r="V264">
        <v>-8.4754499999999997E-2</v>
      </c>
      <c r="W264">
        <v>0.18584980000000001</v>
      </c>
      <c r="X264">
        <v>0.97891600000000001</v>
      </c>
      <c r="Y264">
        <v>3.108288E-2</v>
      </c>
      <c r="Z264">
        <v>-6.4485409999999997E-4</v>
      </c>
      <c r="AA264">
        <v>0.99951659999999998</v>
      </c>
      <c r="AB264">
        <v>24</v>
      </c>
      <c r="AC264">
        <v>50.789400000000001</v>
      </c>
      <c r="AD264">
        <v>-1.1103206615029999</v>
      </c>
      <c r="AE264">
        <v>-0.94239999999996305</v>
      </c>
      <c r="AF264">
        <v>1.5866346314264701</v>
      </c>
      <c r="AG264">
        <v>-1.1103206615029999</v>
      </c>
      <c r="AH264">
        <v>50.749088686679897</v>
      </c>
      <c r="AI264">
        <v>91.252741441688201</v>
      </c>
      <c r="AJ264">
        <v>88.209270976864502</v>
      </c>
      <c r="AK264">
        <v>50.786023903762199</v>
      </c>
      <c r="AL264">
        <v>79.289318432390999</v>
      </c>
      <c r="AM264">
        <v>94.948326079559394</v>
      </c>
      <c r="AN264">
        <v>1.0000000042431401</v>
      </c>
    </row>
    <row r="265" spans="1:40" x14ac:dyDescent="0.25">
      <c r="A265" t="str">
        <f>"20190304155021438"</f>
        <v>20190304155021438</v>
      </c>
      <c r="B265" t="str">
        <f>"1551685821426732"</f>
        <v>1551685821426732</v>
      </c>
      <c r="C265" t="s">
        <v>40</v>
      </c>
      <c r="D265">
        <v>5.2551550000000002</v>
      </c>
      <c r="E265">
        <v>0.54363660000000003</v>
      </c>
      <c r="F265" t="s">
        <v>41</v>
      </c>
      <c r="G265">
        <v>-395.4615</v>
      </c>
      <c r="H265" s="1">
        <v>-2.4874160000000001E-6</v>
      </c>
      <c r="I265">
        <v>366.4701</v>
      </c>
      <c r="J265">
        <v>-445.70479999999998</v>
      </c>
      <c r="K265">
        <v>1.110314</v>
      </c>
      <c r="L265">
        <v>367.41460000000001</v>
      </c>
      <c r="M265">
        <v>0.99986109999999995</v>
      </c>
      <c r="N265">
        <v>-1.0720820000000001E-2</v>
      </c>
      <c r="O265">
        <v>1.27615E-2</v>
      </c>
      <c r="P265">
        <v>0.97971249999999999</v>
      </c>
      <c r="Q265">
        <v>0.1752165</v>
      </c>
      <c r="R265">
        <v>9.727645E-2</v>
      </c>
      <c r="S265">
        <v>3.079987</v>
      </c>
      <c r="T265">
        <v>-6.7874790000000004E-2</v>
      </c>
      <c r="U265">
        <v>-5.7617189999999999E-2</v>
      </c>
      <c r="V265">
        <v>-8.4789429999999999E-2</v>
      </c>
      <c r="W265">
        <v>0.18571109999999999</v>
      </c>
      <c r="X265">
        <v>0.97893929999999996</v>
      </c>
      <c r="Y265">
        <v>3.1449999999999999E-2</v>
      </c>
      <c r="Z265">
        <v>-6.5947789999999998E-4</v>
      </c>
      <c r="AA265">
        <v>0.99950510000000004</v>
      </c>
      <c r="AB265">
        <v>24</v>
      </c>
      <c r="AC265">
        <v>50.243299999999898</v>
      </c>
      <c r="AD265">
        <v>-1.1103164874160001</v>
      </c>
      <c r="AE265">
        <v>-0.944500000000005</v>
      </c>
      <c r="AF265">
        <v>1.5848660924426901</v>
      </c>
      <c r="AG265">
        <v>-1.1103164874160001</v>
      </c>
      <c r="AH265">
        <v>50.202646081007202</v>
      </c>
      <c r="AI265">
        <v>91.266355905711606</v>
      </c>
      <c r="AJ265">
        <v>88.191808664758298</v>
      </c>
      <c r="AK265">
        <v>50.2399271174638</v>
      </c>
      <c r="AL265">
        <v>79.297406179310599</v>
      </c>
      <c r="AM265">
        <v>94.950238069426902</v>
      </c>
      <c r="AN265">
        <v>1.00000000659371</v>
      </c>
    </row>
    <row r="266" spans="1:40" x14ac:dyDescent="0.25">
      <c r="A266" t="str">
        <f>"20190304155021458"</f>
        <v>20190304155021458</v>
      </c>
      <c r="B266" t="str">
        <f>"1551685821447228"</f>
        <v>1551685821447228</v>
      </c>
      <c r="C266" t="s">
        <v>40</v>
      </c>
      <c r="D266">
        <v>5.1358750000000004</v>
      </c>
      <c r="E266">
        <v>0.54367149999999997</v>
      </c>
      <c r="F266" t="s">
        <v>41</v>
      </c>
      <c r="G266">
        <v>-395.32929999999999</v>
      </c>
      <c r="H266" s="1">
        <v>-2.5456930000000001E-6</v>
      </c>
      <c r="I266">
        <v>366.46120000000002</v>
      </c>
      <c r="J266">
        <v>-445.48180000000002</v>
      </c>
      <c r="K266">
        <v>1.110309</v>
      </c>
      <c r="L266">
        <v>367.41750000000002</v>
      </c>
      <c r="M266">
        <v>0.99985999999999997</v>
      </c>
      <c r="N266">
        <v>-1.070375E-2</v>
      </c>
      <c r="O266">
        <v>1.285904E-2</v>
      </c>
      <c r="P266">
        <v>0.97966070000000005</v>
      </c>
      <c r="Q266">
        <v>0.1753866</v>
      </c>
      <c r="R266">
        <v>9.7491939999999999E-2</v>
      </c>
      <c r="S266">
        <v>3.0800480000000001</v>
      </c>
      <c r="T266">
        <v>-6.7886589999999997E-2</v>
      </c>
      <c r="U266">
        <v>-5.8288569999999998E-2</v>
      </c>
      <c r="V266">
        <v>-8.4909680000000001E-2</v>
      </c>
      <c r="W266">
        <v>0.18586440000000001</v>
      </c>
      <c r="X266">
        <v>0.97889979999999999</v>
      </c>
      <c r="Y266">
        <v>3.1764819999999999E-2</v>
      </c>
      <c r="Z266">
        <v>-6.6578299999999998E-4</v>
      </c>
      <c r="AA266">
        <v>0.99949509999999997</v>
      </c>
      <c r="AB266">
        <v>24</v>
      </c>
      <c r="AC266">
        <v>50.152500000000003</v>
      </c>
      <c r="AD266">
        <v>-1.1103115456929999</v>
      </c>
      <c r="AE266">
        <v>-0.95629999999999804</v>
      </c>
      <c r="AF266">
        <v>1.6003867914224601</v>
      </c>
      <c r="AG266">
        <v>-1.1103115456929999</v>
      </c>
      <c r="AH266">
        <v>50.111503224464499</v>
      </c>
      <c r="AI266">
        <v>91.268637988600503</v>
      </c>
      <c r="AJ266">
        <v>88.170794183637</v>
      </c>
      <c r="AK266">
        <v>50.149344811534398</v>
      </c>
      <c r="AL266">
        <v>79.288467291525293</v>
      </c>
      <c r="AM266">
        <v>94.957422667816502</v>
      </c>
      <c r="AN266">
        <v>1.0000000236925499</v>
      </c>
    </row>
    <row r="267" spans="1:40" x14ac:dyDescent="0.25">
      <c r="A267" t="str">
        <f>"20190304155021480"</f>
        <v>20190304155021480</v>
      </c>
      <c r="B267" t="str">
        <f>"1551685821476510"</f>
        <v>1551685821476510</v>
      </c>
      <c r="C267" t="s">
        <v>40</v>
      </c>
      <c r="D267">
        <v>5.161098</v>
      </c>
      <c r="E267">
        <v>0.54369690000000004</v>
      </c>
      <c r="F267" t="s">
        <v>41</v>
      </c>
      <c r="G267">
        <v>-394.1361</v>
      </c>
      <c r="H267" s="1">
        <v>-3.0581629999999998E-6</v>
      </c>
      <c r="I267">
        <v>366.4579</v>
      </c>
      <c r="J267">
        <v>-445.25569999999999</v>
      </c>
      <c r="K267">
        <v>1.1103069999999999</v>
      </c>
      <c r="L267">
        <v>367.4205</v>
      </c>
      <c r="M267">
        <v>0.99985900000000005</v>
      </c>
      <c r="N267">
        <v>-1.0682499999999999E-2</v>
      </c>
      <c r="O267">
        <v>1.295816E-2</v>
      </c>
      <c r="P267">
        <v>0.97969519999999999</v>
      </c>
      <c r="Q267">
        <v>0.17503650000000001</v>
      </c>
      <c r="R267">
        <v>9.7773979999999996E-2</v>
      </c>
      <c r="S267">
        <v>3.079895</v>
      </c>
      <c r="T267">
        <v>-6.6600320000000005E-2</v>
      </c>
      <c r="U267">
        <v>-5.755615E-2</v>
      </c>
      <c r="V267">
        <v>-8.5094069999999994E-2</v>
      </c>
      <c r="W267">
        <v>0.18549370000000001</v>
      </c>
      <c r="X267">
        <v>0.97895410000000005</v>
      </c>
      <c r="Y267">
        <v>3.1627679999999998E-2</v>
      </c>
      <c r="Z267">
        <v>-6.5262000000000002E-4</v>
      </c>
      <c r="AA267">
        <v>0.99949949999999999</v>
      </c>
      <c r="AB267">
        <v>24</v>
      </c>
      <c r="AC267">
        <v>51.119599999999899</v>
      </c>
      <c r="AD267">
        <v>-1.1103100581630001</v>
      </c>
      <c r="AE267">
        <v>-0.962600000000009</v>
      </c>
      <c r="AF267">
        <v>1.6242069581088301</v>
      </c>
      <c r="AG267">
        <v>-1.1103100581630001</v>
      </c>
      <c r="AH267">
        <v>51.078745294134897</v>
      </c>
      <c r="AI267">
        <v>91.244626133695107</v>
      </c>
      <c r="AJ267">
        <v>88.178716856636299</v>
      </c>
      <c r="AK267">
        <v>51.116622125206398</v>
      </c>
      <c r="AL267">
        <v>79.310082697662295</v>
      </c>
      <c r="AM267">
        <v>94.967860201997397</v>
      </c>
      <c r="AN267">
        <v>1.00000002169783</v>
      </c>
    </row>
    <row r="268" spans="1:40" x14ac:dyDescent="0.25">
      <c r="A268" t="str">
        <f>"20190304155021513"</f>
        <v>20190304155021513</v>
      </c>
      <c r="B268" t="str">
        <f>"1551685821506764"</f>
        <v>1551685821506764</v>
      </c>
      <c r="C268" t="s">
        <v>40</v>
      </c>
      <c r="D268">
        <v>5.1599409999999999</v>
      </c>
      <c r="E268">
        <v>0.54372690000000001</v>
      </c>
      <c r="F268" t="s">
        <v>41</v>
      </c>
      <c r="G268">
        <v>-394.34679999999997</v>
      </c>
      <c r="H268" s="1">
        <v>-2.963804E-6</v>
      </c>
      <c r="I268">
        <v>366.48020000000002</v>
      </c>
      <c r="J268">
        <v>-444.9</v>
      </c>
      <c r="K268">
        <v>1.1102989999999999</v>
      </c>
      <c r="L268">
        <v>367.42529999999999</v>
      </c>
      <c r="M268">
        <v>0.99985740000000001</v>
      </c>
      <c r="N268">
        <v>-1.064503E-2</v>
      </c>
      <c r="O268">
        <v>1.3114099999999899E-2</v>
      </c>
      <c r="P268">
        <v>0.97980080000000003</v>
      </c>
      <c r="Q268">
        <v>0.17438039999999999</v>
      </c>
      <c r="R268">
        <v>9.7886399999999998E-2</v>
      </c>
      <c r="S268">
        <v>3.0798649999999999</v>
      </c>
      <c r="T268">
        <v>-6.7170980000000005E-2</v>
      </c>
      <c r="U268">
        <v>-5.6884770000000001E-2</v>
      </c>
      <c r="V268">
        <v>-8.5052130000000004E-2</v>
      </c>
      <c r="W268">
        <v>0.1848021</v>
      </c>
      <c r="X268">
        <v>0.97908850000000003</v>
      </c>
      <c r="Y268">
        <v>3.156577E-2</v>
      </c>
      <c r="Z268">
        <v>-6.5858490000000002E-4</v>
      </c>
      <c r="AA268">
        <v>0.99950150000000004</v>
      </c>
      <c r="AB268">
        <v>24</v>
      </c>
      <c r="AC268">
        <v>50.553199999999997</v>
      </c>
      <c r="AD268">
        <v>-1.1103019638039999</v>
      </c>
      <c r="AE268">
        <v>-0.94509999999996797</v>
      </c>
      <c r="AF268">
        <v>1.60724094298738</v>
      </c>
      <c r="AG268">
        <v>-1.1103019638039999</v>
      </c>
      <c r="AH268">
        <v>50.512100155346602</v>
      </c>
      <c r="AI268">
        <v>91.258573888244996</v>
      </c>
      <c r="AJ268">
        <v>88.177524528866002</v>
      </c>
      <c r="AK268">
        <v>50.549859109629701</v>
      </c>
      <c r="AL268">
        <v>79.350405229526203</v>
      </c>
      <c r="AM268">
        <v>94.964745755813098</v>
      </c>
      <c r="AN268">
        <v>0.99999998590709804</v>
      </c>
    </row>
    <row r="269" spans="1:40" x14ac:dyDescent="0.25">
      <c r="A269" t="str">
        <f>"20190304155021578"</f>
        <v>20190304155021578</v>
      </c>
      <c r="B269" t="str">
        <f>"1551685821577036"</f>
        <v>1551685821577036</v>
      </c>
      <c r="C269" t="s">
        <v>40</v>
      </c>
      <c r="D269">
        <v>4.013566</v>
      </c>
      <c r="E269">
        <v>0.54855949999999998</v>
      </c>
      <c r="F269" t="s">
        <v>41</v>
      </c>
      <c r="G269">
        <v>-395.32069999999999</v>
      </c>
      <c r="H269" s="1">
        <v>-2.541059E-6</v>
      </c>
      <c r="I269">
        <v>366.50799999999998</v>
      </c>
      <c r="J269">
        <v>-444.19459999999998</v>
      </c>
      <c r="K269">
        <v>1.1102890000000001</v>
      </c>
      <c r="L269">
        <v>367.435</v>
      </c>
      <c r="M269">
        <v>0.99985409999999997</v>
      </c>
      <c r="N269">
        <v>-1.0572659999999999E-2</v>
      </c>
      <c r="O269">
        <v>1.3422460000000001E-2</v>
      </c>
      <c r="P269">
        <v>0.97969390000000001</v>
      </c>
      <c r="Q269">
        <v>0.17490739999999999</v>
      </c>
      <c r="R269">
        <v>9.8017950000000006E-2</v>
      </c>
      <c r="S269">
        <v>3.0797729999999999</v>
      </c>
      <c r="T269">
        <v>-6.8969730000000007E-2</v>
      </c>
      <c r="U269">
        <v>-5.6976319999999997E-2</v>
      </c>
      <c r="V269">
        <v>-8.4883180000000003E-2</v>
      </c>
      <c r="W269">
        <v>0.18525759999999999</v>
      </c>
      <c r="X269">
        <v>0.97901709999999997</v>
      </c>
      <c r="Y269">
        <v>3.1903540000000001E-2</v>
      </c>
      <c r="Z269">
        <v>-6.8449319999999995E-4</v>
      </c>
      <c r="AA269">
        <v>0.99949069999999995</v>
      </c>
      <c r="AB269">
        <v>24</v>
      </c>
      <c r="AC269">
        <v>48.8738999999999</v>
      </c>
      <c r="AD269">
        <v>-1.110291541059</v>
      </c>
      <c r="AE269">
        <v>-0.92699999999996396</v>
      </c>
      <c r="AF269">
        <v>1.5821448376865099</v>
      </c>
      <c r="AG269">
        <v>-1.110291541059</v>
      </c>
      <c r="AH269">
        <v>48.831861114588101</v>
      </c>
      <c r="AI269">
        <v>91.301828610093906</v>
      </c>
      <c r="AJ269">
        <v>88.144274667256298</v>
      </c>
      <c r="AK269">
        <v>48.870099135442601</v>
      </c>
      <c r="AL269">
        <v>79.323848674247998</v>
      </c>
      <c r="AM269">
        <v>94.955292353333306</v>
      </c>
      <c r="AN269">
        <v>1.00000000734854</v>
      </c>
    </row>
    <row r="270" spans="1:40" x14ac:dyDescent="0.25">
      <c r="A270" t="str">
        <f>"20190304155021602"</f>
        <v>20190304155021602</v>
      </c>
      <c r="B270" t="str">
        <f>"1551685821596555"</f>
        <v>1551685821596555</v>
      </c>
      <c r="C270" t="s">
        <v>40</v>
      </c>
      <c r="D270">
        <v>4.8758860000000004</v>
      </c>
      <c r="E270">
        <v>0.54149419999999904</v>
      </c>
      <c r="F270" t="s">
        <v>51</v>
      </c>
      <c r="G270">
        <v>-443.41250000000002</v>
      </c>
      <c r="H270">
        <v>0.96808839999999996</v>
      </c>
      <c r="I270">
        <v>367.41109999999998</v>
      </c>
      <c r="J270">
        <v>-443.95319999999998</v>
      </c>
      <c r="K270">
        <v>1.1102890000000001</v>
      </c>
      <c r="L270">
        <v>367.4384</v>
      </c>
      <c r="M270">
        <v>0.99985299999999999</v>
      </c>
      <c r="N270">
        <v>-1.054298E-2</v>
      </c>
      <c r="O270">
        <v>1.352794E-2</v>
      </c>
      <c r="P270">
        <v>0.97966690000000001</v>
      </c>
      <c r="Q270">
        <v>0.17541609999999999</v>
      </c>
      <c r="R270">
        <v>9.7376959999999999E-2</v>
      </c>
      <c r="S270">
        <v>3.1749269999999998</v>
      </c>
      <c r="T270">
        <v>-0.57731699999999997</v>
      </c>
      <c r="U270">
        <v>-9.6801760000000001E-2</v>
      </c>
      <c r="V270">
        <v>-8.4139220000000001E-2</v>
      </c>
      <c r="W270">
        <v>0.1857364</v>
      </c>
      <c r="X270">
        <v>0.97899060000000004</v>
      </c>
      <c r="Y270">
        <v>4.3051249999999999E-2</v>
      </c>
      <c r="Z270">
        <v>-6.4082690000000003E-3</v>
      </c>
      <c r="AA270">
        <v>0.9990523</v>
      </c>
      <c r="AB270">
        <v>24</v>
      </c>
      <c r="AC270">
        <v>0.54069999999995799</v>
      </c>
      <c r="AD270">
        <v>-0.14220059999999901</v>
      </c>
      <c r="AE270">
        <v>-2.73000000000252E-2</v>
      </c>
      <c r="AF270">
        <v>3.2378669216442203E-2</v>
      </c>
      <c r="AG270">
        <v>-0.14220059999999901</v>
      </c>
      <c r="AH270">
        <v>0.50541288833012499</v>
      </c>
      <c r="AI270">
        <v>105.68366467493701</v>
      </c>
      <c r="AJ270">
        <v>86.334423990811899</v>
      </c>
      <c r="AK270">
        <v>0.52603381692699902</v>
      </c>
      <c r="AL270">
        <v>79.295930931481607</v>
      </c>
      <c r="AM270">
        <v>94.912207355247304</v>
      </c>
      <c r="AN270">
        <v>1.0000000067577599</v>
      </c>
    </row>
    <row r="271" spans="1:40" x14ac:dyDescent="0.25">
      <c r="A271" t="str">
        <f>"20190304155021625"</f>
        <v>20190304155021625</v>
      </c>
      <c r="B271" t="str">
        <f>"1551685821616588"</f>
        <v>1551685821616588</v>
      </c>
      <c r="C271" t="s">
        <v>40</v>
      </c>
      <c r="D271">
        <v>5.0189459999999997</v>
      </c>
      <c r="E271">
        <v>0.54005630000000004</v>
      </c>
      <c r="F271" t="s">
        <v>51</v>
      </c>
      <c r="G271">
        <v>-443.18579999999997</v>
      </c>
      <c r="H271">
        <v>0.99266339999999997</v>
      </c>
      <c r="I271">
        <v>367.42779999999999</v>
      </c>
      <c r="J271">
        <v>-443.69760000000002</v>
      </c>
      <c r="K271">
        <v>1.110282</v>
      </c>
      <c r="L271">
        <v>367.44189999999998</v>
      </c>
      <c r="M271">
        <v>0.99985190000000002</v>
      </c>
      <c r="N271">
        <v>-1.050776E-2</v>
      </c>
      <c r="O271">
        <v>1.363982E-2</v>
      </c>
      <c r="P271">
        <v>0.9796745</v>
      </c>
      <c r="Q271">
        <v>0.1754867</v>
      </c>
      <c r="R271">
        <v>9.7174350000000007E-2</v>
      </c>
      <c r="S271">
        <v>3.1529850000000001</v>
      </c>
      <c r="T271">
        <v>-0.48348859999999999</v>
      </c>
      <c r="U271">
        <v>-4.196167E-2</v>
      </c>
      <c r="V271">
        <v>-8.3826800000000007E-2</v>
      </c>
      <c r="W271">
        <v>0.18577299999999999</v>
      </c>
      <c r="X271">
        <v>0.97901050000000001</v>
      </c>
      <c r="Y271">
        <v>2.6476309999999999E-2</v>
      </c>
      <c r="Z271">
        <v>-4.0948570000000004E-3</v>
      </c>
      <c r="AA271">
        <v>0.99964109999999995</v>
      </c>
      <c r="AB271">
        <v>24</v>
      </c>
      <c r="AC271">
        <v>0.51180000000004999</v>
      </c>
      <c r="AD271">
        <v>-0.1176186</v>
      </c>
      <c r="AE271">
        <v>-1.4099999999984901E-2</v>
      </c>
      <c r="AF271">
        <v>2.0023222261934599E-2</v>
      </c>
      <c r="AG271">
        <v>-0.1176186</v>
      </c>
      <c r="AH271">
        <v>0.48591619610438203</v>
      </c>
      <c r="AI271">
        <v>103.595919298767</v>
      </c>
      <c r="AJ271">
        <v>87.640339125757293</v>
      </c>
      <c r="AK271">
        <v>0.50034949198761403</v>
      </c>
      <c r="AL271">
        <v>79.293797226430399</v>
      </c>
      <c r="AM271">
        <v>94.893957439896496</v>
      </c>
      <c r="AN271">
        <v>1.00000004951874</v>
      </c>
    </row>
    <row r="272" spans="1:40" x14ac:dyDescent="0.25">
      <c r="A272" t="str">
        <f>"20190304155021649"</f>
        <v>20190304155021649</v>
      </c>
      <c r="B272" t="str">
        <f>"1551685821646840"</f>
        <v>1551685821646840</v>
      </c>
      <c r="C272" t="s">
        <v>40</v>
      </c>
      <c r="D272">
        <v>4.9826489999999897</v>
      </c>
      <c r="E272">
        <v>0.55202609999999996</v>
      </c>
      <c r="F272" t="s">
        <v>51</v>
      </c>
      <c r="G272">
        <v>-442.96300000000002</v>
      </c>
      <c r="H272">
        <v>1.0087390000000001</v>
      </c>
      <c r="I272">
        <v>367.43439999999998</v>
      </c>
      <c r="J272">
        <v>-443.44909999999999</v>
      </c>
      <c r="K272">
        <v>1.1102780000000001</v>
      </c>
      <c r="L272">
        <v>367.44549999999998</v>
      </c>
      <c r="M272">
        <v>0.99985060000000003</v>
      </c>
      <c r="N272">
        <v>-1.0469060000000001E-2</v>
      </c>
      <c r="O272">
        <v>1.3748979999999999E-2</v>
      </c>
      <c r="P272">
        <v>0.97968129999999998</v>
      </c>
      <c r="Q272">
        <v>0.1756036</v>
      </c>
      <c r="R272">
        <v>9.6890400000000002E-2</v>
      </c>
      <c r="S272">
        <v>3.1431269999999998</v>
      </c>
      <c r="T272">
        <v>-0.43472309999999997</v>
      </c>
      <c r="U272">
        <v>-3.0792239999999999E-2</v>
      </c>
      <c r="V272">
        <v>-8.3435709999999996E-2</v>
      </c>
      <c r="W272">
        <v>0.1858522</v>
      </c>
      <c r="X272">
        <v>0.97902880000000003</v>
      </c>
      <c r="Y272">
        <v>2.3194900000000001E-2</v>
      </c>
      <c r="Z272">
        <v>-3.46767E-3</v>
      </c>
      <c r="AA272">
        <v>0.99972490000000003</v>
      </c>
      <c r="AB272">
        <v>24</v>
      </c>
      <c r="AC272">
        <v>0.48609999999996401</v>
      </c>
      <c r="AD272">
        <v>-0.101539</v>
      </c>
      <c r="AE272">
        <v>-1.1099999999999E-2</v>
      </c>
      <c r="AF272">
        <v>1.70395963419347E-2</v>
      </c>
      <c r="AG272">
        <v>-0.101539</v>
      </c>
      <c r="AH272">
        <v>0.46559666015304402</v>
      </c>
      <c r="AI272">
        <v>102.294664249116</v>
      </c>
      <c r="AJ272">
        <v>87.904062645087805</v>
      </c>
      <c r="AK272">
        <v>0.47684459345804198</v>
      </c>
      <c r="AL272">
        <v>79.289178162961804</v>
      </c>
      <c r="AM272">
        <v>94.871144418882494</v>
      </c>
      <c r="AN272">
        <v>0.99999997458874101</v>
      </c>
    </row>
    <row r="273" spans="1:40" x14ac:dyDescent="0.25">
      <c r="A273" t="str">
        <f>"20190304155021672"</f>
        <v>20190304155021672</v>
      </c>
      <c r="B273" t="str">
        <f>"1551685821667337"</f>
        <v>1551685821667337</v>
      </c>
      <c r="C273" t="s">
        <v>40</v>
      </c>
      <c r="D273">
        <v>5.0138989999999897</v>
      </c>
      <c r="E273">
        <v>0.54798409999999997</v>
      </c>
      <c r="F273" t="s">
        <v>43</v>
      </c>
      <c r="G273">
        <v>-169.2955</v>
      </c>
      <c r="H273">
        <v>0.57266619999999901</v>
      </c>
      <c r="I273">
        <v>356.36579999999998</v>
      </c>
      <c r="J273">
        <v>-443.20479999999998</v>
      </c>
      <c r="K273">
        <v>1.1102719999999999</v>
      </c>
      <c r="L273">
        <v>367.44889999999998</v>
      </c>
      <c r="M273">
        <v>0.99984969999999995</v>
      </c>
      <c r="N273">
        <v>-1.042828E-2</v>
      </c>
      <c r="O273">
        <v>1.3856179999999999E-2</v>
      </c>
      <c r="P273">
        <v>0.97968520000000003</v>
      </c>
      <c r="Q273">
        <v>0.1753469</v>
      </c>
      <c r="R273">
        <v>9.7316330000000006E-2</v>
      </c>
      <c r="S273">
        <v>3.0755919999999999</v>
      </c>
      <c r="T273">
        <v>-6.0302019999999897E-3</v>
      </c>
      <c r="U273">
        <v>-0.12429809999999999</v>
      </c>
      <c r="V273">
        <v>-8.3756059999999993E-2</v>
      </c>
      <c r="W273">
        <v>0.185556</v>
      </c>
      <c r="X273">
        <v>0.97905770000000003</v>
      </c>
      <c r="Y273">
        <v>5.4221999999999999E-2</v>
      </c>
      <c r="Z273">
        <v>-2.1870209999999999E-4</v>
      </c>
      <c r="AA273">
        <v>0.99852890000000005</v>
      </c>
      <c r="AB273">
        <v>24</v>
      </c>
      <c r="AC273">
        <v>273.90929999999997</v>
      </c>
      <c r="AD273">
        <v>-0.53760580000000002</v>
      </c>
      <c r="AE273">
        <v>-11.0831</v>
      </c>
      <c r="AF273">
        <v>14.877521309392099</v>
      </c>
      <c r="AG273">
        <v>-0.53760580000000002</v>
      </c>
      <c r="AH273">
        <v>273.72837093573401</v>
      </c>
      <c r="AI273">
        <v>90.112363610264893</v>
      </c>
      <c r="AJ273">
        <v>86.888954943772703</v>
      </c>
      <c r="AK273">
        <v>274.132907027665</v>
      </c>
      <c r="AL273">
        <v>79.306450341363998</v>
      </c>
      <c r="AM273">
        <v>94.889612951303505</v>
      </c>
      <c r="AN273">
        <v>1.0000000433259999</v>
      </c>
    </row>
    <row r="274" spans="1:40" x14ac:dyDescent="0.25">
      <c r="A274" t="str">
        <f>"20190304155021691"</f>
        <v>20190304155021691</v>
      </c>
      <c r="B274" t="str">
        <f>"1551685821686857"</f>
        <v>1551685821686857</v>
      </c>
      <c r="C274" t="s">
        <v>40</v>
      </c>
      <c r="D274">
        <v>5.1218360000000001</v>
      </c>
      <c r="E274">
        <v>0.54464040000000002</v>
      </c>
      <c r="F274" t="s">
        <v>42</v>
      </c>
      <c r="G274">
        <v>-297.3954</v>
      </c>
      <c r="H274">
        <v>-0.05</v>
      </c>
      <c r="I274">
        <v>363.10140000000001</v>
      </c>
      <c r="J274">
        <v>-442.98599999999999</v>
      </c>
      <c r="K274">
        <v>1.110269</v>
      </c>
      <c r="L274">
        <v>367.45209999999997</v>
      </c>
      <c r="M274">
        <v>0.99984870000000003</v>
      </c>
      <c r="N274">
        <v>-1.0391849999999999E-2</v>
      </c>
      <c r="O274">
        <v>1.39518E-2</v>
      </c>
      <c r="P274">
        <v>0.97968359999999999</v>
      </c>
      <c r="Q274">
        <v>0.17543339999999999</v>
      </c>
      <c r="R274">
        <v>9.717626E-2</v>
      </c>
      <c r="S274">
        <v>3.0757140000000001</v>
      </c>
      <c r="T274">
        <v>-2.4474860000000001E-2</v>
      </c>
      <c r="U274">
        <v>-9.1705320000000007E-2</v>
      </c>
      <c r="V274">
        <v>-8.3522769999999996E-2</v>
      </c>
      <c r="W274">
        <v>0.18560670000000001</v>
      </c>
      <c r="X274">
        <v>0.97906800000000005</v>
      </c>
      <c r="Y274">
        <v>4.3742919999999998E-2</v>
      </c>
      <c r="Z274">
        <v>-3.6739370000000001E-4</v>
      </c>
      <c r="AA274">
        <v>0.99904269999999995</v>
      </c>
      <c r="AB274">
        <v>24</v>
      </c>
      <c r="AC274">
        <v>145.59059999999999</v>
      </c>
      <c r="AD274">
        <v>-1.160269</v>
      </c>
      <c r="AE274">
        <v>-4.3506999999999598</v>
      </c>
      <c r="AF274">
        <v>6.3812321301094101</v>
      </c>
      <c r="AG274">
        <v>-1.160269</v>
      </c>
      <c r="AH274">
        <v>145.506491550368</v>
      </c>
      <c r="AI274">
        <v>90.456428263729094</v>
      </c>
      <c r="AJ274">
        <v>87.488884933368794</v>
      </c>
      <c r="AK274">
        <v>145.65097126675201</v>
      </c>
      <c r="AL274">
        <v>79.303493887450401</v>
      </c>
      <c r="AM274">
        <v>94.876008369524996</v>
      </c>
      <c r="AN274">
        <v>1.00000002440868</v>
      </c>
    </row>
    <row r="275" spans="1:40" x14ac:dyDescent="0.25">
      <c r="A275" t="str">
        <f>"20190304155021715"</f>
        <v>20190304155021715</v>
      </c>
      <c r="B275" t="str">
        <f>"1551685821707354"</f>
        <v>1551685821707354</v>
      </c>
      <c r="C275" t="s">
        <v>40</v>
      </c>
      <c r="D275">
        <v>5.1075489999999997</v>
      </c>
      <c r="E275">
        <v>0.54023840000000001</v>
      </c>
      <c r="F275" t="s">
        <v>41</v>
      </c>
      <c r="G275">
        <v>-346.5514</v>
      </c>
      <c r="H275" s="1">
        <v>-2.4255400000000002E-6</v>
      </c>
      <c r="I275">
        <v>365.41829999999999</v>
      </c>
      <c r="J275">
        <v>-442.72829999999999</v>
      </c>
      <c r="K275">
        <v>1.1102650000000001</v>
      </c>
      <c r="L275">
        <v>367.45569999999998</v>
      </c>
      <c r="M275">
        <v>0.99984770000000001</v>
      </c>
      <c r="N275">
        <v>-1.0347510000000001E-2</v>
      </c>
      <c r="O275">
        <v>1.4064510000000001E-2</v>
      </c>
      <c r="P275">
        <v>0.97974649999999996</v>
      </c>
      <c r="Q275">
        <v>0.17512039999999901</v>
      </c>
      <c r="R275">
        <v>9.7106929999999994E-2</v>
      </c>
      <c r="S275">
        <v>3.0749819999999999</v>
      </c>
      <c r="T275">
        <v>-3.5402889999999999E-2</v>
      </c>
      <c r="U275">
        <v>-6.4849850000000001E-2</v>
      </c>
      <c r="V275">
        <v>-8.3342169999999993E-2</v>
      </c>
      <c r="W275">
        <v>0.185251</v>
      </c>
      <c r="X275">
        <v>0.97915070000000004</v>
      </c>
      <c r="Y275">
        <v>3.5140440000000002E-2</v>
      </c>
      <c r="Z275">
        <v>-4.0049299999999998E-4</v>
      </c>
      <c r="AA275">
        <v>0.99938229999999995</v>
      </c>
      <c r="AB275">
        <v>24</v>
      </c>
      <c r="AC275">
        <v>96.176900000000003</v>
      </c>
      <c r="AD275">
        <v>-1.11026742553999</v>
      </c>
      <c r="AE275">
        <v>-2.0373999999999901</v>
      </c>
      <c r="AF275">
        <v>3.3895001504636801</v>
      </c>
      <c r="AG275">
        <v>-1.11026742553999</v>
      </c>
      <c r="AH275">
        <v>96.125925150819995</v>
      </c>
      <c r="AI275">
        <v>90.661333602981202</v>
      </c>
      <c r="AJ275">
        <v>87.980527878610602</v>
      </c>
      <c r="AK275">
        <v>96.192072912102503</v>
      </c>
      <c r="AL275">
        <v>79.324233103368698</v>
      </c>
      <c r="AM275">
        <v>94.865106746717998</v>
      </c>
      <c r="AN275">
        <v>0.99999997180589895</v>
      </c>
    </row>
    <row r="276" spans="1:40" x14ac:dyDescent="0.25">
      <c r="A276" t="str">
        <f>"20190304155021736"</f>
        <v>20190304155021736</v>
      </c>
      <c r="B276" t="str">
        <f>"1551685821726876"</f>
        <v>1551685821726876</v>
      </c>
      <c r="C276" t="s">
        <v>40</v>
      </c>
      <c r="D276">
        <v>5.0973610000000003</v>
      </c>
      <c r="E276">
        <v>0.53790269999999996</v>
      </c>
      <c r="F276" t="s">
        <v>41</v>
      </c>
      <c r="G276">
        <v>-380.36720000000003</v>
      </c>
      <c r="H276" s="1">
        <v>-4.6059350000000001E-6</v>
      </c>
      <c r="I276">
        <v>366.84719999999999</v>
      </c>
      <c r="J276">
        <v>-442.49740000000003</v>
      </c>
      <c r="K276">
        <v>1.11026</v>
      </c>
      <c r="L276">
        <v>367.45909999999998</v>
      </c>
      <c r="M276">
        <v>0.99984660000000003</v>
      </c>
      <c r="N276">
        <v>-1.0306030000000001E-2</v>
      </c>
      <c r="O276">
        <v>1.416533E-2</v>
      </c>
      <c r="P276">
        <v>0.97974819999999996</v>
      </c>
      <c r="Q276">
        <v>0.17508299999999999</v>
      </c>
      <c r="R276">
        <v>9.7158770000000005E-2</v>
      </c>
      <c r="S276">
        <v>3.0747680000000002</v>
      </c>
      <c r="T276">
        <v>-5.4742689999999997E-2</v>
      </c>
      <c r="U276">
        <v>-2.9998779999999999E-2</v>
      </c>
      <c r="V276">
        <v>-8.3294880000000002E-2</v>
      </c>
      <c r="W276">
        <v>0.1851728</v>
      </c>
      <c r="X276">
        <v>0.97916950000000003</v>
      </c>
      <c r="Y276">
        <v>2.3914020000000001E-2</v>
      </c>
      <c r="Z276">
        <v>-4.4229430000000003E-4</v>
      </c>
      <c r="AA276">
        <v>0.99971390000000004</v>
      </c>
      <c r="AB276">
        <v>24</v>
      </c>
      <c r="AC276">
        <v>62.130200000000002</v>
      </c>
      <c r="AD276">
        <v>-1.1102646059350001</v>
      </c>
      <c r="AE276">
        <v>-0.61189999999999101</v>
      </c>
      <c r="AF276">
        <v>1.49150384274582</v>
      </c>
      <c r="AG276">
        <v>-1.1102646059350001</v>
      </c>
      <c r="AH276">
        <v>62.095470005895301</v>
      </c>
      <c r="AI276">
        <v>91.024041878087104</v>
      </c>
      <c r="AJ276">
        <v>88.624047026868595</v>
      </c>
      <c r="AK276">
        <v>62.123302121355103</v>
      </c>
      <c r="AL276">
        <v>79.328792350402097</v>
      </c>
      <c r="AM276">
        <v>94.862266518095296</v>
      </c>
      <c r="AN276">
        <v>0.99999995631215099</v>
      </c>
    </row>
    <row r="277" spans="1:40" x14ac:dyDescent="0.25">
      <c r="A277" t="str">
        <f>"20190304155021758"</f>
        <v>20190304155021758</v>
      </c>
      <c r="B277" t="str">
        <f>"1551685821747375"</f>
        <v>1551685821747375</v>
      </c>
      <c r="C277" t="s">
        <v>40</v>
      </c>
      <c r="D277">
        <v>5.045668</v>
      </c>
      <c r="E277">
        <v>0.53664480000000003</v>
      </c>
      <c r="F277" t="s">
        <v>41</v>
      </c>
      <c r="G277">
        <v>-391.05070000000001</v>
      </c>
      <c r="H277" s="1">
        <v>-4.2398529999999996E-6</v>
      </c>
      <c r="I277">
        <v>367.25790000000001</v>
      </c>
      <c r="J277">
        <v>-442.26479999999998</v>
      </c>
      <c r="K277">
        <v>1.110252</v>
      </c>
      <c r="L277">
        <v>367.46260000000001</v>
      </c>
      <c r="M277">
        <v>0.9998456</v>
      </c>
      <c r="N277">
        <v>-1.026197E-2</v>
      </c>
      <c r="O277">
        <v>1.426736E-2</v>
      </c>
      <c r="P277">
        <v>0.97977230000000004</v>
      </c>
      <c r="Q277">
        <v>0.17494319999999999</v>
      </c>
      <c r="R277">
        <v>9.7166020000000006E-2</v>
      </c>
      <c r="S277">
        <v>3.0750730000000002</v>
      </c>
      <c r="T277">
        <v>-6.6362619999999997E-2</v>
      </c>
      <c r="U277">
        <v>-1.202393E-2</v>
      </c>
      <c r="V277">
        <v>-8.3202059999999994E-2</v>
      </c>
      <c r="W277">
        <v>0.18498999999999999</v>
      </c>
      <c r="X277">
        <v>0.97921199999999997</v>
      </c>
      <c r="Y277">
        <v>1.8170550000000001E-2</v>
      </c>
      <c r="Z277">
        <v>-4.5074630000000002E-4</v>
      </c>
      <c r="AA277">
        <v>0.99983480000000002</v>
      </c>
      <c r="AB277">
        <v>24</v>
      </c>
      <c r="AC277">
        <v>51.214099999999902</v>
      </c>
      <c r="AD277">
        <v>-1.110256239853</v>
      </c>
      <c r="AE277">
        <v>-0.20470000000000199</v>
      </c>
      <c r="AF277">
        <v>0.93496821135283703</v>
      </c>
      <c r="AG277">
        <v>-1.110256239853</v>
      </c>
      <c r="AH277">
        <v>51.181912570091299</v>
      </c>
      <c r="AI277">
        <v>91.242478293179701</v>
      </c>
      <c r="AJ277">
        <v>88.953462811540703</v>
      </c>
      <c r="AK277">
        <v>51.202490259818802</v>
      </c>
      <c r="AL277">
        <v>79.339450751869904</v>
      </c>
      <c r="AM277">
        <v>94.856664373160797</v>
      </c>
      <c r="AN277">
        <v>1.0000000119161201</v>
      </c>
    </row>
    <row r="278" spans="1:40" x14ac:dyDescent="0.25">
      <c r="A278" t="str">
        <f>"20190304155021781"</f>
        <v>20190304155021781</v>
      </c>
      <c r="B278" t="str">
        <f>"1551685821776648"</f>
        <v>1551685821776648</v>
      </c>
      <c r="C278" t="s">
        <v>40</v>
      </c>
      <c r="D278">
        <v>5.0841949999999896</v>
      </c>
      <c r="E278">
        <v>0.53503789999999996</v>
      </c>
      <c r="F278" t="s">
        <v>41</v>
      </c>
      <c r="G278">
        <v>-397.577</v>
      </c>
      <c r="H278" s="1">
        <v>-1.409777E-6</v>
      </c>
      <c r="I278">
        <v>367.42880000000002</v>
      </c>
      <c r="J278">
        <v>-442.01920000000001</v>
      </c>
      <c r="K278">
        <v>1.110244</v>
      </c>
      <c r="L278">
        <v>367.46620000000001</v>
      </c>
      <c r="M278">
        <v>0.99984450000000002</v>
      </c>
      <c r="N278">
        <v>-1.0215429999999999E-2</v>
      </c>
      <c r="O278">
        <v>1.4375010000000001E-2</v>
      </c>
      <c r="P278">
        <v>0.97983189999999998</v>
      </c>
      <c r="Q278">
        <v>0.17455209999999999</v>
      </c>
      <c r="R278">
        <v>9.7269480000000005E-2</v>
      </c>
      <c r="S278">
        <v>3.075806</v>
      </c>
      <c r="T278">
        <v>-7.6417330000000006E-2</v>
      </c>
      <c r="U278">
        <v>-2.319336E-3</v>
      </c>
      <c r="V278">
        <v>-8.3199200000000001E-2</v>
      </c>
      <c r="W278">
        <v>0.1845542</v>
      </c>
      <c r="X278">
        <v>0.97929449999999996</v>
      </c>
      <c r="Y278">
        <v>1.5121610000000001E-2</v>
      </c>
      <c r="Z278">
        <v>-4.7530970000000001E-4</v>
      </c>
      <c r="AA278">
        <v>0.99988560000000004</v>
      </c>
      <c r="AB278">
        <v>24</v>
      </c>
      <c r="AC278">
        <v>44.4422</v>
      </c>
      <c r="AD278">
        <v>-1.110245409777</v>
      </c>
      <c r="AE278">
        <v>-3.7399999999991003E-2</v>
      </c>
      <c r="AF278">
        <v>0.67586473500502497</v>
      </c>
      <c r="AG278">
        <v>-1.110245409777</v>
      </c>
      <c r="AH278">
        <v>44.409354449729697</v>
      </c>
      <c r="AI278">
        <v>91.431945321601901</v>
      </c>
      <c r="AJ278">
        <v>89.128084431675006</v>
      </c>
      <c r="AK278">
        <v>44.4283715732603</v>
      </c>
      <c r="AL278">
        <v>79.364858013018207</v>
      </c>
      <c r="AM278">
        <v>94.856091052109605</v>
      </c>
      <c r="AN278">
        <v>1.00000003867426</v>
      </c>
    </row>
    <row r="279" spans="1:40" x14ac:dyDescent="0.25">
      <c r="A279" t="str">
        <f>"20190304155021803"</f>
        <v>20190304155021803</v>
      </c>
      <c r="B279" t="str">
        <f>"1551685821797145"</f>
        <v>1551685821797145</v>
      </c>
      <c r="C279" t="s">
        <v>40</v>
      </c>
      <c r="D279">
        <v>5.1319160000000004</v>
      </c>
      <c r="E279">
        <v>0.53458000000000006</v>
      </c>
      <c r="F279" t="s">
        <v>42</v>
      </c>
      <c r="G279">
        <v>-398.72660000000002</v>
      </c>
      <c r="H279">
        <v>-0.05</v>
      </c>
      <c r="I279">
        <v>367.6277</v>
      </c>
      <c r="J279">
        <v>-441.77030000000002</v>
      </c>
      <c r="K279">
        <v>1.1102379999999901</v>
      </c>
      <c r="L279">
        <v>367.46980000000002</v>
      </c>
      <c r="M279">
        <v>0.9998435</v>
      </c>
      <c r="N279">
        <v>-1.016855E-2</v>
      </c>
      <c r="O279">
        <v>1.448409E-2</v>
      </c>
      <c r="P279">
        <v>0.97991320000000004</v>
      </c>
      <c r="Q279">
        <v>0.17387369999999999</v>
      </c>
      <c r="R279">
        <v>9.7665139999999998E-2</v>
      </c>
      <c r="S279">
        <v>3.0752869999999999</v>
      </c>
      <c r="T279">
        <v>-8.2417850000000001E-2</v>
      </c>
      <c r="U279">
        <v>1.147461E-2</v>
      </c>
      <c r="V279">
        <v>-8.3486669999999999E-2</v>
      </c>
      <c r="W279">
        <v>0.18383099999999999</v>
      </c>
      <c r="X279">
        <v>0.979406</v>
      </c>
      <c r="Y279">
        <v>1.074659E-2</v>
      </c>
      <c r="Z279">
        <v>-4.3944850000000001E-4</v>
      </c>
      <c r="AA279">
        <v>0.9999422</v>
      </c>
      <c r="AB279">
        <v>24</v>
      </c>
      <c r="AC279">
        <v>43.043700000000001</v>
      </c>
      <c r="AD279">
        <v>-1.1602380000000001</v>
      </c>
      <c r="AE279">
        <v>0.157899999999983</v>
      </c>
      <c r="AF279">
        <v>0.46525952129882903</v>
      </c>
      <c r="AG279">
        <v>-1.1602380000000001</v>
      </c>
      <c r="AH279">
        <v>43.010222070687703</v>
      </c>
      <c r="AI279">
        <v>91.545138183806003</v>
      </c>
      <c r="AJ279">
        <v>89.3802318157705</v>
      </c>
      <c r="AK279">
        <v>43.028383901892902</v>
      </c>
      <c r="AL279">
        <v>79.407015073220506</v>
      </c>
      <c r="AM279">
        <v>94.872237104746105</v>
      </c>
      <c r="AN279">
        <v>0.99999998673234403</v>
      </c>
    </row>
    <row r="280" spans="1:40" x14ac:dyDescent="0.25">
      <c r="A280" t="str">
        <f>"20190304155021827"</f>
        <v>20190304155021827</v>
      </c>
      <c r="B280" t="str">
        <f>"1551685821816664"</f>
        <v>1551685821816664</v>
      </c>
      <c r="C280" t="s">
        <v>40</v>
      </c>
      <c r="D280">
        <v>5.0887419999999999</v>
      </c>
      <c r="E280">
        <v>0.53388919999999995</v>
      </c>
      <c r="F280" t="s">
        <v>42</v>
      </c>
      <c r="G280">
        <v>-401.02530000000002</v>
      </c>
      <c r="H280">
        <v>-0.05</v>
      </c>
      <c r="I280">
        <v>367.68619999999999</v>
      </c>
      <c r="J280">
        <v>-441.51490000000001</v>
      </c>
      <c r="K280">
        <v>1.110228</v>
      </c>
      <c r="L280">
        <v>367.47370000000001</v>
      </c>
      <c r="M280">
        <v>0.99984229999999996</v>
      </c>
      <c r="N280">
        <v>-1.012013E-2</v>
      </c>
      <c r="O280">
        <v>1.459562E-2</v>
      </c>
      <c r="P280">
        <v>0.9799911</v>
      </c>
      <c r="Q280">
        <v>0.17318249999999999</v>
      </c>
      <c r="R280">
        <v>9.8108399999999998E-2</v>
      </c>
      <c r="S280">
        <v>3.0753780000000002</v>
      </c>
      <c r="T280">
        <v>-8.7573170000000006E-2</v>
      </c>
      <c r="U280">
        <v>1.6326899999999998E-2</v>
      </c>
      <c r="V280">
        <v>-8.3819249999999998E-2</v>
      </c>
      <c r="W280">
        <v>0.18309320000000001</v>
      </c>
      <c r="X280">
        <v>0.97951580000000005</v>
      </c>
      <c r="Y280">
        <v>9.2803320000000005E-3</v>
      </c>
      <c r="Z280">
        <v>-4.4689529999999999E-4</v>
      </c>
      <c r="AA280">
        <v>0.99995679999999998</v>
      </c>
      <c r="AB280">
        <v>24</v>
      </c>
      <c r="AC280">
        <v>40.489600000000003</v>
      </c>
      <c r="AD280">
        <v>-1.160228</v>
      </c>
      <c r="AE280">
        <v>0.21249999999997701</v>
      </c>
      <c r="AF280">
        <v>0.37821315204219902</v>
      </c>
      <c r="AG280">
        <v>-1.160228</v>
      </c>
      <c r="AH280">
        <v>40.455171158054</v>
      </c>
      <c r="AI280">
        <v>91.642683656370906</v>
      </c>
      <c r="AJ280">
        <v>89.464360539299193</v>
      </c>
      <c r="AK280">
        <v>40.473572212343797</v>
      </c>
      <c r="AL280">
        <v>79.450017878441898</v>
      </c>
      <c r="AM280">
        <v>94.891006641424795</v>
      </c>
      <c r="AN280">
        <v>0.99999999450322097</v>
      </c>
    </row>
    <row r="281" spans="1:40" x14ac:dyDescent="0.25">
      <c r="A281" t="str">
        <f>"20190304155021847"</f>
        <v>20190304155021847</v>
      </c>
      <c r="B281" t="str">
        <f>"1551685821837160"</f>
        <v>1551685821837160</v>
      </c>
      <c r="C281" t="s">
        <v>40</v>
      </c>
      <c r="D281">
        <v>5.1537509999999997</v>
      </c>
      <c r="E281">
        <v>0.53417019999999904</v>
      </c>
      <c r="F281" t="s">
        <v>42</v>
      </c>
      <c r="G281">
        <v>-402.67489999999998</v>
      </c>
      <c r="H281">
        <v>-0.05</v>
      </c>
      <c r="I281">
        <v>367.76459999999997</v>
      </c>
      <c r="J281">
        <v>-441.28879999999998</v>
      </c>
      <c r="K281">
        <v>1.1102129999999999</v>
      </c>
      <c r="L281">
        <v>367.47710000000001</v>
      </c>
      <c r="M281">
        <v>0.99984139999999999</v>
      </c>
      <c r="N281">
        <v>-1.0069150000000001E-2</v>
      </c>
      <c r="O281">
        <v>1.4694399999999899E-2</v>
      </c>
      <c r="P281">
        <v>0.9800025</v>
      </c>
      <c r="Q281">
        <v>0.17308019999999999</v>
      </c>
      <c r="R281">
        <v>9.8176719999999995E-2</v>
      </c>
      <c r="S281">
        <v>3.0751949999999999</v>
      </c>
      <c r="T281">
        <v>-9.1862200000000005E-2</v>
      </c>
      <c r="U281">
        <v>2.3040769999999999E-2</v>
      </c>
      <c r="V281">
        <v>-8.3790390000000006E-2</v>
      </c>
      <c r="W281">
        <v>0.18294089999999999</v>
      </c>
      <c r="X281">
        <v>0.97954669999999999</v>
      </c>
      <c r="Y281">
        <v>7.1961229999999996E-3</v>
      </c>
      <c r="Z281">
        <v>-4.3458050000000001E-4</v>
      </c>
      <c r="AA281">
        <v>0.99997400000000003</v>
      </c>
      <c r="AB281">
        <v>24</v>
      </c>
      <c r="AC281">
        <v>38.613900000000001</v>
      </c>
      <c r="AD281">
        <v>-1.1602129999999999</v>
      </c>
      <c r="AE281">
        <v>0.28749999999996501</v>
      </c>
      <c r="AF281">
        <v>0.27971535228845901</v>
      </c>
      <c r="AG281">
        <v>-1.1602129999999999</v>
      </c>
      <c r="AH281">
        <v>38.579128314654596</v>
      </c>
      <c r="AI281">
        <v>91.722525516716601</v>
      </c>
      <c r="AJ281">
        <v>89.584588117232201</v>
      </c>
      <c r="AK281">
        <v>38.597583815599897</v>
      </c>
      <c r="AL281">
        <v>79.458893682644998</v>
      </c>
      <c r="AM281">
        <v>94.889177285284802</v>
      </c>
      <c r="AN281">
        <v>0.99999996991502504</v>
      </c>
    </row>
    <row r="282" spans="1:40" x14ac:dyDescent="0.25">
      <c r="A282" t="str">
        <f>"20190304155021871"</f>
        <v>20190304155021871</v>
      </c>
      <c r="B282" t="str">
        <f>"1551685821866440"</f>
        <v>1551685821866440</v>
      </c>
      <c r="C282" t="s">
        <v>40</v>
      </c>
      <c r="D282">
        <v>5.1172760000000004</v>
      </c>
      <c r="E282">
        <v>0.53514439999999996</v>
      </c>
      <c r="F282" t="s">
        <v>42</v>
      </c>
      <c r="G282">
        <v>-403.72430000000003</v>
      </c>
      <c r="H282">
        <v>-0.05</v>
      </c>
      <c r="I282">
        <v>367.73500000000001</v>
      </c>
      <c r="J282">
        <v>-441.03449999999998</v>
      </c>
      <c r="K282">
        <v>1.110015</v>
      </c>
      <c r="L282">
        <v>367.48099999999999</v>
      </c>
      <c r="M282">
        <v>0.99984629999999997</v>
      </c>
      <c r="N282">
        <v>-9.3838129999999995E-3</v>
      </c>
      <c r="O282">
        <v>1.481038E-2</v>
      </c>
      <c r="P282">
        <v>0.97978500000000002</v>
      </c>
      <c r="Q282">
        <v>0.17417249999999901</v>
      </c>
      <c r="R282">
        <v>9.841432E-2</v>
      </c>
      <c r="S282">
        <v>3.0758359999999998</v>
      </c>
      <c r="T282">
        <v>-9.4999910000000007E-2</v>
      </c>
      <c r="U282">
        <v>2.111816E-2</v>
      </c>
      <c r="V282">
        <v>-8.3916820000000003E-2</v>
      </c>
      <c r="W282">
        <v>0.18336040000000001</v>
      </c>
      <c r="X282">
        <v>0.97945740000000003</v>
      </c>
      <c r="Y282">
        <v>7.9374110000000001E-3</v>
      </c>
      <c r="Z282">
        <v>-4.7813789999999999E-4</v>
      </c>
      <c r="AA282">
        <v>0.99996839999999998</v>
      </c>
      <c r="AB282">
        <v>24</v>
      </c>
      <c r="AC282">
        <v>37.310199999999902</v>
      </c>
      <c r="AD282">
        <v>-1.160015</v>
      </c>
      <c r="AE282">
        <v>0.25400000000001899</v>
      </c>
      <c r="AF282">
        <v>0.29834204320654101</v>
      </c>
      <c r="AG282">
        <v>-1.160015</v>
      </c>
      <c r="AH282">
        <v>37.273840150428803</v>
      </c>
      <c r="AI282">
        <v>91.782493869266403</v>
      </c>
      <c r="AJ282">
        <v>89.541410951073601</v>
      </c>
      <c r="AK282">
        <v>37.293079818307902</v>
      </c>
      <c r="AL282">
        <v>79.434444154386895</v>
      </c>
      <c r="AM282">
        <v>94.896962906826502</v>
      </c>
      <c r="AN282">
        <v>0.999999933690914</v>
      </c>
    </row>
    <row r="283" spans="1:40" x14ac:dyDescent="0.25">
      <c r="A283" t="str">
        <f>"20190304155021893"</f>
        <v>20190304155021893</v>
      </c>
      <c r="B283" t="str">
        <f>"1551685821886937"</f>
        <v>1551685821886937</v>
      </c>
      <c r="C283" t="s">
        <v>40</v>
      </c>
      <c r="D283">
        <v>5.2001540000000004</v>
      </c>
      <c r="E283">
        <v>0.53531739999999906</v>
      </c>
      <c r="F283" t="s">
        <v>42</v>
      </c>
      <c r="G283">
        <v>-400.99610000000001</v>
      </c>
      <c r="H283">
        <v>-0.05</v>
      </c>
      <c r="I283">
        <v>367.66609999999997</v>
      </c>
      <c r="J283">
        <v>-440.7833</v>
      </c>
      <c r="K283">
        <v>1.109723</v>
      </c>
      <c r="L283">
        <v>367.48480000000001</v>
      </c>
      <c r="M283">
        <v>0.99984969999999995</v>
      </c>
      <c r="N283">
        <v>-8.8294970000000004E-3</v>
      </c>
      <c r="O283">
        <v>1.492484E-2</v>
      </c>
      <c r="P283">
        <v>0.97975650000000003</v>
      </c>
      <c r="Q283">
        <v>0.1743352</v>
      </c>
      <c r="R283">
        <v>9.8410349999999994E-2</v>
      </c>
      <c r="S283">
        <v>3.0762939999999999</v>
      </c>
      <c r="T283">
        <v>-8.9128020000000002E-2</v>
      </c>
      <c r="U283">
        <v>1.422119E-2</v>
      </c>
      <c r="V283">
        <v>-8.3801440000000005E-2</v>
      </c>
      <c r="W283">
        <v>0.1829797</v>
      </c>
      <c r="X283">
        <v>0.97953849999999998</v>
      </c>
      <c r="Y283">
        <v>1.0294330000000001E-2</v>
      </c>
      <c r="Z283">
        <v>-4.9509E-4</v>
      </c>
      <c r="AA283">
        <v>0.99994689999999997</v>
      </c>
      <c r="AB283">
        <v>25</v>
      </c>
      <c r="AC283">
        <v>39.787199999999899</v>
      </c>
      <c r="AD283">
        <v>-1.1597230000000001</v>
      </c>
      <c r="AE283">
        <v>0.18129999999996399</v>
      </c>
      <c r="AF283">
        <v>0.41221068504914599</v>
      </c>
      <c r="AG283">
        <v>-1.1597230000000001</v>
      </c>
      <c r="AH283">
        <v>39.751701160357598</v>
      </c>
      <c r="AI283">
        <v>91.670993190264696</v>
      </c>
      <c r="AJ283">
        <v>89.405884896787597</v>
      </c>
      <c r="AK283">
        <v>39.770750812977703</v>
      </c>
      <c r="AL283">
        <v>79.456632357798995</v>
      </c>
      <c r="AM283">
        <v>94.889859663435701</v>
      </c>
      <c r="AN283">
        <v>0.99999996247020595</v>
      </c>
    </row>
    <row r="284" spans="1:40" x14ac:dyDescent="0.25">
      <c r="A284" t="str">
        <f>"20190304155021916"</f>
        <v>20190304155021916</v>
      </c>
      <c r="B284" t="str">
        <f>"1551685821906456"</f>
        <v>1551685821906456</v>
      </c>
      <c r="C284" t="s">
        <v>40</v>
      </c>
      <c r="D284">
        <v>5.0601330000000004</v>
      </c>
      <c r="E284">
        <v>0.53550050000000005</v>
      </c>
      <c r="F284" t="s">
        <v>42</v>
      </c>
      <c r="G284">
        <v>-401.30689999999998</v>
      </c>
      <c r="H284">
        <v>-0.05</v>
      </c>
      <c r="I284">
        <v>367.64420000000001</v>
      </c>
      <c r="J284">
        <v>-440.53070000000002</v>
      </c>
      <c r="K284">
        <v>1.1093200000000001</v>
      </c>
      <c r="L284">
        <v>367.48869999999999</v>
      </c>
      <c r="M284">
        <v>0.99984859999999998</v>
      </c>
      <c r="N284">
        <v>-8.7626319999999994E-3</v>
      </c>
      <c r="O284">
        <v>1.503839E-2</v>
      </c>
      <c r="P284">
        <v>0.97972009999999998</v>
      </c>
      <c r="Q284">
        <v>0.17459740000000001</v>
      </c>
      <c r="R284">
        <v>9.8308380000000001E-2</v>
      </c>
      <c r="S284">
        <v>3.076813</v>
      </c>
      <c r="T284">
        <v>-9.0389490000000003E-2</v>
      </c>
      <c r="U284">
        <v>1.242065E-2</v>
      </c>
      <c r="V284">
        <v>-8.3589070000000001E-2</v>
      </c>
      <c r="W284">
        <v>0.18317620000000001</v>
      </c>
      <c r="X284">
        <v>0.97951999999999995</v>
      </c>
      <c r="Y284">
        <v>1.099312E-2</v>
      </c>
      <c r="Z284">
        <v>-5.1953619999999998E-4</v>
      </c>
      <c r="AA284">
        <v>0.99993940000000003</v>
      </c>
      <c r="AB284">
        <v>25</v>
      </c>
      <c r="AC284">
        <v>39.223799999999997</v>
      </c>
      <c r="AD284">
        <v>-1.1593199999999999</v>
      </c>
      <c r="AE284">
        <v>0.15550000000001701</v>
      </c>
      <c r="AF284">
        <v>0.43402383489186402</v>
      </c>
      <c r="AG284">
        <v>-1.1593199999999999</v>
      </c>
      <c r="AH284">
        <v>39.1874694576533</v>
      </c>
      <c r="AI284">
        <v>91.694437168386798</v>
      </c>
      <c r="AJ284">
        <v>89.365442128875699</v>
      </c>
      <c r="AK284">
        <v>39.207016745044001</v>
      </c>
      <c r="AL284">
        <v>79.445181021631399</v>
      </c>
      <c r="AM284">
        <v>94.8776192922506</v>
      </c>
      <c r="AN284">
        <v>1.0000000416349499</v>
      </c>
    </row>
    <row r="285" spans="1:40" x14ac:dyDescent="0.25">
      <c r="A285" t="str">
        <f>"20190304155021937"</f>
        <v>20190304155021937</v>
      </c>
      <c r="B285" t="str">
        <f>"1551685821926956"</f>
        <v>1551685821926956</v>
      </c>
      <c r="C285" t="s">
        <v>40</v>
      </c>
      <c r="D285">
        <v>5.1570320000000001</v>
      </c>
      <c r="E285">
        <v>0.53584770000000004</v>
      </c>
      <c r="F285" t="s">
        <v>42</v>
      </c>
      <c r="G285">
        <v>-399.79390000000001</v>
      </c>
      <c r="H285">
        <v>-0.05</v>
      </c>
      <c r="I285">
        <v>367.63049999999998</v>
      </c>
      <c r="J285">
        <v>-440.28930000000003</v>
      </c>
      <c r="K285">
        <v>1.108798</v>
      </c>
      <c r="L285">
        <v>367.49239999999998</v>
      </c>
      <c r="M285">
        <v>0.99984340000000005</v>
      </c>
      <c r="N285">
        <v>-9.1617239999999996E-3</v>
      </c>
      <c r="O285">
        <v>1.514487E-2</v>
      </c>
      <c r="P285">
        <v>0.97967329999999997</v>
      </c>
      <c r="Q285">
        <v>0.17467279999999999</v>
      </c>
      <c r="R285">
        <v>9.864117E-2</v>
      </c>
      <c r="S285">
        <v>3.0765989999999999</v>
      </c>
      <c r="T285">
        <v>-8.7556120000000001E-2</v>
      </c>
      <c r="U285">
        <v>1.071167E-2</v>
      </c>
      <c r="V285">
        <v>-8.3819400000000002E-2</v>
      </c>
      <c r="W285">
        <v>0.18364169999999999</v>
      </c>
      <c r="X285">
        <v>0.97941310000000004</v>
      </c>
      <c r="Y285">
        <v>1.165512E-2</v>
      </c>
      <c r="Z285">
        <v>-5.1137570000000002E-4</v>
      </c>
      <c r="AA285">
        <v>0.99993189999999998</v>
      </c>
      <c r="AB285">
        <v>25</v>
      </c>
      <c r="AC285">
        <v>40.495399999999997</v>
      </c>
      <c r="AD285">
        <v>-1.158798</v>
      </c>
      <c r="AE285">
        <v>0.13810000000000799</v>
      </c>
      <c r="AF285">
        <v>0.47485028359256098</v>
      </c>
      <c r="AG285">
        <v>-1.158798</v>
      </c>
      <c r="AH285">
        <v>40.459716749098</v>
      </c>
      <c r="AI285">
        <v>91.640434641265799</v>
      </c>
      <c r="AJ285">
        <v>89.327586294285496</v>
      </c>
      <c r="AK285">
        <v>40.4790930606637</v>
      </c>
      <c r="AL285">
        <v>79.418049079460104</v>
      </c>
      <c r="AM285">
        <v>94.891525729044702</v>
      </c>
      <c r="AN285">
        <v>0.99999999312343002</v>
      </c>
    </row>
    <row r="286" spans="1:40" x14ac:dyDescent="0.25">
      <c r="A286" t="str">
        <f>"20190304155021960"</f>
        <v>20190304155021960</v>
      </c>
      <c r="B286" t="str">
        <f>"1551685821957209"</f>
        <v>1551685821957209</v>
      </c>
      <c r="C286" t="s">
        <v>40</v>
      </c>
      <c r="D286">
        <v>5.1497039999999998</v>
      </c>
      <c r="E286">
        <v>0.53592439999999997</v>
      </c>
      <c r="F286" t="s">
        <v>42</v>
      </c>
      <c r="G286">
        <v>-398.71899999999999</v>
      </c>
      <c r="H286">
        <v>-0.05</v>
      </c>
      <c r="I286">
        <v>367.60910000000001</v>
      </c>
      <c r="J286">
        <v>-440.04230000000001</v>
      </c>
      <c r="K286">
        <v>1.108047</v>
      </c>
      <c r="L286">
        <v>367.49630000000002</v>
      </c>
      <c r="M286">
        <v>0.99983440000000001</v>
      </c>
      <c r="N286">
        <v>-9.947628E-3</v>
      </c>
      <c r="O286">
        <v>1.5246259999999999E-2</v>
      </c>
      <c r="P286">
        <v>0.97978370000000004</v>
      </c>
      <c r="Q286">
        <v>0.1739165</v>
      </c>
      <c r="R286">
        <v>9.8879339999999996E-2</v>
      </c>
      <c r="S286">
        <v>3.07666</v>
      </c>
      <c r="T286">
        <v>-8.5763809999999996E-2</v>
      </c>
      <c r="U286">
        <v>8.6364749999999994E-3</v>
      </c>
      <c r="V286">
        <v>-8.3958359999999996E-2</v>
      </c>
      <c r="W286">
        <v>0.18365519999999999</v>
      </c>
      <c r="X286">
        <v>0.97939869999999996</v>
      </c>
      <c r="Y286">
        <v>1.243119E-2</v>
      </c>
      <c r="Z286">
        <v>-5.0832510000000004E-4</v>
      </c>
      <c r="AA286">
        <v>0.99992259999999999</v>
      </c>
      <c r="AB286">
        <v>25</v>
      </c>
      <c r="AC286">
        <v>41.323300000000003</v>
      </c>
      <c r="AD286">
        <v>-1.1580469999999901</v>
      </c>
      <c r="AE286">
        <v>0.112799999999992</v>
      </c>
      <c r="AF286">
        <v>0.51686407431953396</v>
      </c>
      <c r="AG286">
        <v>-1.1580469999999901</v>
      </c>
      <c r="AH286">
        <v>41.287791280835599</v>
      </c>
      <c r="AI286">
        <v>91.6064947489415</v>
      </c>
      <c r="AJ286">
        <v>89.282776281350095</v>
      </c>
      <c r="AK286">
        <v>41.307262438648401</v>
      </c>
      <c r="AL286">
        <v>79.417262556571202</v>
      </c>
      <c r="AM286">
        <v>94.899667388935299</v>
      </c>
      <c r="AN286">
        <v>1.0000000261313</v>
      </c>
    </row>
    <row r="287" spans="1:40" x14ac:dyDescent="0.25">
      <c r="A287" t="str">
        <f>"20190304155021981"</f>
        <v>20190304155021981</v>
      </c>
      <c r="B287" t="str">
        <f>"1551685821976729"</f>
        <v>1551685821976729</v>
      </c>
      <c r="C287" t="s">
        <v>40</v>
      </c>
      <c r="D287">
        <v>5.183891</v>
      </c>
      <c r="E287">
        <v>0.5361996</v>
      </c>
      <c r="F287" t="s">
        <v>42</v>
      </c>
      <c r="G287">
        <v>-398.84179999999998</v>
      </c>
      <c r="H287">
        <v>-0.05</v>
      </c>
      <c r="I287">
        <v>367.62049999999999</v>
      </c>
      <c r="J287">
        <v>-439.79599999999999</v>
      </c>
      <c r="K287">
        <v>1.107102</v>
      </c>
      <c r="L287">
        <v>367.50020000000001</v>
      </c>
      <c r="M287">
        <v>0.99981940000000002</v>
      </c>
      <c r="N287">
        <v>-1.12192E-2</v>
      </c>
      <c r="O287">
        <v>1.533729E-2</v>
      </c>
      <c r="P287">
        <v>0.98009060000000003</v>
      </c>
      <c r="Q287">
        <v>0.1721617</v>
      </c>
      <c r="R287">
        <v>9.8907640000000005E-2</v>
      </c>
      <c r="S287">
        <v>3.0762939999999999</v>
      </c>
      <c r="T287">
        <v>-8.6467150000000007E-2</v>
      </c>
      <c r="U287">
        <v>9.2773439999999999E-3</v>
      </c>
      <c r="V287">
        <v>-8.3894999999999997E-2</v>
      </c>
      <c r="W287">
        <v>0.18314759999999999</v>
      </c>
      <c r="X287">
        <v>0.97949920000000001</v>
      </c>
      <c r="Y287">
        <v>1.231381E-2</v>
      </c>
      <c r="Z287">
        <v>-5.010479E-4</v>
      </c>
      <c r="AA287">
        <v>0.99992409999999998</v>
      </c>
      <c r="AB287">
        <v>25</v>
      </c>
      <c r="AC287">
        <v>40.9542</v>
      </c>
      <c r="AD287">
        <v>-1.1571020000000001</v>
      </c>
      <c r="AE287">
        <v>0.120299999999986</v>
      </c>
      <c r="AF287">
        <v>0.50747505379580604</v>
      </c>
      <c r="AG287">
        <v>-1.1571020000000001</v>
      </c>
      <c r="AH287">
        <v>40.918563899972703</v>
      </c>
      <c r="AI287">
        <v>91.619663489497</v>
      </c>
      <c r="AJ287">
        <v>89.289449936471499</v>
      </c>
      <c r="AK287">
        <v>40.9380664859099</v>
      </c>
      <c r="AL287">
        <v>79.446847953891407</v>
      </c>
      <c r="AM287">
        <v>94.895487883089601</v>
      </c>
      <c r="AN287">
        <v>1.0000000486056899</v>
      </c>
    </row>
    <row r="288" spans="1:40" x14ac:dyDescent="0.25">
      <c r="A288" t="str">
        <f>"20190304155022005"</f>
        <v>20190304155022005</v>
      </c>
      <c r="B288" t="str">
        <f>"1551685821997225"</f>
        <v>1551685821997225</v>
      </c>
      <c r="C288" t="s">
        <v>40</v>
      </c>
      <c r="D288">
        <v>5.2438669999999998</v>
      </c>
      <c r="E288">
        <v>0.53628439999999999</v>
      </c>
      <c r="F288" t="s">
        <v>42</v>
      </c>
      <c r="G288">
        <v>-400.98259999999999</v>
      </c>
      <c r="H288">
        <v>-0.05</v>
      </c>
      <c r="I288">
        <v>367.5933</v>
      </c>
      <c r="J288">
        <v>-439.53059999999999</v>
      </c>
      <c r="K288">
        <v>1.105898</v>
      </c>
      <c r="L288">
        <v>367.5043</v>
      </c>
      <c r="M288">
        <v>0.99979439999999997</v>
      </c>
      <c r="N288">
        <v>-1.3152550000000001E-2</v>
      </c>
      <c r="O288">
        <v>1.543542E-2</v>
      </c>
      <c r="P288">
        <v>0.98050389999999998</v>
      </c>
      <c r="Q288">
        <v>0.16952519999999999</v>
      </c>
      <c r="R288">
        <v>9.9366430000000006E-2</v>
      </c>
      <c r="S288">
        <v>3.0762939999999999</v>
      </c>
      <c r="T288">
        <v>-9.1710330000000007E-2</v>
      </c>
      <c r="U288">
        <v>7.385254E-3</v>
      </c>
      <c r="V288">
        <v>-8.4250950000000005E-2</v>
      </c>
      <c r="W288">
        <v>0.18241060000000001</v>
      </c>
      <c r="X288">
        <v>0.97960610000000004</v>
      </c>
      <c r="Y288">
        <v>1.302582E-2</v>
      </c>
      <c r="Z288">
        <v>-5.3684769999999896E-4</v>
      </c>
      <c r="AA288">
        <v>0.999915</v>
      </c>
      <c r="AB288">
        <v>25</v>
      </c>
      <c r="AC288">
        <v>38.548000000000002</v>
      </c>
      <c r="AD288">
        <v>-1.1558979999999901</v>
      </c>
      <c r="AE288">
        <v>8.8999999999998594E-2</v>
      </c>
      <c r="AF288">
        <v>0.50561199938227297</v>
      </c>
      <c r="AG288">
        <v>-1.1558979999999901</v>
      </c>
      <c r="AH288">
        <v>38.510154256869697</v>
      </c>
      <c r="AI288">
        <v>91.719091960117794</v>
      </c>
      <c r="AJ288">
        <v>89.247788802890994</v>
      </c>
      <c r="AK288">
        <v>38.530815259584401</v>
      </c>
      <c r="AL288">
        <v>79.489797761353401</v>
      </c>
      <c r="AM288">
        <v>94.9156230458278</v>
      </c>
      <c r="AN288">
        <v>0.99999998036273596</v>
      </c>
    </row>
    <row r="289" spans="1:40" x14ac:dyDescent="0.25">
      <c r="A289" t="str">
        <f>"20190304155022027"</f>
        <v>20190304155022027</v>
      </c>
      <c r="B289" t="str">
        <f>"1551685822016745"</f>
        <v>1551685822016745</v>
      </c>
      <c r="C289" t="s">
        <v>40</v>
      </c>
      <c r="D289">
        <v>5.124028</v>
      </c>
      <c r="E289">
        <v>0.53643419999999997</v>
      </c>
      <c r="F289" t="s">
        <v>42</v>
      </c>
      <c r="G289">
        <v>-403.81079999999997</v>
      </c>
      <c r="H289">
        <v>-0.05</v>
      </c>
      <c r="I289">
        <v>367.5908</v>
      </c>
      <c r="J289">
        <v>-439.28960000000001</v>
      </c>
      <c r="K289">
        <v>1.104638</v>
      </c>
      <c r="L289">
        <v>367.50819999999999</v>
      </c>
      <c r="M289">
        <v>0.9997646</v>
      </c>
      <c r="N289">
        <v>-1.5154030000000001E-2</v>
      </c>
      <c r="O289">
        <v>1.5534589999999999E-2</v>
      </c>
      <c r="P289">
        <v>0.98093540000000001</v>
      </c>
      <c r="Q289">
        <v>0.1668953</v>
      </c>
      <c r="R289">
        <v>9.9556820000000004E-2</v>
      </c>
      <c r="S289">
        <v>3.076111</v>
      </c>
      <c r="T289">
        <v>-9.9543329999999999E-2</v>
      </c>
      <c r="U289">
        <v>7.446289E-3</v>
      </c>
      <c r="V289">
        <v>-8.4334790000000007E-2</v>
      </c>
      <c r="W289">
        <v>0.18174899999999999</v>
      </c>
      <c r="X289">
        <v>0.97972179999999998</v>
      </c>
      <c r="Y289">
        <v>1.310357E-2</v>
      </c>
      <c r="Z289">
        <v>-5.7844180000000002E-4</v>
      </c>
      <c r="AA289">
        <v>0.99991399999999997</v>
      </c>
      <c r="AB289">
        <v>25</v>
      </c>
      <c r="AC289">
        <v>35.4788</v>
      </c>
      <c r="AD289">
        <v>-1.1546379999999901</v>
      </c>
      <c r="AE289">
        <v>8.2600000000013496E-2</v>
      </c>
      <c r="AF289">
        <v>0.46812600584552799</v>
      </c>
      <c r="AG289">
        <v>-1.1546379999999901</v>
      </c>
      <c r="AH289">
        <v>35.438267205510599</v>
      </c>
      <c r="AI289">
        <v>91.865969466116695</v>
      </c>
      <c r="AJ289">
        <v>89.243188603134897</v>
      </c>
      <c r="AK289">
        <v>35.460162343079602</v>
      </c>
      <c r="AL289">
        <v>79.528348556945005</v>
      </c>
      <c r="AM289">
        <v>94.919912456395906</v>
      </c>
      <c r="AN289">
        <v>0.99999993060028902</v>
      </c>
    </row>
    <row r="290" spans="1:40" x14ac:dyDescent="0.25">
      <c r="A290" t="str">
        <f>"20190304155022040"</f>
        <v>20190304155022040</v>
      </c>
      <c r="B290" t="str">
        <f>"1551685822037241"</f>
        <v>1551685822037241</v>
      </c>
      <c r="C290" t="s">
        <v>40</v>
      </c>
      <c r="D290">
        <v>5.0268949999999997</v>
      </c>
      <c r="E290">
        <v>0.53627340000000001</v>
      </c>
      <c r="F290" t="s">
        <v>42</v>
      </c>
      <c r="G290">
        <v>-406.28829999999999</v>
      </c>
      <c r="H290">
        <v>-0.05</v>
      </c>
      <c r="I290">
        <v>367.57929999999999</v>
      </c>
      <c r="J290">
        <v>-439.14359999999999</v>
      </c>
      <c r="K290">
        <v>1.103785</v>
      </c>
      <c r="L290">
        <v>367.51060000000001</v>
      </c>
      <c r="M290">
        <v>0.9997452</v>
      </c>
      <c r="N290">
        <v>-1.63138E-2</v>
      </c>
      <c r="O290">
        <v>1.559965E-2</v>
      </c>
      <c r="P290">
        <v>0.98117770000000004</v>
      </c>
      <c r="Q290">
        <v>0.16545499999999999</v>
      </c>
      <c r="R290">
        <v>9.9574250000000003E-2</v>
      </c>
      <c r="S290">
        <v>3.0758969999999999</v>
      </c>
      <c r="T290">
        <v>-0.107618699999999</v>
      </c>
      <c r="U290">
        <v>6.6223139999999998E-3</v>
      </c>
      <c r="V290">
        <v>-8.4284399999999995E-2</v>
      </c>
      <c r="W290">
        <v>0.18144940000000001</v>
      </c>
      <c r="X290">
        <v>0.97978169999999998</v>
      </c>
      <c r="Y290">
        <v>1.343422E-2</v>
      </c>
      <c r="Z290">
        <v>-6.3571899999999998E-4</v>
      </c>
      <c r="AA290">
        <v>0.99990959999999995</v>
      </c>
      <c r="AB290">
        <v>25</v>
      </c>
      <c r="AC290">
        <v>32.8553</v>
      </c>
      <c r="AD290">
        <v>-1.1537850000000001</v>
      </c>
      <c r="AE290">
        <v>6.8699999999978403E-2</v>
      </c>
      <c r="AF290">
        <v>0.44336101316064702</v>
      </c>
      <c r="AG290">
        <v>-1.1537850000000001</v>
      </c>
      <c r="AH290">
        <v>32.811908906284799</v>
      </c>
      <c r="AI290">
        <v>92.013712706849404</v>
      </c>
      <c r="AJ290">
        <v>89.225855188990494</v>
      </c>
      <c r="AK290">
        <v>32.835181663705598</v>
      </c>
      <c r="AL290">
        <v>79.545804956824895</v>
      </c>
      <c r="AM290">
        <v>94.916688095228594</v>
      </c>
      <c r="AN290">
        <v>0.99999996224930399</v>
      </c>
    </row>
    <row r="291" spans="1:40" x14ac:dyDescent="0.25">
      <c r="A291" t="str">
        <f>"20190304155022061"</f>
        <v>20190304155022061</v>
      </c>
      <c r="B291" t="str">
        <f>"1551685822056761"</f>
        <v>1551685822056761</v>
      </c>
      <c r="C291" t="s">
        <v>40</v>
      </c>
      <c r="D291">
        <v>5.1171699999999998</v>
      </c>
      <c r="E291">
        <v>0.53628260000000005</v>
      </c>
      <c r="F291" t="s">
        <v>42</v>
      </c>
      <c r="G291">
        <v>-407.3734</v>
      </c>
      <c r="H291">
        <v>-0.05</v>
      </c>
      <c r="I291">
        <v>367.59160000000003</v>
      </c>
      <c r="J291">
        <v>-438.91469999999998</v>
      </c>
      <c r="K291">
        <v>1.10239</v>
      </c>
      <c r="L291">
        <v>367.51420000000002</v>
      </c>
      <c r="M291">
        <v>0.99971489999999996</v>
      </c>
      <c r="N291">
        <v>-1.79945E-2</v>
      </c>
      <c r="O291">
        <v>1.5703680000000001E-2</v>
      </c>
      <c r="P291">
        <v>0.98154600000000003</v>
      </c>
      <c r="Q291">
        <v>0.1631581</v>
      </c>
      <c r="R291">
        <v>9.9734470000000006E-2</v>
      </c>
      <c r="S291">
        <v>3.0755919999999999</v>
      </c>
      <c r="T291">
        <v>-0.11169469999999999</v>
      </c>
      <c r="U291">
        <v>7.8430180000000002E-3</v>
      </c>
      <c r="V291">
        <v>-8.4335190000000004E-2</v>
      </c>
      <c r="W291">
        <v>0.18080599999999999</v>
      </c>
      <c r="X291">
        <v>0.97989630000000005</v>
      </c>
      <c r="Y291">
        <v>1.3140819999999999E-2</v>
      </c>
      <c r="Z291">
        <v>-6.4436240000000002E-4</v>
      </c>
      <c r="AA291">
        <v>0.99991350000000001</v>
      </c>
      <c r="AB291">
        <v>25</v>
      </c>
      <c r="AC291">
        <v>31.5412999999999</v>
      </c>
      <c r="AD291">
        <v>-1.15239</v>
      </c>
      <c r="AE291">
        <v>7.7400000000011404E-2</v>
      </c>
      <c r="AF291">
        <v>0.417446934042977</v>
      </c>
      <c r="AG291">
        <v>-1.15239</v>
      </c>
      <c r="AH291">
        <v>31.4965813659894</v>
      </c>
      <c r="AI291">
        <v>92.0952068675834</v>
      </c>
      <c r="AJ291">
        <v>89.240662125317101</v>
      </c>
      <c r="AK291">
        <v>31.520420403275601</v>
      </c>
      <c r="AL291">
        <v>79.583289425217203</v>
      </c>
      <c r="AM291">
        <v>94.919063833861003</v>
      </c>
      <c r="AN291">
        <v>0.999999996331013</v>
      </c>
    </row>
    <row r="292" spans="1:40" x14ac:dyDescent="0.25">
      <c r="A292" t="str">
        <f>"20190304155022094"</f>
        <v>20190304155022094</v>
      </c>
      <c r="B292" t="str">
        <f>"1551685822087016"</f>
        <v>1551685822087016</v>
      </c>
      <c r="C292" t="s">
        <v>40</v>
      </c>
      <c r="D292">
        <v>5.055498</v>
      </c>
      <c r="E292">
        <v>0.53640529999999997</v>
      </c>
      <c r="F292" t="s">
        <v>42</v>
      </c>
      <c r="G292">
        <v>-409.05470000000003</v>
      </c>
      <c r="H292">
        <v>-0.05</v>
      </c>
      <c r="I292">
        <v>367.59570000000002</v>
      </c>
      <c r="J292">
        <v>-438.65309999999999</v>
      </c>
      <c r="K292">
        <v>1.1007359999999999</v>
      </c>
      <c r="L292">
        <v>367.51850000000002</v>
      </c>
      <c r="M292">
        <v>0.99968159999999895</v>
      </c>
      <c r="N292">
        <v>-1.9663050000000001E-2</v>
      </c>
      <c r="O292">
        <v>1.582004E-2</v>
      </c>
      <c r="P292">
        <v>0.98184870000000002</v>
      </c>
      <c r="Q292">
        <v>0.16107160000000001</v>
      </c>
      <c r="R292">
        <v>0.10014629999999999</v>
      </c>
      <c r="S292">
        <v>3.0752869999999999</v>
      </c>
      <c r="T292">
        <v>-0.118684999999999</v>
      </c>
      <c r="U292">
        <v>8.3923339999999996E-3</v>
      </c>
      <c r="V292">
        <v>-8.4628199999999904E-2</v>
      </c>
      <c r="W292">
        <v>0.18036089999999999</v>
      </c>
      <c r="X292">
        <v>0.97995310000000002</v>
      </c>
      <c r="Y292">
        <v>1.3076900000000001E-2</v>
      </c>
      <c r="Z292">
        <v>-6.8013600000000002E-4</v>
      </c>
      <c r="AA292">
        <v>0.99991430000000003</v>
      </c>
      <c r="AB292">
        <v>25</v>
      </c>
      <c r="AC292">
        <v>29.598399999999899</v>
      </c>
      <c r="AD292">
        <v>-1.150736</v>
      </c>
      <c r="AE292">
        <v>7.7200000000004806E-2</v>
      </c>
      <c r="AF292">
        <v>0.39055770123636702</v>
      </c>
      <c r="AG292">
        <v>-1.150736</v>
      </c>
      <c r="AH292">
        <v>29.5512489233131</v>
      </c>
      <c r="AI292">
        <v>92.229796525646293</v>
      </c>
      <c r="AJ292">
        <v>89.242806784610806</v>
      </c>
      <c r="AK292">
        <v>29.576224261850999</v>
      </c>
      <c r="AL292">
        <v>79.609218430628204</v>
      </c>
      <c r="AM292">
        <v>94.935785401430493</v>
      </c>
      <c r="AN292">
        <v>1.0000000323418201</v>
      </c>
    </row>
    <row r="293" spans="1:40" x14ac:dyDescent="0.25">
      <c r="A293" t="str">
        <f>"20190304155022109"</f>
        <v>20190304155022109</v>
      </c>
      <c r="B293" t="str">
        <f>"1551685822096777"</f>
        <v>1551685822096777</v>
      </c>
      <c r="C293" t="s">
        <v>40</v>
      </c>
      <c r="D293">
        <v>5.0278929999999997</v>
      </c>
      <c r="E293">
        <v>0.53631519999999899</v>
      </c>
      <c r="F293" t="s">
        <v>42</v>
      </c>
      <c r="G293">
        <v>-409.92430000000002</v>
      </c>
      <c r="H293">
        <v>-0.05</v>
      </c>
      <c r="I293">
        <v>367.6003</v>
      </c>
      <c r="J293">
        <v>-438.38249999999999</v>
      </c>
      <c r="K293">
        <v>1.0989580000000001</v>
      </c>
      <c r="L293">
        <v>367.52289999999999</v>
      </c>
      <c r="M293">
        <v>0.99965729999999997</v>
      </c>
      <c r="N293">
        <v>-2.0764339999999999E-2</v>
      </c>
      <c r="O293">
        <v>1.5942930000000001E-2</v>
      </c>
      <c r="P293">
        <v>0.98207350000000004</v>
      </c>
      <c r="Q293">
        <v>0.1594719</v>
      </c>
      <c r="R293">
        <v>0.1005008</v>
      </c>
      <c r="S293">
        <v>3.0747680000000002</v>
      </c>
      <c r="T293">
        <v>-0.1231604</v>
      </c>
      <c r="U293">
        <v>8.7585449999999995E-3</v>
      </c>
      <c r="V293">
        <v>-8.4857810000000006E-2</v>
      </c>
      <c r="W293">
        <v>0.179845899999999</v>
      </c>
      <c r="X293">
        <v>0.98002789999999995</v>
      </c>
      <c r="Y293">
        <v>1.3079260000000001E-2</v>
      </c>
      <c r="Z293">
        <v>-7.0501679999999901E-4</v>
      </c>
      <c r="AA293">
        <v>0.99991419999999998</v>
      </c>
      <c r="AB293">
        <v>25</v>
      </c>
      <c r="AC293">
        <v>28.458199999999898</v>
      </c>
      <c r="AD293">
        <v>-1.1489579999999999</v>
      </c>
      <c r="AE293">
        <v>7.7400000000011404E-2</v>
      </c>
      <c r="AF293">
        <v>0.37580220019347299</v>
      </c>
      <c r="AG293">
        <v>-1.1489579999999999</v>
      </c>
      <c r="AH293">
        <v>28.409507969757701</v>
      </c>
      <c r="AI293">
        <v>92.315733135345198</v>
      </c>
      <c r="AJ293">
        <v>89.242133152510405</v>
      </c>
      <c r="AK293">
        <v>28.435215400329898</v>
      </c>
      <c r="AL293">
        <v>79.639216373510095</v>
      </c>
      <c r="AM293">
        <v>94.948734701106304</v>
      </c>
      <c r="AN293">
        <v>1.0000000402216001</v>
      </c>
    </row>
    <row r="294" spans="1:40" x14ac:dyDescent="0.25">
      <c r="A294" t="str">
        <f>"20190304155022128"</f>
        <v>20190304155022128</v>
      </c>
      <c r="B294" t="str">
        <f>"1551685822117273"</f>
        <v>1551685822117273</v>
      </c>
      <c r="C294" t="s">
        <v>40</v>
      </c>
      <c r="D294">
        <v>5.2954040000000004</v>
      </c>
      <c r="E294">
        <v>0.53646110000000002</v>
      </c>
      <c r="F294" t="s">
        <v>42</v>
      </c>
      <c r="G294">
        <v>-410.61669999999998</v>
      </c>
      <c r="H294">
        <v>-0.05</v>
      </c>
      <c r="I294">
        <v>367.61720000000003</v>
      </c>
      <c r="J294">
        <v>-438.1551</v>
      </c>
      <c r="K294">
        <v>1.0974060000000001</v>
      </c>
      <c r="L294">
        <v>367.52670000000001</v>
      </c>
      <c r="M294">
        <v>0.99964399999999998</v>
      </c>
      <c r="N294">
        <v>-2.1320809999999999E-2</v>
      </c>
      <c r="O294">
        <v>1.6046390000000001E-2</v>
      </c>
      <c r="P294">
        <v>0.98214679999999999</v>
      </c>
      <c r="Q294">
        <v>0.15880939999999999</v>
      </c>
      <c r="R294">
        <v>0.1008344</v>
      </c>
      <c r="S294">
        <v>3.074341</v>
      </c>
      <c r="T294">
        <v>-0.12721730000000001</v>
      </c>
      <c r="U294">
        <v>1.043701E-2</v>
      </c>
      <c r="V294">
        <v>-8.5088159999999996E-2</v>
      </c>
      <c r="W294">
        <v>0.17973049999999999</v>
      </c>
      <c r="X294">
        <v>0.98002900000000004</v>
      </c>
      <c r="Y294">
        <v>1.263591E-2</v>
      </c>
      <c r="Z294">
        <v>-7.1772440000000002E-4</v>
      </c>
      <c r="AA294">
        <v>0.99991989999999997</v>
      </c>
      <c r="AB294">
        <v>25</v>
      </c>
      <c r="AC294">
        <v>27.538399999999999</v>
      </c>
      <c r="AD294">
        <v>-1.1474059999999999</v>
      </c>
      <c r="AE294">
        <v>9.0500000000019995E-2</v>
      </c>
      <c r="AF294">
        <v>0.35089483598589499</v>
      </c>
      <c r="AG294">
        <v>-1.1474059999999999</v>
      </c>
      <c r="AH294">
        <v>27.4885848546479</v>
      </c>
      <c r="AI294">
        <v>92.390011493272695</v>
      </c>
      <c r="AJ294">
        <v>89.268652738740499</v>
      </c>
      <c r="AK294">
        <v>27.514759039939499</v>
      </c>
      <c r="AL294">
        <v>79.645936825066897</v>
      </c>
      <c r="AM294">
        <v>94.962095721577597</v>
      </c>
      <c r="AN294">
        <v>0.99999994422171601</v>
      </c>
    </row>
    <row r="295" spans="1:40" x14ac:dyDescent="0.25">
      <c r="A295" t="str">
        <f>"20190304155022141"</f>
        <v>20190304155022141</v>
      </c>
      <c r="B295" t="str">
        <f>"1551685822136792"</f>
        <v>1551685822136792</v>
      </c>
      <c r="C295" t="s">
        <v>40</v>
      </c>
      <c r="D295">
        <v>5.0968540000000004</v>
      </c>
      <c r="E295">
        <v>0.5365415</v>
      </c>
      <c r="F295" t="s">
        <v>42</v>
      </c>
      <c r="G295">
        <v>-410.9504</v>
      </c>
      <c r="H295">
        <v>-0.05</v>
      </c>
      <c r="I295">
        <v>367.61579999999998</v>
      </c>
      <c r="J295">
        <v>-437.99889999999999</v>
      </c>
      <c r="K295">
        <v>1.096317</v>
      </c>
      <c r="L295">
        <v>367.52929999999998</v>
      </c>
      <c r="M295">
        <v>0.9996353</v>
      </c>
      <c r="N295">
        <v>-2.167094E-2</v>
      </c>
      <c r="O295">
        <v>1.6118750000000001E-2</v>
      </c>
      <c r="P295">
        <v>0.98216899999999996</v>
      </c>
      <c r="Q295">
        <v>0.158614</v>
      </c>
      <c r="R295">
        <v>0.10092569999999999</v>
      </c>
      <c r="S295">
        <v>3.0744319999999998</v>
      </c>
      <c r="T295">
        <v>-0.12966929999999999</v>
      </c>
      <c r="U295">
        <v>1.00708E-2</v>
      </c>
      <c r="V295">
        <v>-8.5108699999999995E-2</v>
      </c>
      <c r="W295">
        <v>0.17987879999999901</v>
      </c>
      <c r="X295">
        <v>0.98000010000000004</v>
      </c>
      <c r="Y295">
        <v>1.2826580000000001E-2</v>
      </c>
      <c r="Z295">
        <v>-7.3968039999999997E-4</v>
      </c>
      <c r="AA295">
        <v>0.99991739999999996</v>
      </c>
      <c r="AB295">
        <v>25</v>
      </c>
      <c r="AC295">
        <v>27.048499999999901</v>
      </c>
      <c r="AD295">
        <v>-1.146317</v>
      </c>
      <c r="AE295">
        <v>8.6500000000000896E-2</v>
      </c>
      <c r="AF295">
        <v>0.34897484969458198</v>
      </c>
      <c r="AG295">
        <v>-1.146317</v>
      </c>
      <c r="AH295">
        <v>26.9978893447371</v>
      </c>
      <c r="AI295">
        <v>92.431087207314505</v>
      </c>
      <c r="AJ295">
        <v>89.259435716878798</v>
      </c>
      <c r="AK295">
        <v>27.0244677131831</v>
      </c>
      <c r="AL295">
        <v>79.637300034007097</v>
      </c>
      <c r="AM295">
        <v>94.963433207545805</v>
      </c>
      <c r="AN295">
        <v>1.0000000347525599</v>
      </c>
    </row>
    <row r="296" spans="1:40" x14ac:dyDescent="0.25">
      <c r="A296" t="str">
        <f>"20190304155022161"</f>
        <v>20190304155022161</v>
      </c>
      <c r="B296" t="str">
        <f>"1551685822157289"</f>
        <v>1551685822157289</v>
      </c>
      <c r="C296" t="s">
        <v>40</v>
      </c>
      <c r="D296">
        <v>5.1117280000000003</v>
      </c>
      <c r="E296">
        <v>0.53661449999999999</v>
      </c>
      <c r="F296" t="s">
        <v>42</v>
      </c>
      <c r="G296">
        <v>-410.9323</v>
      </c>
      <c r="H296">
        <v>-0.05</v>
      </c>
      <c r="I296">
        <v>367.61630000000002</v>
      </c>
      <c r="J296">
        <v>-437.78629999999998</v>
      </c>
      <c r="K296">
        <v>1.0947819999999999</v>
      </c>
      <c r="L296">
        <v>367.53280000000001</v>
      </c>
      <c r="M296">
        <v>0.99962439999999997</v>
      </c>
      <c r="N296">
        <v>-2.2096190000000002E-2</v>
      </c>
      <c r="O296">
        <v>1.621506E-2</v>
      </c>
      <c r="P296">
        <v>0.98222279999999995</v>
      </c>
      <c r="Q296">
        <v>0.15814120000000001</v>
      </c>
      <c r="R296">
        <v>0.10114380000000001</v>
      </c>
      <c r="S296">
        <v>3.0744319999999998</v>
      </c>
      <c r="T296">
        <v>-0.1302075</v>
      </c>
      <c r="U296">
        <v>9.8876950000000002E-3</v>
      </c>
      <c r="V296">
        <v>-8.5232009999999997E-2</v>
      </c>
      <c r="W296">
        <v>0.1798244</v>
      </c>
      <c r="X296">
        <v>0.97999939999999996</v>
      </c>
      <c r="Y296">
        <v>1.2982240000000001E-2</v>
      </c>
      <c r="Z296">
        <v>-7.4645910000000002E-4</v>
      </c>
      <c r="AA296">
        <v>0.99991540000000001</v>
      </c>
      <c r="AB296">
        <v>25</v>
      </c>
      <c r="AC296">
        <v>26.8539999999999</v>
      </c>
      <c r="AD296">
        <v>-1.144782</v>
      </c>
      <c r="AE296">
        <v>8.3500000000015007E-2</v>
      </c>
      <c r="AF296">
        <v>0.35141789212065</v>
      </c>
      <c r="AG296">
        <v>-1.144782</v>
      </c>
      <c r="AH296">
        <v>26.803113057815199</v>
      </c>
      <c r="AI296">
        <v>92.445451387547294</v>
      </c>
      <c r="AJ296">
        <v>89.248833207773203</v>
      </c>
      <c r="AK296">
        <v>26.829850725497</v>
      </c>
      <c r="AL296">
        <v>79.640468931244797</v>
      </c>
      <c r="AM296">
        <v>94.970592024086002</v>
      </c>
      <c r="AN296">
        <v>1.00000006718217</v>
      </c>
    </row>
    <row r="297" spans="1:40" x14ac:dyDescent="0.25">
      <c r="A297" t="str">
        <f>"20190304155022173"</f>
        <v>20190304155022173</v>
      </c>
      <c r="B297" t="str">
        <f>"1551685822167049"</f>
        <v>1551685822167049</v>
      </c>
      <c r="C297" t="s">
        <v>40</v>
      </c>
      <c r="D297">
        <v>5.1123479999999999</v>
      </c>
      <c r="E297">
        <v>0.53665680000000004</v>
      </c>
      <c r="F297" t="s">
        <v>42</v>
      </c>
      <c r="G297">
        <v>-410.8732</v>
      </c>
      <c r="H297">
        <v>-0.05</v>
      </c>
      <c r="I297">
        <v>367.61509999999998</v>
      </c>
      <c r="J297">
        <v>-437.64170000000001</v>
      </c>
      <c r="K297">
        <v>1.093683</v>
      </c>
      <c r="L297">
        <v>367.53519999999997</v>
      </c>
      <c r="M297">
        <v>0.99961889999999998</v>
      </c>
      <c r="N297">
        <v>-2.230153E-2</v>
      </c>
      <c r="O297">
        <v>1.6278460000000002E-2</v>
      </c>
      <c r="P297">
        <v>0.98218450000000002</v>
      </c>
      <c r="Q297">
        <v>0.1582797</v>
      </c>
      <c r="R297">
        <v>0.10129730000000001</v>
      </c>
      <c r="S297">
        <v>3.0743710000000002</v>
      </c>
      <c r="T297">
        <v>-0.13077250000000001</v>
      </c>
      <c r="U297">
        <v>9.399414E-3</v>
      </c>
      <c r="V297">
        <v>-8.5324289999999997E-2</v>
      </c>
      <c r="W297">
        <v>0.1801635</v>
      </c>
      <c r="X297">
        <v>0.97992900000000005</v>
      </c>
      <c r="Y297">
        <v>1.3203970000000001E-2</v>
      </c>
      <c r="Z297">
        <v>-7.5712030000000001E-4</v>
      </c>
      <c r="AA297">
        <v>0.99991260000000004</v>
      </c>
      <c r="AB297">
        <v>25</v>
      </c>
      <c r="AC297">
        <v>26.7685</v>
      </c>
      <c r="AD297">
        <v>-1.143683</v>
      </c>
      <c r="AE297">
        <v>7.9900000000009103E-2</v>
      </c>
      <c r="AF297">
        <v>0.35532028384759101</v>
      </c>
      <c r="AG297">
        <v>-1.143683</v>
      </c>
      <c r="AH297">
        <v>26.717482061448401</v>
      </c>
      <c r="AI297">
        <v>92.450921258815399</v>
      </c>
      <c r="AJ297">
        <v>89.238058718473894</v>
      </c>
      <c r="AK297">
        <v>26.744309881027402</v>
      </c>
      <c r="AL297">
        <v>79.620716462975906</v>
      </c>
      <c r="AM297">
        <v>94.976302325363605</v>
      </c>
      <c r="AN297">
        <v>0.99999998311862603</v>
      </c>
    </row>
    <row r="298" spans="1:40" x14ac:dyDescent="0.25">
      <c r="A298" t="str">
        <f>"20190304155022186"</f>
        <v>20190304155022186</v>
      </c>
      <c r="B298" t="str">
        <f>"1551685822176809"</f>
        <v>1551685822176809</v>
      </c>
      <c r="C298" t="s">
        <v>40</v>
      </c>
      <c r="D298">
        <v>5.1702459999999997</v>
      </c>
      <c r="E298">
        <v>0.53672589999999998</v>
      </c>
      <c r="F298" t="s">
        <v>42</v>
      </c>
      <c r="G298">
        <v>-410.57900000000001</v>
      </c>
      <c r="H298">
        <v>-0.05</v>
      </c>
      <c r="I298">
        <v>367.62090000000001</v>
      </c>
      <c r="J298">
        <v>-437.49090000000001</v>
      </c>
      <c r="K298">
        <v>1.092487</v>
      </c>
      <c r="L298">
        <v>367.5378</v>
      </c>
      <c r="M298">
        <v>0.99961480000000003</v>
      </c>
      <c r="N298">
        <v>-2.2436279999999999E-2</v>
      </c>
      <c r="O298">
        <v>1.634298E-2</v>
      </c>
      <c r="P298">
        <v>0.98214800000000002</v>
      </c>
      <c r="Q298">
        <v>0.15847720000000001</v>
      </c>
      <c r="R298">
        <v>0.1013442</v>
      </c>
      <c r="S298">
        <v>3.0743100000000001</v>
      </c>
      <c r="T298">
        <v>-0.12992190000000001</v>
      </c>
      <c r="U298">
        <v>9.7351069999999998E-3</v>
      </c>
      <c r="V298">
        <v>-8.5307869999999994E-2</v>
      </c>
      <c r="W298">
        <v>0.18049180000000001</v>
      </c>
      <c r="X298">
        <v>0.97987000000000002</v>
      </c>
      <c r="Y298">
        <v>1.315966E-2</v>
      </c>
      <c r="Z298">
        <v>-7.4935539999999997E-4</v>
      </c>
      <c r="AA298">
        <v>0.99991319999999995</v>
      </c>
      <c r="AB298">
        <v>25</v>
      </c>
      <c r="AC298">
        <v>26.911899999999999</v>
      </c>
      <c r="AD298">
        <v>-1.142487</v>
      </c>
      <c r="AE298">
        <v>8.31000000000017E-2</v>
      </c>
      <c r="AF298">
        <v>0.35620048465507997</v>
      </c>
      <c r="AG298">
        <v>-1.142487</v>
      </c>
      <c r="AH298">
        <v>26.861252309619999</v>
      </c>
      <c r="AI298">
        <v>92.435273967850904</v>
      </c>
      <c r="AJ298">
        <v>89.2402592387173</v>
      </c>
      <c r="AK298">
        <v>26.887897481422801</v>
      </c>
      <c r="AL298">
        <v>79.601592614687803</v>
      </c>
      <c r="AM298">
        <v>94.975647554031099</v>
      </c>
      <c r="AN298">
        <v>0.99999996972558802</v>
      </c>
    </row>
    <row r="299" spans="1:40" x14ac:dyDescent="0.25">
      <c r="A299" t="str">
        <f>"20190304155022206"</f>
        <v>20190304155022206</v>
      </c>
      <c r="B299" t="str">
        <f>"1551685822197305"</f>
        <v>1551685822197305</v>
      </c>
      <c r="C299" t="s">
        <v>40</v>
      </c>
      <c r="D299">
        <v>5.1935820000000001</v>
      </c>
      <c r="E299">
        <v>0.53669709999999904</v>
      </c>
      <c r="F299" t="s">
        <v>42</v>
      </c>
      <c r="G299">
        <v>-410.32080000000002</v>
      </c>
      <c r="H299">
        <v>-0.05</v>
      </c>
      <c r="I299">
        <v>367.6189</v>
      </c>
      <c r="J299">
        <v>-437.27690000000001</v>
      </c>
      <c r="K299">
        <v>1.090651</v>
      </c>
      <c r="L299">
        <v>367.54140000000001</v>
      </c>
      <c r="M299">
        <v>0.99961529999999998</v>
      </c>
      <c r="N299">
        <v>-2.234889E-2</v>
      </c>
      <c r="O299">
        <v>1.6431749999999998E-2</v>
      </c>
      <c r="P299">
        <v>0.98204760000000002</v>
      </c>
      <c r="Q299">
        <v>0.15891089999999999</v>
      </c>
      <c r="R299">
        <v>0.1016369</v>
      </c>
      <c r="S299">
        <v>3.0744630000000002</v>
      </c>
      <c r="T299">
        <v>-0.12927910000000001</v>
      </c>
      <c r="U299">
        <v>9.1857910000000004E-3</v>
      </c>
      <c r="V299">
        <v>-8.5514930000000003E-2</v>
      </c>
      <c r="W299">
        <v>0.1808379</v>
      </c>
      <c r="X299">
        <v>0.9797882</v>
      </c>
      <c r="Y299">
        <v>1.3427059999999999E-2</v>
      </c>
      <c r="Z299">
        <v>-7.557296E-4</v>
      </c>
      <c r="AA299">
        <v>0.99990959999999995</v>
      </c>
      <c r="AB299">
        <v>25</v>
      </c>
      <c r="AC299">
        <v>26.9560999999999</v>
      </c>
      <c r="AD299">
        <v>-1.1406510000000001</v>
      </c>
      <c r="AE299">
        <v>7.7499999999986302E-2</v>
      </c>
      <c r="AF299">
        <v>0.36490359365133701</v>
      </c>
      <c r="AG299">
        <v>-1.1406510000000001</v>
      </c>
      <c r="AH299">
        <v>26.905556707969701</v>
      </c>
      <c r="AI299">
        <v>92.427356479536002</v>
      </c>
      <c r="AJ299">
        <v>89.222980058707705</v>
      </c>
      <c r="AK299">
        <v>26.932196737403999</v>
      </c>
      <c r="AL299">
        <v>79.5814314435043</v>
      </c>
      <c r="AM299">
        <v>94.988077948969604</v>
      </c>
      <c r="AN299">
        <v>1.00000003309427</v>
      </c>
    </row>
    <row r="300" spans="1:40" x14ac:dyDescent="0.25">
      <c r="A300" t="str">
        <f>"20190304155022228"</f>
        <v>20190304155022228</v>
      </c>
      <c r="B300" t="str">
        <f>"1551685822216825"</f>
        <v>1551685822216825</v>
      </c>
      <c r="C300" t="s">
        <v>40</v>
      </c>
      <c r="D300">
        <v>5.1223359999999998</v>
      </c>
      <c r="E300">
        <v>0.5367615</v>
      </c>
      <c r="F300" t="s">
        <v>42</v>
      </c>
      <c r="G300">
        <v>-409.91210000000001</v>
      </c>
      <c r="H300">
        <v>-0.05</v>
      </c>
      <c r="I300">
        <v>367.63339999999999</v>
      </c>
      <c r="J300">
        <v>-437.02449999999999</v>
      </c>
      <c r="K300">
        <v>1.0883149999999999</v>
      </c>
      <c r="L300">
        <v>367.54570000000001</v>
      </c>
      <c r="M300">
        <v>0.99962269999999998</v>
      </c>
      <c r="N300">
        <v>-2.194333E-2</v>
      </c>
      <c r="O300">
        <v>1.652971E-2</v>
      </c>
      <c r="P300">
        <v>0.98195900000000003</v>
      </c>
      <c r="Q300">
        <v>0.15926709999999999</v>
      </c>
      <c r="R300">
        <v>0.10193439999999999</v>
      </c>
      <c r="S300">
        <v>3.0745239999999998</v>
      </c>
      <c r="T300">
        <v>-0.12815589999999999</v>
      </c>
      <c r="U300">
        <v>1.0345460000000001E-2</v>
      </c>
      <c r="V300">
        <v>-8.5717429999999997E-2</v>
      </c>
      <c r="W300">
        <v>0.18079519999999999</v>
      </c>
      <c r="X300">
        <v>0.97977829999999999</v>
      </c>
      <c r="Y300">
        <v>1.314853E-2</v>
      </c>
      <c r="Z300">
        <v>-7.4427309999999997E-4</v>
      </c>
      <c r="AA300">
        <v>0.9999133</v>
      </c>
      <c r="AB300">
        <v>25</v>
      </c>
      <c r="AC300">
        <v>27.112399999999901</v>
      </c>
      <c r="AD300">
        <v>-1.138315</v>
      </c>
      <c r="AE300">
        <v>8.7699999999983902E-2</v>
      </c>
      <c r="AF300">
        <v>0.35994548460887599</v>
      </c>
      <c r="AG300">
        <v>-1.138315</v>
      </c>
      <c r="AH300">
        <v>27.0624403622366</v>
      </c>
      <c r="AI300">
        <v>92.408373493272407</v>
      </c>
      <c r="AJ300">
        <v>89.237979249007495</v>
      </c>
      <c r="AK300">
        <v>27.088761510093601</v>
      </c>
      <c r="AL300">
        <v>79.583918096727501</v>
      </c>
      <c r="AM300">
        <v>94.999880216506398</v>
      </c>
      <c r="AN300">
        <v>0.99999994964986605</v>
      </c>
    </row>
    <row r="301" spans="1:40" x14ac:dyDescent="0.25">
      <c r="A301" t="str">
        <f>"20190304155022254"</f>
        <v>20190304155022254</v>
      </c>
      <c r="B301" t="str">
        <f>"1551685822247081"</f>
        <v>1551685822247081</v>
      </c>
      <c r="C301" t="s">
        <v>40</v>
      </c>
      <c r="D301">
        <v>5.2026430000000001</v>
      </c>
      <c r="E301">
        <v>0.53674669999999902</v>
      </c>
      <c r="F301" t="s">
        <v>42</v>
      </c>
      <c r="G301">
        <v>-409.31420000000003</v>
      </c>
      <c r="H301">
        <v>-0.05</v>
      </c>
      <c r="I301">
        <v>367.64080000000001</v>
      </c>
      <c r="J301">
        <v>-436.72579999999999</v>
      </c>
      <c r="K301">
        <v>1.0854200000000001</v>
      </c>
      <c r="L301">
        <v>367.55079999999998</v>
      </c>
      <c r="M301">
        <v>0.99963400000000002</v>
      </c>
      <c r="N301">
        <v>-2.1331659999999999E-2</v>
      </c>
      <c r="O301">
        <v>1.6642649999999998E-2</v>
      </c>
      <c r="P301">
        <v>0.98187769999999996</v>
      </c>
      <c r="Q301">
        <v>0.15957869999999999</v>
      </c>
      <c r="R301">
        <v>0.1022319</v>
      </c>
      <c r="S301">
        <v>3.0744929999999999</v>
      </c>
      <c r="T301">
        <v>-0.12629769999999901</v>
      </c>
      <c r="U301">
        <v>1.055908E-2</v>
      </c>
      <c r="V301">
        <v>-8.5904750000000002E-2</v>
      </c>
      <c r="W301">
        <v>0.1805059</v>
      </c>
      <c r="X301">
        <v>0.97981529999999994</v>
      </c>
      <c r="Y301">
        <v>1.3192270000000001E-2</v>
      </c>
      <c r="Z301">
        <v>-7.4001250000000002E-4</v>
      </c>
      <c r="AA301">
        <v>0.99991269999999999</v>
      </c>
      <c r="AB301">
        <v>25</v>
      </c>
      <c r="AC301">
        <v>27.4115999999999</v>
      </c>
      <c r="AD301">
        <v>-1.1354200000000001</v>
      </c>
      <c r="AE301">
        <v>9.0000000000031805E-2</v>
      </c>
      <c r="AF301">
        <v>0.36569051834683702</v>
      </c>
      <c r="AG301">
        <v>-1.1354200000000001</v>
      </c>
      <c r="AH301">
        <v>27.362354580880901</v>
      </c>
      <c r="AI301">
        <v>92.375953211277704</v>
      </c>
      <c r="AJ301">
        <v>89.234302885178906</v>
      </c>
      <c r="AK301">
        <v>27.388343439161499</v>
      </c>
      <c r="AL301">
        <v>79.600771719655597</v>
      </c>
      <c r="AM301">
        <v>95.010562734050893</v>
      </c>
      <c r="AN301">
        <v>1.0000000140607299</v>
      </c>
    </row>
    <row r="302" spans="1:40" x14ac:dyDescent="0.25">
      <c r="A302" t="str">
        <f>"20190304155022275"</f>
        <v>20190304155022275</v>
      </c>
      <c r="B302" t="str">
        <f>"1551685822266602"</f>
        <v>1551685822266602</v>
      </c>
      <c r="C302" t="s">
        <v>40</v>
      </c>
      <c r="D302">
        <v>5.1201239999999997</v>
      </c>
      <c r="E302">
        <v>0.53683249999999905</v>
      </c>
      <c r="F302" t="s">
        <v>42</v>
      </c>
      <c r="G302">
        <v>-408.92759999999998</v>
      </c>
      <c r="H302">
        <v>-0.05</v>
      </c>
      <c r="I302">
        <v>367.65280000000001</v>
      </c>
      <c r="J302">
        <v>-436.505</v>
      </c>
      <c r="K302">
        <v>1.083248</v>
      </c>
      <c r="L302">
        <v>367.55450000000002</v>
      </c>
      <c r="M302">
        <v>0.99964319999999895</v>
      </c>
      <c r="N302">
        <v>-2.0820979999999999E-2</v>
      </c>
      <c r="O302">
        <v>1.673007E-2</v>
      </c>
      <c r="P302">
        <v>0.98179130000000003</v>
      </c>
      <c r="Q302">
        <v>0.15989449999999999</v>
      </c>
      <c r="R302">
        <v>0.1025653</v>
      </c>
      <c r="S302">
        <v>3.0745849999999999</v>
      </c>
      <c r="T302">
        <v>-0.12558159999999999</v>
      </c>
      <c r="U302">
        <v>1.1291499999999999E-2</v>
      </c>
      <c r="V302">
        <v>-8.6152080000000006E-2</v>
      </c>
      <c r="W302">
        <v>0.18032010000000001</v>
      </c>
      <c r="X302">
        <v>0.97982780000000003</v>
      </c>
      <c r="Y302">
        <v>1.3041830000000001E-2</v>
      </c>
      <c r="Z302">
        <v>-7.3681560000000003E-4</v>
      </c>
      <c r="AA302">
        <v>0.99991470000000005</v>
      </c>
      <c r="AB302">
        <v>25</v>
      </c>
      <c r="AC302">
        <v>27.577400000000001</v>
      </c>
      <c r="AD302">
        <v>-1.133248</v>
      </c>
      <c r="AE302">
        <v>9.8299999999994697E-2</v>
      </c>
      <c r="AF302">
        <v>0.362573392035554</v>
      </c>
      <c r="AG302">
        <v>-1.133248</v>
      </c>
      <c r="AH302">
        <v>27.528697452520099</v>
      </c>
      <c r="AI302">
        <v>92.357106272030194</v>
      </c>
      <c r="AJ302">
        <v>89.245415658287001</v>
      </c>
      <c r="AK302">
        <v>27.554398812648799</v>
      </c>
      <c r="AL302">
        <v>79.611594919714605</v>
      </c>
      <c r="AM302">
        <v>95.024851211086002</v>
      </c>
      <c r="AN302">
        <v>1.0000000185025799</v>
      </c>
    </row>
    <row r="303" spans="1:40" x14ac:dyDescent="0.25">
      <c r="A303" t="str">
        <f>"20190304155022297"</f>
        <v>20190304155022297</v>
      </c>
      <c r="B303" t="str">
        <f>"1551685822287098"</f>
        <v>1551685822287098</v>
      </c>
      <c r="C303" t="s">
        <v>40</v>
      </c>
      <c r="D303">
        <v>5.1358839999999999</v>
      </c>
      <c r="E303">
        <v>0.53694519999999901</v>
      </c>
      <c r="F303" t="s">
        <v>42</v>
      </c>
      <c r="G303">
        <v>-408.41930000000002</v>
      </c>
      <c r="H303">
        <v>-0.05</v>
      </c>
      <c r="I303">
        <v>367.66180000000003</v>
      </c>
      <c r="J303">
        <v>-436.24220000000003</v>
      </c>
      <c r="K303">
        <v>1.0806709999999999</v>
      </c>
      <c r="L303">
        <v>367.55900000000003</v>
      </c>
      <c r="M303">
        <v>0.99965669999999995</v>
      </c>
      <c r="N303">
        <v>-2.0075349999999999E-2</v>
      </c>
      <c r="O303">
        <v>1.6836609999999998E-2</v>
      </c>
      <c r="P303">
        <v>0.98162669999999996</v>
      </c>
      <c r="Q303">
        <v>0.16071060000000001</v>
      </c>
      <c r="R303">
        <v>0.1028642</v>
      </c>
      <c r="S303">
        <v>3.0746150000000001</v>
      </c>
      <c r="T303">
        <v>-0.12405969999999999</v>
      </c>
      <c r="U303">
        <v>1.1749269999999999E-2</v>
      </c>
      <c r="V303">
        <v>-8.6347889999999997E-2</v>
      </c>
      <c r="W303">
        <v>0.18040320000000001</v>
      </c>
      <c r="X303">
        <v>0.97979530000000004</v>
      </c>
      <c r="Y303">
        <v>1.2999770000000001E-2</v>
      </c>
      <c r="Z303">
        <v>-7.3380509999999995E-4</v>
      </c>
      <c r="AA303">
        <v>0.9999152</v>
      </c>
      <c r="AB303">
        <v>25</v>
      </c>
      <c r="AC303">
        <v>27.822900000000001</v>
      </c>
      <c r="AD303">
        <v>-1.130671</v>
      </c>
      <c r="AE303">
        <v>0.102800000000001</v>
      </c>
      <c r="AF303">
        <v>0.36514929533809398</v>
      </c>
      <c r="AG303">
        <v>-1.130671</v>
      </c>
      <c r="AH303">
        <v>27.7748174463105</v>
      </c>
      <c r="AI303">
        <v>92.330936574928899</v>
      </c>
      <c r="AJ303">
        <v>89.246788630085604</v>
      </c>
      <c r="AK303">
        <v>27.800220054776499</v>
      </c>
      <c r="AL303">
        <v>79.606754599945504</v>
      </c>
      <c r="AM303">
        <v>95.036379424733994</v>
      </c>
      <c r="AN303">
        <v>1.0000000512898899</v>
      </c>
    </row>
    <row r="304" spans="1:40" x14ac:dyDescent="0.25">
      <c r="A304" t="str">
        <f>"20190304155022319"</f>
        <v>20190304155022319</v>
      </c>
      <c r="B304" t="str">
        <f>"1551685822306617"</f>
        <v>1551685822306617</v>
      </c>
      <c r="C304" t="s">
        <v>40</v>
      </c>
      <c r="D304">
        <v>5.1941040000000003</v>
      </c>
      <c r="E304">
        <v>0.53707680000000002</v>
      </c>
      <c r="F304" t="s">
        <v>42</v>
      </c>
      <c r="G304">
        <v>-407.53579999999999</v>
      </c>
      <c r="H304">
        <v>-0.05</v>
      </c>
      <c r="I304">
        <v>367.6687</v>
      </c>
      <c r="J304">
        <v>-436.00569999999999</v>
      </c>
      <c r="K304">
        <v>1.078422</v>
      </c>
      <c r="L304">
        <v>367.56310000000002</v>
      </c>
      <c r="M304">
        <v>0.99967070000000002</v>
      </c>
      <c r="N304">
        <v>-1.928442E-2</v>
      </c>
      <c r="O304">
        <v>1.6931959999999999E-2</v>
      </c>
      <c r="P304">
        <v>0.98136849999999998</v>
      </c>
      <c r="Q304">
        <v>0.16191659999999999</v>
      </c>
      <c r="R304">
        <v>0.1034369</v>
      </c>
      <c r="S304">
        <v>3.074738</v>
      </c>
      <c r="T304">
        <v>-0.12110609999999999</v>
      </c>
      <c r="U304">
        <v>1.1749269999999999E-2</v>
      </c>
      <c r="V304">
        <v>-8.6830149999999995E-2</v>
      </c>
      <c r="W304">
        <v>0.18082899999999999</v>
      </c>
      <c r="X304">
        <v>0.97967409999999999</v>
      </c>
      <c r="Y304">
        <v>1.309579E-2</v>
      </c>
      <c r="Z304">
        <v>-7.2427679999999901E-4</v>
      </c>
      <c r="AA304">
        <v>0.99991399999999997</v>
      </c>
      <c r="AB304">
        <v>25</v>
      </c>
      <c r="AC304">
        <v>28.469899999999999</v>
      </c>
      <c r="AD304">
        <v>-1.128422</v>
      </c>
      <c r="AE304">
        <v>0.105599999999981</v>
      </c>
      <c r="AF304">
        <v>0.37596536371647998</v>
      </c>
      <c r="AG304">
        <v>-1.128422</v>
      </c>
      <c r="AH304">
        <v>28.422954166166399</v>
      </c>
      <c r="AI304">
        <v>92.273311729312397</v>
      </c>
      <c r="AJ304">
        <v>89.242162786735307</v>
      </c>
      <c r="AK304">
        <v>28.4478296131145</v>
      </c>
      <c r="AL304">
        <v>79.581949282247393</v>
      </c>
      <c r="AM304">
        <v>95.064985414639906</v>
      </c>
      <c r="AN304">
        <v>0.99999997220041503</v>
      </c>
    </row>
    <row r="305" spans="1:40" x14ac:dyDescent="0.25">
      <c r="A305" t="str">
        <f>"20190304155022340"</f>
        <v>20190304155022340</v>
      </c>
      <c r="B305" t="str">
        <f>"1551685822336873"</f>
        <v>1551685822336873</v>
      </c>
      <c r="C305" t="s">
        <v>40</v>
      </c>
      <c r="D305">
        <v>5.1871409999999996</v>
      </c>
      <c r="E305">
        <v>0.53714459999999997</v>
      </c>
      <c r="F305" t="s">
        <v>42</v>
      </c>
      <c r="G305">
        <v>-406.30059999999997</v>
      </c>
      <c r="H305">
        <v>-0.05</v>
      </c>
      <c r="I305">
        <v>367.67930000000001</v>
      </c>
      <c r="J305">
        <v>-435.75880000000001</v>
      </c>
      <c r="K305">
        <v>1.0761989999999999</v>
      </c>
      <c r="L305">
        <v>367.56740000000002</v>
      </c>
      <c r="M305">
        <v>0.99968559999999995</v>
      </c>
      <c r="N305">
        <v>-1.8404790000000001E-2</v>
      </c>
      <c r="O305">
        <v>1.7027560000000001E-2</v>
      </c>
      <c r="P305">
        <v>0.98116959999999998</v>
      </c>
      <c r="Q305">
        <v>0.16278110000000001</v>
      </c>
      <c r="R305">
        <v>0.1039643</v>
      </c>
      <c r="S305">
        <v>3.0748899999999999</v>
      </c>
      <c r="T305">
        <v>-0.1168073</v>
      </c>
      <c r="U305">
        <v>1.202393E-2</v>
      </c>
      <c r="V305">
        <v>-8.7266930000000006E-2</v>
      </c>
      <c r="W305">
        <v>0.1808285</v>
      </c>
      <c r="X305">
        <v>0.97963540000000005</v>
      </c>
      <c r="Y305">
        <v>1.310326E-2</v>
      </c>
      <c r="Z305">
        <v>-7.0264570000000003E-4</v>
      </c>
      <c r="AA305">
        <v>0.99991390000000002</v>
      </c>
      <c r="AB305">
        <v>25</v>
      </c>
      <c r="AC305">
        <v>29.458200000000001</v>
      </c>
      <c r="AD305">
        <v>-1.126199</v>
      </c>
      <c r="AE305">
        <v>0.11189999999999101</v>
      </c>
      <c r="AF305">
        <v>0.38923359870318902</v>
      </c>
      <c r="AG305">
        <v>-1.126199</v>
      </c>
      <c r="AH305">
        <v>29.4128452889904</v>
      </c>
      <c r="AI305">
        <v>92.192555737586005</v>
      </c>
      <c r="AJ305">
        <v>89.241823069951593</v>
      </c>
      <c r="AK305">
        <v>29.436971565975401</v>
      </c>
      <c r="AL305">
        <v>79.581978600030197</v>
      </c>
      <c r="AM305">
        <v>95.090530221238893</v>
      </c>
      <c r="AN305">
        <v>0.99999999020851704</v>
      </c>
    </row>
    <row r="306" spans="1:40" x14ac:dyDescent="0.25">
      <c r="A306" t="str">
        <f>"20190304155022362"</f>
        <v>20190304155022362</v>
      </c>
      <c r="B306" t="str">
        <f>"1551685822357369"</f>
        <v>1551685822357369</v>
      </c>
      <c r="C306" t="s">
        <v>40</v>
      </c>
      <c r="D306">
        <v>5.1456629999999999</v>
      </c>
      <c r="E306">
        <v>0.53723109999999996</v>
      </c>
      <c r="F306" t="s">
        <v>42</v>
      </c>
      <c r="G306">
        <v>-405.52390000000003</v>
      </c>
      <c r="H306">
        <v>-0.05</v>
      </c>
      <c r="I306">
        <v>367.69850000000002</v>
      </c>
      <c r="J306">
        <v>-435.50920000000002</v>
      </c>
      <c r="K306">
        <v>1.0741339999999999</v>
      </c>
      <c r="L306">
        <v>367.57170000000002</v>
      </c>
      <c r="M306">
        <v>0.99969980000000003</v>
      </c>
      <c r="N306">
        <v>-1.7530649999999998E-2</v>
      </c>
      <c r="O306">
        <v>1.7120690000000001E-2</v>
      </c>
      <c r="P306">
        <v>0.98094709999999996</v>
      </c>
      <c r="Q306">
        <v>0.1638445</v>
      </c>
      <c r="R306">
        <v>0.10439279999999999</v>
      </c>
      <c r="S306">
        <v>3.0751339999999998</v>
      </c>
      <c r="T306">
        <v>-0.114543699999999</v>
      </c>
      <c r="U306">
        <v>1.333618E-2</v>
      </c>
      <c r="V306">
        <v>-8.7607389999999993E-2</v>
      </c>
      <c r="W306">
        <v>0.181032</v>
      </c>
      <c r="X306">
        <v>0.97956739999999998</v>
      </c>
      <c r="Y306">
        <v>1.2770699999999999E-2</v>
      </c>
      <c r="Z306">
        <v>-6.8711259999999904E-4</v>
      </c>
      <c r="AA306">
        <v>0.99991819999999998</v>
      </c>
      <c r="AB306">
        <v>25</v>
      </c>
      <c r="AC306">
        <v>29.985299999999899</v>
      </c>
      <c r="AD306">
        <v>-1.124134</v>
      </c>
      <c r="AE306">
        <v>0.12680000000000199</v>
      </c>
      <c r="AF306">
        <v>0.38612381320558498</v>
      </c>
      <c r="AG306">
        <v>-1.124134</v>
      </c>
      <c r="AH306">
        <v>29.940994745050499</v>
      </c>
      <c r="AI306">
        <v>92.149980268308894</v>
      </c>
      <c r="AJ306">
        <v>89.261145505344899</v>
      </c>
      <c r="AK306">
        <v>29.964578007577899</v>
      </c>
      <c r="AL306">
        <v>79.5701229863284</v>
      </c>
      <c r="AM306">
        <v>95.110638143028893</v>
      </c>
      <c r="AN306">
        <v>0.99999996547468495</v>
      </c>
    </row>
    <row r="307" spans="1:40" x14ac:dyDescent="0.25">
      <c r="A307" t="str">
        <f>"20190304155022375"</f>
        <v>20190304155022375</v>
      </c>
      <c r="B307" t="str">
        <f>"1551685822367130"</f>
        <v>1551685822367130</v>
      </c>
      <c r="C307" t="s">
        <v>40</v>
      </c>
      <c r="D307">
        <v>5.2211150000000002</v>
      </c>
      <c r="E307">
        <v>0.53735909999999998</v>
      </c>
      <c r="F307" t="s">
        <v>42</v>
      </c>
      <c r="G307">
        <v>-404.27940000000001</v>
      </c>
      <c r="H307">
        <v>-0.05</v>
      </c>
      <c r="I307">
        <v>367.7099</v>
      </c>
      <c r="J307">
        <v>-435.3612</v>
      </c>
      <c r="K307">
        <v>1.0730059999999999</v>
      </c>
      <c r="L307">
        <v>367.57429999999999</v>
      </c>
      <c r="M307">
        <v>0.99970749999999997</v>
      </c>
      <c r="N307">
        <v>-1.703727E-2</v>
      </c>
      <c r="O307">
        <v>1.7174439999999999E-2</v>
      </c>
      <c r="P307">
        <v>0.98085599999999995</v>
      </c>
      <c r="Q307">
        <v>0.16416979999999901</v>
      </c>
      <c r="R307">
        <v>0.1047381</v>
      </c>
      <c r="S307">
        <v>3.0753170000000001</v>
      </c>
      <c r="T307">
        <v>-0.1106974</v>
      </c>
      <c r="U307">
        <v>1.3610840000000001E-2</v>
      </c>
      <c r="V307">
        <v>-8.7901010000000002E-2</v>
      </c>
      <c r="W307">
        <v>0.18087259999999999</v>
      </c>
      <c r="X307">
        <v>0.97957059999999996</v>
      </c>
      <c r="Y307">
        <v>1.273639E-2</v>
      </c>
      <c r="Z307">
        <v>-6.6308809999999997E-4</v>
      </c>
      <c r="AA307">
        <v>0.99991859999999999</v>
      </c>
      <c r="AB307">
        <v>25</v>
      </c>
      <c r="AC307">
        <v>31.081799999999902</v>
      </c>
      <c r="AD307">
        <v>-1.1230059999999999</v>
      </c>
      <c r="AE307">
        <v>0.13560000000000999</v>
      </c>
      <c r="AF307">
        <v>0.39779064611107301</v>
      </c>
      <c r="AG307">
        <v>-1.1230059999999999</v>
      </c>
      <c r="AH307">
        <v>31.039025219119999</v>
      </c>
      <c r="AI307">
        <v>92.071913453666497</v>
      </c>
      <c r="AJ307">
        <v>89.265747641793993</v>
      </c>
      <c r="AK307">
        <v>31.0618812441767</v>
      </c>
      <c r="AL307">
        <v>79.579409835294499</v>
      </c>
      <c r="AM307">
        <v>95.127658847860999</v>
      </c>
      <c r="AN307">
        <v>1.00000002268706</v>
      </c>
    </row>
    <row r="308" spans="1:40" x14ac:dyDescent="0.25">
      <c r="A308" t="str">
        <f>"20190304155022389"</f>
        <v>20190304155022389</v>
      </c>
      <c r="B308" t="str">
        <f>"1551685822386649"</f>
        <v>1551685822386649</v>
      </c>
      <c r="C308" t="s">
        <v>40</v>
      </c>
      <c r="D308">
        <v>5.1314140000000004</v>
      </c>
      <c r="E308">
        <v>0.53738850000000005</v>
      </c>
      <c r="F308" t="s">
        <v>42</v>
      </c>
      <c r="G308">
        <v>-404.24259999999998</v>
      </c>
      <c r="H308">
        <v>-0.05</v>
      </c>
      <c r="I308">
        <v>367.71480000000003</v>
      </c>
      <c r="J308">
        <v>-435.20240000000001</v>
      </c>
      <c r="K308">
        <v>1.071858</v>
      </c>
      <c r="L308">
        <v>367.57709999999997</v>
      </c>
      <c r="M308">
        <v>0.99971489999999996</v>
      </c>
      <c r="N308">
        <v>-1.6525749999999999E-2</v>
      </c>
      <c r="O308">
        <v>1.7231429999999999E-2</v>
      </c>
      <c r="P308">
        <v>0.98079559999999999</v>
      </c>
      <c r="Q308">
        <v>0.1644806</v>
      </c>
      <c r="R308">
        <v>0.10481409999999999</v>
      </c>
      <c r="S308">
        <v>3.075653</v>
      </c>
      <c r="T308">
        <v>-0.110994</v>
      </c>
      <c r="U308">
        <v>1.38855E-2</v>
      </c>
      <c r="V308">
        <v>-8.7921429999999995E-2</v>
      </c>
      <c r="W308">
        <v>0.18068129999999999</v>
      </c>
      <c r="X308">
        <v>0.97960409999999998</v>
      </c>
      <c r="Y308">
        <v>1.270432E-2</v>
      </c>
      <c r="Z308">
        <v>-6.7106119999999999E-4</v>
      </c>
      <c r="AA308">
        <v>0.99991909999999895</v>
      </c>
      <c r="AB308">
        <v>25</v>
      </c>
      <c r="AC308">
        <v>30.959800000000001</v>
      </c>
      <c r="AD308">
        <v>-1.121858</v>
      </c>
      <c r="AE308">
        <v>0.137700000000052</v>
      </c>
      <c r="AF308">
        <v>0.39535585470257201</v>
      </c>
      <c r="AG308">
        <v>-1.121858</v>
      </c>
      <c r="AH308">
        <v>30.9169805968872</v>
      </c>
      <c r="AI308">
        <v>92.0779613840499</v>
      </c>
      <c r="AJ308">
        <v>89.267360950688797</v>
      </c>
      <c r="AK308">
        <v>30.9398539242239</v>
      </c>
      <c r="AL308">
        <v>79.590554431743101</v>
      </c>
      <c r="AM308">
        <v>95.128669227177198</v>
      </c>
      <c r="AN308">
        <v>1.0000000513798699</v>
      </c>
    </row>
    <row r="309" spans="1:40" x14ac:dyDescent="0.25">
      <c r="A309" t="str">
        <f>"20190304155022407"</f>
        <v>20190304155022407</v>
      </c>
      <c r="B309" t="str">
        <f>"1551685822396409"</f>
        <v>1551685822396409</v>
      </c>
      <c r="C309" t="s">
        <v>40</v>
      </c>
      <c r="D309">
        <v>5.213184</v>
      </c>
      <c r="E309">
        <v>0.53747180000000006</v>
      </c>
      <c r="F309" t="s">
        <v>42</v>
      </c>
      <c r="G309">
        <v>-403.9495</v>
      </c>
      <c r="H309">
        <v>-0.05</v>
      </c>
      <c r="I309">
        <v>367.72190000000001</v>
      </c>
      <c r="J309">
        <v>-434.99959999999999</v>
      </c>
      <c r="K309">
        <v>1.0705119999999999</v>
      </c>
      <c r="L309">
        <v>367.58069999999998</v>
      </c>
      <c r="M309">
        <v>0.99972369999999999</v>
      </c>
      <c r="N309">
        <v>-1.591327E-2</v>
      </c>
      <c r="O309">
        <v>1.730338E-2</v>
      </c>
      <c r="P309">
        <v>0.98053829999999997</v>
      </c>
      <c r="Q309">
        <v>0.16568359999999999</v>
      </c>
      <c r="R309">
        <v>0.10532619999999999</v>
      </c>
      <c r="S309">
        <v>3.075745</v>
      </c>
      <c r="T309">
        <v>-0.110407199999999</v>
      </c>
      <c r="U309">
        <v>1.4251710000000001E-2</v>
      </c>
      <c r="V309">
        <v>-8.8366490000000006E-2</v>
      </c>
      <c r="W309">
        <v>0.18128059999999999</v>
      </c>
      <c r="X309">
        <v>0.97945329999999997</v>
      </c>
      <c r="Y309">
        <v>1.265733E-2</v>
      </c>
      <c r="Z309">
        <v>-6.7342149999999996E-4</v>
      </c>
      <c r="AA309">
        <v>0.99991969999999997</v>
      </c>
      <c r="AB309">
        <v>25</v>
      </c>
      <c r="AC309">
        <v>31.050099999999901</v>
      </c>
      <c r="AD309">
        <v>-1.120512</v>
      </c>
      <c r="AE309">
        <v>0.141200000000026</v>
      </c>
      <c r="AF309">
        <v>0.39564559969564</v>
      </c>
      <c r="AG309">
        <v>-1.120512</v>
      </c>
      <c r="AH309">
        <v>31.0075138373298</v>
      </c>
      <c r="AI309">
        <v>92.069416661559501</v>
      </c>
      <c r="AJ309">
        <v>89.268964514407102</v>
      </c>
      <c r="AK309">
        <v>31.030275489510199</v>
      </c>
      <c r="AL309">
        <v>79.555640295951605</v>
      </c>
      <c r="AM309">
        <v>95.155280478202897</v>
      </c>
      <c r="AN309">
        <v>1.00000002968608</v>
      </c>
    </row>
    <row r="310" spans="1:40" x14ac:dyDescent="0.25">
      <c r="A310" t="str">
        <f>"20190304155022419"</f>
        <v>20190304155022419</v>
      </c>
      <c r="B310" t="str">
        <f>"1551685822416905"</f>
        <v>1551685822416905</v>
      </c>
      <c r="C310" t="s">
        <v>40</v>
      </c>
      <c r="D310">
        <v>5.1393930000000001</v>
      </c>
      <c r="E310">
        <v>0.53765640000000003</v>
      </c>
      <c r="F310" t="s">
        <v>42</v>
      </c>
      <c r="G310">
        <v>-402.62299999999999</v>
      </c>
      <c r="H310">
        <v>-0.05</v>
      </c>
      <c r="I310">
        <v>367.7371</v>
      </c>
      <c r="J310">
        <v>-434.85840000000002</v>
      </c>
      <c r="K310">
        <v>1.069672</v>
      </c>
      <c r="L310">
        <v>367.58319999999998</v>
      </c>
      <c r="M310">
        <v>0.99972910000000004</v>
      </c>
      <c r="N310">
        <v>-1.551925E-2</v>
      </c>
      <c r="O310">
        <v>1.7351749999999999E-2</v>
      </c>
      <c r="P310">
        <v>0.9803442</v>
      </c>
      <c r="Q310">
        <v>0.1666598</v>
      </c>
      <c r="R310">
        <v>0.1055932</v>
      </c>
      <c r="S310">
        <v>3.0758969999999999</v>
      </c>
      <c r="T310">
        <v>-0.1064529</v>
      </c>
      <c r="U310">
        <v>1.486206E-2</v>
      </c>
      <c r="V310">
        <v>-8.8588360000000005E-2</v>
      </c>
      <c r="W310">
        <v>0.18186859999999999</v>
      </c>
      <c r="X310">
        <v>0.97932419999999998</v>
      </c>
      <c r="Y310">
        <v>1.250863E-2</v>
      </c>
      <c r="Z310">
        <v>-6.4453980000000002E-4</v>
      </c>
      <c r="AA310">
        <v>0.99992159999999997</v>
      </c>
      <c r="AB310">
        <v>25</v>
      </c>
      <c r="AC310">
        <v>32.235399999999899</v>
      </c>
      <c r="AD310">
        <v>-1.119672</v>
      </c>
      <c r="AE310">
        <v>0.15390000000002099</v>
      </c>
      <c r="AF310">
        <v>0.40504243132561801</v>
      </c>
      <c r="AG310">
        <v>-1.119672</v>
      </c>
      <c r="AH310">
        <v>32.194375880746499</v>
      </c>
      <c r="AI310">
        <v>91.991700770497999</v>
      </c>
      <c r="AJ310">
        <v>89.279190949821498</v>
      </c>
      <c r="AK310">
        <v>32.2163865619587</v>
      </c>
      <c r="AL310">
        <v>79.521380437023097</v>
      </c>
      <c r="AM310">
        <v>95.168831918652899</v>
      </c>
      <c r="AN310">
        <v>0.99999998694954395</v>
      </c>
    </row>
    <row r="311" spans="1:40" x14ac:dyDescent="0.25">
      <c r="A311" t="str">
        <f>"20190304155022433"</f>
        <v>20190304155022433</v>
      </c>
      <c r="B311" t="str">
        <f>"1551685822426666"</f>
        <v>1551685822426666</v>
      </c>
      <c r="C311" t="s">
        <v>40</v>
      </c>
      <c r="D311">
        <v>5.1310739999999999</v>
      </c>
      <c r="E311">
        <v>0.53770640000000003</v>
      </c>
      <c r="F311" t="s">
        <v>42</v>
      </c>
      <c r="G311">
        <v>-401.4323</v>
      </c>
      <c r="H311">
        <v>-0.05</v>
      </c>
      <c r="I311">
        <v>367.74430000000001</v>
      </c>
      <c r="J311">
        <v>-434.70499999999998</v>
      </c>
      <c r="K311">
        <v>1.068813</v>
      </c>
      <c r="L311">
        <v>367.58589999999998</v>
      </c>
      <c r="M311">
        <v>0.99973449999999997</v>
      </c>
      <c r="N311">
        <v>-1.510734E-2</v>
      </c>
      <c r="O311">
        <v>1.7403519999999999E-2</v>
      </c>
      <c r="P311">
        <v>0.98020320000000005</v>
      </c>
      <c r="Q311">
        <v>0.1674514</v>
      </c>
      <c r="R311">
        <v>0.1056507</v>
      </c>
      <c r="S311">
        <v>3.076111</v>
      </c>
      <c r="T311">
        <v>-0.10304049999999999</v>
      </c>
      <c r="U311">
        <v>1.4831540000000001E-2</v>
      </c>
      <c r="V311">
        <v>-8.8596369999999994E-2</v>
      </c>
      <c r="W311">
        <v>0.18225540000000001</v>
      </c>
      <c r="X311">
        <v>0.9792516</v>
      </c>
      <c r="Y311">
        <v>1.257139E-2</v>
      </c>
      <c r="Z311">
        <v>-6.2536030000000004E-4</v>
      </c>
      <c r="AA311">
        <v>0.99992080000000005</v>
      </c>
      <c r="AB311">
        <v>25</v>
      </c>
      <c r="AC311">
        <v>33.272699999999901</v>
      </c>
      <c r="AD311">
        <v>-1.1188129999999901</v>
      </c>
      <c r="AE311">
        <v>0.15840000000002799</v>
      </c>
      <c r="AF311">
        <v>0.420276946367731</v>
      </c>
      <c r="AG311">
        <v>-1.1188129999999901</v>
      </c>
      <c r="AH311">
        <v>33.232841851780101</v>
      </c>
      <c r="AI311">
        <v>91.928030771349398</v>
      </c>
      <c r="AJ311">
        <v>89.275451321443796</v>
      </c>
      <c r="AK311">
        <v>33.254325324475403</v>
      </c>
      <c r="AL311">
        <v>79.498842111715902</v>
      </c>
      <c r="AM311">
        <v>95.169677909289305</v>
      </c>
      <c r="AN311">
        <v>1.00000002185444</v>
      </c>
    </row>
    <row r="312" spans="1:40" x14ac:dyDescent="0.25">
      <c r="A312" t="str">
        <f>"20190304155022452"</f>
        <v>20190304155022452</v>
      </c>
      <c r="B312" t="str">
        <f>"1551685822447162"</f>
        <v>1551685822447162</v>
      </c>
      <c r="C312" t="s">
        <v>40</v>
      </c>
      <c r="D312">
        <v>5.1726779999999897</v>
      </c>
      <c r="E312">
        <v>0.53783040000000004</v>
      </c>
      <c r="F312" t="s">
        <v>42</v>
      </c>
      <c r="G312">
        <v>-400.48579999999998</v>
      </c>
      <c r="H312">
        <v>-0.05</v>
      </c>
      <c r="I312">
        <v>367.75119999999998</v>
      </c>
      <c r="J312">
        <v>-434.49700000000001</v>
      </c>
      <c r="K312">
        <v>1.0677449999999999</v>
      </c>
      <c r="L312">
        <v>367.58960000000002</v>
      </c>
      <c r="M312">
        <v>0.99974099999999999</v>
      </c>
      <c r="N312">
        <v>-1.458835E-2</v>
      </c>
      <c r="O312">
        <v>1.747027E-2</v>
      </c>
      <c r="P312">
        <v>0.979904</v>
      </c>
      <c r="Q312">
        <v>0.1688578</v>
      </c>
      <c r="R312">
        <v>0.1061849</v>
      </c>
      <c r="S312">
        <v>3.0761720000000001</v>
      </c>
      <c r="T312">
        <v>-0.100576899999999</v>
      </c>
      <c r="U312">
        <v>1.486206E-2</v>
      </c>
      <c r="V312">
        <v>-8.9068330000000001E-2</v>
      </c>
      <c r="W312">
        <v>0.1831499</v>
      </c>
      <c r="X312">
        <v>0.97904190000000002</v>
      </c>
      <c r="Y312">
        <v>1.2628739999999999E-2</v>
      </c>
      <c r="Z312">
        <v>-6.1471810000000003E-4</v>
      </c>
      <c r="AA312">
        <v>0.99992009999999998</v>
      </c>
      <c r="AB312">
        <v>26</v>
      </c>
      <c r="AC312">
        <v>34.011199999999903</v>
      </c>
      <c r="AD312">
        <v>-1.117745</v>
      </c>
      <c r="AE312">
        <v>0.16159999999996399</v>
      </c>
      <c r="AF312">
        <v>0.43220593249462702</v>
      </c>
      <c r="AG312">
        <v>-1.117745</v>
      </c>
      <c r="AH312">
        <v>33.972141122126601</v>
      </c>
      <c r="AI312">
        <v>91.884302789643897</v>
      </c>
      <c r="AJ312">
        <v>89.271101583270806</v>
      </c>
      <c r="AK312">
        <v>33.993271808915303</v>
      </c>
      <c r="AL312">
        <v>79.446713895666903</v>
      </c>
      <c r="AM312">
        <v>95.198173847097607</v>
      </c>
      <c r="AN312">
        <v>1.0000000476173001</v>
      </c>
    </row>
    <row r="313" spans="1:40" x14ac:dyDescent="0.25">
      <c r="A313" t="str">
        <f>"20190304155022464"</f>
        <v>20190304155022464</v>
      </c>
      <c r="B313" t="str">
        <f>"1551685822456921"</f>
        <v>1551685822456921</v>
      </c>
      <c r="C313" t="s">
        <v>40</v>
      </c>
      <c r="D313">
        <v>5.1031680000000001</v>
      </c>
      <c r="E313">
        <v>0.53786780000000001</v>
      </c>
      <c r="F313" t="s">
        <v>42</v>
      </c>
      <c r="G313">
        <v>-398.60050000000001</v>
      </c>
      <c r="H313">
        <v>-0.05</v>
      </c>
      <c r="I313">
        <v>367.77330000000001</v>
      </c>
      <c r="J313">
        <v>-434.33749999999998</v>
      </c>
      <c r="K313">
        <v>1.067008</v>
      </c>
      <c r="L313">
        <v>367.5924</v>
      </c>
      <c r="M313">
        <v>0.99974549999999995</v>
      </c>
      <c r="N313">
        <v>-1.4220409999999999E-2</v>
      </c>
      <c r="O313">
        <v>1.7518180000000001E-2</v>
      </c>
      <c r="P313">
        <v>0.97979340000000004</v>
      </c>
      <c r="Q313">
        <v>0.16939209999999999</v>
      </c>
      <c r="R313">
        <v>0.1063554</v>
      </c>
      <c r="S313">
        <v>3.0763240000000001</v>
      </c>
      <c r="T313">
        <v>-9.5790390000000003E-2</v>
      </c>
      <c r="U313">
        <v>1.5747069999999998E-2</v>
      </c>
      <c r="V313">
        <v>-8.9192380000000002E-2</v>
      </c>
      <c r="W313">
        <v>0.1833234</v>
      </c>
      <c r="X313">
        <v>0.97899809999999998</v>
      </c>
      <c r="Y313">
        <v>1.239053E-2</v>
      </c>
      <c r="Z313">
        <v>-5.772059E-4</v>
      </c>
      <c r="AA313">
        <v>0.99992309999999995</v>
      </c>
      <c r="AB313">
        <v>26</v>
      </c>
      <c r="AC313">
        <v>35.736999999999902</v>
      </c>
      <c r="AD313">
        <v>-1.117008</v>
      </c>
      <c r="AE313">
        <v>0.180900000000008</v>
      </c>
      <c r="AF313">
        <v>0.44480367599695297</v>
      </c>
      <c r="AG313">
        <v>-1.117008</v>
      </c>
      <c r="AH313">
        <v>35.699807867554398</v>
      </c>
      <c r="AI313">
        <v>91.791998689174505</v>
      </c>
      <c r="AJ313">
        <v>89.286157091469505</v>
      </c>
      <c r="AK313">
        <v>35.720048137741102</v>
      </c>
      <c r="AL313">
        <v>79.436601518507601</v>
      </c>
      <c r="AM313">
        <v>95.205605471243203</v>
      </c>
      <c r="AN313">
        <v>1.0000000147206101</v>
      </c>
    </row>
    <row r="314" spans="1:40" x14ac:dyDescent="0.25">
      <c r="A314" t="str">
        <f>"20190304155022478"</f>
        <v>20190304155022478</v>
      </c>
      <c r="B314" t="str">
        <f>"1551685822466682"</f>
        <v>1551685822466682</v>
      </c>
      <c r="C314" t="s">
        <v>40</v>
      </c>
      <c r="D314">
        <v>5.1658410000000003</v>
      </c>
      <c r="E314">
        <v>0.53791339999999999</v>
      </c>
      <c r="F314" t="s">
        <v>41</v>
      </c>
      <c r="G314">
        <v>-399.3261</v>
      </c>
      <c r="H314" s="1">
        <v>-7.0674669999999899E-7</v>
      </c>
      <c r="I314">
        <v>367.76949999999999</v>
      </c>
      <c r="J314">
        <v>-434.19420000000002</v>
      </c>
      <c r="K314">
        <v>1.066411</v>
      </c>
      <c r="L314">
        <v>367.5949</v>
      </c>
      <c r="M314">
        <v>0.99974890000000005</v>
      </c>
      <c r="N314">
        <v>-1.391677E-2</v>
      </c>
      <c r="O314">
        <v>1.7558359999999999E-2</v>
      </c>
      <c r="P314">
        <v>0.97958270000000003</v>
      </c>
      <c r="Q314">
        <v>0.17053950000000001</v>
      </c>
      <c r="R314">
        <v>0.10646029999999999</v>
      </c>
      <c r="S314">
        <v>3.076355</v>
      </c>
      <c r="T314">
        <v>-9.3755130000000006E-2</v>
      </c>
      <c r="U314">
        <v>1.556396E-2</v>
      </c>
      <c r="V314">
        <v>-8.9259679999999994E-2</v>
      </c>
      <c r="W314">
        <v>0.1841708</v>
      </c>
      <c r="X314">
        <v>0.97883290000000001</v>
      </c>
      <c r="Y314">
        <v>1.2490609999999999E-2</v>
      </c>
      <c r="Z314">
        <v>-5.6784339999999998E-4</v>
      </c>
      <c r="AA314">
        <v>0.99992179999999997</v>
      </c>
      <c r="AB314">
        <v>26</v>
      </c>
      <c r="AC314">
        <v>34.868099999999998</v>
      </c>
      <c r="AD314">
        <v>-1.0664117067467</v>
      </c>
      <c r="AE314">
        <v>0.17459999999999801</v>
      </c>
      <c r="AF314">
        <v>0.43730387986547098</v>
      </c>
      <c r="AG314">
        <v>-1.0664117067467</v>
      </c>
      <c r="AH314">
        <v>34.833207826014799</v>
      </c>
      <c r="AI314">
        <v>91.753413060796106</v>
      </c>
      <c r="AJ314">
        <v>89.280733758381899</v>
      </c>
      <c r="AK314">
        <v>34.852271605477497</v>
      </c>
      <c r="AL314">
        <v>79.387208029409294</v>
      </c>
      <c r="AM314">
        <v>95.210386133351406</v>
      </c>
      <c r="AN314">
        <v>1.00000001008437</v>
      </c>
    </row>
    <row r="315" spans="1:40" x14ac:dyDescent="0.25">
      <c r="A315" t="str">
        <f>"20190304155022509"</f>
        <v>20190304155022509</v>
      </c>
      <c r="B315" t="str">
        <f>"1551685822506697"</f>
        <v>1551685822506697</v>
      </c>
      <c r="C315" t="s">
        <v>40</v>
      </c>
      <c r="D315">
        <v>5.1480249999999996</v>
      </c>
      <c r="E315">
        <v>0.5381148</v>
      </c>
      <c r="F315" t="s">
        <v>41</v>
      </c>
      <c r="G315">
        <v>-397.72370000000001</v>
      </c>
      <c r="H315" s="1">
        <v>-1.2839519999999899E-6</v>
      </c>
      <c r="I315">
        <v>367.78339999999997</v>
      </c>
      <c r="J315">
        <v>-433.84129999999999</v>
      </c>
      <c r="K315">
        <v>1.065105</v>
      </c>
      <c r="L315">
        <v>367.60129999999998</v>
      </c>
      <c r="M315">
        <v>0.9997568</v>
      </c>
      <c r="N315">
        <v>-1.323683E-2</v>
      </c>
      <c r="O315">
        <v>1.76455999999999E-2</v>
      </c>
      <c r="P315">
        <v>0.97938289999999995</v>
      </c>
      <c r="Q315">
        <v>0.17124300000000001</v>
      </c>
      <c r="R315">
        <v>0.1071691</v>
      </c>
      <c r="S315">
        <v>3.0764770000000001</v>
      </c>
      <c r="T315">
        <v>-8.9957480000000006E-2</v>
      </c>
      <c r="U315">
        <v>1.5899659999999999E-2</v>
      </c>
      <c r="V315">
        <v>-8.9882589999999998E-2</v>
      </c>
      <c r="W315">
        <v>0.18420880000000001</v>
      </c>
      <c r="X315">
        <v>0.97876879999999999</v>
      </c>
      <c r="Y315">
        <v>1.2469640000000001E-2</v>
      </c>
      <c r="Z315">
        <v>-5.4708769999999897E-4</v>
      </c>
      <c r="AA315">
        <v>0.99992210000000004</v>
      </c>
      <c r="AB315">
        <v>26</v>
      </c>
      <c r="AC315">
        <v>36.117599999999896</v>
      </c>
      <c r="AD315">
        <v>-1.065106283952</v>
      </c>
      <c r="AE315">
        <v>0.18209999999999099</v>
      </c>
      <c r="AF315">
        <v>0.454905242259315</v>
      </c>
      <c r="AG315">
        <v>-1.065106283952</v>
      </c>
      <c r="AH315">
        <v>36.083809455858599</v>
      </c>
      <c r="AI315">
        <v>91.690606853160801</v>
      </c>
      <c r="AJ315">
        <v>89.277715680329194</v>
      </c>
      <c r="AK315">
        <v>36.102391818579797</v>
      </c>
      <c r="AL315">
        <v>79.384993457654403</v>
      </c>
      <c r="AM315">
        <v>95.2468869331409</v>
      </c>
      <c r="AN315">
        <v>1.0000000629179899</v>
      </c>
    </row>
    <row r="316" spans="1:40" x14ac:dyDescent="0.25">
      <c r="A316" t="str">
        <f>"20190304155022529"</f>
        <v>20190304155022529</v>
      </c>
      <c r="B316" t="str">
        <f>"1551685822527194"</f>
        <v>1551685822527194</v>
      </c>
      <c r="C316" t="s">
        <v>40</v>
      </c>
      <c r="D316">
        <v>5.1528199999999904</v>
      </c>
      <c r="E316">
        <v>0.53821160000000001</v>
      </c>
      <c r="F316" t="s">
        <v>41</v>
      </c>
      <c r="G316">
        <v>-397.03379999999999</v>
      </c>
      <c r="H316" s="1">
        <v>-1.575699E-6</v>
      </c>
      <c r="I316">
        <v>367.80709999999999</v>
      </c>
      <c r="J316">
        <v>-433.60829999999999</v>
      </c>
      <c r="K316">
        <v>1.0643899999999999</v>
      </c>
      <c r="L316">
        <v>367.60550000000001</v>
      </c>
      <c r="M316">
        <v>0.99976100000000001</v>
      </c>
      <c r="N316">
        <v>-1.2850139999999999E-2</v>
      </c>
      <c r="O316">
        <v>1.769101E-2</v>
      </c>
      <c r="P316">
        <v>0.97926389999999996</v>
      </c>
      <c r="Q316">
        <v>0.1713701</v>
      </c>
      <c r="R316">
        <v>0.10805049999999999</v>
      </c>
      <c r="S316">
        <v>3.0768430000000002</v>
      </c>
      <c r="T316">
        <v>-8.9035149999999993E-2</v>
      </c>
      <c r="U316">
        <v>1.721191E-2</v>
      </c>
      <c r="V316">
        <v>-9.0718119999999999E-2</v>
      </c>
      <c r="W316">
        <v>0.18395710000000001</v>
      </c>
      <c r="X316">
        <v>0.97873900000000003</v>
      </c>
      <c r="Y316">
        <v>1.2089539999999999E-2</v>
      </c>
      <c r="Z316">
        <v>-5.3704950000000001E-4</v>
      </c>
      <c r="AA316">
        <v>0.99992669999999995</v>
      </c>
      <c r="AB316">
        <v>26</v>
      </c>
      <c r="AC316">
        <v>36.5745</v>
      </c>
      <c r="AD316">
        <v>-1.0643915756989999</v>
      </c>
      <c r="AE316">
        <v>0.20159999999998399</v>
      </c>
      <c r="AF316">
        <v>0.44514778221072299</v>
      </c>
      <c r="AG316">
        <v>-1.0643915756989999</v>
      </c>
      <c r="AH316">
        <v>36.541395055483498</v>
      </c>
      <c r="AI316">
        <v>91.668337649623595</v>
      </c>
      <c r="AJ316">
        <v>89.302056541910602</v>
      </c>
      <c r="AK316">
        <v>36.559603917101398</v>
      </c>
      <c r="AL316">
        <v>79.399664983498198</v>
      </c>
      <c r="AM316">
        <v>95.295545218783204</v>
      </c>
      <c r="AN316">
        <v>1.00000001102887</v>
      </c>
    </row>
    <row r="317" spans="1:40" x14ac:dyDescent="0.25">
      <c r="A317" t="str">
        <f>"20190304155022551"</f>
        <v>20190304155022551</v>
      </c>
      <c r="B317" t="str">
        <f>"1551685822546714"</f>
        <v>1551685822546714</v>
      </c>
      <c r="C317" t="s">
        <v>40</v>
      </c>
      <c r="D317">
        <v>5.1312600000000002</v>
      </c>
      <c r="E317">
        <v>0.5383772</v>
      </c>
      <c r="F317" t="s">
        <v>41</v>
      </c>
      <c r="G317">
        <v>-396.41570000000002</v>
      </c>
      <c r="H317" s="1">
        <v>-1.836941E-6</v>
      </c>
      <c r="I317">
        <v>367.82929999999999</v>
      </c>
      <c r="J317">
        <v>-433.35219999999998</v>
      </c>
      <c r="K317">
        <v>1.0637160000000001</v>
      </c>
      <c r="L317">
        <v>367.61</v>
      </c>
      <c r="M317">
        <v>0.99976500000000001</v>
      </c>
      <c r="N317">
        <v>-1.247412E-2</v>
      </c>
      <c r="O317">
        <v>1.7731859999999999E-2</v>
      </c>
      <c r="P317">
        <v>0.97897319999999999</v>
      </c>
      <c r="Q317">
        <v>0.1721559</v>
      </c>
      <c r="R317">
        <v>0.1094271</v>
      </c>
      <c r="S317">
        <v>3.0769039999999999</v>
      </c>
      <c r="T317">
        <v>-8.8055729999999999E-2</v>
      </c>
      <c r="U317">
        <v>1.852417E-2</v>
      </c>
      <c r="V317">
        <v>-9.2056230000000003E-2</v>
      </c>
      <c r="W317">
        <v>0.18437329999999999</v>
      </c>
      <c r="X317">
        <v>0.97853570000000001</v>
      </c>
      <c r="Y317">
        <v>1.17044E-2</v>
      </c>
      <c r="Z317">
        <v>-5.2660839999999897E-4</v>
      </c>
      <c r="AA317">
        <v>0.99993129999999997</v>
      </c>
      <c r="AB317">
        <v>26</v>
      </c>
      <c r="AC317">
        <v>36.936499999999903</v>
      </c>
      <c r="AD317">
        <v>-1.0637178369410001</v>
      </c>
      <c r="AE317">
        <v>0.21929999999997499</v>
      </c>
      <c r="AF317">
        <v>0.43537719769877398</v>
      </c>
      <c r="AG317">
        <v>-1.0637178369410001</v>
      </c>
      <c r="AH317">
        <v>36.903975289856099</v>
      </c>
      <c r="AI317">
        <v>91.650917947754806</v>
      </c>
      <c r="AJ317">
        <v>89.324080440964096</v>
      </c>
      <c r="AK317">
        <v>36.9218694154997</v>
      </c>
      <c r="AL317">
        <v>79.3754032655618</v>
      </c>
      <c r="AM317">
        <v>95.374311468841896</v>
      </c>
      <c r="AN317">
        <v>0.99999998970459603</v>
      </c>
    </row>
    <row r="318" spans="1:40" x14ac:dyDescent="0.25">
      <c r="A318" t="str">
        <f>"20190304155022575"</f>
        <v>20190304155022575</v>
      </c>
      <c r="B318" t="str">
        <f>"1551685822567209"</f>
        <v>1551685822567209</v>
      </c>
      <c r="C318" t="s">
        <v>40</v>
      </c>
      <c r="D318">
        <v>5.105315</v>
      </c>
      <c r="E318">
        <v>0.53849530000000001</v>
      </c>
      <c r="F318" t="s">
        <v>41</v>
      </c>
      <c r="G318">
        <v>-395.52089999999998</v>
      </c>
      <c r="H318" s="1">
        <v>-2.2134580000000002E-6</v>
      </c>
      <c r="I318">
        <v>367.8707</v>
      </c>
      <c r="J318">
        <v>-433.084</v>
      </c>
      <c r="K318">
        <v>1.063113</v>
      </c>
      <c r="L318">
        <v>367.6148</v>
      </c>
      <c r="M318">
        <v>0.99976880000000001</v>
      </c>
      <c r="N318">
        <v>-1.2128399999999999E-2</v>
      </c>
      <c r="O318">
        <v>1.776262E-2</v>
      </c>
      <c r="P318">
        <v>0.97874269999999997</v>
      </c>
      <c r="Q318">
        <v>0.17291189999999901</v>
      </c>
      <c r="R318">
        <v>0.11029360000000001</v>
      </c>
      <c r="S318">
        <v>3.0772400000000002</v>
      </c>
      <c r="T318">
        <v>-8.652377E-2</v>
      </c>
      <c r="U318">
        <v>2.1209720000000001E-2</v>
      </c>
      <c r="V318">
        <v>-9.2892390000000005E-2</v>
      </c>
      <c r="W318">
        <v>0.18479080000000001</v>
      </c>
      <c r="X318">
        <v>0.97837790000000002</v>
      </c>
      <c r="Y318">
        <v>1.0863899999999999E-2</v>
      </c>
      <c r="Z318">
        <v>-5.0248299999999997E-4</v>
      </c>
      <c r="AA318">
        <v>0.99994090000000002</v>
      </c>
      <c r="AB318">
        <v>26</v>
      </c>
      <c r="AC318">
        <v>37.563099999999999</v>
      </c>
      <c r="AD318">
        <v>-1.063115213458</v>
      </c>
      <c r="AE318">
        <v>0.25589999999999602</v>
      </c>
      <c r="AF318">
        <v>0.41107917811398298</v>
      </c>
      <c r="AG318">
        <v>-1.063115213458</v>
      </c>
      <c r="AH318">
        <v>37.531656842309602</v>
      </c>
      <c r="AI318">
        <v>91.622419217662895</v>
      </c>
      <c r="AJ318">
        <v>89.372472143527304</v>
      </c>
      <c r="AK318">
        <v>37.548960909413303</v>
      </c>
      <c r="AL318">
        <v>79.351063906665701</v>
      </c>
      <c r="AM318">
        <v>95.423706828503299</v>
      </c>
      <c r="AN318">
        <v>0.99999997554648001</v>
      </c>
    </row>
    <row r="319" spans="1:40" x14ac:dyDescent="0.25">
      <c r="A319" t="str">
        <f>"20190304155022596"</f>
        <v>20190304155022596</v>
      </c>
      <c r="B319" t="str">
        <f>"1551685822586733"</f>
        <v>1551685822586733</v>
      </c>
      <c r="C319" t="s">
        <v>40</v>
      </c>
      <c r="D319">
        <v>5.1187310000000004</v>
      </c>
      <c r="E319">
        <v>0.53858909999999904</v>
      </c>
      <c r="F319" t="s">
        <v>41</v>
      </c>
      <c r="G319">
        <v>-394.50909999999999</v>
      </c>
      <c r="H319" s="1">
        <v>-2.6403919999999999E-6</v>
      </c>
      <c r="I319">
        <v>367.91090000000003</v>
      </c>
      <c r="J319">
        <v>-432.82530000000003</v>
      </c>
      <c r="K319">
        <v>1.06262099999999</v>
      </c>
      <c r="L319">
        <v>367.61939999999998</v>
      </c>
      <c r="M319">
        <v>0.99977210000000005</v>
      </c>
      <c r="N319">
        <v>-1.1835750000000001E-2</v>
      </c>
      <c r="O319">
        <v>1.7780020000000001E-2</v>
      </c>
      <c r="P319">
        <v>0.97853579999999996</v>
      </c>
      <c r="Q319">
        <v>0.1733085</v>
      </c>
      <c r="R319">
        <v>0.1114993</v>
      </c>
      <c r="S319">
        <v>3.0774539999999999</v>
      </c>
      <c r="T319">
        <v>-8.481371E-2</v>
      </c>
      <c r="U319">
        <v>2.362061E-2</v>
      </c>
      <c r="V319">
        <v>-9.4080460000000005E-2</v>
      </c>
      <c r="W319">
        <v>0.1849005</v>
      </c>
      <c r="X319">
        <v>0.97824359999999999</v>
      </c>
      <c r="Y319">
        <v>1.009913E-2</v>
      </c>
      <c r="Z319">
        <v>-4.7837159999999999E-4</v>
      </c>
      <c r="AA319">
        <v>0.99994890000000003</v>
      </c>
      <c r="AB319">
        <v>26</v>
      </c>
      <c r="AC319">
        <v>38.316200000000002</v>
      </c>
      <c r="AD319">
        <v>-1.06262364039199</v>
      </c>
      <c r="AE319">
        <v>0.291500000000041</v>
      </c>
      <c r="AF319">
        <v>0.38955685318578498</v>
      </c>
      <c r="AG319">
        <v>-1.06262364039199</v>
      </c>
      <c r="AH319">
        <v>38.285880748983999</v>
      </c>
      <c r="AI319">
        <v>91.589752492064093</v>
      </c>
      <c r="AJ319">
        <v>89.417038529076294</v>
      </c>
      <c r="AK319">
        <v>38.3026055023468</v>
      </c>
      <c r="AL319">
        <v>79.344667904863798</v>
      </c>
      <c r="AM319">
        <v>95.493402549772796</v>
      </c>
      <c r="AN319">
        <v>0.99999993439750801</v>
      </c>
    </row>
    <row r="320" spans="1:40" x14ac:dyDescent="0.25">
      <c r="A320" t="str">
        <f>"20190304155022617"</f>
        <v>20190304155022617</v>
      </c>
      <c r="B320" t="str">
        <f>"1551685822607225"</f>
        <v>1551685822607225</v>
      </c>
      <c r="C320" t="s">
        <v>40</v>
      </c>
      <c r="D320">
        <v>5.242178</v>
      </c>
      <c r="E320">
        <v>0.538628199999999</v>
      </c>
      <c r="F320" t="s">
        <v>41</v>
      </c>
      <c r="G320">
        <v>-393.65539999999999</v>
      </c>
      <c r="H320" s="1">
        <v>-2.9984789999999998E-6</v>
      </c>
      <c r="I320">
        <v>367.95690000000002</v>
      </c>
      <c r="J320">
        <v>-432.57839999999999</v>
      </c>
      <c r="K320">
        <v>1.062225</v>
      </c>
      <c r="L320">
        <v>367.62389999999999</v>
      </c>
      <c r="M320">
        <v>0.99977459999999996</v>
      </c>
      <c r="N320">
        <v>-1.158988E-2</v>
      </c>
      <c r="O320">
        <v>1.778855E-2</v>
      </c>
      <c r="P320">
        <v>0.978406</v>
      </c>
      <c r="Q320">
        <v>0.17370969999999999</v>
      </c>
      <c r="R320">
        <v>0.1120128</v>
      </c>
      <c r="S320">
        <v>3.0775450000000002</v>
      </c>
      <c r="T320">
        <v>-8.3489179999999996E-2</v>
      </c>
      <c r="U320">
        <v>2.651978E-2</v>
      </c>
      <c r="V320">
        <v>-9.4585059999999999E-2</v>
      </c>
      <c r="W320">
        <v>0.18506120000000001</v>
      </c>
      <c r="X320">
        <v>0.97816460000000005</v>
      </c>
      <c r="Y320">
        <v>9.1666230000000005E-3</v>
      </c>
      <c r="Z320">
        <v>-4.5373979999999999E-4</v>
      </c>
      <c r="AA320">
        <v>0.99995789999999996</v>
      </c>
      <c r="AB320">
        <v>26</v>
      </c>
      <c r="AC320">
        <v>38.923000000000002</v>
      </c>
      <c r="AD320">
        <v>-1.062227998479</v>
      </c>
      <c r="AE320">
        <v>0.333000000000026</v>
      </c>
      <c r="AF320">
        <v>0.35921541921866201</v>
      </c>
      <c r="AG320">
        <v>-1.062227998479</v>
      </c>
      <c r="AH320">
        <v>38.893799557193297</v>
      </c>
      <c r="AI320">
        <v>91.564348639388797</v>
      </c>
      <c r="AJ320">
        <v>89.4708425887966</v>
      </c>
      <c r="AK320">
        <v>38.909960267690998</v>
      </c>
      <c r="AL320">
        <v>79.335299305775806</v>
      </c>
      <c r="AM320">
        <v>95.523127979872001</v>
      </c>
      <c r="AN320">
        <v>0.99999998300690096</v>
      </c>
    </row>
    <row r="321" spans="1:40" x14ac:dyDescent="0.25">
      <c r="A321" t="str">
        <f>"20190304155022640"</f>
        <v>20190304155022640</v>
      </c>
      <c r="B321" t="str">
        <f>"1551685822637482"</f>
        <v>1551685822637482</v>
      </c>
      <c r="C321" t="s">
        <v>40</v>
      </c>
      <c r="D321">
        <v>5.2381250000000001</v>
      </c>
      <c r="E321">
        <v>0.53863380000000005</v>
      </c>
      <c r="F321" t="s">
        <v>41</v>
      </c>
      <c r="G321">
        <v>-393.02949999999998</v>
      </c>
      <c r="H321" s="1">
        <v>-3.2631869999999998E-6</v>
      </c>
      <c r="I321">
        <v>367.97829999999999</v>
      </c>
      <c r="J321">
        <v>-432.32369999999997</v>
      </c>
      <c r="K321">
        <v>1.061877</v>
      </c>
      <c r="L321">
        <v>367.6284</v>
      </c>
      <c r="M321">
        <v>0.99977729999999998</v>
      </c>
      <c r="N321">
        <v>-1.1366879999999999E-2</v>
      </c>
      <c r="O321">
        <v>1.779116E-2</v>
      </c>
      <c r="P321">
        <v>0.97829219999999895</v>
      </c>
      <c r="Q321">
        <v>0.17429819999999999</v>
      </c>
      <c r="R321">
        <v>0.1120935</v>
      </c>
      <c r="S321">
        <v>3.077728</v>
      </c>
      <c r="T321">
        <v>-8.2663299999999995E-2</v>
      </c>
      <c r="U321">
        <v>2.758789E-2</v>
      </c>
      <c r="V321">
        <v>-9.4663200000000003E-2</v>
      </c>
      <c r="W321">
        <v>0.1854314</v>
      </c>
      <c r="X321">
        <v>0.97808689999999998</v>
      </c>
      <c r="Y321">
        <v>8.8229880000000004E-3</v>
      </c>
      <c r="Z321">
        <v>-4.4411990000000002E-4</v>
      </c>
      <c r="AA321">
        <v>0.99996099999999999</v>
      </c>
      <c r="AB321">
        <v>26</v>
      </c>
      <c r="AC321">
        <v>39.294199999999897</v>
      </c>
      <c r="AD321">
        <v>-1.0618802631869999</v>
      </c>
      <c r="AE321">
        <v>0.349899999999991</v>
      </c>
      <c r="AF321">
        <v>0.34903494552206499</v>
      </c>
      <c r="AG321">
        <v>-1.0618802631869999</v>
      </c>
      <c r="AH321">
        <v>39.2655325529552</v>
      </c>
      <c r="AI321">
        <v>91.549043804610605</v>
      </c>
      <c r="AJ321">
        <v>89.490705937770102</v>
      </c>
      <c r="AK321">
        <v>39.281439150745598</v>
      </c>
      <c r="AL321">
        <v>79.313714520610503</v>
      </c>
      <c r="AM321">
        <v>95.528098980836106</v>
      </c>
      <c r="AN321">
        <v>0.99999995474590397</v>
      </c>
    </row>
    <row r="322" spans="1:40" x14ac:dyDescent="0.25">
      <c r="A322" t="str">
        <f>"20190304155022663"</f>
        <v>20190304155022663</v>
      </c>
      <c r="B322" t="str">
        <f>"1551685822657004"</f>
        <v>1551685822657004</v>
      </c>
      <c r="C322" t="s">
        <v>40</v>
      </c>
      <c r="D322">
        <v>5.2524300000000004</v>
      </c>
      <c r="E322">
        <v>0.53867200000000004</v>
      </c>
      <c r="F322" t="s">
        <v>41</v>
      </c>
      <c r="G322">
        <v>-392.40800000000002</v>
      </c>
      <c r="H322" s="1">
        <v>-3.528071E-6</v>
      </c>
      <c r="I322">
        <v>367.98809999999997</v>
      </c>
      <c r="J322">
        <v>-432.05689999999998</v>
      </c>
      <c r="K322">
        <v>1.0615810000000001</v>
      </c>
      <c r="L322">
        <v>367.63310000000001</v>
      </c>
      <c r="M322">
        <v>0.99977950000000004</v>
      </c>
      <c r="N322">
        <v>-1.1162419999999999E-2</v>
      </c>
      <c r="O322">
        <v>1.779027E-2</v>
      </c>
      <c r="P322">
        <v>0.97790589999999999</v>
      </c>
      <c r="Q322">
        <v>0.17700289999999999</v>
      </c>
      <c r="R322">
        <v>0.11122020000000001</v>
      </c>
      <c r="S322">
        <v>3.0779719999999999</v>
      </c>
      <c r="T322">
        <v>-8.1883310000000001E-2</v>
      </c>
      <c r="U322">
        <v>2.7740480000000001E-2</v>
      </c>
      <c r="V322">
        <v>-9.3796480000000002E-2</v>
      </c>
      <c r="W322">
        <v>0.18793199999999999</v>
      </c>
      <c r="X322">
        <v>0.97769309999999998</v>
      </c>
      <c r="Y322">
        <v>8.7733359999999996E-3</v>
      </c>
      <c r="Z322">
        <v>-4.4023320000000001E-4</v>
      </c>
      <c r="AA322">
        <v>0.9999614</v>
      </c>
      <c r="AB322">
        <v>26</v>
      </c>
      <c r="AC322">
        <v>39.648899999999898</v>
      </c>
      <c r="AD322">
        <v>-1.0615845280709999</v>
      </c>
      <c r="AE322">
        <v>0.35499999999996101</v>
      </c>
      <c r="AF322">
        <v>0.350213682097128</v>
      </c>
      <c r="AG322">
        <v>-1.0615845280709999</v>
      </c>
      <c r="AH322">
        <v>39.6205394252666</v>
      </c>
      <c r="AI322">
        <v>91.534744112439</v>
      </c>
      <c r="AJ322">
        <v>89.493564609698396</v>
      </c>
      <c r="AK322">
        <v>39.636306029730797</v>
      </c>
      <c r="AL322">
        <v>79.167877458197793</v>
      </c>
      <c r="AM322">
        <v>95.479986869571107</v>
      </c>
      <c r="AN322">
        <v>1.000000007036</v>
      </c>
    </row>
    <row r="323" spans="1:40" x14ac:dyDescent="0.25">
      <c r="A323" t="str">
        <f>"20190304155022687"</f>
        <v>20190304155022687</v>
      </c>
      <c r="B323" t="str">
        <f>"1551685822677499"</f>
        <v>1551685822677499</v>
      </c>
      <c r="C323" t="s">
        <v>40</v>
      </c>
      <c r="D323">
        <v>5.2664080000000002</v>
      </c>
      <c r="E323">
        <v>0.53871569999999902</v>
      </c>
      <c r="F323" t="s">
        <v>41</v>
      </c>
      <c r="G323">
        <v>-387.53339999999997</v>
      </c>
      <c r="H323" s="1">
        <v>-1.3284289999999901E-6</v>
      </c>
      <c r="I323">
        <v>367.99279999999999</v>
      </c>
      <c r="J323">
        <v>-431.78129999999999</v>
      </c>
      <c r="K323">
        <v>1.061331</v>
      </c>
      <c r="L323">
        <v>367.63799999999998</v>
      </c>
      <c r="M323">
        <v>0.99978160000000005</v>
      </c>
      <c r="N323">
        <v>-1.0978699999999999E-2</v>
      </c>
      <c r="O323">
        <v>1.7786759999999999E-2</v>
      </c>
      <c r="P323">
        <v>0.9775703</v>
      </c>
      <c r="Q323">
        <v>0.17963319999999999</v>
      </c>
      <c r="R323">
        <v>0.10994909999999999</v>
      </c>
      <c r="S323">
        <v>3.0782780000000001</v>
      </c>
      <c r="T323">
        <v>-7.3395970000000005E-2</v>
      </c>
      <c r="U323">
        <v>2.4871830000000001E-2</v>
      </c>
      <c r="V323">
        <v>-9.2534279999999997E-2</v>
      </c>
      <c r="W323">
        <v>0.19037850000000001</v>
      </c>
      <c r="X323">
        <v>0.97733999999999999</v>
      </c>
      <c r="Y323">
        <v>9.7035100000000003E-3</v>
      </c>
      <c r="Z323">
        <v>-3.9766969999999998E-4</v>
      </c>
      <c r="AA323">
        <v>0.99995290000000003</v>
      </c>
      <c r="AB323">
        <v>26</v>
      </c>
      <c r="AC323">
        <v>44.247900000000001</v>
      </c>
      <c r="AD323">
        <v>-1.0613323284289999</v>
      </c>
      <c r="AE323">
        <v>0.35479999999995399</v>
      </c>
      <c r="AF323">
        <v>0.43208171577555898</v>
      </c>
      <c r="AG323">
        <v>-1.0613323284289999</v>
      </c>
      <c r="AH323">
        <v>44.221769896799898</v>
      </c>
      <c r="AI323">
        <v>91.3747819391658</v>
      </c>
      <c r="AJ323">
        <v>89.440192669764897</v>
      </c>
      <c r="AK323">
        <v>44.236614401714696</v>
      </c>
      <c r="AL323">
        <v>79.025126388419295</v>
      </c>
      <c r="AM323">
        <v>95.408625534845299</v>
      </c>
      <c r="AN323">
        <v>1.0000000209186799</v>
      </c>
    </row>
    <row r="324" spans="1:40" x14ac:dyDescent="0.25">
      <c r="A324" t="str">
        <f>"20190304155022709"</f>
        <v>20190304155022709</v>
      </c>
      <c r="B324" t="str">
        <f>"1551685822697017"</f>
        <v>1551685822697017</v>
      </c>
      <c r="C324" t="s">
        <v>40</v>
      </c>
      <c r="D324">
        <v>5.2859959999999999</v>
      </c>
      <c r="E324">
        <v>0.53873300000000002</v>
      </c>
      <c r="F324" t="s">
        <v>41</v>
      </c>
      <c r="G324">
        <v>-381.37759999999997</v>
      </c>
      <c r="H324" s="1">
        <v>-3.9715820000000002E-6</v>
      </c>
      <c r="I324">
        <v>367.97969999999998</v>
      </c>
      <c r="J324">
        <v>-431.52749999999997</v>
      </c>
      <c r="K324">
        <v>1.0611429999999999</v>
      </c>
      <c r="L324">
        <v>367.64249999999998</v>
      </c>
      <c r="M324">
        <v>0.99978330000000004</v>
      </c>
      <c r="N324">
        <v>-1.083286E-2</v>
      </c>
      <c r="O324">
        <v>1.77824E-2</v>
      </c>
      <c r="P324">
        <v>0.97767930000000003</v>
      </c>
      <c r="Q324">
        <v>0.17949209999999999</v>
      </c>
      <c r="R324">
        <v>0.1092075</v>
      </c>
      <c r="S324">
        <v>3.0783999999999998</v>
      </c>
      <c r="T324">
        <v>-6.4820890000000006E-2</v>
      </c>
      <c r="U324">
        <v>2.087402E-2</v>
      </c>
      <c r="V324">
        <v>-9.1795589999999996E-2</v>
      </c>
      <c r="W324">
        <v>0.19009580000000001</v>
      </c>
      <c r="X324">
        <v>0.97746469999999996</v>
      </c>
      <c r="Y324">
        <v>1.0998839999999999E-2</v>
      </c>
      <c r="Z324">
        <v>-3.5710640000000002E-4</v>
      </c>
      <c r="AA324">
        <v>0.99993940000000003</v>
      </c>
      <c r="AB324">
        <v>26</v>
      </c>
      <c r="AC324">
        <v>50.149900000000002</v>
      </c>
      <c r="AD324">
        <v>-1.0611469715820001</v>
      </c>
      <c r="AE324">
        <v>0.337199999999995</v>
      </c>
      <c r="AF324">
        <v>0.55444291551740199</v>
      </c>
      <c r="AG324">
        <v>-1.0611469715820001</v>
      </c>
      <c r="AH324">
        <v>50.125524561843399</v>
      </c>
      <c r="AI324">
        <v>91.212684475065302</v>
      </c>
      <c r="AJ324">
        <v>89.366272096635797</v>
      </c>
      <c r="AK324">
        <v>50.139821025227299</v>
      </c>
      <c r="AL324">
        <v>79.041625433431904</v>
      </c>
      <c r="AM324">
        <v>95.365021599570397</v>
      </c>
      <c r="AN324">
        <v>1.0000000416335799</v>
      </c>
    </row>
    <row r="325" spans="1:40" x14ac:dyDescent="0.25">
      <c r="A325" t="str">
        <f>"20190304155022730"</f>
        <v>20190304155022730</v>
      </c>
      <c r="B325" t="str">
        <f>"1551685822727273"</f>
        <v>1551685822727273</v>
      </c>
      <c r="C325" t="s">
        <v>40</v>
      </c>
      <c r="D325">
        <v>5.1605660000000002</v>
      </c>
      <c r="E325">
        <v>0.53890400000000005</v>
      </c>
      <c r="F325" t="s">
        <v>41</v>
      </c>
      <c r="G325">
        <v>-380.66590000000002</v>
      </c>
      <c r="H325" s="1">
        <v>-4.284223E-6</v>
      </c>
      <c r="I325">
        <v>367.93849999999998</v>
      </c>
      <c r="J325">
        <v>-431.2826</v>
      </c>
      <c r="K325">
        <v>1.0609820000000001</v>
      </c>
      <c r="L325">
        <v>367.64690000000002</v>
      </c>
      <c r="M325">
        <v>0.99978469999999997</v>
      </c>
      <c r="N325">
        <v>-1.0709700000000001E-2</v>
      </c>
      <c r="O325">
        <v>1.7778909999999998E-2</v>
      </c>
      <c r="P325">
        <v>0.97770990000000002</v>
      </c>
      <c r="Q325">
        <v>0.1795264</v>
      </c>
      <c r="R325">
        <v>0.1088751</v>
      </c>
      <c r="S325">
        <v>3.0782780000000001</v>
      </c>
      <c r="T325">
        <v>-6.4223409999999995E-2</v>
      </c>
      <c r="U325">
        <v>1.791382E-2</v>
      </c>
      <c r="V325">
        <v>-9.146667E-2</v>
      </c>
      <c r="W325">
        <v>0.19001009999999999</v>
      </c>
      <c r="X325">
        <v>0.97751220000000005</v>
      </c>
      <c r="Y325">
        <v>1.1956359999999999E-2</v>
      </c>
      <c r="Z325">
        <v>-3.6920360000000001E-4</v>
      </c>
      <c r="AA325">
        <v>0.9999285</v>
      </c>
      <c r="AB325">
        <v>26</v>
      </c>
      <c r="AC325">
        <v>50.616699999999902</v>
      </c>
      <c r="AD325">
        <v>-1.06098628422299</v>
      </c>
      <c r="AE325">
        <v>0.291599999999959</v>
      </c>
      <c r="AF325">
        <v>0.60814016605472998</v>
      </c>
      <c r="AG325">
        <v>-1.06098628422299</v>
      </c>
      <c r="AH325">
        <v>50.591655577482904</v>
      </c>
      <c r="AI325">
        <v>91.201319395894899</v>
      </c>
      <c r="AJ325">
        <v>89.311305661520393</v>
      </c>
      <c r="AK325">
        <v>50.606433784920497</v>
      </c>
      <c r="AL325">
        <v>79.046626880632999</v>
      </c>
      <c r="AM325">
        <v>95.345651075213794</v>
      </c>
      <c r="AN325">
        <v>1.00000004548586</v>
      </c>
    </row>
    <row r="326" spans="1:40" x14ac:dyDescent="0.25">
      <c r="A326" t="str">
        <f>"20190304155022753"</f>
        <v>20190304155022753</v>
      </c>
      <c r="B326" t="str">
        <f>"1551685822746794"</f>
        <v>1551685822746794</v>
      </c>
      <c r="C326" t="s">
        <v>40</v>
      </c>
      <c r="D326">
        <v>5.096095</v>
      </c>
      <c r="E326">
        <v>0.53909209999999996</v>
      </c>
      <c r="F326" t="s">
        <v>41</v>
      </c>
      <c r="G326">
        <v>-379.09399999999999</v>
      </c>
      <c r="H326" s="1">
        <v>-7.525913E-7</v>
      </c>
      <c r="I326">
        <v>367.89420000000001</v>
      </c>
      <c r="J326">
        <v>-431.01280000000003</v>
      </c>
      <c r="K326">
        <v>1.0608409999999999</v>
      </c>
      <c r="L326">
        <v>367.65170000000001</v>
      </c>
      <c r="M326">
        <v>0.99978590000000001</v>
      </c>
      <c r="N326">
        <v>-1.059207E-2</v>
      </c>
      <c r="O326">
        <v>1.7777049999999999E-2</v>
      </c>
      <c r="P326">
        <v>0.97755400000000003</v>
      </c>
      <c r="Q326">
        <v>0.18029800000000001</v>
      </c>
      <c r="R326">
        <v>0.10899929999999999</v>
      </c>
      <c r="S326">
        <v>3.0782780000000001</v>
      </c>
      <c r="T326">
        <v>-6.2580700000000003E-2</v>
      </c>
      <c r="U326">
        <v>1.45874E-2</v>
      </c>
      <c r="V326">
        <v>-9.1595140000000005E-2</v>
      </c>
      <c r="W326">
        <v>0.19066449999999999</v>
      </c>
      <c r="X326">
        <v>0.97737269999999998</v>
      </c>
      <c r="Y326">
        <v>1.303489E-2</v>
      </c>
      <c r="Z326">
        <v>-3.7457609999999998E-4</v>
      </c>
      <c r="AA326">
        <v>0.99991490000000005</v>
      </c>
      <c r="AB326">
        <v>26</v>
      </c>
      <c r="AC326">
        <v>51.918799999999997</v>
      </c>
      <c r="AD326">
        <v>-1.0608417525913001</v>
      </c>
      <c r="AE326">
        <v>0.24250000000000599</v>
      </c>
      <c r="AF326">
        <v>0.68026917609529802</v>
      </c>
      <c r="AG326">
        <v>-1.0608417525913001</v>
      </c>
      <c r="AH326">
        <v>51.893241099445802</v>
      </c>
      <c r="AI326">
        <v>91.171020912291795</v>
      </c>
      <c r="AJ326">
        <v>89.248951896822305</v>
      </c>
      <c r="AK326">
        <v>51.908540946372199</v>
      </c>
      <c r="AL326">
        <v>79.008433898341806</v>
      </c>
      <c r="AM326">
        <v>95.353875359591996</v>
      </c>
      <c r="AN326">
        <v>1.00000000796857</v>
      </c>
    </row>
    <row r="327" spans="1:40" x14ac:dyDescent="0.25">
      <c r="A327" t="str">
        <f>"20190304155022776"</f>
        <v>20190304155022776</v>
      </c>
      <c r="B327" t="str">
        <f>"1551685822767289"</f>
        <v>1551685822767289</v>
      </c>
      <c r="C327" t="s">
        <v>40</v>
      </c>
      <c r="D327">
        <v>4.9872399999999999</v>
      </c>
      <c r="E327">
        <v>0.53914019999999996</v>
      </c>
      <c r="F327" t="s">
        <v>41</v>
      </c>
      <c r="G327">
        <v>-375.8913</v>
      </c>
      <c r="H327" s="1">
        <v>-2.0520570000000001E-6</v>
      </c>
      <c r="I327">
        <v>367.88490000000002</v>
      </c>
      <c r="J327">
        <v>-430.73950000000002</v>
      </c>
      <c r="K327">
        <v>1.0607150000000001</v>
      </c>
      <c r="L327">
        <v>367.65660000000003</v>
      </c>
      <c r="M327">
        <v>0.99978699999999998</v>
      </c>
      <c r="N327">
        <v>-1.048905E-2</v>
      </c>
      <c r="O327">
        <v>1.7776119999999999E-2</v>
      </c>
      <c r="P327">
        <v>0.97765480000000005</v>
      </c>
      <c r="Q327">
        <v>0.1795031</v>
      </c>
      <c r="R327">
        <v>0.10940709999999999</v>
      </c>
      <c r="S327">
        <v>3.0783999999999998</v>
      </c>
      <c r="T327">
        <v>-5.9245350000000002E-2</v>
      </c>
      <c r="U327">
        <v>1.3031010000000001E-2</v>
      </c>
      <c r="V327">
        <v>-9.2002360000000005E-2</v>
      </c>
      <c r="W327">
        <v>0.18977040000000001</v>
      </c>
      <c r="X327">
        <v>0.97750840000000006</v>
      </c>
      <c r="Y327">
        <v>1.354004E-2</v>
      </c>
      <c r="Z327">
        <v>-3.5690359999999998E-4</v>
      </c>
      <c r="AA327">
        <v>0.99990829999999997</v>
      </c>
      <c r="AB327">
        <v>26</v>
      </c>
      <c r="AC327">
        <v>54.848199999999999</v>
      </c>
      <c r="AD327">
        <v>-1.060717052057</v>
      </c>
      <c r="AE327">
        <v>0.22829999999999001</v>
      </c>
      <c r="AF327">
        <v>0.74649868599144997</v>
      </c>
      <c r="AG327">
        <v>-1.060717052057</v>
      </c>
      <c r="AH327">
        <v>54.823087511148401</v>
      </c>
      <c r="AI327">
        <v>91.108317682393505</v>
      </c>
      <c r="AJ327">
        <v>89.219880109581695</v>
      </c>
      <c r="AK327">
        <v>54.838429091356701</v>
      </c>
      <c r="AL327">
        <v>79.060614194809204</v>
      </c>
      <c r="AM327">
        <v>95.376796610000397</v>
      </c>
      <c r="AN327">
        <v>0.99999995551614396</v>
      </c>
    </row>
    <row r="328" spans="1:40" x14ac:dyDescent="0.25">
      <c r="A328" t="str">
        <f>"20190304155022797"</f>
        <v>20190304155022797</v>
      </c>
      <c r="B328" t="str">
        <f>"1551685822786813"</f>
        <v>1551685822786813</v>
      </c>
      <c r="C328" t="s">
        <v>40</v>
      </c>
      <c r="D328">
        <v>5.1273730000000004</v>
      </c>
      <c r="E328">
        <v>0.53902749999999999</v>
      </c>
      <c r="F328" t="s">
        <v>41</v>
      </c>
      <c r="G328">
        <v>-377.05290000000002</v>
      </c>
      <c r="H328" s="1">
        <v>-1.55083E-6</v>
      </c>
      <c r="I328">
        <v>367.90129999999999</v>
      </c>
      <c r="J328">
        <v>-430.49</v>
      </c>
      <c r="K328">
        <v>1.060608</v>
      </c>
      <c r="L328">
        <v>367.661</v>
      </c>
      <c r="M328">
        <v>0.99978789999999995</v>
      </c>
      <c r="N328">
        <v>-1.040753E-2</v>
      </c>
      <c r="O328">
        <v>1.7774700000000001E-2</v>
      </c>
      <c r="P328">
        <v>0.97819299999999998</v>
      </c>
      <c r="Q328">
        <v>0.17636869999999999</v>
      </c>
      <c r="R328">
        <v>0.10969370000000001</v>
      </c>
      <c r="S328">
        <v>3.078125</v>
      </c>
      <c r="T328">
        <v>-6.0816170000000003E-2</v>
      </c>
      <c r="U328">
        <v>1.403809E-2</v>
      </c>
      <c r="V328">
        <v>-9.2280570000000006E-2</v>
      </c>
      <c r="W328">
        <v>0.18656239999999999</v>
      </c>
      <c r="X328">
        <v>0.97809959999999996</v>
      </c>
      <c r="Y328">
        <v>1.3210939999999999E-2</v>
      </c>
      <c r="Z328">
        <v>-3.653889E-4</v>
      </c>
      <c r="AA328">
        <v>0.99991269999999999</v>
      </c>
      <c r="AB328">
        <v>26</v>
      </c>
      <c r="AC328">
        <v>53.437100000000001</v>
      </c>
      <c r="AD328">
        <v>-1.06060955083</v>
      </c>
      <c r="AE328">
        <v>0.24029999999998999</v>
      </c>
      <c r="AF328">
        <v>0.70933835767287201</v>
      </c>
      <c r="AG328">
        <v>-1.06060955083</v>
      </c>
      <c r="AH328">
        <v>53.411888031007699</v>
      </c>
      <c r="AI328">
        <v>91.137482905478194</v>
      </c>
      <c r="AJ328">
        <v>89.239126222477495</v>
      </c>
      <c r="AK328">
        <v>53.427126411233097</v>
      </c>
      <c r="AL328">
        <v>79.247762959719594</v>
      </c>
      <c r="AM328">
        <v>95.389719518752401</v>
      </c>
      <c r="AN328">
        <v>1.00000003010672</v>
      </c>
    </row>
    <row r="329" spans="1:40" x14ac:dyDescent="0.25">
      <c r="A329" t="str">
        <f>"20190304155022819"</f>
        <v>20190304155022819</v>
      </c>
      <c r="B329" t="str">
        <f>"1551685822807306"</f>
        <v>1551685822807306</v>
      </c>
      <c r="C329" t="s">
        <v>40</v>
      </c>
      <c r="D329">
        <v>5.1655699999999998</v>
      </c>
      <c r="E329">
        <v>0.53910599999999997</v>
      </c>
      <c r="F329" t="s">
        <v>41</v>
      </c>
      <c r="G329">
        <v>-383.86790000000002</v>
      </c>
      <c r="H329" s="1">
        <v>-2.9168549999999998E-6</v>
      </c>
      <c r="I329">
        <v>367.90320000000003</v>
      </c>
      <c r="J329">
        <v>-430.24610000000001</v>
      </c>
      <c r="K329">
        <v>1.060535</v>
      </c>
      <c r="L329">
        <v>367.6653</v>
      </c>
      <c r="M329">
        <v>0.99978880000000003</v>
      </c>
      <c r="N329">
        <v>-1.033805E-2</v>
      </c>
      <c r="O329">
        <v>1.7768900000000001E-2</v>
      </c>
      <c r="P329">
        <v>0.97767850000000001</v>
      </c>
      <c r="Q329">
        <v>0.17905299999999999</v>
      </c>
      <c r="R329">
        <v>0.1099315</v>
      </c>
      <c r="S329">
        <v>3.0776370000000002</v>
      </c>
      <c r="T329">
        <v>-7.0013279999999997E-2</v>
      </c>
      <c r="U329">
        <v>1.5991209999999999E-2</v>
      </c>
      <c r="V329">
        <v>-9.2532459999999997E-2</v>
      </c>
      <c r="W329">
        <v>0.18917390000000001</v>
      </c>
      <c r="X329">
        <v>0.9775741</v>
      </c>
      <c r="Y329">
        <v>1.256847E-2</v>
      </c>
      <c r="Z329">
        <v>-4.2837590000000003E-4</v>
      </c>
      <c r="AA329">
        <v>0.9999209</v>
      </c>
      <c r="AB329">
        <v>26</v>
      </c>
      <c r="AC329">
        <v>46.3781999999999</v>
      </c>
      <c r="AD329">
        <v>-1.060537916855</v>
      </c>
      <c r="AE329">
        <v>0.23790000000002401</v>
      </c>
      <c r="AF329">
        <v>0.585964700771339</v>
      </c>
      <c r="AG329">
        <v>-1.060537916855</v>
      </c>
      <c r="AH329">
        <v>46.350867940121098</v>
      </c>
      <c r="AI329">
        <v>91.310631198509199</v>
      </c>
      <c r="AJ329">
        <v>89.275709012241705</v>
      </c>
      <c r="AK329">
        <v>46.366701997297397</v>
      </c>
      <c r="AL329">
        <v>79.095422900417404</v>
      </c>
      <c r="AM329">
        <v>95.407232284198003</v>
      </c>
      <c r="AN329">
        <v>1.00000007079283</v>
      </c>
    </row>
    <row r="330" spans="1:40" x14ac:dyDescent="0.25">
      <c r="A330" t="str">
        <f>"20190304155022841"</f>
        <v>20190304155022841</v>
      </c>
      <c r="B330" t="str">
        <f>"1551685822836586"</f>
        <v>1551685822836586</v>
      </c>
      <c r="C330" t="s">
        <v>40</v>
      </c>
      <c r="D330">
        <v>5.1700119999999998</v>
      </c>
      <c r="E330">
        <v>0.53942789999999996</v>
      </c>
      <c r="F330" t="s">
        <v>41</v>
      </c>
      <c r="G330">
        <v>-377.38369999999998</v>
      </c>
      <c r="H330" s="1">
        <v>-1.4003890000000001E-6</v>
      </c>
      <c r="I330">
        <v>367.94929999999999</v>
      </c>
      <c r="J330">
        <v>-429.9776</v>
      </c>
      <c r="K330">
        <v>1.06047</v>
      </c>
      <c r="L330">
        <v>367.67</v>
      </c>
      <c r="M330">
        <v>0.99978979999999995</v>
      </c>
      <c r="N330">
        <v>-1.027195E-2</v>
      </c>
      <c r="O330">
        <v>1.775243E-2</v>
      </c>
      <c r="P330">
        <v>0.97734100000000002</v>
      </c>
      <c r="Q330">
        <v>0.1809337</v>
      </c>
      <c r="R330">
        <v>0.10985350000000001</v>
      </c>
      <c r="S330">
        <v>3.0779719999999999</v>
      </c>
      <c r="T330">
        <v>-6.1750890000000003E-2</v>
      </c>
      <c r="U330">
        <v>1.6540530000000001E-2</v>
      </c>
      <c r="V330">
        <v>-9.2473260000000002E-2</v>
      </c>
      <c r="W330">
        <v>0.1909875</v>
      </c>
      <c r="X330">
        <v>0.97722690000000001</v>
      </c>
      <c r="Y330">
        <v>1.2375570000000001E-2</v>
      </c>
      <c r="Z330">
        <v>-3.6143969999999999E-4</v>
      </c>
      <c r="AA330">
        <v>0.99992329999999996</v>
      </c>
      <c r="AB330">
        <v>26</v>
      </c>
      <c r="AC330">
        <v>52.593899999999998</v>
      </c>
      <c r="AD330">
        <v>-1.0604714003889999</v>
      </c>
      <c r="AE330">
        <v>0.27929999999997701</v>
      </c>
      <c r="AF330">
        <v>0.65419670073013103</v>
      </c>
      <c r="AG330">
        <v>-1.0604714003889999</v>
      </c>
      <c r="AH330">
        <v>52.5691974836257</v>
      </c>
      <c r="AI330">
        <v>91.155573910427506</v>
      </c>
      <c r="AJ330">
        <v>89.287020213852998</v>
      </c>
      <c r="AK330">
        <v>52.583962355329703</v>
      </c>
      <c r="AL330">
        <v>78.989580510686096</v>
      </c>
      <c r="AM330">
        <v>95.405701902671296</v>
      </c>
      <c r="AN330">
        <v>0.99999997152744302</v>
      </c>
    </row>
    <row r="331" spans="1:40" x14ac:dyDescent="0.25">
      <c r="A331" t="str">
        <f>"20190304155022865"</f>
        <v>20190304155022865</v>
      </c>
      <c r="B331" t="str">
        <f>"1551685822857081"</f>
        <v>1551685822857081</v>
      </c>
      <c r="C331" t="s">
        <v>40</v>
      </c>
      <c r="D331">
        <v>5.1297410000000001</v>
      </c>
      <c r="E331">
        <v>0.53961519999999996</v>
      </c>
      <c r="F331" t="s">
        <v>41</v>
      </c>
      <c r="G331">
        <v>-370.79919999999998</v>
      </c>
      <c r="H331" s="1">
        <v>-4.2255749999999998E-6</v>
      </c>
      <c r="I331">
        <v>367.94690000000003</v>
      </c>
      <c r="J331">
        <v>-429.6952</v>
      </c>
      <c r="K331">
        <v>1.0603940000000001</v>
      </c>
      <c r="L331">
        <v>367.67500000000001</v>
      </c>
      <c r="M331">
        <v>0.99979090000000004</v>
      </c>
      <c r="N331">
        <v>-1.021234E-2</v>
      </c>
      <c r="O331">
        <v>1.771988E-2</v>
      </c>
      <c r="P331">
        <v>0.97727969999999997</v>
      </c>
      <c r="Q331">
        <v>0.18132860000000001</v>
      </c>
      <c r="R331">
        <v>0.10974730000000001</v>
      </c>
      <c r="S331">
        <v>3.0781860000000001</v>
      </c>
      <c r="T331">
        <v>-5.5160880000000002E-2</v>
      </c>
      <c r="U331">
        <v>1.44043E-2</v>
      </c>
      <c r="V331">
        <v>-9.2395309999999994E-2</v>
      </c>
      <c r="W331">
        <v>0.19132589999999999</v>
      </c>
      <c r="X331">
        <v>0.97716809999999998</v>
      </c>
      <c r="Y331">
        <v>1.303811E-2</v>
      </c>
      <c r="Z331">
        <v>-3.199244E-4</v>
      </c>
      <c r="AA331">
        <v>0.99991490000000005</v>
      </c>
      <c r="AB331">
        <v>26</v>
      </c>
      <c r="AC331">
        <v>58.896000000000001</v>
      </c>
      <c r="AD331">
        <v>-1.060398225575</v>
      </c>
      <c r="AE331">
        <v>0.27190000000001602</v>
      </c>
      <c r="AF331">
        <v>0.77157699231848498</v>
      </c>
      <c r="AG331">
        <v>-1.060398225575</v>
      </c>
      <c r="AH331">
        <v>58.872486093104598</v>
      </c>
      <c r="AI331">
        <v>91.031798764254106</v>
      </c>
      <c r="AJ331">
        <v>89.249130157502293</v>
      </c>
      <c r="AK331">
        <v>58.887090217081301</v>
      </c>
      <c r="AL331">
        <v>78.969827617352607</v>
      </c>
      <c r="AM331">
        <v>95.401495231928806</v>
      </c>
      <c r="AN331">
        <v>0.99999999448920796</v>
      </c>
    </row>
    <row r="332" spans="1:40" x14ac:dyDescent="0.25">
      <c r="A332" t="str">
        <f>"20190304155022889"</f>
        <v>20190304155022889</v>
      </c>
      <c r="B332" t="str">
        <f>"1551685822876605"</f>
        <v>1551685822876605</v>
      </c>
      <c r="C332" t="s">
        <v>40</v>
      </c>
      <c r="D332">
        <v>5.433465</v>
      </c>
      <c r="E332">
        <v>0.53969250000000002</v>
      </c>
      <c r="F332" t="s">
        <v>41</v>
      </c>
      <c r="G332">
        <v>-368.6216</v>
      </c>
      <c r="H332" s="1">
        <v>-9.0225070000000002E-7</v>
      </c>
      <c r="I332">
        <v>367.9359</v>
      </c>
      <c r="J332">
        <v>-429.42770000000002</v>
      </c>
      <c r="K332">
        <v>1.0603419999999999</v>
      </c>
      <c r="L332">
        <v>367.67970000000003</v>
      </c>
      <c r="M332">
        <v>0.99979229999999997</v>
      </c>
      <c r="N332">
        <v>-1.0164629999999999E-2</v>
      </c>
      <c r="O332">
        <v>1.766732E-2</v>
      </c>
      <c r="P332">
        <v>0.97688169999999996</v>
      </c>
      <c r="Q332">
        <v>0.18349509999999999</v>
      </c>
      <c r="R332">
        <v>0.1096897</v>
      </c>
      <c r="S332">
        <v>3.0781860000000001</v>
      </c>
      <c r="T332">
        <v>-5.3445100000000002E-2</v>
      </c>
      <c r="U332">
        <v>1.3153079999999999E-2</v>
      </c>
      <c r="V332">
        <v>-9.2388780000000004E-2</v>
      </c>
      <c r="W332">
        <v>0.19344520000000001</v>
      </c>
      <c r="X332">
        <v>0.97675140000000005</v>
      </c>
      <c r="Y332">
        <v>1.339212E-2</v>
      </c>
      <c r="Z332">
        <v>-3.1144590000000002E-4</v>
      </c>
      <c r="AA332">
        <v>0.99991030000000003</v>
      </c>
      <c r="AB332">
        <v>26</v>
      </c>
      <c r="AC332">
        <v>60.806100000000001</v>
      </c>
      <c r="AD332">
        <v>-1.0603429022507</v>
      </c>
      <c r="AE332">
        <v>0.256199999999978</v>
      </c>
      <c r="AF332">
        <v>0.81792755063474898</v>
      </c>
      <c r="AG332">
        <v>-1.0603429022507</v>
      </c>
      <c r="AH332">
        <v>60.782652140872003</v>
      </c>
      <c r="AI332">
        <v>90.9993231803399</v>
      </c>
      <c r="AJ332">
        <v>89.229040416014698</v>
      </c>
      <c r="AK332">
        <v>60.797402360846803</v>
      </c>
      <c r="AL332">
        <v>78.846089366751599</v>
      </c>
      <c r="AM332">
        <v>95.403406320751202</v>
      </c>
      <c r="AN332">
        <v>1.0000000147374399</v>
      </c>
    </row>
    <row r="333" spans="1:40" x14ac:dyDescent="0.25">
      <c r="A333" t="str">
        <f>"20190304155022910"</f>
        <v>20190304155022910</v>
      </c>
      <c r="B333" t="str">
        <f>"1551685822906857"</f>
        <v>1551685822906857</v>
      </c>
      <c r="C333" t="s">
        <v>40</v>
      </c>
      <c r="D333">
        <v>5.2540319999999996</v>
      </c>
      <c r="E333">
        <v>0.53991800000000001</v>
      </c>
      <c r="F333" t="s">
        <v>41</v>
      </c>
      <c r="G333">
        <v>-360.17500000000001</v>
      </c>
      <c r="H333" s="1">
        <v>-4.4913940000000001E-6</v>
      </c>
      <c r="I333">
        <v>367.95769999999999</v>
      </c>
      <c r="J333">
        <v>-429.16239999999999</v>
      </c>
      <c r="K333">
        <v>1.060303</v>
      </c>
      <c r="L333">
        <v>367.68430000000001</v>
      </c>
      <c r="M333">
        <v>0.99979410000000002</v>
      </c>
      <c r="N333">
        <v>-1.012508E-2</v>
      </c>
      <c r="O333">
        <v>1.758825E-2</v>
      </c>
      <c r="P333">
        <v>0.97635760000000005</v>
      </c>
      <c r="Q333">
        <v>0.1860089</v>
      </c>
      <c r="R333">
        <v>0.1101201</v>
      </c>
      <c r="S333">
        <v>3.0784609999999999</v>
      </c>
      <c r="T333">
        <v>-4.7135110000000001E-2</v>
      </c>
      <c r="U333">
        <v>1.235962E-2</v>
      </c>
      <c r="V333">
        <v>-9.2896519999999996E-2</v>
      </c>
      <c r="W333">
        <v>0.19591890000000001</v>
      </c>
      <c r="X333">
        <v>0.97621009999999997</v>
      </c>
      <c r="Y333">
        <v>1.3571919999999999E-2</v>
      </c>
      <c r="Z333">
        <v>-2.6378959999999999E-4</v>
      </c>
      <c r="AA333">
        <v>0.99990789999999996</v>
      </c>
      <c r="AB333">
        <v>26</v>
      </c>
      <c r="AC333">
        <v>68.987399999999894</v>
      </c>
      <c r="AD333">
        <v>-1.060307491394</v>
      </c>
      <c r="AE333">
        <v>0.27339999999998099</v>
      </c>
      <c r="AF333">
        <v>0.93985005753760997</v>
      </c>
      <c r="AG333">
        <v>-1.060307491394</v>
      </c>
      <c r="AH333">
        <v>68.965245455224803</v>
      </c>
      <c r="AI333">
        <v>90.880743896645697</v>
      </c>
      <c r="AJ333">
        <v>89.219228350965295</v>
      </c>
      <c r="AK333">
        <v>68.979798860292206</v>
      </c>
      <c r="AL333">
        <v>78.701592624723702</v>
      </c>
      <c r="AM333">
        <v>95.435919031193094</v>
      </c>
      <c r="AN333">
        <v>1.0000000690736599</v>
      </c>
    </row>
    <row r="334" spans="1:40" x14ac:dyDescent="0.25">
      <c r="A334" t="str">
        <f>"20190304155022931"</f>
        <v>20190304155022931</v>
      </c>
      <c r="B334" t="str">
        <f>"1551685822927354"</f>
        <v>1551685822927354</v>
      </c>
      <c r="C334" t="s">
        <v>40</v>
      </c>
      <c r="D334">
        <v>5.0100119999999997</v>
      </c>
      <c r="E334">
        <v>0.55195459999999996</v>
      </c>
      <c r="F334" t="s">
        <v>41</v>
      </c>
      <c r="G334">
        <v>-346.11450000000002</v>
      </c>
      <c r="H334" s="1">
        <v>-2.1022349999999999E-6</v>
      </c>
      <c r="I334">
        <v>368.0095</v>
      </c>
      <c r="J334">
        <v>-428.91820000000001</v>
      </c>
      <c r="K334">
        <v>1.060268</v>
      </c>
      <c r="L334">
        <v>367.68849999999998</v>
      </c>
      <c r="M334">
        <v>0.99979609999999997</v>
      </c>
      <c r="N334">
        <v>-1.009405E-2</v>
      </c>
      <c r="O334">
        <v>1.7494249999999999E-2</v>
      </c>
      <c r="P334">
        <v>0.97594930000000002</v>
      </c>
      <c r="Q334">
        <v>0.18804090000000001</v>
      </c>
      <c r="R334">
        <v>0.11028880000000001</v>
      </c>
      <c r="S334">
        <v>3.0787659999999999</v>
      </c>
      <c r="T334">
        <v>-3.9307830000000002E-2</v>
      </c>
      <c r="U334">
        <v>1.205444E-2</v>
      </c>
      <c r="V334">
        <v>-9.3155299999999996E-2</v>
      </c>
      <c r="W334">
        <v>0.19792019999999999</v>
      </c>
      <c r="X334">
        <v>0.97578160000000003</v>
      </c>
      <c r="Y334">
        <v>1.357825E-2</v>
      </c>
      <c r="Z334">
        <v>-2.0194970000000001E-4</v>
      </c>
      <c r="AA334">
        <v>0.99990780000000001</v>
      </c>
      <c r="AB334">
        <v>26</v>
      </c>
      <c r="AC334">
        <v>82.803699999999907</v>
      </c>
      <c r="AD334">
        <v>-1.0602701022350001</v>
      </c>
      <c r="AE334">
        <v>0.32100000000002599</v>
      </c>
      <c r="AF334">
        <v>1.12752656702675</v>
      </c>
      <c r="AG334">
        <v>-1.0602701022350001</v>
      </c>
      <c r="AH334">
        <v>82.783069923593601</v>
      </c>
      <c r="AI334">
        <v>90.733725476968601</v>
      </c>
      <c r="AJ334">
        <v>89.219665092750006</v>
      </c>
      <c r="AK334">
        <v>82.797537130180601</v>
      </c>
      <c r="AL334">
        <v>78.584635995004504</v>
      </c>
      <c r="AM334">
        <v>95.453349967336095</v>
      </c>
      <c r="AN334">
        <v>1.00000002319234</v>
      </c>
    </row>
    <row r="335" spans="1:40" x14ac:dyDescent="0.25">
      <c r="A335" t="str">
        <f>"20190304155022953"</f>
        <v>20190304155022953</v>
      </c>
      <c r="B335" t="str">
        <f>"1551685822946873"</f>
        <v>1551685822946873</v>
      </c>
      <c r="C335" t="s">
        <v>40</v>
      </c>
      <c r="D335">
        <v>5.0116319999999996</v>
      </c>
      <c r="E335">
        <v>0.54871190000000003</v>
      </c>
      <c r="F335" t="s">
        <v>41</v>
      </c>
      <c r="G335">
        <v>-350.75959999999998</v>
      </c>
      <c r="H335" s="1">
        <v>-4.6617520000000004E-6</v>
      </c>
      <c r="I335">
        <v>365.58370000000002</v>
      </c>
      <c r="J335">
        <v>-428.65069999999997</v>
      </c>
      <c r="K335">
        <v>1.060227</v>
      </c>
      <c r="L335">
        <v>367.69310000000002</v>
      </c>
      <c r="M335">
        <v>0.99979870000000004</v>
      </c>
      <c r="N335">
        <v>-1.00652E-2</v>
      </c>
      <c r="O335">
        <v>1.736416E-2</v>
      </c>
      <c r="P335">
        <v>0.97566580000000003</v>
      </c>
      <c r="Q335">
        <v>0.18962670000000001</v>
      </c>
      <c r="R335">
        <v>0.110083399999999</v>
      </c>
      <c r="S335">
        <v>3.0914920000000001</v>
      </c>
      <c r="T335">
        <v>-4.1938070000000001E-2</v>
      </c>
      <c r="U335">
        <v>-8.3251950000000005E-2</v>
      </c>
      <c r="V335">
        <v>-9.3072210000000002E-2</v>
      </c>
      <c r="W335">
        <v>0.19947970000000001</v>
      </c>
      <c r="X335">
        <v>0.97547189999999995</v>
      </c>
      <c r="Y335">
        <v>4.4267109999999998E-2</v>
      </c>
      <c r="Z335">
        <v>-5.8379679999999998E-4</v>
      </c>
      <c r="AA335">
        <v>0.99901960000000001</v>
      </c>
      <c r="AB335">
        <v>26</v>
      </c>
      <c r="AC335">
        <v>77.891099999999994</v>
      </c>
      <c r="AD335">
        <v>-1.060231661752</v>
      </c>
      <c r="AE335">
        <v>-2.1093999999999902</v>
      </c>
      <c r="AF335">
        <v>3.4610230133825399</v>
      </c>
      <c r="AG335">
        <v>-1.060231661752</v>
      </c>
      <c r="AH335">
        <v>77.828316113845503</v>
      </c>
      <c r="AI335">
        <v>90.7797043479667</v>
      </c>
      <c r="AJ335">
        <v>87.453735902451598</v>
      </c>
      <c r="AK335">
        <v>77.912448046460497</v>
      </c>
      <c r="AL335">
        <v>78.493465123796994</v>
      </c>
      <c r="AM335">
        <v>95.450234548295498</v>
      </c>
      <c r="AN335">
        <v>1.00000000733799</v>
      </c>
    </row>
    <row r="336" spans="1:40" x14ac:dyDescent="0.25">
      <c r="A336" t="str">
        <f>"20190304155022986"</f>
        <v>20190304155022986</v>
      </c>
      <c r="B336" t="str">
        <f>"1551685822977130"</f>
        <v>1551685822977130</v>
      </c>
      <c r="C336" t="s">
        <v>40</v>
      </c>
      <c r="D336">
        <v>5.1165909999999997</v>
      </c>
      <c r="E336">
        <v>0.54780130000000005</v>
      </c>
      <c r="F336" t="s">
        <v>43</v>
      </c>
      <c r="G336">
        <v>-158.19499999999999</v>
      </c>
      <c r="H336">
        <v>0.14535139999999999</v>
      </c>
      <c r="I336">
        <v>362.56709999999998</v>
      </c>
      <c r="J336">
        <v>-428.25889999999998</v>
      </c>
      <c r="K336">
        <v>1.0601579999999999</v>
      </c>
      <c r="L336">
        <v>367.69959999999998</v>
      </c>
      <c r="M336">
        <v>0.99980329999999995</v>
      </c>
      <c r="N336">
        <v>-1.003101E-2</v>
      </c>
      <c r="O336">
        <v>1.7116409999999999E-2</v>
      </c>
      <c r="P336">
        <v>0.97597739999999999</v>
      </c>
      <c r="Q336">
        <v>0.18836520000000001</v>
      </c>
      <c r="R336">
        <v>0.1094869</v>
      </c>
      <c r="S336">
        <v>3.083466</v>
      </c>
      <c r="T336">
        <v>-1.04295E-2</v>
      </c>
      <c r="U336">
        <v>-5.8441159999999999E-2</v>
      </c>
      <c r="V336">
        <v>-9.2697779999999994E-2</v>
      </c>
      <c r="W336">
        <v>0.1981946</v>
      </c>
      <c r="X336">
        <v>0.97576949999999996</v>
      </c>
      <c r="Y336">
        <v>3.6059910000000001E-2</v>
      </c>
      <c r="Z336">
        <v>-1.280655E-4</v>
      </c>
      <c r="AA336">
        <v>0.99934959999999995</v>
      </c>
      <c r="AB336">
        <v>26</v>
      </c>
      <c r="AC336">
        <v>270.06389999999999</v>
      </c>
      <c r="AD336">
        <v>-0.91480660000000003</v>
      </c>
      <c r="AE336">
        <v>-5.1324999999999896</v>
      </c>
      <c r="AF336">
        <v>9.7543926303650199</v>
      </c>
      <c r="AG336">
        <v>-0.91480660000000003</v>
      </c>
      <c r="AH336">
        <v>269.93338206016398</v>
      </c>
      <c r="AI336">
        <v>90.194048500994199</v>
      </c>
      <c r="AJ336">
        <v>87.930443261925404</v>
      </c>
      <c r="AK336">
        <v>270.11111750007802</v>
      </c>
      <c r="AL336">
        <v>78.568596575450499</v>
      </c>
      <c r="AM336">
        <v>95.4267937312122</v>
      </c>
      <c r="AN336">
        <v>1.0000000475081601</v>
      </c>
    </row>
    <row r="337" spans="1:40" x14ac:dyDescent="0.25">
      <c r="A337" t="str">
        <f>"20190304155023009"</f>
        <v>20190304155023009</v>
      </c>
      <c r="B337" t="str">
        <f>"1551685823007386"</f>
        <v>1551685823007386</v>
      </c>
      <c r="C337" t="s">
        <v>40</v>
      </c>
      <c r="D337">
        <v>4.7909610000000002</v>
      </c>
      <c r="E337">
        <v>0.54768739999999905</v>
      </c>
      <c r="F337" t="s">
        <v>41</v>
      </c>
      <c r="G337">
        <v>-212.19560000000001</v>
      </c>
      <c r="H337" s="1">
        <v>-4.3355170000000001E-6</v>
      </c>
      <c r="I337">
        <v>363.95010000000002</v>
      </c>
      <c r="J337">
        <v>-427.995</v>
      </c>
      <c r="K337">
        <v>1.0601020000000001</v>
      </c>
      <c r="L337">
        <v>367.70389999999998</v>
      </c>
      <c r="M337">
        <v>0.99980709999999995</v>
      </c>
      <c r="N337">
        <v>-1.001311E-2</v>
      </c>
      <c r="O337">
        <v>1.6902279999999999E-2</v>
      </c>
      <c r="P337">
        <v>0.97591870000000003</v>
      </c>
      <c r="Q337">
        <v>0.18888969999999999</v>
      </c>
      <c r="R337">
        <v>0.1091044</v>
      </c>
      <c r="S337">
        <v>3.0827330000000002</v>
      </c>
      <c r="T337">
        <v>-1.512611E-2</v>
      </c>
      <c r="U337">
        <v>-5.3497309999999999E-2</v>
      </c>
      <c r="V337">
        <v>-9.2513540000000005E-2</v>
      </c>
      <c r="W337">
        <v>0.19870589999999999</v>
      </c>
      <c r="X337">
        <v>0.97568299999999997</v>
      </c>
      <c r="Y337">
        <v>3.424787E-2</v>
      </c>
      <c r="Z337">
        <v>-1.6919109999999999E-4</v>
      </c>
      <c r="AA337">
        <v>0.99941340000000001</v>
      </c>
      <c r="AB337">
        <v>27</v>
      </c>
      <c r="AC337">
        <v>215.79939999999999</v>
      </c>
      <c r="AD337">
        <v>-1.060106335517</v>
      </c>
      <c r="AE337">
        <v>-3.7537999999999498</v>
      </c>
      <c r="AF337">
        <v>7.4007695680490899</v>
      </c>
      <c r="AG337">
        <v>-1.060106335517</v>
      </c>
      <c r="AH337">
        <v>215.699914453042</v>
      </c>
      <c r="AI337">
        <v>90.281425288177701</v>
      </c>
      <c r="AJ337">
        <v>88.034924640372196</v>
      </c>
      <c r="AK337">
        <v>215.82944264092299</v>
      </c>
      <c r="AL337">
        <v>78.538706830238297</v>
      </c>
      <c r="AM337">
        <v>95.416549305385601</v>
      </c>
      <c r="AN337">
        <v>1.00000005313356</v>
      </c>
    </row>
    <row r="338" spans="1:40" x14ac:dyDescent="0.25">
      <c r="A338" t="str">
        <f>"20190304155023031"</f>
        <v>20190304155023031</v>
      </c>
      <c r="B338" t="str">
        <f>"1551685823026906"</f>
        <v>1551685823026906</v>
      </c>
      <c r="C338" t="s">
        <v>40</v>
      </c>
      <c r="D338">
        <v>4.9198219999999999</v>
      </c>
      <c r="E338">
        <v>0.54730489999999998</v>
      </c>
      <c r="F338" t="s">
        <v>42</v>
      </c>
      <c r="G338">
        <v>-304.45319999999998</v>
      </c>
      <c r="H338">
        <v>-0.05</v>
      </c>
      <c r="I338">
        <v>365.56549999999999</v>
      </c>
      <c r="J338">
        <v>-427.7287</v>
      </c>
      <c r="K338">
        <v>1.0600670000000001</v>
      </c>
      <c r="L338">
        <v>367.70819999999998</v>
      </c>
      <c r="M338">
        <v>0.99981149999999996</v>
      </c>
      <c r="N338">
        <v>-9.9985049999999995E-3</v>
      </c>
      <c r="O338">
        <v>1.6643539999999998E-2</v>
      </c>
      <c r="P338">
        <v>0.97584170000000003</v>
      </c>
      <c r="Q338">
        <v>0.18963859999999999</v>
      </c>
      <c r="R338">
        <v>0.1084914</v>
      </c>
      <c r="S338">
        <v>3.0853579999999998</v>
      </c>
      <c r="T338">
        <v>-2.7723910000000001E-2</v>
      </c>
      <c r="U338">
        <v>-5.3405759999999997E-2</v>
      </c>
      <c r="V338">
        <v>-9.2140219999999995E-2</v>
      </c>
      <c r="W338">
        <v>0.19944609999999999</v>
      </c>
      <c r="X338">
        <v>0.97556719999999997</v>
      </c>
      <c r="Y338">
        <v>3.394341E-2</v>
      </c>
      <c r="Z338">
        <v>-3.0533939999999999E-4</v>
      </c>
      <c r="AA338">
        <v>0.99942370000000003</v>
      </c>
      <c r="AB338">
        <v>27</v>
      </c>
      <c r="AC338">
        <v>123.27549999999999</v>
      </c>
      <c r="AD338">
        <v>-1.1100669999999999</v>
      </c>
      <c r="AE338">
        <v>-2.1426999999999898</v>
      </c>
      <c r="AF338">
        <v>4.1939064802161301</v>
      </c>
      <c r="AG338">
        <v>-1.1100669999999999</v>
      </c>
      <c r="AH338">
        <v>123.212771310919</v>
      </c>
      <c r="AI338">
        <v>90.515885029888693</v>
      </c>
      <c r="AJ338">
        <v>88.050523470259293</v>
      </c>
      <c r="AK338">
        <v>123.28912407193999</v>
      </c>
      <c r="AL338">
        <v>78.495429238664897</v>
      </c>
      <c r="AM338">
        <v>95.395457700984593</v>
      </c>
      <c r="AN338">
        <v>0.99999996433134797</v>
      </c>
    </row>
    <row r="339" spans="1:40" x14ac:dyDescent="0.25">
      <c r="A339" t="str">
        <f>"20190304155023055"</f>
        <v>20190304155023055</v>
      </c>
      <c r="B339" t="str">
        <f>"1551685823047402"</f>
        <v>1551685823047402</v>
      </c>
      <c r="C339" t="s">
        <v>40</v>
      </c>
      <c r="D339">
        <v>5.146102</v>
      </c>
      <c r="E339">
        <v>0.54642650000000004</v>
      </c>
      <c r="F339" t="s">
        <v>42</v>
      </c>
      <c r="G339">
        <v>-302.24020000000002</v>
      </c>
      <c r="H339">
        <v>-0.05</v>
      </c>
      <c r="I339">
        <v>365.5994</v>
      </c>
      <c r="J339">
        <v>-427.45030000000003</v>
      </c>
      <c r="K339">
        <v>1.0600240000000001</v>
      </c>
      <c r="L339">
        <v>367.7124</v>
      </c>
      <c r="M339">
        <v>0.99981690000000001</v>
      </c>
      <c r="N339">
        <v>-9.9863729999999998E-3</v>
      </c>
      <c r="O339">
        <v>1.6335599999999999E-2</v>
      </c>
      <c r="P339">
        <v>0.97611820000000005</v>
      </c>
      <c r="Q339">
        <v>0.18824399999999999</v>
      </c>
      <c r="R339">
        <v>0.1084336</v>
      </c>
      <c r="S339">
        <v>3.0853579999999998</v>
      </c>
      <c r="T339">
        <v>-2.729297E-2</v>
      </c>
      <c r="U339">
        <v>-5.1849369999999999E-2</v>
      </c>
      <c r="V339">
        <v>-9.2364619999999995E-2</v>
      </c>
      <c r="W339">
        <v>0.19804930000000001</v>
      </c>
      <c r="X339">
        <v>0.97583059999999999</v>
      </c>
      <c r="Y339">
        <v>3.3131699999999903E-2</v>
      </c>
      <c r="Z339">
        <v>-2.9334830000000002E-4</v>
      </c>
      <c r="AA339">
        <v>0.99945090000000003</v>
      </c>
      <c r="AB339">
        <v>27</v>
      </c>
      <c r="AC339">
        <v>125.2101</v>
      </c>
      <c r="AD339">
        <v>-1.1100239999999999</v>
      </c>
      <c r="AE339">
        <v>-2.1129999999999902</v>
      </c>
      <c r="AF339">
        <v>4.1578750211047701</v>
      </c>
      <c r="AG339">
        <v>-1.1100239999999999</v>
      </c>
      <c r="AH339">
        <v>125.149039030117</v>
      </c>
      <c r="AI339">
        <v>90.507898058652501</v>
      </c>
      <c r="AJ339">
        <v>88.097140029652806</v>
      </c>
      <c r="AK339">
        <v>125.223009260014</v>
      </c>
      <c r="AL339">
        <v>78.577090090079395</v>
      </c>
      <c r="AM339">
        <v>95.407068837249298</v>
      </c>
      <c r="AN339">
        <v>1.00000005407729</v>
      </c>
    </row>
    <row r="340" spans="1:40" x14ac:dyDescent="0.25">
      <c r="A340" t="str">
        <f>"20190304155023077"</f>
        <v>20190304155023077</v>
      </c>
      <c r="B340" t="str">
        <f>"1551685823066925"</f>
        <v>1551685823066925</v>
      </c>
      <c r="C340" t="s">
        <v>40</v>
      </c>
      <c r="D340">
        <v>5.4667560000000002</v>
      </c>
      <c r="E340">
        <v>0.54402919999999999</v>
      </c>
      <c r="F340" t="s">
        <v>41</v>
      </c>
      <c r="G340">
        <v>-330.70769999999999</v>
      </c>
      <c r="H340" s="1">
        <v>-4.5597060000000003E-6</v>
      </c>
      <c r="I340">
        <v>366.28449999999998</v>
      </c>
      <c r="J340">
        <v>-427.178</v>
      </c>
      <c r="K340">
        <v>1.0599879999999999</v>
      </c>
      <c r="L340">
        <v>367.71660000000003</v>
      </c>
      <c r="M340">
        <v>0.99982230000000005</v>
      </c>
      <c r="N340">
        <v>-9.9771400000000007E-3</v>
      </c>
      <c r="O340">
        <v>1.6000210000000001E-2</v>
      </c>
      <c r="P340">
        <v>0.97606119999999996</v>
      </c>
      <c r="Q340">
        <v>0.1884065</v>
      </c>
      <c r="R340">
        <v>0.1086631</v>
      </c>
      <c r="S340">
        <v>3.084991</v>
      </c>
      <c r="T340">
        <v>-3.3802869999999999E-2</v>
      </c>
      <c r="U340">
        <v>-4.553223E-2</v>
      </c>
      <c r="V340">
        <v>-9.2910149999999997E-2</v>
      </c>
      <c r="W340">
        <v>0.19820860000000001</v>
      </c>
      <c r="X340">
        <v>0.97574640000000001</v>
      </c>
      <c r="Y340">
        <v>3.0751509999999999E-2</v>
      </c>
      <c r="Z340">
        <v>-3.3755869999999998E-4</v>
      </c>
      <c r="AA340">
        <v>0.99952700000000005</v>
      </c>
      <c r="AB340">
        <v>27</v>
      </c>
      <c r="AC340">
        <v>96.470299999999995</v>
      </c>
      <c r="AD340">
        <v>-1.059992559706</v>
      </c>
      <c r="AE340">
        <v>-1.4321000000000399</v>
      </c>
      <c r="AF340">
        <v>2.9751792886648798</v>
      </c>
      <c r="AG340">
        <v>-1.059992559706</v>
      </c>
      <c r="AH340">
        <v>96.423395703770197</v>
      </c>
      <c r="AI340">
        <v>90.629533597653193</v>
      </c>
      <c r="AJ340">
        <v>88.232678398987503</v>
      </c>
      <c r="AK340">
        <v>96.4751082667036</v>
      </c>
      <c r="AL340">
        <v>78.567777545465106</v>
      </c>
      <c r="AM340">
        <v>95.439279998588702</v>
      </c>
      <c r="AN340">
        <v>0.99999999109997095</v>
      </c>
    </row>
    <row r="341" spans="1:40" x14ac:dyDescent="0.25">
      <c r="A341" t="str">
        <f>"20190304155023089"</f>
        <v>20190304155023089</v>
      </c>
      <c r="B341" t="str">
        <f>"1551685823087418"</f>
        <v>1551685823087418</v>
      </c>
      <c r="C341" t="s">
        <v>40</v>
      </c>
      <c r="D341">
        <v>5.1274509999999998</v>
      </c>
      <c r="E341">
        <v>0.54166740000000002</v>
      </c>
      <c r="F341" t="s">
        <v>41</v>
      </c>
      <c r="G341">
        <v>-331.47609999999997</v>
      </c>
      <c r="H341" s="1">
        <v>-4.1219089999999999E-6</v>
      </c>
      <c r="I341">
        <v>366.89420000000001</v>
      </c>
      <c r="J341">
        <v>-427.03440000000001</v>
      </c>
      <c r="K341">
        <v>1.0599749999999999</v>
      </c>
      <c r="L341">
        <v>367.71870000000001</v>
      </c>
      <c r="M341">
        <v>0.99982519999999997</v>
      </c>
      <c r="N341">
        <v>-9.9730770000000003E-3</v>
      </c>
      <c r="O341">
        <v>1.5811889999999999E-2</v>
      </c>
      <c r="P341">
        <v>0.97603260000000003</v>
      </c>
      <c r="Q341">
        <v>0.1884865</v>
      </c>
      <c r="R341">
        <v>0.1087795</v>
      </c>
      <c r="S341">
        <v>3.0830989999999998</v>
      </c>
      <c r="T341">
        <v>-3.4148339999999999E-2</v>
      </c>
      <c r="U341">
        <v>-2.6489260000000001E-2</v>
      </c>
      <c r="V341">
        <v>-9.320407E-2</v>
      </c>
      <c r="W341">
        <v>0.19828760000000001</v>
      </c>
      <c r="X341">
        <v>0.97570230000000002</v>
      </c>
      <c r="Y341">
        <v>2.4399609999999999E-2</v>
      </c>
      <c r="Z341">
        <v>-2.7422509999999999E-4</v>
      </c>
      <c r="AA341">
        <v>0.99970230000000004</v>
      </c>
      <c r="AB341">
        <v>27</v>
      </c>
      <c r="AC341">
        <v>95.558300000000003</v>
      </c>
      <c r="AD341">
        <v>-1.05997912190899</v>
      </c>
      <c r="AE341">
        <v>-0.82450000000000001</v>
      </c>
      <c r="AF341">
        <v>2.3351421565710799</v>
      </c>
      <c r="AG341">
        <v>-1.05997912190899</v>
      </c>
      <c r="AH341">
        <v>95.521562557413105</v>
      </c>
      <c r="AI341">
        <v>90.635581106384805</v>
      </c>
      <c r="AJ341">
        <v>88.599613076132002</v>
      </c>
      <c r="AK341">
        <v>95.555980231694903</v>
      </c>
      <c r="AL341">
        <v>78.563159328436598</v>
      </c>
      <c r="AM341">
        <v>95.456628532860506</v>
      </c>
      <c r="AN341">
        <v>0.99999997460180701</v>
      </c>
    </row>
    <row r="342" spans="1:40" x14ac:dyDescent="0.25">
      <c r="A342" t="str">
        <f>"20190304155023103"</f>
        <v>20190304155023103</v>
      </c>
      <c r="B342" t="str">
        <f>"1551685823097178"</f>
        <v>1551685823097178</v>
      </c>
      <c r="C342" t="s">
        <v>40</v>
      </c>
      <c r="D342">
        <v>5.7453219999999998</v>
      </c>
      <c r="E342">
        <v>0.54166740000000002</v>
      </c>
      <c r="F342" t="s">
        <v>41</v>
      </c>
      <c r="G342">
        <v>-337.61219999999997</v>
      </c>
      <c r="H342" s="1">
        <v>-1.3813399999999899E-6</v>
      </c>
      <c r="I342">
        <v>367.50420000000003</v>
      </c>
      <c r="J342">
        <v>-426.86739999999998</v>
      </c>
      <c r="K342">
        <v>1.0599590000000001</v>
      </c>
      <c r="L342">
        <v>367.72109999999998</v>
      </c>
      <c r="M342">
        <v>0.99982910000000003</v>
      </c>
      <c r="N342">
        <v>-9.9693409999999996E-3</v>
      </c>
      <c r="O342">
        <v>1.557593E-2</v>
      </c>
      <c r="P342">
        <v>0.97603329999999999</v>
      </c>
      <c r="Q342">
        <v>0.18833240000000001</v>
      </c>
      <c r="R342">
        <v>0.10904179999999999</v>
      </c>
      <c r="S342">
        <v>3.0815429999999999</v>
      </c>
      <c r="T342">
        <v>-3.6527400000000002E-2</v>
      </c>
      <c r="U342">
        <v>-7.385254E-3</v>
      </c>
      <c r="V342">
        <v>-9.3690449999999995E-2</v>
      </c>
      <c r="W342">
        <v>0.1981329</v>
      </c>
      <c r="X342">
        <v>0.97568710000000003</v>
      </c>
      <c r="Y342">
        <v>1.797062E-2</v>
      </c>
      <c r="Z342">
        <v>-2.254212E-4</v>
      </c>
      <c r="AA342">
        <v>0.99983849999999996</v>
      </c>
      <c r="AB342">
        <v>27</v>
      </c>
      <c r="AC342">
        <v>89.255200000000002</v>
      </c>
      <c r="AD342">
        <v>-1.05996038134</v>
      </c>
      <c r="AE342">
        <v>-0.21689999999995199</v>
      </c>
      <c r="AF342">
        <v>1.6069487388086701</v>
      </c>
      <c r="AG342">
        <v>-1.05996038134</v>
      </c>
      <c r="AH342">
        <v>89.228408770064902</v>
      </c>
      <c r="AI342">
        <v>90.680484564769401</v>
      </c>
      <c r="AJ342">
        <v>88.968249801238301</v>
      </c>
      <c r="AK342">
        <v>89.249172163650698</v>
      </c>
      <c r="AL342">
        <v>78.572201908910202</v>
      </c>
      <c r="AM342">
        <v>95.4850153540755</v>
      </c>
      <c r="AN342">
        <v>0.99999993179500801</v>
      </c>
    </row>
    <row r="343" spans="1:40" x14ac:dyDescent="0.25">
      <c r="A343" t="str">
        <f>"20190304155023122"</f>
        <v>20190304155023122</v>
      </c>
      <c r="B343" t="str">
        <f>"1551685823116887"</f>
        <v>1551685823116887</v>
      </c>
      <c r="C343" t="s">
        <v>40</v>
      </c>
      <c r="D343">
        <v>5.1551960000000001</v>
      </c>
      <c r="E343">
        <v>0.54103509999999999</v>
      </c>
      <c r="F343" t="s">
        <v>41</v>
      </c>
      <c r="G343">
        <v>-338.64830000000001</v>
      </c>
      <c r="H343" s="1">
        <v>-1.001759E-6</v>
      </c>
      <c r="I343">
        <v>367.52789999999999</v>
      </c>
      <c r="J343">
        <v>-426.64370000000002</v>
      </c>
      <c r="K343">
        <v>1.0599339999999999</v>
      </c>
      <c r="L343">
        <v>367.7242</v>
      </c>
      <c r="M343">
        <v>0.99983409999999995</v>
      </c>
      <c r="N343">
        <v>-9.9654089999999997E-3</v>
      </c>
      <c r="O343">
        <v>1.52423E-2</v>
      </c>
      <c r="P343">
        <v>0.97616820000000004</v>
      </c>
      <c r="Q343">
        <v>0.18740950000000001</v>
      </c>
      <c r="R343">
        <v>0.109421699999999</v>
      </c>
      <c r="S343">
        <v>3.0815730000000001</v>
      </c>
      <c r="T343">
        <v>-3.7025330000000002E-2</v>
      </c>
      <c r="U343">
        <v>-6.7443850000000003E-3</v>
      </c>
      <c r="V343">
        <v>-9.4386609999999996E-2</v>
      </c>
      <c r="W343">
        <v>0.1972121</v>
      </c>
      <c r="X343">
        <v>0.97580659999999997</v>
      </c>
      <c r="Y343">
        <v>1.742904E-2</v>
      </c>
      <c r="Z343">
        <v>-2.2277730000000001E-4</v>
      </c>
      <c r="AA343">
        <v>0.99984810000000002</v>
      </c>
      <c r="AB343">
        <v>27</v>
      </c>
      <c r="AC343">
        <v>87.995400000000004</v>
      </c>
      <c r="AD343">
        <v>-1.0599350017589999</v>
      </c>
      <c r="AE343">
        <v>-0.196300000000007</v>
      </c>
      <c r="AF343">
        <v>1.5373731172045899</v>
      </c>
      <c r="AG343">
        <v>-1.0599350017589999</v>
      </c>
      <c r="AH343">
        <v>87.969420841825197</v>
      </c>
      <c r="AI343">
        <v>90.690212490524104</v>
      </c>
      <c r="AJ343">
        <v>88.998788165677496</v>
      </c>
      <c r="AK343">
        <v>87.989237873478601</v>
      </c>
      <c r="AL343">
        <v>78.626022422296003</v>
      </c>
      <c r="AM343">
        <v>95.5248475666411</v>
      </c>
      <c r="AN343">
        <v>0.99999998256862999</v>
      </c>
    </row>
    <row r="344" spans="1:40" x14ac:dyDescent="0.25">
      <c r="A344" t="str">
        <f>"20190304155023145"</f>
        <v>20190304155023145</v>
      </c>
      <c r="B344" t="str">
        <f>"1551685823137383"</f>
        <v>1551685823137383</v>
      </c>
      <c r="C344" t="s">
        <v>40</v>
      </c>
      <c r="D344">
        <v>5.1734689999999999</v>
      </c>
      <c r="E344">
        <v>0.53960140000000001</v>
      </c>
      <c r="F344" t="s">
        <v>41</v>
      </c>
      <c r="G344">
        <v>-346.54160000000002</v>
      </c>
      <c r="H344" s="1">
        <v>-1.9553079999999999E-6</v>
      </c>
      <c r="I344">
        <v>367.69959999999998</v>
      </c>
      <c r="J344">
        <v>-426.38010000000003</v>
      </c>
      <c r="K344">
        <v>1.0599019999999999</v>
      </c>
      <c r="L344">
        <v>367.7278</v>
      </c>
      <c r="M344">
        <v>0.99984039999999996</v>
      </c>
      <c r="N344">
        <v>-9.9622010000000004E-3</v>
      </c>
      <c r="O344">
        <v>1.48243E-2</v>
      </c>
      <c r="P344">
        <v>0.97630139999999999</v>
      </c>
      <c r="Q344">
        <v>0.18603259999999999</v>
      </c>
      <c r="R344">
        <v>0.1105778</v>
      </c>
      <c r="S344">
        <v>3.081207</v>
      </c>
      <c r="T344">
        <v>-4.0771479999999999E-2</v>
      </c>
      <c r="U344">
        <v>-9.4604490000000003E-4</v>
      </c>
      <c r="V344">
        <v>-9.5940549999999999E-2</v>
      </c>
      <c r="W344">
        <v>0.19583890000000001</v>
      </c>
      <c r="X344">
        <v>0.97593160000000001</v>
      </c>
      <c r="Y344">
        <v>1.512964E-2</v>
      </c>
      <c r="Z344">
        <v>-2.239226E-4</v>
      </c>
      <c r="AA344">
        <v>0.99988549999999998</v>
      </c>
      <c r="AB344">
        <v>27</v>
      </c>
      <c r="AC344">
        <v>79.838499999999996</v>
      </c>
      <c r="AD344">
        <v>-1.0599039553080001</v>
      </c>
      <c r="AE344">
        <v>-2.82000000000266E-2</v>
      </c>
      <c r="AF344">
        <v>1.21159207911539</v>
      </c>
      <c r="AG344">
        <v>-1.0599039553080001</v>
      </c>
      <c r="AH344">
        <v>79.815241170860304</v>
      </c>
      <c r="AI344">
        <v>90.760725129231503</v>
      </c>
      <c r="AJ344">
        <v>89.130319219300503</v>
      </c>
      <c r="AK344">
        <v>79.831472959749703</v>
      </c>
      <c r="AL344">
        <v>78.706265768810695</v>
      </c>
      <c r="AM344">
        <v>95.614514979666595</v>
      </c>
      <c r="AN344">
        <v>0.99999997588303602</v>
      </c>
    </row>
    <row r="345" spans="1:40" x14ac:dyDescent="0.25">
      <c r="A345" t="str">
        <f>"20190304155023157"</f>
        <v>20190304155023157</v>
      </c>
      <c r="B345" t="str">
        <f>"1551685823147143"</f>
        <v>1551685823147143</v>
      </c>
      <c r="C345" t="s">
        <v>40</v>
      </c>
      <c r="D345">
        <v>5.1374240000000002</v>
      </c>
      <c r="E345">
        <v>0.53890179999999999</v>
      </c>
      <c r="F345" t="s">
        <v>41</v>
      </c>
      <c r="G345">
        <v>-359.71850000000001</v>
      </c>
      <c r="H345" s="1">
        <v>-5.0651389999999996E-7</v>
      </c>
      <c r="I345">
        <v>368.02030000000002</v>
      </c>
      <c r="J345">
        <v>-426.22449999999998</v>
      </c>
      <c r="K345">
        <v>1.0598890000000001</v>
      </c>
      <c r="L345">
        <v>367.72980000000001</v>
      </c>
      <c r="M345">
        <v>0.99984439999999997</v>
      </c>
      <c r="N345">
        <v>-9.9610800000000006E-3</v>
      </c>
      <c r="O345">
        <v>1.456494E-2</v>
      </c>
      <c r="P345">
        <v>0.97622310000000001</v>
      </c>
      <c r="Q345">
        <v>0.18610570000000001</v>
      </c>
      <c r="R345">
        <v>0.1111462</v>
      </c>
      <c r="S345">
        <v>3.080597</v>
      </c>
      <c r="T345">
        <v>-4.8980709999999997E-2</v>
      </c>
      <c r="U345">
        <v>1.351929E-2</v>
      </c>
      <c r="V345">
        <v>-9.67581E-2</v>
      </c>
      <c r="W345">
        <v>0.19591330000000001</v>
      </c>
      <c r="X345">
        <v>0.97583600000000004</v>
      </c>
      <c r="Y345">
        <v>1.0175160000000001E-2</v>
      </c>
      <c r="Z345">
        <v>-2.1803830000000001E-4</v>
      </c>
      <c r="AA345">
        <v>0.99994819999999995</v>
      </c>
      <c r="AB345">
        <v>27</v>
      </c>
      <c r="AC345">
        <v>66.505999999999901</v>
      </c>
      <c r="AD345">
        <v>-1.05988950651389</v>
      </c>
      <c r="AE345">
        <v>0.29050000000000797</v>
      </c>
      <c r="AF345">
        <v>0.67806247685461496</v>
      </c>
      <c r="AG345">
        <v>-1.05988950651389</v>
      </c>
      <c r="AH345">
        <v>66.486290177950806</v>
      </c>
      <c r="AI345">
        <v>90.913254368862098</v>
      </c>
      <c r="AJ345">
        <v>89.415687486607496</v>
      </c>
      <c r="AK345">
        <v>66.498194833508194</v>
      </c>
      <c r="AL345">
        <v>78.701919317018394</v>
      </c>
      <c r="AM345">
        <v>95.662600151067295</v>
      </c>
      <c r="AN345">
        <v>1.00000002496424</v>
      </c>
    </row>
    <row r="346" spans="1:40" x14ac:dyDescent="0.25">
      <c r="A346" t="str">
        <f>"20190304155023177"</f>
        <v>20190304155023177</v>
      </c>
      <c r="B346" t="str">
        <f>"1551685823166667"</f>
        <v>1551685823166667</v>
      </c>
      <c r="C346" t="s">
        <v>40</v>
      </c>
      <c r="D346">
        <v>5.1429780000000003</v>
      </c>
      <c r="E346">
        <v>0.53794039999999999</v>
      </c>
      <c r="F346" t="s">
        <v>41</v>
      </c>
      <c r="G346">
        <v>-358.57089999999999</v>
      </c>
      <c r="H346" s="1">
        <v>-8.530748E-7</v>
      </c>
      <c r="I346">
        <v>368.18560000000002</v>
      </c>
      <c r="J346">
        <v>-425.98219999999998</v>
      </c>
      <c r="K346">
        <v>1.059876</v>
      </c>
      <c r="L346">
        <v>367.733</v>
      </c>
      <c r="M346">
        <v>0.99985040000000003</v>
      </c>
      <c r="N346">
        <v>-9.9601519999999999E-3</v>
      </c>
      <c r="O346">
        <v>1.4148350000000001E-2</v>
      </c>
      <c r="P346">
        <v>0.97585940000000004</v>
      </c>
      <c r="Q346">
        <v>0.18768299999999999</v>
      </c>
      <c r="R346">
        <v>0.1116863</v>
      </c>
      <c r="S346">
        <v>3.079895</v>
      </c>
      <c r="T346">
        <v>-4.8250910000000001E-2</v>
      </c>
      <c r="U346">
        <v>2.0751950000000002E-2</v>
      </c>
      <c r="V346">
        <v>-9.7702259999999999E-2</v>
      </c>
      <c r="W346">
        <v>0.1974902</v>
      </c>
      <c r="X346">
        <v>0.97542390000000001</v>
      </c>
      <c r="Y346">
        <v>7.4099669999999999E-3</v>
      </c>
      <c r="Z346">
        <v>-1.7565279999999999E-4</v>
      </c>
      <c r="AA346">
        <v>0.99997250000000004</v>
      </c>
      <c r="AB346">
        <v>27</v>
      </c>
      <c r="AC346">
        <v>67.411299999999898</v>
      </c>
      <c r="AD346">
        <v>-1.0598768530748</v>
      </c>
      <c r="AE346">
        <v>0.45260000000001799</v>
      </c>
      <c r="AF346">
        <v>0.50112731610018801</v>
      </c>
      <c r="AG346">
        <v>-1.0598768530748</v>
      </c>
      <c r="AH346">
        <v>67.394296796731695</v>
      </c>
      <c r="AI346">
        <v>90.900963278069696</v>
      </c>
      <c r="AJ346">
        <v>89.573970611483404</v>
      </c>
      <c r="AK346">
        <v>67.404493234921603</v>
      </c>
      <c r="AL346">
        <v>78.609768401029498</v>
      </c>
      <c r="AM346">
        <v>95.719890671811498</v>
      </c>
      <c r="AN346">
        <v>0.99999994769817702</v>
      </c>
    </row>
    <row r="347" spans="1:40" x14ac:dyDescent="0.25">
      <c r="A347" t="str">
        <f>"20190304155023189"</f>
        <v>20190304155023189</v>
      </c>
      <c r="B347" t="str">
        <f>"1551685823177400"</f>
        <v>1551685823177400</v>
      </c>
      <c r="C347" t="s">
        <v>40</v>
      </c>
      <c r="D347">
        <v>5.2493270000000001</v>
      </c>
      <c r="E347">
        <v>0.537740199999999</v>
      </c>
      <c r="F347" t="s">
        <v>41</v>
      </c>
      <c r="G347">
        <v>-351.77820000000003</v>
      </c>
      <c r="H347" s="1">
        <v>-3.7168609999999999E-6</v>
      </c>
      <c r="I347">
        <v>368.447</v>
      </c>
      <c r="J347">
        <v>-425.84050000000002</v>
      </c>
      <c r="K347">
        <v>1.059868</v>
      </c>
      <c r="L347">
        <v>367.73469999999998</v>
      </c>
      <c r="M347">
        <v>0.99985389999999996</v>
      </c>
      <c r="N347">
        <v>-9.9599749999999994E-3</v>
      </c>
      <c r="O347">
        <v>1.389868E-2</v>
      </c>
      <c r="P347">
        <v>0.97574919999999998</v>
      </c>
      <c r="Q347">
        <v>0.18819630000000001</v>
      </c>
      <c r="R347">
        <v>0.1117851</v>
      </c>
      <c r="S347">
        <v>3.079285</v>
      </c>
      <c r="T347">
        <v>-4.3982390000000003E-2</v>
      </c>
      <c r="U347">
        <v>2.963257E-2</v>
      </c>
      <c r="V347">
        <v>-9.8042130000000005E-2</v>
      </c>
      <c r="W347">
        <v>0.1980044</v>
      </c>
      <c r="X347">
        <v>0.97528559999999997</v>
      </c>
      <c r="Y347">
        <v>4.2760350000000001E-3</v>
      </c>
      <c r="Z347">
        <v>-1.1189530000000001E-4</v>
      </c>
      <c r="AA347">
        <v>0.99999090000000002</v>
      </c>
      <c r="AB347">
        <v>27</v>
      </c>
      <c r="AC347">
        <v>74.062299999999993</v>
      </c>
      <c r="AD347">
        <v>-1.0598717168609999</v>
      </c>
      <c r="AE347">
        <v>0.71229999999996996</v>
      </c>
      <c r="AF347">
        <v>0.317123038696489</v>
      </c>
      <c r="AG347">
        <v>-1.0598717168609999</v>
      </c>
      <c r="AH347">
        <v>74.049882642299195</v>
      </c>
      <c r="AI347">
        <v>90.820007689447493</v>
      </c>
      <c r="AJ347">
        <v>89.754628907210702</v>
      </c>
      <c r="AK347">
        <v>74.058146171884204</v>
      </c>
      <c r="AL347">
        <v>78.579714038438397</v>
      </c>
      <c r="AM347">
        <v>95.740463907078507</v>
      </c>
      <c r="AN347">
        <v>1.0000000016208199</v>
      </c>
    </row>
    <row r="348" spans="1:40" x14ac:dyDescent="0.25">
      <c r="A348" t="str">
        <f>"20190304155023200"</f>
        <v>20190304155023200</v>
      </c>
      <c r="B348" t="str">
        <f>"1551685823196919"</f>
        <v>1551685823196919</v>
      </c>
      <c r="C348" t="s">
        <v>40</v>
      </c>
      <c r="D348">
        <v>5.1830530000000001</v>
      </c>
      <c r="E348">
        <v>0.53659809999999997</v>
      </c>
      <c r="F348" t="s">
        <v>41</v>
      </c>
      <c r="G348">
        <v>-352.72910000000002</v>
      </c>
      <c r="H348" s="1">
        <v>-3.300992E-6</v>
      </c>
      <c r="I348">
        <v>368.49180000000001</v>
      </c>
      <c r="J348">
        <v>-425.69200000000001</v>
      </c>
      <c r="K348">
        <v>1.059858</v>
      </c>
      <c r="L348">
        <v>367.73649999999998</v>
      </c>
      <c r="M348">
        <v>0.99985740000000001</v>
      </c>
      <c r="N348">
        <v>-9.9601840000000004E-3</v>
      </c>
      <c r="O348">
        <v>1.363018E-2</v>
      </c>
      <c r="P348">
        <v>0.97572320000000001</v>
      </c>
      <c r="Q348">
        <v>0.1884093</v>
      </c>
      <c r="R348">
        <v>0.1116519</v>
      </c>
      <c r="S348">
        <v>3.079529</v>
      </c>
      <c r="T348">
        <v>-4.4642809999999998E-2</v>
      </c>
      <c r="U348">
        <v>3.1890870000000002E-2</v>
      </c>
      <c r="V348">
        <v>-9.8167539999999998E-2</v>
      </c>
      <c r="W348">
        <v>0.1982189</v>
      </c>
      <c r="X348">
        <v>0.97522940000000002</v>
      </c>
      <c r="Y348">
        <v>3.2751659999999999E-3</v>
      </c>
      <c r="Z348">
        <v>-1.018563E-4</v>
      </c>
      <c r="AA348">
        <v>0.99999459999999996</v>
      </c>
      <c r="AB348">
        <v>27</v>
      </c>
      <c r="AC348">
        <v>72.962899999999905</v>
      </c>
      <c r="AD348">
        <v>-1.0598613009919999</v>
      </c>
      <c r="AE348">
        <v>0.75530000000003295</v>
      </c>
      <c r="AF348">
        <v>0.23926657903068899</v>
      </c>
      <c r="AG348">
        <v>-1.0598613009919999</v>
      </c>
      <c r="AH348">
        <v>72.951025385834896</v>
      </c>
      <c r="AI348">
        <v>90.832352671560997</v>
      </c>
      <c r="AJ348">
        <v>89.812080557773101</v>
      </c>
      <c r="AK348">
        <v>72.959116355106104</v>
      </c>
      <c r="AL348">
        <v>78.567175444884995</v>
      </c>
      <c r="AM348">
        <v>95.748086664125097</v>
      </c>
      <c r="AN348">
        <v>0.99999999042561005</v>
      </c>
    </row>
    <row r="349" spans="1:40" x14ac:dyDescent="0.25">
      <c r="A349" t="str">
        <f>"20190304155023213"</f>
        <v>20190304155023213</v>
      </c>
      <c r="B349" t="str">
        <f>"1551685823206679"</f>
        <v>1551685823206679</v>
      </c>
      <c r="C349" t="s">
        <v>40</v>
      </c>
      <c r="D349">
        <v>5.2525040000000001</v>
      </c>
      <c r="E349">
        <v>0.53613440000000001</v>
      </c>
      <c r="F349" t="s">
        <v>41</v>
      </c>
      <c r="G349">
        <v>-347.76749999999998</v>
      </c>
      <c r="H349" s="1">
        <v>-1.18769E-6</v>
      </c>
      <c r="I349">
        <v>368.7602</v>
      </c>
      <c r="J349">
        <v>-425.54090000000002</v>
      </c>
      <c r="K349">
        <v>1.0598479999999999</v>
      </c>
      <c r="L349">
        <v>367.73829999999998</v>
      </c>
      <c r="M349">
        <v>0.99986120000000001</v>
      </c>
      <c r="N349">
        <v>-9.9606769999999994E-3</v>
      </c>
      <c r="O349">
        <v>1.3353169999999999E-2</v>
      </c>
      <c r="P349">
        <v>0.975769</v>
      </c>
      <c r="Q349">
        <v>0.1883292</v>
      </c>
      <c r="R349">
        <v>0.1113871</v>
      </c>
      <c r="S349">
        <v>3.0781559999999999</v>
      </c>
      <c r="T349">
        <v>-4.1866300000000002E-2</v>
      </c>
      <c r="U349">
        <v>4.0435789999999999E-2</v>
      </c>
      <c r="V349">
        <v>-9.8169569999999998E-2</v>
      </c>
      <c r="W349">
        <v>0.1981414</v>
      </c>
      <c r="X349">
        <v>0.97524489999999997</v>
      </c>
      <c r="Y349">
        <v>2.1849E-4</v>
      </c>
      <c r="Z349" s="1">
        <v>-5.1159170000000001E-5</v>
      </c>
      <c r="AA349">
        <v>1</v>
      </c>
      <c r="AB349">
        <v>27</v>
      </c>
      <c r="AC349">
        <v>77.773399999999995</v>
      </c>
      <c r="AD349">
        <v>-1.05984918768999</v>
      </c>
      <c r="AE349">
        <v>1.02190000000001</v>
      </c>
      <c r="AF349">
        <v>1.6760991455316399E-2</v>
      </c>
      <c r="AG349">
        <v>-1.05984918768999</v>
      </c>
      <c r="AH349">
        <v>77.765672447261196</v>
      </c>
      <c r="AI349">
        <v>90.780821701061896</v>
      </c>
      <c r="AJ349">
        <v>89.987650925842303</v>
      </c>
      <c r="AK349">
        <v>77.7728961297327</v>
      </c>
      <c r="AL349">
        <v>78.571705219264302</v>
      </c>
      <c r="AM349">
        <v>95.748113985456797</v>
      </c>
      <c r="AN349">
        <v>0.99999994692197502</v>
      </c>
    </row>
    <row r="350" spans="1:40" x14ac:dyDescent="0.25">
      <c r="A350" t="str">
        <f>"20190304155023225"</f>
        <v>20190304155023225</v>
      </c>
      <c r="B350" t="str">
        <f>"1551685823217415"</f>
        <v>1551685823217415</v>
      </c>
      <c r="C350" t="s">
        <v>40</v>
      </c>
      <c r="D350">
        <v>5.9416599999999997</v>
      </c>
      <c r="E350">
        <v>0.53606430000000005</v>
      </c>
      <c r="F350" t="s">
        <v>41</v>
      </c>
      <c r="G350">
        <v>-353.10509999999999</v>
      </c>
      <c r="H350" s="1">
        <v>-3.0941530000000001E-6</v>
      </c>
      <c r="I350">
        <v>368.74860000000001</v>
      </c>
      <c r="J350">
        <v>-425.3922</v>
      </c>
      <c r="K350">
        <v>1.0598379999999901</v>
      </c>
      <c r="L350">
        <v>367.74</v>
      </c>
      <c r="M350">
        <v>0.99986489999999995</v>
      </c>
      <c r="N350">
        <v>-9.9614400000000002E-3</v>
      </c>
      <c r="O350">
        <v>1.307723E-2</v>
      </c>
      <c r="P350">
        <v>0.97583319999999996</v>
      </c>
      <c r="Q350">
        <v>0.18803</v>
      </c>
      <c r="R350">
        <v>0.11132930000000001</v>
      </c>
      <c r="S350">
        <v>3.0782780000000001</v>
      </c>
      <c r="T350">
        <v>-4.5040009999999998E-2</v>
      </c>
      <c r="U350">
        <v>4.2938230000000001E-2</v>
      </c>
      <c r="V350">
        <v>-9.8377409999999998E-2</v>
      </c>
      <c r="W350">
        <v>0.19784460000000001</v>
      </c>
      <c r="X350">
        <v>0.97528429999999999</v>
      </c>
      <c r="Y350">
        <v>-8.6960970000000005E-4</v>
      </c>
      <c r="Z350" s="1">
        <v>-5.0350640000000001E-5</v>
      </c>
      <c r="AA350">
        <v>0.99999959999999999</v>
      </c>
      <c r="AB350">
        <v>27</v>
      </c>
      <c r="AC350">
        <v>72.287099999999995</v>
      </c>
      <c r="AD350">
        <v>-1.0598410941530001</v>
      </c>
      <c r="AE350">
        <v>1.0085999999999999</v>
      </c>
      <c r="AF350">
        <v>-6.3138267168529605E-2</v>
      </c>
      <c r="AG350">
        <v>-1.0598410941530001</v>
      </c>
      <c r="AH350">
        <v>72.278574361042303</v>
      </c>
      <c r="AI350">
        <v>90.840083626824693</v>
      </c>
      <c r="AJ350">
        <v>90.050050175260793</v>
      </c>
      <c r="AK350">
        <v>72.286371891597696</v>
      </c>
      <c r="AL350">
        <v>78.589055052598397</v>
      </c>
      <c r="AM350">
        <v>95.759970734207599</v>
      </c>
      <c r="AN350">
        <v>1.0000000331869701</v>
      </c>
    </row>
    <row r="351" spans="1:40" x14ac:dyDescent="0.25">
      <c r="A351" t="str">
        <f>"20190304155023245"</f>
        <v>20190304155023245</v>
      </c>
      <c r="B351" t="str">
        <f>"1551685823236938"</f>
        <v>1551685823236938</v>
      </c>
      <c r="C351" t="s">
        <v>40</v>
      </c>
      <c r="D351">
        <v>5.2433620000000003</v>
      </c>
      <c r="E351">
        <v>0.53610409999999997</v>
      </c>
      <c r="F351" t="s">
        <v>41</v>
      </c>
      <c r="G351">
        <v>-347.60270000000003</v>
      </c>
      <c r="H351" s="1">
        <v>-1.254139E-6</v>
      </c>
      <c r="I351">
        <v>368.82459999999998</v>
      </c>
      <c r="J351">
        <v>-425.15550000000002</v>
      </c>
      <c r="K351">
        <v>1.0598270000000001</v>
      </c>
      <c r="L351">
        <v>367.74259999999998</v>
      </c>
      <c r="M351">
        <v>0.9998707</v>
      </c>
      <c r="N351">
        <v>-9.9634419999999994E-3</v>
      </c>
      <c r="O351">
        <v>1.262769E-2</v>
      </c>
      <c r="P351">
        <v>0.97600920000000002</v>
      </c>
      <c r="Q351">
        <v>0.18722</v>
      </c>
      <c r="R351">
        <v>0.1111525</v>
      </c>
      <c r="S351">
        <v>3.077515</v>
      </c>
      <c r="T351">
        <v>-4.1929479999999998E-2</v>
      </c>
      <c r="U351">
        <v>4.2907710000000002E-2</v>
      </c>
      <c r="V351">
        <v>-9.8633670000000007E-2</v>
      </c>
      <c r="W351">
        <v>0.19704050000000001</v>
      </c>
      <c r="X351">
        <v>0.97542110000000004</v>
      </c>
      <c r="Y351">
        <v>-1.3126419999999999E-3</v>
      </c>
      <c r="Z351" s="1">
        <v>-3.0724600000000001E-5</v>
      </c>
      <c r="AA351">
        <v>0.99999919999999998</v>
      </c>
      <c r="AB351">
        <v>27</v>
      </c>
      <c r="AC351">
        <v>77.552799999999905</v>
      </c>
      <c r="AD351">
        <v>-1.0598282541390001</v>
      </c>
      <c r="AE351">
        <v>1.0819999999999901</v>
      </c>
      <c r="AF351">
        <v>-0.102533318186366</v>
      </c>
      <c r="AG351">
        <v>-1.0598282541390001</v>
      </c>
      <c r="AH351">
        <v>77.545800375895794</v>
      </c>
      <c r="AI351">
        <v>90.783019224288793</v>
      </c>
      <c r="AJ351">
        <v>90.075758106041803</v>
      </c>
      <c r="AK351">
        <v>77.553110220982703</v>
      </c>
      <c r="AL351">
        <v>78.636050681453497</v>
      </c>
      <c r="AM351">
        <v>95.774068973761004</v>
      </c>
      <c r="AN351">
        <v>0.99999994091156197</v>
      </c>
    </row>
    <row r="352" spans="1:40" x14ac:dyDescent="0.25">
      <c r="A352" t="str">
        <f>"20190304155023258"</f>
        <v>20190304155023258</v>
      </c>
      <c r="B352" t="str">
        <f>"1551685823246696"</f>
        <v>1551685823246696</v>
      </c>
      <c r="C352" t="s">
        <v>40</v>
      </c>
      <c r="D352">
        <v>5.2410860000000001</v>
      </c>
      <c r="E352">
        <v>0.53596730000000004</v>
      </c>
      <c r="F352" t="s">
        <v>41</v>
      </c>
      <c r="G352">
        <v>-355.726</v>
      </c>
      <c r="H352" s="1">
        <v>-1.9809450000000001E-6</v>
      </c>
      <c r="I352">
        <v>368.6857</v>
      </c>
      <c r="J352">
        <v>-425.0104</v>
      </c>
      <c r="K352">
        <v>1.0598209999999999</v>
      </c>
      <c r="L352">
        <v>367.74419999999998</v>
      </c>
      <c r="M352">
        <v>0.99987420000000005</v>
      </c>
      <c r="N352">
        <v>-9.9649479999999995E-3</v>
      </c>
      <c r="O352">
        <v>1.2346050000000001E-2</v>
      </c>
      <c r="P352">
        <v>0.97603879999999998</v>
      </c>
      <c r="Q352">
        <v>0.1871295</v>
      </c>
      <c r="R352">
        <v>0.11104609999999999</v>
      </c>
      <c r="S352">
        <v>3.0780029999999998</v>
      </c>
      <c r="T352">
        <v>-4.6985150000000003E-2</v>
      </c>
      <c r="U352">
        <v>4.1809079999999998E-2</v>
      </c>
      <c r="V352">
        <v>-9.8799609999999996E-2</v>
      </c>
      <c r="W352">
        <v>0.19695360000000001</v>
      </c>
      <c r="X352">
        <v>0.97542189999999995</v>
      </c>
      <c r="Y352">
        <v>-1.2353139999999999E-3</v>
      </c>
      <c r="Z352" s="1">
        <v>-4.9822009999999999E-5</v>
      </c>
      <c r="AA352">
        <v>0.99999919999999998</v>
      </c>
      <c r="AB352">
        <v>27</v>
      </c>
      <c r="AC352">
        <v>69.284400000000005</v>
      </c>
      <c r="AD352">
        <v>-1.0598229809449999</v>
      </c>
      <c r="AE352">
        <v>0.94150000000001899</v>
      </c>
      <c r="AF352">
        <v>-8.5977042509359197E-2</v>
      </c>
      <c r="AG352">
        <v>-1.0598229809449999</v>
      </c>
      <c r="AH352">
        <v>69.274536823656504</v>
      </c>
      <c r="AI352">
        <v>90.876492330061794</v>
      </c>
      <c r="AJ352">
        <v>90.071110098563906</v>
      </c>
      <c r="AK352">
        <v>69.282696749873395</v>
      </c>
      <c r="AL352">
        <v>78.641129690556298</v>
      </c>
      <c r="AM352">
        <v>95.7837126786429</v>
      </c>
      <c r="AN352">
        <v>0.99999998324436001</v>
      </c>
    </row>
    <row r="353" spans="1:40" x14ac:dyDescent="0.25">
      <c r="A353" t="str">
        <f>"20190304155023272"</f>
        <v>20190304155023272</v>
      </c>
      <c r="B353" t="str">
        <f>"1551685823267192"</f>
        <v>1551685823267192</v>
      </c>
      <c r="C353" t="s">
        <v>40</v>
      </c>
      <c r="D353">
        <v>5.240882</v>
      </c>
      <c r="E353">
        <v>0.535556699999999</v>
      </c>
      <c r="F353" t="s">
        <v>41</v>
      </c>
      <c r="G353">
        <v>-358.7183</v>
      </c>
      <c r="H353" s="1">
        <v>-7.0385540000000005E-7</v>
      </c>
      <c r="I353">
        <v>368.64839999999998</v>
      </c>
      <c r="J353">
        <v>-424.84440000000001</v>
      </c>
      <c r="K353">
        <v>1.0598160000000001</v>
      </c>
      <c r="L353">
        <v>367.74590000000001</v>
      </c>
      <c r="M353">
        <v>0.99987820000000005</v>
      </c>
      <c r="N353">
        <v>-9.9668340000000008E-3</v>
      </c>
      <c r="O353">
        <v>1.201956E-2</v>
      </c>
      <c r="P353">
        <v>0.97619089999999997</v>
      </c>
      <c r="Q353">
        <v>0.18664149999999999</v>
      </c>
      <c r="R353">
        <v>0.11052869999999999</v>
      </c>
      <c r="S353">
        <v>3.0783079999999998</v>
      </c>
      <c r="T353">
        <v>-4.921329E-2</v>
      </c>
      <c r="U353">
        <v>4.1992189999999999E-2</v>
      </c>
      <c r="V353">
        <v>-9.8597270000000001E-2</v>
      </c>
      <c r="W353">
        <v>0.1964697</v>
      </c>
      <c r="X353">
        <v>0.97553999999999996</v>
      </c>
      <c r="Y353">
        <v>-1.6199109999999999E-3</v>
      </c>
      <c r="Z353" s="1">
        <v>-5.1311940000000002E-5</v>
      </c>
      <c r="AA353">
        <v>0.99999870000000002</v>
      </c>
      <c r="AB353">
        <v>27</v>
      </c>
      <c r="AC353">
        <v>66.126099999999994</v>
      </c>
      <c r="AD353">
        <v>-1.0598167038554001</v>
      </c>
      <c r="AE353">
        <v>0.90249999999997499</v>
      </c>
      <c r="AF353">
        <v>-0.107561156729509</v>
      </c>
      <c r="AG353">
        <v>-1.0598167038554001</v>
      </c>
      <c r="AH353">
        <v>66.115190994741596</v>
      </c>
      <c r="AI353">
        <v>90.918362976609203</v>
      </c>
      <c r="AJ353">
        <v>90.093212993721295</v>
      </c>
      <c r="AK353">
        <v>66.123772284401397</v>
      </c>
      <c r="AL353">
        <v>78.669408146231106</v>
      </c>
      <c r="AM353">
        <v>95.771253744480504</v>
      </c>
      <c r="AN353">
        <v>1.0000000281347701</v>
      </c>
    </row>
    <row r="354" spans="1:40" x14ac:dyDescent="0.25">
      <c r="A354" t="str">
        <f>"20190304155023289"</f>
        <v>20190304155023289</v>
      </c>
      <c r="B354" t="str">
        <f>"1551685823286712"</f>
        <v>1551685823286712</v>
      </c>
      <c r="C354" t="s">
        <v>40</v>
      </c>
      <c r="D354">
        <v>5.2443140000000001</v>
      </c>
      <c r="E354">
        <v>0.53533809999999904</v>
      </c>
      <c r="F354" t="s">
        <v>41</v>
      </c>
      <c r="G354">
        <v>-363.7407</v>
      </c>
      <c r="H354" s="1">
        <v>-2.8450170000000001E-6</v>
      </c>
      <c r="I354">
        <v>368.6157</v>
      </c>
      <c r="J354">
        <v>-424.62729999999999</v>
      </c>
      <c r="K354">
        <v>1.0598000000000001</v>
      </c>
      <c r="L354">
        <v>367.74810000000002</v>
      </c>
      <c r="M354">
        <v>0.99988339999999998</v>
      </c>
      <c r="N354">
        <v>-9.969693E-3</v>
      </c>
      <c r="O354">
        <v>1.158402E-2</v>
      </c>
      <c r="P354">
        <v>0.9766087</v>
      </c>
      <c r="Q354">
        <v>0.18458250000000001</v>
      </c>
      <c r="R354">
        <v>0.1102953</v>
      </c>
      <c r="S354">
        <v>3.07843</v>
      </c>
      <c r="T354">
        <v>-5.3394079999999997E-2</v>
      </c>
      <c r="U354">
        <v>4.3823239999999999E-2</v>
      </c>
      <c r="V354">
        <v>-9.8782629999999996E-2</v>
      </c>
      <c r="W354">
        <v>0.1944196</v>
      </c>
      <c r="X354">
        <v>0.97593189999999996</v>
      </c>
      <c r="Y354">
        <v>-2.6494460000000002E-3</v>
      </c>
      <c r="Z354" s="1">
        <v>-4.9216950000000003E-5</v>
      </c>
      <c r="AA354">
        <v>0.99999649999999995</v>
      </c>
      <c r="AB354">
        <v>27</v>
      </c>
      <c r="AC354">
        <v>60.886599999999902</v>
      </c>
      <c r="AD354">
        <v>-1.0598028450170001</v>
      </c>
      <c r="AE354">
        <v>0.86759999999998105</v>
      </c>
      <c r="AF354">
        <v>-0.162146158069647</v>
      </c>
      <c r="AG354">
        <v>-1.0598028450170001</v>
      </c>
      <c r="AH354">
        <v>60.874125489172798</v>
      </c>
      <c r="AI354">
        <v>90.997400463132905</v>
      </c>
      <c r="AJ354">
        <v>90.152614406790704</v>
      </c>
      <c r="AK354">
        <v>60.883566153096197</v>
      </c>
      <c r="AL354">
        <v>78.789180112107502</v>
      </c>
      <c r="AM354">
        <v>95.779723951393905</v>
      </c>
      <c r="AN354">
        <v>1.00000003114574</v>
      </c>
    </row>
    <row r="355" spans="1:40" x14ac:dyDescent="0.25">
      <c r="A355" t="str">
        <f>"20190304155023305"</f>
        <v>20190304155023305</v>
      </c>
      <c r="B355" t="str">
        <f>"1551685823297448"</f>
        <v>1551685823297448</v>
      </c>
      <c r="C355" t="s">
        <v>40</v>
      </c>
      <c r="D355">
        <v>5.232259</v>
      </c>
      <c r="E355">
        <v>0.53521339999999995</v>
      </c>
      <c r="F355" t="s">
        <v>41</v>
      </c>
      <c r="G355">
        <v>-367.19389999999999</v>
      </c>
      <c r="H355" s="1">
        <v>-1.370346E-6</v>
      </c>
      <c r="I355">
        <v>368.57780000000002</v>
      </c>
      <c r="J355">
        <v>-424.43369999999999</v>
      </c>
      <c r="K355">
        <v>1.0597890000000001</v>
      </c>
      <c r="L355">
        <v>367.74990000000003</v>
      </c>
      <c r="M355">
        <v>0.99988779999999999</v>
      </c>
      <c r="N355">
        <v>-9.9725820000000007E-3</v>
      </c>
      <c r="O355">
        <v>1.1188129999999999E-2</v>
      </c>
      <c r="P355">
        <v>0.97678180000000003</v>
      </c>
      <c r="Q355">
        <v>0.18384229999999999</v>
      </c>
      <c r="R355">
        <v>0.1099982</v>
      </c>
      <c r="S355">
        <v>3.0775760000000001</v>
      </c>
      <c r="T355">
        <v>-5.6789520000000003E-2</v>
      </c>
      <c r="U355">
        <v>4.4464110000000001E-2</v>
      </c>
      <c r="V355">
        <v>-9.8867529999999995E-2</v>
      </c>
      <c r="W355">
        <v>0.19368560000000001</v>
      </c>
      <c r="X355">
        <v>0.97606919999999997</v>
      </c>
      <c r="Y355">
        <v>-3.257388E-3</v>
      </c>
      <c r="Z355" s="1">
        <v>-4.8548799999999998E-5</v>
      </c>
      <c r="AA355">
        <v>0.99999470000000001</v>
      </c>
      <c r="AB355">
        <v>27</v>
      </c>
      <c r="AC355">
        <v>57.239800000000002</v>
      </c>
      <c r="AD355">
        <v>-1.0597903703460001</v>
      </c>
      <c r="AE355">
        <v>0.82789999999999897</v>
      </c>
      <c r="AF355">
        <v>-0.18734587388638199</v>
      </c>
      <c r="AG355">
        <v>-1.0597903703460001</v>
      </c>
      <c r="AH355">
        <v>57.225867114507601</v>
      </c>
      <c r="AI355">
        <v>91.060958142244502</v>
      </c>
      <c r="AJ355">
        <v>90.187574082767298</v>
      </c>
      <c r="AK355">
        <v>57.235986242160799</v>
      </c>
      <c r="AL355">
        <v>78.832049678070206</v>
      </c>
      <c r="AM355">
        <v>95.783849547215098</v>
      </c>
      <c r="AN355">
        <v>0.99999999166215003</v>
      </c>
    </row>
    <row r="356" spans="1:40" x14ac:dyDescent="0.25">
      <c r="A356" t="str">
        <f>"20190304155023325"</f>
        <v>20190304155023325</v>
      </c>
      <c r="B356" t="str">
        <f>"1551685823317474"</f>
        <v>1551685823317474</v>
      </c>
      <c r="C356" t="s">
        <v>40</v>
      </c>
      <c r="D356">
        <v>5.2679830000000001</v>
      </c>
      <c r="E356">
        <v>0.53476089999999998</v>
      </c>
      <c r="F356" t="s">
        <v>41</v>
      </c>
      <c r="G356">
        <v>-370.27530000000002</v>
      </c>
      <c r="H356" s="1">
        <v>-4.3478829999999997E-6</v>
      </c>
      <c r="I356">
        <v>368.52420000000001</v>
      </c>
      <c r="J356">
        <v>-424.20260000000002</v>
      </c>
      <c r="K356">
        <v>1.0597700000000001</v>
      </c>
      <c r="L356">
        <v>367.75200000000001</v>
      </c>
      <c r="M356">
        <v>0.99989300000000003</v>
      </c>
      <c r="N356">
        <v>-9.9764220000000004E-3</v>
      </c>
      <c r="O356">
        <v>1.0705839999999999E-2</v>
      </c>
      <c r="P356">
        <v>0.97684470000000001</v>
      </c>
      <c r="Q356">
        <v>0.18373159999999999</v>
      </c>
      <c r="R356">
        <v>0.10962379999999999</v>
      </c>
      <c r="S356">
        <v>3.0776979999999998</v>
      </c>
      <c r="T356">
        <v>-6.0225609999999999E-2</v>
      </c>
      <c r="U356">
        <v>4.400635E-2</v>
      </c>
      <c r="V356">
        <v>-9.8958969999999993E-2</v>
      </c>
      <c r="W356">
        <v>0.19358130000000001</v>
      </c>
      <c r="X356">
        <v>0.97608070000000002</v>
      </c>
      <c r="Y356">
        <v>-3.5903609999999998E-3</v>
      </c>
      <c r="Z356" s="1">
        <v>-4.9619529999999997E-5</v>
      </c>
      <c r="AA356">
        <v>0.99999360000000004</v>
      </c>
      <c r="AB356">
        <v>27</v>
      </c>
      <c r="AC356">
        <v>53.927300000000002</v>
      </c>
      <c r="AD356">
        <v>-1.059774347883</v>
      </c>
      <c r="AE356">
        <v>0.77220000000005395</v>
      </c>
      <c r="AF356">
        <v>-0.19471482493292899</v>
      </c>
      <c r="AG356">
        <v>-1.059774347883</v>
      </c>
      <c r="AH356">
        <v>53.9116603457379</v>
      </c>
      <c r="AI356">
        <v>91.126145654958094</v>
      </c>
      <c r="AJ356">
        <v>90.206936478971798</v>
      </c>
      <c r="AK356">
        <v>53.922427215080802</v>
      </c>
      <c r="AL356">
        <v>78.838141742100603</v>
      </c>
      <c r="AM356">
        <v>95.789094818317594</v>
      </c>
      <c r="AN356">
        <v>1.00000006518281</v>
      </c>
    </row>
    <row r="357" spans="1:40" x14ac:dyDescent="0.25">
      <c r="A357" t="str">
        <f>"20190304155023346"</f>
        <v>20190304155023346</v>
      </c>
      <c r="B357" t="str">
        <f>"1551685823336995"</f>
        <v>1551685823336995</v>
      </c>
      <c r="C357" t="s">
        <v>40</v>
      </c>
      <c r="D357">
        <v>5.1907949999999996</v>
      </c>
      <c r="E357">
        <v>0.53427340000000001</v>
      </c>
      <c r="F357" t="s">
        <v>41</v>
      </c>
      <c r="G357">
        <v>-371.01690000000002</v>
      </c>
      <c r="H357" s="1">
        <v>-4.0259510000000002E-6</v>
      </c>
      <c r="I357">
        <v>368.54559999999998</v>
      </c>
      <c r="J357">
        <v>-423.93459999999999</v>
      </c>
      <c r="K357">
        <v>1.0597449999999999</v>
      </c>
      <c r="L357">
        <v>367.75420000000003</v>
      </c>
      <c r="M357">
        <v>0.99989890000000003</v>
      </c>
      <c r="N357">
        <v>-9.9842409999999996E-3</v>
      </c>
      <c r="O357">
        <v>1.013057E-2</v>
      </c>
      <c r="P357">
        <v>0.97722169999999997</v>
      </c>
      <c r="Q357">
        <v>0.18205660000000001</v>
      </c>
      <c r="R357">
        <v>0.1090555</v>
      </c>
      <c r="S357">
        <v>3.0774840000000001</v>
      </c>
      <c r="T357">
        <v>-6.132162E-2</v>
      </c>
      <c r="U357">
        <v>4.5928959999999998E-2</v>
      </c>
      <c r="V357">
        <v>-9.8945309999999995E-2</v>
      </c>
      <c r="W357">
        <v>0.1919207</v>
      </c>
      <c r="X357">
        <v>0.97640990000000005</v>
      </c>
      <c r="Y357">
        <v>-4.7908940000000004E-3</v>
      </c>
      <c r="Z357" s="1">
        <v>-2.9035579999999999E-5</v>
      </c>
      <c r="AA357">
        <v>0.99998849999999995</v>
      </c>
      <c r="AB357">
        <v>27</v>
      </c>
      <c r="AC357">
        <v>52.917699999999897</v>
      </c>
      <c r="AD357">
        <v>-1.0597490259510001</v>
      </c>
      <c r="AE357">
        <v>0.79139999999995303</v>
      </c>
      <c r="AF357">
        <v>-0.25514392810126002</v>
      </c>
      <c r="AG357">
        <v>-1.0597490259510001</v>
      </c>
      <c r="AH357">
        <v>52.9017901686004</v>
      </c>
      <c r="AI357">
        <v>91.147604273222001</v>
      </c>
      <c r="AJ357">
        <v>90.276333879343795</v>
      </c>
      <c r="AK357">
        <v>52.913018903334901</v>
      </c>
      <c r="AL357">
        <v>78.935104805904999</v>
      </c>
      <c r="AM357">
        <v>95.786362834178703</v>
      </c>
      <c r="AN357">
        <v>1.0000000111387399</v>
      </c>
    </row>
    <row r="358" spans="1:40" x14ac:dyDescent="0.25">
      <c r="A358" t="str">
        <f>"20190304155023367"</f>
        <v>20190304155023367</v>
      </c>
      <c r="B358" t="str">
        <f>"1551685823356518"</f>
        <v>1551685823356518</v>
      </c>
      <c r="C358" t="s">
        <v>40</v>
      </c>
      <c r="D358">
        <v>5.2392599999999998</v>
      </c>
      <c r="E358">
        <v>0.5340066</v>
      </c>
      <c r="F358" t="s">
        <v>41</v>
      </c>
      <c r="G358">
        <v>-374.70310000000001</v>
      </c>
      <c r="H358" s="1">
        <v>-2.4495980000000002E-6</v>
      </c>
      <c r="I358">
        <v>368.51729999999998</v>
      </c>
      <c r="J358">
        <v>-423.68110000000001</v>
      </c>
      <c r="K358">
        <v>1.0597219999999901</v>
      </c>
      <c r="L358">
        <v>367.75619999999998</v>
      </c>
      <c r="M358">
        <v>0.99990440000000003</v>
      </c>
      <c r="N358">
        <v>-9.9960169999999994E-3</v>
      </c>
      <c r="O358">
        <v>9.5681780000000001E-3</v>
      </c>
      <c r="P358">
        <v>0.97751719999999998</v>
      </c>
      <c r="Q358">
        <v>0.1806075</v>
      </c>
      <c r="R358">
        <v>0.1088186</v>
      </c>
      <c r="S358">
        <v>3.0769350000000002</v>
      </c>
      <c r="T358">
        <v>-6.6233520000000004E-2</v>
      </c>
      <c r="U358">
        <v>4.769897E-2</v>
      </c>
      <c r="V358">
        <v>-9.9250530000000003E-2</v>
      </c>
      <c r="W358">
        <v>0.19048899999999999</v>
      </c>
      <c r="X358">
        <v>0.97665919999999895</v>
      </c>
      <c r="Y358">
        <v>-5.9306539999999996E-3</v>
      </c>
      <c r="Z358" s="1">
        <v>-1.681431E-5</v>
      </c>
      <c r="AA358">
        <v>0.99998240000000005</v>
      </c>
      <c r="AB358">
        <v>27</v>
      </c>
      <c r="AC358">
        <v>48.978000000000002</v>
      </c>
      <c r="AD358">
        <v>-1.0597244495979901</v>
      </c>
      <c r="AE358">
        <v>0.761099999999999</v>
      </c>
      <c r="AF358">
        <v>-0.29227479015786101</v>
      </c>
      <c r="AG358">
        <v>-1.0597244495979901</v>
      </c>
      <c r="AH358">
        <v>48.960125374532602</v>
      </c>
      <c r="AI358">
        <v>91.239931012384005</v>
      </c>
      <c r="AJ358">
        <v>90.342031661168903</v>
      </c>
      <c r="AK358">
        <v>48.972464887444602</v>
      </c>
      <c r="AL358">
        <v>79.018676506254295</v>
      </c>
      <c r="AM358">
        <v>95.802619121925602</v>
      </c>
      <c r="AN358">
        <v>0.99999995988545898</v>
      </c>
    </row>
    <row r="359" spans="1:40" x14ac:dyDescent="0.25">
      <c r="A359" t="str">
        <f>"20190304155023380"</f>
        <v>20190304155023380</v>
      </c>
      <c r="B359" t="str">
        <f>"1551685823377011"</f>
        <v>1551685823377011</v>
      </c>
      <c r="C359" t="s">
        <v>40</v>
      </c>
      <c r="D359">
        <v>5.2918050000000001</v>
      </c>
      <c r="E359">
        <v>0.53381709999999905</v>
      </c>
      <c r="F359" t="s">
        <v>41</v>
      </c>
      <c r="G359">
        <v>-378.78730000000002</v>
      </c>
      <c r="H359" s="1">
        <v>-7.0626040000000005E-7</v>
      </c>
      <c r="I359">
        <v>368.46809999999999</v>
      </c>
      <c r="J359">
        <v>-423.52210000000002</v>
      </c>
      <c r="K359">
        <v>1.059709</v>
      </c>
      <c r="L359">
        <v>367.75729999999999</v>
      </c>
      <c r="M359">
        <v>0.99990760000000001</v>
      </c>
      <c r="N359">
        <v>-1.000501E-2</v>
      </c>
      <c r="O359">
        <v>9.2036960000000008E-3</v>
      </c>
      <c r="P359">
        <v>0.97766730000000002</v>
      </c>
      <c r="Q359">
        <v>0.179837</v>
      </c>
      <c r="R359">
        <v>0.108743699999999</v>
      </c>
      <c r="S359">
        <v>3.0769959999999998</v>
      </c>
      <c r="T359">
        <v>-7.2632669999999996E-2</v>
      </c>
      <c r="U359">
        <v>4.8797609999999998E-2</v>
      </c>
      <c r="V359">
        <v>-9.9527110000000002E-2</v>
      </c>
      <c r="W359">
        <v>0.1897315</v>
      </c>
      <c r="X359">
        <v>0.97677849999999999</v>
      </c>
      <c r="Y359">
        <v>-6.6513960000000004E-3</v>
      </c>
      <c r="Z359" s="1">
        <v>-1.33581399999999E-5</v>
      </c>
      <c r="AA359">
        <v>0.99997789999999998</v>
      </c>
      <c r="AB359">
        <v>27</v>
      </c>
      <c r="AC359">
        <v>44.7348</v>
      </c>
      <c r="AD359">
        <v>-1.0597097062604</v>
      </c>
      <c r="AE359">
        <v>0.71080000000000598</v>
      </c>
      <c r="AF359">
        <v>-0.298856124024238</v>
      </c>
      <c r="AG359">
        <v>-1.0597097062604</v>
      </c>
      <c r="AH359">
        <v>44.714362032678203</v>
      </c>
      <c r="AI359">
        <v>91.357599031213496</v>
      </c>
      <c r="AJ359">
        <v>90.382940488109597</v>
      </c>
      <c r="AK359">
        <v>44.727916021583397</v>
      </c>
      <c r="AL359">
        <v>79.062884324020402</v>
      </c>
      <c r="AM359">
        <v>95.817972602131107</v>
      </c>
      <c r="AN359">
        <v>0.99999996288972504</v>
      </c>
    </row>
    <row r="360" spans="1:40" x14ac:dyDescent="0.25">
      <c r="A360" t="str">
        <f>"20190304155023402"</f>
        <v>20190304155023402</v>
      </c>
      <c r="B360" t="str">
        <f>"1551685823396531"</f>
        <v>1551685823396531</v>
      </c>
      <c r="C360" t="s">
        <v>40</v>
      </c>
      <c r="D360">
        <v>5.1750230000000004</v>
      </c>
      <c r="E360">
        <v>0.53334369999999998</v>
      </c>
      <c r="F360" t="s">
        <v>41</v>
      </c>
      <c r="G360">
        <v>-381.28579999999999</v>
      </c>
      <c r="H360" s="1">
        <v>-3.9290260000000003E-6</v>
      </c>
      <c r="I360">
        <v>368.44170000000003</v>
      </c>
      <c r="J360">
        <v>-423.27600000000001</v>
      </c>
      <c r="K360">
        <v>1.0596920000000001</v>
      </c>
      <c r="L360">
        <v>367.75900000000001</v>
      </c>
      <c r="M360">
        <v>0.99991260000000004</v>
      </c>
      <c r="N360">
        <v>-1.001959E-2</v>
      </c>
      <c r="O360">
        <v>8.6282310000000001E-3</v>
      </c>
      <c r="P360">
        <v>0.97778410000000004</v>
      </c>
      <c r="Q360">
        <v>0.17924849999999901</v>
      </c>
      <c r="R360">
        <v>0.108666</v>
      </c>
      <c r="S360">
        <v>3.0771790000000001</v>
      </c>
      <c r="T360">
        <v>-7.7206609999999995E-2</v>
      </c>
      <c r="U360">
        <v>4.9865720000000002E-2</v>
      </c>
      <c r="V360">
        <v>-0.100005</v>
      </c>
      <c r="W360">
        <v>0.1891622</v>
      </c>
      <c r="X360">
        <v>0.97684009999999999</v>
      </c>
      <c r="Y360">
        <v>-7.572395E-3</v>
      </c>
      <c r="Z360" s="1">
        <v>2.9358779999999999E-6</v>
      </c>
      <c r="AA360">
        <v>0.99997130000000001</v>
      </c>
      <c r="AB360">
        <v>27</v>
      </c>
      <c r="AC360">
        <v>41.990200000000002</v>
      </c>
      <c r="AD360">
        <v>-1.059695929026</v>
      </c>
      <c r="AE360">
        <v>0.68270000000001096</v>
      </c>
      <c r="AF360">
        <v>-0.32015141188259499</v>
      </c>
      <c r="AG360">
        <v>-1.059695929026</v>
      </c>
      <c r="AH360">
        <v>41.967805645531399</v>
      </c>
      <c r="AI360">
        <v>91.446381081739403</v>
      </c>
      <c r="AJ360">
        <v>90.437072384710206</v>
      </c>
      <c r="AK360">
        <v>41.982403017092999</v>
      </c>
      <c r="AL360">
        <v>79.096104358149205</v>
      </c>
      <c r="AM360">
        <v>95.845349131617695</v>
      </c>
      <c r="AN360">
        <v>0.99999995945092401</v>
      </c>
    </row>
    <row r="361" spans="1:40" x14ac:dyDescent="0.25">
      <c r="A361" t="str">
        <f>"20190304155023416"</f>
        <v>20190304155023416</v>
      </c>
      <c r="B361" t="str">
        <f>"1551685823407266"</f>
        <v>1551685823407266</v>
      </c>
      <c r="C361" t="s">
        <v>40</v>
      </c>
      <c r="D361">
        <v>5.431915</v>
      </c>
      <c r="E361">
        <v>0.53336049999999902</v>
      </c>
      <c r="F361" t="s">
        <v>41</v>
      </c>
      <c r="G361">
        <v>-382.33819999999997</v>
      </c>
      <c r="H361" s="1">
        <v>-3.4715920000000001E-6</v>
      </c>
      <c r="I361">
        <v>368.47519999999997</v>
      </c>
      <c r="J361">
        <v>-423.08600000000001</v>
      </c>
      <c r="K361">
        <v>1.059682</v>
      </c>
      <c r="L361">
        <v>367.7602</v>
      </c>
      <c r="M361">
        <v>0.99991640000000004</v>
      </c>
      <c r="N361">
        <v>-1.003107E-2</v>
      </c>
      <c r="O361">
        <v>8.1737749999999994E-3</v>
      </c>
      <c r="P361">
        <v>0.97773019999999999</v>
      </c>
      <c r="Q361">
        <v>0.17975039999999901</v>
      </c>
      <c r="R361">
        <v>0.1083224</v>
      </c>
      <c r="S361">
        <v>3.076813</v>
      </c>
      <c r="T361">
        <v>-7.9644800000000002E-2</v>
      </c>
      <c r="U361">
        <v>5.3833010000000001E-2</v>
      </c>
      <c r="V361">
        <v>-0.1001011</v>
      </c>
      <c r="W361">
        <v>0.18967680000000001</v>
      </c>
      <c r="X361">
        <v>0.97673049999999995</v>
      </c>
      <c r="Y361">
        <v>-9.3168569999999996E-3</v>
      </c>
      <c r="Z361" s="1">
        <v>3.7757099999999998E-5</v>
      </c>
      <c r="AA361">
        <v>0.99995659999999997</v>
      </c>
      <c r="AB361">
        <v>27</v>
      </c>
      <c r="AC361">
        <v>40.747799999999998</v>
      </c>
      <c r="AD361">
        <v>-1.0596854715919899</v>
      </c>
      <c r="AE361">
        <v>0.71499999999997499</v>
      </c>
      <c r="AF361">
        <v>-0.38163801930289698</v>
      </c>
      <c r="AG361">
        <v>-1.0596854715919899</v>
      </c>
      <c r="AH361">
        <v>40.724749124631202</v>
      </c>
      <c r="AI361">
        <v>91.490473115543793</v>
      </c>
      <c r="AJ361">
        <v>90.5369120307397</v>
      </c>
      <c r="AK361">
        <v>40.740321208117997</v>
      </c>
      <c r="AL361">
        <v>79.066076712691299</v>
      </c>
      <c r="AM361">
        <v>95.851579264204602</v>
      </c>
      <c r="AN361">
        <v>0.99999999415484997</v>
      </c>
    </row>
    <row r="362" spans="1:40" x14ac:dyDescent="0.25">
      <c r="A362" t="str">
        <f>"20190304155023435"</f>
        <v>20190304155023435</v>
      </c>
      <c r="B362" t="str">
        <f>"1551685823427293"</f>
        <v>1551685823427293</v>
      </c>
      <c r="C362" t="s">
        <v>40</v>
      </c>
      <c r="D362">
        <v>5.2587070000000002</v>
      </c>
      <c r="E362">
        <v>0.53292980000000001</v>
      </c>
      <c r="F362" t="s">
        <v>41</v>
      </c>
      <c r="G362">
        <v>-381.57839999999999</v>
      </c>
      <c r="H362" s="1">
        <v>-3.7985749999999999E-6</v>
      </c>
      <c r="I362">
        <v>368.46940000000001</v>
      </c>
      <c r="J362">
        <v>-422.85969999999998</v>
      </c>
      <c r="K362">
        <v>1.0596650000000001</v>
      </c>
      <c r="L362">
        <v>367.76139999999998</v>
      </c>
      <c r="M362">
        <v>0.99992049999999999</v>
      </c>
      <c r="N362">
        <v>-1.0044620000000001E-2</v>
      </c>
      <c r="O362">
        <v>7.6224450000000003E-3</v>
      </c>
      <c r="P362">
        <v>0.97769059999999997</v>
      </c>
      <c r="Q362">
        <v>0.17999660000000001</v>
      </c>
      <c r="R362">
        <v>0.10827050000000001</v>
      </c>
      <c r="S362">
        <v>3.0769039999999999</v>
      </c>
      <c r="T362">
        <v>-7.8552960000000005E-2</v>
      </c>
      <c r="U362">
        <v>5.2581790000000003E-2</v>
      </c>
      <c r="V362">
        <v>-0.10058259999999999</v>
      </c>
      <c r="W362">
        <v>0.18993889999999999</v>
      </c>
      <c r="X362">
        <v>0.97663009999999995</v>
      </c>
      <c r="Y362">
        <v>-9.4610979999999994E-3</v>
      </c>
      <c r="Z362" s="1">
        <v>5.0279399999999998E-5</v>
      </c>
      <c r="AA362">
        <v>0.99995520000000004</v>
      </c>
      <c r="AB362">
        <v>27</v>
      </c>
      <c r="AC362">
        <v>41.281299999999902</v>
      </c>
      <c r="AD362">
        <v>-1.059668798575</v>
      </c>
      <c r="AE362">
        <v>0.70800000000002605</v>
      </c>
      <c r="AF362">
        <v>-0.39304020967143999</v>
      </c>
      <c r="AG362">
        <v>-1.059668798575</v>
      </c>
      <c r="AH362">
        <v>41.258319576327303</v>
      </c>
      <c r="AI362">
        <v>91.471180905293295</v>
      </c>
      <c r="AJ362">
        <v>90.545801773763799</v>
      </c>
      <c r="AK362">
        <v>41.2737969277294</v>
      </c>
      <c r="AL362">
        <v>79.050781490183098</v>
      </c>
      <c r="AM362">
        <v>95.880129643130203</v>
      </c>
      <c r="AN362">
        <v>0.99999999869098899</v>
      </c>
    </row>
    <row r="363" spans="1:40" x14ac:dyDescent="0.25">
      <c r="A363" t="str">
        <f>"20190304155023448"</f>
        <v>20190304155023448</v>
      </c>
      <c r="B363" t="str">
        <f>"1551685823437053"</f>
        <v>1551685823437053</v>
      </c>
      <c r="C363" t="s">
        <v>40</v>
      </c>
      <c r="D363">
        <v>5.2468539999999999</v>
      </c>
      <c r="E363">
        <v>0.53269049999999996</v>
      </c>
      <c r="F363" t="s">
        <v>41</v>
      </c>
      <c r="G363">
        <v>-380.90859999999998</v>
      </c>
      <c r="H363" s="1">
        <v>-4.0766629999999999E-6</v>
      </c>
      <c r="I363">
        <v>368.52159999999998</v>
      </c>
      <c r="J363">
        <v>-422.69310000000002</v>
      </c>
      <c r="K363">
        <v>1.0596559999999999</v>
      </c>
      <c r="L363">
        <v>367.76229999999998</v>
      </c>
      <c r="M363">
        <v>0.99992349999999997</v>
      </c>
      <c r="N363">
        <v>-1.0054499999999999E-2</v>
      </c>
      <c r="O363">
        <v>7.2106109999999996E-3</v>
      </c>
      <c r="P363">
        <v>0.97773500000000002</v>
      </c>
      <c r="Q363">
        <v>0.17998699999999901</v>
      </c>
      <c r="R363">
        <v>0.10788449999999999</v>
      </c>
      <c r="S363">
        <v>3.0765989999999999</v>
      </c>
      <c r="T363">
        <v>-7.7713610000000002E-2</v>
      </c>
      <c r="U363">
        <v>5.5755619999999999E-2</v>
      </c>
      <c r="V363">
        <v>-0.100596</v>
      </c>
      <c r="W363">
        <v>0.18994130000000001</v>
      </c>
      <c r="X363">
        <v>0.97662819999999995</v>
      </c>
      <c r="Y363">
        <v>-1.090522E-2</v>
      </c>
      <c r="Z363" s="1">
        <v>8.2939439999999895E-5</v>
      </c>
      <c r="AA363">
        <v>0.99994050000000001</v>
      </c>
      <c r="AB363">
        <v>27</v>
      </c>
      <c r="AC363">
        <v>41.784500000000001</v>
      </c>
      <c r="AD363">
        <v>-1.059660076663</v>
      </c>
      <c r="AE363">
        <v>0.75929999999999598</v>
      </c>
      <c r="AF363">
        <v>-0.457679014118137</v>
      </c>
      <c r="AG363">
        <v>-1.059660076663</v>
      </c>
      <c r="AH363">
        <v>41.762039121980301</v>
      </c>
      <c r="AI363">
        <v>91.453410400548904</v>
      </c>
      <c r="AJ363">
        <v>90.627891421797798</v>
      </c>
      <c r="AK363">
        <v>41.777987758912602</v>
      </c>
      <c r="AL363">
        <v>79.050640855968098</v>
      </c>
      <c r="AM363">
        <v>95.880918887442604</v>
      </c>
      <c r="AN363">
        <v>0.99999994684846305</v>
      </c>
    </row>
    <row r="364" spans="1:40" x14ac:dyDescent="0.25">
      <c r="A364" t="str">
        <f>"20190304155023460"</f>
        <v>20190304155023460</v>
      </c>
      <c r="B364" t="str">
        <f>"1551685823456573"</f>
        <v>1551685823456573</v>
      </c>
      <c r="C364" t="s">
        <v>40</v>
      </c>
      <c r="D364">
        <v>5.2636649999999996</v>
      </c>
      <c r="E364">
        <v>0.53232630000000003</v>
      </c>
      <c r="F364" t="s">
        <v>41</v>
      </c>
      <c r="G364">
        <v>-380.52370000000002</v>
      </c>
      <c r="H364" s="1">
        <v>-4.2396759999999996E-6</v>
      </c>
      <c r="I364">
        <v>368.53359999999998</v>
      </c>
      <c r="J364">
        <v>-422.5453</v>
      </c>
      <c r="K364">
        <v>1.05965</v>
      </c>
      <c r="L364">
        <v>367.7629</v>
      </c>
      <c r="M364">
        <v>0.99992610000000004</v>
      </c>
      <c r="N364">
        <v>-1.0062990000000001E-2</v>
      </c>
      <c r="O364">
        <v>6.8409589999999998E-3</v>
      </c>
      <c r="P364">
        <v>0.97779890000000003</v>
      </c>
      <c r="Q364">
        <v>0.18000529999999901</v>
      </c>
      <c r="R364">
        <v>0.1072738</v>
      </c>
      <c r="S364">
        <v>3.0763240000000001</v>
      </c>
      <c r="T364">
        <v>-7.7303769999999994E-2</v>
      </c>
      <c r="U364">
        <v>5.6274409999999997E-2</v>
      </c>
      <c r="V364">
        <v>-0.1003445</v>
      </c>
      <c r="W364">
        <v>0.1899689</v>
      </c>
      <c r="X364">
        <v>0.97664870000000004</v>
      </c>
      <c r="Y364">
        <v>-1.144482E-2</v>
      </c>
      <c r="Z364" s="1">
        <v>9.8337869999999997E-5</v>
      </c>
      <c r="AA364">
        <v>0.99993449999999995</v>
      </c>
      <c r="AB364">
        <v>27</v>
      </c>
      <c r="AC364">
        <v>42.0215999999999</v>
      </c>
      <c r="AD364">
        <v>-1.059654239676</v>
      </c>
      <c r="AE364">
        <v>0.77069999999997596</v>
      </c>
      <c r="AF364">
        <v>-0.48289243966780299</v>
      </c>
      <c r="AG364">
        <v>-1.059654239676</v>
      </c>
      <c r="AH364">
        <v>41.999191245289197</v>
      </c>
      <c r="AI364">
        <v>91.445190391316999</v>
      </c>
      <c r="AJ364">
        <v>90.658738390905697</v>
      </c>
      <c r="AK364">
        <v>42.0153319334065</v>
      </c>
      <c r="AL364">
        <v>79.049030117191407</v>
      </c>
      <c r="AM364">
        <v>95.866196394937106</v>
      </c>
      <c r="AN364">
        <v>0.99999994242957302</v>
      </c>
    </row>
    <row r="365" spans="1:40" x14ac:dyDescent="0.25">
      <c r="A365" t="str">
        <f>"20190304155023479"</f>
        <v>20190304155023479</v>
      </c>
      <c r="B365" t="str">
        <f>"1551685823467309"</f>
        <v>1551685823467309</v>
      </c>
      <c r="C365" t="s">
        <v>40</v>
      </c>
      <c r="D365">
        <v>5.2284220000000001</v>
      </c>
      <c r="E365">
        <v>0.53239269999999905</v>
      </c>
      <c r="F365" t="s">
        <v>41</v>
      </c>
      <c r="G365">
        <v>-381.02780000000001</v>
      </c>
      <c r="H365" s="1">
        <v>-4.022677E-6</v>
      </c>
      <c r="I365">
        <v>368.5376</v>
      </c>
      <c r="J365">
        <v>-422.32229999999998</v>
      </c>
      <c r="K365">
        <v>1.059658</v>
      </c>
      <c r="L365">
        <v>367.76389999999998</v>
      </c>
      <c r="M365">
        <v>0.99992970000000003</v>
      </c>
      <c r="N365">
        <v>-1.0075529999999999E-2</v>
      </c>
      <c r="O365">
        <v>6.2797670000000003E-3</v>
      </c>
      <c r="P365">
        <v>0.97779150000000004</v>
      </c>
      <c r="Q365">
        <v>0.18062980000000001</v>
      </c>
      <c r="R365">
        <v>0.10628609999999999</v>
      </c>
      <c r="S365">
        <v>3.0762939999999999</v>
      </c>
      <c r="T365">
        <v>-7.8516359999999993E-2</v>
      </c>
      <c r="U365">
        <v>5.7403559999999999E-2</v>
      </c>
      <c r="V365">
        <v>-9.990251E-2</v>
      </c>
      <c r="W365">
        <v>0.19060559999999999</v>
      </c>
      <c r="X365">
        <v>0.97657000000000005</v>
      </c>
      <c r="Y365">
        <v>-1.23725E-2</v>
      </c>
      <c r="Z365">
        <v>1.232308E-4</v>
      </c>
      <c r="AA365">
        <v>0.99992349999999997</v>
      </c>
      <c r="AB365">
        <v>27</v>
      </c>
      <c r="AC365">
        <v>41.2944999999999</v>
      </c>
      <c r="AD365">
        <v>-1.0596620226769999</v>
      </c>
      <c r="AE365">
        <v>0.77370000000001904</v>
      </c>
      <c r="AF365">
        <v>-0.51401343216316198</v>
      </c>
      <c r="AG365">
        <v>-1.0596620226769999</v>
      </c>
      <c r="AH365">
        <v>41.271377253885703</v>
      </c>
      <c r="AI365">
        <v>91.470658946611593</v>
      </c>
      <c r="AJ365">
        <v>90.713552094291899</v>
      </c>
      <c r="AK365">
        <v>41.288178378844798</v>
      </c>
      <c r="AL365">
        <v>79.0118714159089</v>
      </c>
      <c r="AM365">
        <v>95.841003848399097</v>
      </c>
      <c r="AN365">
        <v>0.99999998557782999</v>
      </c>
    </row>
    <row r="366" spans="1:40" x14ac:dyDescent="0.25">
      <c r="A366" t="str">
        <f>"20190304155023490"</f>
        <v>20190304155023490</v>
      </c>
      <c r="B366" t="str">
        <f>"1551685823486831"</f>
        <v>1551685823486831</v>
      </c>
      <c r="C366" t="s">
        <v>40</v>
      </c>
      <c r="D366">
        <v>5.3051529999999998</v>
      </c>
      <c r="E366">
        <v>0.53242840000000002</v>
      </c>
      <c r="F366" t="s">
        <v>41</v>
      </c>
      <c r="G366">
        <v>-379.7534</v>
      </c>
      <c r="H366" s="1">
        <v>-3.6448139999999999E-7</v>
      </c>
      <c r="I366">
        <v>368.50959999999998</v>
      </c>
      <c r="J366">
        <v>-422.17849999999999</v>
      </c>
      <c r="K366">
        <v>1.059658</v>
      </c>
      <c r="L366">
        <v>367.76440000000002</v>
      </c>
      <c r="M366">
        <v>0.99993180000000004</v>
      </c>
      <c r="N366">
        <v>-1.0083379999999999E-2</v>
      </c>
      <c r="O366">
        <v>5.9166440000000004E-3</v>
      </c>
      <c r="P366">
        <v>0.97770869999999999</v>
      </c>
      <c r="Q366">
        <v>0.18133969999999999</v>
      </c>
      <c r="R366">
        <v>0.1058381</v>
      </c>
      <c r="S366">
        <v>3.076416</v>
      </c>
      <c r="T366">
        <v>-7.6580410000000002E-2</v>
      </c>
      <c r="U366">
        <v>5.3894039999999997E-2</v>
      </c>
      <c r="V366">
        <v>-9.9808240000000006E-2</v>
      </c>
      <c r="W366">
        <v>0.19132260000000001</v>
      </c>
      <c r="X366">
        <v>0.97643939999999996</v>
      </c>
      <c r="Y366">
        <v>-1.1595019999999999E-2</v>
      </c>
      <c r="Z366">
        <v>1.151672E-4</v>
      </c>
      <c r="AA366">
        <v>0.99993279999999995</v>
      </c>
      <c r="AB366">
        <v>27</v>
      </c>
      <c r="AC366">
        <v>42.425099999999901</v>
      </c>
      <c r="AD366">
        <v>-1.0596583644813999</v>
      </c>
      <c r="AE366">
        <v>0.74519999999995401</v>
      </c>
      <c r="AF366">
        <v>-0.49385201706770299</v>
      </c>
      <c r="AG366">
        <v>-1.0596583644813999</v>
      </c>
      <c r="AH366">
        <v>42.402321760594397</v>
      </c>
      <c r="AI366">
        <v>91.431459413933794</v>
      </c>
      <c r="AJ366">
        <v>90.667283200374101</v>
      </c>
      <c r="AK366">
        <v>42.418435335985201</v>
      </c>
      <c r="AL366">
        <v>78.970019888663998</v>
      </c>
      <c r="AM366">
        <v>95.836305337629199</v>
      </c>
      <c r="AN366">
        <v>0.99999996195750795</v>
      </c>
    </row>
    <row r="367" spans="1:40" x14ac:dyDescent="0.25">
      <c r="A367" t="str">
        <f>"20190304155023504"</f>
        <v>20190304155023504</v>
      </c>
      <c r="B367" t="str">
        <f>"1551685823496589"</f>
        <v>1551685823496589</v>
      </c>
      <c r="C367" t="s">
        <v>40</v>
      </c>
      <c r="D367">
        <v>5.3306990000000001</v>
      </c>
      <c r="E367">
        <v>0.53303319999999998</v>
      </c>
      <c r="F367" t="s">
        <v>41</v>
      </c>
      <c r="G367">
        <v>-376.79399999999998</v>
      </c>
      <c r="H367" s="1">
        <v>-1.549863E-6</v>
      </c>
      <c r="I367">
        <v>368.53289999999998</v>
      </c>
      <c r="J367">
        <v>-422.00970000000001</v>
      </c>
      <c r="K367">
        <v>1.059661</v>
      </c>
      <c r="L367">
        <v>367.76499999999999</v>
      </c>
      <c r="M367">
        <v>0.99993399999999999</v>
      </c>
      <c r="N367">
        <v>-1.009227E-2</v>
      </c>
      <c r="O367">
        <v>5.4886170000000003E-3</v>
      </c>
      <c r="P367">
        <v>0.97769450000000002</v>
      </c>
      <c r="Q367">
        <v>0.1817723</v>
      </c>
      <c r="R367">
        <v>0.105225</v>
      </c>
      <c r="S367">
        <v>3.0760800000000001</v>
      </c>
      <c r="T367">
        <v>-7.1821689999999994E-2</v>
      </c>
      <c r="U367">
        <v>5.2093510000000003E-2</v>
      </c>
      <c r="V367">
        <v>-9.9612800000000001E-2</v>
      </c>
      <c r="W367">
        <v>0.19176299999999999</v>
      </c>
      <c r="X367">
        <v>0.97637300000000005</v>
      </c>
      <c r="Y367">
        <v>-1.1440250000000001E-2</v>
      </c>
      <c r="Z367">
        <v>1.185388E-4</v>
      </c>
      <c r="AA367">
        <v>0.99993460000000001</v>
      </c>
      <c r="AB367">
        <v>27</v>
      </c>
      <c r="AC367">
        <v>45.215699999999899</v>
      </c>
      <c r="AD367">
        <v>-1.0596625498629999</v>
      </c>
      <c r="AE367">
        <v>0.76789999999999703</v>
      </c>
      <c r="AF367">
        <v>-0.51941893112633397</v>
      </c>
      <c r="AG367">
        <v>-1.0596625498629999</v>
      </c>
      <c r="AH367">
        <v>45.194418678906601</v>
      </c>
      <c r="AI367">
        <v>91.343065452375996</v>
      </c>
      <c r="AJ367">
        <v>90.658470740042205</v>
      </c>
      <c r="AK367">
        <v>45.209823716421397</v>
      </c>
      <c r="AL367">
        <v>78.944311191381601</v>
      </c>
      <c r="AM367">
        <v>95.825349020340695</v>
      </c>
      <c r="AN367">
        <v>0.99999999661091998</v>
      </c>
    </row>
    <row r="368" spans="1:40" x14ac:dyDescent="0.25">
      <c r="A368" t="str">
        <f>"20190304155023525"</f>
        <v>20190304155023525</v>
      </c>
      <c r="B368" t="str">
        <f>"1551685823516617"</f>
        <v>1551685823516617</v>
      </c>
      <c r="C368" t="s">
        <v>40</v>
      </c>
      <c r="D368">
        <v>5.3195810000000003</v>
      </c>
      <c r="E368">
        <v>0.53425840000000002</v>
      </c>
      <c r="F368" t="s">
        <v>41</v>
      </c>
      <c r="G368">
        <v>-375.72089999999997</v>
      </c>
      <c r="H368" s="1">
        <v>-2.0248550000000001E-6</v>
      </c>
      <c r="I368">
        <v>368.4504</v>
      </c>
      <c r="J368">
        <v>-421.75979999999998</v>
      </c>
      <c r="K368">
        <v>1.0596589999999999</v>
      </c>
      <c r="L368">
        <v>367.76569999999998</v>
      </c>
      <c r="M368">
        <v>0.99993730000000003</v>
      </c>
      <c r="N368">
        <v>-1.0104749999999999E-2</v>
      </c>
      <c r="O368">
        <v>4.8539270000000001E-3</v>
      </c>
      <c r="P368">
        <v>0.97779360000000004</v>
      </c>
      <c r="Q368">
        <v>0.18183930000000001</v>
      </c>
      <c r="R368">
        <v>0.1041846</v>
      </c>
      <c r="S368">
        <v>3.0765989999999999</v>
      </c>
      <c r="T368">
        <v>-7.0430759999999995E-2</v>
      </c>
      <c r="U368">
        <v>4.5562739999999997E-2</v>
      </c>
      <c r="V368">
        <v>-9.9191760000000004E-2</v>
      </c>
      <c r="W368">
        <v>0.1918426</v>
      </c>
      <c r="X368">
        <v>0.9764003</v>
      </c>
      <c r="Y368">
        <v>-9.9506530000000003E-3</v>
      </c>
      <c r="Z368">
        <v>1.0211110000000001E-4</v>
      </c>
      <c r="AA368">
        <v>0.99995049999999996</v>
      </c>
      <c r="AB368">
        <v>27</v>
      </c>
      <c r="AC368">
        <v>46.038899999999998</v>
      </c>
      <c r="AD368">
        <v>-1.05966102485499</v>
      </c>
      <c r="AE368">
        <v>0.68470000000001996</v>
      </c>
      <c r="AF368">
        <v>-0.460966943379023</v>
      </c>
      <c r="AG368">
        <v>-1.05966102485499</v>
      </c>
      <c r="AH368">
        <v>46.01730823007</v>
      </c>
      <c r="AI368">
        <v>91.319076111928197</v>
      </c>
      <c r="AJ368">
        <v>90.573927028708695</v>
      </c>
      <c r="AK368">
        <v>46.031815397089801</v>
      </c>
      <c r="AL368">
        <v>78.939664958129299</v>
      </c>
      <c r="AM368">
        <v>95.800733815803994</v>
      </c>
      <c r="AN368">
        <v>1.00000006713337</v>
      </c>
    </row>
    <row r="369" spans="1:40" x14ac:dyDescent="0.25">
      <c r="A369" t="str">
        <f>"20190304155023546"</f>
        <v>20190304155023546</v>
      </c>
      <c r="B369" t="str">
        <f>"1551685823537112"</f>
        <v>1551685823537112</v>
      </c>
      <c r="C369" t="s">
        <v>40</v>
      </c>
      <c r="D369">
        <v>5.8689369999999998</v>
      </c>
      <c r="E369">
        <v>0.57572769999999995</v>
      </c>
      <c r="F369" t="s">
        <v>41</v>
      </c>
      <c r="G369">
        <v>-375.88310000000001</v>
      </c>
      <c r="H369" s="1">
        <v>-1.9911279999999998E-6</v>
      </c>
      <c r="I369">
        <v>368.2482</v>
      </c>
      <c r="J369">
        <v>-421.4819</v>
      </c>
      <c r="K369">
        <v>1.0596570000000001</v>
      </c>
      <c r="L369">
        <v>367.76620000000003</v>
      </c>
      <c r="M369">
        <v>0.9999403</v>
      </c>
      <c r="N369">
        <v>-1.011805E-2</v>
      </c>
      <c r="O369">
        <v>4.1494409999999898E-3</v>
      </c>
      <c r="P369">
        <v>0.97802800000000001</v>
      </c>
      <c r="Q369">
        <v>0.18134439999999999</v>
      </c>
      <c r="R369">
        <v>0.1028386</v>
      </c>
      <c r="S369">
        <v>3.0779109999999998</v>
      </c>
      <c r="T369">
        <v>-7.109356E-2</v>
      </c>
      <c r="U369">
        <v>3.2379150000000002E-2</v>
      </c>
      <c r="V369">
        <v>-9.8533979999999993E-2</v>
      </c>
      <c r="W369">
        <v>0.19136149999999999</v>
      </c>
      <c r="X369">
        <v>0.97656120000000002</v>
      </c>
      <c r="Y369">
        <v>-6.3676560000000002E-3</v>
      </c>
      <c r="Z369" s="1">
        <v>5.190395E-5</v>
      </c>
      <c r="AA369">
        <v>0.99997970000000003</v>
      </c>
      <c r="AB369">
        <v>27</v>
      </c>
      <c r="AC369">
        <v>45.598799999999898</v>
      </c>
      <c r="AD369">
        <v>-1.0596589911280001</v>
      </c>
      <c r="AE369">
        <v>0.48199999999997001</v>
      </c>
      <c r="AF369">
        <v>-0.29261864452639103</v>
      </c>
      <c r="AG369">
        <v>-1.0596589911280001</v>
      </c>
      <c r="AH369">
        <v>45.575797558524499</v>
      </c>
      <c r="AI369">
        <v>91.331886739987098</v>
      </c>
      <c r="AJ369">
        <v>90.367861537596497</v>
      </c>
      <c r="AK369">
        <v>45.589053795228203</v>
      </c>
      <c r="AL369">
        <v>78.967749251540596</v>
      </c>
      <c r="AM369">
        <v>95.761583522097098</v>
      </c>
      <c r="AN369">
        <v>0.99999997312116395</v>
      </c>
    </row>
    <row r="370" spans="1:40" x14ac:dyDescent="0.25">
      <c r="A370" t="str">
        <f>"20190304155023559"</f>
        <v>20190304155023559</v>
      </c>
      <c r="B370" t="str">
        <f>"1551685823556632"</f>
        <v>1551685823556632</v>
      </c>
      <c r="C370" t="s">
        <v>40</v>
      </c>
      <c r="D370">
        <v>5.3346390000000001</v>
      </c>
      <c r="E370">
        <v>0.57067190000000001</v>
      </c>
      <c r="F370" t="s">
        <v>45</v>
      </c>
      <c r="G370">
        <v>-162.63570000000001</v>
      </c>
      <c r="H370">
        <v>25.340959999999999</v>
      </c>
      <c r="I370">
        <v>342.6275</v>
      </c>
      <c r="J370">
        <v>-421.32889999999998</v>
      </c>
      <c r="K370">
        <v>1.0596559999999999</v>
      </c>
      <c r="L370">
        <v>367.76639999999998</v>
      </c>
      <c r="M370">
        <v>0.99994179999999999</v>
      </c>
      <c r="N370">
        <v>-1.012509E-2</v>
      </c>
      <c r="O370">
        <v>3.762091E-3</v>
      </c>
      <c r="P370">
        <v>0.97815099999999999</v>
      </c>
      <c r="Q370">
        <v>0.18106910000000001</v>
      </c>
      <c r="R370">
        <v>0.1021508</v>
      </c>
      <c r="S370">
        <v>3.0455320000000001</v>
      </c>
      <c r="T370">
        <v>0.28568890000000002</v>
      </c>
      <c r="U370">
        <v>-0.29577639999999999</v>
      </c>
      <c r="V370">
        <v>-9.8224859999999997E-2</v>
      </c>
      <c r="W370">
        <v>0.19109419999999999</v>
      </c>
      <c r="X370">
        <v>0.97664470000000003</v>
      </c>
      <c r="Y370">
        <v>9.9999729999999995E-2</v>
      </c>
      <c r="Z370">
        <v>4.5499019999999998E-3</v>
      </c>
      <c r="AA370">
        <v>0.99497709999999995</v>
      </c>
      <c r="AB370">
        <v>27</v>
      </c>
      <c r="AC370">
        <v>258.69319999999999</v>
      </c>
      <c r="AD370">
        <v>24.281303999999999</v>
      </c>
      <c r="AE370">
        <v>-25.1388999999999</v>
      </c>
      <c r="AF370">
        <v>25.8860773079228</v>
      </c>
      <c r="AG370">
        <v>24.281303999999999</v>
      </c>
      <c r="AH370">
        <v>256.35940138955499</v>
      </c>
      <c r="AI370">
        <v>84.616535222192795</v>
      </c>
      <c r="AJ370">
        <v>84.234060618780703</v>
      </c>
      <c r="AK370">
        <v>258.80458535957803</v>
      </c>
      <c r="AL370">
        <v>78.983352582873593</v>
      </c>
      <c r="AM370">
        <v>95.743141588054399</v>
      </c>
      <c r="AN370">
        <v>0.99999999321687405</v>
      </c>
    </row>
    <row r="371" spans="1:40" x14ac:dyDescent="0.25">
      <c r="A371" t="str">
        <f>"20190304155023579"</f>
        <v>20190304155023579</v>
      </c>
      <c r="B371" t="str">
        <f>"1551685823577130"</f>
        <v>1551685823577130</v>
      </c>
      <c r="C371" t="s">
        <v>40</v>
      </c>
      <c r="D371">
        <v>5.3278549999999996</v>
      </c>
      <c r="E371">
        <v>0.56974769999999997</v>
      </c>
      <c r="F371" t="s">
        <v>53</v>
      </c>
      <c r="G371">
        <v>0</v>
      </c>
      <c r="H371">
        <v>0</v>
      </c>
      <c r="I371">
        <v>0</v>
      </c>
      <c r="J371">
        <v>-421.0899</v>
      </c>
      <c r="K371">
        <v>1.059653</v>
      </c>
      <c r="L371">
        <v>367.76670000000001</v>
      </c>
      <c r="M371">
        <v>0.99994360000000004</v>
      </c>
      <c r="N371">
        <v>-1.0135679999999999E-2</v>
      </c>
      <c r="O371">
        <v>3.1580029999999999E-3</v>
      </c>
      <c r="P371">
        <v>0.9782769</v>
      </c>
      <c r="Q371">
        <v>0.18093229999999999</v>
      </c>
      <c r="R371">
        <v>0.1011813</v>
      </c>
      <c r="S371">
        <v>3.0719910000000001</v>
      </c>
      <c r="T371">
        <v>0.1199721</v>
      </c>
      <c r="U371">
        <v>-0.2600403</v>
      </c>
      <c r="V371">
        <v>-9.78459E-2</v>
      </c>
      <c r="W371">
        <v>0.19096779999999999</v>
      </c>
      <c r="X371">
        <v>0.97670749999999995</v>
      </c>
      <c r="Y371">
        <v>8.7440920000000005E-2</v>
      </c>
      <c r="Z371">
        <v>1.4146860000000001E-3</v>
      </c>
      <c r="AA371">
        <v>0.99616870000000002</v>
      </c>
      <c r="AB371">
        <v>27</v>
      </c>
      <c r="AC371">
        <v>3.0719910000000001</v>
      </c>
      <c r="AD371">
        <v>0.1199721</v>
      </c>
      <c r="AE371">
        <v>-0.2600403</v>
      </c>
      <c r="AF371">
        <v>0.269333000375443</v>
      </c>
      <c r="AG371">
        <v>0.1199721</v>
      </c>
      <c r="AH371">
        <v>3.0665107278169499</v>
      </c>
      <c r="AI371">
        <v>87.768124436001699</v>
      </c>
      <c r="AJ371">
        <v>84.980566720377496</v>
      </c>
      <c r="AK371">
        <v>3.0806527901868601</v>
      </c>
      <c r="AL371">
        <v>78.990731061282204</v>
      </c>
      <c r="AM371">
        <v>95.720765906017505</v>
      </c>
      <c r="AN371">
        <v>1.0000000306699399</v>
      </c>
    </row>
    <row r="372" spans="1:40" x14ac:dyDescent="0.25">
      <c r="A372" t="str">
        <f>"20190304155023590"</f>
        <v>20190304155023590</v>
      </c>
      <c r="B372" t="str">
        <f>"1551685823586889"</f>
        <v>1551685823586889</v>
      </c>
      <c r="C372" t="s">
        <v>40</v>
      </c>
      <c r="D372">
        <v>5.3775279999999999</v>
      </c>
      <c r="E372">
        <v>0.5700132</v>
      </c>
      <c r="F372" t="s">
        <v>53</v>
      </c>
      <c r="G372">
        <v>0</v>
      </c>
      <c r="H372">
        <v>0</v>
      </c>
      <c r="I372">
        <v>0</v>
      </c>
      <c r="J372">
        <v>-420.94349999999997</v>
      </c>
      <c r="K372">
        <v>1.059652</v>
      </c>
      <c r="L372">
        <v>367.76670000000001</v>
      </c>
      <c r="M372">
        <v>0.99994470000000002</v>
      </c>
      <c r="N372">
        <v>-1.014192E-2</v>
      </c>
      <c r="O372">
        <v>2.7881239999999999E-3</v>
      </c>
      <c r="P372">
        <v>0.9783406</v>
      </c>
      <c r="Q372">
        <v>0.18116170000000001</v>
      </c>
      <c r="R372">
        <v>0.10015010000000001</v>
      </c>
      <c r="S372">
        <v>3.0845030000000002</v>
      </c>
      <c r="T372">
        <v>4.6978470000000001E-2</v>
      </c>
      <c r="U372">
        <v>-0.2566833</v>
      </c>
      <c r="V372">
        <v>-9.7175810000000001E-2</v>
      </c>
      <c r="W372">
        <v>0.19120280000000001</v>
      </c>
      <c r="X372">
        <v>0.97672840000000005</v>
      </c>
      <c r="Y372">
        <v>8.5704600000000006E-2</v>
      </c>
      <c r="Z372">
        <v>2.867387E-4</v>
      </c>
      <c r="AA372">
        <v>0.99632050000000005</v>
      </c>
      <c r="AB372">
        <v>27</v>
      </c>
      <c r="AC372">
        <v>3.0845030000000002</v>
      </c>
      <c r="AD372">
        <v>4.6978470000000001E-2</v>
      </c>
      <c r="AE372">
        <v>-0.2566833</v>
      </c>
      <c r="AF372">
        <v>0.26522162152516299</v>
      </c>
      <c r="AG372">
        <v>4.6978470000000001E-2</v>
      </c>
      <c r="AH372">
        <v>3.0830650555099499</v>
      </c>
      <c r="AI372">
        <v>89.130230046439294</v>
      </c>
      <c r="AJ372">
        <v>85.083217710157697</v>
      </c>
      <c r="AK372">
        <v>3.09480849515354</v>
      </c>
      <c r="AL372">
        <v>78.977013539102799</v>
      </c>
      <c r="AM372">
        <v>95.681724127508204</v>
      </c>
      <c r="AN372">
        <v>1.0000000080717699</v>
      </c>
    </row>
    <row r="373" spans="1:40" x14ac:dyDescent="0.25">
      <c r="A373" t="str">
        <f>"20190304155023613"</f>
        <v>20190304155023613</v>
      </c>
      <c r="B373" t="str">
        <f>"1551685823607385"</f>
        <v>1551685823607385</v>
      </c>
      <c r="C373" t="s">
        <v>40</v>
      </c>
      <c r="D373">
        <v>5.3658289999999997</v>
      </c>
      <c r="E373">
        <v>0.57206309999999905</v>
      </c>
      <c r="F373" t="s">
        <v>53</v>
      </c>
      <c r="G373">
        <v>0</v>
      </c>
      <c r="H373">
        <v>0</v>
      </c>
      <c r="I373">
        <v>0</v>
      </c>
      <c r="J373">
        <v>-420.66829999999999</v>
      </c>
      <c r="K373">
        <v>1.059653</v>
      </c>
      <c r="L373">
        <v>367.76670000000001</v>
      </c>
      <c r="M373">
        <v>0.99994629999999995</v>
      </c>
      <c r="N373">
        <v>-1.015317E-2</v>
      </c>
      <c r="O373">
        <v>2.0942109999999999E-3</v>
      </c>
      <c r="P373">
        <v>0.97849660000000005</v>
      </c>
      <c r="Q373">
        <v>0.1813939</v>
      </c>
      <c r="R373">
        <v>9.8185560000000005E-2</v>
      </c>
      <c r="S373">
        <v>3.0853579999999998</v>
      </c>
      <c r="T373">
        <v>4.2361620000000003E-2</v>
      </c>
      <c r="U373">
        <v>-0.26171879999999997</v>
      </c>
      <c r="V373">
        <v>-9.5889370000000002E-2</v>
      </c>
      <c r="W373">
        <v>0.19144520000000001</v>
      </c>
      <c r="X373">
        <v>0.97680809999999996</v>
      </c>
      <c r="Y373">
        <v>8.6606489999999994E-2</v>
      </c>
      <c r="Z373">
        <v>2.0290980000000001E-4</v>
      </c>
      <c r="AA373">
        <v>0.99624259999999998</v>
      </c>
      <c r="AB373">
        <v>28</v>
      </c>
      <c r="AC373">
        <v>3.0853579999999998</v>
      </c>
      <c r="AD373">
        <v>4.2361620000000003E-2</v>
      </c>
      <c r="AE373">
        <v>-0.26171879999999997</v>
      </c>
      <c r="AF373">
        <v>0.26812976551579898</v>
      </c>
      <c r="AG373">
        <v>4.2361620000000003E-2</v>
      </c>
      <c r="AH373">
        <v>3.0842258576389701</v>
      </c>
      <c r="AI373">
        <v>89.216052602618802</v>
      </c>
      <c r="AJ373">
        <v>85.031435360566306</v>
      </c>
      <c r="AK373">
        <v>3.0961487720930698</v>
      </c>
      <c r="AL373">
        <v>78.962864119613002</v>
      </c>
      <c r="AM373">
        <v>95.606535811138897</v>
      </c>
      <c r="AN373">
        <v>1.00000005005382</v>
      </c>
    </row>
    <row r="374" spans="1:40" x14ac:dyDescent="0.25">
      <c r="A374" t="str">
        <f>"20190304155023635"</f>
        <v>20190304155023635</v>
      </c>
      <c r="B374" t="str">
        <f>"1551685823627428"</f>
        <v>1551685823627428</v>
      </c>
      <c r="C374" t="s">
        <v>40</v>
      </c>
      <c r="D374">
        <v>6.0918380000000001</v>
      </c>
      <c r="E374">
        <v>0.56553050000000005</v>
      </c>
      <c r="F374" t="s">
        <v>45</v>
      </c>
      <c r="G374">
        <v>-143.6317</v>
      </c>
      <c r="H374">
        <v>5.379867</v>
      </c>
      <c r="I374">
        <v>342.35180000000003</v>
      </c>
      <c r="J374">
        <v>-420.39319999999998</v>
      </c>
      <c r="K374">
        <v>1.0596449999999999</v>
      </c>
      <c r="L374">
        <v>367.76650000000001</v>
      </c>
      <c r="M374">
        <v>0.99994740000000004</v>
      </c>
      <c r="N374">
        <v>-1.016384E-2</v>
      </c>
      <c r="O374">
        <v>1.4026879999999901E-3</v>
      </c>
      <c r="P374">
        <v>0.97868929999999998</v>
      </c>
      <c r="Q374">
        <v>0.18131890000000001</v>
      </c>
      <c r="R374">
        <v>9.6388290000000001E-2</v>
      </c>
      <c r="S374">
        <v>3.0854189999999999</v>
      </c>
      <c r="T374">
        <v>4.8115249999999998E-2</v>
      </c>
      <c r="U374">
        <v>-0.28305049999999998</v>
      </c>
      <c r="V374">
        <v>-9.4768959999999999E-2</v>
      </c>
      <c r="W374">
        <v>0.19138069999999999</v>
      </c>
      <c r="X374">
        <v>0.97692999999999997</v>
      </c>
      <c r="Y374">
        <v>9.2747019999999999E-2</v>
      </c>
      <c r="Z374">
        <v>2.8531869999999998E-4</v>
      </c>
      <c r="AA374">
        <v>0.99568970000000001</v>
      </c>
      <c r="AB374">
        <v>28</v>
      </c>
      <c r="AC374">
        <v>276.76150000000001</v>
      </c>
      <c r="AD374">
        <v>4.3202219999999896</v>
      </c>
      <c r="AE374">
        <v>-25.4146999999999</v>
      </c>
      <c r="AF374">
        <v>25.7966717752684</v>
      </c>
      <c r="AG374">
        <v>4.3202219999999896</v>
      </c>
      <c r="AH374">
        <v>276.658727447221</v>
      </c>
      <c r="AI374">
        <v>89.109221906564201</v>
      </c>
      <c r="AJ374">
        <v>84.672934805246101</v>
      </c>
      <c r="AK374">
        <v>277.892396559399</v>
      </c>
      <c r="AL374">
        <v>78.966628495571797</v>
      </c>
      <c r="AM374">
        <v>95.540749778655197</v>
      </c>
      <c r="AN374">
        <v>0.99999997650598504</v>
      </c>
    </row>
    <row r="375" spans="1:40" x14ac:dyDescent="0.25">
      <c r="A375" t="str">
        <f>"20190304155023646"</f>
        <v>20190304155023646</v>
      </c>
      <c r="B375" t="str">
        <f>"1551685823637171"</f>
        <v>1551685823637171</v>
      </c>
      <c r="C375" t="s">
        <v>40</v>
      </c>
      <c r="D375">
        <v>5.4330819999999997</v>
      </c>
      <c r="E375">
        <v>0.56553050000000005</v>
      </c>
      <c r="F375" t="s">
        <v>53</v>
      </c>
      <c r="G375">
        <v>0</v>
      </c>
      <c r="H375">
        <v>0</v>
      </c>
      <c r="I375">
        <v>0</v>
      </c>
      <c r="J375">
        <v>-420.24889999999999</v>
      </c>
      <c r="K375">
        <v>1.059644</v>
      </c>
      <c r="L375">
        <v>367.76639999999998</v>
      </c>
      <c r="M375">
        <v>0.99994780000000005</v>
      </c>
      <c r="N375">
        <v>-1.0169299999999999E-2</v>
      </c>
      <c r="O375">
        <v>1.0401480000000001E-3</v>
      </c>
      <c r="P375">
        <v>0.97880120000000004</v>
      </c>
      <c r="Q375">
        <v>0.18130309999999999</v>
      </c>
      <c r="R375">
        <v>9.5277909999999993E-2</v>
      </c>
      <c r="S375">
        <v>2.9960939999999998</v>
      </c>
      <c r="T375">
        <v>0.49662099999999998</v>
      </c>
      <c r="U375">
        <v>-0.23156740000000001</v>
      </c>
      <c r="V375">
        <v>-9.4013070000000004E-2</v>
      </c>
      <c r="W375">
        <v>0.19136990000000001</v>
      </c>
      <c r="X375">
        <v>0.97700520000000002</v>
      </c>
      <c r="Y375">
        <v>7.7100600000000005E-2</v>
      </c>
      <c r="Z375">
        <v>6.1237720000000004E-3</v>
      </c>
      <c r="AA375">
        <v>0.99700449999999996</v>
      </c>
      <c r="AB375">
        <v>28</v>
      </c>
      <c r="AC375">
        <v>2.9960939999999998</v>
      </c>
      <c r="AD375">
        <v>0.49662099999999998</v>
      </c>
      <c r="AE375">
        <v>-0.23156740000000001</v>
      </c>
      <c r="AF375">
        <v>0.228444551427747</v>
      </c>
      <c r="AG375">
        <v>0.49662099999999998</v>
      </c>
      <c r="AH375">
        <v>2.9162042855078298</v>
      </c>
      <c r="AI375">
        <v>80.364377274892206</v>
      </c>
      <c r="AJ375">
        <v>85.520809981060296</v>
      </c>
      <c r="AK375">
        <v>2.9669962530364402</v>
      </c>
      <c r="AL375">
        <v>78.967259522224595</v>
      </c>
      <c r="AM375">
        <v>95.496407265336998</v>
      </c>
      <c r="AN375">
        <v>1.0000000283919299</v>
      </c>
    </row>
    <row r="376" spans="1:40" x14ac:dyDescent="0.25">
      <c r="A376" t="str">
        <f>"20190304155023659"</f>
        <v>20190304155023659</v>
      </c>
      <c r="B376" t="str">
        <f>"1551685823656691"</f>
        <v>1551685823656691</v>
      </c>
      <c r="C376" t="s">
        <v>40</v>
      </c>
      <c r="D376">
        <v>5.6785959999999998</v>
      </c>
      <c r="E376">
        <v>0.56524010000000002</v>
      </c>
      <c r="F376" t="s">
        <v>53</v>
      </c>
      <c r="G376">
        <v>0</v>
      </c>
      <c r="H376">
        <v>0</v>
      </c>
      <c r="I376">
        <v>0</v>
      </c>
      <c r="J376">
        <v>-420.09809999999999</v>
      </c>
      <c r="K376">
        <v>1.0596429999999999</v>
      </c>
      <c r="L376">
        <v>367.76609999999999</v>
      </c>
      <c r="M376">
        <v>0.99994810000000001</v>
      </c>
      <c r="N376">
        <v>-1.0176650000000001E-2</v>
      </c>
      <c r="O376">
        <v>6.6276289999999999E-4</v>
      </c>
      <c r="P376">
        <v>0.97886609999999996</v>
      </c>
      <c r="Q376">
        <v>0.18145819999999999</v>
      </c>
      <c r="R376">
        <v>9.4307660000000001E-2</v>
      </c>
      <c r="S376">
        <v>2.9958800000000001</v>
      </c>
      <c r="T376">
        <v>0.49667060000000002</v>
      </c>
      <c r="U376">
        <v>-0.23513790000000001</v>
      </c>
      <c r="V376">
        <v>-9.3411869999999994E-2</v>
      </c>
      <c r="W376">
        <v>0.19153139999999999</v>
      </c>
      <c r="X376">
        <v>0.97703119999999999</v>
      </c>
      <c r="Y376">
        <v>7.7906219999999998E-2</v>
      </c>
      <c r="Z376">
        <v>6.1205209999999899E-3</v>
      </c>
      <c r="AA376">
        <v>0.99694190000000005</v>
      </c>
      <c r="AB376">
        <v>28</v>
      </c>
      <c r="AC376">
        <v>2.9958800000000001</v>
      </c>
      <c r="AD376">
        <v>0.49667060000000002</v>
      </c>
      <c r="AE376">
        <v>-0.23513790000000001</v>
      </c>
      <c r="AF376">
        <v>0.23081841758366201</v>
      </c>
      <c r="AG376">
        <v>0.49667060000000002</v>
      </c>
      <c r="AH376">
        <v>2.9160674910820101</v>
      </c>
      <c r="AI376">
        <v>80.363594530547502</v>
      </c>
      <c r="AJ376">
        <v>85.474245725484593</v>
      </c>
      <c r="AK376">
        <v>2.9670538315550501</v>
      </c>
      <c r="AL376">
        <v>78.957831660221899</v>
      </c>
      <c r="AM376">
        <v>95.461327276165605</v>
      </c>
      <c r="AN376">
        <v>1.0000000102081401</v>
      </c>
    </row>
    <row r="377" spans="1:40" x14ac:dyDescent="0.25">
      <c r="A377" t="str">
        <f>"20190304155023672"</f>
        <v>20190304155023672</v>
      </c>
      <c r="B377" t="str">
        <f>"1551685823667427"</f>
        <v>1551685823667427</v>
      </c>
      <c r="C377" t="s">
        <v>40</v>
      </c>
      <c r="D377">
        <v>5.3823189999999999</v>
      </c>
      <c r="E377">
        <v>0.56491569999999902</v>
      </c>
      <c r="F377" t="s">
        <v>53</v>
      </c>
      <c r="G377">
        <v>0</v>
      </c>
      <c r="H377">
        <v>0</v>
      </c>
      <c r="I377">
        <v>0</v>
      </c>
      <c r="J377">
        <v>-419.94639999999998</v>
      </c>
      <c r="K377">
        <v>1.059647</v>
      </c>
      <c r="L377">
        <v>367.76580000000001</v>
      </c>
      <c r="M377">
        <v>0.99994810000000001</v>
      </c>
      <c r="N377">
        <v>-1.0184759999999999E-2</v>
      </c>
      <c r="O377">
        <v>2.8388529999999999E-4</v>
      </c>
      <c r="P377">
        <v>0.97901289999999996</v>
      </c>
      <c r="Q377">
        <v>0.18116199999999999</v>
      </c>
      <c r="R377">
        <v>9.3351020000000007E-2</v>
      </c>
      <c r="S377">
        <v>2.994202</v>
      </c>
      <c r="T377">
        <v>0.50273299999999999</v>
      </c>
      <c r="U377">
        <v>-0.23544309999999999</v>
      </c>
      <c r="V377">
        <v>-9.2827350000000003E-2</v>
      </c>
      <c r="W377">
        <v>0.19124350000000001</v>
      </c>
      <c r="X377">
        <v>0.97714330000000005</v>
      </c>
      <c r="Y377">
        <v>7.7655970000000005E-2</v>
      </c>
      <c r="Z377">
        <v>6.1157130000000001E-3</v>
      </c>
      <c r="AA377">
        <v>0.99696149999999994</v>
      </c>
      <c r="AB377">
        <v>28</v>
      </c>
      <c r="AC377">
        <v>2.994202</v>
      </c>
      <c r="AD377">
        <v>0.50273299999999999</v>
      </c>
      <c r="AE377">
        <v>-0.23544309999999999</v>
      </c>
      <c r="AF377">
        <v>0.22985314254372399</v>
      </c>
      <c r="AG377">
        <v>0.50273299999999999</v>
      </c>
      <c r="AH377">
        <v>2.91253201118543</v>
      </c>
      <c r="AI377">
        <v>80.236430182028798</v>
      </c>
      <c r="AJ377">
        <v>85.487645856847806</v>
      </c>
      <c r="AK377">
        <v>2.9645262104771599</v>
      </c>
      <c r="AL377">
        <v>78.974637791989494</v>
      </c>
      <c r="AM377">
        <v>95.426739074622503</v>
      </c>
      <c r="AN377">
        <v>1.00000001096758</v>
      </c>
    </row>
    <row r="378" spans="1:40" x14ac:dyDescent="0.25">
      <c r="A378" t="str">
        <f>"20190304155023689"</f>
        <v>20190304155023689</v>
      </c>
      <c r="B378" t="str">
        <f>"1551685823686947"</f>
        <v>1551685823686947</v>
      </c>
      <c r="C378" t="s">
        <v>40</v>
      </c>
      <c r="D378">
        <v>8.21112299999999</v>
      </c>
      <c r="E378">
        <v>0.56520300000000001</v>
      </c>
      <c r="F378" t="s">
        <v>53</v>
      </c>
      <c r="G378">
        <v>0</v>
      </c>
      <c r="H378">
        <v>0</v>
      </c>
      <c r="I378">
        <v>0</v>
      </c>
      <c r="J378">
        <v>-419.72500000000002</v>
      </c>
      <c r="K378">
        <v>1.05965</v>
      </c>
      <c r="L378">
        <v>367.76530000000002</v>
      </c>
      <c r="M378">
        <v>0.99994799999999995</v>
      </c>
      <c r="N378">
        <v>-1.019865E-2</v>
      </c>
      <c r="O378">
        <v>-2.6613709999999998E-4</v>
      </c>
      <c r="P378">
        <v>0.97910410000000003</v>
      </c>
      <c r="Q378">
        <v>0.18119669999999999</v>
      </c>
      <c r="R378">
        <v>9.2320020000000003E-2</v>
      </c>
      <c r="S378">
        <v>2.9960330000000002</v>
      </c>
      <c r="T378">
        <v>0.49072719999999997</v>
      </c>
      <c r="U378">
        <v>-0.2361145</v>
      </c>
      <c r="V378">
        <v>-9.2334899999999998E-2</v>
      </c>
      <c r="W378">
        <v>0.19129170000000001</v>
      </c>
      <c r="X378">
        <v>0.97718050000000001</v>
      </c>
      <c r="Y378">
        <v>7.7344679999999999E-2</v>
      </c>
      <c r="Z378">
        <v>5.8393759999999899E-3</v>
      </c>
      <c r="AA378">
        <v>0.99698730000000002</v>
      </c>
      <c r="AB378">
        <v>28</v>
      </c>
      <c r="AC378">
        <v>2.9960330000000002</v>
      </c>
      <c r="AD378">
        <v>0.49072719999999997</v>
      </c>
      <c r="AE378">
        <v>-0.2361145</v>
      </c>
      <c r="AF378">
        <v>0.22920593086569799</v>
      </c>
      <c r="AG378">
        <v>0.49072719999999997</v>
      </c>
      <c r="AH378">
        <v>2.9182873989694098</v>
      </c>
      <c r="AI378">
        <v>80.483446991094098</v>
      </c>
      <c r="AJ378">
        <v>85.5091372014668</v>
      </c>
      <c r="AK378">
        <v>2.96812228295054</v>
      </c>
      <c r="AL378">
        <v>78.971823944272799</v>
      </c>
      <c r="AM378">
        <v>95.397916394511697</v>
      </c>
      <c r="AN378">
        <v>0.999999988913575</v>
      </c>
    </row>
    <row r="379" spans="1:40" x14ac:dyDescent="0.25">
      <c r="A379" t="str">
        <f>"20190304155023714"</f>
        <v>20190304155023714</v>
      </c>
      <c r="B379" t="str">
        <f>"1551685823707444"</f>
        <v>1551685823707444</v>
      </c>
      <c r="C379" t="s">
        <v>40</v>
      </c>
      <c r="D379">
        <v>5.5239019999999996</v>
      </c>
      <c r="E379">
        <v>0.56094820000000001</v>
      </c>
      <c r="F379" t="s">
        <v>53</v>
      </c>
      <c r="G379">
        <v>0</v>
      </c>
      <c r="H379">
        <v>0</v>
      </c>
      <c r="I379">
        <v>0</v>
      </c>
      <c r="J379">
        <v>-419.41559999999998</v>
      </c>
      <c r="K379">
        <v>1.059658</v>
      </c>
      <c r="L379">
        <v>367.76440000000002</v>
      </c>
      <c r="M379">
        <v>0.99994729999999998</v>
      </c>
      <c r="N379">
        <v>-1.022003E-2</v>
      </c>
      <c r="O379">
        <v>-1.0308209999999999E-3</v>
      </c>
      <c r="P379">
        <v>0.97911610000000004</v>
      </c>
      <c r="Q379">
        <v>0.18177499999999999</v>
      </c>
      <c r="R379">
        <v>9.1046870000000002E-2</v>
      </c>
      <c r="S379">
        <v>2.9957579999999999</v>
      </c>
      <c r="T379">
        <v>0.492087</v>
      </c>
      <c r="U379">
        <v>-0.2416382</v>
      </c>
      <c r="V379">
        <v>-9.1810489999999995E-2</v>
      </c>
      <c r="W379">
        <v>0.1918889</v>
      </c>
      <c r="X379">
        <v>0.9771128</v>
      </c>
      <c r="Y379">
        <v>7.8409030000000005E-2</v>
      </c>
      <c r="Z379">
        <v>5.8045689999999999E-3</v>
      </c>
      <c r="AA379">
        <v>0.99690440000000002</v>
      </c>
      <c r="AB379">
        <v>28</v>
      </c>
      <c r="AC379">
        <v>2.9957579999999999</v>
      </c>
      <c r="AD379">
        <v>0.492087</v>
      </c>
      <c r="AE379">
        <v>-0.2416382</v>
      </c>
      <c r="AF379">
        <v>0.232321885398309</v>
      </c>
      <c r="AG379">
        <v>0.492087</v>
      </c>
      <c r="AH379">
        <v>2.91778735082928</v>
      </c>
      <c r="AI379">
        <v>80.456751871521405</v>
      </c>
      <c r="AJ379">
        <v>85.447563929667197</v>
      </c>
      <c r="AK379">
        <v>2.96809806082336</v>
      </c>
      <c r="AL379">
        <v>78.936960856451904</v>
      </c>
      <c r="AM379">
        <v>95.367808551164202</v>
      </c>
      <c r="AN379">
        <v>0.99999996997054397</v>
      </c>
    </row>
    <row r="380" spans="1:40" x14ac:dyDescent="0.25">
      <c r="A380" t="str">
        <f>"20190304155023737"</f>
        <v>20190304155023737</v>
      </c>
      <c r="B380" t="str">
        <f>"1551685823727470"</f>
        <v>1551685823727470</v>
      </c>
      <c r="C380" t="s">
        <v>40</v>
      </c>
      <c r="D380">
        <v>5.3588529999999999</v>
      </c>
      <c r="E380">
        <v>0.56019770000000002</v>
      </c>
      <c r="F380" t="s">
        <v>41</v>
      </c>
      <c r="G380">
        <v>-330.10579999999999</v>
      </c>
      <c r="H380" s="1">
        <v>-5.6698149999999997E-6</v>
      </c>
      <c r="I380">
        <v>361.48180000000002</v>
      </c>
      <c r="J380">
        <v>-419.13130000000001</v>
      </c>
      <c r="K380">
        <v>1.0596620000000001</v>
      </c>
      <c r="L380">
        <v>367.76330000000002</v>
      </c>
      <c r="M380">
        <v>0.99994609999999995</v>
      </c>
      <c r="N380">
        <v>-1.023964E-2</v>
      </c>
      <c r="O380">
        <v>-1.7286179999999999E-3</v>
      </c>
      <c r="P380">
        <v>0.97912549999999998</v>
      </c>
      <c r="Q380">
        <v>0.1819665</v>
      </c>
      <c r="R380">
        <v>9.0562729999999994E-2</v>
      </c>
      <c r="S380">
        <v>3.0910030000000002</v>
      </c>
      <c r="T380">
        <v>-3.6674859999999997E-2</v>
      </c>
      <c r="U380">
        <v>-0.21743770000000001</v>
      </c>
      <c r="V380">
        <v>-9.2010739999999994E-2</v>
      </c>
      <c r="W380">
        <v>0.19209860000000001</v>
      </c>
      <c r="X380">
        <v>0.97705280000000005</v>
      </c>
      <c r="Y380">
        <v>6.8438460000000007E-2</v>
      </c>
      <c r="Z380">
        <v>-7.5354960000000005E-4</v>
      </c>
      <c r="AA380">
        <v>0.99765499999999996</v>
      </c>
      <c r="AB380">
        <v>28</v>
      </c>
      <c r="AC380">
        <v>89.025499999999994</v>
      </c>
      <c r="AD380">
        <v>-1.059667669815</v>
      </c>
      <c r="AE380">
        <v>-6.2814999999999896</v>
      </c>
      <c r="AF380">
        <v>6.1267277284741102</v>
      </c>
      <c r="AG380">
        <v>-1.059667669815</v>
      </c>
      <c r="AH380">
        <v>89.023675410108396</v>
      </c>
      <c r="AI380">
        <v>90.680362424495399</v>
      </c>
      <c r="AJ380">
        <v>86.063036075270105</v>
      </c>
      <c r="AK380">
        <v>89.240542758062901</v>
      </c>
      <c r="AL380">
        <v>78.924718632282605</v>
      </c>
      <c r="AM380">
        <v>95.379776203670204</v>
      </c>
      <c r="AN380">
        <v>1.00000001119257</v>
      </c>
    </row>
    <row r="381" spans="1:40" x14ac:dyDescent="0.25">
      <c r="A381" t="str">
        <f>"20190304155023750"</f>
        <v>20190304155023750</v>
      </c>
      <c r="B381" t="str">
        <f>"1551685823746990"</f>
        <v>1551685823746990</v>
      </c>
      <c r="C381" t="s">
        <v>40</v>
      </c>
      <c r="D381">
        <v>5.3705030000000002</v>
      </c>
      <c r="E381">
        <v>0.55981840000000005</v>
      </c>
      <c r="F381" t="s">
        <v>41</v>
      </c>
      <c r="G381">
        <v>-358.47730000000001</v>
      </c>
      <c r="H381" s="1">
        <v>-2.1073850000000002E-6</v>
      </c>
      <c r="I381">
        <v>363.59120000000001</v>
      </c>
      <c r="J381">
        <v>-418.96530000000001</v>
      </c>
      <c r="K381">
        <v>1.0596669999999999</v>
      </c>
      <c r="L381">
        <v>367.76260000000002</v>
      </c>
      <c r="M381">
        <v>0.99994519999999998</v>
      </c>
      <c r="N381">
        <v>-1.025128E-2</v>
      </c>
      <c r="O381">
        <v>-2.1334890000000001E-3</v>
      </c>
      <c r="P381">
        <v>0.9791784</v>
      </c>
      <c r="Q381">
        <v>0.18189259999999999</v>
      </c>
      <c r="R381">
        <v>9.0138640000000006E-2</v>
      </c>
      <c r="S381">
        <v>3.0936889999999999</v>
      </c>
      <c r="T381">
        <v>-5.4048659999999998E-2</v>
      </c>
      <c r="U381">
        <v>-0.21279909999999999</v>
      </c>
      <c r="V381">
        <v>-9.1983460000000003E-2</v>
      </c>
      <c r="W381">
        <v>0.19203590000000001</v>
      </c>
      <c r="X381">
        <v>0.97706769999999998</v>
      </c>
      <c r="Y381">
        <v>6.6478049999999997E-2</v>
      </c>
      <c r="Z381">
        <v>-9.0579150000000004E-4</v>
      </c>
      <c r="AA381">
        <v>0.99778750000000005</v>
      </c>
      <c r="AB381">
        <v>28</v>
      </c>
      <c r="AC381">
        <v>60.488</v>
      </c>
      <c r="AD381">
        <v>-1.059669107385</v>
      </c>
      <c r="AE381">
        <v>-4.1714000000000002</v>
      </c>
      <c r="AF381">
        <v>4.0410988863783599</v>
      </c>
      <c r="AG381">
        <v>-1.059669107385</v>
      </c>
      <c r="AH381">
        <v>60.478289270356001</v>
      </c>
      <c r="AI381">
        <v>91.001571162566293</v>
      </c>
      <c r="AJ381">
        <v>86.177235744948803</v>
      </c>
      <c r="AK381">
        <v>60.622412125347601</v>
      </c>
      <c r="AL381">
        <v>78.928379297659305</v>
      </c>
      <c r="AM381">
        <v>95.378108988480406</v>
      </c>
      <c r="AN381">
        <v>1.00000001709283</v>
      </c>
    </row>
    <row r="382" spans="1:40" x14ac:dyDescent="0.25">
      <c r="A382" t="str">
        <f>"20190304155023769"</f>
        <v>20190304155023769</v>
      </c>
      <c r="B382" t="str">
        <f>"1551685823756750"</f>
        <v>1551685823756750</v>
      </c>
      <c r="C382" t="s">
        <v>40</v>
      </c>
      <c r="D382">
        <v>5.3597580000000002</v>
      </c>
      <c r="E382">
        <v>0.55946249999999997</v>
      </c>
      <c r="F382" t="s">
        <v>41</v>
      </c>
      <c r="G382">
        <v>-369.5027</v>
      </c>
      <c r="H382" s="1">
        <v>-1.546394E-6</v>
      </c>
      <c r="I382">
        <v>364.38810000000001</v>
      </c>
      <c r="J382">
        <v>-418.7398</v>
      </c>
      <c r="K382">
        <v>1.0596639999999999</v>
      </c>
      <c r="L382">
        <v>367.76159999999999</v>
      </c>
      <c r="M382">
        <v>0.99994369999999999</v>
      </c>
      <c r="N382">
        <v>-1.026912E-2</v>
      </c>
      <c r="O382">
        <v>-2.679519E-3</v>
      </c>
      <c r="P382">
        <v>0.97922770000000003</v>
      </c>
      <c r="Q382">
        <v>0.1818649</v>
      </c>
      <c r="R382">
        <v>8.9657609999999999E-2</v>
      </c>
      <c r="S382">
        <v>3.09552</v>
      </c>
      <c r="T382">
        <v>-6.631708E-2</v>
      </c>
      <c r="U382">
        <v>-0.2111816</v>
      </c>
      <c r="V382">
        <v>-9.2038620000000002E-2</v>
      </c>
      <c r="W382">
        <v>0.1920251</v>
      </c>
      <c r="X382">
        <v>0.97706459999999995</v>
      </c>
      <c r="Y382">
        <v>6.536786E-2</v>
      </c>
      <c r="Z382">
        <v>-1.0055579999999999E-3</v>
      </c>
      <c r="AA382">
        <v>0.99786070000000004</v>
      </c>
      <c r="AB382">
        <v>28</v>
      </c>
      <c r="AC382">
        <v>49.237099999999998</v>
      </c>
      <c r="AD382">
        <v>-1.0596655463939999</v>
      </c>
      <c r="AE382">
        <v>-3.3734999999999702</v>
      </c>
      <c r="AF382">
        <v>3.2400554618953898</v>
      </c>
      <c r="AG382">
        <v>-1.0596655463939999</v>
      </c>
      <c r="AH382">
        <v>49.223270200092898</v>
      </c>
      <c r="AI382">
        <v>91.230595670303501</v>
      </c>
      <c r="AJ382">
        <v>86.234015243074694</v>
      </c>
      <c r="AK382">
        <v>49.341171243270303</v>
      </c>
      <c r="AL382">
        <v>78.929009518512302</v>
      </c>
      <c r="AM382">
        <v>95.381332141494198</v>
      </c>
      <c r="AN382">
        <v>0.99999998958733705</v>
      </c>
    </row>
    <row r="383" spans="1:40" x14ac:dyDescent="0.25">
      <c r="A383" t="str">
        <f>"20190304155023782"</f>
        <v>20190304155023782</v>
      </c>
      <c r="B383" t="str">
        <f>"1551685823777246"</f>
        <v>1551685823777246</v>
      </c>
      <c r="C383" t="s">
        <v>40</v>
      </c>
      <c r="D383">
        <v>5.4381279999999999</v>
      </c>
      <c r="E383">
        <v>0.55793179999999998</v>
      </c>
      <c r="F383" t="s">
        <v>41</v>
      </c>
      <c r="G383">
        <v>-372.07380000000001</v>
      </c>
      <c r="H383" s="1">
        <v>-4.2719510000000001E-6</v>
      </c>
      <c r="I383">
        <v>364.6026</v>
      </c>
      <c r="J383">
        <v>-418.57279999999997</v>
      </c>
      <c r="K383">
        <v>1.0596669999999999</v>
      </c>
      <c r="L383">
        <v>367.76069999999999</v>
      </c>
      <c r="M383">
        <v>0.99994240000000001</v>
      </c>
      <c r="N383">
        <v>-1.0286089999999999E-2</v>
      </c>
      <c r="O383">
        <v>-3.0795140000000002E-3</v>
      </c>
      <c r="P383">
        <v>0.97927280000000005</v>
      </c>
      <c r="Q383">
        <v>0.18182860000000001</v>
      </c>
      <c r="R383">
        <v>8.9236469999999998E-2</v>
      </c>
      <c r="S383">
        <v>3.095917</v>
      </c>
      <c r="T383">
        <v>-7.0300580000000001E-2</v>
      </c>
      <c r="U383">
        <v>-0.20956420000000001</v>
      </c>
      <c r="V383">
        <v>-9.201057E-2</v>
      </c>
      <c r="W383">
        <v>0.19200500000000001</v>
      </c>
      <c r="X383">
        <v>0.97707120000000003</v>
      </c>
      <c r="Y383">
        <v>6.4439189999999993E-2</v>
      </c>
      <c r="Z383">
        <v>-1.024362E-3</v>
      </c>
      <c r="AA383">
        <v>0.99792110000000001</v>
      </c>
      <c r="AB383">
        <v>28</v>
      </c>
      <c r="AC383">
        <v>46.498999999999903</v>
      </c>
      <c r="AD383">
        <v>-1.059671271951</v>
      </c>
      <c r="AE383">
        <v>-3.1580999999999899</v>
      </c>
      <c r="AF383">
        <v>3.0133253660523902</v>
      </c>
      <c r="AG383">
        <v>-1.059671271951</v>
      </c>
      <c r="AH383">
        <v>46.484474835426703</v>
      </c>
      <c r="AI383">
        <v>91.303167927475798</v>
      </c>
      <c r="AJ383">
        <v>86.291028416840206</v>
      </c>
      <c r="AK383">
        <v>46.594092261698897</v>
      </c>
      <c r="AL383">
        <v>78.930183087916106</v>
      </c>
      <c r="AM383">
        <v>95.379665606010093</v>
      </c>
      <c r="AN383">
        <v>0.99999999744308199</v>
      </c>
    </row>
    <row r="384" spans="1:40" x14ac:dyDescent="0.25">
      <c r="A384" t="str">
        <f>"20190304155023794"</f>
        <v>20190304155023794</v>
      </c>
      <c r="B384" t="str">
        <f>"1551685823787006"</f>
        <v>1551685823787006</v>
      </c>
      <c r="C384" t="s">
        <v>40</v>
      </c>
      <c r="D384">
        <v>5.3686119999999997</v>
      </c>
      <c r="E384">
        <v>0.51854899999999904</v>
      </c>
      <c r="F384" t="s">
        <v>41</v>
      </c>
      <c r="G384">
        <v>-376.92750000000001</v>
      </c>
      <c r="H384" s="1">
        <v>-2.2353259999999999E-6</v>
      </c>
      <c r="I384">
        <v>365.09249999999997</v>
      </c>
      <c r="J384">
        <v>-418.41269999999997</v>
      </c>
      <c r="K384">
        <v>1.05967099999999</v>
      </c>
      <c r="L384">
        <v>367.75979999999998</v>
      </c>
      <c r="M384">
        <v>0.99994099999999997</v>
      </c>
      <c r="N384">
        <v>-1.03041E-2</v>
      </c>
      <c r="O384">
        <v>-3.459363E-3</v>
      </c>
      <c r="P384">
        <v>0.97935439999999996</v>
      </c>
      <c r="Q384">
        <v>0.18156449999999999</v>
      </c>
      <c r="R384">
        <v>8.8879299999999994E-2</v>
      </c>
      <c r="S384">
        <v>3.0961910000000001</v>
      </c>
      <c r="T384">
        <v>-7.87828E-2</v>
      </c>
      <c r="U384">
        <v>-0.19836429999999999</v>
      </c>
      <c r="V384">
        <v>-9.2027200000000003E-2</v>
      </c>
      <c r="W384">
        <v>0.19175829999999999</v>
      </c>
      <c r="X384">
        <v>0.97711809999999999</v>
      </c>
      <c r="Y384">
        <v>6.0456240000000001E-2</v>
      </c>
      <c r="Z384">
        <v>-1.0278069999999999E-3</v>
      </c>
      <c r="AA384">
        <v>0.99817029999999995</v>
      </c>
      <c r="AB384">
        <v>28</v>
      </c>
      <c r="AC384">
        <v>41.485199999999899</v>
      </c>
      <c r="AD384">
        <v>-1.0596732353260001</v>
      </c>
      <c r="AE384">
        <v>-2.6673000000000102</v>
      </c>
      <c r="AF384">
        <v>2.5221252384086599</v>
      </c>
      <c r="AG384">
        <v>-1.0596732353260001</v>
      </c>
      <c r="AH384">
        <v>41.467234835611599</v>
      </c>
      <c r="AI384">
        <v>91.461145763817896</v>
      </c>
      <c r="AJ384">
        <v>86.519436769915899</v>
      </c>
      <c r="AK384">
        <v>41.557377058660101</v>
      </c>
      <c r="AL384">
        <v>78.944585793496898</v>
      </c>
      <c r="AM384">
        <v>95.380375475758498</v>
      </c>
      <c r="AN384">
        <v>1.0000000162531599</v>
      </c>
    </row>
    <row r="385" spans="1:40" x14ac:dyDescent="0.25">
      <c r="A385" t="str">
        <f>"20190304155023814"</f>
        <v>20190304155023814</v>
      </c>
      <c r="B385" t="str">
        <f>"1551685823806942"</f>
        <v>1551685823806942</v>
      </c>
      <c r="C385" t="s">
        <v>40</v>
      </c>
      <c r="D385">
        <v>5.4631160000000003</v>
      </c>
      <c r="E385">
        <v>0.52220329999999904</v>
      </c>
      <c r="F385" t="s">
        <v>41</v>
      </c>
      <c r="G385">
        <v>-393.55290000000002</v>
      </c>
      <c r="H385" s="1">
        <v>-2.915895E-6</v>
      </c>
      <c r="I385">
        <v>368.67039999999997</v>
      </c>
      <c r="J385">
        <v>-418.17140000000001</v>
      </c>
      <c r="K385">
        <v>1.059677</v>
      </c>
      <c r="L385">
        <v>367.75830000000002</v>
      </c>
      <c r="M385">
        <v>0.99993849999999995</v>
      </c>
      <c r="N385">
        <v>-1.033475E-2</v>
      </c>
      <c r="O385">
        <v>-4.0240110000000001E-3</v>
      </c>
      <c r="P385">
        <v>0.97946069999999996</v>
      </c>
      <c r="Q385">
        <v>0.18128340000000001</v>
      </c>
      <c r="R385">
        <v>8.8281419999999999E-2</v>
      </c>
      <c r="S385">
        <v>3.0773619999999999</v>
      </c>
      <c r="T385">
        <v>-0.13117500000000001</v>
      </c>
      <c r="U385">
        <v>0.1127319</v>
      </c>
      <c r="V385">
        <v>-9.1986159999999997E-2</v>
      </c>
      <c r="W385">
        <v>0.1915066</v>
      </c>
      <c r="X385">
        <v>0.97717129999999996</v>
      </c>
      <c r="Y385">
        <v>-4.0581489999999998E-2</v>
      </c>
      <c r="Z385">
        <v>1.2039559999999999E-3</v>
      </c>
      <c r="AA385">
        <v>0.99917549999999999</v>
      </c>
      <c r="AB385">
        <v>28</v>
      </c>
      <c r="AC385">
        <v>24.618499999999901</v>
      </c>
      <c r="AD385">
        <v>-1.0596799158950001</v>
      </c>
      <c r="AE385">
        <v>0.91209999999995195</v>
      </c>
      <c r="AF385">
        <v>-1.00929557048273</v>
      </c>
      <c r="AG385">
        <v>-1.0596799158950001</v>
      </c>
      <c r="AH385">
        <v>24.569171043801202</v>
      </c>
      <c r="AI385">
        <v>92.467584692739095</v>
      </c>
      <c r="AJ385">
        <v>92.352374034419498</v>
      </c>
      <c r="AK385">
        <v>24.612715511546199</v>
      </c>
      <c r="AL385">
        <v>78.959279174466602</v>
      </c>
      <c r="AM385">
        <v>95.377699064662195</v>
      </c>
      <c r="AN385">
        <v>0.99999999050939703</v>
      </c>
    </row>
    <row r="386" spans="1:40" x14ac:dyDescent="0.25">
      <c r="A386" t="str">
        <f>"20190304155023837"</f>
        <v>20190304155023837</v>
      </c>
      <c r="B386" t="str">
        <f>"1551685823827441"</f>
        <v>1551685823827441</v>
      </c>
      <c r="C386" t="s">
        <v>40</v>
      </c>
      <c r="D386">
        <v>5.4179690000000003</v>
      </c>
      <c r="E386">
        <v>0.52268870000000001</v>
      </c>
      <c r="F386" t="s">
        <v>41</v>
      </c>
      <c r="G386">
        <v>-391.81639999999999</v>
      </c>
      <c r="H386" s="1">
        <v>-3.6987089999999999E-6</v>
      </c>
      <c r="I386">
        <v>368.45690000000002</v>
      </c>
      <c r="J386">
        <v>-417.89260000000002</v>
      </c>
      <c r="K386">
        <v>1.0596950000000001</v>
      </c>
      <c r="L386">
        <v>367.75650000000002</v>
      </c>
      <c r="M386">
        <v>0.99993540000000003</v>
      </c>
      <c r="N386">
        <v>-1.037502E-2</v>
      </c>
      <c r="O386">
        <v>-4.6610139999999998E-3</v>
      </c>
      <c r="P386">
        <v>0.97952939999999999</v>
      </c>
      <c r="Q386">
        <v>0.1812521</v>
      </c>
      <c r="R386">
        <v>8.7579939999999995E-2</v>
      </c>
      <c r="S386">
        <v>3.07843</v>
      </c>
      <c r="T386">
        <v>-0.1237767</v>
      </c>
      <c r="U386">
        <v>8.1603999999999996E-2</v>
      </c>
      <c r="V386">
        <v>-9.1913380000000003E-2</v>
      </c>
      <c r="W386">
        <v>0.19151170000000001</v>
      </c>
      <c r="X386">
        <v>0.97717710000000002</v>
      </c>
      <c r="Y386">
        <v>-3.112465E-2</v>
      </c>
      <c r="Z386">
        <v>9.2590420000000003E-4</v>
      </c>
      <c r="AA386">
        <v>0.99951509999999999</v>
      </c>
      <c r="AB386">
        <v>28</v>
      </c>
      <c r="AC386">
        <v>26.0762</v>
      </c>
      <c r="AD386">
        <v>-1.059698698709</v>
      </c>
      <c r="AE386">
        <v>0.70040000000000102</v>
      </c>
      <c r="AF386">
        <v>-0.82058624215036202</v>
      </c>
      <c r="AG386">
        <v>-1.059698698709</v>
      </c>
      <c r="AH386">
        <v>26.029695150292898</v>
      </c>
      <c r="AI386">
        <v>92.330133101239795</v>
      </c>
      <c r="AJ386">
        <v>91.805651665515001</v>
      </c>
      <c r="AK386">
        <v>26.0641775763218</v>
      </c>
      <c r="AL386">
        <v>78.958980921094806</v>
      </c>
      <c r="AM386">
        <v>95.373437404903299</v>
      </c>
      <c r="AN386">
        <v>0.99999994271215997</v>
      </c>
    </row>
    <row r="387" spans="1:40" x14ac:dyDescent="0.25">
      <c r="A387" t="str">
        <f>"20190304155023849"</f>
        <v>20190304155023849</v>
      </c>
      <c r="B387" t="str">
        <f>"1551685823846958"</f>
        <v>1551685823846958</v>
      </c>
      <c r="C387" t="s">
        <v>40</v>
      </c>
      <c r="D387">
        <v>5.4103669999999999</v>
      </c>
      <c r="E387">
        <v>0.52302649999999995</v>
      </c>
      <c r="F387" t="s">
        <v>41</v>
      </c>
      <c r="G387">
        <v>-392.8922</v>
      </c>
      <c r="H387" s="1">
        <v>-3.2532079999999998E-6</v>
      </c>
      <c r="I387">
        <v>368.36660000000001</v>
      </c>
      <c r="J387">
        <v>-417.73329999999999</v>
      </c>
      <c r="K387">
        <v>1.059706</v>
      </c>
      <c r="L387">
        <v>367.75540000000001</v>
      </c>
      <c r="M387">
        <v>0.99993339999999997</v>
      </c>
      <c r="N387">
        <v>-1.0399210000000001E-2</v>
      </c>
      <c r="O387">
        <v>-5.017718E-3</v>
      </c>
      <c r="P387">
        <v>0.9796224</v>
      </c>
      <c r="Q387">
        <v>0.1808997</v>
      </c>
      <c r="R387">
        <v>8.7266940000000001E-2</v>
      </c>
      <c r="S387">
        <v>3.080139</v>
      </c>
      <c r="T387">
        <v>-0.13055829999999999</v>
      </c>
      <c r="U387">
        <v>7.5164789999999995E-2</v>
      </c>
      <c r="V387">
        <v>-9.1953400000000005E-2</v>
      </c>
      <c r="W387">
        <v>0.1911822</v>
      </c>
      <c r="X387">
        <v>0.97723789999999999</v>
      </c>
      <c r="Y387">
        <v>-2.9376579999999999E-2</v>
      </c>
      <c r="Z387">
        <v>9.3548779999999998E-4</v>
      </c>
      <c r="AA387">
        <v>0.99956800000000001</v>
      </c>
      <c r="AB387">
        <v>28</v>
      </c>
      <c r="AC387">
        <v>24.841099999999901</v>
      </c>
      <c r="AD387">
        <v>-1.0597092532079999</v>
      </c>
      <c r="AE387">
        <v>0.61119999999999597</v>
      </c>
      <c r="AF387">
        <v>-0.73450879655040402</v>
      </c>
      <c r="AG387">
        <v>-1.0597092532079999</v>
      </c>
      <c r="AH387">
        <v>24.792629075460901</v>
      </c>
      <c r="AI387">
        <v>92.446426823716806</v>
      </c>
      <c r="AJ387">
        <v>91.696953876168394</v>
      </c>
      <c r="AK387">
        <v>24.826134281175001</v>
      </c>
      <c r="AL387">
        <v>78.978215782743504</v>
      </c>
      <c r="AM387">
        <v>95.3754308491675</v>
      </c>
      <c r="AN387">
        <v>0.99999998728240402</v>
      </c>
    </row>
    <row r="388" spans="1:40" x14ac:dyDescent="0.25">
      <c r="A388" t="str">
        <f>"20190304155023862"</f>
        <v>20190304155023862</v>
      </c>
      <c r="B388" t="str">
        <f>"1551685823856718"</f>
        <v>1551685823856718</v>
      </c>
      <c r="C388" t="s">
        <v>40</v>
      </c>
      <c r="D388">
        <v>5.4010300000000004</v>
      </c>
      <c r="E388">
        <v>0.52304289999999998</v>
      </c>
      <c r="F388" t="s">
        <v>41</v>
      </c>
      <c r="G388">
        <v>-386.61840000000001</v>
      </c>
      <c r="H388" s="1">
        <v>-1.6346800000000001E-6</v>
      </c>
      <c r="I388">
        <v>368.4794</v>
      </c>
      <c r="J388">
        <v>-417.57729999999998</v>
      </c>
      <c r="K388">
        <v>1.0597160000000001</v>
      </c>
      <c r="L388">
        <v>367.7543</v>
      </c>
      <c r="M388">
        <v>0.99993129999999997</v>
      </c>
      <c r="N388">
        <v>-1.042322E-2</v>
      </c>
      <c r="O388">
        <v>-5.3584390000000004E-3</v>
      </c>
      <c r="P388">
        <v>0.97967800000000005</v>
      </c>
      <c r="Q388">
        <v>0.18084449999999999</v>
      </c>
      <c r="R388">
        <v>8.6753759999999999E-2</v>
      </c>
      <c r="S388">
        <v>3.075348</v>
      </c>
      <c r="T388">
        <v>-0.1047394</v>
      </c>
      <c r="U388">
        <v>7.1563719999999997E-2</v>
      </c>
      <c r="V388">
        <v>-9.1777869999999998E-2</v>
      </c>
      <c r="W388">
        <v>0.19114900000000001</v>
      </c>
      <c r="X388">
        <v>0.97726089999999999</v>
      </c>
      <c r="Y388">
        <v>-2.8597629999999999E-2</v>
      </c>
      <c r="Z388">
        <v>7.6248539999999995E-4</v>
      </c>
      <c r="AA388">
        <v>0.99959070000000005</v>
      </c>
      <c r="AB388">
        <v>28</v>
      </c>
      <c r="AC388">
        <v>30.9588999999999</v>
      </c>
      <c r="AD388">
        <v>-1.0597176346799999</v>
      </c>
      <c r="AE388">
        <v>0.72509999999999697</v>
      </c>
      <c r="AF388">
        <v>-0.88994781857010796</v>
      </c>
      <c r="AG388">
        <v>-1.0597176346799999</v>
      </c>
      <c r="AH388">
        <v>30.918363285464501</v>
      </c>
      <c r="AI388">
        <v>91.962215168219799</v>
      </c>
      <c r="AJ388">
        <v>91.648734720907598</v>
      </c>
      <c r="AK388">
        <v>30.9493165810973</v>
      </c>
      <c r="AL388">
        <v>78.980153797162998</v>
      </c>
      <c r="AM388">
        <v>95.365104081251005</v>
      </c>
      <c r="AN388">
        <v>0.99999999214577295</v>
      </c>
    </row>
    <row r="389" spans="1:40" x14ac:dyDescent="0.25">
      <c r="A389" t="str">
        <f>"20190304155023881"</f>
        <v>20190304155023881</v>
      </c>
      <c r="B389" t="str">
        <f>"1551685823877214"</f>
        <v>1551685823877214</v>
      </c>
      <c r="C389" t="s">
        <v>40</v>
      </c>
      <c r="D389">
        <v>5.3712689999999998</v>
      </c>
      <c r="E389">
        <v>0.5225301</v>
      </c>
      <c r="F389" t="s">
        <v>41</v>
      </c>
      <c r="G389">
        <v>-387.1327</v>
      </c>
      <c r="H389" s="1">
        <v>-1.4199749999999999E-6</v>
      </c>
      <c r="I389">
        <v>368.44600000000003</v>
      </c>
      <c r="J389">
        <v>-417.34480000000002</v>
      </c>
      <c r="K389">
        <v>1.059731</v>
      </c>
      <c r="L389">
        <v>367.7525</v>
      </c>
      <c r="M389">
        <v>0.99992820000000004</v>
      </c>
      <c r="N389">
        <v>-1.046037E-2</v>
      </c>
      <c r="O389">
        <v>-5.8536489999999998E-3</v>
      </c>
      <c r="P389">
        <v>0.97978359999999998</v>
      </c>
      <c r="Q389">
        <v>0.18043629999999999</v>
      </c>
      <c r="R389">
        <v>8.641095E-2</v>
      </c>
      <c r="S389">
        <v>3.075806</v>
      </c>
      <c r="T389">
        <v>-0.1070625</v>
      </c>
      <c r="U389">
        <v>6.9885249999999996E-2</v>
      </c>
      <c r="V389">
        <v>-9.192728E-2</v>
      </c>
      <c r="W389">
        <v>0.190775</v>
      </c>
      <c r="X389">
        <v>0.97731999999999997</v>
      </c>
      <c r="Y389">
        <v>-2.8542959999999999E-2</v>
      </c>
      <c r="Z389">
        <v>7.8837000000000004E-4</v>
      </c>
      <c r="AA389">
        <v>0.99959219999999904</v>
      </c>
      <c r="AB389">
        <v>28</v>
      </c>
      <c r="AC389">
        <v>30.2121</v>
      </c>
      <c r="AD389">
        <v>-1.059732419975</v>
      </c>
      <c r="AE389">
        <v>0.69349999999997103</v>
      </c>
      <c r="AF389">
        <v>-0.86927985440406697</v>
      </c>
      <c r="AG389">
        <v>-1.059732419975</v>
      </c>
      <c r="AH389">
        <v>30.170421803715801</v>
      </c>
      <c r="AI389">
        <v>92.010846502043805</v>
      </c>
      <c r="AJ389">
        <v>91.650367763907894</v>
      </c>
      <c r="AK389">
        <v>30.201540226971002</v>
      </c>
      <c r="AL389">
        <v>79.001984841509199</v>
      </c>
      <c r="AM389">
        <v>95.373464066999702</v>
      </c>
      <c r="AN389">
        <v>1.0000000539165901</v>
      </c>
    </row>
    <row r="390" spans="1:40" x14ac:dyDescent="0.25">
      <c r="A390" t="str">
        <f>"20190304155023892"</f>
        <v>20190304155023892</v>
      </c>
      <c r="B390" t="str">
        <f>"1551685823886974"</f>
        <v>1551685823886974</v>
      </c>
      <c r="C390" t="s">
        <v>40</v>
      </c>
      <c r="D390">
        <v>5.3761839999999896</v>
      </c>
      <c r="E390">
        <v>0.52224170000000003</v>
      </c>
      <c r="F390" t="s">
        <v>41</v>
      </c>
      <c r="G390">
        <v>-387.03539999999998</v>
      </c>
      <c r="H390" s="1">
        <v>-1.4576550000000001E-6</v>
      </c>
      <c r="I390">
        <v>368.46879999999999</v>
      </c>
      <c r="J390">
        <v>-417.19560000000001</v>
      </c>
      <c r="K390">
        <v>1.0597430000000001</v>
      </c>
      <c r="L390">
        <v>367.75130000000001</v>
      </c>
      <c r="M390">
        <v>0.99992619999999999</v>
      </c>
      <c r="N390">
        <v>-1.048496E-2</v>
      </c>
      <c r="O390">
        <v>-6.1613249999999996E-3</v>
      </c>
      <c r="P390">
        <v>0.9798154</v>
      </c>
      <c r="Q390">
        <v>0.18027109999999999</v>
      </c>
      <c r="R390">
        <v>8.6396239999999999E-2</v>
      </c>
      <c r="S390">
        <v>3.0752869999999999</v>
      </c>
      <c r="T390">
        <v>-0.1075237</v>
      </c>
      <c r="U390">
        <v>7.2692870000000007E-2</v>
      </c>
      <c r="V390">
        <v>-9.2218820000000007E-2</v>
      </c>
      <c r="W390">
        <v>0.19063179999999999</v>
      </c>
      <c r="X390">
        <v>0.97732039999999998</v>
      </c>
      <c r="Y390">
        <v>-2.9765170000000001E-2</v>
      </c>
      <c r="Z390">
        <v>8.2700220000000004E-4</v>
      </c>
      <c r="AA390">
        <v>0.99955660000000002</v>
      </c>
      <c r="AB390">
        <v>28</v>
      </c>
      <c r="AC390">
        <v>30.1602</v>
      </c>
      <c r="AD390">
        <v>-1.0597444576549999</v>
      </c>
      <c r="AE390">
        <v>0.71749999999997205</v>
      </c>
      <c r="AF390">
        <v>-0.90221010293551795</v>
      </c>
      <c r="AG390">
        <v>-1.0597444576549999</v>
      </c>
      <c r="AH390">
        <v>30.118043114772401</v>
      </c>
      <c r="AI390">
        <v>92.014296008317501</v>
      </c>
      <c r="AJ390">
        <v>91.715827853341494</v>
      </c>
      <c r="AK390">
        <v>30.1501834563018</v>
      </c>
      <c r="AL390">
        <v>79.010342155366899</v>
      </c>
      <c r="AM390">
        <v>95.390403161923004</v>
      </c>
      <c r="AN390">
        <v>0.99999997909479599</v>
      </c>
    </row>
    <row r="391" spans="1:40" x14ac:dyDescent="0.25">
      <c r="A391" t="str">
        <f>"20190304155023906"</f>
        <v>20190304155023906</v>
      </c>
      <c r="B391" t="str">
        <f>"1551685823896734"</f>
        <v>1551685823896734</v>
      </c>
      <c r="C391" t="s">
        <v>40</v>
      </c>
      <c r="D391">
        <v>5.3988569999999996</v>
      </c>
      <c r="E391">
        <v>0.52213229999999999</v>
      </c>
      <c r="F391" t="s">
        <v>41</v>
      </c>
      <c r="G391">
        <v>-388.27929999999998</v>
      </c>
      <c r="H391" s="1">
        <v>-9.2664550000000004E-7</v>
      </c>
      <c r="I391">
        <v>368.45409999999998</v>
      </c>
      <c r="J391">
        <v>-417.02629999999999</v>
      </c>
      <c r="K391">
        <v>1.059761</v>
      </c>
      <c r="L391">
        <v>367.74990000000003</v>
      </c>
      <c r="M391">
        <v>0.99992360000000002</v>
      </c>
      <c r="N391">
        <v>-1.0513450000000001E-2</v>
      </c>
      <c r="O391">
        <v>-6.5012949999999998E-3</v>
      </c>
      <c r="P391">
        <v>0.97989970000000004</v>
      </c>
      <c r="Q391">
        <v>0.179888299999999</v>
      </c>
      <c r="R391">
        <v>8.6236309999999997E-2</v>
      </c>
      <c r="S391">
        <v>3.075958</v>
      </c>
      <c r="T391">
        <v>-0.11272939999999999</v>
      </c>
      <c r="U391">
        <v>7.4768070000000006E-2</v>
      </c>
      <c r="V391">
        <v>-9.2398229999999998E-2</v>
      </c>
      <c r="W391">
        <v>0.1902751</v>
      </c>
      <c r="X391">
        <v>0.97737300000000005</v>
      </c>
      <c r="Y391">
        <v>-3.0770490000000001E-2</v>
      </c>
      <c r="Z391">
        <v>8.9525089999999998E-4</v>
      </c>
      <c r="AA391">
        <v>0.99952609999999997</v>
      </c>
      <c r="AB391">
        <v>28</v>
      </c>
      <c r="AC391">
        <v>28.747</v>
      </c>
      <c r="AD391">
        <v>-1.0597619266455001</v>
      </c>
      <c r="AE391">
        <v>0.70419999999995697</v>
      </c>
      <c r="AF391">
        <v>-0.88987951793831499</v>
      </c>
      <c r="AG391">
        <v>-1.0597619266455001</v>
      </c>
      <c r="AH391">
        <v>28.702829100441601</v>
      </c>
      <c r="AI391">
        <v>92.113491850976501</v>
      </c>
      <c r="AJ391">
        <v>91.775783630740605</v>
      </c>
      <c r="AK391">
        <v>28.7361684861912</v>
      </c>
      <c r="AL391">
        <v>79.031161002908107</v>
      </c>
      <c r="AM391">
        <v>95.400539199071403</v>
      </c>
      <c r="AN391">
        <v>1.00000001385807</v>
      </c>
    </row>
    <row r="392" spans="1:40" x14ac:dyDescent="0.25">
      <c r="A392" t="str">
        <f>"20190304155023920"</f>
        <v>20190304155023920</v>
      </c>
      <c r="B392" t="str">
        <f>"1551685823916762"</f>
        <v>1551685823916762</v>
      </c>
      <c r="C392" t="s">
        <v>40</v>
      </c>
      <c r="D392">
        <v>5.4129620000000003</v>
      </c>
      <c r="E392">
        <v>0.52189659999999904</v>
      </c>
      <c r="F392" t="s">
        <v>41</v>
      </c>
      <c r="G392">
        <v>-388.44929999999999</v>
      </c>
      <c r="H392" s="1">
        <v>-8.5532119999999896E-7</v>
      </c>
      <c r="I392">
        <v>368.44499999999999</v>
      </c>
      <c r="J392">
        <v>-416.86059999999998</v>
      </c>
      <c r="K392">
        <v>1.0597760000000001</v>
      </c>
      <c r="L392">
        <v>367.74849999999998</v>
      </c>
      <c r="M392">
        <v>0.99992139999999996</v>
      </c>
      <c r="N392">
        <v>-1.054107E-2</v>
      </c>
      <c r="O392">
        <v>-6.8188290000000002E-3</v>
      </c>
      <c r="P392">
        <v>0.97997089999999998</v>
      </c>
      <c r="Q392">
        <v>0.17952899999999999</v>
      </c>
      <c r="R392">
        <v>8.6180300000000001E-2</v>
      </c>
      <c r="S392">
        <v>3.0758969999999999</v>
      </c>
      <c r="T392">
        <v>-0.1140678</v>
      </c>
      <c r="U392">
        <v>7.4829099999999996E-2</v>
      </c>
      <c r="V392">
        <v>-9.2660670000000001E-2</v>
      </c>
      <c r="W392">
        <v>0.18994030000000001</v>
      </c>
      <c r="X392">
        <v>0.97741319999999998</v>
      </c>
      <c r="Y392">
        <v>-3.110715E-2</v>
      </c>
      <c r="Z392">
        <v>9.2146510000000004E-4</v>
      </c>
      <c r="AA392">
        <v>0.99951570000000001</v>
      </c>
      <c r="AB392">
        <v>28</v>
      </c>
      <c r="AC392">
        <v>28.411299999999901</v>
      </c>
      <c r="AD392">
        <v>-1.0597768553211999</v>
      </c>
      <c r="AE392">
        <v>0.696500000000014</v>
      </c>
      <c r="AF392">
        <v>-0.88899014297088297</v>
      </c>
      <c r="AG392">
        <v>-1.0597768553211999</v>
      </c>
      <c r="AH392">
        <v>28.366444950168798</v>
      </c>
      <c r="AI392">
        <v>92.138539330667101</v>
      </c>
      <c r="AJ392">
        <v>91.795033445149201</v>
      </c>
      <c r="AK392">
        <v>28.4001519286135</v>
      </c>
      <c r="AL392">
        <v>79.050699143000998</v>
      </c>
      <c r="AM392">
        <v>95.415565929415905</v>
      </c>
      <c r="AN392">
        <v>0.99999994043158702</v>
      </c>
    </row>
    <row r="393" spans="1:40" x14ac:dyDescent="0.25">
      <c r="A393" t="str">
        <f>"20190304155023939"</f>
        <v>20190304155023939</v>
      </c>
      <c r="B393" t="str">
        <f>"1551685823927497"</f>
        <v>1551685823927497</v>
      </c>
      <c r="C393" t="s">
        <v>40</v>
      </c>
      <c r="D393">
        <v>5.4140379999999997</v>
      </c>
      <c r="E393">
        <v>0.52137429999999996</v>
      </c>
      <c r="F393" t="s">
        <v>41</v>
      </c>
      <c r="G393">
        <v>-388.54199999999997</v>
      </c>
      <c r="H393" s="1">
        <v>-8.1451589999999997E-7</v>
      </c>
      <c r="I393">
        <v>368.45089999999999</v>
      </c>
      <c r="J393">
        <v>-416.62709999999998</v>
      </c>
      <c r="K393">
        <v>1.059798</v>
      </c>
      <c r="L393">
        <v>367.74639999999999</v>
      </c>
      <c r="M393">
        <v>0.99991790000000003</v>
      </c>
      <c r="N393">
        <v>-1.057876E-2</v>
      </c>
      <c r="O393">
        <v>-7.2489729999999997E-3</v>
      </c>
      <c r="P393">
        <v>0.98003359999999995</v>
      </c>
      <c r="Q393">
        <v>0.1791691</v>
      </c>
      <c r="R393">
        <v>8.6214540000000006E-2</v>
      </c>
      <c r="S393">
        <v>3.0756839999999999</v>
      </c>
      <c r="T393">
        <v>-0.1151022</v>
      </c>
      <c r="U393">
        <v>7.6293949999999999E-2</v>
      </c>
      <c r="V393">
        <v>-9.3126189999999998E-2</v>
      </c>
      <c r="W393">
        <v>0.18961349999999999</v>
      </c>
      <c r="X393">
        <v>0.97743250000000004</v>
      </c>
      <c r="Y393">
        <v>-3.2013050000000001E-2</v>
      </c>
      <c r="Z393">
        <v>9.6264419999999998E-4</v>
      </c>
      <c r="AA393">
        <v>0.99948700000000001</v>
      </c>
      <c r="AB393">
        <v>28</v>
      </c>
      <c r="AC393">
        <v>28.085100000000001</v>
      </c>
      <c r="AD393">
        <v>-1.0597988145159001</v>
      </c>
      <c r="AE393">
        <v>0.70449999999999502</v>
      </c>
      <c r="AF393">
        <v>-0.90679057224103699</v>
      </c>
      <c r="AG393">
        <v>-1.0597988145159001</v>
      </c>
      <c r="AH393">
        <v>28.039353273483201</v>
      </c>
      <c r="AI393">
        <v>92.163438792146096</v>
      </c>
      <c r="AJ393">
        <v>91.852295618585799</v>
      </c>
      <c r="AK393">
        <v>28.0740231292978</v>
      </c>
      <c r="AL393">
        <v>79.069770958531393</v>
      </c>
      <c r="AM393">
        <v>95.442503520323299</v>
      </c>
      <c r="AN393">
        <v>1.0000000293511999</v>
      </c>
    </row>
    <row r="394" spans="1:40" x14ac:dyDescent="0.25">
      <c r="A394" t="str">
        <f>"20190304155023958"</f>
        <v>20190304155023958</v>
      </c>
      <c r="B394" t="str">
        <f>"1551685823947018"</f>
        <v>1551685823947018</v>
      </c>
      <c r="C394" t="s">
        <v>40</v>
      </c>
      <c r="D394">
        <v>5.446523</v>
      </c>
      <c r="E394">
        <v>0.52105699999999999</v>
      </c>
      <c r="F394" t="s">
        <v>41</v>
      </c>
      <c r="G394">
        <v>-389.2457</v>
      </c>
      <c r="H394" s="1">
        <v>-5.4902139999999997E-7</v>
      </c>
      <c r="I394">
        <v>368.46519999999998</v>
      </c>
      <c r="J394">
        <v>-416.37009999999998</v>
      </c>
      <c r="K394">
        <v>1.059825</v>
      </c>
      <c r="L394">
        <v>367.74400000000003</v>
      </c>
      <c r="M394">
        <v>0.99991410000000003</v>
      </c>
      <c r="N394">
        <v>-1.06179E-2</v>
      </c>
      <c r="O394">
        <v>-7.6954179999999999E-3</v>
      </c>
      <c r="P394">
        <v>0.9800392</v>
      </c>
      <c r="Q394">
        <v>0.17897399999999999</v>
      </c>
      <c r="R394">
        <v>8.6554480000000003E-2</v>
      </c>
      <c r="S394">
        <v>3.075745</v>
      </c>
      <c r="T394">
        <v>-0.1190464</v>
      </c>
      <c r="U394">
        <v>8.0749509999999997E-2</v>
      </c>
      <c r="V394">
        <v>-9.3914460000000005E-2</v>
      </c>
      <c r="W394">
        <v>0.18945200000000001</v>
      </c>
      <c r="X394">
        <v>0.97738840000000005</v>
      </c>
      <c r="Y394">
        <v>-3.390166E-2</v>
      </c>
      <c r="Z394">
        <v>1.0518459999999999E-3</v>
      </c>
      <c r="AA394">
        <v>0.9994246</v>
      </c>
      <c r="AB394">
        <v>28</v>
      </c>
      <c r="AC394">
        <v>27.124399999999898</v>
      </c>
      <c r="AD394">
        <v>-1.0598255490213999</v>
      </c>
      <c r="AE394">
        <v>0.72119999999995299</v>
      </c>
      <c r="AF394">
        <v>-0.928507454754679</v>
      </c>
      <c r="AG394">
        <v>-1.0598255490213999</v>
      </c>
      <c r="AH394">
        <v>27.076738147181601</v>
      </c>
      <c r="AI394">
        <v>92.240186072771294</v>
      </c>
      <c r="AJ394">
        <v>91.964000242255295</v>
      </c>
      <c r="AK394">
        <v>27.113375020069601</v>
      </c>
      <c r="AL394">
        <v>79.079195109375704</v>
      </c>
      <c r="AM394">
        <v>95.488537795512201</v>
      </c>
      <c r="AN394">
        <v>1.00000003527782</v>
      </c>
    </row>
    <row r="395" spans="1:40" x14ac:dyDescent="0.25">
      <c r="A395" t="str">
        <f>"20190304155023972"</f>
        <v>20190304155023972</v>
      </c>
      <c r="B395" t="str">
        <f>"1551685823967514"</f>
        <v>1551685823967514</v>
      </c>
      <c r="C395" t="s">
        <v>40</v>
      </c>
      <c r="D395">
        <v>4.8765409999999996</v>
      </c>
      <c r="E395">
        <v>0.5213544</v>
      </c>
      <c r="F395" t="s">
        <v>41</v>
      </c>
      <c r="G395">
        <v>-389.9812</v>
      </c>
      <c r="H395" s="1">
        <v>-4.4844330000000001E-6</v>
      </c>
      <c r="I395">
        <v>368.46570000000003</v>
      </c>
      <c r="J395">
        <v>-416.20850000000002</v>
      </c>
      <c r="K395">
        <v>1.0598449999999999</v>
      </c>
      <c r="L395">
        <v>367.74250000000001</v>
      </c>
      <c r="M395">
        <v>0.99991169999999996</v>
      </c>
      <c r="N395">
        <v>-1.064119E-2</v>
      </c>
      <c r="O395">
        <v>-7.9629680000000008E-3</v>
      </c>
      <c r="P395">
        <v>0.98000520000000002</v>
      </c>
      <c r="Q395">
        <v>0.17908350000000001</v>
      </c>
      <c r="R395">
        <v>8.6711250000000004E-2</v>
      </c>
      <c r="S395">
        <v>3.076263</v>
      </c>
      <c r="T395">
        <v>-0.12354800000000001</v>
      </c>
      <c r="U395">
        <v>8.4136959999999997E-2</v>
      </c>
      <c r="V395">
        <v>-9.4339469999999995E-2</v>
      </c>
      <c r="W395">
        <v>0.18958079999999999</v>
      </c>
      <c r="X395">
        <v>0.97732249999999998</v>
      </c>
      <c r="Y395">
        <v>-3.5260319999999998E-2</v>
      </c>
      <c r="Z395">
        <v>1.1303109999999999E-3</v>
      </c>
      <c r="AA395">
        <v>0.99937750000000003</v>
      </c>
      <c r="AB395">
        <v>28</v>
      </c>
      <c r="AC395">
        <v>26.2273</v>
      </c>
      <c r="AD395">
        <v>-1.059849484433</v>
      </c>
      <c r="AE395">
        <v>0.72320000000001905</v>
      </c>
      <c r="AF395">
        <v>-0.93051767552809606</v>
      </c>
      <c r="AG395">
        <v>-1.059849484433</v>
      </c>
      <c r="AH395">
        <v>26.177993530763899</v>
      </c>
      <c r="AI395">
        <v>92.316964895711905</v>
      </c>
      <c r="AJ395">
        <v>92.0357671056192</v>
      </c>
      <c r="AK395">
        <v>26.2159586773179</v>
      </c>
      <c r="AL395">
        <v>79.071679282928002</v>
      </c>
      <c r="AM395">
        <v>95.513592946238703</v>
      </c>
      <c r="AN395">
        <v>1.00000004216738</v>
      </c>
    </row>
    <row r="396" spans="1:40" x14ac:dyDescent="0.25">
      <c r="A396" t="str">
        <f>"20190304155024050"</f>
        <v>20190304155024050</v>
      </c>
      <c r="B396" t="str">
        <f>"1551685824047076"</f>
        <v>1551685824047076</v>
      </c>
      <c r="C396" t="s">
        <v>40</v>
      </c>
      <c r="D396">
        <v>4.92788</v>
      </c>
      <c r="E396">
        <v>0.55435380000000001</v>
      </c>
      <c r="F396" t="s">
        <v>41</v>
      </c>
      <c r="G396">
        <v>-389.3546</v>
      </c>
      <c r="H396" s="1">
        <v>-5.1344519999999999E-7</v>
      </c>
      <c r="I396">
        <v>368.4597</v>
      </c>
      <c r="J396">
        <v>-415.21980000000002</v>
      </c>
      <c r="K396">
        <v>1.059963</v>
      </c>
      <c r="L396">
        <v>367.73259999999999</v>
      </c>
      <c r="M396">
        <v>0.99989850000000002</v>
      </c>
      <c r="N396">
        <v>-1.077697E-2</v>
      </c>
      <c r="O396">
        <v>-9.3341750000000001E-3</v>
      </c>
      <c r="P396">
        <v>0.97982899999999995</v>
      </c>
      <c r="Q396">
        <v>0.18025939999999999</v>
      </c>
      <c r="R396">
        <v>8.6268090000000006E-2</v>
      </c>
      <c r="S396">
        <v>3.0760800000000001</v>
      </c>
      <c r="T396">
        <v>-0.1214036</v>
      </c>
      <c r="U396">
        <v>8.2153320000000002E-2</v>
      </c>
      <c r="V396">
        <v>-9.5278050000000003E-2</v>
      </c>
      <c r="W396">
        <v>0.19086529999999999</v>
      </c>
      <c r="X396">
        <v>0.97698130000000005</v>
      </c>
      <c r="Y396">
        <v>-3.5988359999999997E-2</v>
      </c>
      <c r="Z396">
        <v>1.171474E-3</v>
      </c>
      <c r="AA396">
        <v>0.99935149999999995</v>
      </c>
      <c r="AB396">
        <v>28</v>
      </c>
      <c r="AC396">
        <v>25.865200000000002</v>
      </c>
      <c r="AD396">
        <v>-1.0599635134451999</v>
      </c>
      <c r="AE396">
        <v>0.72710000000000696</v>
      </c>
      <c r="AF396">
        <v>-0.96689011336277697</v>
      </c>
      <c r="AG396">
        <v>-1.0599635134451999</v>
      </c>
      <c r="AH396">
        <v>25.813968448125099</v>
      </c>
      <c r="AI396">
        <v>92.349691124514194</v>
      </c>
      <c r="AJ396">
        <v>92.145072629365103</v>
      </c>
      <c r="AK396">
        <v>25.853807576098902</v>
      </c>
      <c r="AL396">
        <v>78.996713194672495</v>
      </c>
      <c r="AM396">
        <v>95.570036814981904</v>
      </c>
      <c r="AN396">
        <v>0.99999996505278999</v>
      </c>
    </row>
    <row r="397" spans="1:40" x14ac:dyDescent="0.25">
      <c r="A397" t="str">
        <f>"20190304155024063"</f>
        <v>20190304155024063</v>
      </c>
      <c r="B397" t="str">
        <f>"1551685824056836"</f>
        <v>1551685824056836</v>
      </c>
      <c r="C397" t="s">
        <v>40</v>
      </c>
      <c r="D397">
        <v>5.1038839999999999</v>
      </c>
      <c r="E397">
        <v>0.51839380000000002</v>
      </c>
      <c r="F397" t="s">
        <v>51</v>
      </c>
      <c r="G397">
        <v>-414.33210000000003</v>
      </c>
      <c r="H397">
        <v>0.88425819999999999</v>
      </c>
      <c r="I397">
        <v>367.68079999999998</v>
      </c>
      <c r="J397">
        <v>-415.06200000000001</v>
      </c>
      <c r="K397">
        <v>1.0599809999999901</v>
      </c>
      <c r="L397">
        <v>367.73090000000002</v>
      </c>
      <c r="M397">
        <v>0.99989649999999997</v>
      </c>
      <c r="N397">
        <v>-1.0797360000000001E-2</v>
      </c>
      <c r="O397">
        <v>-9.5087039999999998E-3</v>
      </c>
      <c r="P397">
        <v>0.97985299999999997</v>
      </c>
      <c r="Q397">
        <v>0.180175</v>
      </c>
      <c r="R397">
        <v>8.6169839999999998E-2</v>
      </c>
      <c r="S397">
        <v>3.19455</v>
      </c>
      <c r="T397">
        <v>-0.63230799999999998</v>
      </c>
      <c r="U397">
        <v>-0.18688959999999999</v>
      </c>
      <c r="V397">
        <v>-9.5358540000000006E-2</v>
      </c>
      <c r="W397">
        <v>0.19079750000000001</v>
      </c>
      <c r="X397">
        <v>0.97698669999999999</v>
      </c>
      <c r="Y397">
        <v>4.8089880000000002E-2</v>
      </c>
      <c r="Z397">
        <v>-3.2114890000000001E-3</v>
      </c>
      <c r="AA397">
        <v>0.9988378</v>
      </c>
      <c r="AB397">
        <v>28</v>
      </c>
      <c r="AC397">
        <v>0.72989999999992905</v>
      </c>
      <c r="AD397">
        <v>-0.17572279999999901</v>
      </c>
      <c r="AE397">
        <v>-5.0100000000043103E-2</v>
      </c>
      <c r="AF397">
        <v>4.0803065316313399E-2</v>
      </c>
      <c r="AG397">
        <v>-0.17572279999999901</v>
      </c>
      <c r="AH397">
        <v>0.69050907723941601</v>
      </c>
      <c r="AI397">
        <v>104.253885140877</v>
      </c>
      <c r="AJ397">
        <v>86.618251490652199</v>
      </c>
      <c r="AK397">
        <v>0.71368492931340299</v>
      </c>
      <c r="AL397">
        <v>79.000670680062299</v>
      </c>
      <c r="AM397">
        <v>95.574682082565303</v>
      </c>
      <c r="AN397">
        <v>0.99999997456703504</v>
      </c>
    </row>
    <row r="398" spans="1:40" x14ac:dyDescent="0.25">
      <c r="A398" t="str">
        <f>"20190304155024081"</f>
        <v>20190304155024081</v>
      </c>
      <c r="B398" t="str">
        <f>"1551685824077332"</f>
        <v>1551685824077332</v>
      </c>
      <c r="C398" t="s">
        <v>40</v>
      </c>
      <c r="D398">
        <v>5.679799</v>
      </c>
      <c r="E398">
        <v>0.54253059999999997</v>
      </c>
      <c r="F398" t="s">
        <v>51</v>
      </c>
      <c r="G398">
        <v>-414.2953</v>
      </c>
      <c r="H398">
        <v>0.95501570000000002</v>
      </c>
      <c r="I398">
        <v>367.75560000000002</v>
      </c>
      <c r="J398">
        <v>-414.83749999999998</v>
      </c>
      <c r="K398">
        <v>1.0600039999999999</v>
      </c>
      <c r="L398">
        <v>367.7285</v>
      </c>
      <c r="M398">
        <v>0.99989410000000001</v>
      </c>
      <c r="N398">
        <v>-1.0824800000000001E-2</v>
      </c>
      <c r="O398">
        <v>-9.7353760000000004E-3</v>
      </c>
      <c r="P398">
        <v>0.97992040000000002</v>
      </c>
      <c r="Q398">
        <v>0.1799974</v>
      </c>
      <c r="R398">
        <v>8.5773420000000003E-2</v>
      </c>
      <c r="S398">
        <v>3.1317140000000001</v>
      </c>
      <c r="T398">
        <v>-0.4286838</v>
      </c>
      <c r="U398">
        <v>0.1002502</v>
      </c>
      <c r="V398">
        <v>-9.5196089999999997E-2</v>
      </c>
      <c r="W398">
        <v>0.19064159999999999</v>
      </c>
      <c r="X398">
        <v>0.97703300000000004</v>
      </c>
      <c r="Y398">
        <v>-4.1232619999999998E-2</v>
      </c>
      <c r="Z398">
        <v>4.2538330000000003E-3</v>
      </c>
      <c r="AA398">
        <v>0.99914049999999999</v>
      </c>
      <c r="AB398">
        <v>28</v>
      </c>
      <c r="AC398">
        <v>0.54219999999997903</v>
      </c>
      <c r="AD398">
        <v>-0.10498830000000001</v>
      </c>
      <c r="AE398">
        <v>2.7100000000018502E-2</v>
      </c>
      <c r="AF398">
        <v>-3.1210261119055699E-2</v>
      </c>
      <c r="AG398">
        <v>-0.10498830000000001</v>
      </c>
      <c r="AH398">
        <v>0.52237335295589205</v>
      </c>
      <c r="AI398">
        <v>101.344388036586</v>
      </c>
      <c r="AJ398">
        <v>93.419188539455405</v>
      </c>
      <c r="AK398">
        <v>0.53373265162850103</v>
      </c>
      <c r="AL398">
        <v>79.009770389926302</v>
      </c>
      <c r="AM398">
        <v>95.564982816491806</v>
      </c>
      <c r="AN398">
        <v>0.99999999914542403</v>
      </c>
    </row>
    <row r="399" spans="1:40" x14ac:dyDescent="0.25">
      <c r="A399" t="str">
        <f>"20190304155024106"</f>
        <v>20190304155024106</v>
      </c>
      <c r="B399" t="str">
        <f>"1551685824096855"</f>
        <v>1551685824096855</v>
      </c>
      <c r="C399" t="s">
        <v>40</v>
      </c>
      <c r="D399">
        <v>6.34917</v>
      </c>
      <c r="E399">
        <v>0.54660609999999998</v>
      </c>
      <c r="F399" t="s">
        <v>42</v>
      </c>
      <c r="G399">
        <v>-399.35910000000001</v>
      </c>
      <c r="H399">
        <v>-0.05</v>
      </c>
      <c r="I399">
        <v>367.27839999999998</v>
      </c>
      <c r="J399">
        <v>-414.52499999999998</v>
      </c>
      <c r="K399">
        <v>1.06003</v>
      </c>
      <c r="L399">
        <v>367.7251</v>
      </c>
      <c r="M399">
        <v>0.99989099999999997</v>
      </c>
      <c r="N399">
        <v>-1.0859829999999999E-2</v>
      </c>
      <c r="O399">
        <v>-1.0007820000000001E-2</v>
      </c>
      <c r="P399">
        <v>0.97997219999999996</v>
      </c>
      <c r="Q399">
        <v>0.17997289999999999</v>
      </c>
      <c r="R399">
        <v>8.5230089999999994E-2</v>
      </c>
      <c r="S399">
        <v>3.1103209999999999</v>
      </c>
      <c r="T399">
        <v>-0.22305059999999999</v>
      </c>
      <c r="U399">
        <v>-9.0454099999999996E-2</v>
      </c>
      <c r="V399">
        <v>-9.4936080000000006E-2</v>
      </c>
      <c r="W399">
        <v>0.19064339999999999</v>
      </c>
      <c r="X399">
        <v>0.97705790000000003</v>
      </c>
      <c r="Y399">
        <v>1.9026250000000001E-2</v>
      </c>
      <c r="Z399">
        <v>-1.7665119999999999E-4</v>
      </c>
      <c r="AA399">
        <v>0.99981900000000001</v>
      </c>
      <c r="AB399">
        <v>28</v>
      </c>
      <c r="AC399">
        <v>15.165899999999899</v>
      </c>
      <c r="AD399">
        <v>-1.1100299999999901</v>
      </c>
      <c r="AE399">
        <v>-0.44670000000002102</v>
      </c>
      <c r="AF399">
        <v>0.29332108634030502</v>
      </c>
      <c r="AG399">
        <v>-1.1100299999999901</v>
      </c>
      <c r="AH399">
        <v>15.088848149526999</v>
      </c>
      <c r="AI399">
        <v>94.206664499307394</v>
      </c>
      <c r="AJ399">
        <v>88.886333561606094</v>
      </c>
      <c r="AK399">
        <v>15.132466498891599</v>
      </c>
      <c r="AL399">
        <v>79.009664812779604</v>
      </c>
      <c r="AM399">
        <v>95.549737596497707</v>
      </c>
      <c r="AN399">
        <v>0.99999995260086705</v>
      </c>
    </row>
    <row r="400" spans="1:40" x14ac:dyDescent="0.25">
      <c r="A400" t="str">
        <f>"20190304155024119"</f>
        <v>20190304155024119</v>
      </c>
      <c r="B400" t="str">
        <f>"1551685824116879"</f>
        <v>1551685824116879</v>
      </c>
      <c r="C400" t="s">
        <v>40</v>
      </c>
      <c r="D400">
        <v>5.140498</v>
      </c>
      <c r="E400">
        <v>0.5431513</v>
      </c>
      <c r="F400" t="s">
        <v>41</v>
      </c>
      <c r="G400">
        <v>-378.9717</v>
      </c>
      <c r="H400" s="1">
        <v>-1.215574E-6</v>
      </c>
      <c r="I400">
        <v>366.31049999999999</v>
      </c>
      <c r="J400">
        <v>-414.35520000000002</v>
      </c>
      <c r="K400">
        <v>1.060052</v>
      </c>
      <c r="L400">
        <v>367.72329999999999</v>
      </c>
      <c r="M400">
        <v>0.99988960000000005</v>
      </c>
      <c r="N400">
        <v>-1.0877070000000001E-2</v>
      </c>
      <c r="O400">
        <v>-1.012791E-2</v>
      </c>
      <c r="P400">
        <v>0.98005030000000004</v>
      </c>
      <c r="Q400">
        <v>0.179620899999999</v>
      </c>
      <c r="R400">
        <v>8.5076520000000003E-2</v>
      </c>
      <c r="S400">
        <v>3.088959</v>
      </c>
      <c r="T400">
        <v>-9.2098120000000006E-2</v>
      </c>
      <c r="U400">
        <v>-0.1228943</v>
      </c>
      <c r="V400">
        <v>-9.4911229999999999E-2</v>
      </c>
      <c r="W400">
        <v>0.1903041</v>
      </c>
      <c r="X400">
        <v>0.97712650000000001</v>
      </c>
      <c r="Y400">
        <v>2.9614910000000001E-2</v>
      </c>
      <c r="Z400">
        <v>-4.1074679999999998E-4</v>
      </c>
      <c r="AA400">
        <v>0.99956129999999999</v>
      </c>
      <c r="AB400">
        <v>28</v>
      </c>
      <c r="AC400">
        <v>35.383499999999998</v>
      </c>
      <c r="AD400">
        <v>-1.0600532155739999</v>
      </c>
      <c r="AE400">
        <v>-1.4128000000000001</v>
      </c>
      <c r="AF400">
        <v>1.0534014791239701</v>
      </c>
      <c r="AG400">
        <v>-1.0600532155739999</v>
      </c>
      <c r="AH400">
        <v>35.364304221683398</v>
      </c>
      <c r="AI400">
        <v>91.716179425721094</v>
      </c>
      <c r="AJ400">
        <v>88.293827091818002</v>
      </c>
      <c r="AK400">
        <v>35.395866716042498</v>
      </c>
      <c r="AL400">
        <v>79.029468285239602</v>
      </c>
      <c r="AM400">
        <v>95.547906897617594</v>
      </c>
      <c r="AN400">
        <v>0.99999999452958599</v>
      </c>
    </row>
    <row r="401" spans="1:40" x14ac:dyDescent="0.25">
      <c r="A401" t="str">
        <f>"20190304155024139"</f>
        <v>20190304155024139</v>
      </c>
      <c r="B401" t="str">
        <f>"1551685824137375"</f>
        <v>1551685824137375</v>
      </c>
      <c r="C401" t="s">
        <v>40</v>
      </c>
      <c r="D401">
        <v>5.3302639999999997</v>
      </c>
      <c r="E401">
        <v>0.53832069999999999</v>
      </c>
      <c r="F401" t="s">
        <v>41</v>
      </c>
      <c r="G401">
        <v>-372.66649999999998</v>
      </c>
      <c r="H401" s="1">
        <v>-3.692876E-6</v>
      </c>
      <c r="I401">
        <v>366.43389999999999</v>
      </c>
      <c r="J401">
        <v>-414.11369999999999</v>
      </c>
      <c r="K401">
        <v>1.060084</v>
      </c>
      <c r="L401">
        <v>367.72070000000002</v>
      </c>
      <c r="M401">
        <v>0.99988779999999999</v>
      </c>
      <c r="N401">
        <v>-1.0900139999999999E-2</v>
      </c>
      <c r="O401">
        <v>-1.0274129999999999E-2</v>
      </c>
      <c r="P401">
        <v>0.98011479999999995</v>
      </c>
      <c r="Q401">
        <v>0.1794424</v>
      </c>
      <c r="R401">
        <v>8.4706600000000007E-2</v>
      </c>
      <c r="S401">
        <v>3.08371</v>
      </c>
      <c r="T401">
        <v>-7.8412060000000006E-2</v>
      </c>
      <c r="U401">
        <v>-9.5367430000000003E-2</v>
      </c>
      <c r="V401">
        <v>-9.4699000000000005E-2</v>
      </c>
      <c r="W401">
        <v>0.19014159999999999</v>
      </c>
      <c r="X401">
        <v>0.97717880000000001</v>
      </c>
      <c r="Y401">
        <v>2.0631529999999999E-2</v>
      </c>
      <c r="Z401">
        <v>-2.2553300000000001E-4</v>
      </c>
      <c r="AA401">
        <v>0.99978710000000004</v>
      </c>
      <c r="AB401">
        <v>28</v>
      </c>
      <c r="AC401">
        <v>41.447200000000002</v>
      </c>
      <c r="AD401">
        <v>-1.0600876928759999</v>
      </c>
      <c r="AE401">
        <v>-1.2868000000000199</v>
      </c>
      <c r="AF401">
        <v>0.86031059947984201</v>
      </c>
      <c r="AG401">
        <v>-1.0600876928759999</v>
      </c>
      <c r="AH401">
        <v>41.431156601417698</v>
      </c>
      <c r="AI401">
        <v>91.465375923661298</v>
      </c>
      <c r="AJ401">
        <v>88.810434278635199</v>
      </c>
      <c r="AK401">
        <v>41.453644683855799</v>
      </c>
      <c r="AL401">
        <v>79.038952827756304</v>
      </c>
      <c r="AM401">
        <v>95.535283989387295</v>
      </c>
      <c r="AN401">
        <v>1.0000000679104899</v>
      </c>
    </row>
    <row r="402" spans="1:40" x14ac:dyDescent="0.25">
      <c r="A402" t="str">
        <f>"20190304155024159"</f>
        <v>20190304155024159</v>
      </c>
      <c r="B402" t="str">
        <f>"1551685824156895"</f>
        <v>1551685824156895</v>
      </c>
      <c r="C402" t="s">
        <v>40</v>
      </c>
      <c r="D402">
        <v>5.5316989999999997</v>
      </c>
      <c r="E402">
        <v>0.5144299</v>
      </c>
      <c r="F402" t="s">
        <v>41</v>
      </c>
      <c r="G402">
        <v>-376.2054</v>
      </c>
      <c r="H402" s="1">
        <v>-2.073517E-6</v>
      </c>
      <c r="I402">
        <v>367.0043</v>
      </c>
      <c r="J402">
        <v>-413.85039999999998</v>
      </c>
      <c r="K402">
        <v>1.06012</v>
      </c>
      <c r="L402">
        <v>367.71780000000001</v>
      </c>
      <c r="M402">
        <v>0.99988619999999995</v>
      </c>
      <c r="N402">
        <v>-1.0922950000000001E-2</v>
      </c>
      <c r="O402">
        <v>-1.039792E-2</v>
      </c>
      <c r="P402">
        <v>0.98016029999999998</v>
      </c>
      <c r="Q402">
        <v>0.1793178</v>
      </c>
      <c r="R402">
        <v>8.4445629999999994E-2</v>
      </c>
      <c r="S402">
        <v>3.081696</v>
      </c>
      <c r="T402">
        <v>-8.6177950000000003E-2</v>
      </c>
      <c r="U402">
        <v>-5.8227540000000001E-2</v>
      </c>
      <c r="V402">
        <v>-9.4574290000000005E-2</v>
      </c>
      <c r="W402">
        <v>0.1900326</v>
      </c>
      <c r="X402">
        <v>0.97721199999999997</v>
      </c>
      <c r="Y402">
        <v>8.4904619999999903E-3</v>
      </c>
      <c r="Z402" s="1">
        <v>1.2048000000000001E-5</v>
      </c>
      <c r="AA402">
        <v>0.99996390000000002</v>
      </c>
      <c r="AB402">
        <v>28</v>
      </c>
      <c r="AC402">
        <v>37.644999999999897</v>
      </c>
      <c r="AD402">
        <v>-1.0601220735170001</v>
      </c>
      <c r="AE402">
        <v>-0.71350000000001002</v>
      </c>
      <c r="AF402">
        <v>0.321753268301182</v>
      </c>
      <c r="AG402">
        <v>-1.0601220735170001</v>
      </c>
      <c r="AH402">
        <v>37.620559996999802</v>
      </c>
      <c r="AI402">
        <v>91.614070368409799</v>
      </c>
      <c r="AJ402">
        <v>89.509984570945406</v>
      </c>
      <c r="AK402">
        <v>37.636869137380202</v>
      </c>
      <c r="AL402">
        <v>79.045313176719404</v>
      </c>
      <c r="AM402">
        <v>95.527853057760495</v>
      </c>
      <c r="AN402">
        <v>0.99999998916788102</v>
      </c>
    </row>
    <row r="403" spans="1:40" x14ac:dyDescent="0.25">
      <c r="A403" t="str">
        <f>"20190304155024172"</f>
        <v>20190304155024172</v>
      </c>
      <c r="B403" t="str">
        <f>"1551685824166655"</f>
        <v>1551685824166655</v>
      </c>
      <c r="C403" t="s">
        <v>40</v>
      </c>
      <c r="D403">
        <v>5.3983910000000002</v>
      </c>
      <c r="E403">
        <v>0.5166385</v>
      </c>
      <c r="F403" t="s">
        <v>43</v>
      </c>
      <c r="G403">
        <v>-158.19499999999999</v>
      </c>
      <c r="H403">
        <v>30.926659999999998</v>
      </c>
      <c r="I403">
        <v>379.38209999999998</v>
      </c>
      <c r="J403">
        <v>-413.69490000000002</v>
      </c>
      <c r="K403">
        <v>1.060141</v>
      </c>
      <c r="L403">
        <v>367.71609999999998</v>
      </c>
      <c r="M403">
        <v>0.99988560000000004</v>
      </c>
      <c r="N403">
        <v>-1.093538E-2</v>
      </c>
      <c r="O403">
        <v>-1.045604E-2</v>
      </c>
      <c r="P403">
        <v>0.98016630000000005</v>
      </c>
      <c r="Q403">
        <v>0.1794113</v>
      </c>
      <c r="R403">
        <v>8.4177210000000002E-2</v>
      </c>
      <c r="S403">
        <v>2.9851990000000002</v>
      </c>
      <c r="T403">
        <v>0.3487421</v>
      </c>
      <c r="U403">
        <v>0.13619999999999999</v>
      </c>
      <c r="V403">
        <v>-9.4370659999999995E-2</v>
      </c>
      <c r="W403">
        <v>0.1901342</v>
      </c>
      <c r="X403">
        <v>0.97721199999999997</v>
      </c>
      <c r="Y403">
        <v>-5.5594369999999997E-2</v>
      </c>
      <c r="Z403">
        <v>-4.2602889999999996E-3</v>
      </c>
      <c r="AA403">
        <v>0.99844429999999995</v>
      </c>
      <c r="AB403">
        <v>28</v>
      </c>
      <c r="AC403">
        <v>255.4999</v>
      </c>
      <c r="AD403">
        <v>29.866519</v>
      </c>
      <c r="AE403">
        <v>11.665999999999899</v>
      </c>
      <c r="AF403">
        <v>-14.1441706867042</v>
      </c>
      <c r="AG403">
        <v>29.866519</v>
      </c>
      <c r="AH403">
        <v>251.928673759703</v>
      </c>
      <c r="AI403">
        <v>83.249588346666798</v>
      </c>
      <c r="AJ403">
        <v>93.213415096939201</v>
      </c>
      <c r="AK403">
        <v>254.08684181577499</v>
      </c>
      <c r="AL403">
        <v>79.039384653828805</v>
      </c>
      <c r="AM403">
        <v>95.516024399970405</v>
      </c>
      <c r="AN403">
        <v>1.0000000642112301</v>
      </c>
    </row>
    <row r="404" spans="1:40" x14ac:dyDescent="0.25">
      <c r="A404" t="str">
        <f>"20190304155024185"</f>
        <v>20190304155024185</v>
      </c>
      <c r="B404" t="str">
        <f>"1551685824177391"</f>
        <v>1551685824177391</v>
      </c>
      <c r="C404" t="s">
        <v>40</v>
      </c>
      <c r="D404">
        <v>5.2520110000000004</v>
      </c>
      <c r="E404">
        <v>0.51636890000000002</v>
      </c>
      <c r="F404" t="s">
        <v>43</v>
      </c>
      <c r="G404">
        <v>-158.19499999999999</v>
      </c>
      <c r="H404">
        <v>30.669280000000001</v>
      </c>
      <c r="I404">
        <v>377.78890000000001</v>
      </c>
      <c r="J404">
        <v>-413.5317</v>
      </c>
      <c r="K404">
        <v>1.0601579999999999</v>
      </c>
      <c r="L404">
        <v>367.71440000000001</v>
      </c>
      <c r="M404">
        <v>0.99988489999999997</v>
      </c>
      <c r="N404">
        <v>-1.094759E-2</v>
      </c>
      <c r="O404">
        <v>-1.0504629999999999E-2</v>
      </c>
      <c r="P404">
        <v>0.98008899999999999</v>
      </c>
      <c r="Q404">
        <v>0.17981420000000001</v>
      </c>
      <c r="R404">
        <v>8.4215529999999997E-2</v>
      </c>
      <c r="S404">
        <v>2.9872130000000001</v>
      </c>
      <c r="T404">
        <v>0.3461804</v>
      </c>
      <c r="U404">
        <v>0.11776730000000001</v>
      </c>
      <c r="V404">
        <v>-9.4464090000000001E-2</v>
      </c>
      <c r="W404">
        <v>0.19054470000000001</v>
      </c>
      <c r="X404">
        <v>0.97712299999999996</v>
      </c>
      <c r="Y404">
        <v>-4.950471E-2</v>
      </c>
      <c r="Z404">
        <v>-3.9133220000000003E-3</v>
      </c>
      <c r="AA404">
        <v>0.99876620000000005</v>
      </c>
      <c r="AB404">
        <v>28</v>
      </c>
      <c r="AC404">
        <v>255.33670000000001</v>
      </c>
      <c r="AD404">
        <v>29.6091219999999</v>
      </c>
      <c r="AE404">
        <v>10.0745</v>
      </c>
      <c r="AF404">
        <v>-12.587324028338699</v>
      </c>
      <c r="AG404">
        <v>29.6091219999999</v>
      </c>
      <c r="AH404">
        <v>251.83561147274699</v>
      </c>
      <c r="AI404">
        <v>83.3026210082582</v>
      </c>
      <c r="AJ404">
        <v>92.861393833406296</v>
      </c>
      <c r="AK404">
        <v>253.88248470041799</v>
      </c>
      <c r="AL404">
        <v>79.015426612250494</v>
      </c>
      <c r="AM404">
        <v>95.521951517558506</v>
      </c>
      <c r="AN404">
        <v>1.0000000520632999</v>
      </c>
    </row>
    <row r="405" spans="1:40" x14ac:dyDescent="0.25">
      <c r="A405" t="str">
        <f>"20190304155024196"</f>
        <v>20190304155024196</v>
      </c>
      <c r="B405" t="str">
        <f>"1551685824187151"</f>
        <v>1551685824187151</v>
      </c>
      <c r="C405" t="s">
        <v>40</v>
      </c>
      <c r="D405">
        <v>5.601375</v>
      </c>
      <c r="E405">
        <v>0.51542529999999998</v>
      </c>
      <c r="F405" t="s">
        <v>43</v>
      </c>
      <c r="G405">
        <v>-158.19499999999999</v>
      </c>
      <c r="H405">
        <v>30.714849999999998</v>
      </c>
      <c r="I405">
        <v>377.99290000000002</v>
      </c>
      <c r="J405">
        <v>-413.3861</v>
      </c>
      <c r="K405">
        <v>1.0601739999999999</v>
      </c>
      <c r="L405">
        <v>367.71280000000002</v>
      </c>
      <c r="M405">
        <v>0.99988449999999995</v>
      </c>
      <c r="N405">
        <v>-1.0957679999999999E-2</v>
      </c>
      <c r="O405">
        <v>-1.053538E-2</v>
      </c>
      <c r="P405">
        <v>0.9800044</v>
      </c>
      <c r="Q405">
        <v>0.18025250000000001</v>
      </c>
      <c r="R405">
        <v>8.426496E-2</v>
      </c>
      <c r="S405">
        <v>2.9869690000000002</v>
      </c>
      <c r="T405">
        <v>0.3469062</v>
      </c>
      <c r="U405">
        <v>0.12023929999999999</v>
      </c>
      <c r="V405">
        <v>-9.4548989999999999E-2</v>
      </c>
      <c r="W405">
        <v>0.19098850000000001</v>
      </c>
      <c r="X405">
        <v>0.97702809999999995</v>
      </c>
      <c r="Y405">
        <v>-5.0356770000000002E-2</v>
      </c>
      <c r="Z405">
        <v>-3.9704120000000004E-3</v>
      </c>
      <c r="AA405">
        <v>0.99872340000000004</v>
      </c>
      <c r="AB405">
        <v>28</v>
      </c>
      <c r="AC405">
        <v>255.19110000000001</v>
      </c>
      <c r="AD405">
        <v>29.654675999999998</v>
      </c>
      <c r="AE405">
        <v>10.280099999999999</v>
      </c>
      <c r="AF405">
        <v>-12.795715365317401</v>
      </c>
      <c r="AG405">
        <v>29.654675999999998</v>
      </c>
      <c r="AH405">
        <v>251.67555941540701</v>
      </c>
      <c r="AI405">
        <v>83.288471595005603</v>
      </c>
      <c r="AJ405">
        <v>92.910531967526694</v>
      </c>
      <c r="AK405">
        <v>253.739467461082</v>
      </c>
      <c r="AL405">
        <v>78.989522607422103</v>
      </c>
      <c r="AM405">
        <v>95.5274171883121</v>
      </c>
      <c r="AN405">
        <v>1.0000000134159399</v>
      </c>
    </row>
    <row r="406" spans="1:40" x14ac:dyDescent="0.25">
      <c r="A406" t="str">
        <f>"20190304155024216"</f>
        <v>20190304155024216</v>
      </c>
      <c r="B406" t="str">
        <f>"1551685824206671"</f>
        <v>1551685824206671</v>
      </c>
      <c r="C406" t="s">
        <v>40</v>
      </c>
      <c r="D406">
        <v>5.2752439999999998</v>
      </c>
      <c r="E406">
        <v>0.51020049999999995</v>
      </c>
      <c r="F406" t="s">
        <v>43</v>
      </c>
      <c r="G406">
        <v>-158.19499999999999</v>
      </c>
      <c r="H406">
        <v>31.446249999999999</v>
      </c>
      <c r="I406">
        <v>378.66849999999999</v>
      </c>
      <c r="J406">
        <v>-413.13569999999999</v>
      </c>
      <c r="K406">
        <v>1.0601989999999999</v>
      </c>
      <c r="L406">
        <v>367.71010000000001</v>
      </c>
      <c r="M406">
        <v>0.99988390000000005</v>
      </c>
      <c r="N406">
        <v>-1.097391E-2</v>
      </c>
      <c r="O406">
        <v>-1.0572130000000001E-2</v>
      </c>
      <c r="P406">
        <v>0.97994389999999998</v>
      </c>
      <c r="Q406">
        <v>0.18060889999999999</v>
      </c>
      <c r="R406">
        <v>8.4205070000000007E-2</v>
      </c>
      <c r="S406">
        <v>2.9848330000000001</v>
      </c>
      <c r="T406">
        <v>0.35541050000000002</v>
      </c>
      <c r="U406">
        <v>0.12814329999999999</v>
      </c>
      <c r="V406">
        <v>-9.4533710000000007E-2</v>
      </c>
      <c r="W406">
        <v>0.19135489999999999</v>
      </c>
      <c r="X406">
        <v>0.97695790000000005</v>
      </c>
      <c r="Y406">
        <v>-5.3024519999999999E-2</v>
      </c>
      <c r="Z406">
        <v>-4.2217299999999999E-3</v>
      </c>
      <c r="AA406">
        <v>0.99858429999999998</v>
      </c>
      <c r="AB406">
        <v>28</v>
      </c>
      <c r="AC406">
        <v>254.94069999999999</v>
      </c>
      <c r="AD406">
        <v>30.386050999999998</v>
      </c>
      <c r="AE406">
        <v>10.9583999999999</v>
      </c>
      <c r="AF406">
        <v>-13.462323662557001</v>
      </c>
      <c r="AG406">
        <v>30.386050999999998</v>
      </c>
      <c r="AH406">
        <v>251.247957311395</v>
      </c>
      <c r="AI406">
        <v>83.113894276262201</v>
      </c>
      <c r="AJ406">
        <v>93.067079372667095</v>
      </c>
      <c r="AK406">
        <v>253.436544931702</v>
      </c>
      <c r="AL406">
        <v>78.968135150125505</v>
      </c>
      <c r="AM406">
        <v>95.526924090699097</v>
      </c>
      <c r="AN406">
        <v>1.00000002922639</v>
      </c>
    </row>
    <row r="407" spans="1:40" x14ac:dyDescent="0.25">
      <c r="A407" t="str">
        <f>"20190304155024230"</f>
        <v>20190304155024230</v>
      </c>
      <c r="B407" t="str">
        <f>"1551685824226699"</f>
        <v>1551685824226699</v>
      </c>
      <c r="C407" t="s">
        <v>40</v>
      </c>
      <c r="D407">
        <v>5.1706409999999998</v>
      </c>
      <c r="E407">
        <v>0.50945589999999996</v>
      </c>
      <c r="F407" t="s">
        <v>41</v>
      </c>
      <c r="G407">
        <v>-383.39690000000002</v>
      </c>
      <c r="H407" s="1">
        <v>-2.8718350000000001E-6</v>
      </c>
      <c r="I407">
        <v>369.29590000000002</v>
      </c>
      <c r="J407">
        <v>-412.97370000000001</v>
      </c>
      <c r="K407">
        <v>1.0602129999999901</v>
      </c>
      <c r="L407">
        <v>367.70839999999998</v>
      </c>
      <c r="M407">
        <v>0.99988370000000004</v>
      </c>
      <c r="N407">
        <v>-1.0983700000000001E-2</v>
      </c>
      <c r="O407">
        <v>-1.058681E-2</v>
      </c>
      <c r="P407">
        <v>0.97983920000000002</v>
      </c>
      <c r="Q407">
        <v>0.18113360000000001</v>
      </c>
      <c r="R407">
        <v>8.4297349999999993E-2</v>
      </c>
      <c r="S407">
        <v>3.0675050000000001</v>
      </c>
      <c r="T407">
        <v>-0.10935780000000001</v>
      </c>
      <c r="U407">
        <v>0.1635742</v>
      </c>
      <c r="V407">
        <v>-9.4644839999999994E-2</v>
      </c>
      <c r="W407">
        <v>0.19188569999999999</v>
      </c>
      <c r="X407">
        <v>0.97684300000000002</v>
      </c>
      <c r="Y407">
        <v>-6.3762550000000001E-2</v>
      </c>
      <c r="Z407">
        <v>1.7468799999999999E-3</v>
      </c>
      <c r="AA407">
        <v>0.9979635</v>
      </c>
      <c r="AB407">
        <v>28</v>
      </c>
      <c r="AC407">
        <v>29.576799999999899</v>
      </c>
      <c r="AD407">
        <v>-1.0602158718350001</v>
      </c>
      <c r="AE407">
        <v>1.5875000000000301</v>
      </c>
      <c r="AF407">
        <v>-1.8981218677463301</v>
      </c>
      <c r="AG407">
        <v>-1.0602158718350001</v>
      </c>
      <c r="AH407">
        <v>29.520511271533401</v>
      </c>
      <c r="AI407">
        <v>92.0526330045751</v>
      </c>
      <c r="AJ407">
        <v>93.678963004343302</v>
      </c>
      <c r="AK407">
        <v>29.600464693184101</v>
      </c>
      <c r="AL407">
        <v>78.937148090831101</v>
      </c>
      <c r="AM407">
        <v>95.534027835547704</v>
      </c>
      <c r="AN407">
        <v>1.00000000712605</v>
      </c>
    </row>
    <row r="408" spans="1:40" x14ac:dyDescent="0.25">
      <c r="A408" t="str">
        <f>"20190304155024243"</f>
        <v>20190304155024243</v>
      </c>
      <c r="B408" t="str">
        <f>"1551685824237435"</f>
        <v>1551685824237435</v>
      </c>
      <c r="C408" t="s">
        <v>40</v>
      </c>
      <c r="D408">
        <v>5.2779429999999996</v>
      </c>
      <c r="E408">
        <v>0.51018509999999995</v>
      </c>
      <c r="F408" t="s">
        <v>41</v>
      </c>
      <c r="G408">
        <v>-389.1506</v>
      </c>
      <c r="H408" s="1">
        <v>-4.519753E-7</v>
      </c>
      <c r="I408">
        <v>369.02280000000002</v>
      </c>
      <c r="J408">
        <v>-412.7987</v>
      </c>
      <c r="K408">
        <v>1.0602279999999999</v>
      </c>
      <c r="L408">
        <v>367.70650000000001</v>
      </c>
      <c r="M408">
        <v>0.99988350000000004</v>
      </c>
      <c r="N408">
        <v>-1.099344E-2</v>
      </c>
      <c r="O408">
        <v>-1.059364E-2</v>
      </c>
      <c r="P408">
        <v>0.97980670000000003</v>
      </c>
      <c r="Q408">
        <v>0.1813379</v>
      </c>
      <c r="R408">
        <v>8.423506E-2</v>
      </c>
      <c r="S408">
        <v>3.0723569999999998</v>
      </c>
      <c r="T408">
        <v>-0.13673080000000001</v>
      </c>
      <c r="U408">
        <v>0.16952509999999901</v>
      </c>
      <c r="V408">
        <v>-9.4593350000000007E-2</v>
      </c>
      <c r="W408">
        <v>0.19209670000000001</v>
      </c>
      <c r="X408">
        <v>0.97680650000000002</v>
      </c>
      <c r="Y408">
        <v>-6.558216E-2</v>
      </c>
      <c r="Z408">
        <v>2.1730500000000002E-3</v>
      </c>
      <c r="AA408">
        <v>0.99784479999999998</v>
      </c>
      <c r="AB408">
        <v>28</v>
      </c>
      <c r="AC408">
        <v>23.648099999999999</v>
      </c>
      <c r="AD408">
        <v>-1.0602284519753</v>
      </c>
      <c r="AE408">
        <v>1.31630000000001</v>
      </c>
      <c r="AF408">
        <v>-1.5636274555388101</v>
      </c>
      <c r="AG408">
        <v>-1.0602284519753</v>
      </c>
      <c r="AH408">
        <v>23.5855659076494</v>
      </c>
      <c r="AI408">
        <v>92.568221552785005</v>
      </c>
      <c r="AJ408">
        <v>93.7929276960202</v>
      </c>
      <c r="AK408">
        <v>23.661105941484699</v>
      </c>
      <c r="AL408">
        <v>78.924829336305294</v>
      </c>
      <c r="AM408">
        <v>95.531241206150497</v>
      </c>
      <c r="AN408">
        <v>0.999999991228681</v>
      </c>
    </row>
    <row r="409" spans="1:40" x14ac:dyDescent="0.25">
      <c r="A409" t="str">
        <f>"20190304155024259"</f>
        <v>20190304155024259</v>
      </c>
      <c r="B409" t="str">
        <f>"1551685824256955"</f>
        <v>1551685824256955</v>
      </c>
      <c r="C409" t="s">
        <v>40</v>
      </c>
      <c r="D409">
        <v>5.2994149999999998</v>
      </c>
      <c r="E409">
        <v>0.51073690000000005</v>
      </c>
      <c r="F409" t="s">
        <v>41</v>
      </c>
      <c r="G409">
        <v>-388.88080000000002</v>
      </c>
      <c r="H409" s="1">
        <v>-5.7568590000000004E-7</v>
      </c>
      <c r="I409">
        <v>368.97789999999998</v>
      </c>
      <c r="J409">
        <v>-412.5926</v>
      </c>
      <c r="K409">
        <v>1.0602419999999999</v>
      </c>
      <c r="L409">
        <v>367.70429999999999</v>
      </c>
      <c r="M409">
        <v>0.99988350000000004</v>
      </c>
      <c r="N409">
        <v>-1.1004119999999999E-2</v>
      </c>
      <c r="O409">
        <v>-1.0595719999999999E-2</v>
      </c>
      <c r="P409">
        <v>0.97976229999999997</v>
      </c>
      <c r="Q409">
        <v>0.18142739999999999</v>
      </c>
      <c r="R409">
        <v>8.4560590000000005E-2</v>
      </c>
      <c r="S409">
        <v>3.0729679999999999</v>
      </c>
      <c r="T409">
        <v>-0.13621739999999999</v>
      </c>
      <c r="U409">
        <v>0.16336059999999999</v>
      </c>
      <c r="V409">
        <v>-9.4925010000000004E-2</v>
      </c>
      <c r="W409">
        <v>0.192194</v>
      </c>
      <c r="X409">
        <v>0.97675520000000005</v>
      </c>
      <c r="Y409">
        <v>-6.3580380000000006E-2</v>
      </c>
      <c r="Z409">
        <v>2.1104740000000002E-3</v>
      </c>
      <c r="AA409">
        <v>0.99797449999999999</v>
      </c>
      <c r="AB409">
        <v>28</v>
      </c>
      <c r="AC409">
        <v>23.711799999999901</v>
      </c>
      <c r="AD409">
        <v>-1.0602425756859</v>
      </c>
      <c r="AE409">
        <v>1.2735999999999801</v>
      </c>
      <c r="AF409">
        <v>-1.5217535417960499</v>
      </c>
      <c r="AG409">
        <v>-1.0602425756859</v>
      </c>
      <c r="AH409">
        <v>23.649825768433999</v>
      </c>
      <c r="AI409">
        <v>92.561611282266895</v>
      </c>
      <c r="AJ409">
        <v>93.6816348265898</v>
      </c>
      <c r="AK409">
        <v>23.7224388931355</v>
      </c>
      <c r="AL409">
        <v>78.919148769986094</v>
      </c>
      <c r="AM409">
        <v>95.550803456085703</v>
      </c>
      <c r="AN409">
        <v>1.0000000059432701</v>
      </c>
    </row>
    <row r="410" spans="1:40" x14ac:dyDescent="0.25">
      <c r="A410" t="str">
        <f>"20190304155024275"</f>
        <v>20190304155024275</v>
      </c>
      <c r="B410" t="str">
        <f>"1551685824266716"</f>
        <v>1551685824266716</v>
      </c>
      <c r="C410" t="s">
        <v>40</v>
      </c>
      <c r="D410">
        <v>5.2780769999999997</v>
      </c>
      <c r="E410">
        <v>0.51060689999999997</v>
      </c>
      <c r="F410" t="s">
        <v>41</v>
      </c>
      <c r="G410">
        <v>-388.5899</v>
      </c>
      <c r="H410" s="1">
        <v>-7.0566379999999995E-7</v>
      </c>
      <c r="I410">
        <v>368.9486</v>
      </c>
      <c r="J410">
        <v>-412.39409999999998</v>
      </c>
      <c r="K410">
        <v>1.0602480000000001</v>
      </c>
      <c r="L410">
        <v>367.7022</v>
      </c>
      <c r="M410">
        <v>0.99988319999999997</v>
      </c>
      <c r="N410">
        <v>-1.101369E-2</v>
      </c>
      <c r="O410">
        <v>-1.059391E-2</v>
      </c>
      <c r="P410">
        <v>0.97967400000000004</v>
      </c>
      <c r="Q410">
        <v>0.18182690000000001</v>
      </c>
      <c r="R410">
        <v>8.4721069999999996E-2</v>
      </c>
      <c r="S410">
        <v>3.0733640000000002</v>
      </c>
      <c r="T410">
        <v>-0.13575589999999901</v>
      </c>
      <c r="U410">
        <v>0.15933229999999901</v>
      </c>
      <c r="V410">
        <v>-9.5085409999999995E-2</v>
      </c>
      <c r="W410">
        <v>0.19260070000000001</v>
      </c>
      <c r="X410">
        <v>0.97665950000000001</v>
      </c>
      <c r="Y410">
        <v>-6.2269339999999999E-2</v>
      </c>
      <c r="Z410">
        <v>2.06792E-3</v>
      </c>
      <c r="AA410">
        <v>0.99805719999999998</v>
      </c>
      <c r="AB410">
        <v>28</v>
      </c>
      <c r="AC410">
        <v>23.804199999999899</v>
      </c>
      <c r="AD410">
        <v>-1.0602487056637999</v>
      </c>
      <c r="AE410">
        <v>1.24639999999999</v>
      </c>
      <c r="AF410">
        <v>-1.4955660396159201</v>
      </c>
      <c r="AG410">
        <v>-1.0602487056637999</v>
      </c>
      <c r="AH410">
        <v>23.7426858764704</v>
      </c>
      <c r="AI410">
        <v>92.551839454791406</v>
      </c>
      <c r="AJ410">
        <v>93.604333477859797</v>
      </c>
      <c r="AK410">
        <v>23.8133571284156</v>
      </c>
      <c r="AL410">
        <v>78.895403114781104</v>
      </c>
      <c r="AM410">
        <v>95.560665633005399</v>
      </c>
      <c r="AN410">
        <v>1.0000000218878</v>
      </c>
    </row>
    <row r="411" spans="1:40" x14ac:dyDescent="0.25">
      <c r="A411" t="str">
        <f>"20190304155024289"</f>
        <v>20190304155024289</v>
      </c>
      <c r="B411" t="str">
        <f>"1551685824277452"</f>
        <v>1551685824277452</v>
      </c>
      <c r="C411" t="s">
        <v>40</v>
      </c>
      <c r="D411">
        <v>5.1922540000000001</v>
      </c>
      <c r="E411">
        <v>0.51158000000000003</v>
      </c>
      <c r="F411" t="s">
        <v>41</v>
      </c>
      <c r="G411">
        <v>-388.54390000000001</v>
      </c>
      <c r="H411" s="1">
        <v>-7.2488069999999896E-7</v>
      </c>
      <c r="I411">
        <v>368.95150000000001</v>
      </c>
      <c r="J411">
        <v>-412.22579999999999</v>
      </c>
      <c r="K411">
        <v>1.0602529999999999</v>
      </c>
      <c r="L411">
        <v>367.7004</v>
      </c>
      <c r="M411">
        <v>0.99988339999999998</v>
      </c>
      <c r="N411">
        <v>-1.1021349999999999E-2</v>
      </c>
      <c r="O411">
        <v>-1.059044E-2</v>
      </c>
      <c r="P411">
        <v>0.97971019999999998</v>
      </c>
      <c r="Q411">
        <v>0.1815513</v>
      </c>
      <c r="R411">
        <v>8.489816E-2</v>
      </c>
      <c r="S411">
        <v>3.0736690000000002</v>
      </c>
      <c r="T411">
        <v>-0.13663829999999999</v>
      </c>
      <c r="U411">
        <v>0.16101070000000001</v>
      </c>
      <c r="V411">
        <v>-9.5261440000000003E-2</v>
      </c>
      <c r="W411">
        <v>0.19233210000000001</v>
      </c>
      <c r="X411">
        <v>0.97669519999999999</v>
      </c>
      <c r="Y411">
        <v>-6.2802659999999996E-2</v>
      </c>
      <c r="Z411">
        <v>2.0945E-3</v>
      </c>
      <c r="AA411">
        <v>0.99802369999999996</v>
      </c>
      <c r="AB411">
        <v>28</v>
      </c>
      <c r="AC411">
        <v>23.681899999999899</v>
      </c>
      <c r="AD411">
        <v>-1.0602537248807</v>
      </c>
      <c r="AE411">
        <v>1.2511000000000001</v>
      </c>
      <c r="AF411">
        <v>-1.49885079924135</v>
      </c>
      <c r="AG411">
        <v>-1.0602537248807</v>
      </c>
      <c r="AH411">
        <v>23.620108639570699</v>
      </c>
      <c r="AI411">
        <v>92.565001620819402</v>
      </c>
      <c r="AJ411">
        <v>93.630924601001595</v>
      </c>
      <c r="AK411">
        <v>23.691353355699899</v>
      </c>
      <c r="AL411">
        <v>78.911085124196006</v>
      </c>
      <c r="AM411">
        <v>95.570692954471099</v>
      </c>
      <c r="AN411">
        <v>0.99999994617216004</v>
      </c>
    </row>
    <row r="412" spans="1:40" x14ac:dyDescent="0.25">
      <c r="A412" t="str">
        <f>"20190304155024305"</f>
        <v>20190304155024305</v>
      </c>
      <c r="B412" t="str">
        <f>"1551685824296971"</f>
        <v>1551685824296971</v>
      </c>
      <c r="C412" t="s">
        <v>40</v>
      </c>
      <c r="D412">
        <v>5.287204</v>
      </c>
      <c r="E412">
        <v>0.52677940000000001</v>
      </c>
      <c r="F412" t="s">
        <v>41</v>
      </c>
      <c r="G412">
        <v>-386.79070000000002</v>
      </c>
      <c r="H412" s="1">
        <v>-1.4723759999999901E-6</v>
      </c>
      <c r="I412">
        <v>368.97770000000003</v>
      </c>
      <c r="J412">
        <v>-412.01029999999997</v>
      </c>
      <c r="K412">
        <v>1.0602549999999999</v>
      </c>
      <c r="L412">
        <v>367.69819999999999</v>
      </c>
      <c r="M412">
        <v>0.99988319999999997</v>
      </c>
      <c r="N412">
        <v>-1.1030369999999999E-2</v>
      </c>
      <c r="O412">
        <v>-1.0584379999999999E-2</v>
      </c>
      <c r="P412">
        <v>0.97968679999999997</v>
      </c>
      <c r="Q412">
        <v>0.18163989999999999</v>
      </c>
      <c r="R412">
        <v>8.497594E-2</v>
      </c>
      <c r="S412">
        <v>3.072479</v>
      </c>
      <c r="T412">
        <v>-0.12807499999999999</v>
      </c>
      <c r="U412">
        <v>0.15429689999999999</v>
      </c>
      <c r="V412">
        <v>-9.5333660000000001E-2</v>
      </c>
      <c r="W412">
        <v>0.1924285</v>
      </c>
      <c r="X412">
        <v>0.97666929999999996</v>
      </c>
      <c r="Y412">
        <v>-6.0653260000000001E-2</v>
      </c>
      <c r="Z412">
        <v>1.921851E-3</v>
      </c>
      <c r="AA412">
        <v>0.99815699999999996</v>
      </c>
      <c r="AB412">
        <v>28</v>
      </c>
      <c r="AC412">
        <v>25.2195999999999</v>
      </c>
      <c r="AD412">
        <v>-1.060256472376</v>
      </c>
      <c r="AE412">
        <v>1.27950000000004</v>
      </c>
      <c r="AF412">
        <v>-1.5436570522467199</v>
      </c>
      <c r="AG412">
        <v>-1.060256472376</v>
      </c>
      <c r="AH412">
        <v>25.160288374236799</v>
      </c>
      <c r="AI412">
        <v>92.4084974577152</v>
      </c>
      <c r="AJ412">
        <v>93.5108623720552</v>
      </c>
      <c r="AK412">
        <v>25.229885690524299</v>
      </c>
      <c r="AL412">
        <v>78.905458154390502</v>
      </c>
      <c r="AM412">
        <v>95.575036543874901</v>
      </c>
      <c r="AN412">
        <v>1.0000000779518601</v>
      </c>
    </row>
    <row r="413" spans="1:40" x14ac:dyDescent="0.25">
      <c r="A413" t="str">
        <f>"20190304155024330"</f>
        <v>20190304155024330</v>
      </c>
      <c r="B413" t="str">
        <f>"1551685824326758"</f>
        <v>1551685824326758</v>
      </c>
      <c r="C413" t="s">
        <v>40</v>
      </c>
      <c r="D413">
        <v>5.2876110000000001</v>
      </c>
      <c r="E413">
        <v>0.51988840000000003</v>
      </c>
      <c r="F413" t="s">
        <v>43</v>
      </c>
      <c r="G413">
        <v>-158.19499999999999</v>
      </c>
      <c r="H413">
        <v>2.792284</v>
      </c>
      <c r="I413">
        <v>370.66199999999998</v>
      </c>
      <c r="J413">
        <v>-411.70949999999999</v>
      </c>
      <c r="K413">
        <v>1.0602609999999999</v>
      </c>
      <c r="L413">
        <v>367.69499999999999</v>
      </c>
      <c r="M413">
        <v>0.99988319999999997</v>
      </c>
      <c r="N413">
        <v>-1.1041870000000001E-2</v>
      </c>
      <c r="O413">
        <v>-1.057513E-2</v>
      </c>
      <c r="P413">
        <v>0.97960899999999995</v>
      </c>
      <c r="Q413">
        <v>0.1819006</v>
      </c>
      <c r="R413">
        <v>8.5313979999999998E-2</v>
      </c>
      <c r="S413">
        <v>3.0552060000000001</v>
      </c>
      <c r="T413">
        <v>2.0849699999999999E-2</v>
      </c>
      <c r="U413">
        <v>3.567505E-2</v>
      </c>
      <c r="V413">
        <v>-9.566239E-2</v>
      </c>
      <c r="W413">
        <v>0.19269890000000001</v>
      </c>
      <c r="X413">
        <v>0.9765838</v>
      </c>
      <c r="Y413">
        <v>-2.2249040000000001E-2</v>
      </c>
      <c r="Z413">
        <v>-1.4200120000000001E-4</v>
      </c>
      <c r="AA413">
        <v>0.99975250000000004</v>
      </c>
      <c r="AB413">
        <v>28</v>
      </c>
      <c r="AC413">
        <v>253.5145</v>
      </c>
      <c r="AD413">
        <v>1.7320230000000001</v>
      </c>
      <c r="AE413">
        <v>2.9669999999999801</v>
      </c>
      <c r="AF413">
        <v>-5.64768250636953</v>
      </c>
      <c r="AG413">
        <v>1.7320230000000001</v>
      </c>
      <c r="AH413">
        <v>253.457114901528</v>
      </c>
      <c r="AI413">
        <v>89.608567164691095</v>
      </c>
      <c r="AJ413">
        <v>91.276487473332807</v>
      </c>
      <c r="AK413">
        <v>253.52594604018699</v>
      </c>
      <c r="AL413">
        <v>78.889669449214594</v>
      </c>
      <c r="AM413">
        <v>95.594625341261207</v>
      </c>
      <c r="AN413">
        <v>1.00000003867208</v>
      </c>
    </row>
    <row r="414" spans="1:40" x14ac:dyDescent="0.25">
      <c r="A414" t="str">
        <f>"20190304155024352"</f>
        <v>20190304155024352</v>
      </c>
      <c r="B414" t="str">
        <f>"1551685824347254"</f>
        <v>1551685824347254</v>
      </c>
      <c r="C414" t="s">
        <v>40</v>
      </c>
      <c r="D414">
        <v>5.2576499999999999</v>
      </c>
      <c r="E414">
        <v>0.5158237</v>
      </c>
      <c r="F414" t="s">
        <v>41</v>
      </c>
      <c r="G414">
        <v>-322.21420000000001</v>
      </c>
      <c r="H414" s="1">
        <v>-3.5169059999999999E-6</v>
      </c>
      <c r="I414">
        <v>370.34739999999999</v>
      </c>
      <c r="J414">
        <v>-411.43459999999999</v>
      </c>
      <c r="K414">
        <v>1.0602720000000001</v>
      </c>
      <c r="L414">
        <v>367.69209999999998</v>
      </c>
      <c r="M414">
        <v>0.99988319999999997</v>
      </c>
      <c r="N414">
        <v>-1.105136E-2</v>
      </c>
      <c r="O414">
        <v>-1.0560709999999999E-2</v>
      </c>
      <c r="P414">
        <v>0.97941639999999996</v>
      </c>
      <c r="Q414">
        <v>0.18291830000000001</v>
      </c>
      <c r="R414">
        <v>8.5349640000000004E-2</v>
      </c>
      <c r="S414">
        <v>3.0612490000000001</v>
      </c>
      <c r="T414">
        <v>-3.626704E-2</v>
      </c>
      <c r="U414">
        <v>9.0728760000000006E-2</v>
      </c>
      <c r="V414">
        <v>-9.5683690000000002E-2</v>
      </c>
      <c r="W414">
        <v>0.19372310000000001</v>
      </c>
      <c r="X414">
        <v>0.976379</v>
      </c>
      <c r="Y414">
        <v>-4.0174439999999999E-2</v>
      </c>
      <c r="Z414">
        <v>4.6837780000000002E-4</v>
      </c>
      <c r="AA414">
        <v>0.99919259999999999</v>
      </c>
      <c r="AB414">
        <v>28</v>
      </c>
      <c r="AC414">
        <v>89.220399999999898</v>
      </c>
      <c r="AD414">
        <v>-1.0602755169060001</v>
      </c>
      <c r="AE414">
        <v>2.6553000000000102</v>
      </c>
      <c r="AF414">
        <v>-3.5969326614694399</v>
      </c>
      <c r="AG414">
        <v>-1.0602755169060001</v>
      </c>
      <c r="AH414">
        <v>89.174797880961805</v>
      </c>
      <c r="AI414">
        <v>90.680653050947498</v>
      </c>
      <c r="AJ414">
        <v>92.309816309711493</v>
      </c>
      <c r="AK414">
        <v>89.253608811371194</v>
      </c>
      <c r="AL414">
        <v>78.829859472306396</v>
      </c>
      <c r="AM414">
        <v>95.597029429964905</v>
      </c>
      <c r="AN414">
        <v>0.99999997982331201</v>
      </c>
    </row>
    <row r="415" spans="1:40" x14ac:dyDescent="0.25">
      <c r="A415" t="str">
        <f>"20190304155024371"</f>
        <v>20190304155024371</v>
      </c>
      <c r="B415" t="str">
        <f>"1551685824366774"</f>
        <v>1551685824366774</v>
      </c>
      <c r="C415" t="s">
        <v>40</v>
      </c>
      <c r="D415">
        <v>5.3135899999999996</v>
      </c>
      <c r="E415">
        <v>0.51618269999999999</v>
      </c>
      <c r="F415" t="s">
        <v>41</v>
      </c>
      <c r="G415">
        <v>-356.8793</v>
      </c>
      <c r="H415" s="1">
        <v>-1.391542E-6</v>
      </c>
      <c r="I415">
        <v>369.88119999999998</v>
      </c>
      <c r="J415">
        <v>-411.17790000000002</v>
      </c>
      <c r="K415">
        <v>1.0602780000000001</v>
      </c>
      <c r="L415">
        <v>367.68939999999998</v>
      </c>
      <c r="M415">
        <v>0.99988330000000003</v>
      </c>
      <c r="N415">
        <v>-1.105954E-2</v>
      </c>
      <c r="O415">
        <v>-1.0542559999999999E-2</v>
      </c>
      <c r="P415">
        <v>0.97933590000000004</v>
      </c>
      <c r="Q415">
        <v>0.18340690000000001</v>
      </c>
      <c r="R415">
        <v>8.522333E-2</v>
      </c>
      <c r="S415">
        <v>3.0634459999999999</v>
      </c>
      <c r="T415">
        <v>-5.9537529999999998E-2</v>
      </c>
      <c r="U415">
        <v>0.1229248</v>
      </c>
      <c r="V415">
        <v>-9.5541479999999998E-2</v>
      </c>
      <c r="W415">
        <v>0.19421749999999999</v>
      </c>
      <c r="X415">
        <v>0.97629469999999996</v>
      </c>
      <c r="Y415">
        <v>-5.0611200000000002E-2</v>
      </c>
      <c r="Z415">
        <v>8.5985239999999995E-4</v>
      </c>
      <c r="AA415">
        <v>0.99871810000000005</v>
      </c>
      <c r="AB415">
        <v>28</v>
      </c>
      <c r="AC415">
        <v>54.2986</v>
      </c>
      <c r="AD415">
        <v>-1.0602793915419999</v>
      </c>
      <c r="AE415">
        <v>2.1918000000000002</v>
      </c>
      <c r="AF415">
        <v>-2.7631075663393201</v>
      </c>
      <c r="AG415">
        <v>-1.0602793915419999</v>
      </c>
      <c r="AH415">
        <v>54.251821022071198</v>
      </c>
      <c r="AI415">
        <v>91.1181780019607</v>
      </c>
      <c r="AJ415">
        <v>92.915620588169205</v>
      </c>
      <c r="AK415">
        <v>54.332486046767102</v>
      </c>
      <c r="AL415">
        <v>78.800983980136706</v>
      </c>
      <c r="AM415">
        <v>95.589243058299303</v>
      </c>
      <c r="AN415">
        <v>0.99999997647746497</v>
      </c>
    </row>
    <row r="416" spans="1:40" x14ac:dyDescent="0.25">
      <c r="A416" t="str">
        <f>"20190304155024384"</f>
        <v>20190304155024384</v>
      </c>
      <c r="B416" t="str">
        <f>"1551685824377510"</f>
        <v>1551685824377510</v>
      </c>
      <c r="C416" t="s">
        <v>40</v>
      </c>
      <c r="D416">
        <v>5.2674960000000004</v>
      </c>
      <c r="E416">
        <v>0.51578359999999901</v>
      </c>
      <c r="F416" t="s">
        <v>41</v>
      </c>
      <c r="G416">
        <v>-359.60610000000003</v>
      </c>
      <c r="H416" s="1">
        <v>-1.7627530000000001E-7</v>
      </c>
      <c r="I416">
        <v>369.71019999999999</v>
      </c>
      <c r="J416">
        <v>-411.02069999999998</v>
      </c>
      <c r="K416">
        <v>1.0602819999999999</v>
      </c>
      <c r="L416">
        <v>367.68770000000001</v>
      </c>
      <c r="M416">
        <v>0.99988350000000004</v>
      </c>
      <c r="N416">
        <v>-1.1064279999999999E-2</v>
      </c>
      <c r="O416">
        <v>-1.052726E-2</v>
      </c>
      <c r="P416">
        <v>0.97940640000000001</v>
      </c>
      <c r="Q416">
        <v>0.1830773</v>
      </c>
      <c r="R416">
        <v>8.5124019999999995E-2</v>
      </c>
      <c r="S416">
        <v>3.0646059999999999</v>
      </c>
      <c r="T416">
        <v>-6.3005920000000007E-2</v>
      </c>
      <c r="U416">
        <v>0.1200867</v>
      </c>
      <c r="V416">
        <v>-9.5429970000000003E-2</v>
      </c>
      <c r="W416">
        <v>0.19389190000000001</v>
      </c>
      <c r="X416">
        <v>0.97637030000000002</v>
      </c>
      <c r="Y416">
        <v>-4.965605E-2</v>
      </c>
      <c r="Z416">
        <v>8.8496699999999996E-4</v>
      </c>
      <c r="AA416">
        <v>0.99876600000000004</v>
      </c>
      <c r="AB416">
        <v>28</v>
      </c>
      <c r="AC416">
        <v>51.414599999999901</v>
      </c>
      <c r="AD416">
        <v>-1.0602821762753001</v>
      </c>
      <c r="AE416">
        <v>2.0224999999999702</v>
      </c>
      <c r="AF416">
        <v>-2.5625877178899099</v>
      </c>
      <c r="AG416">
        <v>-1.0602821762753001</v>
      </c>
      <c r="AH416">
        <v>51.368645867551301</v>
      </c>
      <c r="AI416">
        <v>91.180985964414901</v>
      </c>
      <c r="AJ416">
        <v>92.855902498408796</v>
      </c>
      <c r="AK416">
        <v>51.443452764866997</v>
      </c>
      <c r="AL416">
        <v>78.820000747494007</v>
      </c>
      <c r="AM416">
        <v>95.582331339750894</v>
      </c>
      <c r="AN416">
        <v>0.99999995539094899</v>
      </c>
    </row>
    <row r="417" spans="1:40" x14ac:dyDescent="0.25">
      <c r="A417" t="str">
        <f>"20190304155024397"</f>
        <v>20190304155024397</v>
      </c>
      <c r="B417" t="str">
        <f>"1551685824387270"</f>
        <v>1551685824387270</v>
      </c>
      <c r="C417" t="s">
        <v>40</v>
      </c>
      <c r="D417">
        <v>5.2362159999999998</v>
      </c>
      <c r="E417">
        <v>0.51602749999999997</v>
      </c>
      <c r="F417" t="s">
        <v>41</v>
      </c>
      <c r="G417">
        <v>-358.37349999999998</v>
      </c>
      <c r="H417" s="1">
        <v>-7.2977310000000002E-7</v>
      </c>
      <c r="I417">
        <v>369.80309999999997</v>
      </c>
      <c r="J417">
        <v>-410.85509999999999</v>
      </c>
      <c r="K417">
        <v>1.0602819999999999</v>
      </c>
      <c r="L417">
        <v>367.68599999999998</v>
      </c>
      <c r="M417">
        <v>0.99988370000000004</v>
      </c>
      <c r="N417">
        <v>-1.1067479999999999E-2</v>
      </c>
      <c r="O417">
        <v>-1.0504299999999999E-2</v>
      </c>
      <c r="P417">
        <v>0.97952159999999999</v>
      </c>
      <c r="Q417">
        <v>0.1824336</v>
      </c>
      <c r="R417">
        <v>8.5181820000000005E-2</v>
      </c>
      <c r="S417">
        <v>3.0638730000000001</v>
      </c>
      <c r="T417">
        <v>-6.1704519999999999E-2</v>
      </c>
      <c r="U417">
        <v>0.12310790000000001</v>
      </c>
      <c r="V417">
        <v>-9.547021E-2</v>
      </c>
      <c r="W417">
        <v>0.19325100000000001</v>
      </c>
      <c r="X417">
        <v>0.97649350000000001</v>
      </c>
      <c r="Y417">
        <v>-5.0626020000000001E-2</v>
      </c>
      <c r="Z417">
        <v>8.8509669999999995E-4</v>
      </c>
      <c r="AA417">
        <v>0.99871730000000003</v>
      </c>
      <c r="AB417">
        <v>28</v>
      </c>
      <c r="AC417">
        <v>52.4816</v>
      </c>
      <c r="AD417">
        <v>-1.0602827297730999</v>
      </c>
      <c r="AE417">
        <v>2.11709999999999</v>
      </c>
      <c r="AF417">
        <v>-2.66721247404845</v>
      </c>
      <c r="AG417">
        <v>-1.0602827297730999</v>
      </c>
      <c r="AH417">
        <v>52.435097055573102</v>
      </c>
      <c r="AI417">
        <v>91.156916684194002</v>
      </c>
      <c r="AJ417">
        <v>92.911950700931698</v>
      </c>
      <c r="AK417">
        <v>52.513594669153498</v>
      </c>
      <c r="AL417">
        <v>78.857430409610501</v>
      </c>
      <c r="AM417">
        <v>95.583970225922997</v>
      </c>
      <c r="AN417">
        <v>1.00000003277034</v>
      </c>
    </row>
    <row r="418" spans="1:40" x14ac:dyDescent="0.25">
      <c r="A418" t="str">
        <f>"20190304155024410"</f>
        <v>20190304155024410</v>
      </c>
      <c r="B418" t="str">
        <f>"1551685824406790"</f>
        <v>1551685824406790</v>
      </c>
      <c r="C418" t="s">
        <v>40</v>
      </c>
      <c r="D418">
        <v>5.2532050000000003</v>
      </c>
      <c r="E418">
        <v>0.51527820000000002</v>
      </c>
      <c r="F418" t="s">
        <v>41</v>
      </c>
      <c r="G418">
        <v>-365.49810000000002</v>
      </c>
      <c r="H418" s="1">
        <v>-1.9371649999999999E-6</v>
      </c>
      <c r="I418">
        <v>369.48349999999999</v>
      </c>
      <c r="J418">
        <v>-410.69060000000002</v>
      </c>
      <c r="K418">
        <v>1.0602879999999999</v>
      </c>
      <c r="L418">
        <v>367.68430000000001</v>
      </c>
      <c r="M418">
        <v>0.99988390000000005</v>
      </c>
      <c r="N418">
        <v>-1.106948E-2</v>
      </c>
      <c r="O418">
        <v>-1.0476549999999999E-2</v>
      </c>
      <c r="P418">
        <v>0.97957919999999998</v>
      </c>
      <c r="Q418">
        <v>0.18206990000000001</v>
      </c>
      <c r="R418">
        <v>8.5294469999999997E-2</v>
      </c>
      <c r="S418">
        <v>3.0655209999999999</v>
      </c>
      <c r="T418">
        <v>-7.1660760000000004E-2</v>
      </c>
      <c r="U418">
        <v>0.1214905</v>
      </c>
      <c r="V418">
        <v>-9.5559580000000005E-2</v>
      </c>
      <c r="W418">
        <v>0.19288839999999999</v>
      </c>
      <c r="X418">
        <v>0.97655639999999999</v>
      </c>
      <c r="Y418">
        <v>-5.0046060000000003E-2</v>
      </c>
      <c r="Z418">
        <v>9.9067129999999993E-4</v>
      </c>
      <c r="AA418">
        <v>0.99874640000000003</v>
      </c>
      <c r="AB418">
        <v>28</v>
      </c>
      <c r="AC418">
        <v>45.192500000000003</v>
      </c>
      <c r="AD418">
        <v>-1.0602899371650001</v>
      </c>
      <c r="AE418">
        <v>1.7991999999999799</v>
      </c>
      <c r="AF418">
        <v>-2.27134343926119</v>
      </c>
      <c r="AG418">
        <v>-1.0602899371650001</v>
      </c>
      <c r="AH418">
        <v>45.146357533476198</v>
      </c>
      <c r="AI418">
        <v>91.343680414176305</v>
      </c>
      <c r="AJ418">
        <v>92.880160569742102</v>
      </c>
      <c r="AK418">
        <v>45.2158911701449</v>
      </c>
      <c r="AL418">
        <v>78.878603708570694</v>
      </c>
      <c r="AM418">
        <v>95.588806598911702</v>
      </c>
      <c r="AN418">
        <v>0.999999985282648</v>
      </c>
    </row>
    <row r="419" spans="1:40" x14ac:dyDescent="0.25">
      <c r="A419" t="str">
        <f>"20190304155024427"</f>
        <v>20190304155024427</v>
      </c>
      <c r="B419" t="str">
        <f>"1551685824416950"</f>
        <v>1551685824416950</v>
      </c>
      <c r="C419" t="s">
        <v>40</v>
      </c>
      <c r="D419">
        <v>5.0048909999999998</v>
      </c>
      <c r="E419">
        <v>0.51527820000000002</v>
      </c>
      <c r="F419" t="s">
        <v>41</v>
      </c>
      <c r="G419">
        <v>-367.79899999999998</v>
      </c>
      <c r="H419" s="1">
        <v>-9.5211409999999996E-7</v>
      </c>
      <c r="I419">
        <v>369.47210000000001</v>
      </c>
      <c r="J419">
        <v>-410.46640000000002</v>
      </c>
      <c r="K419">
        <v>1.0602940000000001</v>
      </c>
      <c r="L419">
        <v>367.68200000000002</v>
      </c>
      <c r="M419">
        <v>0.99988449999999995</v>
      </c>
      <c r="N419">
        <v>-1.1069310000000001E-2</v>
      </c>
      <c r="O419">
        <v>-1.0425220000000001E-2</v>
      </c>
      <c r="P419">
        <v>0.97972040000000005</v>
      </c>
      <c r="Q419">
        <v>0.1812925</v>
      </c>
      <c r="R419">
        <v>8.5331599999999994E-2</v>
      </c>
      <c r="S419">
        <v>3.0654910000000002</v>
      </c>
      <c r="T419">
        <v>-7.5779559999999996E-2</v>
      </c>
      <c r="U419">
        <v>0.1277771</v>
      </c>
      <c r="V419">
        <v>-9.5554910000000007E-2</v>
      </c>
      <c r="W419">
        <v>0.19210930000000001</v>
      </c>
      <c r="X419">
        <v>0.97671039999999998</v>
      </c>
      <c r="Y419">
        <v>-5.2036859999999997E-2</v>
      </c>
      <c r="Z419">
        <v>1.073241E-3</v>
      </c>
      <c r="AA419">
        <v>0.99864459999999999</v>
      </c>
      <c r="AB419">
        <v>28</v>
      </c>
      <c r="AC419">
        <v>42.667400000000001</v>
      </c>
      <c r="AD419">
        <v>-1.0602949521141001</v>
      </c>
      <c r="AE419">
        <v>1.79010000000005</v>
      </c>
      <c r="AF419">
        <v>-2.23347012121542</v>
      </c>
      <c r="AG419">
        <v>-1.0602949521141001</v>
      </c>
      <c r="AH419">
        <v>42.620144516325396</v>
      </c>
      <c r="AI419">
        <v>91.423146377962894</v>
      </c>
      <c r="AJ419">
        <v>92.999789509851595</v>
      </c>
      <c r="AK419">
        <v>42.691794677201202</v>
      </c>
      <c r="AL419">
        <v>78.924093410912306</v>
      </c>
      <c r="AM419">
        <v>95.587659623369902</v>
      </c>
      <c r="AN419">
        <v>0.99999996471987795</v>
      </c>
    </row>
    <row r="420" spans="1:40" x14ac:dyDescent="0.25">
      <c r="A420" t="str">
        <f>"20190304155024440"</f>
        <v>20190304155024440</v>
      </c>
      <c r="B420" t="str">
        <f>"1551685824437443"</f>
        <v>1551685824437443</v>
      </c>
      <c r="C420" t="s">
        <v>40</v>
      </c>
      <c r="D420">
        <v>5.3374309999999996</v>
      </c>
      <c r="E420">
        <v>0.51818279999999906</v>
      </c>
      <c r="F420" t="s">
        <v>41</v>
      </c>
      <c r="G420">
        <v>-368.93520000000001</v>
      </c>
      <c r="H420" s="1">
        <v>-4.7370330000000002E-7</v>
      </c>
      <c r="I420">
        <v>369.42140000000001</v>
      </c>
      <c r="J420">
        <v>-410.31130000000002</v>
      </c>
      <c r="K420">
        <v>1.0603009999999999</v>
      </c>
      <c r="L420">
        <v>367.68049999999999</v>
      </c>
      <c r="M420">
        <v>0.99988489999999997</v>
      </c>
      <c r="N420">
        <v>-1.106789E-2</v>
      </c>
      <c r="O420">
        <v>-1.0376669999999999E-2</v>
      </c>
      <c r="P420">
        <v>0.97975159999999994</v>
      </c>
      <c r="Q420">
        <v>0.18112349999999999</v>
      </c>
      <c r="R420">
        <v>8.5331229999999994E-2</v>
      </c>
      <c r="S420">
        <v>3.0654300000000001</v>
      </c>
      <c r="T420">
        <v>-7.8260419999999997E-2</v>
      </c>
      <c r="U420">
        <v>0.12838749999999999</v>
      </c>
      <c r="V420">
        <v>-9.5512089999999994E-2</v>
      </c>
      <c r="W420">
        <v>0.19193660000000001</v>
      </c>
      <c r="X420">
        <v>0.97674859999999997</v>
      </c>
      <c r="Y420">
        <v>-5.2186219999999998E-2</v>
      </c>
      <c r="Z420">
        <v>1.1047380000000001E-3</v>
      </c>
      <c r="AA420">
        <v>0.99863679999999999</v>
      </c>
      <c r="AB420">
        <v>28</v>
      </c>
      <c r="AC420">
        <v>41.376100000000001</v>
      </c>
      <c r="AD420">
        <v>-1.0603014737033001</v>
      </c>
      <c r="AE420">
        <v>1.7409000000000101</v>
      </c>
      <c r="AF420">
        <v>-2.1687570162827599</v>
      </c>
      <c r="AG420">
        <v>-1.0603014737033001</v>
      </c>
      <c r="AH420">
        <v>41.328714080832398</v>
      </c>
      <c r="AI420">
        <v>91.467600906767103</v>
      </c>
      <c r="AJ420">
        <v>93.003886171512207</v>
      </c>
      <c r="AK420">
        <v>41.399158853604902</v>
      </c>
      <c r="AL420">
        <v>78.934176674937206</v>
      </c>
      <c r="AM420">
        <v>95.584954469306396</v>
      </c>
      <c r="AN420">
        <v>1.0000000226788399</v>
      </c>
    </row>
    <row r="421" spans="1:40" x14ac:dyDescent="0.25">
      <c r="A421" t="str">
        <f>"20190304155024452"</f>
        <v>20190304155024452</v>
      </c>
      <c r="B421" t="str">
        <f>"1551685824447203"</f>
        <v>1551685824447203</v>
      </c>
      <c r="C421" t="s">
        <v>40</v>
      </c>
      <c r="D421">
        <v>5.3902289999999997</v>
      </c>
      <c r="E421">
        <v>0.52063490000000001</v>
      </c>
      <c r="F421" t="s">
        <v>41</v>
      </c>
      <c r="G421">
        <v>-371.41800000000001</v>
      </c>
      <c r="H421" s="1">
        <v>-3.7713409999999999E-6</v>
      </c>
      <c r="I421">
        <v>369.0111</v>
      </c>
      <c r="J421">
        <v>-410.15949999999998</v>
      </c>
      <c r="K421">
        <v>1.0603100000000001</v>
      </c>
      <c r="L421">
        <v>367.6789</v>
      </c>
      <c r="M421">
        <v>0.99988569999999999</v>
      </c>
      <c r="N421">
        <v>-1.106556E-2</v>
      </c>
      <c r="O421">
        <v>-1.032478E-2</v>
      </c>
      <c r="P421">
        <v>0.9797804</v>
      </c>
      <c r="Q421">
        <v>0.18110780000000001</v>
      </c>
      <c r="R421">
        <v>8.5032730000000001E-2</v>
      </c>
      <c r="S421">
        <v>3.0683590000000001</v>
      </c>
      <c r="T421">
        <v>-8.3649039999999994E-2</v>
      </c>
      <c r="U421">
        <v>0.1049805</v>
      </c>
      <c r="V421">
        <v>-9.5168260000000005E-2</v>
      </c>
      <c r="W421">
        <v>0.191917</v>
      </c>
      <c r="X421">
        <v>0.97678600000000004</v>
      </c>
      <c r="Y421">
        <v>-4.4486850000000001E-2</v>
      </c>
      <c r="Z421">
        <v>1.0195289999999999E-3</v>
      </c>
      <c r="AA421">
        <v>0.99900940000000005</v>
      </c>
      <c r="AB421">
        <v>28</v>
      </c>
      <c r="AC421">
        <v>38.741499999999903</v>
      </c>
      <c r="AD421">
        <v>-1.060313771341</v>
      </c>
      <c r="AE421">
        <v>1.3322000000000001</v>
      </c>
      <c r="AF421">
        <v>-1.7308558644377401</v>
      </c>
      <c r="AG421">
        <v>-1.060313771341</v>
      </c>
      <c r="AH421">
        <v>38.696727347450803</v>
      </c>
      <c r="AI421">
        <v>91.567979415306993</v>
      </c>
      <c r="AJ421">
        <v>92.561061009512002</v>
      </c>
      <c r="AK421">
        <v>38.749926899545301</v>
      </c>
      <c r="AL421">
        <v>78.935320816403404</v>
      </c>
      <c r="AM421">
        <v>95.564764115449805</v>
      </c>
      <c r="AN421">
        <v>1.0000000111982099</v>
      </c>
    </row>
    <row r="422" spans="1:40" x14ac:dyDescent="0.25">
      <c r="A422" t="str">
        <f>"20190304155024473"</f>
        <v>20190304155024473</v>
      </c>
      <c r="B422" t="str">
        <f>"1551685824466723"</f>
        <v>1551685824466723</v>
      </c>
      <c r="C422" t="s">
        <v>40</v>
      </c>
      <c r="D422">
        <v>5.3075799999999997</v>
      </c>
      <c r="E422">
        <v>0.52433160000000001</v>
      </c>
      <c r="F422" t="s">
        <v>41</v>
      </c>
      <c r="G422">
        <v>-371.95679999999999</v>
      </c>
      <c r="H422" s="1">
        <v>-3.589528E-6</v>
      </c>
      <c r="I422">
        <v>368.73289999999997</v>
      </c>
      <c r="J422">
        <v>-409.89210000000003</v>
      </c>
      <c r="K422">
        <v>1.0603320000000001</v>
      </c>
      <c r="L422">
        <v>367.67619999999999</v>
      </c>
      <c r="M422">
        <v>0.99988679999999996</v>
      </c>
      <c r="N422">
        <v>-1.105779E-2</v>
      </c>
      <c r="O422">
        <v>-1.021554E-2</v>
      </c>
      <c r="P422">
        <v>0.97970889999999999</v>
      </c>
      <c r="Q422">
        <v>0.18162519999999999</v>
      </c>
      <c r="R422">
        <v>8.4751950000000006E-2</v>
      </c>
      <c r="S422">
        <v>3.0703130000000001</v>
      </c>
      <c r="T422">
        <v>-8.5216050000000002E-2</v>
      </c>
      <c r="U422">
        <v>8.4716799999999995E-2</v>
      </c>
      <c r="V422">
        <v>-9.4788410000000003E-2</v>
      </c>
      <c r="W422">
        <v>0.19242190000000001</v>
      </c>
      <c r="X422">
        <v>0.97672360000000003</v>
      </c>
      <c r="Y422">
        <v>-3.7770829999999998E-2</v>
      </c>
      <c r="Z422">
        <v>9.0339510000000001E-4</v>
      </c>
      <c r="AA422">
        <v>0.99928600000000001</v>
      </c>
      <c r="AB422">
        <v>28</v>
      </c>
      <c r="AC422">
        <v>37.935299999999998</v>
      </c>
      <c r="AD422">
        <v>-1.060335589528</v>
      </c>
      <c r="AE422">
        <v>1.05669999999997</v>
      </c>
      <c r="AF422">
        <v>-1.4430715260629901</v>
      </c>
      <c r="AG422">
        <v>-1.060335589528</v>
      </c>
      <c r="AH422">
        <v>37.8929433114943</v>
      </c>
      <c r="AI422">
        <v>91.601694848899399</v>
      </c>
      <c r="AJ422">
        <v>92.180933023497204</v>
      </c>
      <c r="AK422">
        <v>37.935233224535203</v>
      </c>
      <c r="AL422">
        <v>78.905842750692401</v>
      </c>
      <c r="AM422">
        <v>95.5430436715409</v>
      </c>
      <c r="AN422">
        <v>1.0000000105334399</v>
      </c>
    </row>
    <row r="423" spans="1:40" x14ac:dyDescent="0.25">
      <c r="A423" t="str">
        <f>"20190304155024485"</f>
        <v>20190304155024485</v>
      </c>
      <c r="B423" t="str">
        <f>"1551685824477459"</f>
        <v>1551685824477459</v>
      </c>
      <c r="C423" t="s">
        <v>40</v>
      </c>
      <c r="D423">
        <v>4.5025579999999996</v>
      </c>
      <c r="E423">
        <v>0.52618640000000005</v>
      </c>
      <c r="F423" t="s">
        <v>41</v>
      </c>
      <c r="G423">
        <v>-372.13049999999998</v>
      </c>
      <c r="H423" s="1">
        <v>-3.5834860000000001E-6</v>
      </c>
      <c r="I423">
        <v>368.34699999999998</v>
      </c>
      <c r="J423">
        <v>-409.733</v>
      </c>
      <c r="K423">
        <v>1.060341</v>
      </c>
      <c r="L423">
        <v>367.67469999999997</v>
      </c>
      <c r="M423">
        <v>0.99988750000000004</v>
      </c>
      <c r="N423">
        <v>-1.1051500000000001E-2</v>
      </c>
      <c r="O423">
        <v>-1.014169E-2</v>
      </c>
      <c r="P423">
        <v>0.97966900000000001</v>
      </c>
      <c r="Q423">
        <v>0.182062</v>
      </c>
      <c r="R423">
        <v>8.4274689999999999E-2</v>
      </c>
      <c r="S423">
        <v>3.0734249999999999</v>
      </c>
      <c r="T423">
        <v>-8.6300730000000006E-2</v>
      </c>
      <c r="U423">
        <v>5.4595949999999997E-2</v>
      </c>
      <c r="V423">
        <v>-9.4243809999999997E-2</v>
      </c>
      <c r="W423">
        <v>0.1928501</v>
      </c>
      <c r="X423">
        <v>0.9766918</v>
      </c>
      <c r="Y423">
        <v>-2.788409E-2</v>
      </c>
      <c r="Z423">
        <v>7.1815799999999999E-4</v>
      </c>
      <c r="AA423">
        <v>0.99961089999999997</v>
      </c>
      <c r="AB423">
        <v>28</v>
      </c>
      <c r="AC423">
        <v>37.602499999999999</v>
      </c>
      <c r="AD423">
        <v>-1.0603445834859999</v>
      </c>
      <c r="AE423">
        <v>0.672300000000007</v>
      </c>
      <c r="AF423">
        <v>-1.0528047164977501</v>
      </c>
      <c r="AG423">
        <v>-1.0603445834859999</v>
      </c>
      <c r="AH423">
        <v>37.563887084634203</v>
      </c>
      <c r="AI423">
        <v>91.616268107484899</v>
      </c>
      <c r="AJ423">
        <v>91.605411063739595</v>
      </c>
      <c r="AK423">
        <v>37.593594418650099</v>
      </c>
      <c r="AL423">
        <v>78.880839892768194</v>
      </c>
      <c r="AM423">
        <v>95.511571502208199</v>
      </c>
      <c r="AN423">
        <v>0.99999996449028195</v>
      </c>
    </row>
    <row r="424" spans="1:40" x14ac:dyDescent="0.25">
      <c r="A424" t="str">
        <f>"20190304155024497"</f>
        <v>20190304155024497</v>
      </c>
      <c r="B424" t="str">
        <f>"1551685824487219"</f>
        <v>1551685824487219</v>
      </c>
      <c r="C424" t="s">
        <v>40</v>
      </c>
      <c r="D424">
        <v>5.409592</v>
      </c>
      <c r="E424">
        <v>0.52747619999999995</v>
      </c>
      <c r="F424" t="s">
        <v>41</v>
      </c>
      <c r="G424">
        <v>-369.97980000000001</v>
      </c>
      <c r="H424" s="1">
        <v>-4.5361789999999999E-6</v>
      </c>
      <c r="I424">
        <v>368.17739999999998</v>
      </c>
      <c r="J424">
        <v>-409.5797</v>
      </c>
      <c r="K424">
        <v>1.0603479999999901</v>
      </c>
      <c r="L424">
        <v>367.67320000000001</v>
      </c>
      <c r="M424">
        <v>0.99988849999999996</v>
      </c>
      <c r="N424">
        <v>-1.104459E-2</v>
      </c>
      <c r="O424">
        <v>-1.0061550000000001E-2</v>
      </c>
      <c r="P424">
        <v>0.97963140000000004</v>
      </c>
      <c r="Q424">
        <v>0.1822474</v>
      </c>
      <c r="R424">
        <v>8.4312449999999997E-2</v>
      </c>
      <c r="S424">
        <v>3.0741879999999999</v>
      </c>
      <c r="T424">
        <v>-8.1998470000000004E-2</v>
      </c>
      <c r="U424">
        <v>3.887939E-2</v>
      </c>
      <c r="V424">
        <v>-9.420647E-2</v>
      </c>
      <c r="W424">
        <v>0.193026</v>
      </c>
      <c r="X424">
        <v>0.97666070000000005</v>
      </c>
      <c r="Y424">
        <v>-2.2694120000000002E-2</v>
      </c>
      <c r="Z424">
        <v>5.8516419999999996E-4</v>
      </c>
      <c r="AA424">
        <v>0.99974229999999997</v>
      </c>
      <c r="AB424">
        <v>28</v>
      </c>
      <c r="AC424">
        <v>39.599899999999899</v>
      </c>
      <c r="AD424">
        <v>-1.0603525361789901</v>
      </c>
      <c r="AE424">
        <v>0.50419999999996801</v>
      </c>
      <c r="AF424">
        <v>-0.90198849554581695</v>
      </c>
      <c r="AG424">
        <v>-1.0603525361789901</v>
      </c>
      <c r="AH424">
        <v>39.564459242286098</v>
      </c>
      <c r="AI424">
        <v>91.534797032974694</v>
      </c>
      <c r="AJ424">
        <v>91.305999986422705</v>
      </c>
      <c r="AK424">
        <v>39.588942469856399</v>
      </c>
      <c r="AL424">
        <v>78.870569081406401</v>
      </c>
      <c r="AM424">
        <v>95.509575578342506</v>
      </c>
      <c r="AN424">
        <v>1.00000000929517</v>
      </c>
    </row>
    <row r="425" spans="1:40" x14ac:dyDescent="0.25">
      <c r="A425" t="str">
        <f>"20190304155024511"</f>
        <v>20190304155024511</v>
      </c>
      <c r="B425" t="str">
        <f>"1551685824506739"</f>
        <v>1551685824506739</v>
      </c>
      <c r="C425" t="s">
        <v>40</v>
      </c>
      <c r="D425">
        <v>5.2987900000000003</v>
      </c>
      <c r="E425">
        <v>0.52943660000000003</v>
      </c>
      <c r="F425" t="s">
        <v>41</v>
      </c>
      <c r="G425">
        <v>-366.18680000000001</v>
      </c>
      <c r="H425" s="1">
        <v>-1.890235E-6</v>
      </c>
      <c r="I425">
        <v>368.08240000000001</v>
      </c>
      <c r="J425">
        <v>-409.41379999999998</v>
      </c>
      <c r="K425">
        <v>1.0603549999999999</v>
      </c>
      <c r="L425">
        <v>367.67160000000001</v>
      </c>
      <c r="M425">
        <v>0.99988940000000004</v>
      </c>
      <c r="N425">
        <v>-1.1036880000000001E-2</v>
      </c>
      <c r="O425">
        <v>-9.970563E-3</v>
      </c>
      <c r="P425">
        <v>0.97960879999999995</v>
      </c>
      <c r="Q425">
        <v>0.1825196</v>
      </c>
      <c r="R425">
        <v>8.3983959999999996E-2</v>
      </c>
      <c r="S425">
        <v>3.0738829999999999</v>
      </c>
      <c r="T425">
        <v>-7.511342E-2</v>
      </c>
      <c r="U425">
        <v>2.8991699999999999E-2</v>
      </c>
      <c r="V425">
        <v>-9.3793100000000004E-2</v>
      </c>
      <c r="W425">
        <v>0.1932884</v>
      </c>
      <c r="X425">
        <v>0.97664859999999998</v>
      </c>
      <c r="Y425">
        <v>-1.9392159999999999E-2</v>
      </c>
      <c r="Z425">
        <v>4.7749910000000002E-4</v>
      </c>
      <c r="AA425">
        <v>0.99981180000000003</v>
      </c>
      <c r="AB425">
        <v>28</v>
      </c>
      <c r="AC425">
        <v>43.226999999999897</v>
      </c>
      <c r="AD425">
        <v>-1.060356890235</v>
      </c>
      <c r="AE425">
        <v>0.410799999999994</v>
      </c>
      <c r="AF425">
        <v>-0.84129717043243901</v>
      </c>
      <c r="AG425">
        <v>-1.060356890235</v>
      </c>
      <c r="AH425">
        <v>43.194766107399502</v>
      </c>
      <c r="AI425">
        <v>91.405963440983001</v>
      </c>
      <c r="AJ425">
        <v>91.115799151613004</v>
      </c>
      <c r="AK425">
        <v>43.2159687700807</v>
      </c>
      <c r="AL425">
        <v>78.855246219475603</v>
      </c>
      <c r="AM425">
        <v>95.485615360568104</v>
      </c>
      <c r="AN425">
        <v>1.00000001953206</v>
      </c>
    </row>
    <row r="426" spans="1:40" x14ac:dyDescent="0.25">
      <c r="A426" t="str">
        <f>"20190304155024529"</f>
        <v>20190304155024529</v>
      </c>
      <c r="B426" t="str">
        <f>"1551685824526634"</f>
        <v>1551685824526634</v>
      </c>
      <c r="C426" t="s">
        <v>40</v>
      </c>
      <c r="D426">
        <v>5.4728760000000003</v>
      </c>
      <c r="E426">
        <v>0.53192589999999995</v>
      </c>
      <c r="F426" t="s">
        <v>41</v>
      </c>
      <c r="G426">
        <v>-363.08530000000002</v>
      </c>
      <c r="H426" s="1">
        <v>-3.260548E-6</v>
      </c>
      <c r="I426">
        <v>367.85820000000001</v>
      </c>
      <c r="J426">
        <v>-409.17959999999999</v>
      </c>
      <c r="K426">
        <v>1.060371</v>
      </c>
      <c r="L426">
        <v>367.6694</v>
      </c>
      <c r="M426">
        <v>0.99989090000000003</v>
      </c>
      <c r="N426">
        <v>-1.1025750000000001E-2</v>
      </c>
      <c r="O426">
        <v>-9.8323279999999996E-3</v>
      </c>
      <c r="P426">
        <v>0.97948179999999996</v>
      </c>
      <c r="Q426">
        <v>0.1831768</v>
      </c>
      <c r="R426">
        <v>8.4033490000000002E-2</v>
      </c>
      <c r="S426">
        <v>3.0744630000000002</v>
      </c>
      <c r="T426">
        <v>-7.0367689999999997E-2</v>
      </c>
      <c r="U426">
        <v>1.2390139999999999E-2</v>
      </c>
      <c r="V426">
        <v>-9.3711130000000004E-2</v>
      </c>
      <c r="W426">
        <v>0.1939312</v>
      </c>
      <c r="X426">
        <v>0.97652899999999998</v>
      </c>
      <c r="Y426">
        <v>-1.385657E-2</v>
      </c>
      <c r="Z426">
        <v>3.5156199999999998E-4</v>
      </c>
      <c r="AA426">
        <v>0.99990389999999996</v>
      </c>
      <c r="AB426">
        <v>28</v>
      </c>
      <c r="AC426">
        <v>46.094299999999897</v>
      </c>
      <c r="AD426">
        <v>-1.060374260548</v>
      </c>
      <c r="AE426">
        <v>0.18880000000001401</v>
      </c>
      <c r="AF426">
        <v>-0.64169310595279105</v>
      </c>
      <c r="AG426">
        <v>-1.060374260548</v>
      </c>
      <c r="AH426">
        <v>46.065837282721901</v>
      </c>
      <c r="AI426">
        <v>91.3185118464731</v>
      </c>
      <c r="AJ426">
        <v>90.798073606908801</v>
      </c>
      <c r="AK426">
        <v>46.082507832938902</v>
      </c>
      <c r="AL426">
        <v>78.817705814732406</v>
      </c>
      <c r="AM426">
        <v>95.481517617123302</v>
      </c>
      <c r="AN426">
        <v>0.99999998703015802</v>
      </c>
    </row>
    <row r="427" spans="1:40" x14ac:dyDescent="0.25">
      <c r="A427" t="str">
        <f>"20190304155024551"</f>
        <v>20190304155024551</v>
      </c>
      <c r="B427" t="str">
        <f>"1551685824547129"</f>
        <v>1551685824547129</v>
      </c>
      <c r="C427" t="s">
        <v>40</v>
      </c>
      <c r="D427">
        <v>5.3715289999999998</v>
      </c>
      <c r="E427">
        <v>0.53412320000000002</v>
      </c>
      <c r="F427" t="s">
        <v>41</v>
      </c>
      <c r="G427">
        <v>-358.00080000000003</v>
      </c>
      <c r="H427" s="1">
        <v>-1.2156419999999999E-6</v>
      </c>
      <c r="I427">
        <v>367.5521</v>
      </c>
      <c r="J427">
        <v>-408.90289999999999</v>
      </c>
      <c r="K427">
        <v>1.0603769999999999</v>
      </c>
      <c r="L427">
        <v>367.6669</v>
      </c>
      <c r="M427">
        <v>0.99989280000000003</v>
      </c>
      <c r="N427">
        <v>-1.101325E-2</v>
      </c>
      <c r="O427">
        <v>-9.6575169999999991E-3</v>
      </c>
      <c r="P427">
        <v>0.97944370000000003</v>
      </c>
      <c r="Q427">
        <v>0.18330489999999999</v>
      </c>
      <c r="R427">
        <v>8.4201209999999999E-2</v>
      </c>
      <c r="S427">
        <v>3.0753780000000002</v>
      </c>
      <c r="T427">
        <v>-6.3718559999999994E-2</v>
      </c>
      <c r="U427">
        <v>-7.0495610000000002E-3</v>
      </c>
      <c r="V427">
        <v>-9.3711320000000001E-2</v>
      </c>
      <c r="W427">
        <v>0.19404489999999999</v>
      </c>
      <c r="X427">
        <v>0.9765064</v>
      </c>
      <c r="Y427">
        <v>-7.3630569999999897E-3</v>
      </c>
      <c r="Z427">
        <v>2.105315E-4</v>
      </c>
      <c r="AA427">
        <v>0.99997290000000005</v>
      </c>
      <c r="AB427">
        <v>28</v>
      </c>
      <c r="AC427">
        <v>50.902099999999898</v>
      </c>
      <c r="AD427">
        <v>-1.0603782156420001</v>
      </c>
      <c r="AE427">
        <v>-0.114800000000002</v>
      </c>
      <c r="AF427">
        <v>-0.37665956936245398</v>
      </c>
      <c r="AG427">
        <v>-1.0603782156420001</v>
      </c>
      <c r="AH427">
        <v>50.878755390462302</v>
      </c>
      <c r="AI427">
        <v>91.193911637175106</v>
      </c>
      <c r="AJ427">
        <v>90.424157572873796</v>
      </c>
      <c r="AK427">
        <v>50.891197907633298</v>
      </c>
      <c r="AL427">
        <v>78.811065193548302</v>
      </c>
      <c r="AM427">
        <v>95.481654753546096</v>
      </c>
      <c r="AN427">
        <v>0.99999999197655598</v>
      </c>
    </row>
    <row r="428" spans="1:40" x14ac:dyDescent="0.25">
      <c r="A428" t="str">
        <f>"20190304155024563"</f>
        <v>20190304155024563</v>
      </c>
      <c r="B428" t="str">
        <f>"1551685824556889"</f>
        <v>1551685824556889</v>
      </c>
      <c r="C428" t="s">
        <v>40</v>
      </c>
      <c r="D428">
        <v>5.3292539999999997</v>
      </c>
      <c r="E428">
        <v>0.53507039999999995</v>
      </c>
      <c r="F428" t="s">
        <v>41</v>
      </c>
      <c r="G428">
        <v>-353.803</v>
      </c>
      <c r="H428" s="1">
        <v>-3.0615810000000002E-6</v>
      </c>
      <c r="I428">
        <v>367.24430000000001</v>
      </c>
      <c r="J428">
        <v>-408.73660000000001</v>
      </c>
      <c r="K428">
        <v>1.060381</v>
      </c>
      <c r="L428">
        <v>367.66539999999998</v>
      </c>
      <c r="M428">
        <v>0.9998939</v>
      </c>
      <c r="N428">
        <v>-1.1006210000000001E-2</v>
      </c>
      <c r="O428">
        <v>-9.5493130000000002E-3</v>
      </c>
      <c r="P428">
        <v>0.97940170000000004</v>
      </c>
      <c r="Q428">
        <v>0.18342330000000001</v>
      </c>
      <c r="R428">
        <v>8.4428950000000003E-2</v>
      </c>
      <c r="S428">
        <v>3.0760800000000001</v>
      </c>
      <c r="T428">
        <v>-5.9198019999999997E-2</v>
      </c>
      <c r="U428">
        <v>-2.3590090000000001E-2</v>
      </c>
      <c r="V428">
        <v>-9.3834470000000003E-2</v>
      </c>
      <c r="W428">
        <v>0.1941552</v>
      </c>
      <c r="X428">
        <v>0.97647269999999997</v>
      </c>
      <c r="Y428">
        <v>-1.880435E-3</v>
      </c>
      <c r="Z428">
        <v>1.070905E-4</v>
      </c>
      <c r="AA428">
        <v>0.99999819999999995</v>
      </c>
      <c r="AB428">
        <v>28</v>
      </c>
      <c r="AC428">
        <v>54.933599999999899</v>
      </c>
      <c r="AD428">
        <v>-1.0603840615809901</v>
      </c>
      <c r="AE428">
        <v>-0.421099999999967</v>
      </c>
      <c r="AF428">
        <v>-0.103490524031485</v>
      </c>
      <c r="AG428">
        <v>-1.0603840615809901</v>
      </c>
      <c r="AH428">
        <v>54.914656070663</v>
      </c>
      <c r="AI428">
        <v>91.106223336444202</v>
      </c>
      <c r="AJ428">
        <v>90.107977790467402</v>
      </c>
      <c r="AK428">
        <v>54.924990450666698</v>
      </c>
      <c r="AL428">
        <v>78.804623511969993</v>
      </c>
      <c r="AM428">
        <v>95.489002736501206</v>
      </c>
      <c r="AN428">
        <v>1.00000004164625</v>
      </c>
    </row>
    <row r="429" spans="1:40" x14ac:dyDescent="0.25">
      <c r="A429" t="str">
        <f>"20190304155024576"</f>
        <v>20190304155024576</v>
      </c>
      <c r="B429" t="str">
        <f>"1551685824566650"</f>
        <v>1551685824566650</v>
      </c>
      <c r="C429" t="s">
        <v>40</v>
      </c>
      <c r="D429">
        <v>5.2805030000000004</v>
      </c>
      <c r="E429">
        <v>0.53578139999999996</v>
      </c>
      <c r="F429" t="s">
        <v>41</v>
      </c>
      <c r="G429">
        <v>-352.19909999999999</v>
      </c>
      <c r="H429" s="1">
        <v>-3.7733220000000001E-6</v>
      </c>
      <c r="I429">
        <v>367.11070000000001</v>
      </c>
      <c r="J429">
        <v>-408.57600000000002</v>
      </c>
      <c r="K429">
        <v>1.0603830000000001</v>
      </c>
      <c r="L429">
        <v>367.66399999999999</v>
      </c>
      <c r="M429">
        <v>0.99989499999999998</v>
      </c>
      <c r="N429">
        <v>-1.099992E-2</v>
      </c>
      <c r="O429">
        <v>-9.4435109999999999E-3</v>
      </c>
      <c r="P429">
        <v>0.97933729999999997</v>
      </c>
      <c r="Q429">
        <v>0.18380830000000001</v>
      </c>
      <c r="R429">
        <v>8.4340709999999999E-2</v>
      </c>
      <c r="S429">
        <v>3.0765380000000002</v>
      </c>
      <c r="T429">
        <v>-5.7701710000000003E-2</v>
      </c>
      <c r="U429">
        <v>-3.0181880000000001E-2</v>
      </c>
      <c r="V429">
        <v>-9.3643400000000002E-2</v>
      </c>
      <c r="W429">
        <v>0.1945327</v>
      </c>
      <c r="X429">
        <v>0.9764159</v>
      </c>
      <c r="Y429">
        <v>3.6598559999999997E-4</v>
      </c>
      <c r="Z429" s="1">
        <v>6.7770890000000005E-5</v>
      </c>
      <c r="AA429">
        <v>0.99999990000000005</v>
      </c>
      <c r="AB429">
        <v>28</v>
      </c>
      <c r="AC429">
        <v>56.3768999999999</v>
      </c>
      <c r="AD429">
        <v>-1.060386773322</v>
      </c>
      <c r="AE429">
        <v>-0.55329999999997803</v>
      </c>
      <c r="AF429">
        <v>2.08399155974015E-2</v>
      </c>
      <c r="AG429">
        <v>-1.060386773322</v>
      </c>
      <c r="AH429">
        <v>56.359674525985298</v>
      </c>
      <c r="AI429">
        <v>91.077872000941397</v>
      </c>
      <c r="AJ429">
        <v>89.978813945169705</v>
      </c>
      <c r="AK429">
        <v>56.369652891304099</v>
      </c>
      <c r="AL429">
        <v>78.782573857113704</v>
      </c>
      <c r="AM429">
        <v>95.478210556385093</v>
      </c>
      <c r="AN429">
        <v>1.0000000337528201</v>
      </c>
    </row>
    <row r="430" spans="1:40" x14ac:dyDescent="0.25">
      <c r="A430" t="str">
        <f>"20190304155024590"</f>
        <v>20190304155024590</v>
      </c>
      <c r="B430" t="str">
        <f>"1551685824587145"</f>
        <v>1551685824587145</v>
      </c>
      <c r="C430" t="s">
        <v>40</v>
      </c>
      <c r="D430">
        <v>4.8509310000000001</v>
      </c>
      <c r="E430">
        <v>0.53714729999999999</v>
      </c>
      <c r="F430" t="s">
        <v>41</v>
      </c>
      <c r="G430">
        <v>-352.67329999999998</v>
      </c>
      <c r="H430" s="1">
        <v>-3.5880269999999999E-6</v>
      </c>
      <c r="I430">
        <v>367.0086</v>
      </c>
      <c r="J430">
        <v>-408.41480000000001</v>
      </c>
      <c r="K430">
        <v>1.0603860000000001</v>
      </c>
      <c r="L430">
        <v>367.6626</v>
      </c>
      <c r="M430">
        <v>0.99989600000000001</v>
      </c>
      <c r="N430">
        <v>-1.0993899999999999E-2</v>
      </c>
      <c r="O430">
        <v>-9.3366449999999993E-3</v>
      </c>
      <c r="P430">
        <v>0.97925340000000005</v>
      </c>
      <c r="Q430">
        <v>0.1841382</v>
      </c>
      <c r="R430">
        <v>8.4593189999999999E-2</v>
      </c>
      <c r="S430">
        <v>3.0773320000000002</v>
      </c>
      <c r="T430">
        <v>-5.8372019999999997E-2</v>
      </c>
      <c r="U430">
        <v>-3.6071779999999998E-2</v>
      </c>
      <c r="V430">
        <v>-9.3791860000000005E-2</v>
      </c>
      <c r="W430">
        <v>0.1948559</v>
      </c>
      <c r="X430">
        <v>0.97633709999999996</v>
      </c>
      <c r="Y430">
        <v>2.383507E-3</v>
      </c>
      <c r="Z430" s="1">
        <v>3.8722820000000003E-5</v>
      </c>
      <c r="AA430">
        <v>0.99999709999999997</v>
      </c>
      <c r="AB430">
        <v>28</v>
      </c>
      <c r="AC430">
        <v>55.741500000000002</v>
      </c>
      <c r="AD430">
        <v>-1.060389588027</v>
      </c>
      <c r="AE430">
        <v>-0.65399999999999603</v>
      </c>
      <c r="AF430">
        <v>0.133453163161012</v>
      </c>
      <c r="AG430">
        <v>-1.060389588027</v>
      </c>
      <c r="AH430">
        <v>55.725013201767098</v>
      </c>
      <c r="AI430">
        <v>91.090144958390397</v>
      </c>
      <c r="AJ430">
        <v>89.862785346211098</v>
      </c>
      <c r="AK430">
        <v>55.735261120427801</v>
      </c>
      <c r="AL430">
        <v>78.763693449775602</v>
      </c>
      <c r="AM430">
        <v>95.487282760000895</v>
      </c>
      <c r="AN430">
        <v>0.99999993380173702</v>
      </c>
    </row>
    <row r="431" spans="1:40" x14ac:dyDescent="0.25">
      <c r="A431" t="str">
        <f>"20190304155024606"</f>
        <v>20190304155024606</v>
      </c>
      <c r="B431" t="str">
        <f>"1551685824596905"</f>
        <v>1551685824596905</v>
      </c>
      <c r="C431" t="s">
        <v>40</v>
      </c>
      <c r="D431">
        <v>5.2033740000000002</v>
      </c>
      <c r="E431">
        <v>0.53768499999999997</v>
      </c>
      <c r="F431" t="s">
        <v>41</v>
      </c>
      <c r="G431">
        <v>-353.49639999999999</v>
      </c>
      <c r="H431" s="1">
        <v>-3.264262E-6</v>
      </c>
      <c r="I431">
        <v>366.8433</v>
      </c>
      <c r="J431">
        <v>-408.19490000000002</v>
      </c>
      <c r="K431">
        <v>1.060395</v>
      </c>
      <c r="L431">
        <v>367.66059999999999</v>
      </c>
      <c r="M431">
        <v>0.99989740000000005</v>
      </c>
      <c r="N431">
        <v>-1.098654E-2</v>
      </c>
      <c r="O431">
        <v>-9.1901980000000001E-3</v>
      </c>
      <c r="P431">
        <v>0.97898819999999998</v>
      </c>
      <c r="Q431">
        <v>0.18540139999999999</v>
      </c>
      <c r="R431">
        <v>8.490412E-2</v>
      </c>
      <c r="S431">
        <v>3.0786739999999999</v>
      </c>
      <c r="T431">
        <v>-5.944431E-2</v>
      </c>
      <c r="U431">
        <v>-4.5928959999999998E-2</v>
      </c>
      <c r="V431">
        <v>-9.3958340000000001E-2</v>
      </c>
      <c r="W431">
        <v>0.19610830000000001</v>
      </c>
      <c r="X431">
        <v>0.9760704</v>
      </c>
      <c r="Y431">
        <v>5.725043E-3</v>
      </c>
      <c r="Z431" s="1">
        <v>-1.026693E-5</v>
      </c>
      <c r="AA431">
        <v>0.99998359999999997</v>
      </c>
      <c r="AB431">
        <v>28</v>
      </c>
      <c r="AC431">
        <v>54.698500000000003</v>
      </c>
      <c r="AD431">
        <v>-1.060398264262</v>
      </c>
      <c r="AE431">
        <v>-0.81729999999998804</v>
      </c>
      <c r="AF431">
        <v>0.31442694422032702</v>
      </c>
      <c r="AG431">
        <v>-1.060398264262</v>
      </c>
      <c r="AH431">
        <v>54.683154583004999</v>
      </c>
      <c r="AI431">
        <v>91.110903857098606</v>
      </c>
      <c r="AJ431">
        <v>89.670554150216404</v>
      </c>
      <c r="AK431">
        <v>54.694338865470499</v>
      </c>
      <c r="AL431">
        <v>78.690525684342305</v>
      </c>
      <c r="AM431">
        <v>95.498455828050595</v>
      </c>
      <c r="AN431">
        <v>1.0000000303703001</v>
      </c>
    </row>
    <row r="432" spans="1:40" x14ac:dyDescent="0.25">
      <c r="A432" t="str">
        <f>"20190304155024618"</f>
        <v>20190304155024618</v>
      </c>
      <c r="B432" t="str">
        <f>"1551685824606665"</f>
        <v>1551685824606665</v>
      </c>
      <c r="C432" t="s">
        <v>40</v>
      </c>
      <c r="D432">
        <v>5.2879100000000001</v>
      </c>
      <c r="E432">
        <v>0.53835739999999999</v>
      </c>
      <c r="F432" t="s">
        <v>41</v>
      </c>
      <c r="G432">
        <v>-346.81049999999999</v>
      </c>
      <c r="H432" s="1">
        <v>-2.0069350000000001E-6</v>
      </c>
      <c r="I432">
        <v>366.69200000000001</v>
      </c>
      <c r="J432">
        <v>-408.04300000000001</v>
      </c>
      <c r="K432">
        <v>1.0604009999999999</v>
      </c>
      <c r="L432">
        <v>367.65929999999997</v>
      </c>
      <c r="M432">
        <v>0.99989839999999997</v>
      </c>
      <c r="N432">
        <v>-1.098211E-2</v>
      </c>
      <c r="O432">
        <v>-9.089672E-3</v>
      </c>
      <c r="P432">
        <v>0.9789004</v>
      </c>
      <c r="Q432">
        <v>0.18572140000000001</v>
      </c>
      <c r="R432">
        <v>8.5213960000000005E-2</v>
      </c>
      <c r="S432">
        <v>3.0787049999999998</v>
      </c>
      <c r="T432">
        <v>-5.3183670000000002E-2</v>
      </c>
      <c r="U432">
        <v>-4.8583979999999999E-2</v>
      </c>
      <c r="V432">
        <v>-9.4168719999999997E-2</v>
      </c>
      <c r="W432">
        <v>0.19642290000000001</v>
      </c>
      <c r="X432">
        <v>0.97598680000000004</v>
      </c>
      <c r="Y432">
        <v>6.6875009999999898E-3</v>
      </c>
      <c r="Z432" s="1">
        <v>-3.7309040000000001E-5</v>
      </c>
      <c r="AA432">
        <v>0.99997760000000002</v>
      </c>
      <c r="AB432">
        <v>28</v>
      </c>
      <c r="AC432">
        <v>61.232500000000002</v>
      </c>
      <c r="AD432">
        <v>-1.0604030069349999</v>
      </c>
      <c r="AE432">
        <v>-0.96730000000002203</v>
      </c>
      <c r="AF432">
        <v>0.41052005278285097</v>
      </c>
      <c r="AG432">
        <v>-1.0604030069349999</v>
      </c>
      <c r="AH432">
        <v>61.220407551490297</v>
      </c>
      <c r="AI432">
        <v>90.992302711413203</v>
      </c>
      <c r="AJ432">
        <v>89.615802722699996</v>
      </c>
      <c r="AK432">
        <v>61.230966691874301</v>
      </c>
      <c r="AL432">
        <v>78.672142192909007</v>
      </c>
      <c r="AM432">
        <v>95.511160718260498</v>
      </c>
      <c r="AN432">
        <v>0.99999996862254303</v>
      </c>
    </row>
    <row r="433" spans="1:40" x14ac:dyDescent="0.25">
      <c r="A433" t="str">
        <f>"20190304155024630"</f>
        <v>20190304155024630</v>
      </c>
      <c r="B433" t="str">
        <f>"1551685824627484"</f>
        <v>1551685824627484</v>
      </c>
      <c r="C433" t="s">
        <v>40</v>
      </c>
      <c r="D433">
        <v>5.2587029999999997</v>
      </c>
      <c r="E433">
        <v>0.53956749999999998</v>
      </c>
      <c r="F433" t="s">
        <v>41</v>
      </c>
      <c r="G433">
        <v>-343.911</v>
      </c>
      <c r="H433" s="1">
        <v>-3.4031530000000001E-6</v>
      </c>
      <c r="I433">
        <v>366.54759999999999</v>
      </c>
      <c r="J433">
        <v>-407.89299999999997</v>
      </c>
      <c r="K433">
        <v>1.0604009999999999</v>
      </c>
      <c r="L433">
        <v>367.65809999999999</v>
      </c>
      <c r="M433">
        <v>0.99989939999999999</v>
      </c>
      <c r="N433">
        <v>-1.097795E-2</v>
      </c>
      <c r="O433">
        <v>-8.9903420000000001E-3</v>
      </c>
      <c r="P433">
        <v>0.97877309999999995</v>
      </c>
      <c r="Q433">
        <v>0.18631200000000001</v>
      </c>
      <c r="R433">
        <v>8.5389110000000004E-2</v>
      </c>
      <c r="S433">
        <v>3.0789789999999999</v>
      </c>
      <c r="T433">
        <v>-5.0909999999999997E-2</v>
      </c>
      <c r="U433">
        <v>-5.3375239999999997E-2</v>
      </c>
      <c r="V433">
        <v>-9.4246339999999998E-2</v>
      </c>
      <c r="W433">
        <v>0.19700780000000001</v>
      </c>
      <c r="X433">
        <v>0.97586139999999999</v>
      </c>
      <c r="Y433">
        <v>8.3407769999999902E-3</v>
      </c>
      <c r="Z433" s="1">
        <v>-6.4803369999999995E-5</v>
      </c>
      <c r="AA433">
        <v>0.9999652</v>
      </c>
      <c r="AB433">
        <v>28</v>
      </c>
      <c r="AC433">
        <v>63.981999999999999</v>
      </c>
      <c r="AD433">
        <v>-1.060404403153</v>
      </c>
      <c r="AE433">
        <v>-1.1105</v>
      </c>
      <c r="AF433">
        <v>0.53505350779199001</v>
      </c>
      <c r="AG433">
        <v>-1.060404403153</v>
      </c>
      <c r="AH433">
        <v>63.971831793204402</v>
      </c>
      <c r="AI433">
        <v>90.949621216441699</v>
      </c>
      <c r="AJ433">
        <v>89.520795448090595</v>
      </c>
      <c r="AK433">
        <v>63.982857100417597</v>
      </c>
      <c r="AL433">
        <v>78.637961919906999</v>
      </c>
      <c r="AM433">
        <v>95.516379777185193</v>
      </c>
      <c r="AN433">
        <v>0.99999995893709703</v>
      </c>
    </row>
    <row r="434" spans="1:40" x14ac:dyDescent="0.25">
      <c r="A434" t="str">
        <f>"20190304155024642"</f>
        <v>20190304155024642</v>
      </c>
      <c r="B434" t="str">
        <f>"1551685824637244"</f>
        <v>1551685824637244</v>
      </c>
      <c r="C434" t="s">
        <v>40</v>
      </c>
      <c r="D434">
        <v>4.9630099999999997</v>
      </c>
      <c r="E434">
        <v>0.54008540000000005</v>
      </c>
      <c r="F434" t="s">
        <v>41</v>
      </c>
      <c r="G434">
        <v>-338.9597</v>
      </c>
      <c r="H434" s="1">
        <v>-1.2308679999999999E-6</v>
      </c>
      <c r="I434">
        <v>366.26850000000002</v>
      </c>
      <c r="J434">
        <v>-407.73770000000002</v>
      </c>
      <c r="K434">
        <v>1.060403</v>
      </c>
      <c r="L434">
        <v>367.65679999999998</v>
      </c>
      <c r="M434">
        <v>0.99990049999999997</v>
      </c>
      <c r="N434">
        <v>-1.097418E-2</v>
      </c>
      <c r="O434">
        <v>-8.8875619999999999E-3</v>
      </c>
      <c r="P434">
        <v>0.97870049999999997</v>
      </c>
      <c r="Q434">
        <v>0.18671579999999999</v>
      </c>
      <c r="R434">
        <v>8.5339999999999999E-2</v>
      </c>
      <c r="S434">
        <v>3.0794679999999999</v>
      </c>
      <c r="T434">
        <v>-4.7371509999999999E-2</v>
      </c>
      <c r="U434">
        <v>-6.2072750000000003E-2</v>
      </c>
      <c r="V434">
        <v>-9.4096230000000003E-2</v>
      </c>
      <c r="W434">
        <v>0.197407</v>
      </c>
      <c r="X434">
        <v>0.97579530000000003</v>
      </c>
      <c r="Y434">
        <v>1.12636E-2</v>
      </c>
      <c r="Z434">
        <v>-1.092761E-4</v>
      </c>
      <c r="AA434">
        <v>0.99993659999999995</v>
      </c>
      <c r="AB434">
        <v>29</v>
      </c>
      <c r="AC434">
        <v>68.778000000000006</v>
      </c>
      <c r="AD434">
        <v>-1.060404230868</v>
      </c>
      <c r="AE434">
        <v>-1.3882999999999499</v>
      </c>
      <c r="AF434">
        <v>0.776755177490146</v>
      </c>
      <c r="AG434">
        <v>-1.060404230868</v>
      </c>
      <c r="AH434">
        <v>68.771281792006107</v>
      </c>
      <c r="AI434">
        <v>90.883333812165901</v>
      </c>
      <c r="AJ434">
        <v>89.352885392650506</v>
      </c>
      <c r="AK434">
        <v>68.783842616228597</v>
      </c>
      <c r="AL434">
        <v>78.614632273909393</v>
      </c>
      <c r="AM434">
        <v>95.508018472561702</v>
      </c>
      <c r="AN434">
        <v>1.0000000458256499</v>
      </c>
    </row>
    <row r="435" spans="1:40" x14ac:dyDescent="0.25">
      <c r="A435" t="str">
        <f>"20190304155024655"</f>
        <v>20190304155024655</v>
      </c>
      <c r="B435" t="str">
        <f>"1551685824647004"</f>
        <v>1551685824647004</v>
      </c>
      <c r="C435" t="s">
        <v>40</v>
      </c>
      <c r="D435">
        <v>5.2944170000000002</v>
      </c>
      <c r="E435">
        <v>0.54054219999999997</v>
      </c>
      <c r="F435" t="s">
        <v>41</v>
      </c>
      <c r="G435">
        <v>-336.67939999999999</v>
      </c>
      <c r="H435" s="1">
        <v>-2.044229E-6</v>
      </c>
      <c r="I435">
        <v>366.12810000000002</v>
      </c>
      <c r="J435">
        <v>-407.57260000000002</v>
      </c>
      <c r="K435">
        <v>1.0604009999999999</v>
      </c>
      <c r="L435">
        <v>367.65539999999999</v>
      </c>
      <c r="M435">
        <v>0.99990140000000005</v>
      </c>
      <c r="N435">
        <v>-1.097062E-2</v>
      </c>
      <c r="O435">
        <v>-8.778704E-3</v>
      </c>
      <c r="P435">
        <v>0.97858330000000004</v>
      </c>
      <c r="Q435">
        <v>0.187224</v>
      </c>
      <c r="R435">
        <v>8.5568430000000001E-2</v>
      </c>
      <c r="S435">
        <v>3.0798649999999999</v>
      </c>
      <c r="T435">
        <v>-4.5960899999999999E-2</v>
      </c>
      <c r="U435">
        <v>-6.6253660000000006E-2</v>
      </c>
      <c r="V435">
        <v>-9.4217690000000007E-2</v>
      </c>
      <c r="W435">
        <v>0.19791039999999999</v>
      </c>
      <c r="X435">
        <v>0.97568149999999998</v>
      </c>
      <c r="Y435">
        <v>1.272648E-2</v>
      </c>
      <c r="Z435">
        <v>-1.3009149999999999E-4</v>
      </c>
      <c r="AA435">
        <v>0.999919</v>
      </c>
      <c r="AB435">
        <v>29</v>
      </c>
      <c r="AC435">
        <v>70.893199999999993</v>
      </c>
      <c r="AD435">
        <v>-1.060403044229</v>
      </c>
      <c r="AE435">
        <v>-1.5272999999999599</v>
      </c>
      <c r="AF435">
        <v>0.90465103136520397</v>
      </c>
      <c r="AG435">
        <v>-1.060403044229</v>
      </c>
      <c r="AH435">
        <v>70.888023692098898</v>
      </c>
      <c r="AI435">
        <v>90.856945065768102</v>
      </c>
      <c r="AJ435">
        <v>89.268848674738805</v>
      </c>
      <c r="AK435">
        <v>70.901726009148305</v>
      </c>
      <c r="AL435">
        <v>78.585207914250404</v>
      </c>
      <c r="AM435">
        <v>95.515723743325495</v>
      </c>
      <c r="AN435">
        <v>0.999999944489671</v>
      </c>
    </row>
    <row r="436" spans="1:40" x14ac:dyDescent="0.25">
      <c r="A436" t="str">
        <f>"20190304155024674"</f>
        <v>20190304155024674</v>
      </c>
      <c r="B436" t="str">
        <f>"1551685824666527"</f>
        <v>1551685824666527</v>
      </c>
      <c r="C436" t="s">
        <v>40</v>
      </c>
      <c r="D436">
        <v>5.3973120000000003</v>
      </c>
      <c r="E436">
        <v>0.54132950000000002</v>
      </c>
      <c r="F436" t="s">
        <v>41</v>
      </c>
      <c r="G436">
        <v>-336.6454</v>
      </c>
      <c r="H436" s="1">
        <v>-2.071392E-6</v>
      </c>
      <c r="I436">
        <v>366.06950000000001</v>
      </c>
      <c r="J436">
        <v>-407.33749999999998</v>
      </c>
      <c r="K436">
        <v>1.060403</v>
      </c>
      <c r="L436">
        <v>367.65350000000001</v>
      </c>
      <c r="M436">
        <v>0.99990259999999997</v>
      </c>
      <c r="N436">
        <v>-1.096624E-2</v>
      </c>
      <c r="O436">
        <v>-8.6244249999999998E-3</v>
      </c>
      <c r="P436">
        <v>0.97853020000000002</v>
      </c>
      <c r="Q436">
        <v>0.18751219999999999</v>
      </c>
      <c r="R436">
        <v>8.5543480000000005E-2</v>
      </c>
      <c r="S436">
        <v>3.080505</v>
      </c>
      <c r="T436">
        <v>-4.6055319999999997E-2</v>
      </c>
      <c r="U436">
        <v>-6.8878170000000002E-2</v>
      </c>
      <c r="V436">
        <v>-9.4041440000000004E-2</v>
      </c>
      <c r="W436">
        <v>0.19819410000000001</v>
      </c>
      <c r="X436">
        <v>0.97564099999999998</v>
      </c>
      <c r="Y436">
        <v>1.372758E-2</v>
      </c>
      <c r="Z436">
        <v>-1.4354569999999999E-4</v>
      </c>
      <c r="AA436">
        <v>0.99990579999999996</v>
      </c>
      <c r="AB436">
        <v>29</v>
      </c>
      <c r="AC436">
        <v>70.692099999999897</v>
      </c>
      <c r="AD436">
        <v>-1.0604050713919999</v>
      </c>
      <c r="AE436">
        <v>-1.5840000000000001</v>
      </c>
      <c r="AF436">
        <v>0.97400660753506396</v>
      </c>
      <c r="AG436">
        <v>-1.0604050713919999</v>
      </c>
      <c r="AH436">
        <v>70.687235128718797</v>
      </c>
      <c r="AI436">
        <v>90.859368915132194</v>
      </c>
      <c r="AJ436">
        <v>89.210565581506401</v>
      </c>
      <c r="AK436">
        <v>70.701897838245699</v>
      </c>
      <c r="AL436">
        <v>78.568625568973999</v>
      </c>
      <c r="AM436">
        <v>95.505696243693507</v>
      </c>
      <c r="AN436">
        <v>1.0000000272965399</v>
      </c>
    </row>
    <row r="437" spans="1:40" x14ac:dyDescent="0.25">
      <c r="A437" t="str">
        <f>"20190304155024686"</f>
        <v>20190304155024686</v>
      </c>
      <c r="B437" t="str">
        <f>"1551685824677260"</f>
        <v>1551685824677260</v>
      </c>
      <c r="C437" t="s">
        <v>40</v>
      </c>
      <c r="D437">
        <v>5.3712099999999996</v>
      </c>
      <c r="E437">
        <v>0.54116799999999998</v>
      </c>
      <c r="F437" t="s">
        <v>41</v>
      </c>
      <c r="G437">
        <v>-337.3879</v>
      </c>
      <c r="H437" s="1">
        <v>-1.8521959999999999E-6</v>
      </c>
      <c r="I437">
        <v>365.94369999999998</v>
      </c>
      <c r="J437">
        <v>-407.18259999999998</v>
      </c>
      <c r="K437">
        <v>1.060406</v>
      </c>
      <c r="L437">
        <v>367.65230000000003</v>
      </c>
      <c r="M437">
        <v>0.9999036</v>
      </c>
      <c r="N437">
        <v>-1.096375E-2</v>
      </c>
      <c r="O437">
        <v>-8.5234409999999997E-3</v>
      </c>
      <c r="P437">
        <v>0.97846350000000004</v>
      </c>
      <c r="Q437">
        <v>0.1877906</v>
      </c>
      <c r="R437">
        <v>8.5697389999999998E-2</v>
      </c>
      <c r="S437">
        <v>3.0813600000000001</v>
      </c>
      <c r="T437">
        <v>-4.6712040000000003E-2</v>
      </c>
      <c r="U437">
        <v>-7.5317380000000003E-2</v>
      </c>
      <c r="V437">
        <v>-9.4096589999999994E-2</v>
      </c>
      <c r="W437">
        <v>0.19846900000000001</v>
      </c>
      <c r="X437">
        <v>0.9755798</v>
      </c>
      <c r="Y437">
        <v>1.5910230000000001E-2</v>
      </c>
      <c r="Z437">
        <v>-1.7207250000000001E-4</v>
      </c>
      <c r="AA437">
        <v>0.99987340000000002</v>
      </c>
      <c r="AB437">
        <v>29</v>
      </c>
      <c r="AC437">
        <v>69.794699999999906</v>
      </c>
      <c r="AD437">
        <v>-1.0604078521960001</v>
      </c>
      <c r="AE437">
        <v>-1.7086000000000401</v>
      </c>
      <c r="AF437">
        <v>1.1133543341340599</v>
      </c>
      <c r="AG437">
        <v>-1.0604078521960001</v>
      </c>
      <c r="AH437">
        <v>69.7906279706757</v>
      </c>
      <c r="AI437">
        <v>90.870381792575898</v>
      </c>
      <c r="AJ437">
        <v>89.086050724037406</v>
      </c>
      <c r="AK437">
        <v>69.807562450121296</v>
      </c>
      <c r="AL437">
        <v>78.552555754046395</v>
      </c>
      <c r="AM437">
        <v>95.509248625568503</v>
      </c>
      <c r="AN437">
        <v>1.0000000291893301</v>
      </c>
    </row>
    <row r="438" spans="1:40" x14ac:dyDescent="0.25">
      <c r="A438" t="str">
        <f>"20190304155024697"</f>
        <v>20190304155024697</v>
      </c>
      <c r="B438" t="str">
        <f>"1551685824687020"</f>
        <v>1551685824687020</v>
      </c>
      <c r="C438" t="s">
        <v>40</v>
      </c>
      <c r="D438">
        <v>4.8612869999999999</v>
      </c>
      <c r="E438">
        <v>0.54116799999999998</v>
      </c>
      <c r="F438" t="s">
        <v>41</v>
      </c>
      <c r="G438">
        <v>-331.52010000000001</v>
      </c>
      <c r="H438" s="1">
        <v>-4.2883159999999997E-6</v>
      </c>
      <c r="I438">
        <v>365.84969999999998</v>
      </c>
      <c r="J438">
        <v>-407.0326</v>
      </c>
      <c r="K438">
        <v>1.060403</v>
      </c>
      <c r="L438">
        <v>367.65109999999999</v>
      </c>
      <c r="M438">
        <v>0.99990460000000003</v>
      </c>
      <c r="N438">
        <v>-1.0961820000000001E-2</v>
      </c>
      <c r="O438">
        <v>-8.4259190000000005E-3</v>
      </c>
      <c r="P438">
        <v>0.97844279999999995</v>
      </c>
      <c r="Q438">
        <v>0.18787239999999999</v>
      </c>
      <c r="R438">
        <v>8.575555E-2</v>
      </c>
      <c r="S438">
        <v>3.0807799999999999</v>
      </c>
      <c r="T438">
        <v>-4.3177130000000001E-2</v>
      </c>
      <c r="U438">
        <v>-7.3394780000000007E-2</v>
      </c>
      <c r="V438">
        <v>-9.4059199999999996E-2</v>
      </c>
      <c r="W438">
        <v>0.1985489</v>
      </c>
      <c r="X438">
        <v>0.97556710000000002</v>
      </c>
      <c r="Y438">
        <v>1.5389150000000001E-2</v>
      </c>
      <c r="Z438">
        <v>-1.664798E-4</v>
      </c>
      <c r="AA438">
        <v>0.99988160000000004</v>
      </c>
      <c r="AB438">
        <v>29</v>
      </c>
      <c r="AC438">
        <v>75.512499999999903</v>
      </c>
      <c r="AD438">
        <v>-1.0604072883160001</v>
      </c>
      <c r="AE438">
        <v>-1.8013999999999999</v>
      </c>
      <c r="AF438">
        <v>1.16480615309586</v>
      </c>
      <c r="AG438">
        <v>-1.0604072883160001</v>
      </c>
      <c r="AH438">
        <v>75.510116291013205</v>
      </c>
      <c r="AI438">
        <v>90.804470256565494</v>
      </c>
      <c r="AJ438">
        <v>89.116235188803003</v>
      </c>
      <c r="AK438">
        <v>75.526544335576105</v>
      </c>
      <c r="AL438">
        <v>78.547884326800002</v>
      </c>
      <c r="AM438">
        <v>95.507144194722201</v>
      </c>
      <c r="AN438">
        <v>0.99999998269912904</v>
      </c>
    </row>
    <row r="439" spans="1:40" x14ac:dyDescent="0.25">
      <c r="A439" t="str">
        <f>"20190304155024710"</f>
        <v>20190304155024710</v>
      </c>
      <c r="B439" t="str">
        <f>"1551685824706540"</f>
        <v>1551685824706540</v>
      </c>
      <c r="C439" t="s">
        <v>40</v>
      </c>
      <c r="D439">
        <v>5.2931489999999997</v>
      </c>
      <c r="E439">
        <v>0.49437789999999998</v>
      </c>
      <c r="F439" t="s">
        <v>41</v>
      </c>
      <c r="G439">
        <v>-330.79259999999999</v>
      </c>
      <c r="H439" s="1">
        <v>-4.6024059999999999E-6</v>
      </c>
      <c r="I439">
        <v>365.83850000000001</v>
      </c>
      <c r="J439">
        <v>-406.87310000000002</v>
      </c>
      <c r="K439">
        <v>1.060403</v>
      </c>
      <c r="L439">
        <v>367.6499</v>
      </c>
      <c r="M439">
        <v>0.9999053</v>
      </c>
      <c r="N439">
        <v>-1.095995E-2</v>
      </c>
      <c r="O439">
        <v>-8.3218430000000006E-3</v>
      </c>
      <c r="P439">
        <v>0.97836920000000005</v>
      </c>
      <c r="Q439">
        <v>0.1881573</v>
      </c>
      <c r="R439">
        <v>8.5968439999999993E-2</v>
      </c>
      <c r="S439">
        <v>3.0807500000000001</v>
      </c>
      <c r="T439">
        <v>-4.2849539999999998E-2</v>
      </c>
      <c r="U439">
        <v>-7.3242189999999999E-2</v>
      </c>
      <c r="V439">
        <v>-9.4169539999999996E-2</v>
      </c>
      <c r="W439">
        <v>0.1988316</v>
      </c>
      <c r="X439">
        <v>0.97549889999999995</v>
      </c>
      <c r="Y439">
        <v>1.544398E-2</v>
      </c>
      <c r="Z439">
        <v>-1.6751560000000001E-4</v>
      </c>
      <c r="AA439">
        <v>0.99988069999999896</v>
      </c>
      <c r="AB439">
        <v>29</v>
      </c>
      <c r="AC439">
        <v>76.080500000000001</v>
      </c>
      <c r="AD439">
        <v>-1.0604076024060001</v>
      </c>
      <c r="AE439">
        <v>-1.8113999999999899</v>
      </c>
      <c r="AF439">
        <v>1.17794055232331</v>
      </c>
      <c r="AG439">
        <v>-1.0604076024060001</v>
      </c>
      <c r="AH439">
        <v>76.078169224138804</v>
      </c>
      <c r="AI439">
        <v>90.798463826028893</v>
      </c>
      <c r="AJ439">
        <v>89.1129435635889</v>
      </c>
      <c r="AK439">
        <v>76.094676822526495</v>
      </c>
      <c r="AL439">
        <v>78.531357566197897</v>
      </c>
      <c r="AM439">
        <v>95.513947883983505</v>
      </c>
      <c r="AN439">
        <v>1.0000000056617899</v>
      </c>
    </row>
    <row r="440" spans="1:40" x14ac:dyDescent="0.25">
      <c r="A440" t="str">
        <f>"20190304155024721"</f>
        <v>20190304155024721</v>
      </c>
      <c r="B440" t="str">
        <f>"1551685824716806"</f>
        <v>1551685824716806</v>
      </c>
      <c r="C440" t="s">
        <v>40</v>
      </c>
      <c r="D440">
        <v>5.2562720000000001</v>
      </c>
      <c r="E440">
        <v>0.4944866</v>
      </c>
      <c r="F440" t="s">
        <v>41</v>
      </c>
      <c r="G440">
        <v>-347.21050000000002</v>
      </c>
      <c r="H440" s="1">
        <v>-2.3322630000000001E-6</v>
      </c>
      <c r="I440">
        <v>373.49930000000001</v>
      </c>
      <c r="J440">
        <v>-406.72089999999997</v>
      </c>
      <c r="K440">
        <v>1.0604039999999999</v>
      </c>
      <c r="L440">
        <v>367.64870000000002</v>
      </c>
      <c r="M440">
        <v>0.99990639999999997</v>
      </c>
      <c r="N440">
        <v>-1.0958539999999999E-2</v>
      </c>
      <c r="O440">
        <v>-8.2228979999999993E-3</v>
      </c>
      <c r="P440">
        <v>0.97835349999999999</v>
      </c>
      <c r="Q440">
        <v>0.1881042</v>
      </c>
      <c r="R440">
        <v>8.6265170000000002E-2</v>
      </c>
      <c r="S440">
        <v>3.0504760000000002</v>
      </c>
      <c r="T440">
        <v>-5.4217220000000003E-2</v>
      </c>
      <c r="U440">
        <v>0.29907230000000001</v>
      </c>
      <c r="V440">
        <v>-9.4369690000000006E-2</v>
      </c>
      <c r="W440">
        <v>0.19877649999999999</v>
      </c>
      <c r="X440">
        <v>0.97549079999999999</v>
      </c>
      <c r="Y440">
        <v>-0.10572719999999999</v>
      </c>
      <c r="Z440">
        <v>1.573942E-3</v>
      </c>
      <c r="AA440">
        <v>0.99439390000000005</v>
      </c>
      <c r="AB440">
        <v>29</v>
      </c>
      <c r="AC440">
        <v>59.510399999999898</v>
      </c>
      <c r="AD440">
        <v>-1.060406332263</v>
      </c>
      <c r="AE440">
        <v>5.8505999999999796</v>
      </c>
      <c r="AF440">
        <v>-6.3377863305306201</v>
      </c>
      <c r="AG440">
        <v>-1.060406332263</v>
      </c>
      <c r="AH440">
        <v>59.4415833416192</v>
      </c>
      <c r="AI440">
        <v>91.016258910156395</v>
      </c>
      <c r="AJ440">
        <v>96.086003279143696</v>
      </c>
      <c r="AK440">
        <v>59.787907032439499</v>
      </c>
      <c r="AL440">
        <v>78.534579007807395</v>
      </c>
      <c r="AM440">
        <v>95.525640492823101</v>
      </c>
      <c r="AN440">
        <v>1.00000001811379</v>
      </c>
    </row>
    <row r="441" spans="1:40" x14ac:dyDescent="0.25">
      <c r="A441" t="str">
        <f>"20190304155024742"</f>
        <v>20190304155024742</v>
      </c>
      <c r="B441" t="str">
        <f>"1551685824737302"</f>
        <v>1551685824737302</v>
      </c>
      <c r="C441" t="s">
        <v>40</v>
      </c>
      <c r="D441">
        <v>5.2388260000000004</v>
      </c>
      <c r="E441">
        <v>0.49482350000000003</v>
      </c>
      <c r="F441" t="s">
        <v>41</v>
      </c>
      <c r="G441">
        <v>-359.4119</v>
      </c>
      <c r="H441" s="1">
        <v>-9.4423349999999997E-7</v>
      </c>
      <c r="I441">
        <v>372.28339999999997</v>
      </c>
      <c r="J441">
        <v>-406.47930000000002</v>
      </c>
      <c r="K441">
        <v>1.06040499999999</v>
      </c>
      <c r="L441">
        <v>367.64690000000002</v>
      </c>
      <c r="M441">
        <v>0.99990749999999995</v>
      </c>
      <c r="N441">
        <v>-1.0956759999999999E-2</v>
      </c>
      <c r="O441">
        <v>-8.0660130000000003E-3</v>
      </c>
      <c r="P441">
        <v>0.97836190000000001</v>
      </c>
      <c r="Q441">
        <v>0.1879855</v>
      </c>
      <c r="R441">
        <v>8.6428249999999998E-2</v>
      </c>
      <c r="S441">
        <v>3.053131</v>
      </c>
      <c r="T441">
        <v>-6.8434120000000001E-2</v>
      </c>
      <c r="U441">
        <v>0.2991028</v>
      </c>
      <c r="V441">
        <v>-9.4379950000000004E-2</v>
      </c>
      <c r="W441">
        <v>0.19865640000000001</v>
      </c>
      <c r="X441">
        <v>0.97551429999999995</v>
      </c>
      <c r="Y441">
        <v>-0.10548440000000001</v>
      </c>
      <c r="Z441">
        <v>1.8508050000000001E-3</v>
      </c>
      <c r="AA441">
        <v>0.99441919999999995</v>
      </c>
      <c r="AB441">
        <v>29</v>
      </c>
      <c r="AC441">
        <v>47.067399999999999</v>
      </c>
      <c r="AD441">
        <v>-1.0604059442335001</v>
      </c>
      <c r="AE441">
        <v>4.6364999999999501</v>
      </c>
      <c r="AF441">
        <v>-5.0134978894076303</v>
      </c>
      <c r="AG441">
        <v>-1.0604059442335001</v>
      </c>
      <c r="AH441">
        <v>47.004838974909198</v>
      </c>
      <c r="AI441">
        <v>91.285058874216105</v>
      </c>
      <c r="AJ441">
        <v>96.088104396684798</v>
      </c>
      <c r="AK441">
        <v>47.283342827160702</v>
      </c>
      <c r="AL441">
        <v>78.5416005660297</v>
      </c>
      <c r="AM441">
        <v>95.526105227028793</v>
      </c>
      <c r="AN441">
        <v>1.0000000448637201</v>
      </c>
    </row>
    <row r="442" spans="1:40" x14ac:dyDescent="0.25">
      <c r="A442" t="str">
        <f>"20190304155024764"</f>
        <v>20190304155024764</v>
      </c>
      <c r="B442" t="str">
        <f>"1551685824756822"</f>
        <v>1551685824756822</v>
      </c>
      <c r="C442" t="s">
        <v>40</v>
      </c>
      <c r="D442">
        <v>5.229762</v>
      </c>
      <c r="E442">
        <v>0.4925292</v>
      </c>
      <c r="F442" t="s">
        <v>41</v>
      </c>
      <c r="G442">
        <v>-372.38670000000002</v>
      </c>
      <c r="H442" s="1">
        <v>-3.6033350000000002E-6</v>
      </c>
      <c r="I442">
        <v>370.95030000000003</v>
      </c>
      <c r="J442">
        <v>-406.1927</v>
      </c>
      <c r="K442">
        <v>1.06040499999999</v>
      </c>
      <c r="L442">
        <v>367.6447</v>
      </c>
      <c r="M442">
        <v>0.99990900000000005</v>
      </c>
      <c r="N442">
        <v>-1.0955390000000001E-2</v>
      </c>
      <c r="O442">
        <v>-7.8801619999999996E-3</v>
      </c>
      <c r="P442">
        <v>0.97837510000000005</v>
      </c>
      <c r="Q442">
        <v>0.18781719999999999</v>
      </c>
      <c r="R442">
        <v>8.6643460000000005E-2</v>
      </c>
      <c r="S442">
        <v>3.0584410000000002</v>
      </c>
      <c r="T442">
        <v>-9.5128889999999994E-2</v>
      </c>
      <c r="U442">
        <v>0.29635620000000001</v>
      </c>
      <c r="V442">
        <v>-9.441302E-2</v>
      </c>
      <c r="W442">
        <v>0.1984872</v>
      </c>
      <c r="X442">
        <v>0.97554549999999995</v>
      </c>
      <c r="Y442">
        <v>-0.1042177</v>
      </c>
      <c r="Z442">
        <v>2.3473959999999999E-3</v>
      </c>
      <c r="AA442">
        <v>0.99455170000000004</v>
      </c>
      <c r="AB442">
        <v>29</v>
      </c>
      <c r="AC442">
        <v>33.805999999999898</v>
      </c>
      <c r="AD442">
        <v>-1.06040860333499</v>
      </c>
      <c r="AE442">
        <v>3.3056000000000201</v>
      </c>
      <c r="AF442">
        <v>-3.56843228717146</v>
      </c>
      <c r="AG442">
        <v>-1.06040860333499</v>
      </c>
      <c r="AH442">
        <v>33.746011156971697</v>
      </c>
      <c r="AI442">
        <v>91.789853615608493</v>
      </c>
      <c r="AJ442">
        <v>96.036242959986495</v>
      </c>
      <c r="AK442">
        <v>33.9507208229901</v>
      </c>
      <c r="AL442">
        <v>78.551491520250806</v>
      </c>
      <c r="AM442">
        <v>95.527853836300096</v>
      </c>
      <c r="AN442">
        <v>1.0000000047398001</v>
      </c>
    </row>
    <row r="443" spans="1:40" x14ac:dyDescent="0.25">
      <c r="A443" t="str">
        <f>"20190304155024776"</f>
        <v>20190304155024776</v>
      </c>
      <c r="B443" t="str">
        <f>"1551685824766582"</f>
        <v>1551685824766582</v>
      </c>
      <c r="C443" t="s">
        <v>40</v>
      </c>
      <c r="D443">
        <v>5.4132480000000003</v>
      </c>
      <c r="E443">
        <v>0.49225439999999998</v>
      </c>
      <c r="F443" t="s">
        <v>41</v>
      </c>
      <c r="G443">
        <v>-373.33010000000002</v>
      </c>
      <c r="H443" s="1">
        <v>-3.222806E-6</v>
      </c>
      <c r="I443">
        <v>371.04109999999997</v>
      </c>
      <c r="J443">
        <v>-406.02420000000001</v>
      </c>
      <c r="K443">
        <v>1.06040499999999</v>
      </c>
      <c r="L443">
        <v>367.64359999999999</v>
      </c>
      <c r="M443">
        <v>0.99990990000000002</v>
      </c>
      <c r="N443">
        <v>-1.0954999999999999E-2</v>
      </c>
      <c r="O443">
        <v>-7.77073E-3</v>
      </c>
      <c r="P443">
        <v>0.9783906</v>
      </c>
      <c r="Q443">
        <v>0.18771479999999999</v>
      </c>
      <c r="R443">
        <v>8.6689009999999997E-2</v>
      </c>
      <c r="S443">
        <v>3.0572810000000001</v>
      </c>
      <c r="T443">
        <v>-9.8651890000000006E-2</v>
      </c>
      <c r="U443">
        <v>0.31597900000000001</v>
      </c>
      <c r="V443">
        <v>-9.4351290000000004E-2</v>
      </c>
      <c r="W443">
        <v>0.19838439999999999</v>
      </c>
      <c r="X443">
        <v>0.97557240000000001</v>
      </c>
      <c r="Y443">
        <v>-0.1104541</v>
      </c>
      <c r="Z443">
        <v>2.5488669999999998E-3</v>
      </c>
      <c r="AA443">
        <v>0.99387789999999998</v>
      </c>
      <c r="AB443">
        <v>29</v>
      </c>
      <c r="AC443">
        <v>32.694099999999899</v>
      </c>
      <c r="AD443">
        <v>-1.0604082228059999</v>
      </c>
      <c r="AE443">
        <v>3.3974999999999702</v>
      </c>
      <c r="AF443">
        <v>-3.6476733695128298</v>
      </c>
      <c r="AG443">
        <v>-1.0604082228059999</v>
      </c>
      <c r="AH443">
        <v>32.632747889473897</v>
      </c>
      <c r="AI443">
        <v>91.849672303258302</v>
      </c>
      <c r="AJ443">
        <v>96.378019759193705</v>
      </c>
      <c r="AK443">
        <v>32.853100636433297</v>
      </c>
      <c r="AL443">
        <v>78.557501230787807</v>
      </c>
      <c r="AM443">
        <v>95.524110546958099</v>
      </c>
      <c r="AN443">
        <v>1.0000000218648899</v>
      </c>
    </row>
    <row r="444" spans="1:40" x14ac:dyDescent="0.25">
      <c r="A444" t="str">
        <f>"20190304155024789"</f>
        <v>20190304155024789</v>
      </c>
      <c r="B444" t="str">
        <f>"1551685824777319"</f>
        <v>1551685824777319</v>
      </c>
      <c r="C444" t="s">
        <v>40</v>
      </c>
      <c r="D444">
        <v>5.2675989999999997</v>
      </c>
      <c r="E444">
        <v>0.49294209999999999</v>
      </c>
      <c r="F444" t="s">
        <v>41</v>
      </c>
      <c r="G444">
        <v>-375.43740000000003</v>
      </c>
      <c r="H444" s="1">
        <v>-2.2613470000000001E-6</v>
      </c>
      <c r="I444">
        <v>370.8252</v>
      </c>
      <c r="J444">
        <v>-405.87180000000001</v>
      </c>
      <c r="K444">
        <v>1.06040499999999</v>
      </c>
      <c r="L444">
        <v>367.64249999999998</v>
      </c>
      <c r="M444">
        <v>0.99991059999999998</v>
      </c>
      <c r="N444">
        <v>-1.0954780000000001E-2</v>
      </c>
      <c r="O444">
        <v>-7.67155099999999E-3</v>
      </c>
      <c r="P444">
        <v>0.97837339999999995</v>
      </c>
      <c r="Q444">
        <v>0.18781999999999999</v>
      </c>
      <c r="R444">
        <v>8.6654330000000002E-2</v>
      </c>
      <c r="S444">
        <v>3.058411</v>
      </c>
      <c r="T444">
        <v>-0.1060309</v>
      </c>
      <c r="U444">
        <v>0.31814579999999998</v>
      </c>
      <c r="V444">
        <v>-9.4219910000000004E-2</v>
      </c>
      <c r="W444">
        <v>0.19848950000000001</v>
      </c>
      <c r="X444">
        <v>0.97556370000000003</v>
      </c>
      <c r="Y444">
        <v>-0.11100359999999999</v>
      </c>
      <c r="Z444">
        <v>2.7097250000000001E-3</v>
      </c>
      <c r="AA444">
        <v>0.99381629999999999</v>
      </c>
      <c r="AB444">
        <v>29</v>
      </c>
      <c r="AC444">
        <v>30.434399999999901</v>
      </c>
      <c r="AD444">
        <v>-1.0604072613469999</v>
      </c>
      <c r="AE444">
        <v>3.1827000000000099</v>
      </c>
      <c r="AF444">
        <v>-3.4120020517456902</v>
      </c>
      <c r="AG444">
        <v>-1.0604072613469999</v>
      </c>
      <c r="AH444">
        <v>30.372613355139901</v>
      </c>
      <c r="AI444">
        <v>91.987081939601694</v>
      </c>
      <c r="AJ444">
        <v>96.409627012625904</v>
      </c>
      <c r="AK444">
        <v>30.582051330508499</v>
      </c>
      <c r="AL444">
        <v>78.551357043430599</v>
      </c>
      <c r="AM444">
        <v>95.516514840598404</v>
      </c>
      <c r="AN444">
        <v>1.00000000290417</v>
      </c>
    </row>
    <row r="445" spans="1:40" x14ac:dyDescent="0.25">
      <c r="A445" t="str">
        <f>"20190304155024801"</f>
        <v>20190304155024801</v>
      </c>
      <c r="B445" t="str">
        <f>"1551685824796838"</f>
        <v>1551685824796838</v>
      </c>
      <c r="C445" t="s">
        <v>40</v>
      </c>
      <c r="D445">
        <v>5.2672210000000002</v>
      </c>
      <c r="E445">
        <v>0.49361549999999998</v>
      </c>
      <c r="F445" t="s">
        <v>41</v>
      </c>
      <c r="G445">
        <v>-376.64449999999999</v>
      </c>
      <c r="H445" s="1">
        <v>-1.6908660000000001E-6</v>
      </c>
      <c r="I445">
        <v>370.6275</v>
      </c>
      <c r="J445">
        <v>-405.70949999999999</v>
      </c>
      <c r="K445">
        <v>1.0604039999999999</v>
      </c>
      <c r="L445">
        <v>367.6413</v>
      </c>
      <c r="M445">
        <v>0.99991140000000001</v>
      </c>
      <c r="N445">
        <v>-1.095483E-2</v>
      </c>
      <c r="O445">
        <v>-7.5662919999999996E-3</v>
      </c>
      <c r="P445">
        <v>0.97835899999999998</v>
      </c>
      <c r="Q445">
        <v>0.18772539999999999</v>
      </c>
      <c r="R445">
        <v>8.7022710000000003E-2</v>
      </c>
      <c r="S445">
        <v>3.0599669999999999</v>
      </c>
      <c r="T445">
        <v>-0.1110197</v>
      </c>
      <c r="U445">
        <v>0.31253049999999999</v>
      </c>
      <c r="V445">
        <v>-9.4485050000000001E-2</v>
      </c>
      <c r="W445">
        <v>0.19839509999999999</v>
      </c>
      <c r="X445">
        <v>0.97555729999999996</v>
      </c>
      <c r="Y445">
        <v>-0.1090363</v>
      </c>
      <c r="Z445">
        <v>2.7623639999999998E-3</v>
      </c>
      <c r="AA445">
        <v>0.99403390000000003</v>
      </c>
      <c r="AB445">
        <v>29</v>
      </c>
      <c r="AC445">
        <v>29.065000000000001</v>
      </c>
      <c r="AD445">
        <v>-1.060405690866</v>
      </c>
      <c r="AE445">
        <v>2.98619999999999</v>
      </c>
      <c r="AF445">
        <v>-3.2018246176750802</v>
      </c>
      <c r="AG445">
        <v>-1.060405690866</v>
      </c>
      <c r="AH445">
        <v>29.003369625565501</v>
      </c>
      <c r="AI445">
        <v>92.081252465547806</v>
      </c>
      <c r="AJ445">
        <v>96.299654160456598</v>
      </c>
      <c r="AK445">
        <v>29.198828585214699</v>
      </c>
      <c r="AL445">
        <v>78.556875977966598</v>
      </c>
      <c r="AM445">
        <v>95.531978520806305</v>
      </c>
      <c r="AN445">
        <v>1.0000000429803999</v>
      </c>
    </row>
    <row r="446" spans="1:40" x14ac:dyDescent="0.25">
      <c r="A446" t="str">
        <f>"20190304155024819"</f>
        <v>20190304155024819</v>
      </c>
      <c r="B446" t="str">
        <f>"1551685824816865"</f>
        <v>1551685824816865</v>
      </c>
      <c r="C446" t="s">
        <v>40</v>
      </c>
      <c r="D446">
        <v>5.3706849999999999</v>
      </c>
      <c r="E446">
        <v>0.49474079999999898</v>
      </c>
      <c r="F446" t="s">
        <v>41</v>
      </c>
      <c r="G446">
        <v>-379.0213</v>
      </c>
      <c r="H446" s="1">
        <v>-5.9148689999999999E-7</v>
      </c>
      <c r="I446">
        <v>370.32780000000002</v>
      </c>
      <c r="J446">
        <v>-405.47899999999998</v>
      </c>
      <c r="K446">
        <v>1.06040499999999</v>
      </c>
      <c r="L446">
        <v>367.6397</v>
      </c>
      <c r="M446">
        <v>0.99991260000000004</v>
      </c>
      <c r="N446">
        <v>-1.095518E-2</v>
      </c>
      <c r="O446">
        <v>-7.4168089999999999E-3</v>
      </c>
      <c r="P446">
        <v>0.97817209999999999</v>
      </c>
      <c r="Q446">
        <v>0.18843969999999999</v>
      </c>
      <c r="R446">
        <v>8.7579470000000006E-2</v>
      </c>
      <c r="S446">
        <v>3.0622859999999998</v>
      </c>
      <c r="T446">
        <v>-0.1216737</v>
      </c>
      <c r="U446">
        <v>0.30825809999999998</v>
      </c>
      <c r="V446">
        <v>-9.4894829999999999E-2</v>
      </c>
      <c r="W446">
        <v>0.19910729999999999</v>
      </c>
      <c r="X446">
        <v>0.97537240000000003</v>
      </c>
      <c r="Y446">
        <v>-0.10742350000000001</v>
      </c>
      <c r="Z446">
        <v>2.9309689999999998E-3</v>
      </c>
      <c r="AA446">
        <v>0.99420909999999996</v>
      </c>
      <c r="AB446">
        <v>29</v>
      </c>
      <c r="AC446">
        <v>26.457699999999999</v>
      </c>
      <c r="AD446">
        <v>-1.06040559148689</v>
      </c>
      <c r="AE446">
        <v>2.6881000000000199</v>
      </c>
      <c r="AF446">
        <v>-2.8796909903540699</v>
      </c>
      <c r="AG446">
        <v>-1.06040559148689</v>
      </c>
      <c r="AH446">
        <v>26.395067394798598</v>
      </c>
      <c r="AI446">
        <v>92.2870293846903</v>
      </c>
      <c r="AJ446">
        <v>96.226320507055306</v>
      </c>
      <c r="AK446">
        <v>26.572855755344499</v>
      </c>
      <c r="AL446">
        <v>78.515239145674002</v>
      </c>
      <c r="AM446">
        <v>95.556867442486094</v>
      </c>
      <c r="AN446">
        <v>1.0000000321778799</v>
      </c>
    </row>
    <row r="447" spans="1:40" x14ac:dyDescent="0.25">
      <c r="A447" t="str">
        <f>"20190304155024834"</f>
        <v>20190304155024834</v>
      </c>
      <c r="B447" t="str">
        <f>"1551685824827603"</f>
        <v>1551685824827603</v>
      </c>
      <c r="C447" t="s">
        <v>40</v>
      </c>
      <c r="D447">
        <v>5.305504</v>
      </c>
      <c r="E447">
        <v>0.49448880000000001</v>
      </c>
      <c r="F447" t="s">
        <v>41</v>
      </c>
      <c r="G447">
        <v>-381.34410000000003</v>
      </c>
      <c r="H447" s="1">
        <v>-3.800619E-6</v>
      </c>
      <c r="I447">
        <v>370.01060000000001</v>
      </c>
      <c r="J447">
        <v>-405.29649999999998</v>
      </c>
      <c r="K447">
        <v>1.06040499999999</v>
      </c>
      <c r="L447">
        <v>367.63850000000002</v>
      </c>
      <c r="M447">
        <v>0.9999133</v>
      </c>
      <c r="N447">
        <v>-1.0955690000000001E-2</v>
      </c>
      <c r="O447">
        <v>-7.2984390000000003E-3</v>
      </c>
      <c r="P447">
        <v>0.97817480000000001</v>
      </c>
      <c r="Q447">
        <v>0.18830710000000001</v>
      </c>
      <c r="R447">
        <v>8.7832160000000006E-2</v>
      </c>
      <c r="S447">
        <v>3.0659179999999999</v>
      </c>
      <c r="T447">
        <v>-0.13470550000000001</v>
      </c>
      <c r="U447">
        <v>0.301178</v>
      </c>
      <c r="V447">
        <v>-9.5031379999999999E-2</v>
      </c>
      <c r="W447">
        <v>0.1989755</v>
      </c>
      <c r="X447">
        <v>0.97538599999999998</v>
      </c>
      <c r="Y447">
        <v>-0.1048955</v>
      </c>
      <c r="Z447">
        <v>3.1141139999999999E-3</v>
      </c>
      <c r="AA447">
        <v>0.99447830000000004</v>
      </c>
      <c r="AB447">
        <v>29</v>
      </c>
      <c r="AC447">
        <v>23.952399999999901</v>
      </c>
      <c r="AD447">
        <v>-1.06040880061899</v>
      </c>
      <c r="AE447">
        <v>2.3720999999999801</v>
      </c>
      <c r="AF447">
        <v>-2.5419287391523202</v>
      </c>
      <c r="AG447">
        <v>-1.06040880061899</v>
      </c>
      <c r="AH447">
        <v>23.888083209777601</v>
      </c>
      <c r="AI447">
        <v>92.527480790198595</v>
      </c>
      <c r="AJ447">
        <v>96.073982076223402</v>
      </c>
      <c r="AK447">
        <v>24.0463383486263</v>
      </c>
      <c r="AL447">
        <v>78.522944898260803</v>
      </c>
      <c r="AM447">
        <v>95.564736300974999</v>
      </c>
      <c r="AN447">
        <v>1.00000003089047</v>
      </c>
    </row>
    <row r="448" spans="1:40" x14ac:dyDescent="0.25">
      <c r="A448" t="str">
        <f>"20190304155024845"</f>
        <v>20190304155024845</v>
      </c>
      <c r="B448" t="str">
        <f>"1551685824837361"</f>
        <v>1551685824837361</v>
      </c>
      <c r="C448" t="s">
        <v>40</v>
      </c>
      <c r="D448">
        <v>6.8836360000000001</v>
      </c>
      <c r="E448">
        <v>0.49487049999999999</v>
      </c>
      <c r="F448" t="s">
        <v>41</v>
      </c>
      <c r="G448">
        <v>-381.42700000000002</v>
      </c>
      <c r="H448" s="1">
        <v>-3.762932E-6</v>
      </c>
      <c r="I448">
        <v>370.0027</v>
      </c>
      <c r="J448">
        <v>-405.14359999999999</v>
      </c>
      <c r="K448">
        <v>1.0604039999999999</v>
      </c>
      <c r="L448">
        <v>367.63749999999999</v>
      </c>
      <c r="M448">
        <v>0.99991410000000003</v>
      </c>
      <c r="N448">
        <v>-1.0956260000000001E-2</v>
      </c>
      <c r="O448">
        <v>-7.1994980000000004E-3</v>
      </c>
      <c r="P448">
        <v>0.97818850000000002</v>
      </c>
      <c r="Q448">
        <v>0.18817390000000001</v>
      </c>
      <c r="R448">
        <v>8.7965180000000004E-2</v>
      </c>
      <c r="S448">
        <v>3.065887</v>
      </c>
      <c r="T448">
        <v>-0.13620270000000001</v>
      </c>
      <c r="U448">
        <v>0.30368040000000002</v>
      </c>
      <c r="V448">
        <v>-9.5068420000000001E-2</v>
      </c>
      <c r="W448">
        <v>0.19884279999999999</v>
      </c>
      <c r="X448">
        <v>0.97540939999999998</v>
      </c>
      <c r="Y448">
        <v>-0.105598499999999</v>
      </c>
      <c r="Z448">
        <v>3.1592870000000002E-3</v>
      </c>
      <c r="AA448">
        <v>0.99440379999999995</v>
      </c>
      <c r="AB448">
        <v>29</v>
      </c>
      <c r="AC448">
        <v>23.7166</v>
      </c>
      <c r="AD448">
        <v>-1.0604077629319999</v>
      </c>
      <c r="AE448">
        <v>2.36520000000001</v>
      </c>
      <c r="AF448">
        <v>-2.53088680534412</v>
      </c>
      <c r="AG448">
        <v>-1.0604077629319999</v>
      </c>
      <c r="AH448">
        <v>23.652137941239602</v>
      </c>
      <c r="AI448">
        <v>92.552498416195206</v>
      </c>
      <c r="AJ448">
        <v>96.107669998644894</v>
      </c>
      <c r="AK448">
        <v>23.8107849899279</v>
      </c>
      <c r="AL448">
        <v>78.530702487696303</v>
      </c>
      <c r="AM448">
        <v>95.566758913705598</v>
      </c>
      <c r="AN448">
        <v>0.99999998060074702</v>
      </c>
    </row>
    <row r="449" spans="1:40" x14ac:dyDescent="0.25">
      <c r="A449" t="str">
        <f>"20190304155024863"</f>
        <v>20190304155024863</v>
      </c>
      <c r="B449" t="str">
        <f>"1551685824856881"</f>
        <v>1551685824856881</v>
      </c>
      <c r="C449" t="s">
        <v>40</v>
      </c>
      <c r="D449">
        <v>5.2664739999999997</v>
      </c>
      <c r="E449">
        <v>0.49466490000000002</v>
      </c>
      <c r="F449" t="s">
        <v>41</v>
      </c>
      <c r="G449">
        <v>-380.19740000000002</v>
      </c>
      <c r="H449" s="1">
        <v>-4.2929099999999999E-6</v>
      </c>
      <c r="I449">
        <v>370.09010000000001</v>
      </c>
      <c r="J449">
        <v>-404.90679999999998</v>
      </c>
      <c r="K449">
        <v>1.0604</v>
      </c>
      <c r="L449">
        <v>367.63600000000002</v>
      </c>
      <c r="M449">
        <v>0.9999152</v>
      </c>
      <c r="N449">
        <v>-1.0957430000000001E-2</v>
      </c>
      <c r="O449">
        <v>-7.0456109999999898E-3</v>
      </c>
      <c r="P449">
        <v>0.97820110000000005</v>
      </c>
      <c r="Q449">
        <v>0.18797810000000001</v>
      </c>
      <c r="R449">
        <v>8.8244009999999998E-2</v>
      </c>
      <c r="S449">
        <v>3.0648499999999999</v>
      </c>
      <c r="T449">
        <v>-0.1302797</v>
      </c>
      <c r="U449">
        <v>0.301330599999999</v>
      </c>
      <c r="V449">
        <v>-9.5195959999999996E-2</v>
      </c>
      <c r="W449">
        <v>0.19864889999999999</v>
      </c>
      <c r="X449">
        <v>0.97543650000000004</v>
      </c>
      <c r="Y449">
        <v>-0.1047347</v>
      </c>
      <c r="Z449">
        <v>3.0168740000000001E-3</v>
      </c>
      <c r="AA449">
        <v>0.99449560000000004</v>
      </c>
      <c r="AB449">
        <v>29</v>
      </c>
      <c r="AC449">
        <v>24.709399999999899</v>
      </c>
      <c r="AD449">
        <v>-1.0604042929099999</v>
      </c>
      <c r="AE449">
        <v>2.4541000000000301</v>
      </c>
      <c r="AF449">
        <v>-2.6233581008120899</v>
      </c>
      <c r="AG449">
        <v>-1.0604042929099999</v>
      </c>
      <c r="AH449">
        <v>24.6465468177582</v>
      </c>
      <c r="AI449">
        <v>92.449779368176905</v>
      </c>
      <c r="AJ449">
        <v>96.075640145123103</v>
      </c>
      <c r="AK449">
        <v>24.8084408020631</v>
      </c>
      <c r="AL449">
        <v>78.542038628412598</v>
      </c>
      <c r="AM449">
        <v>95.574026163178203</v>
      </c>
      <c r="AN449">
        <v>1.0000000109018901</v>
      </c>
    </row>
    <row r="450" spans="1:40" x14ac:dyDescent="0.25">
      <c r="A450" t="str">
        <f>"20190304155024875"</f>
        <v>20190304155024875</v>
      </c>
      <c r="B450" t="str">
        <f>"1551685824867618"</f>
        <v>1551685824867618</v>
      </c>
      <c r="C450" t="s">
        <v>40</v>
      </c>
      <c r="D450">
        <v>5.2694700000000001</v>
      </c>
      <c r="E450">
        <v>0.4949868</v>
      </c>
      <c r="F450" t="s">
        <v>41</v>
      </c>
      <c r="G450">
        <v>-380.60410000000002</v>
      </c>
      <c r="H450" s="1">
        <v>-4.1273969999999998E-6</v>
      </c>
      <c r="I450">
        <v>370.04570000000001</v>
      </c>
      <c r="J450">
        <v>-404.76069999999999</v>
      </c>
      <c r="K450">
        <v>1.0603990000000001</v>
      </c>
      <c r="L450">
        <v>367.63499999999999</v>
      </c>
      <c r="M450">
        <v>0.99991580000000002</v>
      </c>
      <c r="N450">
        <v>-1.0958290000000001E-2</v>
      </c>
      <c r="O450">
        <v>-6.9506079999999996E-3</v>
      </c>
      <c r="P450">
        <v>0.97827050000000004</v>
      </c>
      <c r="Q450">
        <v>0.1874999</v>
      </c>
      <c r="R450">
        <v>8.8491920000000002E-2</v>
      </c>
      <c r="S450">
        <v>3.0651549999999999</v>
      </c>
      <c r="T450">
        <v>-0.13374220000000001</v>
      </c>
      <c r="U450">
        <v>0.30392459999999999</v>
      </c>
      <c r="V450">
        <v>-9.5351859999999997E-2</v>
      </c>
      <c r="W450">
        <v>0.19817219999999999</v>
      </c>
      <c r="X450">
        <v>0.9755182</v>
      </c>
      <c r="Y450">
        <v>-0.10545739999999899</v>
      </c>
      <c r="Z450">
        <v>3.10006E-3</v>
      </c>
      <c r="AA450">
        <v>0.99441900000000005</v>
      </c>
      <c r="AB450">
        <v>29</v>
      </c>
      <c r="AC450">
        <v>24.156599999999901</v>
      </c>
      <c r="AD450">
        <v>-1.0604031273969901</v>
      </c>
      <c r="AE450">
        <v>2.4107000000000198</v>
      </c>
      <c r="AF450">
        <v>-2.5736445186591599</v>
      </c>
      <c r="AG450">
        <v>-1.0604031273969901</v>
      </c>
      <c r="AH450">
        <v>24.0932908135775</v>
      </c>
      <c r="AI450">
        <v>92.505859692969807</v>
      </c>
      <c r="AJ450">
        <v>96.097212638006198</v>
      </c>
      <c r="AK450">
        <v>24.2535515570119</v>
      </c>
      <c r="AL450">
        <v>78.569905171022697</v>
      </c>
      <c r="AM450">
        <v>95.582632343373007</v>
      </c>
      <c r="AN450">
        <v>0.99999997829476905</v>
      </c>
    </row>
    <row r="451" spans="1:40" x14ac:dyDescent="0.25">
      <c r="A451" t="str">
        <f>"20190304155024897"</f>
        <v>20190304155024897</v>
      </c>
      <c r="B451" t="str">
        <f>"1551685824887137"</f>
        <v>1551685824887137</v>
      </c>
      <c r="C451" t="s">
        <v>40</v>
      </c>
      <c r="D451">
        <v>5.4717449999999896</v>
      </c>
      <c r="E451">
        <v>0.49511850000000002</v>
      </c>
      <c r="F451" t="s">
        <v>41</v>
      </c>
      <c r="G451">
        <v>-380.98289999999997</v>
      </c>
      <c r="H451" s="1">
        <v>-3.9468129999999998E-6</v>
      </c>
      <c r="I451">
        <v>369.97770000000003</v>
      </c>
      <c r="J451">
        <v>-404.47489999999999</v>
      </c>
      <c r="K451">
        <v>1.0603940000000001</v>
      </c>
      <c r="L451">
        <v>367.63330000000002</v>
      </c>
      <c r="M451">
        <v>0.9999171</v>
      </c>
      <c r="N451">
        <v>-1.096023E-2</v>
      </c>
      <c r="O451">
        <v>-6.7654880000000001E-3</v>
      </c>
      <c r="P451">
        <v>0.97840179999999999</v>
      </c>
      <c r="Q451">
        <v>0.1866833</v>
      </c>
      <c r="R451">
        <v>8.8766620000000004E-2</v>
      </c>
      <c r="S451">
        <v>3.0654910000000002</v>
      </c>
      <c r="T451">
        <v>-0.1367091</v>
      </c>
      <c r="U451">
        <v>0.30203249999999998</v>
      </c>
      <c r="V451">
        <v>-9.5446420000000004E-2</v>
      </c>
      <c r="W451">
        <v>0.19735929999999999</v>
      </c>
      <c r="X451">
        <v>0.97567369999999998</v>
      </c>
      <c r="Y451">
        <v>-0.1046506</v>
      </c>
      <c r="Z451">
        <v>3.1288940000000001E-3</v>
      </c>
      <c r="AA451">
        <v>0.99450419999999995</v>
      </c>
      <c r="AB451">
        <v>29</v>
      </c>
      <c r="AC451">
        <v>23.492000000000001</v>
      </c>
      <c r="AD451">
        <v>-1.060397946813</v>
      </c>
      <c r="AE451">
        <v>2.3443999999999998</v>
      </c>
      <c r="AF451">
        <v>-2.4982507284619402</v>
      </c>
      <c r="AG451">
        <v>-1.060397946813</v>
      </c>
      <c r="AH451">
        <v>23.428335796126099</v>
      </c>
      <c r="AI451">
        <v>92.576925738033793</v>
      </c>
      <c r="AJ451">
        <v>96.086661991230002</v>
      </c>
      <c r="AK451">
        <v>23.585008346064001</v>
      </c>
      <c r="AL451">
        <v>78.617418916150896</v>
      </c>
      <c r="AM451">
        <v>95.587248604972203</v>
      </c>
      <c r="AN451">
        <v>0.99999994062949604</v>
      </c>
    </row>
    <row r="452" spans="1:40" x14ac:dyDescent="0.25">
      <c r="A452" t="str">
        <f>"20190304155024908"</f>
        <v>20190304155024908</v>
      </c>
      <c r="B452" t="str">
        <f>"1551685824896897"</f>
        <v>1551685824896897</v>
      </c>
      <c r="C452" t="s">
        <v>40</v>
      </c>
      <c r="D452">
        <v>5.245959</v>
      </c>
      <c r="E452">
        <v>0.49522450000000001</v>
      </c>
      <c r="F452" t="s">
        <v>41</v>
      </c>
      <c r="G452">
        <v>-381.54910000000001</v>
      </c>
      <c r="H452" s="1">
        <v>-3.6797020000000002E-6</v>
      </c>
      <c r="I452">
        <v>369.88670000000002</v>
      </c>
      <c r="J452">
        <v>-404.33330000000001</v>
      </c>
      <c r="K452">
        <v>1.060395</v>
      </c>
      <c r="L452">
        <v>367.63240000000002</v>
      </c>
      <c r="M452">
        <v>0.99991779999999997</v>
      </c>
      <c r="N452">
        <v>-1.096126E-2</v>
      </c>
      <c r="O452">
        <v>-6.6738209999999999E-3</v>
      </c>
      <c r="P452">
        <v>0.9783944</v>
      </c>
      <c r="Q452">
        <v>0.18665870000000001</v>
      </c>
      <c r="R452">
        <v>8.8899110000000003E-2</v>
      </c>
      <c r="S452">
        <v>3.0659179999999999</v>
      </c>
      <c r="T452">
        <v>-0.14180889999999999</v>
      </c>
      <c r="U452">
        <v>0.30136109999999999</v>
      </c>
      <c r="V452">
        <v>-9.5489229999999994E-2</v>
      </c>
      <c r="W452">
        <v>0.19733500000000001</v>
      </c>
      <c r="X452">
        <v>0.9756745</v>
      </c>
      <c r="Y452">
        <v>-0.1043215</v>
      </c>
      <c r="Z452">
        <v>3.2139059999999999E-3</v>
      </c>
      <c r="AA452">
        <v>0.99453840000000004</v>
      </c>
      <c r="AB452">
        <v>29</v>
      </c>
      <c r="AC452">
        <v>22.784199999999998</v>
      </c>
      <c r="AD452">
        <v>-1.060398679702</v>
      </c>
      <c r="AE452">
        <v>2.2543000000000002</v>
      </c>
      <c r="AF452">
        <v>-2.40116592448488</v>
      </c>
      <c r="AG452">
        <v>-1.060398679702</v>
      </c>
      <c r="AH452">
        <v>22.719911201196599</v>
      </c>
      <c r="AI452">
        <v>92.657428831130005</v>
      </c>
      <c r="AJ452">
        <v>96.032940004347196</v>
      </c>
      <c r="AK452">
        <v>22.871038632888599</v>
      </c>
      <c r="AL452">
        <v>78.618839964333006</v>
      </c>
      <c r="AM452">
        <v>95.589734197776906</v>
      </c>
      <c r="AN452">
        <v>1.0000000126106201</v>
      </c>
    </row>
    <row r="453" spans="1:40" x14ac:dyDescent="0.25">
      <c r="A453" t="str">
        <f>"20190304155024919"</f>
        <v>20190304155024919</v>
      </c>
      <c r="B453" t="str">
        <f>"1551685824916926"</f>
        <v>1551685824916926</v>
      </c>
      <c r="C453" t="s">
        <v>40</v>
      </c>
      <c r="D453">
        <v>5.1872350000000003</v>
      </c>
      <c r="E453">
        <v>0.49583650000000001</v>
      </c>
      <c r="F453" t="s">
        <v>41</v>
      </c>
      <c r="G453">
        <v>-381.52589999999998</v>
      </c>
      <c r="H453" s="1">
        <v>-3.685494E-6</v>
      </c>
      <c r="I453">
        <v>369.87099999999998</v>
      </c>
      <c r="J453">
        <v>-404.18349999999998</v>
      </c>
      <c r="K453">
        <v>1.060397</v>
      </c>
      <c r="L453">
        <v>367.63150000000002</v>
      </c>
      <c r="M453">
        <v>0.99991850000000004</v>
      </c>
      <c r="N453">
        <v>-1.096242E-2</v>
      </c>
      <c r="O453">
        <v>-6.5767919999999997E-3</v>
      </c>
      <c r="P453">
        <v>0.97834860000000001</v>
      </c>
      <c r="Q453">
        <v>0.18696750000000001</v>
      </c>
      <c r="R453">
        <v>8.8754150000000004E-2</v>
      </c>
      <c r="S453">
        <v>3.0661010000000002</v>
      </c>
      <c r="T453">
        <v>-0.1425534</v>
      </c>
      <c r="U453">
        <v>0.30096440000000002</v>
      </c>
      <c r="V453">
        <v>-9.5249180000000003E-2</v>
      </c>
      <c r="W453">
        <v>0.19764490000000001</v>
      </c>
      <c r="X453">
        <v>0.97563520000000004</v>
      </c>
      <c r="Y453">
        <v>-0.1040908</v>
      </c>
      <c r="Z453">
        <v>3.21799E-3</v>
      </c>
      <c r="AA453">
        <v>0.99456259999999996</v>
      </c>
      <c r="AB453">
        <v>29</v>
      </c>
      <c r="AC453">
        <v>22.657599999999999</v>
      </c>
      <c r="AD453">
        <v>-1.060400685494</v>
      </c>
      <c r="AE453">
        <v>2.2394999999999601</v>
      </c>
      <c r="AF453">
        <v>-2.3833050542853198</v>
      </c>
      <c r="AG453">
        <v>-1.060400685494</v>
      </c>
      <c r="AH453">
        <v>22.5933718599067</v>
      </c>
      <c r="AI453">
        <v>92.672351245426199</v>
      </c>
      <c r="AJ453">
        <v>96.021685395826097</v>
      </c>
      <c r="AK453">
        <v>22.743461579003402</v>
      </c>
      <c r="AL453">
        <v>78.600726873030993</v>
      </c>
      <c r="AM453">
        <v>95.575994032233297</v>
      </c>
      <c r="AN453">
        <v>0.99999997813286101</v>
      </c>
    </row>
    <row r="454" spans="1:40" x14ac:dyDescent="0.25">
      <c r="A454" t="str">
        <f>"20190304155024934"</f>
        <v>20190304155024934</v>
      </c>
      <c r="B454" t="str">
        <f>"1551685824927662"</f>
        <v>1551685824927662</v>
      </c>
      <c r="C454" t="s">
        <v>40</v>
      </c>
      <c r="D454">
        <v>5.2591460000000003</v>
      </c>
      <c r="E454">
        <v>0.49605549999999998</v>
      </c>
      <c r="F454" t="s">
        <v>41</v>
      </c>
      <c r="G454">
        <v>-380.90870000000001</v>
      </c>
      <c r="H454" s="1">
        <v>-3.9508049999999999E-6</v>
      </c>
      <c r="I454">
        <v>369.87299999999999</v>
      </c>
      <c r="J454">
        <v>-404.0095</v>
      </c>
      <c r="K454">
        <v>1.0604009999999999</v>
      </c>
      <c r="L454">
        <v>367.63040000000001</v>
      </c>
      <c r="M454">
        <v>0.99991920000000001</v>
      </c>
      <c r="N454">
        <v>-1.0963860000000001E-2</v>
      </c>
      <c r="O454">
        <v>-6.4637920000000003E-3</v>
      </c>
      <c r="P454">
        <v>0.97833559999999997</v>
      </c>
      <c r="Q454">
        <v>0.18700610000000001</v>
      </c>
      <c r="R454">
        <v>8.8818670000000002E-2</v>
      </c>
      <c r="S454">
        <v>3.066284</v>
      </c>
      <c r="T454">
        <v>-0.13969949999999901</v>
      </c>
      <c r="U454">
        <v>0.29531859999999999</v>
      </c>
      <c r="V454">
        <v>-9.5203250000000003E-2</v>
      </c>
      <c r="W454">
        <v>0.19768520000000001</v>
      </c>
      <c r="X454">
        <v>0.97563149999999998</v>
      </c>
      <c r="Y454">
        <v>-0.10216600000000001</v>
      </c>
      <c r="Z454">
        <v>3.105507E-3</v>
      </c>
      <c r="AA454">
        <v>0.99476249999999999</v>
      </c>
      <c r="AB454">
        <v>29</v>
      </c>
      <c r="AC454">
        <v>23.1007999999999</v>
      </c>
      <c r="AD454">
        <v>-1.060404950805</v>
      </c>
      <c r="AE454">
        <v>2.2426000000000301</v>
      </c>
      <c r="AF454">
        <v>-2.3868983310313698</v>
      </c>
      <c r="AG454">
        <v>-1.060404950805</v>
      </c>
      <c r="AH454">
        <v>23.0377307180479</v>
      </c>
      <c r="AI454">
        <v>92.621397763698397</v>
      </c>
      <c r="AJ454">
        <v>95.915208201356194</v>
      </c>
      <c r="AK454">
        <v>23.1853138632985</v>
      </c>
      <c r="AL454">
        <v>78.598371173950198</v>
      </c>
      <c r="AM454">
        <v>95.573343174585901</v>
      </c>
      <c r="AN454">
        <v>0.99999996045092499</v>
      </c>
    </row>
    <row r="455" spans="1:40" x14ac:dyDescent="0.25">
      <c r="A455" t="str">
        <f>"20190304155024950"</f>
        <v>20190304155024950</v>
      </c>
      <c r="B455" t="str">
        <f>"1551685824947184"</f>
        <v>1551685824947184</v>
      </c>
      <c r="C455" t="s">
        <v>40</v>
      </c>
      <c r="D455">
        <v>5.244046</v>
      </c>
      <c r="E455">
        <v>0.49587199999999998</v>
      </c>
      <c r="F455" t="s">
        <v>41</v>
      </c>
      <c r="G455">
        <v>-380.86610000000002</v>
      </c>
      <c r="H455" s="1">
        <v>-3.9622220000000001E-6</v>
      </c>
      <c r="I455">
        <v>369.84739999999999</v>
      </c>
      <c r="J455">
        <v>-403.80680000000001</v>
      </c>
      <c r="K455">
        <v>1.0604</v>
      </c>
      <c r="L455">
        <v>367.6293</v>
      </c>
      <c r="M455">
        <v>0.99991980000000003</v>
      </c>
      <c r="N455">
        <v>-1.09657E-2</v>
      </c>
      <c r="O455">
        <v>-6.3319609999999997E-3</v>
      </c>
      <c r="P455">
        <v>0.97829630000000001</v>
      </c>
      <c r="Q455">
        <v>0.18722839999999999</v>
      </c>
      <c r="R455">
        <v>8.8780590000000006E-2</v>
      </c>
      <c r="S455">
        <v>3.0666199999999999</v>
      </c>
      <c r="T455">
        <v>-0.14050879999999999</v>
      </c>
      <c r="U455">
        <v>0.29376219999999997</v>
      </c>
      <c r="V455">
        <v>-9.5036040000000002E-2</v>
      </c>
      <c r="W455">
        <v>0.19790859999999999</v>
      </c>
      <c r="X455">
        <v>0.97560259999999999</v>
      </c>
      <c r="Y455">
        <v>-0.10152369999999999</v>
      </c>
      <c r="Z455">
        <v>3.097696E-3</v>
      </c>
      <c r="AA455">
        <v>0.9948283</v>
      </c>
      <c r="AB455">
        <v>29</v>
      </c>
      <c r="AC455">
        <v>22.9407</v>
      </c>
      <c r="AD455">
        <v>-1.0604039622220001</v>
      </c>
      <c r="AE455">
        <v>2.21809999999999</v>
      </c>
      <c r="AF455">
        <v>-2.3583316719990099</v>
      </c>
      <c r="AG455">
        <v>-1.0604039622220001</v>
      </c>
      <c r="AH455">
        <v>22.8777657012823</v>
      </c>
      <c r="AI455">
        <v>92.639840005717602</v>
      </c>
      <c r="AJ455">
        <v>95.885490046776994</v>
      </c>
      <c r="AK455">
        <v>23.023430420356899</v>
      </c>
      <c r="AL455">
        <v>78.585314325055194</v>
      </c>
      <c r="AM455">
        <v>95.563779691959397</v>
      </c>
      <c r="AN455">
        <v>1.0000000479897899</v>
      </c>
    </row>
    <row r="456" spans="1:40" x14ac:dyDescent="0.25">
      <c r="A456" t="str">
        <f>"20190304155024964"</f>
        <v>20190304155024964</v>
      </c>
      <c r="B456" t="str">
        <f>"1551685824956942"</f>
        <v>1551685824956942</v>
      </c>
      <c r="C456" t="s">
        <v>40</v>
      </c>
      <c r="D456">
        <v>5.2784800000000001</v>
      </c>
      <c r="E456">
        <v>0.49593789999999999</v>
      </c>
      <c r="F456" t="s">
        <v>41</v>
      </c>
      <c r="G456">
        <v>-380.80849999999998</v>
      </c>
      <c r="H456" s="1">
        <v>-3.9856889999999997E-6</v>
      </c>
      <c r="I456">
        <v>369.84269999999998</v>
      </c>
      <c r="J456">
        <v>-403.6103</v>
      </c>
      <c r="K456">
        <v>1.060395</v>
      </c>
      <c r="L456">
        <v>367.62819999999999</v>
      </c>
      <c r="M456">
        <v>0.9999207</v>
      </c>
      <c r="N456">
        <v>-1.0967620000000001E-2</v>
      </c>
      <c r="O456">
        <v>-6.2048939999999999E-3</v>
      </c>
      <c r="P456">
        <v>0.97832160000000001</v>
      </c>
      <c r="Q456">
        <v>0.1871014</v>
      </c>
      <c r="R456">
        <v>8.8768799999999995E-2</v>
      </c>
      <c r="S456">
        <v>3.0668329999999999</v>
      </c>
      <c r="T456">
        <v>-0.14140529999999901</v>
      </c>
      <c r="U456">
        <v>0.29516599999999998</v>
      </c>
      <c r="V456">
        <v>-9.4900319999999996E-2</v>
      </c>
      <c r="W456">
        <v>0.19778419999999999</v>
      </c>
      <c r="X456">
        <v>0.97564099999999998</v>
      </c>
      <c r="Y456">
        <v>-0.10184</v>
      </c>
      <c r="Z456">
        <v>3.1187480000000002E-3</v>
      </c>
      <c r="AA456">
        <v>0.99479589999999996</v>
      </c>
      <c r="AB456">
        <v>29</v>
      </c>
      <c r="AC456">
        <v>22.8018</v>
      </c>
      <c r="AD456">
        <v>-1.0603989856889999</v>
      </c>
      <c r="AE456">
        <v>2.2144999999999802</v>
      </c>
      <c r="AF456">
        <v>-2.35091175709753</v>
      </c>
      <c r="AG456">
        <v>-1.0603989856889999</v>
      </c>
      <c r="AH456">
        <v>22.738901077389698</v>
      </c>
      <c r="AI456">
        <v>92.655843691694201</v>
      </c>
      <c r="AJ456">
        <v>95.902679861360994</v>
      </c>
      <c r="AK456">
        <v>22.8846860215696</v>
      </c>
      <c r="AL456">
        <v>78.592585220571394</v>
      </c>
      <c r="AM456">
        <v>95.555666559587706</v>
      </c>
      <c r="AN456">
        <v>1.00000001069337</v>
      </c>
    </row>
    <row r="457" spans="1:40" x14ac:dyDescent="0.25">
      <c r="A457" t="str">
        <f>"20190304155024987"</f>
        <v>20190304155024987</v>
      </c>
      <c r="B457" t="str">
        <f>"1551685824977439"</f>
        <v>1551685824977439</v>
      </c>
      <c r="C457" t="s">
        <v>40</v>
      </c>
      <c r="D457">
        <v>5.2670659999999998</v>
      </c>
      <c r="E457">
        <v>0.49616870000000002</v>
      </c>
      <c r="F457" t="s">
        <v>41</v>
      </c>
      <c r="G457">
        <v>-380.75099999999998</v>
      </c>
      <c r="H457" s="1">
        <v>-4.0045350000000003E-6</v>
      </c>
      <c r="I457">
        <v>369.82080000000002</v>
      </c>
      <c r="J457">
        <v>-403.32029999999997</v>
      </c>
      <c r="K457">
        <v>1.060395</v>
      </c>
      <c r="L457">
        <v>367.62650000000002</v>
      </c>
      <c r="M457">
        <v>0.99992190000000003</v>
      </c>
      <c r="N457">
        <v>-1.097062E-2</v>
      </c>
      <c r="O457">
        <v>-6.0169200000000003E-3</v>
      </c>
      <c r="P457">
        <v>0.97829359999999999</v>
      </c>
      <c r="Q457">
        <v>0.18722130000000001</v>
      </c>
      <c r="R457">
        <v>8.8826660000000002E-2</v>
      </c>
      <c r="S457">
        <v>3.0670169999999999</v>
      </c>
      <c r="T457">
        <v>-0.1422727</v>
      </c>
      <c r="U457">
        <v>0.29418949999999999</v>
      </c>
      <c r="V457">
        <v>-9.477418E-2</v>
      </c>
      <c r="W457">
        <v>0.19790669999999999</v>
      </c>
      <c r="X457">
        <v>0.97562839999999995</v>
      </c>
      <c r="Y457">
        <v>-0.1013327</v>
      </c>
      <c r="Z457">
        <v>3.113691E-3</v>
      </c>
      <c r="AA457">
        <v>0.9948477</v>
      </c>
      <c r="AB457">
        <v>29</v>
      </c>
      <c r="AC457">
        <v>22.569299999999998</v>
      </c>
      <c r="AD457">
        <v>-1.060399004535</v>
      </c>
      <c r="AE457">
        <v>2.1942999999999899</v>
      </c>
      <c r="AF457">
        <v>-2.3249817381460298</v>
      </c>
      <c r="AG457">
        <v>-1.060399004535</v>
      </c>
      <c r="AH457">
        <v>22.5064696985194</v>
      </c>
      <c r="AI457">
        <v>92.683254714025097</v>
      </c>
      <c r="AJ457">
        <v>95.897895100657607</v>
      </c>
      <c r="AK457">
        <v>22.651074244324601</v>
      </c>
      <c r="AL457">
        <v>78.585424724356798</v>
      </c>
      <c r="AM457">
        <v>95.548399372340995</v>
      </c>
      <c r="AN457">
        <v>0.99999999099306103</v>
      </c>
    </row>
    <row r="458" spans="1:40" x14ac:dyDescent="0.25">
      <c r="A458" t="str">
        <f>"20190304155024999"</f>
        <v>20190304155024999</v>
      </c>
      <c r="B458" t="str">
        <f>"1551685824996959"</f>
        <v>1551685824996959</v>
      </c>
      <c r="C458" t="s">
        <v>40</v>
      </c>
      <c r="D458">
        <v>5.2466269999999904</v>
      </c>
      <c r="E458">
        <v>0.4960658</v>
      </c>
      <c r="F458" t="s">
        <v>41</v>
      </c>
      <c r="G458">
        <v>-380.46660000000003</v>
      </c>
      <c r="H458" s="1">
        <v>-4.122663E-6</v>
      </c>
      <c r="I458">
        <v>369.80619999999999</v>
      </c>
      <c r="J458">
        <v>-403.15839999999997</v>
      </c>
      <c r="K458">
        <v>1.0603929999999999</v>
      </c>
      <c r="L458">
        <v>367.62569999999999</v>
      </c>
      <c r="M458">
        <v>0.99992230000000004</v>
      </c>
      <c r="N458">
        <v>-1.09723999999999E-2</v>
      </c>
      <c r="O458">
        <v>-5.9122630000000001E-3</v>
      </c>
      <c r="P458">
        <v>0.97827500000000001</v>
      </c>
      <c r="Q458">
        <v>0.18734980000000001</v>
      </c>
      <c r="R458">
        <v>8.8758710000000005E-2</v>
      </c>
      <c r="S458">
        <v>3.0672609999999998</v>
      </c>
      <c r="T458">
        <v>-0.142319</v>
      </c>
      <c r="U458">
        <v>0.29254150000000001</v>
      </c>
      <c r="V458">
        <v>-9.4603699999999999E-2</v>
      </c>
      <c r="W458">
        <v>0.19803660000000001</v>
      </c>
      <c r="X458">
        <v>0.9756186</v>
      </c>
      <c r="Y458">
        <v>-0.1006922</v>
      </c>
      <c r="Z458">
        <v>3.0924250000000002E-3</v>
      </c>
      <c r="AA458">
        <v>0.99491280000000004</v>
      </c>
      <c r="AB458">
        <v>29</v>
      </c>
      <c r="AC458">
        <v>22.691799999999901</v>
      </c>
      <c r="AD458">
        <v>-1.060397122663</v>
      </c>
      <c r="AE458">
        <v>2.1804999999999901</v>
      </c>
      <c r="AF458">
        <v>-2.3096323834767798</v>
      </c>
      <c r="AG458">
        <v>-1.060397122663</v>
      </c>
      <c r="AH458">
        <v>22.6295461657445</v>
      </c>
      <c r="AI458">
        <v>92.669013402965007</v>
      </c>
      <c r="AJ458">
        <v>95.827582451981399</v>
      </c>
      <c r="AK458">
        <v>22.771807206985599</v>
      </c>
      <c r="AL458">
        <v>78.577831868445003</v>
      </c>
      <c r="AM458">
        <v>95.538536298593996</v>
      </c>
      <c r="AN458">
        <v>1.0000000038296</v>
      </c>
    </row>
    <row r="459" spans="1:40" x14ac:dyDescent="0.25">
      <c r="A459" t="str">
        <f>"20190304155025012"</f>
        <v>20190304155025012</v>
      </c>
      <c r="B459" t="str">
        <f>"1551685825006719"</f>
        <v>1551685825006719</v>
      </c>
      <c r="C459" t="s">
        <v>40</v>
      </c>
      <c r="D459">
        <v>5.3203639999999996</v>
      </c>
      <c r="E459">
        <v>0.49608950000000002</v>
      </c>
      <c r="F459" t="s">
        <v>41</v>
      </c>
      <c r="G459">
        <v>-380.36540000000002</v>
      </c>
      <c r="H459" s="1">
        <v>-4.1654529999999999E-6</v>
      </c>
      <c r="I459">
        <v>369.80380000000002</v>
      </c>
      <c r="J459">
        <v>-402.99919999999997</v>
      </c>
      <c r="K459">
        <v>1.0603929999999999</v>
      </c>
      <c r="L459">
        <v>367.62479999999999</v>
      </c>
      <c r="M459">
        <v>0.99992300000000001</v>
      </c>
      <c r="N459">
        <v>-1.097417E-2</v>
      </c>
      <c r="O459">
        <v>-5.8091590000000004E-3</v>
      </c>
      <c r="P459">
        <v>0.97819750000000005</v>
      </c>
      <c r="Q459">
        <v>0.18751599999999999</v>
      </c>
      <c r="R459">
        <v>8.9263399999999896E-2</v>
      </c>
      <c r="S459">
        <v>3.0673219999999999</v>
      </c>
      <c r="T459">
        <v>-0.14269999999999999</v>
      </c>
      <c r="U459">
        <v>0.29312129999999997</v>
      </c>
      <c r="V459">
        <v>-9.5007460000000002E-2</v>
      </c>
      <c r="W459">
        <v>0.19820399999999999</v>
      </c>
      <c r="X459">
        <v>0.97554529999999995</v>
      </c>
      <c r="Y459">
        <v>-0.1007735</v>
      </c>
      <c r="Z459">
        <v>3.0980729999999998E-3</v>
      </c>
      <c r="AA459">
        <v>0.99490460000000003</v>
      </c>
      <c r="AB459">
        <v>29</v>
      </c>
      <c r="AC459">
        <v>22.633799999999901</v>
      </c>
      <c r="AD459">
        <v>-1.060397165453</v>
      </c>
      <c r="AE459">
        <v>2.17900000000003</v>
      </c>
      <c r="AF459">
        <v>-2.3054406489751398</v>
      </c>
      <c r="AG459">
        <v>-1.060397165453</v>
      </c>
      <c r="AH459">
        <v>22.571670686685898</v>
      </c>
      <c r="AI459">
        <v>92.675826613564297</v>
      </c>
      <c r="AJ459">
        <v>95.831891367147406</v>
      </c>
      <c r="AK459">
        <v>22.713868369844899</v>
      </c>
      <c r="AL459">
        <v>78.568045822289804</v>
      </c>
      <c r="AM459">
        <v>95.562441651106596</v>
      </c>
      <c r="AN459">
        <v>0.99999993771186901</v>
      </c>
    </row>
    <row r="460" spans="1:40" x14ac:dyDescent="0.25">
      <c r="A460" t="str">
        <f>"20190304155025030"</f>
        <v>20190304155025030</v>
      </c>
      <c r="B460" t="str">
        <f>"1551685825026746"</f>
        <v>1551685825026746</v>
      </c>
      <c r="C460" t="s">
        <v>40</v>
      </c>
      <c r="D460">
        <v>5.2861219999999998</v>
      </c>
      <c r="E460">
        <v>0.49605349999999998</v>
      </c>
      <c r="F460" t="s">
        <v>41</v>
      </c>
      <c r="G460">
        <v>-379.8503</v>
      </c>
      <c r="H460" s="1">
        <v>-1.079561E-7</v>
      </c>
      <c r="I460">
        <v>369.84710000000001</v>
      </c>
      <c r="J460">
        <v>-402.76459999999997</v>
      </c>
      <c r="K460">
        <v>1.060395</v>
      </c>
      <c r="L460">
        <v>367.62369999999999</v>
      </c>
      <c r="M460">
        <v>0.99992360000000002</v>
      </c>
      <c r="N460">
        <v>-1.097686E-2</v>
      </c>
      <c r="O460">
        <v>-5.6568299999999998E-3</v>
      </c>
      <c r="P460">
        <v>0.97823859999999996</v>
      </c>
      <c r="Q460">
        <v>0.1872144</v>
      </c>
      <c r="R460">
        <v>8.9442320000000006E-2</v>
      </c>
      <c r="S460">
        <v>3.0669559999999998</v>
      </c>
      <c r="T460">
        <v>-0.14048949999999999</v>
      </c>
      <c r="U460">
        <v>0.29443360000000002</v>
      </c>
      <c r="V460">
        <v>-9.5037969999999999E-2</v>
      </c>
      <c r="W460">
        <v>0.19790530000000001</v>
      </c>
      <c r="X460">
        <v>0.975603</v>
      </c>
      <c r="Y460">
        <v>-0.1010585</v>
      </c>
      <c r="Z460">
        <v>3.0608929999999999E-3</v>
      </c>
      <c r="AA460">
        <v>0.99487579999999998</v>
      </c>
      <c r="AB460">
        <v>29</v>
      </c>
      <c r="AC460">
        <v>22.914299999999901</v>
      </c>
      <c r="AD460">
        <v>-1.0603951079561</v>
      </c>
      <c r="AE460">
        <v>2.2234000000000198</v>
      </c>
      <c r="AF460">
        <v>-2.3480131324401099</v>
      </c>
      <c r="AG460">
        <v>-1.0603951079561</v>
      </c>
      <c r="AH460">
        <v>22.852871750812</v>
      </c>
      <c r="AI460">
        <v>92.642780676271897</v>
      </c>
      <c r="AJ460">
        <v>95.866257321152503</v>
      </c>
      <c r="AK460">
        <v>22.9976379377133</v>
      </c>
      <c r="AL460">
        <v>78.585506297505603</v>
      </c>
      <c r="AM460">
        <v>95.563889705790501</v>
      </c>
      <c r="AN460">
        <v>0.99999996855940498</v>
      </c>
    </row>
    <row r="461" spans="1:40" x14ac:dyDescent="0.25">
      <c r="A461" t="str">
        <f>"20190304155025042"</f>
        <v>20190304155025042</v>
      </c>
      <c r="B461" t="str">
        <f>"1551685825037481"</f>
        <v>1551685825037481</v>
      </c>
      <c r="C461" t="s">
        <v>40</v>
      </c>
      <c r="D461">
        <v>5.1129610000000003</v>
      </c>
      <c r="E461">
        <v>0.49605349999999998</v>
      </c>
      <c r="F461" t="s">
        <v>41</v>
      </c>
      <c r="G461">
        <v>-380.03039999999999</v>
      </c>
      <c r="H461" s="1">
        <v>-4.3010449999999997E-6</v>
      </c>
      <c r="I461">
        <v>369.81560000000002</v>
      </c>
      <c r="J461">
        <v>-402.60500000000002</v>
      </c>
      <c r="K461">
        <v>1.0603910000000001</v>
      </c>
      <c r="L461">
        <v>367.62290000000002</v>
      </c>
      <c r="M461">
        <v>0.99992440000000005</v>
      </c>
      <c r="N461">
        <v>-1.0978760000000001E-2</v>
      </c>
      <c r="O461">
        <v>-5.5533680000000004E-3</v>
      </c>
      <c r="P461">
        <v>0.97830490000000003</v>
      </c>
      <c r="Q461">
        <v>0.1868088</v>
      </c>
      <c r="R461">
        <v>8.9566599999999996E-2</v>
      </c>
      <c r="S461">
        <v>3.067078</v>
      </c>
      <c r="T461">
        <v>-0.14305809999999999</v>
      </c>
      <c r="U461">
        <v>0.29571530000000001</v>
      </c>
      <c r="V461">
        <v>-9.5061209999999993E-2</v>
      </c>
      <c r="W461">
        <v>0.19750239999999999</v>
      </c>
      <c r="X461">
        <v>0.97568239999999995</v>
      </c>
      <c r="Y461">
        <v>-0.1013589</v>
      </c>
      <c r="Z461">
        <v>3.1126830000000002E-3</v>
      </c>
      <c r="AA461">
        <v>0.99484499999999998</v>
      </c>
      <c r="AB461">
        <v>29</v>
      </c>
      <c r="AC461">
        <v>22.5746</v>
      </c>
      <c r="AD461">
        <v>-1.060395301045</v>
      </c>
      <c r="AE461">
        <v>2.1926999999999999</v>
      </c>
      <c r="AF461">
        <v>-2.3129829918331901</v>
      </c>
      <c r="AG461">
        <v>-1.060395301045</v>
      </c>
      <c r="AH461">
        <v>22.512864851404299</v>
      </c>
      <c r="AI461">
        <v>92.682637795980398</v>
      </c>
      <c r="AJ461">
        <v>95.866015025319697</v>
      </c>
      <c r="AK461">
        <v>22.656200306595601</v>
      </c>
      <c r="AL461">
        <v>78.609055820777897</v>
      </c>
      <c r="AM461">
        <v>95.564791674129694</v>
      </c>
      <c r="AN461">
        <v>0.99999998866109197</v>
      </c>
    </row>
    <row r="462" spans="1:40" x14ac:dyDescent="0.25">
      <c r="A462" t="str">
        <f>"20190304155025055"</f>
        <v>20190304155025055</v>
      </c>
      <c r="B462" t="str">
        <f>"1551685825047241"</f>
        <v>1551685825047241</v>
      </c>
      <c r="C462" t="s">
        <v>40</v>
      </c>
      <c r="D462">
        <v>5.2441649999999997</v>
      </c>
      <c r="E462">
        <v>0.53653879999999998</v>
      </c>
      <c r="F462" t="s">
        <v>41</v>
      </c>
      <c r="G462">
        <v>-380.06979999999999</v>
      </c>
      <c r="H462" s="1">
        <v>-4.2845500000000003E-6</v>
      </c>
      <c r="I462">
        <v>369.79809999999998</v>
      </c>
      <c r="J462">
        <v>-402.44929999999999</v>
      </c>
      <c r="K462">
        <v>1.0603899999999999</v>
      </c>
      <c r="L462">
        <v>367.62209999999999</v>
      </c>
      <c r="M462">
        <v>0.99992490000000001</v>
      </c>
      <c r="N462">
        <v>-1.098064E-2</v>
      </c>
      <c r="O462">
        <v>-5.4526469999999997E-3</v>
      </c>
      <c r="P462">
        <v>0.9782864</v>
      </c>
      <c r="Q462">
        <v>0.18679789999999999</v>
      </c>
      <c r="R462">
        <v>8.9791170000000003E-2</v>
      </c>
      <c r="S462">
        <v>3.0670169999999999</v>
      </c>
      <c r="T462">
        <v>-0.1443181</v>
      </c>
      <c r="U462">
        <v>0.29605100000000001</v>
      </c>
      <c r="V462">
        <v>-9.5186989999999999E-2</v>
      </c>
      <c r="W462">
        <v>0.19749349999999999</v>
      </c>
      <c r="X462">
        <v>0.97567190000000004</v>
      </c>
      <c r="Y462">
        <v>-0.10136630000000001</v>
      </c>
      <c r="Z462">
        <v>3.1324180000000001E-3</v>
      </c>
      <c r="AA462">
        <v>0.99484430000000001</v>
      </c>
      <c r="AB462">
        <v>29</v>
      </c>
      <c r="AC462">
        <v>22.3795</v>
      </c>
      <c r="AD462">
        <v>-1.0603942845499901</v>
      </c>
      <c r="AE462">
        <v>2.1759999999999802</v>
      </c>
      <c r="AF462">
        <v>-2.2929029473384501</v>
      </c>
      <c r="AG462">
        <v>-1.0603942845499901</v>
      </c>
      <c r="AH462">
        <v>22.317665660111501</v>
      </c>
      <c r="AI462">
        <v>92.706064208159901</v>
      </c>
      <c r="AJ462">
        <v>95.865951051318106</v>
      </c>
      <c r="AK462">
        <v>22.460187899506501</v>
      </c>
      <c r="AL462">
        <v>78.609575564628102</v>
      </c>
      <c r="AM462">
        <v>95.572167994996903</v>
      </c>
      <c r="AN462">
        <v>0.99999995102855799</v>
      </c>
    </row>
    <row r="463" spans="1:40" x14ac:dyDescent="0.25">
      <c r="A463" t="str">
        <f>"20190304155025067"</f>
        <v>20190304155025067</v>
      </c>
      <c r="B463" t="str">
        <f>"1551685825057001"</f>
        <v>1551685825057001</v>
      </c>
      <c r="C463" t="s">
        <v>40</v>
      </c>
      <c r="D463">
        <v>5.2861079999999996</v>
      </c>
      <c r="E463">
        <v>0.54053879999999999</v>
      </c>
      <c r="F463" t="s">
        <v>41</v>
      </c>
      <c r="G463">
        <v>-348.5958</v>
      </c>
      <c r="H463" s="1">
        <v>-1.169063E-6</v>
      </c>
      <c r="I463">
        <v>367.18990000000002</v>
      </c>
      <c r="J463">
        <v>-402.28300000000002</v>
      </c>
      <c r="K463">
        <v>1.060395</v>
      </c>
      <c r="L463">
        <v>367.62130000000002</v>
      </c>
      <c r="M463">
        <v>0.99992539999999996</v>
      </c>
      <c r="N463">
        <v>-1.098267E-2</v>
      </c>
      <c r="O463">
        <v>-5.3448920000000004E-3</v>
      </c>
      <c r="P463">
        <v>0.97825949999999995</v>
      </c>
      <c r="Q463">
        <v>0.18683330000000001</v>
      </c>
      <c r="R463">
        <v>9.0008649999999996E-2</v>
      </c>
      <c r="S463">
        <v>3.0804140000000002</v>
      </c>
      <c r="T463">
        <v>-6.0654279999999998E-2</v>
      </c>
      <c r="U463">
        <v>-2.471924E-2</v>
      </c>
      <c r="V463">
        <v>-9.5299330000000002E-2</v>
      </c>
      <c r="W463">
        <v>0.19753039999999999</v>
      </c>
      <c r="X463">
        <v>0.97565349999999995</v>
      </c>
      <c r="Y463">
        <v>2.6786280000000002E-3</v>
      </c>
      <c r="Z463" s="1">
        <v>5.4490639999999999E-6</v>
      </c>
      <c r="AA463">
        <v>0.99999640000000001</v>
      </c>
      <c r="AB463">
        <v>29</v>
      </c>
      <c r="AC463">
        <v>53.687199999999997</v>
      </c>
      <c r="AD463">
        <v>-1.0603961690629999</v>
      </c>
      <c r="AE463">
        <v>-0.43139999999999601</v>
      </c>
      <c r="AF463">
        <v>0.14436792600543499</v>
      </c>
      <c r="AG463">
        <v>-1.0603961690629999</v>
      </c>
      <c r="AH463">
        <v>53.6678035963035</v>
      </c>
      <c r="AI463">
        <v>91.131928209354498</v>
      </c>
      <c r="AJ463">
        <v>89.845873086823104</v>
      </c>
      <c r="AK463">
        <v>53.6784726402012</v>
      </c>
      <c r="AL463">
        <v>78.607419275460103</v>
      </c>
      <c r="AM463">
        <v>95.578807371534893</v>
      </c>
      <c r="AN463">
        <v>0.99999998664242895</v>
      </c>
    </row>
    <row r="464" spans="1:40" x14ac:dyDescent="0.25">
      <c r="A464" t="str">
        <f>"20190304155025079"</f>
        <v>20190304155025079</v>
      </c>
      <c r="B464" t="str">
        <f>"1551685825077497"</f>
        <v>1551685825077497</v>
      </c>
      <c r="C464" t="s">
        <v>40</v>
      </c>
      <c r="D464">
        <v>5.2277300000000002</v>
      </c>
      <c r="E464">
        <v>0.54429079999999996</v>
      </c>
      <c r="F464" t="s">
        <v>41</v>
      </c>
      <c r="G464">
        <v>-359.99790000000002</v>
      </c>
      <c r="H464" s="1">
        <v>-4.76277E-6</v>
      </c>
      <c r="I464">
        <v>366.8562</v>
      </c>
      <c r="J464">
        <v>-402.12139999999999</v>
      </c>
      <c r="K464">
        <v>1.060395</v>
      </c>
      <c r="L464">
        <v>367.62049999999999</v>
      </c>
      <c r="M464">
        <v>0.99992599999999998</v>
      </c>
      <c r="N464">
        <v>-1.098473E-2</v>
      </c>
      <c r="O464">
        <v>-5.2404779999999998E-3</v>
      </c>
      <c r="P464">
        <v>0.97831520000000005</v>
      </c>
      <c r="Q464">
        <v>0.18643970000000001</v>
      </c>
      <c r="R464">
        <v>9.0220809999999999E-2</v>
      </c>
      <c r="S464">
        <v>3.0865779999999998</v>
      </c>
      <c r="T464">
        <v>-7.7403310000000003E-2</v>
      </c>
      <c r="U464">
        <v>-5.5847170000000002E-2</v>
      </c>
      <c r="V464">
        <v>-9.5409339999999995E-2</v>
      </c>
      <c r="W464">
        <v>0.19713919999999999</v>
      </c>
      <c r="X464">
        <v>0.97572190000000003</v>
      </c>
      <c r="Y464">
        <v>1.284512E-2</v>
      </c>
      <c r="Z464">
        <v>-1.5777049999999901E-4</v>
      </c>
      <c r="AA464">
        <v>0.99991750000000001</v>
      </c>
      <c r="AB464">
        <v>29</v>
      </c>
      <c r="AC464">
        <v>42.1234999999999</v>
      </c>
      <c r="AD464">
        <v>-1.0603997627699999</v>
      </c>
      <c r="AE464">
        <v>-0.76429999999999099</v>
      </c>
      <c r="AF464">
        <v>0.54318481585092404</v>
      </c>
      <c r="AG464">
        <v>-1.0603997627699999</v>
      </c>
      <c r="AH464">
        <v>42.100256494408598</v>
      </c>
      <c r="AI464">
        <v>91.442711747831694</v>
      </c>
      <c r="AJ464">
        <v>89.260800924327995</v>
      </c>
      <c r="AK464">
        <v>42.117111656618299</v>
      </c>
      <c r="AL464">
        <v>78.630283314069203</v>
      </c>
      <c r="AM464">
        <v>95.584817584634393</v>
      </c>
      <c r="AN464">
        <v>1.00000001623774</v>
      </c>
    </row>
    <row r="465" spans="1:40" x14ac:dyDescent="0.25">
      <c r="A465" t="str">
        <f>"20190304155025098"</f>
        <v>20190304155025098</v>
      </c>
      <c r="B465" t="str">
        <f>"1551685825087257"</f>
        <v>1551685825087257</v>
      </c>
      <c r="C465" t="s">
        <v>40</v>
      </c>
      <c r="D465">
        <v>5.2386970000000002</v>
      </c>
      <c r="E465">
        <v>0.54446909999999904</v>
      </c>
      <c r="F465" t="s">
        <v>41</v>
      </c>
      <c r="G465">
        <v>-359.25869999999998</v>
      </c>
      <c r="H465" s="1">
        <v>-1.082968E-6</v>
      </c>
      <c r="I465">
        <v>366.44200000000001</v>
      </c>
      <c r="J465">
        <v>-401.88459999999998</v>
      </c>
      <c r="K465">
        <v>1.0603910000000001</v>
      </c>
      <c r="L465">
        <v>367.61950000000002</v>
      </c>
      <c r="M465">
        <v>0.99992669999999995</v>
      </c>
      <c r="N465">
        <v>-1.0987769999999999E-2</v>
      </c>
      <c r="O465">
        <v>-5.0868379999999998E-3</v>
      </c>
      <c r="P465">
        <v>0.97834520000000003</v>
      </c>
      <c r="Q465">
        <v>0.18607370000000001</v>
      </c>
      <c r="R465">
        <v>9.0649629999999995E-2</v>
      </c>
      <c r="S465">
        <v>3.0888979999999999</v>
      </c>
      <c r="T465">
        <v>-7.6417209999999999E-2</v>
      </c>
      <c r="U465">
        <v>-8.4930420000000006E-2</v>
      </c>
      <c r="V465">
        <v>-9.5688129999999996E-2</v>
      </c>
      <c r="W465">
        <v>0.1967769</v>
      </c>
      <c r="X465">
        <v>0.97576770000000002</v>
      </c>
      <c r="Y465">
        <v>2.2390009999999998E-2</v>
      </c>
      <c r="Z465">
        <v>-3.3000569999999999E-4</v>
      </c>
      <c r="AA465">
        <v>0.9997492</v>
      </c>
      <c r="AB465">
        <v>29</v>
      </c>
      <c r="AC465">
        <v>42.625900000000001</v>
      </c>
      <c r="AD465">
        <v>-1.060392082968</v>
      </c>
      <c r="AE465">
        <v>-1.1775000000000599</v>
      </c>
      <c r="AF465">
        <v>0.96004695411551599</v>
      </c>
      <c r="AG465">
        <v>-1.060392082968</v>
      </c>
      <c r="AH465">
        <v>42.604992529296901</v>
      </c>
      <c r="AI465">
        <v>91.425373818033094</v>
      </c>
      <c r="AJ465">
        <v>88.709134117827304</v>
      </c>
      <c r="AK465">
        <v>42.628998462844201</v>
      </c>
      <c r="AL465">
        <v>78.651455959544293</v>
      </c>
      <c r="AM465">
        <v>95.600771805322495</v>
      </c>
      <c r="AN465">
        <v>0.99999998547989799</v>
      </c>
    </row>
    <row r="466" spans="1:40" x14ac:dyDescent="0.25">
      <c r="A466" t="str">
        <f>"20190304155025110"</f>
        <v>20190304155025110</v>
      </c>
      <c r="B466" t="str">
        <f>"1551685825106778"</f>
        <v>1551685825106778</v>
      </c>
      <c r="C466" t="s">
        <v>40</v>
      </c>
      <c r="D466">
        <v>5.2481679999999997</v>
      </c>
      <c r="E466">
        <v>0.54478780000000004</v>
      </c>
      <c r="F466" t="s">
        <v>41</v>
      </c>
      <c r="G466">
        <v>-358.50760000000002</v>
      </c>
      <c r="H466" s="1">
        <v>-1.342506E-6</v>
      </c>
      <c r="I466">
        <v>366.4271</v>
      </c>
      <c r="J466">
        <v>-401.72590000000002</v>
      </c>
      <c r="K466">
        <v>1.0603910000000001</v>
      </c>
      <c r="L466">
        <v>367.61880000000002</v>
      </c>
      <c r="M466">
        <v>0.99992729999999996</v>
      </c>
      <c r="N466">
        <v>-1.0989809999999999E-2</v>
      </c>
      <c r="O466">
        <v>-4.984095E-3</v>
      </c>
      <c r="P466">
        <v>0.97835150000000004</v>
      </c>
      <c r="Q466">
        <v>0.18585779999999999</v>
      </c>
      <c r="R466">
        <v>9.1024549999999996E-2</v>
      </c>
      <c r="S466">
        <v>3.0886230000000001</v>
      </c>
      <c r="T466">
        <v>-7.5504299999999996E-2</v>
      </c>
      <c r="U466">
        <v>-8.4899899999999903E-2</v>
      </c>
      <c r="V466">
        <v>-9.5962679999999995E-2</v>
      </c>
      <c r="W466">
        <v>0.19656270000000001</v>
      </c>
      <c r="X466">
        <v>0.97578390000000004</v>
      </c>
      <c r="Y466">
        <v>2.2485430000000001E-2</v>
      </c>
      <c r="Z466">
        <v>-3.3132000000000002E-4</v>
      </c>
      <c r="AA466">
        <v>0.9997471</v>
      </c>
      <c r="AB466">
        <v>29</v>
      </c>
      <c r="AC466">
        <v>43.218299999999999</v>
      </c>
      <c r="AD466">
        <v>-1.060392342506</v>
      </c>
      <c r="AE466">
        <v>-1.19170000000002</v>
      </c>
      <c r="AF466">
        <v>0.97568118291449202</v>
      </c>
      <c r="AG466">
        <v>-1.060392342506</v>
      </c>
      <c r="AH466">
        <v>43.197717691219097</v>
      </c>
      <c r="AI466">
        <v>91.405822533962294</v>
      </c>
      <c r="AJ466">
        <v>88.706114264794905</v>
      </c>
      <c r="AK466">
        <v>43.221744520796499</v>
      </c>
      <c r="AL466">
        <v>78.663973062192596</v>
      </c>
      <c r="AM466">
        <v>95.6166463705962</v>
      </c>
      <c r="AN466">
        <v>0.99999997524164097</v>
      </c>
    </row>
    <row r="467" spans="1:40" x14ac:dyDescent="0.25">
      <c r="A467" t="str">
        <f>"20190304155025130"</f>
        <v>20190304155025130</v>
      </c>
      <c r="B467" t="str">
        <f>"1551685825126804"</f>
        <v>1551685825126804</v>
      </c>
      <c r="C467" t="s">
        <v>40</v>
      </c>
      <c r="D467">
        <v>5.2159050000000002</v>
      </c>
      <c r="E467">
        <v>0.54541700000000004</v>
      </c>
      <c r="F467" t="s">
        <v>41</v>
      </c>
      <c r="G467">
        <v>-346.81150000000002</v>
      </c>
      <c r="H467" s="1">
        <v>-2.1505349999999999E-6</v>
      </c>
      <c r="I467">
        <v>366.07639999999998</v>
      </c>
      <c r="J467">
        <v>-401.46499999999997</v>
      </c>
      <c r="K467">
        <v>1.0603929999999999</v>
      </c>
      <c r="L467">
        <v>367.61759999999998</v>
      </c>
      <c r="M467">
        <v>0.99992820000000004</v>
      </c>
      <c r="N467">
        <v>-1.099318E-2</v>
      </c>
      <c r="O467">
        <v>-4.8173549999999997E-3</v>
      </c>
      <c r="P467">
        <v>0.97826060000000004</v>
      </c>
      <c r="Q467">
        <v>0.1858467</v>
      </c>
      <c r="R467">
        <v>9.2018130000000004E-2</v>
      </c>
      <c r="S467">
        <v>3.085785</v>
      </c>
      <c r="T467">
        <v>-5.958629E-2</v>
      </c>
      <c r="U467">
        <v>-8.6669919999999998E-2</v>
      </c>
      <c r="V467">
        <v>-9.6791500000000003E-2</v>
      </c>
      <c r="W467">
        <v>0.1965539</v>
      </c>
      <c r="X467">
        <v>0.97570380000000001</v>
      </c>
      <c r="Y467">
        <v>2.3253059999999999E-2</v>
      </c>
      <c r="Z467">
        <v>-3.1225669999999998E-4</v>
      </c>
      <c r="AA467">
        <v>0.9997296</v>
      </c>
      <c r="AB467">
        <v>29</v>
      </c>
      <c r="AC467">
        <v>54.653499999999902</v>
      </c>
      <c r="AD467">
        <v>-1.060395150535</v>
      </c>
      <c r="AE467">
        <v>-1.5411999999999999</v>
      </c>
      <c r="AF467">
        <v>1.2774004667001699</v>
      </c>
      <c r="AG467">
        <v>-1.060395150535</v>
      </c>
      <c r="AH467">
        <v>54.639738288201599</v>
      </c>
      <c r="AI467">
        <v>91.111497829551197</v>
      </c>
      <c r="AJ467">
        <v>88.660748971306404</v>
      </c>
      <c r="AK467">
        <v>54.6649539470287</v>
      </c>
      <c r="AL467">
        <v>78.664487210127007</v>
      </c>
      <c r="AM467">
        <v>95.665304625603596</v>
      </c>
      <c r="AN467">
        <v>0.99999996770594901</v>
      </c>
    </row>
    <row r="468" spans="1:40" x14ac:dyDescent="0.25">
      <c r="A468" t="str">
        <f>"20190304155025143"</f>
        <v>20190304155025143</v>
      </c>
      <c r="B468" t="str">
        <f>"1551685825137541"</f>
        <v>1551685825137541</v>
      </c>
      <c r="C468" t="s">
        <v>40</v>
      </c>
      <c r="D468">
        <v>5.2178040000000001</v>
      </c>
      <c r="E468">
        <v>0.54649209999999904</v>
      </c>
      <c r="F468" t="s">
        <v>41</v>
      </c>
      <c r="G468">
        <v>-342.96809999999999</v>
      </c>
      <c r="H468" s="1">
        <v>-3.9569750000000003E-6</v>
      </c>
      <c r="I468">
        <v>365.93810000000002</v>
      </c>
      <c r="J468">
        <v>-401.30020000000002</v>
      </c>
      <c r="K468">
        <v>1.0603940000000001</v>
      </c>
      <c r="L468">
        <v>367.61700000000002</v>
      </c>
      <c r="M468">
        <v>0.9999285</v>
      </c>
      <c r="N468">
        <v>-1.0995329999999999E-2</v>
      </c>
      <c r="O468">
        <v>-4.7129540000000001E-3</v>
      </c>
      <c r="P468">
        <v>0.97821659999999999</v>
      </c>
      <c r="Q468">
        <v>0.1857742</v>
      </c>
      <c r="R468">
        <v>9.2629660000000003E-2</v>
      </c>
      <c r="S468">
        <v>3.0856629999999998</v>
      </c>
      <c r="T468">
        <v>-5.5935029999999997E-2</v>
      </c>
      <c r="U468">
        <v>-8.8592530000000003E-2</v>
      </c>
      <c r="V468">
        <v>-9.7300940000000002E-2</v>
      </c>
      <c r="W468">
        <v>0.1964832</v>
      </c>
      <c r="X468">
        <v>0.97566739999999996</v>
      </c>
      <c r="Y468">
        <v>2.3981369999999998E-2</v>
      </c>
      <c r="Z468">
        <v>-3.1559090000000001E-4</v>
      </c>
      <c r="AA468">
        <v>0.9997123</v>
      </c>
      <c r="AB468">
        <v>29</v>
      </c>
      <c r="AC468">
        <v>58.332099999999997</v>
      </c>
      <c r="AD468">
        <v>-1.0603979569749999</v>
      </c>
      <c r="AE468">
        <v>-1.6788999999999401</v>
      </c>
      <c r="AF468">
        <v>1.40348482809567</v>
      </c>
      <c r="AG468">
        <v>-1.0603979569749999</v>
      </c>
      <c r="AH468">
        <v>58.320108467411202</v>
      </c>
      <c r="AI468">
        <v>91.041357013442394</v>
      </c>
      <c r="AJ468">
        <v>88.621431932696396</v>
      </c>
      <c r="AK468">
        <v>58.346630280937902</v>
      </c>
      <c r="AL468">
        <v>78.668618932349105</v>
      </c>
      <c r="AM468">
        <v>95.695138239432595</v>
      </c>
      <c r="AN468">
        <v>0.999999998114941</v>
      </c>
    </row>
    <row r="469" spans="1:40" x14ac:dyDescent="0.25">
      <c r="A469" t="str">
        <f>"20190304155025158"</f>
        <v>20190304155025158</v>
      </c>
      <c r="B469" t="str">
        <f>"1551685825147300"</f>
        <v>1551685825147300</v>
      </c>
      <c r="C469" t="s">
        <v>40</v>
      </c>
      <c r="D469">
        <v>5.5374600000000003</v>
      </c>
      <c r="E469">
        <v>0.54743120000000001</v>
      </c>
      <c r="F469" t="s">
        <v>41</v>
      </c>
      <c r="G469">
        <v>-334.28590000000003</v>
      </c>
      <c r="H469" s="1">
        <v>-3.1538120000000001E-6</v>
      </c>
      <c r="I469">
        <v>365.5566</v>
      </c>
      <c r="J469">
        <v>-401.13060000000002</v>
      </c>
      <c r="K469">
        <v>1.0605209999999901</v>
      </c>
      <c r="L469">
        <v>367.61630000000002</v>
      </c>
      <c r="M469">
        <v>0.99992349999999997</v>
      </c>
      <c r="N469">
        <v>-1.1472619999999999E-2</v>
      </c>
      <c r="O469">
        <v>-4.6151159999999998E-3</v>
      </c>
      <c r="P469">
        <v>0.97823879999999996</v>
      </c>
      <c r="Q469">
        <v>0.18540860000000001</v>
      </c>
      <c r="R469">
        <v>9.3126479999999998E-2</v>
      </c>
      <c r="S469">
        <v>3.0850520000000001</v>
      </c>
      <c r="T469">
        <v>-4.8816079999999998E-2</v>
      </c>
      <c r="U469">
        <v>-9.4848630000000003E-2</v>
      </c>
      <c r="V469">
        <v>-9.7699949999999994E-2</v>
      </c>
      <c r="W469">
        <v>0.1965847</v>
      </c>
      <c r="X469">
        <v>0.97560709999999995</v>
      </c>
      <c r="Y469">
        <v>2.6110899999999999E-2</v>
      </c>
      <c r="Z469">
        <v>-3.3629009999999997E-4</v>
      </c>
      <c r="AA469">
        <v>0.99965899999999996</v>
      </c>
      <c r="AB469">
        <v>29</v>
      </c>
      <c r="AC469">
        <v>66.844699999999904</v>
      </c>
      <c r="AD469">
        <v>-1.0605241538119901</v>
      </c>
      <c r="AE469">
        <v>-2.0597000000000198</v>
      </c>
      <c r="AF469">
        <v>1.7507214388679599</v>
      </c>
      <c r="AG469">
        <v>-1.0605241538119901</v>
      </c>
      <c r="AH469">
        <v>66.836686646543797</v>
      </c>
      <c r="AI469">
        <v>90.908746865716196</v>
      </c>
      <c r="AJ469">
        <v>88.499536370298799</v>
      </c>
      <c r="AK469">
        <v>66.868022394307602</v>
      </c>
      <c r="AL469">
        <v>78.662687975033407</v>
      </c>
      <c r="AM469">
        <v>95.718689392554396</v>
      </c>
      <c r="AN469">
        <v>1.00000001903725</v>
      </c>
    </row>
    <row r="470" spans="1:40" x14ac:dyDescent="0.25">
      <c r="A470" t="str">
        <f>"20190304155025178"</f>
        <v>20190304155025178</v>
      </c>
      <c r="B470" t="str">
        <f>"1551685825166820"</f>
        <v>1551685825166820</v>
      </c>
      <c r="C470" t="s">
        <v>40</v>
      </c>
      <c r="D470">
        <v>5.2487830000000004</v>
      </c>
      <c r="E470">
        <v>0.5476124</v>
      </c>
      <c r="F470" t="s">
        <v>41</v>
      </c>
      <c r="G470">
        <v>-340.70690000000002</v>
      </c>
      <c r="H470" s="1">
        <v>-5.0791539999999996E-6</v>
      </c>
      <c r="I470">
        <v>365.63760000000002</v>
      </c>
      <c r="J470">
        <v>-400.8646</v>
      </c>
      <c r="K470">
        <v>1.0609869999999999</v>
      </c>
      <c r="L470">
        <v>367.61520000000002</v>
      </c>
      <c r="M470">
        <v>0.99990950000000001</v>
      </c>
      <c r="N470">
        <v>-1.269261E-2</v>
      </c>
      <c r="O470">
        <v>-4.4719950000000003E-3</v>
      </c>
      <c r="P470">
        <v>0.97828199999999998</v>
      </c>
      <c r="Q470">
        <v>0.18471570000000001</v>
      </c>
      <c r="R470">
        <v>9.4046969999999994E-2</v>
      </c>
      <c r="S470">
        <v>3.0866389999999999</v>
      </c>
      <c r="T470">
        <v>-5.4175139999999997E-2</v>
      </c>
      <c r="U470">
        <v>-0.1010742</v>
      </c>
      <c r="V470">
        <v>-9.8476019999999997E-2</v>
      </c>
      <c r="W470">
        <v>0.19708490000000001</v>
      </c>
      <c r="X470">
        <v>0.97542810000000002</v>
      </c>
      <c r="Y470">
        <v>2.825045E-2</v>
      </c>
      <c r="Z470">
        <v>-4.0548519999999998E-4</v>
      </c>
      <c r="AA470">
        <v>0.99960079999999996</v>
      </c>
      <c r="AB470">
        <v>29</v>
      </c>
      <c r="AC470">
        <v>60.157699999999899</v>
      </c>
      <c r="AD470">
        <v>-1.060992079154</v>
      </c>
      <c r="AE470">
        <v>-1.97759999999999</v>
      </c>
      <c r="AF470">
        <v>1.7080029151568601</v>
      </c>
      <c r="AG470">
        <v>-1.060992079154</v>
      </c>
      <c r="AH470">
        <v>60.147253782846803</v>
      </c>
      <c r="AI470">
        <v>91.010180387510005</v>
      </c>
      <c r="AJ470">
        <v>88.373407592774598</v>
      </c>
      <c r="AK470">
        <v>60.180853398472102</v>
      </c>
      <c r="AL470">
        <v>78.633456331824902</v>
      </c>
      <c r="AM470">
        <v>95.764861174660993</v>
      </c>
      <c r="AN470">
        <v>0.99999998129633005</v>
      </c>
    </row>
    <row r="471" spans="1:40" x14ac:dyDescent="0.25">
      <c r="A471" t="str">
        <f>"20190304155025289"</f>
        <v>20190304155025289</v>
      </c>
      <c r="B471" t="str">
        <f>"1551685825276639"</f>
        <v>1551685825276639</v>
      </c>
      <c r="C471" t="s">
        <v>40</v>
      </c>
      <c r="D471">
        <v>5.1036130000000002</v>
      </c>
      <c r="E471">
        <v>0.50746170000000002</v>
      </c>
      <c r="F471" t="s">
        <v>41</v>
      </c>
      <c r="G471">
        <v>-349.03449999999998</v>
      </c>
      <c r="H471" s="1">
        <v>-1.333485E-6</v>
      </c>
      <c r="I471">
        <v>365.93880000000001</v>
      </c>
      <c r="J471">
        <v>-399.45650000000001</v>
      </c>
      <c r="K471">
        <v>1.0659019999999999</v>
      </c>
      <c r="L471">
        <v>367.61020000000002</v>
      </c>
      <c r="M471">
        <v>0.99997150000000001</v>
      </c>
      <c r="N471">
        <v>-6.5372819999999898E-3</v>
      </c>
      <c r="O471">
        <v>-3.792756E-3</v>
      </c>
      <c r="P471">
        <v>0.97646089999999997</v>
      </c>
      <c r="Q471">
        <v>0.19277620000000001</v>
      </c>
      <c r="R471">
        <v>9.6755620000000001E-2</v>
      </c>
      <c r="S471">
        <v>3.0881349999999999</v>
      </c>
      <c r="T471">
        <v>-6.3215729999999998E-2</v>
      </c>
      <c r="U471">
        <v>-9.9884029999999999E-2</v>
      </c>
      <c r="V471">
        <v>-0.100498</v>
      </c>
      <c r="W471">
        <v>0.199133</v>
      </c>
      <c r="X471">
        <v>0.9748057</v>
      </c>
      <c r="Y471">
        <v>2.8528950000000001E-2</v>
      </c>
      <c r="Z471">
        <v>-3.323604E-4</v>
      </c>
      <c r="AA471">
        <v>0.99959290000000001</v>
      </c>
      <c r="AB471">
        <v>29</v>
      </c>
      <c r="AC471">
        <v>50.421999999999997</v>
      </c>
      <c r="AD471">
        <v>-1.0659033334849899</v>
      </c>
      <c r="AE471">
        <v>-1.6714</v>
      </c>
      <c r="AF471">
        <v>1.47948512639825</v>
      </c>
      <c r="AG471">
        <v>-1.0659033334849899</v>
      </c>
      <c r="AH471">
        <v>50.405475957432202</v>
      </c>
      <c r="AI471">
        <v>91.210907779044405</v>
      </c>
      <c r="AJ471">
        <v>88.318755624139001</v>
      </c>
      <c r="AK471">
        <v>50.438447960368897</v>
      </c>
      <c r="AL471">
        <v>78.513735903470604</v>
      </c>
      <c r="AM471">
        <v>95.886137126456106</v>
      </c>
      <c r="AN471">
        <v>0.99999997622274395</v>
      </c>
    </row>
    <row r="472" spans="1:40" x14ac:dyDescent="0.25">
      <c r="A472" t="str">
        <f>"20190304155025302"</f>
        <v>20190304155025302</v>
      </c>
      <c r="B472" t="str">
        <f>"1551685825297135"</f>
        <v>1551685825297135</v>
      </c>
      <c r="C472" t="s">
        <v>40</v>
      </c>
      <c r="D472">
        <v>5.2635699999999996</v>
      </c>
      <c r="E472">
        <v>0.55701800000000001</v>
      </c>
      <c r="F472" t="s">
        <v>51</v>
      </c>
      <c r="G472">
        <v>-398.51409999999998</v>
      </c>
      <c r="H472">
        <v>0.92019079999999998</v>
      </c>
      <c r="I472">
        <v>367.67680000000001</v>
      </c>
      <c r="J472">
        <v>-399.27280000000002</v>
      </c>
      <c r="K472">
        <v>1.066881</v>
      </c>
      <c r="L472">
        <v>367.6096</v>
      </c>
      <c r="M472">
        <v>0.99997919999999996</v>
      </c>
      <c r="N472">
        <v>-5.2930479999999999E-3</v>
      </c>
      <c r="O472">
        <v>-3.711916E-3</v>
      </c>
      <c r="P472">
        <v>0.97616179999999997</v>
      </c>
      <c r="Q472">
        <v>0.1941782</v>
      </c>
      <c r="R472">
        <v>9.6968200000000004E-2</v>
      </c>
      <c r="S472">
        <v>3.1463009999999998</v>
      </c>
      <c r="T472">
        <v>-0.48650650000000001</v>
      </c>
      <c r="U472">
        <v>0.2227478</v>
      </c>
      <c r="V472">
        <v>-0.1006251</v>
      </c>
      <c r="W472">
        <v>0.19932320000000001</v>
      </c>
      <c r="X472">
        <v>0.97475369999999995</v>
      </c>
      <c r="Y472">
        <v>-7.3383219999999999E-2</v>
      </c>
      <c r="Z472">
        <v>6.3791300000000002E-3</v>
      </c>
      <c r="AA472">
        <v>0.99728340000000004</v>
      </c>
      <c r="AB472">
        <v>29</v>
      </c>
      <c r="AC472">
        <v>0.75870000000003202</v>
      </c>
      <c r="AD472">
        <v>-0.14669019999999899</v>
      </c>
      <c r="AE472">
        <v>6.7200000000013901E-2</v>
      </c>
      <c r="AF472">
        <v>-6.7511730978001602E-2</v>
      </c>
      <c r="AG472">
        <v>-0.14669019999999899</v>
      </c>
      <c r="AH472">
        <v>0.73131995876244604</v>
      </c>
      <c r="AI472">
        <v>101.295251329061</v>
      </c>
      <c r="AJ472">
        <v>95.274305602803693</v>
      </c>
      <c r="AK472">
        <v>0.74893573200909003</v>
      </c>
      <c r="AL472">
        <v>78.502615150036505</v>
      </c>
      <c r="AM472">
        <v>95.893841157224401</v>
      </c>
      <c r="AN472">
        <v>0.99999996223596899</v>
      </c>
    </row>
    <row r="473" spans="1:40" x14ac:dyDescent="0.25">
      <c r="A473" t="str">
        <f>"20190304155025316"</f>
        <v>20190304155025316</v>
      </c>
      <c r="B473" t="str">
        <f>"1551685825306895"</f>
        <v>1551685825306895</v>
      </c>
      <c r="C473" t="s">
        <v>40</v>
      </c>
      <c r="D473">
        <v>6.6486190000000001</v>
      </c>
      <c r="E473">
        <v>0.55701800000000001</v>
      </c>
      <c r="F473" t="s">
        <v>41</v>
      </c>
      <c r="G473">
        <v>-372.54</v>
      </c>
      <c r="H473" s="1">
        <v>-3.7932349999999999E-6</v>
      </c>
      <c r="I473">
        <v>366.1739</v>
      </c>
      <c r="J473">
        <v>-399.09190000000001</v>
      </c>
      <c r="K473">
        <v>1.067863</v>
      </c>
      <c r="L473">
        <v>367.60899999999998</v>
      </c>
      <c r="M473">
        <v>0.99998500000000001</v>
      </c>
      <c r="N473">
        <v>-4.1206599999999999E-3</v>
      </c>
      <c r="O473">
        <v>-3.636832E-3</v>
      </c>
      <c r="P473">
        <v>0.97583059999999999</v>
      </c>
      <c r="Q473">
        <v>0.1956021</v>
      </c>
      <c r="R473">
        <v>9.7439280000000003E-2</v>
      </c>
      <c r="S473">
        <v>3.114655</v>
      </c>
      <c r="T473">
        <v>-0.12430330000000001</v>
      </c>
      <c r="U473">
        <v>-0.16726679999999999</v>
      </c>
      <c r="V473">
        <v>-0.1010171</v>
      </c>
      <c r="W473">
        <v>0.199605</v>
      </c>
      <c r="X473">
        <v>0.97465550000000001</v>
      </c>
      <c r="Y473">
        <v>4.9952490000000002E-2</v>
      </c>
      <c r="Z473">
        <v>-9.687001E-4</v>
      </c>
      <c r="AA473">
        <v>0.9987511</v>
      </c>
      <c r="AB473">
        <v>29</v>
      </c>
      <c r="AC473">
        <v>26.5518999999999</v>
      </c>
      <c r="AD473">
        <v>-1.0678667932349999</v>
      </c>
      <c r="AE473">
        <v>-1.43510000000003</v>
      </c>
      <c r="AF473">
        <v>1.3363696245876799</v>
      </c>
      <c r="AG473">
        <v>-1.0678667932349999</v>
      </c>
      <c r="AH473">
        <v>26.514182023821999</v>
      </c>
      <c r="AI473">
        <v>92.303437761579801</v>
      </c>
      <c r="AJ473">
        <v>87.1146158433111</v>
      </c>
      <c r="AK473">
        <v>26.569306947189599</v>
      </c>
      <c r="AL473">
        <v>78.486138267928396</v>
      </c>
      <c r="AM473">
        <v>95.917230815710695</v>
      </c>
      <c r="AN473">
        <v>0.99999997709882904</v>
      </c>
    </row>
    <row r="474" spans="1:40" x14ac:dyDescent="0.25">
      <c r="A474" t="str">
        <f>"20190304155025333"</f>
        <v>20190304155025333</v>
      </c>
      <c r="B474" t="str">
        <f>"1551685825327392"</f>
        <v>1551685825327392</v>
      </c>
      <c r="C474" t="s">
        <v>40</v>
      </c>
      <c r="D474">
        <v>6.2585470000000001</v>
      </c>
      <c r="E474">
        <v>0.54627539999999997</v>
      </c>
      <c r="F474" t="s">
        <v>41</v>
      </c>
      <c r="G474">
        <v>-371.32170000000002</v>
      </c>
      <c r="H474" s="1">
        <v>-4.3234500000000001E-6</v>
      </c>
      <c r="I474">
        <v>366.13130000000001</v>
      </c>
      <c r="J474">
        <v>-398.8784</v>
      </c>
      <c r="K474">
        <v>1.0690309999999901</v>
      </c>
      <c r="L474">
        <v>367.60829999999999</v>
      </c>
      <c r="M474">
        <v>0.99998969999999998</v>
      </c>
      <c r="N474">
        <v>-2.810196E-3</v>
      </c>
      <c r="O474">
        <v>-3.5547040000000001E-3</v>
      </c>
      <c r="P474">
        <v>0.97529889999999997</v>
      </c>
      <c r="Q474">
        <v>0.19771639999999999</v>
      </c>
      <c r="R474">
        <v>9.8490419999999995E-2</v>
      </c>
      <c r="S474">
        <v>3.1148989999999999</v>
      </c>
      <c r="T474">
        <v>-0.1197791</v>
      </c>
      <c r="U474">
        <v>-0.165741</v>
      </c>
      <c r="V474">
        <v>-0.10198260000000001</v>
      </c>
      <c r="W474">
        <v>0.2004427</v>
      </c>
      <c r="X474">
        <v>0.97438309999999995</v>
      </c>
      <c r="Y474">
        <v>4.9546979999999997E-2</v>
      </c>
      <c r="Z474">
        <v>-8.947394E-4</v>
      </c>
      <c r="AA474">
        <v>0.99877139999999998</v>
      </c>
      <c r="AB474">
        <v>29</v>
      </c>
      <c r="AC474">
        <v>27.5566999999999</v>
      </c>
      <c r="AD474">
        <v>-1.0690353234500001</v>
      </c>
      <c r="AE474">
        <v>-1.4769999999999699</v>
      </c>
      <c r="AF474">
        <v>1.37696799840418</v>
      </c>
      <c r="AG474">
        <v>-1.0690353234500001</v>
      </c>
      <c r="AH474">
        <v>27.520477189644499</v>
      </c>
      <c r="AI474">
        <v>92.221764585115295</v>
      </c>
      <c r="AJ474">
        <v>87.135634045442501</v>
      </c>
      <c r="AK474">
        <v>27.575633123051801</v>
      </c>
      <c r="AL474">
        <v>78.437152781720499</v>
      </c>
      <c r="AM474">
        <v>95.975037295857604</v>
      </c>
      <c r="AN474">
        <v>1.0000000761258201</v>
      </c>
    </row>
    <row r="475" spans="1:40" x14ac:dyDescent="0.25">
      <c r="A475" t="str">
        <f>"20190304155025356"</f>
        <v>20190304155025356</v>
      </c>
      <c r="B475" t="str">
        <f>"1551685825346911"</f>
        <v>1551685825346911</v>
      </c>
      <c r="C475" t="s">
        <v>40</v>
      </c>
      <c r="D475">
        <v>5.2676879999999997</v>
      </c>
      <c r="E475">
        <v>0.54168000000000005</v>
      </c>
      <c r="F475" t="s">
        <v>43</v>
      </c>
      <c r="G475">
        <v>-158.19499999999999</v>
      </c>
      <c r="H475">
        <v>0.4805374</v>
      </c>
      <c r="I475">
        <v>361.65170000000001</v>
      </c>
      <c r="J475">
        <v>-398.58109999999999</v>
      </c>
      <c r="K475">
        <v>1.0707279999999999</v>
      </c>
      <c r="L475">
        <v>367.60730000000001</v>
      </c>
      <c r="M475">
        <v>0.99999309999999997</v>
      </c>
      <c r="N475">
        <v>-1.4474640000000001E-3</v>
      </c>
      <c r="O475">
        <v>-3.4532249999999999E-3</v>
      </c>
      <c r="P475">
        <v>0.97500070000000005</v>
      </c>
      <c r="Q475">
        <v>0.1988007</v>
      </c>
      <c r="R475">
        <v>9.9259440000000004E-2</v>
      </c>
      <c r="S475">
        <v>3.0852050000000002</v>
      </c>
      <c r="T475">
        <v>-7.5424910000000001E-3</v>
      </c>
      <c r="U475">
        <v>-7.6354980000000003E-2</v>
      </c>
      <c r="V475">
        <v>-0.10264760000000001</v>
      </c>
      <c r="W475">
        <v>0.20019970000000001</v>
      </c>
      <c r="X475">
        <v>0.97436310000000004</v>
      </c>
      <c r="Y475">
        <v>2.1288769999999999E-2</v>
      </c>
      <c r="Z475" s="1">
        <v>-3.7985290000000003E-5</v>
      </c>
      <c r="AA475">
        <v>0.99977340000000003</v>
      </c>
      <c r="AB475">
        <v>29</v>
      </c>
      <c r="AC475">
        <v>240.3861</v>
      </c>
      <c r="AD475">
        <v>-0.59019060000000001</v>
      </c>
      <c r="AE475">
        <v>-5.9555999999999996</v>
      </c>
      <c r="AF475">
        <v>5.12542554520219</v>
      </c>
      <c r="AG475">
        <v>-0.59019060000000001</v>
      </c>
      <c r="AH475">
        <v>240.40378452502901</v>
      </c>
      <c r="AI475">
        <v>90.140628734116106</v>
      </c>
      <c r="AJ475">
        <v>88.778634995572602</v>
      </c>
      <c r="AK475">
        <v>240.45913982612601</v>
      </c>
      <c r="AL475">
        <v>78.451362231747098</v>
      </c>
      <c r="AM475">
        <v>96.013836776030203</v>
      </c>
      <c r="AN475">
        <v>0.999999950153728</v>
      </c>
    </row>
    <row r="476" spans="1:40" x14ac:dyDescent="0.25">
      <c r="A476" t="str">
        <f>"20190304155025379"</f>
        <v>20190304155025379</v>
      </c>
      <c r="B476" t="str">
        <f>"1551685825367408"</f>
        <v>1551685825367408</v>
      </c>
      <c r="C476" t="s">
        <v>40</v>
      </c>
      <c r="D476">
        <v>5.0347099999999996</v>
      </c>
      <c r="E476">
        <v>0.53527979999999997</v>
      </c>
      <c r="F476" t="s">
        <v>43</v>
      </c>
      <c r="G476">
        <v>-158.19499999999999</v>
      </c>
      <c r="H476">
        <v>2.7901959999999999</v>
      </c>
      <c r="I476">
        <v>364.65269999999998</v>
      </c>
      <c r="J476">
        <v>-398.29590000000002</v>
      </c>
      <c r="K476">
        <v>1.072695</v>
      </c>
      <c r="L476">
        <v>367.60640000000001</v>
      </c>
      <c r="M476">
        <v>0.99999369999999999</v>
      </c>
      <c r="N476">
        <v>-1.163564E-3</v>
      </c>
      <c r="O476">
        <v>-3.3611549999999998E-3</v>
      </c>
      <c r="P476">
        <v>0.97488770000000002</v>
      </c>
      <c r="Q476">
        <v>0.19922889999999999</v>
      </c>
      <c r="R476">
        <v>9.9507440000000003E-2</v>
      </c>
      <c r="S476">
        <v>3.0762939999999999</v>
      </c>
      <c r="T476">
        <v>2.200568E-2</v>
      </c>
      <c r="U476">
        <v>-3.7811280000000003E-2</v>
      </c>
      <c r="V476">
        <v>-0.1028013</v>
      </c>
      <c r="W476">
        <v>0.2003539</v>
      </c>
      <c r="X476">
        <v>0.9743153</v>
      </c>
      <c r="Y476">
        <v>8.9292039999999996E-3</v>
      </c>
      <c r="Z476" s="1">
        <v>-1.2127860000000001E-6</v>
      </c>
      <c r="AA476">
        <v>0.99996010000000002</v>
      </c>
      <c r="AB476">
        <v>29</v>
      </c>
      <c r="AC476">
        <v>240.1009</v>
      </c>
      <c r="AD476">
        <v>1.71750099999999</v>
      </c>
      <c r="AE476">
        <v>-2.95370000000002</v>
      </c>
      <c r="AF476">
        <v>2.1465566288643401</v>
      </c>
      <c r="AG476">
        <v>1.71750099999999</v>
      </c>
      <c r="AH476">
        <v>240.09718793123201</v>
      </c>
      <c r="AI476">
        <v>89.590166179483205</v>
      </c>
      <c r="AJ476">
        <v>89.487768433675498</v>
      </c>
      <c r="AK476">
        <v>240.112925865167</v>
      </c>
      <c r="AL476">
        <v>78.442345665829293</v>
      </c>
      <c r="AM476">
        <v>96.023068798328595</v>
      </c>
      <c r="AN476">
        <v>1.00000004817049</v>
      </c>
    </row>
    <row r="477" spans="1:40" x14ac:dyDescent="0.25">
      <c r="A477" t="str">
        <f>"20190304155025398"</f>
        <v>20190304155025398</v>
      </c>
      <c r="B477" t="str">
        <f>"1551685825386927"</f>
        <v>1551685825386927</v>
      </c>
      <c r="C477" t="s">
        <v>40</v>
      </c>
      <c r="D477">
        <v>8.7490929999999896</v>
      </c>
      <c r="E477">
        <v>0.53413060000000001</v>
      </c>
      <c r="F477" t="s">
        <v>43</v>
      </c>
      <c r="G477">
        <v>-158.78319999999999</v>
      </c>
      <c r="H477">
        <v>0.18914719999999999</v>
      </c>
      <c r="I477">
        <v>368.60129999999998</v>
      </c>
      <c r="J477">
        <v>-398.03489999999999</v>
      </c>
      <c r="K477">
        <v>1.074859</v>
      </c>
      <c r="L477">
        <v>367.60559999999998</v>
      </c>
      <c r="M477">
        <v>0.99999369999999999</v>
      </c>
      <c r="N477">
        <v>-1.3530770000000001E-3</v>
      </c>
      <c r="O477">
        <v>-3.2850940000000001E-3</v>
      </c>
      <c r="P477">
        <v>0.9748561</v>
      </c>
      <c r="Q477">
        <v>0.19937260000000001</v>
      </c>
      <c r="R477">
        <v>9.9530060000000004E-2</v>
      </c>
      <c r="S477">
        <v>3.0783079999999998</v>
      </c>
      <c r="T477">
        <v>-1.135457E-2</v>
      </c>
      <c r="U477">
        <v>1.2786870000000001E-2</v>
      </c>
      <c r="V477">
        <v>-0.1027487</v>
      </c>
      <c r="W477">
        <v>0.20068279999999999</v>
      </c>
      <c r="X477">
        <v>0.97425309999999998</v>
      </c>
      <c r="Y477">
        <v>-7.4387960000000001E-3</v>
      </c>
      <c r="Z477" s="1">
        <v>2.6424110000000001E-5</v>
      </c>
      <c r="AA477">
        <v>0.99997230000000004</v>
      </c>
      <c r="AB477">
        <v>29</v>
      </c>
      <c r="AC477">
        <v>239.2517</v>
      </c>
      <c r="AD477">
        <v>-0.88571179999999905</v>
      </c>
      <c r="AE477">
        <v>0.99569999999999903</v>
      </c>
      <c r="AF477">
        <v>-1.7816352453261499</v>
      </c>
      <c r="AG477">
        <v>-0.88571179999999905</v>
      </c>
      <c r="AH477">
        <v>239.24385929151799</v>
      </c>
      <c r="AI477">
        <v>90.212109557328304</v>
      </c>
      <c r="AJ477">
        <v>90.426670483980203</v>
      </c>
      <c r="AK477">
        <v>239.25213252600199</v>
      </c>
      <c r="AL477">
        <v>78.423109759068197</v>
      </c>
      <c r="AM477">
        <v>96.020391148961593</v>
      </c>
      <c r="AN477">
        <v>0.99999999221357005</v>
      </c>
    </row>
    <row r="478" spans="1:40" x14ac:dyDescent="0.25">
      <c r="A478" t="str">
        <f>"20190304155025413"</f>
        <v>20190304155025413</v>
      </c>
      <c r="B478" t="str">
        <f>"1551685825407423"</f>
        <v>1551685825407423</v>
      </c>
      <c r="C478" t="s">
        <v>40</v>
      </c>
      <c r="D478">
        <v>5.3227479999999998</v>
      </c>
      <c r="E478">
        <v>0.53373499999999996</v>
      </c>
      <c r="F478" t="s">
        <v>41</v>
      </c>
      <c r="G478">
        <v>-238.67769999999999</v>
      </c>
      <c r="H478" s="1">
        <v>-7.0991140000000003E-7</v>
      </c>
      <c r="I478">
        <v>368.71260000000001</v>
      </c>
      <c r="J478">
        <v>-397.85820000000001</v>
      </c>
      <c r="K478">
        <v>1.0764069999999999</v>
      </c>
      <c r="L478">
        <v>367.60500000000002</v>
      </c>
      <c r="M478">
        <v>0.99999389999999999</v>
      </c>
      <c r="N478">
        <v>-1.3999129999999901E-3</v>
      </c>
      <c r="O478">
        <v>-3.239348E-3</v>
      </c>
      <c r="P478">
        <v>0.97485270000000002</v>
      </c>
      <c r="Q478">
        <v>0.1995044</v>
      </c>
      <c r="R478">
        <v>9.9300089999999994E-2</v>
      </c>
      <c r="S478">
        <v>3.0794679999999999</v>
      </c>
      <c r="T478">
        <v>-2.077091E-2</v>
      </c>
      <c r="U478">
        <v>2.139282E-2</v>
      </c>
      <c r="V478">
        <v>-0.102474499999999</v>
      </c>
      <c r="W478">
        <v>0.20085980000000001</v>
      </c>
      <c r="X478">
        <v>0.97424549999999999</v>
      </c>
      <c r="Y478">
        <v>-1.0185670000000001E-2</v>
      </c>
      <c r="Z478" s="1">
        <v>5.8794010000000001E-5</v>
      </c>
      <c r="AA478">
        <v>0.99994810000000001</v>
      </c>
      <c r="AB478">
        <v>29</v>
      </c>
      <c r="AC478">
        <v>159.18049999999999</v>
      </c>
      <c r="AD478">
        <v>-1.0764077099114</v>
      </c>
      <c r="AE478">
        <v>1.1075999999999899</v>
      </c>
      <c r="AF478">
        <v>-1.6231614441428901</v>
      </c>
      <c r="AG478">
        <v>-1.0764077099114</v>
      </c>
      <c r="AH478">
        <v>159.16879894234501</v>
      </c>
      <c r="AI478">
        <v>90.387446990975505</v>
      </c>
      <c r="AJ478">
        <v>90.584266999674597</v>
      </c>
      <c r="AK478">
        <v>159.18071448319401</v>
      </c>
      <c r="AL478">
        <v>78.412757571604104</v>
      </c>
      <c r="AM478">
        <v>96.004488877544304</v>
      </c>
      <c r="AN478">
        <v>0.99999998833826897</v>
      </c>
    </row>
    <row r="479" spans="1:40" x14ac:dyDescent="0.25">
      <c r="A479" t="str">
        <f>"20190304155025424"</f>
        <v>20190304155025424</v>
      </c>
      <c r="B479" t="str">
        <f>"1551685825417183"</f>
        <v>1551685825417183</v>
      </c>
      <c r="C479" t="s">
        <v>40</v>
      </c>
      <c r="D479">
        <v>5.2958150000000002</v>
      </c>
      <c r="E479">
        <v>0.53351499999999996</v>
      </c>
      <c r="F479" t="s">
        <v>42</v>
      </c>
      <c r="G479">
        <v>-302.21100000000001</v>
      </c>
      <c r="H479">
        <v>-0.05</v>
      </c>
      <c r="I479">
        <v>368.3295</v>
      </c>
      <c r="J479">
        <v>-397.69200000000001</v>
      </c>
      <c r="K479">
        <v>1.077893</v>
      </c>
      <c r="L479">
        <v>367.60449999999997</v>
      </c>
      <c r="M479">
        <v>0.9999941</v>
      </c>
      <c r="N479">
        <v>-1.291064E-3</v>
      </c>
      <c r="O479">
        <v>-3.2001769999999998E-3</v>
      </c>
      <c r="P479">
        <v>0.97482340000000001</v>
      </c>
      <c r="Q479">
        <v>0.19961490000000001</v>
      </c>
      <c r="R479">
        <v>9.9366560000000007E-2</v>
      </c>
      <c r="S479">
        <v>3.0823969999999998</v>
      </c>
      <c r="T479">
        <v>-3.630042E-2</v>
      </c>
      <c r="U479">
        <v>2.3345950000000001E-2</v>
      </c>
      <c r="V479">
        <v>-0.10250330000000001</v>
      </c>
      <c r="W479">
        <v>0.20086399999999999</v>
      </c>
      <c r="X479">
        <v>0.97424160000000004</v>
      </c>
      <c r="Y479">
        <v>-1.0772779999999999E-2</v>
      </c>
      <c r="Z479">
        <v>1.039395E-4</v>
      </c>
      <c r="AA479">
        <v>0.99994190000000005</v>
      </c>
      <c r="AB479">
        <v>29</v>
      </c>
      <c r="AC479">
        <v>95.480999999999895</v>
      </c>
      <c r="AD479">
        <v>-1.127893</v>
      </c>
      <c r="AE479">
        <v>0.72500000000002196</v>
      </c>
      <c r="AF479">
        <v>-1.0304088498570401</v>
      </c>
      <c r="AG479">
        <v>-1.127893</v>
      </c>
      <c r="AH479">
        <v>95.464870453909299</v>
      </c>
      <c r="AI479">
        <v>90.676864046184505</v>
      </c>
      <c r="AJ479">
        <v>90.618403245842401</v>
      </c>
      <c r="AK479">
        <v>95.477093461201406</v>
      </c>
      <c r="AL479">
        <v>78.412511872976296</v>
      </c>
      <c r="AM479">
        <v>96.006187946132101</v>
      </c>
      <c r="AN479">
        <v>0.99999998408872404</v>
      </c>
    </row>
    <row r="480" spans="1:40" x14ac:dyDescent="0.25">
      <c r="A480" t="str">
        <f>"20190304155025437"</f>
        <v>20190304155025437</v>
      </c>
      <c r="B480" t="str">
        <f>"1551685825426943"</f>
        <v>1551685825426943</v>
      </c>
      <c r="C480" t="s">
        <v>40</v>
      </c>
      <c r="D480">
        <v>5.2063189999999997</v>
      </c>
      <c r="E480">
        <v>0.53272419999999998</v>
      </c>
      <c r="F480" t="s">
        <v>42</v>
      </c>
      <c r="G480">
        <v>-306.74869999999999</v>
      </c>
      <c r="H480">
        <v>-0.05</v>
      </c>
      <c r="I480">
        <v>368.3347</v>
      </c>
      <c r="J480">
        <v>-397.53460000000001</v>
      </c>
      <c r="K480">
        <v>1.0793569999999999</v>
      </c>
      <c r="L480">
        <v>367.60410000000002</v>
      </c>
      <c r="M480">
        <v>0.99999439999999995</v>
      </c>
      <c r="N480">
        <v>-1.1856220000000001E-3</v>
      </c>
      <c r="O480">
        <v>-3.1664979999999998E-3</v>
      </c>
      <c r="P480">
        <v>0.9747884</v>
      </c>
      <c r="Q480">
        <v>0.19997709999999999</v>
      </c>
      <c r="R480">
        <v>9.8979529999999996E-2</v>
      </c>
      <c r="S480">
        <v>3.0827939999999998</v>
      </c>
      <c r="T480">
        <v>-3.8233280000000001E-2</v>
      </c>
      <c r="U480">
        <v>2.4749759999999999E-2</v>
      </c>
      <c r="V480">
        <v>-0.1020838</v>
      </c>
      <c r="W480">
        <v>0.20112279999999999</v>
      </c>
      <c r="X480">
        <v>0.97423230000000005</v>
      </c>
      <c r="Y480">
        <v>-1.119331E-2</v>
      </c>
      <c r="Z480">
        <v>1.11558E-4</v>
      </c>
      <c r="AA480">
        <v>0.99993739999999998</v>
      </c>
      <c r="AB480">
        <v>29</v>
      </c>
      <c r="AC480">
        <v>90.785899999999998</v>
      </c>
      <c r="AD480">
        <v>-1.1293569999999999</v>
      </c>
      <c r="AE480">
        <v>0.73059999999998104</v>
      </c>
      <c r="AF480">
        <v>-1.0179123667121399</v>
      </c>
      <c r="AG480">
        <v>-1.1293569999999999</v>
      </c>
      <c r="AH480">
        <v>90.769085965850294</v>
      </c>
      <c r="AI480">
        <v>90.712797561579194</v>
      </c>
      <c r="AJ480">
        <v>90.642505509622197</v>
      </c>
      <c r="AK480">
        <v>90.781818443428804</v>
      </c>
      <c r="AL480">
        <v>78.397375340928505</v>
      </c>
      <c r="AM480">
        <v>95.981842590710201</v>
      </c>
      <c r="AN480">
        <v>1.0000000286327799</v>
      </c>
    </row>
    <row r="481" spans="1:40" x14ac:dyDescent="0.25">
      <c r="A481" t="str">
        <f>"20190304155025450"</f>
        <v>20190304155025450</v>
      </c>
      <c r="B481" t="str">
        <f>"1551685825447439"</f>
        <v>1551685825447439</v>
      </c>
      <c r="C481" t="s">
        <v>40</v>
      </c>
      <c r="D481">
        <v>5.3645230000000002</v>
      </c>
      <c r="E481">
        <v>0.53227729999999995</v>
      </c>
      <c r="F481" t="s">
        <v>42</v>
      </c>
      <c r="G481">
        <v>-302.92770000000002</v>
      </c>
      <c r="H481">
        <v>-0.05</v>
      </c>
      <c r="I481">
        <v>368.50799999999998</v>
      </c>
      <c r="J481">
        <v>-397.37369999999999</v>
      </c>
      <c r="K481">
        <v>1.080884</v>
      </c>
      <c r="L481">
        <v>367.60359999999997</v>
      </c>
      <c r="M481">
        <v>0.99999450000000001</v>
      </c>
      <c r="N481">
        <v>-1.1083309999999999E-3</v>
      </c>
      <c r="O481">
        <v>-3.1331969999999999E-3</v>
      </c>
      <c r="P481">
        <v>0.97479590000000005</v>
      </c>
      <c r="Q481">
        <v>0.20011480000000001</v>
      </c>
      <c r="R481">
        <v>9.862696E-2</v>
      </c>
      <c r="S481">
        <v>3.0821230000000002</v>
      </c>
      <c r="T481">
        <v>-3.6792400000000003E-2</v>
      </c>
      <c r="U481">
        <v>2.944946E-2</v>
      </c>
      <c r="V481">
        <v>-0.1016997</v>
      </c>
      <c r="W481">
        <v>0.20118530000000001</v>
      </c>
      <c r="X481">
        <v>0.9742596</v>
      </c>
      <c r="Y481">
        <v>-1.2686329999999999E-2</v>
      </c>
      <c r="Z481">
        <v>1.166745E-4</v>
      </c>
      <c r="AA481">
        <v>0.99991949999999996</v>
      </c>
      <c r="AB481">
        <v>29</v>
      </c>
      <c r="AC481">
        <v>94.445999999999898</v>
      </c>
      <c r="AD481">
        <v>-1.130884</v>
      </c>
      <c r="AE481">
        <v>0.90440000000006604</v>
      </c>
      <c r="AF481">
        <v>-1.2001416069126001</v>
      </c>
      <c r="AG481">
        <v>-1.130884</v>
      </c>
      <c r="AH481">
        <v>94.429165347182405</v>
      </c>
      <c r="AI481">
        <v>90.686086240953799</v>
      </c>
      <c r="AJ481">
        <v>90.728157943287002</v>
      </c>
      <c r="AK481">
        <v>94.443562547500306</v>
      </c>
      <c r="AL481">
        <v>78.393720012231597</v>
      </c>
      <c r="AM481">
        <v>95.959331832335195</v>
      </c>
      <c r="AN481">
        <v>1.0000000610541599</v>
      </c>
    </row>
    <row r="482" spans="1:40" x14ac:dyDescent="0.25">
      <c r="A482" t="str">
        <f>"20190304155025465"</f>
        <v>20190304155025465</v>
      </c>
      <c r="B482" t="str">
        <f>"1551685825457199"</f>
        <v>1551685825457199</v>
      </c>
      <c r="C482" t="s">
        <v>40</v>
      </c>
      <c r="D482">
        <v>5.3093879999999896</v>
      </c>
      <c r="E482">
        <v>0.53203940000000005</v>
      </c>
      <c r="F482" t="s">
        <v>42</v>
      </c>
      <c r="G482">
        <v>-306.12740000000002</v>
      </c>
      <c r="H482">
        <v>-0.05</v>
      </c>
      <c r="I482">
        <v>368.54500000000002</v>
      </c>
      <c r="J482">
        <v>-397.15069999999997</v>
      </c>
      <c r="K482">
        <v>1.0830869999999999</v>
      </c>
      <c r="L482">
        <v>367.60289999999998</v>
      </c>
      <c r="M482">
        <v>0.99999450000000001</v>
      </c>
      <c r="N482">
        <v>-1.203757E-3</v>
      </c>
      <c r="O482">
        <v>-3.089854E-3</v>
      </c>
      <c r="P482">
        <v>0.97462590000000004</v>
      </c>
      <c r="Q482">
        <v>0.2014224</v>
      </c>
      <c r="R482">
        <v>9.7640130000000006E-2</v>
      </c>
      <c r="S482">
        <v>3.0821839999999998</v>
      </c>
      <c r="T482">
        <v>-3.8199780000000003E-2</v>
      </c>
      <c r="U482">
        <v>3.1799319999999999E-2</v>
      </c>
      <c r="V482">
        <v>-0.1006702</v>
      </c>
      <c r="W482">
        <v>0.2025855</v>
      </c>
      <c r="X482">
        <v>0.97407630000000001</v>
      </c>
      <c r="Y482">
        <v>-1.3404910000000001E-2</v>
      </c>
      <c r="Z482">
        <v>1.2570499999999999E-4</v>
      </c>
      <c r="AA482">
        <v>0.99991010000000002</v>
      </c>
      <c r="AB482">
        <v>29</v>
      </c>
      <c r="AC482">
        <v>91.023299999999907</v>
      </c>
      <c r="AD482">
        <v>-1.133087</v>
      </c>
      <c r="AE482">
        <v>0.94210000000003902</v>
      </c>
      <c r="AF482">
        <v>-1.2231548941236901</v>
      </c>
      <c r="AG482">
        <v>-1.133087</v>
      </c>
      <c r="AH482">
        <v>91.005853722571203</v>
      </c>
      <c r="AI482">
        <v>90.713271550967505</v>
      </c>
      <c r="AJ482">
        <v>90.770031715180295</v>
      </c>
      <c r="AK482">
        <v>91.0211261511228</v>
      </c>
      <c r="AL482">
        <v>78.311807166161202</v>
      </c>
      <c r="AM482">
        <v>95.900535804152895</v>
      </c>
      <c r="AN482">
        <v>1.0000000060999801</v>
      </c>
    </row>
    <row r="483" spans="1:40" x14ac:dyDescent="0.25">
      <c r="A483" t="str">
        <f>"20190304155025478"</f>
        <v>20190304155025478</v>
      </c>
      <c r="B483" t="str">
        <f>"1551685825466959"</f>
        <v>1551685825466959</v>
      </c>
      <c r="C483" t="s">
        <v>40</v>
      </c>
      <c r="D483">
        <v>5.2174259999999997</v>
      </c>
      <c r="E483">
        <v>0.53133609999999998</v>
      </c>
      <c r="F483" t="s">
        <v>42</v>
      </c>
      <c r="G483">
        <v>-297.07249999999999</v>
      </c>
      <c r="H483">
        <v>-0.05</v>
      </c>
      <c r="I483">
        <v>368.57990000000001</v>
      </c>
      <c r="J483">
        <v>-396.99430000000001</v>
      </c>
      <c r="K483">
        <v>1.084657</v>
      </c>
      <c r="L483">
        <v>367.60250000000002</v>
      </c>
      <c r="M483">
        <v>0.99999439999999995</v>
      </c>
      <c r="N483">
        <v>-1.4398690000000001E-3</v>
      </c>
      <c r="O483">
        <v>-3.060077E-3</v>
      </c>
      <c r="P483">
        <v>0.97462519999999997</v>
      </c>
      <c r="Q483">
        <v>0.2015258</v>
      </c>
      <c r="R483">
        <v>9.7434309999999996E-2</v>
      </c>
      <c r="S483">
        <v>3.0822750000000001</v>
      </c>
      <c r="T483">
        <v>-3.4897570000000003E-2</v>
      </c>
      <c r="U483">
        <v>3.0090329999999998E-2</v>
      </c>
      <c r="V483">
        <v>-0.1004351</v>
      </c>
      <c r="W483">
        <v>0.20291890000000001</v>
      </c>
      <c r="X483">
        <v>0.97403119999999999</v>
      </c>
      <c r="Y483">
        <v>-1.2820730000000001E-2</v>
      </c>
      <c r="Z483">
        <v>1.1204330000000001E-4</v>
      </c>
      <c r="AA483">
        <v>0.99991779999999997</v>
      </c>
      <c r="AB483">
        <v>29</v>
      </c>
      <c r="AC483">
        <v>99.921800000000005</v>
      </c>
      <c r="AD483">
        <v>-1.134657</v>
      </c>
      <c r="AE483">
        <v>0.97739999999998795</v>
      </c>
      <c r="AF483">
        <v>-1.2829986843844401</v>
      </c>
      <c r="AG483">
        <v>-1.134657</v>
      </c>
      <c r="AH483">
        <v>99.905460037284698</v>
      </c>
      <c r="AI483">
        <v>90.6506441469447</v>
      </c>
      <c r="AJ483">
        <v>90.735759276721893</v>
      </c>
      <c r="AK483">
        <v>99.920140499267106</v>
      </c>
      <c r="AL483">
        <v>78.2922999127439</v>
      </c>
      <c r="AM483">
        <v>95.887123543278605</v>
      </c>
      <c r="AN483">
        <v>1.00000003393132</v>
      </c>
    </row>
    <row r="484" spans="1:40" x14ac:dyDescent="0.25">
      <c r="A484" t="str">
        <f>"20190304155025490"</f>
        <v>20190304155025490</v>
      </c>
      <c r="B484" t="str">
        <f>"1551685825487455"</f>
        <v>1551685825487455</v>
      </c>
      <c r="C484" t="s">
        <v>40</v>
      </c>
      <c r="D484">
        <v>5.8971559999999998</v>
      </c>
      <c r="E484">
        <v>0.53119399999999894</v>
      </c>
      <c r="F484" t="s">
        <v>42</v>
      </c>
      <c r="G484">
        <v>-286.49779999999998</v>
      </c>
      <c r="H484">
        <v>-0.05</v>
      </c>
      <c r="I484">
        <v>368.84460000000001</v>
      </c>
      <c r="J484">
        <v>-396.84109999999998</v>
      </c>
      <c r="K484">
        <v>1.0861909999999999</v>
      </c>
      <c r="L484">
        <v>367.60210000000001</v>
      </c>
      <c r="M484">
        <v>0.99999400000000005</v>
      </c>
      <c r="N484">
        <v>-1.7066129999999901E-3</v>
      </c>
      <c r="O484">
        <v>-3.029398E-3</v>
      </c>
      <c r="P484">
        <v>0.97465860000000004</v>
      </c>
      <c r="Q484">
        <v>0.2014454</v>
      </c>
      <c r="R484">
        <v>9.7266069999999996E-2</v>
      </c>
      <c r="S484">
        <v>3.081207</v>
      </c>
      <c r="T484">
        <v>-3.1640050000000003E-2</v>
      </c>
      <c r="U484">
        <v>3.463745E-2</v>
      </c>
      <c r="V484">
        <v>-0.1002376</v>
      </c>
      <c r="W484">
        <v>0.20309820000000001</v>
      </c>
      <c r="X484">
        <v>0.97401420000000005</v>
      </c>
      <c r="Y484">
        <v>-1.4268980000000001E-2</v>
      </c>
      <c r="Z484">
        <v>1.1137109999999999E-4</v>
      </c>
      <c r="AA484">
        <v>0.99989819999999996</v>
      </c>
      <c r="AB484">
        <v>29</v>
      </c>
      <c r="AC484">
        <v>110.3433</v>
      </c>
      <c r="AD484">
        <v>-1.136191</v>
      </c>
      <c r="AE484">
        <v>1.2424999999999999</v>
      </c>
      <c r="AF484">
        <v>-1.5766014037934299</v>
      </c>
      <c r="AG484">
        <v>-1.136191</v>
      </c>
      <c r="AH484">
        <v>110.327333601793</v>
      </c>
      <c r="AI484">
        <v>90.589971681934799</v>
      </c>
      <c r="AJ484">
        <v>90.818713325770304</v>
      </c>
      <c r="AK484">
        <v>110.34444771557899</v>
      </c>
      <c r="AL484">
        <v>78.281808605441398</v>
      </c>
      <c r="AM484">
        <v>95.875729748668903</v>
      </c>
      <c r="AN484">
        <v>1.0000000585493101</v>
      </c>
    </row>
    <row r="485" spans="1:40" x14ac:dyDescent="0.25">
      <c r="A485" t="str">
        <f>"20190304155025503"</f>
        <v>20190304155025503</v>
      </c>
      <c r="B485" t="str">
        <f>"1551685825497215"</f>
        <v>1551685825497215</v>
      </c>
      <c r="C485" t="s">
        <v>40</v>
      </c>
      <c r="D485">
        <v>5.2861609999999999</v>
      </c>
      <c r="E485">
        <v>0.53098849999999997</v>
      </c>
      <c r="F485" t="s">
        <v>41</v>
      </c>
      <c r="G485">
        <v>-269.83819999999997</v>
      </c>
      <c r="H485" s="1">
        <v>-1.9202180000000001E-7</v>
      </c>
      <c r="I485">
        <v>369.04919999999998</v>
      </c>
      <c r="J485">
        <v>-396.67469999999997</v>
      </c>
      <c r="K485">
        <v>1.087833</v>
      </c>
      <c r="L485">
        <v>367.60160000000002</v>
      </c>
      <c r="M485">
        <v>0.99999340000000003</v>
      </c>
      <c r="N485">
        <v>-2.0755610000000001E-3</v>
      </c>
      <c r="O485">
        <v>-2.9915779999999999E-3</v>
      </c>
      <c r="P485">
        <v>0.97479079999999996</v>
      </c>
      <c r="Q485">
        <v>0.2008133</v>
      </c>
      <c r="R485">
        <v>9.7247769999999997E-2</v>
      </c>
      <c r="S485">
        <v>3.079987</v>
      </c>
      <c r="T485">
        <v>-2.634156E-2</v>
      </c>
      <c r="U485">
        <v>3.5095210000000002E-2</v>
      </c>
      <c r="V485">
        <v>-0.10018340000000001</v>
      </c>
      <c r="W485">
        <v>0.20282549999999999</v>
      </c>
      <c r="X485">
        <v>0.97407650000000001</v>
      </c>
      <c r="Y485">
        <v>-1.438448E-2</v>
      </c>
      <c r="Z485" s="1">
        <v>9.5812569999999996E-5</v>
      </c>
      <c r="AA485">
        <v>0.99989649999999997</v>
      </c>
      <c r="AB485">
        <v>29</v>
      </c>
      <c r="AC485">
        <v>126.8365</v>
      </c>
      <c r="AD485">
        <v>-1.0878331920218001</v>
      </c>
      <c r="AE485">
        <v>1.44759999999996</v>
      </c>
      <c r="AF485">
        <v>-1.82690124405543</v>
      </c>
      <c r="AG485">
        <v>-1.0878331920218001</v>
      </c>
      <c r="AH485">
        <v>126.822274103694</v>
      </c>
      <c r="AI485">
        <v>90.491398354325696</v>
      </c>
      <c r="AJ485">
        <v>90.825300541486001</v>
      </c>
      <c r="AK485">
        <v>126.840096807129</v>
      </c>
      <c r="AL485">
        <v>78.297764135187293</v>
      </c>
      <c r="AM485">
        <v>95.872201888768302</v>
      </c>
      <c r="AN485">
        <v>0.999999962469029</v>
      </c>
    </row>
    <row r="486" spans="1:40" x14ac:dyDescent="0.25">
      <c r="A486" t="str">
        <f>"20190304155025515"</f>
        <v>20190304155025515</v>
      </c>
      <c r="B486" t="str">
        <f>"1551685825506975"</f>
        <v>1551685825506975</v>
      </c>
      <c r="C486" t="s">
        <v>40</v>
      </c>
      <c r="D486">
        <v>5.3460330000000003</v>
      </c>
      <c r="E486">
        <v>0.53088169999999901</v>
      </c>
      <c r="F486" t="s">
        <v>42</v>
      </c>
      <c r="G486">
        <v>-280.77789999999999</v>
      </c>
      <c r="H486">
        <v>-0.05</v>
      </c>
      <c r="I486">
        <v>369.00819999999999</v>
      </c>
      <c r="J486">
        <v>-396.5111</v>
      </c>
      <c r="K486">
        <v>1.089388</v>
      </c>
      <c r="L486">
        <v>367.60109999999997</v>
      </c>
      <c r="M486">
        <v>0.99999269999999996</v>
      </c>
      <c r="N486">
        <v>-2.4597360000000001E-3</v>
      </c>
      <c r="O486">
        <v>-2.9564700000000001E-3</v>
      </c>
      <c r="P486">
        <v>0.97505299999999995</v>
      </c>
      <c r="Q486">
        <v>0.19951930000000001</v>
      </c>
      <c r="R486">
        <v>9.7283010000000003E-2</v>
      </c>
      <c r="S486">
        <v>3.0800779999999999</v>
      </c>
      <c r="T486">
        <v>-3.023911E-2</v>
      </c>
      <c r="U486">
        <v>3.7384029999999999E-2</v>
      </c>
      <c r="V486">
        <v>-0.1001852</v>
      </c>
      <c r="W486">
        <v>0.20190649999999999</v>
      </c>
      <c r="X486">
        <v>0.9742672</v>
      </c>
      <c r="Y486">
        <v>-1.509169E-2</v>
      </c>
      <c r="Z486">
        <v>1.1439210000000001E-4</v>
      </c>
      <c r="AA486">
        <v>0.9998861</v>
      </c>
      <c r="AB486">
        <v>29</v>
      </c>
      <c r="AC486">
        <v>115.7332</v>
      </c>
      <c r="AD486">
        <v>-1.1393879999999901</v>
      </c>
      <c r="AE486">
        <v>1.40710000000001</v>
      </c>
      <c r="AF486">
        <v>-1.74908708472018</v>
      </c>
      <c r="AG486">
        <v>-1.1393879999999901</v>
      </c>
      <c r="AH486">
        <v>115.71732011399401</v>
      </c>
      <c r="AI486">
        <v>90.564069048099995</v>
      </c>
      <c r="AJ486">
        <v>90.865969561794401</v>
      </c>
      <c r="AK486">
        <v>115.73614683844001</v>
      </c>
      <c r="AL486">
        <v>78.351531177959103</v>
      </c>
      <c r="AM486">
        <v>95.871165260901094</v>
      </c>
      <c r="AN486">
        <v>0.99999994301856299</v>
      </c>
    </row>
    <row r="487" spans="1:40" x14ac:dyDescent="0.25">
      <c r="A487" t="str">
        <f>"20190304155025534"</f>
        <v>20190304155025534</v>
      </c>
      <c r="B487" t="str">
        <f>"1551685825527472"</f>
        <v>1551685825527472</v>
      </c>
      <c r="C487" t="s">
        <v>40</v>
      </c>
      <c r="D487">
        <v>5.324579</v>
      </c>
      <c r="E487">
        <v>0.53062500000000001</v>
      </c>
      <c r="F487" t="s">
        <v>42</v>
      </c>
      <c r="G487">
        <v>-299.97710000000001</v>
      </c>
      <c r="H487">
        <v>-0.05</v>
      </c>
      <c r="I487">
        <v>368.82240000000002</v>
      </c>
      <c r="J487">
        <v>-396.27159999999998</v>
      </c>
      <c r="K487">
        <v>1.0915570000000001</v>
      </c>
      <c r="L487">
        <v>367.60050000000001</v>
      </c>
      <c r="M487">
        <v>0.99999119999999997</v>
      </c>
      <c r="N487">
        <v>-3.0407260000000001E-3</v>
      </c>
      <c r="O487">
        <v>-2.9088460000000001E-3</v>
      </c>
      <c r="P487">
        <v>0.97544459999999999</v>
      </c>
      <c r="Q487">
        <v>0.19715469999999999</v>
      </c>
      <c r="R487">
        <v>9.8173099999999999E-2</v>
      </c>
      <c r="S487">
        <v>3.0803530000000001</v>
      </c>
      <c r="T487">
        <v>-3.6357279999999999E-2</v>
      </c>
      <c r="U487">
        <v>3.8970949999999997E-2</v>
      </c>
      <c r="V487">
        <v>-0.1010283</v>
      </c>
      <c r="W487">
        <v>0.2001095</v>
      </c>
      <c r="X487">
        <v>0.9745509</v>
      </c>
      <c r="Y487">
        <v>-1.555754E-2</v>
      </c>
      <c r="Z487">
        <v>1.4094699999999999E-4</v>
      </c>
      <c r="AA487">
        <v>0.99987890000000001</v>
      </c>
      <c r="AB487">
        <v>29</v>
      </c>
      <c r="AC487">
        <v>96.2944999999999</v>
      </c>
      <c r="AD487">
        <v>-1.1415569999999999</v>
      </c>
      <c r="AE487">
        <v>1.2219</v>
      </c>
      <c r="AF487">
        <v>-1.50179095751793</v>
      </c>
      <c r="AG487">
        <v>-1.1415569999999999</v>
      </c>
      <c r="AH487">
        <v>96.277009915375899</v>
      </c>
      <c r="AI487">
        <v>90.679241894407795</v>
      </c>
      <c r="AJ487">
        <v>90.893664082509702</v>
      </c>
      <c r="AK487">
        <v>96.295488818063205</v>
      </c>
      <c r="AL487">
        <v>78.456637552716799</v>
      </c>
      <c r="AM487">
        <v>95.918512883694007</v>
      </c>
      <c r="AN487">
        <v>0.99999999304097398</v>
      </c>
    </row>
    <row r="488" spans="1:40" x14ac:dyDescent="0.25">
      <c r="A488" t="str">
        <f>"20190304155025546"</f>
        <v>20190304155025546</v>
      </c>
      <c r="B488" t="str">
        <f>"1551685825537232"</f>
        <v>1551685825537232</v>
      </c>
      <c r="C488" t="s">
        <v>40</v>
      </c>
      <c r="D488">
        <v>5.2994570000000003</v>
      </c>
      <c r="E488">
        <v>0.53056510000000001</v>
      </c>
      <c r="F488" t="s">
        <v>41</v>
      </c>
      <c r="G488">
        <v>-323.02550000000002</v>
      </c>
      <c r="H488" s="1">
        <v>-3.1467179999999999E-6</v>
      </c>
      <c r="I488">
        <v>368.6447</v>
      </c>
      <c r="J488">
        <v>-396.1087</v>
      </c>
      <c r="K488">
        <v>1.092959</v>
      </c>
      <c r="L488">
        <v>367.6</v>
      </c>
      <c r="M488">
        <v>0.99998989999999999</v>
      </c>
      <c r="N488">
        <v>-3.4372809999999999E-3</v>
      </c>
      <c r="O488">
        <v>-2.8787219999999998E-3</v>
      </c>
      <c r="P488">
        <v>0.97578750000000003</v>
      </c>
      <c r="Q488">
        <v>0.19504869999999999</v>
      </c>
      <c r="R488">
        <v>9.8969169999999995E-2</v>
      </c>
      <c r="S488">
        <v>3.0803829999999999</v>
      </c>
      <c r="T488">
        <v>-4.5905830000000002E-2</v>
      </c>
      <c r="U488">
        <v>4.3914790000000002E-2</v>
      </c>
      <c r="V488">
        <v>-0.1017951</v>
      </c>
      <c r="W488">
        <v>0.19839190000000001</v>
      </c>
      <c r="X488">
        <v>0.97482230000000003</v>
      </c>
      <c r="Y488">
        <v>-1.7130690000000001E-2</v>
      </c>
      <c r="Z488">
        <v>1.9007980000000001E-4</v>
      </c>
      <c r="AA488">
        <v>0.99985329999999994</v>
      </c>
      <c r="AB488">
        <v>29</v>
      </c>
      <c r="AC488">
        <v>73.083199999999906</v>
      </c>
      <c r="AD488">
        <v>-1.092962146718</v>
      </c>
      <c r="AE488">
        <v>1.04469999999997</v>
      </c>
      <c r="AF488">
        <v>-1.2548025567524199</v>
      </c>
      <c r="AG488">
        <v>-1.092962146718</v>
      </c>
      <c r="AH488">
        <v>73.0635521957999</v>
      </c>
      <c r="AI488">
        <v>90.856900804249307</v>
      </c>
      <c r="AJ488">
        <v>90.9839081352455</v>
      </c>
      <c r="AK488">
        <v>73.082499650593306</v>
      </c>
      <c r="AL488">
        <v>78.557063152940202</v>
      </c>
      <c r="AM488">
        <v>95.961463406911307</v>
      </c>
      <c r="AN488">
        <v>1.00000005247345</v>
      </c>
    </row>
    <row r="489" spans="1:40" x14ac:dyDescent="0.25">
      <c r="A489" t="str">
        <f>"20190304155025558"</f>
        <v>20190304155025558</v>
      </c>
      <c r="B489" t="str">
        <f>"1551685825546992"</f>
        <v>1551685825546992</v>
      </c>
      <c r="C489" t="s">
        <v>40</v>
      </c>
      <c r="D489">
        <v>5.4684439999999999</v>
      </c>
      <c r="E489">
        <v>0.53054650000000003</v>
      </c>
      <c r="F489" t="s">
        <v>41</v>
      </c>
      <c r="G489">
        <v>-337.0496</v>
      </c>
      <c r="H489" s="1">
        <v>-1.447986E-6</v>
      </c>
      <c r="I489">
        <v>368.48910000000001</v>
      </c>
      <c r="J489">
        <v>-395.94450000000001</v>
      </c>
      <c r="K489">
        <v>1.0942670000000001</v>
      </c>
      <c r="L489">
        <v>367.59960000000001</v>
      </c>
      <c r="M489">
        <v>0.99998869999999895</v>
      </c>
      <c r="N489">
        <v>-3.8289790000000001E-3</v>
      </c>
      <c r="O489">
        <v>-2.8547490000000002E-3</v>
      </c>
      <c r="P489">
        <v>0.97598839999999998</v>
      </c>
      <c r="Q489">
        <v>0.1933764</v>
      </c>
      <c r="R489">
        <v>0.10026259999999999</v>
      </c>
      <c r="S489">
        <v>3.0811160000000002</v>
      </c>
      <c r="T489">
        <v>-5.7019710000000001E-2</v>
      </c>
      <c r="U489">
        <v>4.6386719999999999E-2</v>
      </c>
      <c r="V489">
        <v>-0.1030648</v>
      </c>
      <c r="W489">
        <v>0.19710269999999999</v>
      </c>
      <c r="X489">
        <v>0.97495039999999999</v>
      </c>
      <c r="Y489">
        <v>-1.7903840000000001E-2</v>
      </c>
      <c r="Z489">
        <v>2.418186E-4</v>
      </c>
      <c r="AA489">
        <v>0.9998397</v>
      </c>
      <c r="AB489">
        <v>29</v>
      </c>
      <c r="AC489">
        <v>58.8949</v>
      </c>
      <c r="AD489">
        <v>-1.0942684479860001</v>
      </c>
      <c r="AE489">
        <v>0.88949999999999796</v>
      </c>
      <c r="AF489">
        <v>-1.0572628450250801</v>
      </c>
      <c r="AG489">
        <v>-1.0942684479860001</v>
      </c>
      <c r="AH489">
        <v>58.8718017723617</v>
      </c>
      <c r="AI489">
        <v>91.064680178445997</v>
      </c>
      <c r="AJ489">
        <v>91.028848888157597</v>
      </c>
      <c r="AK489">
        <v>58.891461792724897</v>
      </c>
      <c r="AL489">
        <v>78.632416909538605</v>
      </c>
      <c r="AM489">
        <v>96.034488710287505</v>
      </c>
      <c r="AN489">
        <v>1.00000005490324</v>
      </c>
    </row>
    <row r="490" spans="1:40" x14ac:dyDescent="0.25">
      <c r="A490" t="str">
        <f>"20190304155025572"</f>
        <v>20190304155025572</v>
      </c>
      <c r="B490" t="str">
        <f>"1551685825567488"</f>
        <v>1551685825567488</v>
      </c>
      <c r="C490" t="s">
        <v>40</v>
      </c>
      <c r="D490">
        <v>5.3634899999999996</v>
      </c>
      <c r="E490">
        <v>0.5304257</v>
      </c>
      <c r="F490" t="s">
        <v>41</v>
      </c>
      <c r="G490">
        <v>-336.70749999999998</v>
      </c>
      <c r="H490" s="1">
        <v>-1.5813899999999999E-6</v>
      </c>
      <c r="I490">
        <v>368.56450000000001</v>
      </c>
      <c r="J490">
        <v>-395.7663</v>
      </c>
      <c r="K490">
        <v>1.0956269999999999</v>
      </c>
      <c r="L490">
        <v>367.5992</v>
      </c>
      <c r="M490">
        <v>0.99998710000000002</v>
      </c>
      <c r="N490">
        <v>-4.246924E-3</v>
      </c>
      <c r="O490">
        <v>-2.830796E-3</v>
      </c>
      <c r="P490">
        <v>0.97616480000000005</v>
      </c>
      <c r="Q490">
        <v>0.1920133</v>
      </c>
      <c r="R490">
        <v>0.1011625</v>
      </c>
      <c r="S490">
        <v>3.079895</v>
      </c>
      <c r="T490">
        <v>-5.6893939999999997E-2</v>
      </c>
      <c r="U490">
        <v>5.0170899999999997E-2</v>
      </c>
      <c r="V490">
        <v>-0.10394</v>
      </c>
      <c r="W490">
        <v>0.1961485</v>
      </c>
      <c r="X490">
        <v>0.97504990000000002</v>
      </c>
      <c r="Y490">
        <v>-1.9113729999999999E-2</v>
      </c>
      <c r="Z490">
        <v>2.5737280000000002E-4</v>
      </c>
      <c r="AA490">
        <v>0.99981730000000002</v>
      </c>
      <c r="AB490">
        <v>29</v>
      </c>
      <c r="AC490">
        <v>59.058799999999998</v>
      </c>
      <c r="AD490">
        <v>-1.09562858139</v>
      </c>
      <c r="AE490">
        <v>0.96530000000001304</v>
      </c>
      <c r="AF490">
        <v>-1.1320915199397099</v>
      </c>
      <c r="AG490">
        <v>-1.09562858139</v>
      </c>
      <c r="AH490">
        <v>59.035518671620601</v>
      </c>
      <c r="AI490">
        <v>91.063023654515206</v>
      </c>
      <c r="AJ490">
        <v>91.098594852296003</v>
      </c>
      <c r="AK490">
        <v>59.056536454698602</v>
      </c>
      <c r="AL490">
        <v>78.688176799290005</v>
      </c>
      <c r="AM490">
        <v>96.084732825824304</v>
      </c>
      <c r="AN490">
        <v>1.00000003257112</v>
      </c>
    </row>
    <row r="491" spans="1:40" x14ac:dyDescent="0.25">
      <c r="A491" t="str">
        <f>"20190304155025589"</f>
        <v>20190304155025589</v>
      </c>
      <c r="B491" t="str">
        <f>"1551685825587008"</f>
        <v>1551685825587008</v>
      </c>
      <c r="C491" t="s">
        <v>40</v>
      </c>
      <c r="D491">
        <v>5.3590929999999997</v>
      </c>
      <c r="E491">
        <v>0.53045920000000002</v>
      </c>
      <c r="F491" t="s">
        <v>41</v>
      </c>
      <c r="G491">
        <v>-342.09460000000001</v>
      </c>
      <c r="H491" s="1">
        <v>-3.9085440000000003E-6</v>
      </c>
      <c r="I491">
        <v>368.53879999999998</v>
      </c>
      <c r="J491">
        <v>-395.53719999999998</v>
      </c>
      <c r="K491">
        <v>1.09724</v>
      </c>
      <c r="L491">
        <v>367.5985</v>
      </c>
      <c r="M491">
        <v>0.99998489999999995</v>
      </c>
      <c r="N491">
        <v>-4.7661989999999996E-3</v>
      </c>
      <c r="O491">
        <v>-2.8042090000000002E-3</v>
      </c>
      <c r="P491">
        <v>0.97627739999999996</v>
      </c>
      <c r="Q491">
        <v>0.1905896</v>
      </c>
      <c r="R491">
        <v>0.1027536</v>
      </c>
      <c r="S491">
        <v>3.079987</v>
      </c>
      <c r="T491">
        <v>-6.2873600000000002E-2</v>
      </c>
      <c r="U491">
        <v>5.3924560000000003E-2</v>
      </c>
      <c r="V491">
        <v>-0.1055017</v>
      </c>
      <c r="W491">
        <v>0.1952333</v>
      </c>
      <c r="X491">
        <v>0.97506579999999998</v>
      </c>
      <c r="Y491">
        <v>-2.030355E-2</v>
      </c>
      <c r="Z491">
        <v>2.9946299999999998E-4</v>
      </c>
      <c r="AA491">
        <v>0.99979379999999995</v>
      </c>
      <c r="AB491">
        <v>29</v>
      </c>
      <c r="AC491">
        <v>53.442599999999899</v>
      </c>
      <c r="AD491">
        <v>-1.097243908544</v>
      </c>
      <c r="AE491">
        <v>0.94029999999997904</v>
      </c>
      <c r="AF491">
        <v>-1.0897029932576301</v>
      </c>
      <c r="AG491">
        <v>-1.097243908544</v>
      </c>
      <c r="AH491">
        <v>53.417242899893203</v>
      </c>
      <c r="AI491">
        <v>91.176502759814397</v>
      </c>
      <c r="AJ491">
        <v>91.168662407724099</v>
      </c>
      <c r="AK491">
        <v>53.439622339931802</v>
      </c>
      <c r="AL491">
        <v>78.741647149705003</v>
      </c>
      <c r="AM491">
        <v>96.17535486973</v>
      </c>
      <c r="AN491">
        <v>0.99999998223070896</v>
      </c>
    </row>
    <row r="492" spans="1:40" x14ac:dyDescent="0.25">
      <c r="A492" t="str">
        <f>"20190304155025603"</f>
        <v>20190304155025603</v>
      </c>
      <c r="B492" t="str">
        <f>"1551685825596768"</f>
        <v>1551685825596768</v>
      </c>
      <c r="C492" t="s">
        <v>40</v>
      </c>
      <c r="D492">
        <v>5.4390580000000002</v>
      </c>
      <c r="E492">
        <v>0.53059820000000002</v>
      </c>
      <c r="F492" t="s">
        <v>41</v>
      </c>
      <c r="G492">
        <v>-345.48840000000001</v>
      </c>
      <c r="H492" s="1">
        <v>-2.302438E-6</v>
      </c>
      <c r="I492">
        <v>368.54910000000001</v>
      </c>
      <c r="J492">
        <v>-395.3501</v>
      </c>
      <c r="K492">
        <v>1.0984339999999999</v>
      </c>
      <c r="L492">
        <v>367.59800000000001</v>
      </c>
      <c r="M492">
        <v>0.99998279999999995</v>
      </c>
      <c r="N492">
        <v>-5.1692639999999998E-3</v>
      </c>
      <c r="O492">
        <v>-2.7859299999999998E-3</v>
      </c>
      <c r="P492">
        <v>0.97639450000000005</v>
      </c>
      <c r="Q492">
        <v>0.18981039999999999</v>
      </c>
      <c r="R492">
        <v>0.1030823</v>
      </c>
      <c r="S492">
        <v>3.079895</v>
      </c>
      <c r="T492">
        <v>-6.7521929999999994E-2</v>
      </c>
      <c r="U492">
        <v>5.85021999999999E-2</v>
      </c>
      <c r="V492">
        <v>-0.1058098</v>
      </c>
      <c r="W492">
        <v>0.19484940000000001</v>
      </c>
      <c r="X492">
        <v>0.97510920000000001</v>
      </c>
      <c r="Y492">
        <v>-2.1769980000000001E-2</v>
      </c>
      <c r="Z492">
        <v>3.4153370000000001E-4</v>
      </c>
      <c r="AA492">
        <v>0.99976299999999996</v>
      </c>
      <c r="AB492">
        <v>29</v>
      </c>
      <c r="AC492">
        <v>49.8616999999999</v>
      </c>
      <c r="AD492">
        <v>-1.0984363024379999</v>
      </c>
      <c r="AE492">
        <v>0.95109999999999595</v>
      </c>
      <c r="AF492">
        <v>-1.0894808258636</v>
      </c>
      <c r="AG492">
        <v>-1.0984363024379999</v>
      </c>
      <c r="AH492">
        <v>49.834680493512401</v>
      </c>
      <c r="AI492">
        <v>91.262384895582798</v>
      </c>
      <c r="AJ492">
        <v>91.252395131225995</v>
      </c>
      <c r="AK492">
        <v>49.858689419908501</v>
      </c>
      <c r="AL492">
        <v>78.764073644127393</v>
      </c>
      <c r="AM492">
        <v>96.192975506380293</v>
      </c>
      <c r="AN492">
        <v>0.99999997719051903</v>
      </c>
    </row>
    <row r="493" spans="1:40" x14ac:dyDescent="0.25">
      <c r="A493" t="str">
        <f>"20190304155025617"</f>
        <v>20190304155025617</v>
      </c>
      <c r="B493" t="str">
        <f>"1551685825607504"</f>
        <v>1551685825607504</v>
      </c>
      <c r="C493" t="s">
        <v>40</v>
      </c>
      <c r="D493">
        <v>5.0180199999999999</v>
      </c>
      <c r="E493">
        <v>0.53002399999999905</v>
      </c>
      <c r="F493" t="s">
        <v>41</v>
      </c>
      <c r="G493">
        <v>-346.42160000000001</v>
      </c>
      <c r="H493" s="1">
        <v>-1.8647210000000001E-6</v>
      </c>
      <c r="I493">
        <v>368.52980000000002</v>
      </c>
      <c r="J493">
        <v>-395.18130000000002</v>
      </c>
      <c r="K493">
        <v>1.0994330000000001</v>
      </c>
      <c r="L493">
        <v>367.5976</v>
      </c>
      <c r="M493">
        <v>0.99998100000000001</v>
      </c>
      <c r="N493">
        <v>-5.5141790000000001E-3</v>
      </c>
      <c r="O493">
        <v>-2.7722250000000001E-3</v>
      </c>
      <c r="P493">
        <v>0.9765604</v>
      </c>
      <c r="Q493">
        <v>0.188887</v>
      </c>
      <c r="R493">
        <v>0.1032086</v>
      </c>
      <c r="S493">
        <v>3.0798030000000001</v>
      </c>
      <c r="T493">
        <v>-6.9141030000000006E-2</v>
      </c>
      <c r="U493">
        <v>5.8654789999999998E-2</v>
      </c>
      <c r="V493">
        <v>-0.10592</v>
      </c>
      <c r="W493">
        <v>0.19426570000000001</v>
      </c>
      <c r="X493">
        <v>0.97521369999999996</v>
      </c>
      <c r="Y493">
        <v>-2.1805979999999999E-2</v>
      </c>
      <c r="Z493">
        <v>3.5179269999999999E-4</v>
      </c>
      <c r="AA493">
        <v>0.99976220000000005</v>
      </c>
      <c r="AB493">
        <v>29</v>
      </c>
      <c r="AC493">
        <v>48.759700000000002</v>
      </c>
      <c r="AD493">
        <v>-1.0994348647209999</v>
      </c>
      <c r="AE493">
        <v>0.93220000000002201</v>
      </c>
      <c r="AF493">
        <v>-1.0668291340032099</v>
      </c>
      <c r="AG493">
        <v>-1.0994348647209999</v>
      </c>
      <c r="AH493">
        <v>48.732161292192899</v>
      </c>
      <c r="AI493">
        <v>91.292107925584602</v>
      </c>
      <c r="AJ493">
        <v>91.254100852954195</v>
      </c>
      <c r="AK493">
        <v>48.756234735992699</v>
      </c>
      <c r="AL493">
        <v>78.798168795467305</v>
      </c>
      <c r="AM493">
        <v>96.198716112196493</v>
      </c>
      <c r="AN493">
        <v>0.99999998463208895</v>
      </c>
    </row>
    <row r="494" spans="1:40" x14ac:dyDescent="0.25">
      <c r="A494" t="str">
        <f>"20190304155025633"</f>
        <v>20190304155025633</v>
      </c>
      <c r="B494" t="str">
        <f>"1551685825627023"</f>
        <v>1551685825627023</v>
      </c>
      <c r="C494" t="s">
        <v>40</v>
      </c>
      <c r="D494">
        <v>5.3715190000000002</v>
      </c>
      <c r="E494">
        <v>0.52999459999999998</v>
      </c>
      <c r="F494" t="s">
        <v>41</v>
      </c>
      <c r="G494">
        <v>-348.00409999999999</v>
      </c>
      <c r="H494" s="1">
        <v>-1.108888E-6</v>
      </c>
      <c r="I494">
        <v>368.57389999999998</v>
      </c>
      <c r="J494">
        <v>-394.95659999999998</v>
      </c>
      <c r="K494">
        <v>1.1006579999999999</v>
      </c>
      <c r="L494">
        <v>367.59699999999998</v>
      </c>
      <c r="M494">
        <v>0.99997849999999999</v>
      </c>
      <c r="N494">
        <v>-5.9504479999999997E-3</v>
      </c>
      <c r="O494">
        <v>-2.7577909999999999E-3</v>
      </c>
      <c r="P494">
        <v>0.97681649999999998</v>
      </c>
      <c r="Q494">
        <v>0.18758739999999999</v>
      </c>
      <c r="R494">
        <v>0.1031532</v>
      </c>
      <c r="S494">
        <v>3.0791930000000001</v>
      </c>
      <c r="T494">
        <v>-7.1758630000000004E-2</v>
      </c>
      <c r="U494">
        <v>6.3720700000000005E-2</v>
      </c>
      <c r="V494">
        <v>-0.10584689999999999</v>
      </c>
      <c r="W494">
        <v>0.19339509999999999</v>
      </c>
      <c r="X494">
        <v>0.97539469999999995</v>
      </c>
      <c r="Y494">
        <v>-2.3438299999999999E-2</v>
      </c>
      <c r="Z494">
        <v>3.9064189999999998E-4</v>
      </c>
      <c r="AA494">
        <v>0.99972519999999998</v>
      </c>
      <c r="AB494">
        <v>29</v>
      </c>
      <c r="AC494">
        <v>46.952499999999901</v>
      </c>
      <c r="AD494">
        <v>-1.100659108888</v>
      </c>
      <c r="AE494">
        <v>0.97689999999999999</v>
      </c>
      <c r="AF494">
        <v>-1.10577636859883</v>
      </c>
      <c r="AG494">
        <v>-1.100659108888</v>
      </c>
      <c r="AH494">
        <v>46.9238525952412</v>
      </c>
      <c r="AI494">
        <v>91.343326749206398</v>
      </c>
      <c r="AJ494">
        <v>91.349944465861995</v>
      </c>
      <c r="AK494">
        <v>46.949783111652998</v>
      </c>
      <c r="AL494">
        <v>78.849015261100902</v>
      </c>
      <c r="AM494">
        <v>96.193330829183907</v>
      </c>
      <c r="AN494">
        <v>1.0000000258658499</v>
      </c>
    </row>
    <row r="495" spans="1:40" x14ac:dyDescent="0.25">
      <c r="A495" t="str">
        <f>"20190304155025645"</f>
        <v>20190304155025645</v>
      </c>
      <c r="B495" t="str">
        <f>"1551685825636783"</f>
        <v>1551685825636783</v>
      </c>
      <c r="C495" t="s">
        <v>40</v>
      </c>
      <c r="D495">
        <v>5.3709790000000002</v>
      </c>
      <c r="E495">
        <v>0.53007760000000004</v>
      </c>
      <c r="F495" t="s">
        <v>41</v>
      </c>
      <c r="G495">
        <v>-349.96539999999999</v>
      </c>
      <c r="H495" s="1">
        <v>-4.479238E-6</v>
      </c>
      <c r="I495">
        <v>368.53339999999997</v>
      </c>
      <c r="J495">
        <v>-394.803</v>
      </c>
      <c r="K495">
        <v>1.1014360000000001</v>
      </c>
      <c r="L495">
        <v>367.59660000000002</v>
      </c>
      <c r="M495">
        <v>0.99997689999999995</v>
      </c>
      <c r="N495">
        <v>-6.2332589999999997E-3</v>
      </c>
      <c r="O495">
        <v>-2.7505799999999999E-3</v>
      </c>
      <c r="P495">
        <v>0.97697060000000002</v>
      </c>
      <c r="Q495">
        <v>0.1869702</v>
      </c>
      <c r="R495">
        <v>0.1028143</v>
      </c>
      <c r="S495">
        <v>3.0788570000000002</v>
      </c>
      <c r="T495">
        <v>-7.532084E-2</v>
      </c>
      <c r="U495">
        <v>6.4086909999999997E-2</v>
      </c>
      <c r="V495">
        <v>-0.1054992</v>
      </c>
      <c r="W495">
        <v>0.1930559</v>
      </c>
      <c r="X495">
        <v>0.97549949999999996</v>
      </c>
      <c r="Y495">
        <v>-2.3551320000000001E-2</v>
      </c>
      <c r="Z495">
        <v>4.115589E-4</v>
      </c>
      <c r="AA495">
        <v>0.99972249999999996</v>
      </c>
      <c r="AB495">
        <v>29</v>
      </c>
      <c r="AC495">
        <v>44.837600000000002</v>
      </c>
      <c r="AD495">
        <v>-1.1014404792379999</v>
      </c>
      <c r="AE495">
        <v>0.93679999999994801</v>
      </c>
      <c r="AF495">
        <v>-1.05948918032849</v>
      </c>
      <c r="AG495">
        <v>-1.1014404792379999</v>
      </c>
      <c r="AH495">
        <v>44.807826346968398</v>
      </c>
      <c r="AI495">
        <v>91.407735346282493</v>
      </c>
      <c r="AJ495">
        <v>91.354516701058202</v>
      </c>
      <c r="AK495">
        <v>44.833882169544601</v>
      </c>
      <c r="AL495">
        <v>78.868822632606793</v>
      </c>
      <c r="AM495">
        <v>96.172485411356703</v>
      </c>
      <c r="AN495">
        <v>0.99999996811284897</v>
      </c>
    </row>
    <row r="496" spans="1:40" x14ac:dyDescent="0.25">
      <c r="A496" t="str">
        <f>"20190304155025657"</f>
        <v>20190304155025657</v>
      </c>
      <c r="B496" t="str">
        <f>"1551685825647520"</f>
        <v>1551685825647520</v>
      </c>
      <c r="C496" t="s">
        <v>40</v>
      </c>
      <c r="D496">
        <v>5.4833679999999996</v>
      </c>
      <c r="E496">
        <v>0.53023489999999995</v>
      </c>
      <c r="F496" t="s">
        <v>41</v>
      </c>
      <c r="G496">
        <v>-351.14800000000002</v>
      </c>
      <c r="H496" s="1">
        <v>-3.9819090000000004E-6</v>
      </c>
      <c r="I496">
        <v>368.47699999999998</v>
      </c>
      <c r="J496">
        <v>-394.64920000000001</v>
      </c>
      <c r="K496">
        <v>1.1021399999999999</v>
      </c>
      <c r="L496">
        <v>367.59609999999998</v>
      </c>
      <c r="M496">
        <v>0.99997530000000001</v>
      </c>
      <c r="N496">
        <v>-6.4962730000000003E-3</v>
      </c>
      <c r="O496">
        <v>-2.7461970000000001E-3</v>
      </c>
      <c r="P496">
        <v>0.97703530000000005</v>
      </c>
      <c r="Q496">
        <v>0.18681680000000001</v>
      </c>
      <c r="R496">
        <v>0.10247920000000001</v>
      </c>
      <c r="S496">
        <v>3.0790410000000001</v>
      </c>
      <c r="T496">
        <v>-7.7685710000000005E-2</v>
      </c>
      <c r="U496">
        <v>6.2103270000000002E-2</v>
      </c>
      <c r="V496">
        <v>-0.1051589</v>
      </c>
      <c r="W496">
        <v>0.19316030000000001</v>
      </c>
      <c r="X496">
        <v>0.97551560000000004</v>
      </c>
      <c r="Y496">
        <v>-2.2901560000000001E-2</v>
      </c>
      <c r="Z496">
        <v>4.1467819999999999E-4</v>
      </c>
      <c r="AA496">
        <v>0.9997376</v>
      </c>
      <c r="AB496">
        <v>29</v>
      </c>
      <c r="AC496">
        <v>43.501199999999898</v>
      </c>
      <c r="AD496">
        <v>-1.102143981909</v>
      </c>
      <c r="AE496">
        <v>0.88089999999999602</v>
      </c>
      <c r="AF496">
        <v>-0.99972057573055695</v>
      </c>
      <c r="AG496">
        <v>-1.102143981909</v>
      </c>
      <c r="AH496">
        <v>43.470723925127899</v>
      </c>
      <c r="AI496">
        <v>91.451965495608803</v>
      </c>
      <c r="AJ496">
        <v>91.317430894272107</v>
      </c>
      <c r="AK496">
        <v>43.496183753992497</v>
      </c>
      <c r="AL496">
        <v>78.862726458739402</v>
      </c>
      <c r="AM496">
        <v>96.1526275268658</v>
      </c>
      <c r="AN496">
        <v>0.999999990794329</v>
      </c>
    </row>
    <row r="497" spans="1:40" x14ac:dyDescent="0.25">
      <c r="A497" t="str">
        <f>"20190304155025669"</f>
        <v>20190304155025669</v>
      </c>
      <c r="B497" t="str">
        <f>"1551685825657280"</f>
        <v>1551685825657280</v>
      </c>
      <c r="C497" t="s">
        <v>40</v>
      </c>
      <c r="D497">
        <v>5.3641319999999997</v>
      </c>
      <c r="E497">
        <v>0.53028609999999998</v>
      </c>
      <c r="F497" t="s">
        <v>41</v>
      </c>
      <c r="G497">
        <v>-351.45839999999998</v>
      </c>
      <c r="H497" s="1">
        <v>-3.8561189999999997E-6</v>
      </c>
      <c r="I497">
        <v>368.43549999999999</v>
      </c>
      <c r="J497">
        <v>-394.48939999999999</v>
      </c>
      <c r="K497">
        <v>1.10284</v>
      </c>
      <c r="L497">
        <v>367.59570000000002</v>
      </c>
      <c r="M497">
        <v>0.99997329999999995</v>
      </c>
      <c r="N497">
        <v>-6.7616500000000001E-3</v>
      </c>
      <c r="O497">
        <v>-2.7424509999999999E-3</v>
      </c>
      <c r="P497">
        <v>0.9771495</v>
      </c>
      <c r="Q497">
        <v>0.18670049999999999</v>
      </c>
      <c r="R497">
        <v>0.10159459999999999</v>
      </c>
      <c r="S497">
        <v>3.0792540000000002</v>
      </c>
      <c r="T497">
        <v>-7.8576209999999994E-2</v>
      </c>
      <c r="U497">
        <v>5.9844969999999997E-2</v>
      </c>
      <c r="V497">
        <v>-0.10426920000000001</v>
      </c>
      <c r="W497">
        <v>0.1933039</v>
      </c>
      <c r="X497">
        <v>0.97558270000000002</v>
      </c>
      <c r="Y497">
        <v>-2.2163539999999999E-2</v>
      </c>
      <c r="Z497">
        <v>4.0909019999999999E-4</v>
      </c>
      <c r="AA497">
        <v>0.99975429999999998</v>
      </c>
      <c r="AB497">
        <v>29</v>
      </c>
      <c r="AC497">
        <v>43.030999999999999</v>
      </c>
      <c r="AD497">
        <v>-1.1028438561189999</v>
      </c>
      <c r="AE497">
        <v>0.83979999999996802</v>
      </c>
      <c r="AF497">
        <v>-0.95718147410597099</v>
      </c>
      <c r="AG497">
        <v>-1.1028438561189999</v>
      </c>
      <c r="AH497">
        <v>43.000301082898702</v>
      </c>
      <c r="AI497">
        <v>91.468799255255007</v>
      </c>
      <c r="AJ497">
        <v>91.275186494500304</v>
      </c>
      <c r="AK497">
        <v>43.025089821699197</v>
      </c>
      <c r="AL497">
        <v>78.854341229464893</v>
      </c>
      <c r="AM497">
        <v>96.100550822189604</v>
      </c>
      <c r="AN497">
        <v>1.00000003418156</v>
      </c>
    </row>
    <row r="498" spans="1:40" x14ac:dyDescent="0.25">
      <c r="A498" t="str">
        <f>"20190304155025681"</f>
        <v>20190304155025681</v>
      </c>
      <c r="B498" t="str">
        <f>"1551685825676799"</f>
        <v>1551685825676799</v>
      </c>
      <c r="C498" t="s">
        <v>40</v>
      </c>
      <c r="D498">
        <v>5.4512369999999999</v>
      </c>
      <c r="E498">
        <v>0.53036340000000004</v>
      </c>
      <c r="F498" t="s">
        <v>41</v>
      </c>
      <c r="G498">
        <v>-351.47949999999997</v>
      </c>
      <c r="H498" s="1">
        <v>-3.8561439999999998E-6</v>
      </c>
      <c r="I498">
        <v>368.38420000000002</v>
      </c>
      <c r="J498">
        <v>-394.3295</v>
      </c>
      <c r="K498">
        <v>1.103472</v>
      </c>
      <c r="L498">
        <v>367.59519999999998</v>
      </c>
      <c r="M498">
        <v>0.99997179999999997</v>
      </c>
      <c r="N498">
        <v>-7.0066649999999996E-3</v>
      </c>
      <c r="O498">
        <v>-2.7415199999999999E-3</v>
      </c>
      <c r="P498">
        <v>0.97724029999999995</v>
      </c>
      <c r="Q498">
        <v>0.18652199999999999</v>
      </c>
      <c r="R498">
        <v>0.10105119999999999</v>
      </c>
      <c r="S498">
        <v>3.0793759999999999</v>
      </c>
      <c r="T498">
        <v>-7.8960059999999999E-2</v>
      </c>
      <c r="U498">
        <v>5.6457519999999997E-2</v>
      </c>
      <c r="V498">
        <v>-0.1037246</v>
      </c>
      <c r="W498">
        <v>0.1933656</v>
      </c>
      <c r="X498">
        <v>0.97562850000000001</v>
      </c>
      <c r="Y498">
        <v>-2.1062770000000001E-2</v>
      </c>
      <c r="Z498">
        <v>3.9486140000000001E-4</v>
      </c>
      <c r="AA498">
        <v>0.9997781</v>
      </c>
      <c r="AB498">
        <v>29</v>
      </c>
      <c r="AC498">
        <v>42.85</v>
      </c>
      <c r="AD498">
        <v>-1.1034758561439999</v>
      </c>
      <c r="AE498">
        <v>0.789000000000044</v>
      </c>
      <c r="AF498">
        <v>-0.90587349484371205</v>
      </c>
      <c r="AG498">
        <v>-1.1034758561439999</v>
      </c>
      <c r="AH498">
        <v>42.819289063004902</v>
      </c>
      <c r="AI498">
        <v>91.475885883974897</v>
      </c>
      <c r="AJ498">
        <v>91.211953490088902</v>
      </c>
      <c r="AK498">
        <v>42.8430832412296</v>
      </c>
      <c r="AL498">
        <v>78.850737814402606</v>
      </c>
      <c r="AM498">
        <v>96.068643167943506</v>
      </c>
      <c r="AN498">
        <v>1.00000000896038</v>
      </c>
    </row>
    <row r="499" spans="1:40" x14ac:dyDescent="0.25">
      <c r="A499" t="str">
        <f>"20190304155025693"</f>
        <v>20190304155025693</v>
      </c>
      <c r="B499" t="str">
        <f>"1551685825687535"</f>
        <v>1551685825687535</v>
      </c>
      <c r="C499" t="s">
        <v>40</v>
      </c>
      <c r="D499">
        <v>6.0103169999999997</v>
      </c>
      <c r="E499">
        <v>0.53032880000000004</v>
      </c>
      <c r="F499" t="s">
        <v>41</v>
      </c>
      <c r="G499">
        <v>-351.721</v>
      </c>
      <c r="H499" s="1">
        <v>-3.7594660000000001E-6</v>
      </c>
      <c r="I499">
        <v>368.3451</v>
      </c>
      <c r="J499">
        <v>-394.17770000000002</v>
      </c>
      <c r="K499">
        <v>1.104034</v>
      </c>
      <c r="L499">
        <v>367.59480000000002</v>
      </c>
      <c r="M499">
        <v>0.99997020000000003</v>
      </c>
      <c r="N499">
        <v>-7.2290369999999998E-3</v>
      </c>
      <c r="O499">
        <v>-2.7412489999999999E-3</v>
      </c>
      <c r="P499">
        <v>0.97725229999999996</v>
      </c>
      <c r="Q499">
        <v>0.1869102</v>
      </c>
      <c r="R499">
        <v>0.10021389999999999</v>
      </c>
      <c r="S499">
        <v>3.079529</v>
      </c>
      <c r="T499">
        <v>-7.9753640000000001E-2</v>
      </c>
      <c r="U499">
        <v>5.4199219999999999E-2</v>
      </c>
      <c r="V499">
        <v>-0.1028867</v>
      </c>
      <c r="W499">
        <v>0.19397139999999999</v>
      </c>
      <c r="X499">
        <v>0.97559700000000005</v>
      </c>
      <c r="Y499">
        <v>-2.032875E-2</v>
      </c>
      <c r="Z499">
        <v>3.8783660000000001E-4</v>
      </c>
      <c r="AA499">
        <v>0.9997933</v>
      </c>
      <c r="AB499">
        <v>29</v>
      </c>
      <c r="AC499">
        <v>42.456699999999998</v>
      </c>
      <c r="AD499">
        <v>-1.104037759466</v>
      </c>
      <c r="AE499">
        <v>0.75029999999998098</v>
      </c>
      <c r="AF499">
        <v>-0.86609912458532501</v>
      </c>
      <c r="AG499">
        <v>-1.104037759466</v>
      </c>
      <c r="AH499">
        <v>42.425804272873698</v>
      </c>
      <c r="AI499">
        <v>91.490349187636497</v>
      </c>
      <c r="AJ499">
        <v>91.169498928427799</v>
      </c>
      <c r="AK499">
        <v>42.4490034661371</v>
      </c>
      <c r="AL499">
        <v>78.815358560673403</v>
      </c>
      <c r="AM499">
        <v>96.020174315655098</v>
      </c>
      <c r="AN499">
        <v>1.0000000417319199</v>
      </c>
    </row>
    <row r="500" spans="1:40" x14ac:dyDescent="0.25">
      <c r="A500" t="str">
        <f>"20190304155025704"</f>
        <v>20190304155025704</v>
      </c>
      <c r="B500" t="str">
        <f>"1551685825697296"</f>
        <v>1551685825697296</v>
      </c>
      <c r="C500" t="s">
        <v>40</v>
      </c>
      <c r="D500">
        <v>5.5806100000000001</v>
      </c>
      <c r="E500">
        <v>0.53023450000000005</v>
      </c>
      <c r="F500" t="s">
        <v>41</v>
      </c>
      <c r="G500">
        <v>-350.26889999999997</v>
      </c>
      <c r="H500" s="1">
        <v>-4.3832870000000003E-6</v>
      </c>
      <c r="I500">
        <v>368.34019999999998</v>
      </c>
      <c r="J500">
        <v>-394.02159999999998</v>
      </c>
      <c r="K500">
        <v>1.1045799999999999</v>
      </c>
      <c r="L500">
        <v>367.59440000000001</v>
      </c>
      <c r="M500">
        <v>0.99996850000000004</v>
      </c>
      <c r="N500">
        <v>-7.4460759999999898E-3</v>
      </c>
      <c r="O500">
        <v>-2.7418130000000001E-3</v>
      </c>
      <c r="P500">
        <v>0.97724219999999895</v>
      </c>
      <c r="Q500">
        <v>0.18720429999999999</v>
      </c>
      <c r="R500">
        <v>9.9760550000000003E-2</v>
      </c>
      <c r="S500">
        <v>3.0793149999999998</v>
      </c>
      <c r="T500">
        <v>-7.7425839999999996E-2</v>
      </c>
      <c r="U500">
        <v>5.2276610000000001E-2</v>
      </c>
      <c r="V500">
        <v>-0.1024333</v>
      </c>
      <c r="W500">
        <v>0.19447710000000001</v>
      </c>
      <c r="X500">
        <v>0.97554399999999997</v>
      </c>
      <c r="Y500">
        <v>-1.9707180000000001E-2</v>
      </c>
      <c r="Z500">
        <v>3.6960420000000001E-4</v>
      </c>
      <c r="AA500">
        <v>0.99980570000000002</v>
      </c>
      <c r="AB500">
        <v>30</v>
      </c>
      <c r="AC500">
        <v>43.752699999999997</v>
      </c>
      <c r="AD500">
        <v>-1.1045843832869999</v>
      </c>
      <c r="AE500">
        <v>0.74579999999997404</v>
      </c>
      <c r="AF500">
        <v>-0.865210951331016</v>
      </c>
      <c r="AG500">
        <v>-1.1045843832869999</v>
      </c>
      <c r="AH500">
        <v>43.722631461540601</v>
      </c>
      <c r="AI500">
        <v>91.446897911412805</v>
      </c>
      <c r="AJ500">
        <v>91.1336569874654</v>
      </c>
      <c r="AK500">
        <v>43.745139142215599</v>
      </c>
      <c r="AL500">
        <v>78.785821254085903</v>
      </c>
      <c r="AM500">
        <v>95.9941614972726</v>
      </c>
      <c r="AN500">
        <v>1.00000000965465</v>
      </c>
    </row>
    <row r="501" spans="1:40" x14ac:dyDescent="0.25">
      <c r="A501" t="str">
        <f>"20190304155025723"</f>
        <v>20190304155025723</v>
      </c>
      <c r="B501" t="str">
        <f>"1551685825716818"</f>
        <v>1551685825716818</v>
      </c>
      <c r="C501" t="s">
        <v>40</v>
      </c>
      <c r="D501">
        <v>5.3737409999999999</v>
      </c>
      <c r="E501">
        <v>0.53003069999999997</v>
      </c>
      <c r="F501" t="s">
        <v>41</v>
      </c>
      <c r="G501">
        <v>-347.55939999999998</v>
      </c>
      <c r="H501" s="1">
        <v>-1.3540380000000001E-6</v>
      </c>
      <c r="I501">
        <v>368.37689999999998</v>
      </c>
      <c r="J501">
        <v>-393.77289999999999</v>
      </c>
      <c r="K501">
        <v>1.105342</v>
      </c>
      <c r="L501">
        <v>367.59370000000001</v>
      </c>
      <c r="M501">
        <v>0.99996620000000003</v>
      </c>
      <c r="N501">
        <v>-7.7636419999999899E-3</v>
      </c>
      <c r="O501">
        <v>-2.7442159999999998E-3</v>
      </c>
      <c r="P501">
        <v>0.97725609999999996</v>
      </c>
      <c r="Q501">
        <v>0.1877104</v>
      </c>
      <c r="R501">
        <v>9.8668400000000003E-2</v>
      </c>
      <c r="S501">
        <v>3.0785520000000002</v>
      </c>
      <c r="T501">
        <v>-7.3188779999999995E-2</v>
      </c>
      <c r="U501">
        <v>5.1849369999999999E-2</v>
      </c>
      <c r="V501">
        <v>-0.1013434</v>
      </c>
      <c r="W501">
        <v>0.1952932</v>
      </c>
      <c r="X501">
        <v>0.9754948</v>
      </c>
      <c r="Y501">
        <v>-1.95759E-2</v>
      </c>
      <c r="Z501">
        <v>3.5258300000000001E-4</v>
      </c>
      <c r="AA501">
        <v>0.99980829999999998</v>
      </c>
      <c r="AB501">
        <v>30</v>
      </c>
      <c r="AC501">
        <v>46.213500000000003</v>
      </c>
      <c r="AD501">
        <v>-1.105343354038</v>
      </c>
      <c r="AE501">
        <v>0.78319999999996504</v>
      </c>
      <c r="AF501">
        <v>-0.90950052841899498</v>
      </c>
      <c r="AG501">
        <v>-1.105343354038</v>
      </c>
      <c r="AH501">
        <v>46.184762856301198</v>
      </c>
      <c r="AI501">
        <v>91.370736754034695</v>
      </c>
      <c r="AJ501">
        <v>91.128160109990105</v>
      </c>
      <c r="AK501">
        <v>46.206939903376998</v>
      </c>
      <c r="AL501">
        <v>78.738148109356899</v>
      </c>
      <c r="AM501">
        <v>95.931137073760397</v>
      </c>
      <c r="AN501">
        <v>1.00000001175841</v>
      </c>
    </row>
    <row r="502" spans="1:40" x14ac:dyDescent="0.25">
      <c r="A502" t="str">
        <f>"20190304155025736"</f>
        <v>20190304155025736</v>
      </c>
      <c r="B502" t="str">
        <f>"1551685825727553"</f>
        <v>1551685825727553</v>
      </c>
      <c r="C502" t="s">
        <v>40</v>
      </c>
      <c r="D502">
        <v>5.4017520000000001</v>
      </c>
      <c r="E502">
        <v>0.53012630000000005</v>
      </c>
      <c r="F502" t="s">
        <v>41</v>
      </c>
      <c r="G502">
        <v>-342.89510000000001</v>
      </c>
      <c r="H502" s="1">
        <v>-3.5504899999999999E-6</v>
      </c>
      <c r="I502">
        <v>368.42410000000001</v>
      </c>
      <c r="J502">
        <v>-393.6044</v>
      </c>
      <c r="K502">
        <v>1.1057980000000001</v>
      </c>
      <c r="L502">
        <v>367.59320000000002</v>
      </c>
      <c r="M502">
        <v>0.99996459999999998</v>
      </c>
      <c r="N502">
        <v>-7.9614539999999998E-3</v>
      </c>
      <c r="O502">
        <v>-2.745473E-3</v>
      </c>
      <c r="P502">
        <v>0.97726979999999997</v>
      </c>
      <c r="Q502">
        <v>0.18771260000000001</v>
      </c>
      <c r="R502">
        <v>9.8529340000000007E-2</v>
      </c>
      <c r="S502">
        <v>3.0776370000000002</v>
      </c>
      <c r="T502">
        <v>-6.6863179999999994E-2</v>
      </c>
      <c r="U502">
        <v>5.0231930000000001E-2</v>
      </c>
      <c r="V502">
        <v>-0.1012059</v>
      </c>
      <c r="W502">
        <v>0.1954882</v>
      </c>
      <c r="X502">
        <v>0.97546999999999995</v>
      </c>
      <c r="Y502">
        <v>-1.9058149999999999E-2</v>
      </c>
      <c r="Z502">
        <v>3.2065030000000001E-4</v>
      </c>
      <c r="AA502">
        <v>0.99981830000000005</v>
      </c>
      <c r="AB502">
        <v>30</v>
      </c>
      <c r="AC502">
        <v>50.709299999999899</v>
      </c>
      <c r="AD502">
        <v>-1.1058015504899901</v>
      </c>
      <c r="AE502">
        <v>0.83089999999998498</v>
      </c>
      <c r="AF502">
        <v>-0.96966130555036201</v>
      </c>
      <c r="AG502">
        <v>-1.1058015504899901</v>
      </c>
      <c r="AH502">
        <v>50.6827328286113</v>
      </c>
      <c r="AI502">
        <v>91.249658827459896</v>
      </c>
      <c r="AJ502">
        <v>91.096048301453294</v>
      </c>
      <c r="AK502">
        <v>50.704067362421199</v>
      </c>
      <c r="AL502">
        <v>78.726755669013002</v>
      </c>
      <c r="AM502">
        <v>95.923296633982702</v>
      </c>
      <c r="AN502">
        <v>0.99999999571702403</v>
      </c>
    </row>
    <row r="503" spans="1:40" x14ac:dyDescent="0.25">
      <c r="A503" t="str">
        <f>"20190304155025748"</f>
        <v>20190304155025748</v>
      </c>
      <c r="B503" t="str">
        <f>"1551685825737312"</f>
        <v>1551685825737312</v>
      </c>
      <c r="C503" t="s">
        <v>40</v>
      </c>
      <c r="D503">
        <v>5.3664930000000002</v>
      </c>
      <c r="E503">
        <v>0.53030679999999997</v>
      </c>
      <c r="F503" t="s">
        <v>41</v>
      </c>
      <c r="G503">
        <v>-340.61149999999998</v>
      </c>
      <c r="H503" s="1">
        <v>-4.6270099999999998E-6</v>
      </c>
      <c r="I503">
        <v>368.4409</v>
      </c>
      <c r="J503">
        <v>-393.45069999999998</v>
      </c>
      <c r="K503">
        <v>1.1061909999999999</v>
      </c>
      <c r="L503">
        <v>367.59280000000001</v>
      </c>
      <c r="M503">
        <v>0.99996320000000005</v>
      </c>
      <c r="N503">
        <v>-8.135504E-3</v>
      </c>
      <c r="O503">
        <v>-2.7467699999999999E-3</v>
      </c>
      <c r="P503">
        <v>0.97731080000000004</v>
      </c>
      <c r="Q503">
        <v>0.1875038</v>
      </c>
      <c r="R503">
        <v>9.8519350000000006E-2</v>
      </c>
      <c r="S503">
        <v>3.0771480000000002</v>
      </c>
      <c r="T503">
        <v>-6.421077E-2</v>
      </c>
      <c r="U503">
        <v>4.9224850000000001E-2</v>
      </c>
      <c r="V503">
        <v>-0.10119690000000001</v>
      </c>
      <c r="W503">
        <v>0.19544990000000001</v>
      </c>
      <c r="X503">
        <v>0.97547859999999997</v>
      </c>
      <c r="Y503">
        <v>-1.8735419999999999E-2</v>
      </c>
      <c r="Z503">
        <v>3.066341E-4</v>
      </c>
      <c r="AA503">
        <v>0.99982439999999995</v>
      </c>
      <c r="AB503">
        <v>30</v>
      </c>
      <c r="AC503">
        <v>52.839199999999998</v>
      </c>
      <c r="AD503">
        <v>-1.10619562701</v>
      </c>
      <c r="AE503">
        <v>0.84809999999998797</v>
      </c>
      <c r="AF503">
        <v>-0.99280370979653698</v>
      </c>
      <c r="AG503">
        <v>-1.10619562701</v>
      </c>
      <c r="AH503">
        <v>52.813529905579202</v>
      </c>
      <c r="AI503">
        <v>91.199690386143999</v>
      </c>
      <c r="AJ503">
        <v>91.076935466567093</v>
      </c>
      <c r="AK503">
        <v>52.834442071994197</v>
      </c>
      <c r="AL503">
        <v>78.7289931672004</v>
      </c>
      <c r="AM503">
        <v>95.922721788806001</v>
      </c>
      <c r="AN503">
        <v>0.99999998751878905</v>
      </c>
    </row>
    <row r="504" spans="1:40" x14ac:dyDescent="0.25">
      <c r="A504" t="str">
        <f>"20190304155025759"</f>
        <v>20190304155025759</v>
      </c>
      <c r="B504" t="str">
        <f>"1551685825756831"</f>
        <v>1551685825756831</v>
      </c>
      <c r="C504" t="s">
        <v>40</v>
      </c>
      <c r="D504">
        <v>5.3892429999999996</v>
      </c>
      <c r="E504">
        <v>0.53061259999999999</v>
      </c>
      <c r="F504" t="s">
        <v>41</v>
      </c>
      <c r="G504">
        <v>-340.67899999999997</v>
      </c>
      <c r="H504" s="1">
        <v>-4.6003569999999999E-6</v>
      </c>
      <c r="I504">
        <v>368.41129999999998</v>
      </c>
      <c r="J504">
        <v>-393.28579999999999</v>
      </c>
      <c r="K504">
        <v>1.1065560000000001</v>
      </c>
      <c r="L504">
        <v>367.59230000000002</v>
      </c>
      <c r="M504">
        <v>0.99996169999999995</v>
      </c>
      <c r="N504">
        <v>-8.3042819999999996E-3</v>
      </c>
      <c r="O504">
        <v>-2.7474660000000001E-3</v>
      </c>
      <c r="P504">
        <v>0.97731710000000005</v>
      </c>
      <c r="Q504">
        <v>0.1874236</v>
      </c>
      <c r="R504">
        <v>9.8608689999999999E-2</v>
      </c>
      <c r="S504">
        <v>3.0772089999999999</v>
      </c>
      <c r="T504">
        <v>-6.4504149999999996E-2</v>
      </c>
      <c r="U504">
        <v>4.7729489999999999E-2</v>
      </c>
      <c r="V504">
        <v>-0.1012868</v>
      </c>
      <c r="W504">
        <v>0.1955345</v>
      </c>
      <c r="X504">
        <v>0.97545230000000005</v>
      </c>
      <c r="Y504">
        <v>-1.825013E-2</v>
      </c>
      <c r="Z504">
        <v>3.0181030000000001E-4</v>
      </c>
      <c r="AA504">
        <v>0.99983339999999998</v>
      </c>
      <c r="AB504">
        <v>30</v>
      </c>
      <c r="AC504">
        <v>52.6067999999999</v>
      </c>
      <c r="AD504">
        <v>-1.1065606003570001</v>
      </c>
      <c r="AE504">
        <v>0.81899999999995898</v>
      </c>
      <c r="AF504">
        <v>-0.96311126563827198</v>
      </c>
      <c r="AG504">
        <v>-1.1065606003570001</v>
      </c>
      <c r="AH504">
        <v>52.5810921831375</v>
      </c>
      <c r="AI504">
        <v>91.205400344440207</v>
      </c>
      <c r="AJ504">
        <v>91.0493513627449</v>
      </c>
      <c r="AK504">
        <v>52.601552399562003</v>
      </c>
      <c r="AL504">
        <v>78.724050413025196</v>
      </c>
      <c r="AM504">
        <v>95.928104579229398</v>
      </c>
      <c r="AN504">
        <v>0.99999997305988897</v>
      </c>
    </row>
    <row r="505" spans="1:40" x14ac:dyDescent="0.25">
      <c r="A505" t="str">
        <f>"20190304155025774"</f>
        <v>20190304155025774</v>
      </c>
      <c r="B505" t="str">
        <f>"1551685825767568"</f>
        <v>1551685825767568</v>
      </c>
      <c r="C505" t="s">
        <v>40</v>
      </c>
      <c r="D505">
        <v>5.3662000000000001</v>
      </c>
      <c r="E505">
        <v>0.5307769</v>
      </c>
      <c r="F505" t="s">
        <v>41</v>
      </c>
      <c r="G505">
        <v>-339.74720000000002</v>
      </c>
      <c r="H505" s="1">
        <v>-3.9709169999999999E-7</v>
      </c>
      <c r="I505">
        <v>368.39499999999998</v>
      </c>
      <c r="J505">
        <v>-393.10730000000001</v>
      </c>
      <c r="K505">
        <v>1.1069329999999999</v>
      </c>
      <c r="L505">
        <v>367.59179999999998</v>
      </c>
      <c r="M505">
        <v>0.99996019999999997</v>
      </c>
      <c r="N505">
        <v>-8.4787009999999999E-3</v>
      </c>
      <c r="O505">
        <v>-2.7479620000000001E-3</v>
      </c>
      <c r="P505">
        <v>0.97737099999999999</v>
      </c>
      <c r="Q505">
        <v>0.18710930000000001</v>
      </c>
      <c r="R505">
        <v>9.8670380000000002E-2</v>
      </c>
      <c r="S505">
        <v>3.0771790000000001</v>
      </c>
      <c r="T505">
        <v>-6.3600180000000006E-2</v>
      </c>
      <c r="U505">
        <v>4.6142580000000002E-2</v>
      </c>
      <c r="V505">
        <v>-0.1013488</v>
      </c>
      <c r="W505">
        <v>0.19539090000000001</v>
      </c>
      <c r="X505">
        <v>0.97547470000000003</v>
      </c>
      <c r="Y505">
        <v>-1.7735560000000001E-2</v>
      </c>
      <c r="Z505">
        <v>2.9194669999999998E-4</v>
      </c>
      <c r="AA505">
        <v>0.99984260000000003</v>
      </c>
      <c r="AB505">
        <v>30</v>
      </c>
      <c r="AC505">
        <v>53.360099999999903</v>
      </c>
      <c r="AD505">
        <v>-1.1069333970916999</v>
      </c>
      <c r="AE505">
        <v>0.80320000000000302</v>
      </c>
      <c r="AF505">
        <v>-0.94942529552250599</v>
      </c>
      <c r="AG505">
        <v>-1.1069333970916999</v>
      </c>
      <c r="AH505">
        <v>53.334744504716902</v>
      </c>
      <c r="AI505">
        <v>91.188783527735495</v>
      </c>
      <c r="AJ505">
        <v>91.019828969351906</v>
      </c>
      <c r="AK505">
        <v>53.354678157784903</v>
      </c>
      <c r="AL505">
        <v>78.732440637568999</v>
      </c>
      <c r="AM505">
        <v>95.931572204697304</v>
      </c>
      <c r="AN505">
        <v>1.00000003670216</v>
      </c>
    </row>
    <row r="506" spans="1:40" x14ac:dyDescent="0.25">
      <c r="A506" t="str">
        <f>"20190304155025790"</f>
        <v>20190304155025790</v>
      </c>
      <c r="B506" t="str">
        <f>"1551685825787087"</f>
        <v>1551685825787087</v>
      </c>
      <c r="C506" t="s">
        <v>40</v>
      </c>
      <c r="D506">
        <v>5.0468859999999998</v>
      </c>
      <c r="E506">
        <v>0.53077949999999996</v>
      </c>
      <c r="F506" t="s">
        <v>41</v>
      </c>
      <c r="G506">
        <v>-339.97579999999999</v>
      </c>
      <c r="H506" s="1">
        <v>-4.940265E-6</v>
      </c>
      <c r="I506">
        <v>368.36900000000003</v>
      </c>
      <c r="J506">
        <v>-392.88749999999999</v>
      </c>
      <c r="K506">
        <v>1.10734</v>
      </c>
      <c r="L506">
        <v>367.59120000000001</v>
      </c>
      <c r="M506">
        <v>0.99995860000000003</v>
      </c>
      <c r="N506">
        <v>-8.6779479999999996E-3</v>
      </c>
      <c r="O506">
        <v>-2.7483429999999999E-3</v>
      </c>
      <c r="P506">
        <v>0.97738409999999998</v>
      </c>
      <c r="Q506">
        <v>0.18668119999999999</v>
      </c>
      <c r="R506">
        <v>9.9351320000000007E-2</v>
      </c>
      <c r="S506">
        <v>3.0771480000000002</v>
      </c>
      <c r="T506">
        <v>-6.4109089999999994E-2</v>
      </c>
      <c r="U506">
        <v>4.501343E-2</v>
      </c>
      <c r="V506">
        <v>-0.10203089999999999</v>
      </c>
      <c r="W506">
        <v>0.1951571</v>
      </c>
      <c r="X506">
        <v>0.97545029999999999</v>
      </c>
      <c r="Y506">
        <v>-1.7369289999999999E-2</v>
      </c>
      <c r="Z506">
        <v>2.8969E-4</v>
      </c>
      <c r="AA506">
        <v>0.99984910000000005</v>
      </c>
      <c r="AB506">
        <v>30</v>
      </c>
      <c r="AC506">
        <v>52.911700000000003</v>
      </c>
      <c r="AD506">
        <v>-1.107344940265</v>
      </c>
      <c r="AE506">
        <v>0.77780000000001304</v>
      </c>
      <c r="AF506">
        <v>-0.92281793786312405</v>
      </c>
      <c r="AG506">
        <v>-1.107344940265</v>
      </c>
      <c r="AH506">
        <v>52.886203882130602</v>
      </c>
      <c r="AI506">
        <v>91.199315986787497</v>
      </c>
      <c r="AJ506">
        <v>90.999659722664703</v>
      </c>
      <c r="AK506">
        <v>52.905844354149203</v>
      </c>
      <c r="AL506">
        <v>78.746098269454606</v>
      </c>
      <c r="AM506">
        <v>95.971353813112998</v>
      </c>
      <c r="AN506">
        <v>0.99999994300265305</v>
      </c>
    </row>
    <row r="507" spans="1:40" x14ac:dyDescent="0.25">
      <c r="A507" t="str">
        <f>"20190304155025804"</f>
        <v>20190304155025804</v>
      </c>
      <c r="B507" t="str">
        <f>"1551685825796847"</f>
        <v>1551685825796847</v>
      </c>
      <c r="C507" t="s">
        <v>40</v>
      </c>
      <c r="D507">
        <v>5.4062109999999999</v>
      </c>
      <c r="E507">
        <v>0.53077949999999996</v>
      </c>
      <c r="F507" t="s">
        <v>41</v>
      </c>
      <c r="G507">
        <v>-340.24119999999999</v>
      </c>
      <c r="H507" s="1">
        <v>-4.8094689999999996E-6</v>
      </c>
      <c r="I507">
        <v>368.399</v>
      </c>
      <c r="J507">
        <v>-392.69159999999999</v>
      </c>
      <c r="K507">
        <v>1.107661</v>
      </c>
      <c r="L507">
        <v>367.59070000000003</v>
      </c>
      <c r="M507">
        <v>0.99995710000000004</v>
      </c>
      <c r="N507">
        <v>-8.8406869999999999E-3</v>
      </c>
      <c r="O507">
        <v>-2.747986E-3</v>
      </c>
      <c r="P507">
        <v>0.97745219999999999</v>
      </c>
      <c r="Q507">
        <v>0.1863533</v>
      </c>
      <c r="R507">
        <v>9.9297510000000005E-2</v>
      </c>
      <c r="S507">
        <v>3.0769959999999998</v>
      </c>
      <c r="T507">
        <v>-6.4720630000000001E-2</v>
      </c>
      <c r="U507">
        <v>4.721069E-2</v>
      </c>
      <c r="V507">
        <v>-0.1019767</v>
      </c>
      <c r="W507">
        <v>0.1949883</v>
      </c>
      <c r="X507">
        <v>0.97548979999999996</v>
      </c>
      <c r="Y507">
        <v>-1.8083140000000001E-2</v>
      </c>
      <c r="Z507">
        <v>3.0359730000000001E-4</v>
      </c>
      <c r="AA507">
        <v>0.99983639999999996</v>
      </c>
      <c r="AB507">
        <v>30</v>
      </c>
      <c r="AC507">
        <v>52.450400000000002</v>
      </c>
      <c r="AD507">
        <v>-1.107665809469</v>
      </c>
      <c r="AE507">
        <v>0.80829999999997404</v>
      </c>
      <c r="AF507">
        <v>-0.95201107054391398</v>
      </c>
      <c r="AG507">
        <v>-1.107665809469</v>
      </c>
      <c r="AH507">
        <v>52.424605645468098</v>
      </c>
      <c r="AI507">
        <v>91.210208003488404</v>
      </c>
      <c r="AJ507">
        <v>91.040355401245506</v>
      </c>
      <c r="AK507">
        <v>52.444947570826599</v>
      </c>
      <c r="AL507">
        <v>78.755960083884105</v>
      </c>
      <c r="AM507">
        <v>95.967964738819703</v>
      </c>
      <c r="AN507">
        <v>1.0000000171919099</v>
      </c>
    </row>
    <row r="508" spans="1:40" x14ac:dyDescent="0.25">
      <c r="A508" t="str">
        <f>"20190304155025819"</f>
        <v>20190304155025819</v>
      </c>
      <c r="B508" t="str">
        <f>"1551685825807584"</f>
        <v>1551685825807584</v>
      </c>
      <c r="C508" t="s">
        <v>40</v>
      </c>
      <c r="D508">
        <v>5.3002770000000003</v>
      </c>
      <c r="E508">
        <v>0.56607399999999997</v>
      </c>
      <c r="F508" t="s">
        <v>41</v>
      </c>
      <c r="G508">
        <v>-340.80619999999999</v>
      </c>
      <c r="H508" s="1">
        <v>-4.5452790000000004E-6</v>
      </c>
      <c r="I508">
        <v>368.38260000000002</v>
      </c>
      <c r="J508">
        <v>-392.51769999999999</v>
      </c>
      <c r="K508">
        <v>1.107912</v>
      </c>
      <c r="L508">
        <v>367.59019999999998</v>
      </c>
      <c r="M508">
        <v>0.99995599999999996</v>
      </c>
      <c r="N508">
        <v>-8.9747639999999997E-3</v>
      </c>
      <c r="O508">
        <v>-2.7477500000000002E-3</v>
      </c>
      <c r="P508">
        <v>0.97751560000000004</v>
      </c>
      <c r="Q508">
        <v>0.1860743</v>
      </c>
      <c r="R508">
        <v>9.9193390000000006E-2</v>
      </c>
      <c r="S508">
        <v>3.076965</v>
      </c>
      <c r="T508">
        <v>-6.5688129999999997E-2</v>
      </c>
      <c r="U508">
        <v>4.6966550000000003E-2</v>
      </c>
      <c r="V508">
        <v>-0.1018723</v>
      </c>
      <c r="W508">
        <v>0.19484099999999999</v>
      </c>
      <c r="X508">
        <v>0.97553009999999996</v>
      </c>
      <c r="Y508">
        <v>-1.800359E-2</v>
      </c>
      <c r="Z508">
        <v>3.0694110000000001E-4</v>
      </c>
      <c r="AA508">
        <v>0.99983789999999995</v>
      </c>
      <c r="AB508">
        <v>30</v>
      </c>
      <c r="AC508">
        <v>51.711500000000001</v>
      </c>
      <c r="AD508">
        <v>-1.1079165452789901</v>
      </c>
      <c r="AE508">
        <v>0.79240000000004296</v>
      </c>
      <c r="AF508">
        <v>-0.93406433662680199</v>
      </c>
      <c r="AG508">
        <v>-1.1079165452789901</v>
      </c>
      <c r="AH508">
        <v>51.685407849763997</v>
      </c>
      <c r="AI508">
        <v>91.227790702889294</v>
      </c>
      <c r="AJ508">
        <v>91.0353428812831</v>
      </c>
      <c r="AK508">
        <v>51.705718637813298</v>
      </c>
      <c r="AL508">
        <v>78.764564346964505</v>
      </c>
      <c r="AM508">
        <v>95.961654467211304</v>
      </c>
      <c r="AN508">
        <v>0.99999997839714905</v>
      </c>
    </row>
    <row r="509" spans="1:40" x14ac:dyDescent="0.25">
      <c r="A509" t="str">
        <f>"20190304155025835"</f>
        <v>20190304155025835</v>
      </c>
      <c r="B509" t="str">
        <f>"1551685825827103"</f>
        <v>1551685825827103</v>
      </c>
      <c r="C509" t="s">
        <v>40</v>
      </c>
      <c r="D509">
        <v>5.1771989999999999</v>
      </c>
      <c r="E509">
        <v>0.56379389999999996</v>
      </c>
      <c r="F509" t="s">
        <v>53</v>
      </c>
      <c r="G509">
        <v>0</v>
      </c>
      <c r="H509">
        <v>0</v>
      </c>
      <c r="I509">
        <v>0</v>
      </c>
      <c r="J509">
        <v>-392.29300000000001</v>
      </c>
      <c r="K509">
        <v>1.108203</v>
      </c>
      <c r="L509">
        <v>367.58949999999999</v>
      </c>
      <c r="M509">
        <v>0.99995449999999997</v>
      </c>
      <c r="N509">
        <v>-9.1387759999999995E-3</v>
      </c>
      <c r="O509">
        <v>-2.7476610000000002E-3</v>
      </c>
      <c r="P509">
        <v>0.97769360000000005</v>
      </c>
      <c r="Q509">
        <v>0.18492790000000001</v>
      </c>
      <c r="R509">
        <v>9.9584389999999995E-2</v>
      </c>
      <c r="S509">
        <v>3.079987</v>
      </c>
      <c r="T509">
        <v>6.6027279999999994E-2</v>
      </c>
      <c r="U509">
        <v>-0.2325439</v>
      </c>
      <c r="V509">
        <v>-0.1022633</v>
      </c>
      <c r="W509">
        <v>0.19385640000000001</v>
      </c>
      <c r="X509">
        <v>0.97568540000000004</v>
      </c>
      <c r="Y509">
        <v>7.2538889999999995E-2</v>
      </c>
      <c r="Z509">
        <v>3.6049280000000002E-4</v>
      </c>
      <c r="AA509">
        <v>0.99736550000000002</v>
      </c>
      <c r="AB509">
        <v>30</v>
      </c>
      <c r="AC509">
        <v>3.079987</v>
      </c>
      <c r="AD509">
        <v>6.6027279999999994E-2</v>
      </c>
      <c r="AE509">
        <v>-0.2325439</v>
      </c>
      <c r="AF509">
        <v>0.22397755952569401</v>
      </c>
      <c r="AG509">
        <v>6.6027279999999994E-2</v>
      </c>
      <c r="AH509">
        <v>3.0792072693955599</v>
      </c>
      <c r="AI509">
        <v>88.774833716462595</v>
      </c>
      <c r="AJ509">
        <v>85.839705941116407</v>
      </c>
      <c r="AK509">
        <v>3.0880484058339701</v>
      </c>
      <c r="AL509">
        <v>78.822075079036395</v>
      </c>
      <c r="AM509">
        <v>95.983424763838897</v>
      </c>
      <c r="AN509">
        <v>1.0000000430605001</v>
      </c>
    </row>
    <row r="510" spans="1:40" x14ac:dyDescent="0.25">
      <c r="A510" t="str">
        <f>"20190304155025847"</f>
        <v>20190304155025847</v>
      </c>
      <c r="B510" t="str">
        <f>"1551685825836863"</f>
        <v>1551685825836863</v>
      </c>
      <c r="C510" t="s">
        <v>40</v>
      </c>
      <c r="D510">
        <v>5.1791589999999896</v>
      </c>
      <c r="E510">
        <v>0.56308789999999997</v>
      </c>
      <c r="F510" t="s">
        <v>43</v>
      </c>
      <c r="G510">
        <v>-158.78319999999999</v>
      </c>
      <c r="H510">
        <v>4.2692920000000001</v>
      </c>
      <c r="I510">
        <v>351.4151</v>
      </c>
      <c r="J510">
        <v>-392.1259</v>
      </c>
      <c r="K510">
        <v>1.108398</v>
      </c>
      <c r="L510">
        <v>367.58909999999997</v>
      </c>
      <c r="M510">
        <v>0.99995350000000005</v>
      </c>
      <c r="N510">
        <v>-9.2546469999999995E-3</v>
      </c>
      <c r="O510">
        <v>-2.747242E-3</v>
      </c>
      <c r="P510">
        <v>0.97778419999999999</v>
      </c>
      <c r="Q510">
        <v>0.1845183</v>
      </c>
      <c r="R510">
        <v>9.945495E-2</v>
      </c>
      <c r="S510">
        <v>3.082306</v>
      </c>
      <c r="T510">
        <v>4.1727189999999997E-2</v>
      </c>
      <c r="U510">
        <v>-0.213501</v>
      </c>
      <c r="V510">
        <v>-0.102134</v>
      </c>
      <c r="W510">
        <v>0.1935607</v>
      </c>
      <c r="X510">
        <v>0.9757576</v>
      </c>
      <c r="Y510">
        <v>6.6358829999999994E-2</v>
      </c>
      <c r="Z510" s="1">
        <v>7.8633659999999996E-5</v>
      </c>
      <c r="AA510">
        <v>0.99779580000000001</v>
      </c>
      <c r="AB510">
        <v>30</v>
      </c>
      <c r="AC510">
        <v>233.34270000000001</v>
      </c>
      <c r="AD510">
        <v>3.1608939999999999</v>
      </c>
      <c r="AE510">
        <v>-16.1739999999999</v>
      </c>
      <c r="AF510">
        <v>15.5300265993619</v>
      </c>
      <c r="AG510">
        <v>3.1608939999999999</v>
      </c>
      <c r="AH510">
        <v>233.34364179005999</v>
      </c>
      <c r="AI510">
        <v>89.225626605075206</v>
      </c>
      <c r="AJ510">
        <v>86.1923339181632</v>
      </c>
      <c r="AK510">
        <v>233.88122656789699</v>
      </c>
      <c r="AL510">
        <v>78.839344009961493</v>
      </c>
      <c r="AM510">
        <v>95.975475221639698</v>
      </c>
      <c r="AN510">
        <v>0.99999999624912495</v>
      </c>
    </row>
    <row r="511" spans="1:40" x14ac:dyDescent="0.25">
      <c r="A511" t="str">
        <f>"20190304155025869"</f>
        <v>20190304155025869</v>
      </c>
      <c r="B511" t="str">
        <f>"1551685825857359"</f>
        <v>1551685825857359</v>
      </c>
      <c r="C511" t="s">
        <v>40</v>
      </c>
      <c r="D511">
        <v>5.1742679999999996</v>
      </c>
      <c r="E511">
        <v>0.56584330000000005</v>
      </c>
      <c r="F511" t="s">
        <v>44</v>
      </c>
      <c r="G511">
        <v>-249.6926</v>
      </c>
      <c r="H511">
        <v>2.8658000000000001</v>
      </c>
      <c r="I511">
        <v>357.96519999999998</v>
      </c>
      <c r="J511">
        <v>-391.85379999999998</v>
      </c>
      <c r="K511">
        <v>1.108668</v>
      </c>
      <c r="L511">
        <v>367.5883</v>
      </c>
      <c r="M511">
        <v>0.9999519</v>
      </c>
      <c r="N511">
        <v>-9.4265630000000006E-3</v>
      </c>
      <c r="O511">
        <v>-2.7469730000000002E-3</v>
      </c>
      <c r="P511">
        <v>0.97806890000000002</v>
      </c>
      <c r="Q511">
        <v>0.18289749999999999</v>
      </c>
      <c r="R511">
        <v>9.9649799999999997E-2</v>
      </c>
      <c r="S511">
        <v>3.0821230000000002</v>
      </c>
      <c r="T511">
        <v>3.8030389999999997E-2</v>
      </c>
      <c r="U511">
        <v>-0.20825199999999999</v>
      </c>
      <c r="V511">
        <v>-0.1023294</v>
      </c>
      <c r="W511">
        <v>0.19211020000000001</v>
      </c>
      <c r="X511">
        <v>0.97602370000000005</v>
      </c>
      <c r="Y511">
        <v>6.4672400000000005E-2</v>
      </c>
      <c r="Z511" s="1">
        <v>3.3633200000000002E-5</v>
      </c>
      <c r="AA511">
        <v>0.99790659999999998</v>
      </c>
      <c r="AB511">
        <v>30</v>
      </c>
      <c r="AC511">
        <v>142.16119999999901</v>
      </c>
      <c r="AD511">
        <v>1.7571319999999999</v>
      </c>
      <c r="AE511">
        <v>-9.6231000000000204</v>
      </c>
      <c r="AF511">
        <v>9.2311295655623304</v>
      </c>
      <c r="AG511">
        <v>1.7571319999999999</v>
      </c>
      <c r="AH511">
        <v>142.165479173351</v>
      </c>
      <c r="AI511">
        <v>89.293361598954704</v>
      </c>
      <c r="AJ511">
        <v>86.284869442265901</v>
      </c>
      <c r="AK511">
        <v>142.47569875073501</v>
      </c>
      <c r="AL511">
        <v>78.924040689720002</v>
      </c>
      <c r="AM511">
        <v>95.985204008323507</v>
      </c>
      <c r="AN511">
        <v>0.99999994900504297</v>
      </c>
    </row>
    <row r="512" spans="1:40" x14ac:dyDescent="0.25">
      <c r="A512" t="str">
        <f>"20190304155025880"</f>
        <v>20190304155025880</v>
      </c>
      <c r="B512" t="str">
        <f>"1551685825876880"</f>
        <v>1551685825876880</v>
      </c>
      <c r="C512" t="s">
        <v>40</v>
      </c>
      <c r="D512">
        <v>5.1694420000000001</v>
      </c>
      <c r="E512">
        <v>0.56724889999999994</v>
      </c>
      <c r="F512" t="s">
        <v>53</v>
      </c>
      <c r="G512">
        <v>0</v>
      </c>
      <c r="H512">
        <v>0</v>
      </c>
      <c r="I512">
        <v>0</v>
      </c>
      <c r="J512">
        <v>-391.69040000000001</v>
      </c>
      <c r="K512">
        <v>1.108811</v>
      </c>
      <c r="L512">
        <v>367.58789999999999</v>
      </c>
      <c r="M512">
        <v>0.99995109999999998</v>
      </c>
      <c r="N512">
        <v>-9.5204599999999997E-3</v>
      </c>
      <c r="O512">
        <v>-2.746942E-3</v>
      </c>
      <c r="P512">
        <v>0.97812030000000005</v>
      </c>
      <c r="Q512">
        <v>0.18261040000000001</v>
      </c>
      <c r="R512">
        <v>9.9672060000000007E-2</v>
      </c>
      <c r="S512">
        <v>3.0848080000000002</v>
      </c>
      <c r="T512">
        <v>3.1077500000000001E-2</v>
      </c>
      <c r="U512">
        <v>-0.2289429</v>
      </c>
      <c r="V512">
        <v>-0.1023515</v>
      </c>
      <c r="W512">
        <v>0.19191510000000001</v>
      </c>
      <c r="X512">
        <v>0.97605980000000003</v>
      </c>
      <c r="Y512">
        <v>7.1273219999999998E-2</v>
      </c>
      <c r="Z512" s="1">
        <v>-3.4986939999999998E-5</v>
      </c>
      <c r="AA512">
        <v>0.99745680000000003</v>
      </c>
      <c r="AB512">
        <v>30</v>
      </c>
      <c r="AC512">
        <v>3.0848080000000002</v>
      </c>
      <c r="AD512">
        <v>3.1077500000000001E-2</v>
      </c>
      <c r="AE512">
        <v>-0.2289429</v>
      </c>
      <c r="AF512">
        <v>0.220445613968203</v>
      </c>
      <c r="AG512">
        <v>3.1077500000000001E-2</v>
      </c>
      <c r="AH512">
        <v>3.08511387958578</v>
      </c>
      <c r="AI512">
        <v>89.424325473722803</v>
      </c>
      <c r="AJ512">
        <v>85.912898805142206</v>
      </c>
      <c r="AK512">
        <v>3.0931359054747198</v>
      </c>
      <c r="AL512">
        <v>78.935431437459201</v>
      </c>
      <c r="AM512">
        <v>95.986267437019507</v>
      </c>
      <c r="AN512">
        <v>0.99999998416814995</v>
      </c>
    </row>
    <row r="513" spans="1:40" x14ac:dyDescent="0.25">
      <c r="A513" t="str">
        <f>"20190304155025892"</f>
        <v>20190304155025892</v>
      </c>
      <c r="B513" t="str">
        <f>"1551685825886640"</f>
        <v>1551685825886640</v>
      </c>
      <c r="C513" t="s">
        <v>40</v>
      </c>
      <c r="D513">
        <v>4.6965329999999996</v>
      </c>
      <c r="E513">
        <v>0.56717550000000005</v>
      </c>
      <c r="F513" t="s">
        <v>53</v>
      </c>
      <c r="G513">
        <v>0</v>
      </c>
      <c r="H513">
        <v>0</v>
      </c>
      <c r="I513">
        <v>0</v>
      </c>
      <c r="J513">
        <v>-391.54239999999999</v>
      </c>
      <c r="K513">
        <v>1.108932</v>
      </c>
      <c r="L513">
        <v>367.58749999999998</v>
      </c>
      <c r="M513">
        <v>0.99995020000000001</v>
      </c>
      <c r="N513">
        <v>-9.6023940000000002E-3</v>
      </c>
      <c r="O513">
        <v>-2.7468570000000001E-3</v>
      </c>
      <c r="P513">
        <v>0.97813870000000003</v>
      </c>
      <c r="Q513">
        <v>0.18257899999999999</v>
      </c>
      <c r="R513">
        <v>9.9546300000000004E-2</v>
      </c>
      <c r="S513">
        <v>3.0865779999999998</v>
      </c>
      <c r="T513">
        <v>2.6521920000000001E-2</v>
      </c>
      <c r="U513">
        <v>-0.2398071</v>
      </c>
      <c r="V513">
        <v>-0.10222580000000001</v>
      </c>
      <c r="W513">
        <v>0.1919642</v>
      </c>
      <c r="X513">
        <v>0.97606329999999997</v>
      </c>
      <c r="Y513">
        <v>7.4721839999999998E-2</v>
      </c>
      <c r="Z513" s="1">
        <v>-8.8663889999999996E-5</v>
      </c>
      <c r="AA513">
        <v>0.99720439999999999</v>
      </c>
      <c r="AB513">
        <v>30</v>
      </c>
      <c r="AC513">
        <v>3.0865779999999998</v>
      </c>
      <c r="AD513">
        <v>2.6521920000000001E-2</v>
      </c>
      <c r="AE513">
        <v>-0.2398071</v>
      </c>
      <c r="AF513">
        <v>0.231310440512213</v>
      </c>
      <c r="AG513">
        <v>2.6521920000000001E-2</v>
      </c>
      <c r="AH513">
        <v>3.08699854320994</v>
      </c>
      <c r="AI513">
        <v>89.509131954537295</v>
      </c>
      <c r="AJ513">
        <v>85.714804699609701</v>
      </c>
      <c r="AK513">
        <v>3.0957661310103401</v>
      </c>
      <c r="AL513">
        <v>78.932564723533204</v>
      </c>
      <c r="AM513">
        <v>95.978947581756898</v>
      </c>
      <c r="AN513">
        <v>0.99999996693708404</v>
      </c>
    </row>
    <row r="514" spans="1:40" x14ac:dyDescent="0.25">
      <c r="A514" t="str">
        <f>"20190304155025903"</f>
        <v>20190304155025903</v>
      </c>
      <c r="B514" t="str">
        <f>"1551685825897376"</f>
        <v>1551685825897376</v>
      </c>
      <c r="C514" t="s">
        <v>40</v>
      </c>
      <c r="D514">
        <v>5.8155590000000004</v>
      </c>
      <c r="E514">
        <v>0.56717550000000005</v>
      </c>
      <c r="F514" t="s">
        <v>53</v>
      </c>
      <c r="G514">
        <v>0</v>
      </c>
      <c r="H514">
        <v>0</v>
      </c>
      <c r="I514">
        <v>0</v>
      </c>
      <c r="J514">
        <v>-391.38760000000002</v>
      </c>
      <c r="K514">
        <v>1.1090409999999999</v>
      </c>
      <c r="L514">
        <v>367.58699999999999</v>
      </c>
      <c r="M514">
        <v>0.99994950000000005</v>
      </c>
      <c r="N514">
        <v>-9.682876E-3</v>
      </c>
      <c r="O514">
        <v>-2.7466499999999998E-3</v>
      </c>
      <c r="P514">
        <v>0.97817770000000004</v>
      </c>
      <c r="Q514">
        <v>0.18240870000000001</v>
      </c>
      <c r="R514">
        <v>9.9476460000000003E-2</v>
      </c>
      <c r="S514">
        <v>3.0852659999999998</v>
      </c>
      <c r="T514">
        <v>3.2888649999999998E-2</v>
      </c>
      <c r="U514">
        <v>-0.23919679999999999</v>
      </c>
      <c r="V514">
        <v>-0.102156</v>
      </c>
      <c r="W514">
        <v>0.19187299999999999</v>
      </c>
      <c r="X514">
        <v>0.97608859999999997</v>
      </c>
      <c r="Y514">
        <v>7.4558120000000006E-2</v>
      </c>
      <c r="Z514" s="1">
        <v>-2.0522970000000001E-5</v>
      </c>
      <c r="AA514">
        <v>0.99721660000000001</v>
      </c>
      <c r="AB514">
        <v>30</v>
      </c>
      <c r="AC514">
        <v>3.0852659999999998</v>
      </c>
      <c r="AD514">
        <v>3.2888649999999998E-2</v>
      </c>
      <c r="AE514">
        <v>-0.23919679999999999</v>
      </c>
      <c r="AF514">
        <v>0.23069529768229399</v>
      </c>
      <c r="AG514">
        <v>3.2888649999999998E-2</v>
      </c>
      <c r="AH514">
        <v>3.08556285293258</v>
      </c>
      <c r="AI514">
        <v>89.391013783614596</v>
      </c>
      <c r="AJ514">
        <v>85.724177175632207</v>
      </c>
      <c r="AK514">
        <v>3.09434970600755</v>
      </c>
      <c r="AL514">
        <v>78.937889732855197</v>
      </c>
      <c r="AM514">
        <v>95.974740937981807</v>
      </c>
      <c r="AN514">
        <v>1.0000000257574699</v>
      </c>
    </row>
    <row r="515" spans="1:40" x14ac:dyDescent="0.25">
      <c r="A515" t="str">
        <f>"20190304155025924"</f>
        <v>20190304155025924</v>
      </c>
      <c r="B515" t="str">
        <f>"1551685825916899"</f>
        <v>1551685825916899</v>
      </c>
      <c r="C515" t="s">
        <v>40</v>
      </c>
      <c r="D515">
        <v>5.8264019999999999</v>
      </c>
      <c r="E515">
        <v>0.56710649999999996</v>
      </c>
      <c r="F515" t="s">
        <v>53</v>
      </c>
      <c r="G515">
        <v>0</v>
      </c>
      <c r="H515">
        <v>0</v>
      </c>
      <c r="I515">
        <v>0</v>
      </c>
      <c r="J515">
        <v>-391.10309999999998</v>
      </c>
      <c r="K515">
        <v>1.109229</v>
      </c>
      <c r="L515">
        <v>367.58620000000002</v>
      </c>
      <c r="M515">
        <v>0.99994810000000001</v>
      </c>
      <c r="N515">
        <v>-9.8215809999999994E-3</v>
      </c>
      <c r="O515">
        <v>-2.746493E-3</v>
      </c>
      <c r="P515">
        <v>0.97824560000000005</v>
      </c>
      <c r="Q515">
        <v>0.18214649999999999</v>
      </c>
      <c r="R515">
        <v>9.929056E-2</v>
      </c>
      <c r="S515">
        <v>3.0852360000000001</v>
      </c>
      <c r="T515">
        <v>3.226089E-2</v>
      </c>
      <c r="U515">
        <v>-0.2393188</v>
      </c>
      <c r="V515">
        <v>-0.10197000000000001</v>
      </c>
      <c r="W515">
        <v>0.19174669999999999</v>
      </c>
      <c r="X515">
        <v>0.97613289999999997</v>
      </c>
      <c r="Y515">
        <v>7.4598410000000004E-2</v>
      </c>
      <c r="Z515" s="1">
        <v>-3.3079179999999999E-5</v>
      </c>
      <c r="AA515">
        <v>0.99721369999999998</v>
      </c>
      <c r="AB515">
        <v>30</v>
      </c>
      <c r="AC515">
        <v>3.0852360000000001</v>
      </c>
      <c r="AD515">
        <v>3.226089E-2</v>
      </c>
      <c r="AE515">
        <v>-0.2393188</v>
      </c>
      <c r="AF515">
        <v>0.23081882377720001</v>
      </c>
      <c r="AG515">
        <v>3.226089E-2</v>
      </c>
      <c r="AH515">
        <v>3.0855463282165401</v>
      </c>
      <c r="AI515">
        <v>89.402635515725194</v>
      </c>
      <c r="AJ515">
        <v>85.721873352148705</v>
      </c>
      <c r="AK515">
        <v>3.0943358314837299</v>
      </c>
      <c r="AL515">
        <v>78.945263460193601</v>
      </c>
      <c r="AM515">
        <v>95.963672226102503</v>
      </c>
      <c r="AN515">
        <v>1.0000000581616399</v>
      </c>
    </row>
    <row r="516" spans="1:40" x14ac:dyDescent="0.25">
      <c r="A516" t="str">
        <f>"20190304155025936"</f>
        <v>20190304155025936</v>
      </c>
      <c r="B516" t="str">
        <f>"1551685825926656"</f>
        <v>1551685825926656</v>
      </c>
      <c r="C516" t="s">
        <v>40</v>
      </c>
      <c r="D516">
        <v>5.761736</v>
      </c>
      <c r="E516">
        <v>0.56997719999999996</v>
      </c>
      <c r="F516" t="s">
        <v>53</v>
      </c>
      <c r="G516">
        <v>0</v>
      </c>
      <c r="H516">
        <v>0</v>
      </c>
      <c r="I516">
        <v>0</v>
      </c>
      <c r="J516">
        <v>-390.9529</v>
      </c>
      <c r="K516">
        <v>1.109316</v>
      </c>
      <c r="L516">
        <v>367.58580000000001</v>
      </c>
      <c r="M516">
        <v>0.99994749999999999</v>
      </c>
      <c r="N516">
        <v>-9.8897050000000004E-3</v>
      </c>
      <c r="O516">
        <v>-2.7471919999999999E-3</v>
      </c>
      <c r="P516">
        <v>0.97833959999999998</v>
      </c>
      <c r="Q516">
        <v>0.1818149</v>
      </c>
      <c r="R516">
        <v>9.8971379999999998E-2</v>
      </c>
      <c r="S516">
        <v>3.084991</v>
      </c>
      <c r="T516">
        <v>3.2122850000000001E-2</v>
      </c>
      <c r="U516">
        <v>-0.2387695</v>
      </c>
      <c r="V516">
        <v>-0.1016519</v>
      </c>
      <c r="W516">
        <v>0.19148219999999999</v>
      </c>
      <c r="X516">
        <v>0.97621789999999997</v>
      </c>
      <c r="Y516">
        <v>7.4427320000000005E-2</v>
      </c>
      <c r="Z516" s="1">
        <v>-3.7377759999999997E-5</v>
      </c>
      <c r="AA516">
        <v>0.99722639999999996</v>
      </c>
      <c r="AB516">
        <v>30</v>
      </c>
      <c r="AC516">
        <v>3.084991</v>
      </c>
      <c r="AD516">
        <v>3.2122850000000001E-2</v>
      </c>
      <c r="AE516">
        <v>-0.2387695</v>
      </c>
      <c r="AF516">
        <v>0.230268305679902</v>
      </c>
      <c r="AG516">
        <v>3.2122850000000001E-2</v>
      </c>
      <c r="AH516">
        <v>3.08530281013334</v>
      </c>
      <c r="AI516">
        <v>89.405136804459602</v>
      </c>
      <c r="AJ516">
        <v>85.731703599603904</v>
      </c>
      <c r="AK516">
        <v>3.0940505490876302</v>
      </c>
      <c r="AL516">
        <v>78.960703266133805</v>
      </c>
      <c r="AM516">
        <v>95.944687792459106</v>
      </c>
      <c r="AN516">
        <v>0.99999996498542898</v>
      </c>
    </row>
    <row r="517" spans="1:40" x14ac:dyDescent="0.25">
      <c r="A517" t="str">
        <f>"20190304155025948"</f>
        <v>20190304155025948</v>
      </c>
      <c r="B517" t="str">
        <f>"1551685825937391"</f>
        <v>1551685825937391</v>
      </c>
      <c r="C517" t="s">
        <v>40</v>
      </c>
      <c r="D517">
        <v>5.1692309999999999</v>
      </c>
      <c r="E517">
        <v>0.56997719999999996</v>
      </c>
      <c r="F517" t="s">
        <v>53</v>
      </c>
      <c r="G517">
        <v>0</v>
      </c>
      <c r="H517">
        <v>0</v>
      </c>
      <c r="I517">
        <v>0</v>
      </c>
      <c r="J517">
        <v>-390.7987</v>
      </c>
      <c r="K517">
        <v>1.109399</v>
      </c>
      <c r="L517">
        <v>367.58539999999999</v>
      </c>
      <c r="M517">
        <v>0.99994669999999997</v>
      </c>
      <c r="N517">
        <v>-9.9583599999999994E-3</v>
      </c>
      <c r="O517">
        <v>-2.747897E-3</v>
      </c>
      <c r="P517">
        <v>0.97839100000000001</v>
      </c>
      <c r="Q517">
        <v>0.18168529999999999</v>
      </c>
      <c r="R517">
        <v>9.8699099999999998E-2</v>
      </c>
      <c r="S517">
        <v>2.9769589999999999</v>
      </c>
      <c r="T517">
        <v>0.62170649999999905</v>
      </c>
      <c r="U517">
        <v>-0.2579651</v>
      </c>
      <c r="V517">
        <v>-0.1013799</v>
      </c>
      <c r="W517">
        <v>0.1914209</v>
      </c>
      <c r="X517">
        <v>0.97625819999999996</v>
      </c>
      <c r="Y517">
        <v>8.1987149999999995E-2</v>
      </c>
      <c r="Z517">
        <v>7.447543E-3</v>
      </c>
      <c r="AA517">
        <v>0.99660559999999998</v>
      </c>
      <c r="AB517">
        <v>30</v>
      </c>
      <c r="AC517">
        <v>2.9769589999999999</v>
      </c>
      <c r="AD517">
        <v>0.62170649999999905</v>
      </c>
      <c r="AE517">
        <v>-0.2579651</v>
      </c>
      <c r="AF517">
        <v>0.23941915994559201</v>
      </c>
      <c r="AG517">
        <v>0.62170649999999905</v>
      </c>
      <c r="AH517">
        <v>2.8541056560320701</v>
      </c>
      <c r="AI517">
        <v>77.753000907259207</v>
      </c>
      <c r="AJ517">
        <v>85.204919585366696</v>
      </c>
      <c r="AK517">
        <v>2.9308291663086701</v>
      </c>
      <c r="AL517">
        <v>78.964281624961004</v>
      </c>
      <c r="AM517">
        <v>95.928651462985499</v>
      </c>
      <c r="AN517">
        <v>0.99999995907402905</v>
      </c>
    </row>
    <row r="518" spans="1:40" x14ac:dyDescent="0.25">
      <c r="A518" t="str">
        <f>"20190304155025970"</f>
        <v>20190304155025970</v>
      </c>
      <c r="B518" t="str">
        <f>"1551685825966672"</f>
        <v>1551685825966672</v>
      </c>
      <c r="C518" t="s">
        <v>40</v>
      </c>
      <c r="D518">
        <v>5.4366349999999999</v>
      </c>
      <c r="E518">
        <v>0.57049910000000004</v>
      </c>
      <c r="F518" t="s">
        <v>53</v>
      </c>
      <c r="G518">
        <v>0</v>
      </c>
      <c r="H518">
        <v>0</v>
      </c>
      <c r="I518">
        <v>0</v>
      </c>
      <c r="J518">
        <v>-390.49630000000002</v>
      </c>
      <c r="K518">
        <v>1.1095269999999999</v>
      </c>
      <c r="L518">
        <v>367.58460000000002</v>
      </c>
      <c r="M518">
        <v>0.99994550000000004</v>
      </c>
      <c r="N518">
        <v>-1.008073E-2</v>
      </c>
      <c r="O518">
        <v>-2.7545069999999998E-3</v>
      </c>
      <c r="P518">
        <v>0.97853449999999997</v>
      </c>
      <c r="Q518">
        <v>0.18132889999999999</v>
      </c>
      <c r="R518">
        <v>9.7930550000000005E-2</v>
      </c>
      <c r="S518">
        <v>2.9769589999999999</v>
      </c>
      <c r="T518">
        <v>0.62119169999999901</v>
      </c>
      <c r="U518">
        <v>-0.258606</v>
      </c>
      <c r="V518">
        <v>-0.1006169</v>
      </c>
      <c r="W518">
        <v>0.19118599999999999</v>
      </c>
      <c r="X518">
        <v>0.97638320000000001</v>
      </c>
      <c r="Y518">
        <v>8.2193340000000004E-2</v>
      </c>
      <c r="Z518">
        <v>7.4544399999999997E-3</v>
      </c>
      <c r="AA518">
        <v>0.99658849999999999</v>
      </c>
      <c r="AB518">
        <v>30</v>
      </c>
      <c r="AC518">
        <v>2.9769589999999999</v>
      </c>
      <c r="AD518">
        <v>0.62119169999999901</v>
      </c>
      <c r="AE518">
        <v>-0.258606</v>
      </c>
      <c r="AF518">
        <v>0.24003144472274601</v>
      </c>
      <c r="AG518">
        <v>0.62119169999999901</v>
      </c>
      <c r="AH518">
        <v>2.8543093696346502</v>
      </c>
      <c r="AI518">
        <v>77.763889690406103</v>
      </c>
      <c r="AJ518">
        <v>85.193055650742295</v>
      </c>
      <c r="AK518">
        <v>2.9309684747858902</v>
      </c>
      <c r="AL518">
        <v>78.977994111394693</v>
      </c>
      <c r="AM518">
        <v>95.8835977787259</v>
      </c>
      <c r="AN518">
        <v>1.00000000020192</v>
      </c>
    </row>
    <row r="519" spans="1:40" x14ac:dyDescent="0.25">
      <c r="A519" t="str">
        <f>"20190304155025984"</f>
        <v>20190304155025984</v>
      </c>
      <c r="B519" t="str">
        <f>"1551685825977408"</f>
        <v>1551685825977408</v>
      </c>
      <c r="C519" t="s">
        <v>40</v>
      </c>
      <c r="D519">
        <v>5.1768830000000001</v>
      </c>
      <c r="E519">
        <v>0.56997500000000001</v>
      </c>
      <c r="F519" t="s">
        <v>53</v>
      </c>
      <c r="G519">
        <v>0</v>
      </c>
      <c r="H519">
        <v>0</v>
      </c>
      <c r="I519">
        <v>0</v>
      </c>
      <c r="J519">
        <v>-390.31599999999997</v>
      </c>
      <c r="K519">
        <v>1.109594</v>
      </c>
      <c r="L519">
        <v>367.584</v>
      </c>
      <c r="M519">
        <v>0.99994470000000002</v>
      </c>
      <c r="N519">
        <v>-1.0147740000000001E-2</v>
      </c>
      <c r="O519">
        <v>-2.7611990000000002E-3</v>
      </c>
      <c r="P519">
        <v>0.97862289999999996</v>
      </c>
      <c r="Q519">
        <v>0.18103179999999999</v>
      </c>
      <c r="R519">
        <v>9.7596619999999995E-2</v>
      </c>
      <c r="S519">
        <v>3.0857239999999999</v>
      </c>
      <c r="T519">
        <v>3.805041E-2</v>
      </c>
      <c r="U519">
        <v>-0.26959229999999901</v>
      </c>
      <c r="V519">
        <v>-0.100289</v>
      </c>
      <c r="W519">
        <v>0.19095609999999999</v>
      </c>
      <c r="X519">
        <v>0.97646189999999999</v>
      </c>
      <c r="Y519">
        <v>8.4284449999999997E-2</v>
      </c>
      <c r="Z519" s="1">
        <v>2.823031E-5</v>
      </c>
      <c r="AA519">
        <v>0.99644169999999999</v>
      </c>
      <c r="AB519">
        <v>30</v>
      </c>
      <c r="AC519">
        <v>3.0857239999999999</v>
      </c>
      <c r="AD519">
        <v>3.805041E-2</v>
      </c>
      <c r="AE519">
        <v>-0.26959229999999901</v>
      </c>
      <c r="AF519">
        <v>0.26103114467442301</v>
      </c>
      <c r="AG519">
        <v>3.805041E-2</v>
      </c>
      <c r="AH519">
        <v>3.0859909821360101</v>
      </c>
      <c r="AI519">
        <v>89.296089629027506</v>
      </c>
      <c r="AJ519">
        <v>85.165097210255198</v>
      </c>
      <c r="AK519">
        <v>3.0972448133810699</v>
      </c>
      <c r="AL519">
        <v>78.991413412475893</v>
      </c>
      <c r="AM519">
        <v>95.864088230208594</v>
      </c>
      <c r="AN519">
        <v>0.99999997889990899</v>
      </c>
    </row>
    <row r="520" spans="1:40" x14ac:dyDescent="0.25">
      <c r="A520" t="str">
        <f>"20190304155025997"</f>
        <v>20190304155025997</v>
      </c>
      <c r="B520" t="str">
        <f>"1551685825987167"</f>
        <v>1551685825987167</v>
      </c>
      <c r="C520" t="s">
        <v>40</v>
      </c>
      <c r="D520">
        <v>5.1681249999999999</v>
      </c>
      <c r="E520">
        <v>0.56885490000000005</v>
      </c>
      <c r="F520" t="s">
        <v>53</v>
      </c>
      <c r="G520">
        <v>0</v>
      </c>
      <c r="H520">
        <v>0</v>
      </c>
      <c r="I520">
        <v>0</v>
      </c>
      <c r="J520">
        <v>-390.14429999999999</v>
      </c>
      <c r="K520">
        <v>1.109648</v>
      </c>
      <c r="L520">
        <v>367.58359999999999</v>
      </c>
      <c r="M520">
        <v>0.99994419999999995</v>
      </c>
      <c r="N520">
        <v>-1.0207239999999999E-2</v>
      </c>
      <c r="O520">
        <v>-2.7708400000000001E-3</v>
      </c>
      <c r="P520">
        <v>0.97868829999999996</v>
      </c>
      <c r="Q520">
        <v>0.1810068</v>
      </c>
      <c r="R520">
        <v>9.6983420000000001E-2</v>
      </c>
      <c r="S520">
        <v>3.083313</v>
      </c>
      <c r="T520">
        <v>4.756701E-2</v>
      </c>
      <c r="U520">
        <v>-0.26647949999999998</v>
      </c>
      <c r="V520">
        <v>-9.9683040000000001E-2</v>
      </c>
      <c r="W520">
        <v>0.1909903</v>
      </c>
      <c r="X520">
        <v>0.97651730000000003</v>
      </c>
      <c r="Y520">
        <v>8.3341960000000007E-2</v>
      </c>
      <c r="Z520">
        <v>1.4458599999999999E-4</v>
      </c>
      <c r="AA520">
        <v>0.99652099999999999</v>
      </c>
      <c r="AB520">
        <v>30</v>
      </c>
      <c r="AC520">
        <v>3.083313</v>
      </c>
      <c r="AD520">
        <v>4.756701E-2</v>
      </c>
      <c r="AE520">
        <v>-0.26647949999999998</v>
      </c>
      <c r="AF520">
        <v>0.25787374714838202</v>
      </c>
      <c r="AG520">
        <v>4.756701E-2</v>
      </c>
      <c r="AH520">
        <v>3.08331118646284</v>
      </c>
      <c r="AI520">
        <v>89.119228431564395</v>
      </c>
      <c r="AJ520">
        <v>85.219174963064702</v>
      </c>
      <c r="AK520">
        <v>3.09444168833015</v>
      </c>
      <c r="AL520">
        <v>78.989417616357699</v>
      </c>
      <c r="AM520">
        <v>95.828572887956994</v>
      </c>
      <c r="AN520">
        <v>1.00000002017851</v>
      </c>
    </row>
    <row r="521" spans="1:40" x14ac:dyDescent="0.25">
      <c r="A521" t="str">
        <f>"20190304155026014"</f>
        <v>20190304155026014</v>
      </c>
      <c r="B521" t="str">
        <f>"1551685826006688"</f>
        <v>1551685826006688</v>
      </c>
      <c r="C521" t="s">
        <v>40</v>
      </c>
      <c r="D521">
        <v>5.8577430000000001</v>
      </c>
      <c r="E521">
        <v>0.56856470000000003</v>
      </c>
      <c r="F521" t="s">
        <v>53</v>
      </c>
      <c r="G521">
        <v>0</v>
      </c>
      <c r="H521">
        <v>0</v>
      </c>
      <c r="I521">
        <v>0</v>
      </c>
      <c r="J521">
        <v>-389.91750000000002</v>
      </c>
      <c r="K521">
        <v>1.109707</v>
      </c>
      <c r="L521">
        <v>367.5829</v>
      </c>
      <c r="M521">
        <v>0.99994349999999999</v>
      </c>
      <c r="N521">
        <v>-1.0280930000000001E-2</v>
      </c>
      <c r="O521">
        <v>-2.7874940000000002E-3</v>
      </c>
      <c r="P521">
        <v>0.97881790000000002</v>
      </c>
      <c r="Q521">
        <v>0.18066080000000001</v>
      </c>
      <c r="R521">
        <v>9.6319650000000007E-2</v>
      </c>
      <c r="S521">
        <v>3.083405</v>
      </c>
      <c r="T521">
        <v>4.1324850000000003E-2</v>
      </c>
      <c r="U521">
        <v>-0.25942989999999999</v>
      </c>
      <c r="V521">
        <v>-9.9034120000000003E-2</v>
      </c>
      <c r="W521">
        <v>0.19071879999999999</v>
      </c>
      <c r="X521">
        <v>0.97663639999999996</v>
      </c>
      <c r="Y521">
        <v>8.1062229999999999E-2</v>
      </c>
      <c r="Z521" s="1">
        <v>5.8885260000000001E-5</v>
      </c>
      <c r="AA521">
        <v>0.99670899999999996</v>
      </c>
      <c r="AB521">
        <v>30</v>
      </c>
      <c r="AC521">
        <v>3.083405</v>
      </c>
      <c r="AD521">
        <v>4.1324850000000003E-2</v>
      </c>
      <c r="AE521">
        <v>-0.25942989999999999</v>
      </c>
      <c r="AF521">
        <v>0.25078873609035401</v>
      </c>
      <c r="AG521">
        <v>4.1324850000000003E-2</v>
      </c>
      <c r="AH521">
        <v>3.0835662314918602</v>
      </c>
      <c r="AI521">
        <v>89.234715040915106</v>
      </c>
      <c r="AJ521">
        <v>85.350325648382295</v>
      </c>
      <c r="AK521">
        <v>3.0940238262454001</v>
      </c>
      <c r="AL521">
        <v>79.005264911488098</v>
      </c>
      <c r="AM521">
        <v>95.790187157366304</v>
      </c>
      <c r="AN521">
        <v>1.0000000377012801</v>
      </c>
    </row>
    <row r="522" spans="1:40" x14ac:dyDescent="0.25">
      <c r="A522" t="str">
        <f>"20190304155026036"</f>
        <v>20190304155026036</v>
      </c>
      <c r="B522" t="str">
        <f>"1551685826027183"</f>
        <v>1551685826027183</v>
      </c>
      <c r="C522" t="s">
        <v>40</v>
      </c>
      <c r="D522">
        <v>5.5480900000000002</v>
      </c>
      <c r="E522">
        <v>0.5655019</v>
      </c>
      <c r="F522" t="s">
        <v>53</v>
      </c>
      <c r="G522">
        <v>0</v>
      </c>
      <c r="H522">
        <v>0</v>
      </c>
      <c r="I522">
        <v>0</v>
      </c>
      <c r="J522">
        <v>-389.61329999999998</v>
      </c>
      <c r="K522">
        <v>1.1097760000000001</v>
      </c>
      <c r="L522">
        <v>367.58199999999999</v>
      </c>
      <c r="M522">
        <v>0.9999422</v>
      </c>
      <c r="N522">
        <v>-1.036991E-2</v>
      </c>
      <c r="O522">
        <v>-2.8204900000000001E-3</v>
      </c>
      <c r="P522">
        <v>0.9788753</v>
      </c>
      <c r="Q522">
        <v>0.18060870000000001</v>
      </c>
      <c r="R522">
        <v>9.5832500000000001E-2</v>
      </c>
      <c r="S522">
        <v>3.0856020000000002</v>
      </c>
      <c r="T522">
        <v>2.6498910000000001E-2</v>
      </c>
      <c r="U522">
        <v>-0.25942989999999999</v>
      </c>
      <c r="V522">
        <v>-9.8575140000000006E-2</v>
      </c>
      <c r="W522">
        <v>0.19075629999999999</v>
      </c>
      <c r="X522">
        <v>0.97667550000000003</v>
      </c>
      <c r="Y522">
        <v>8.0972050000000004E-2</v>
      </c>
      <c r="Z522">
        <v>-1.268889E-4</v>
      </c>
      <c r="AA522">
        <v>0.99671639999999995</v>
      </c>
      <c r="AB522">
        <v>30</v>
      </c>
      <c r="AC522">
        <v>3.0856020000000002</v>
      </c>
      <c r="AD522">
        <v>2.6498910000000001E-2</v>
      </c>
      <c r="AE522">
        <v>-0.25942989999999999</v>
      </c>
      <c r="AF522">
        <v>0.250707129499526</v>
      </c>
      <c r="AG522">
        <v>2.6498910000000001E-2</v>
      </c>
      <c r="AH522">
        <v>3.0860954749380598</v>
      </c>
      <c r="AI522">
        <v>89.509654363748197</v>
      </c>
      <c r="AJ522">
        <v>85.355624805583901</v>
      </c>
      <c r="AK522">
        <v>3.09637554851576</v>
      </c>
      <c r="AL522">
        <v>79.003076031123996</v>
      </c>
      <c r="AM522">
        <v>95.763304056566398</v>
      </c>
      <c r="AN522">
        <v>1.00000002825797</v>
      </c>
    </row>
    <row r="523" spans="1:40" x14ac:dyDescent="0.25">
      <c r="A523" t="str">
        <f>"20190304155026049"</f>
        <v>20190304155026049</v>
      </c>
      <c r="B523" t="str">
        <f>"1551685826046704"</f>
        <v>1551685826046704</v>
      </c>
      <c r="C523" t="s">
        <v>40</v>
      </c>
      <c r="D523">
        <v>5.6491629999999997</v>
      </c>
      <c r="E523">
        <v>0.56737329999999997</v>
      </c>
      <c r="F523" t="s">
        <v>53</v>
      </c>
      <c r="G523">
        <v>0</v>
      </c>
      <c r="H523">
        <v>0</v>
      </c>
      <c r="I523">
        <v>0</v>
      </c>
      <c r="J523">
        <v>-389.44330000000002</v>
      </c>
      <c r="K523">
        <v>1.10981</v>
      </c>
      <c r="L523">
        <v>367.58159999999998</v>
      </c>
      <c r="M523">
        <v>0.99994179999999999</v>
      </c>
      <c r="N523">
        <v>-1.0415870000000001E-2</v>
      </c>
      <c r="O523">
        <v>-2.8438059999999999E-3</v>
      </c>
      <c r="P523">
        <v>0.97887179999999996</v>
      </c>
      <c r="Q523">
        <v>0.1807222</v>
      </c>
      <c r="R523">
        <v>9.5653970000000005E-2</v>
      </c>
      <c r="S523">
        <v>2.9705509999999999</v>
      </c>
      <c r="T523">
        <v>0.63354650000000001</v>
      </c>
      <c r="U523">
        <v>-0.23187260000000001</v>
      </c>
      <c r="V523">
        <v>-9.8416939999999994E-2</v>
      </c>
      <c r="W523">
        <v>0.1909159</v>
      </c>
      <c r="X523">
        <v>0.97666030000000004</v>
      </c>
      <c r="Y523">
        <v>7.3494110000000001E-2</v>
      </c>
      <c r="Z523">
        <v>6.7232530000000002E-3</v>
      </c>
      <c r="AA523">
        <v>0.99727299999999997</v>
      </c>
      <c r="AB523">
        <v>30</v>
      </c>
      <c r="AC523">
        <v>2.9705509999999999</v>
      </c>
      <c r="AD523">
        <v>0.63354650000000001</v>
      </c>
      <c r="AE523">
        <v>-0.23187260000000001</v>
      </c>
      <c r="AF523">
        <v>0.213759247669117</v>
      </c>
      <c r="AG523">
        <v>0.63354650000000001</v>
      </c>
      <c r="AH523">
        <v>2.84267788724868</v>
      </c>
      <c r="AI523">
        <v>77.470103872735706</v>
      </c>
      <c r="AJ523">
        <v>85.699654799417104</v>
      </c>
      <c r="AK523">
        <v>2.9202554262048599</v>
      </c>
      <c r="AL523">
        <v>78.993760756394593</v>
      </c>
      <c r="AM523">
        <v>95.754205786786102</v>
      </c>
      <c r="AN523">
        <v>1.0000000582739299</v>
      </c>
    </row>
    <row r="524" spans="1:40" x14ac:dyDescent="0.25">
      <c r="A524" t="str">
        <f>"20190304155026060"</f>
        <v>20190304155026060</v>
      </c>
      <c r="B524" t="str">
        <f>"1551685826057440"</f>
        <v>1551685826057440</v>
      </c>
      <c r="C524" t="s">
        <v>40</v>
      </c>
      <c r="D524">
        <v>5.5357310000000002</v>
      </c>
      <c r="E524">
        <v>0.56445970000000001</v>
      </c>
      <c r="F524" t="s">
        <v>41</v>
      </c>
      <c r="G524">
        <v>-271.77569999999997</v>
      </c>
      <c r="H524">
        <v>7.9986379999999996E-2</v>
      </c>
      <c r="I524">
        <v>357.98809999999997</v>
      </c>
      <c r="J524">
        <v>-389.29109999999997</v>
      </c>
      <c r="K524">
        <v>1.109834</v>
      </c>
      <c r="L524">
        <v>367.58109999999999</v>
      </c>
      <c r="M524">
        <v>0.99994130000000003</v>
      </c>
      <c r="N524">
        <v>-1.04534E-2</v>
      </c>
      <c r="O524">
        <v>-2.8695790000000001E-3</v>
      </c>
      <c r="P524">
        <v>0.9788384</v>
      </c>
      <c r="Q524">
        <v>0.18095410000000001</v>
      </c>
      <c r="R524">
        <v>9.5556909999999995E-2</v>
      </c>
      <c r="S524">
        <v>3.094452</v>
      </c>
      <c r="T524">
        <v>-2.7082559999999999E-2</v>
      </c>
      <c r="U524">
        <v>-0.25228879999999998</v>
      </c>
      <c r="V524">
        <v>-9.8342730000000003E-2</v>
      </c>
      <c r="W524">
        <v>0.19118550000000001</v>
      </c>
      <c r="X524">
        <v>0.97661500000000001</v>
      </c>
      <c r="Y524">
        <v>7.839264E-2</v>
      </c>
      <c r="Z524">
        <v>-7.5778960000000002E-4</v>
      </c>
      <c r="AA524">
        <v>0.99692230000000004</v>
      </c>
      <c r="AB524">
        <v>30</v>
      </c>
      <c r="AC524">
        <v>117.5154</v>
      </c>
      <c r="AD524">
        <v>-1.02984762</v>
      </c>
      <c r="AE524">
        <v>-9.5930000000000106</v>
      </c>
      <c r="AF524">
        <v>9.2550162953575192</v>
      </c>
      <c r="AG524">
        <v>-1.02984762</v>
      </c>
      <c r="AH524">
        <v>117.533478762461</v>
      </c>
      <c r="AI524">
        <v>90.500473040336402</v>
      </c>
      <c r="AJ524">
        <v>85.497611062511496</v>
      </c>
      <c r="AK524">
        <v>117.90180042201899</v>
      </c>
      <c r="AL524">
        <v>78.978023553083304</v>
      </c>
      <c r="AM524">
        <v>95.750160907217904</v>
      </c>
      <c r="AN524">
        <v>1.00000002308955</v>
      </c>
    </row>
    <row r="525" spans="1:40" x14ac:dyDescent="0.25">
      <c r="A525" t="str">
        <f>"20190304155026073"</f>
        <v>20190304155026073</v>
      </c>
      <c r="B525" t="str">
        <f>"1551685826067199"</f>
        <v>1551685826067199</v>
      </c>
      <c r="C525" t="s">
        <v>40</v>
      </c>
      <c r="D525">
        <v>5.1826970000000001</v>
      </c>
      <c r="E525">
        <v>0.56613709999999995</v>
      </c>
      <c r="F525" t="s">
        <v>53</v>
      </c>
      <c r="G525">
        <v>0</v>
      </c>
      <c r="H525">
        <v>0</v>
      </c>
      <c r="I525">
        <v>0</v>
      </c>
      <c r="J525">
        <v>-389.12990000000002</v>
      </c>
      <c r="K525">
        <v>1.1098629999999901</v>
      </c>
      <c r="L525">
        <v>367.5806</v>
      </c>
      <c r="M525">
        <v>0.99994079999999996</v>
      </c>
      <c r="N525">
        <v>-1.049134E-2</v>
      </c>
      <c r="O525">
        <v>-2.8995309999999999E-3</v>
      </c>
      <c r="P525">
        <v>0.97885610000000001</v>
      </c>
      <c r="Q525">
        <v>0.1809151</v>
      </c>
      <c r="R525">
        <v>9.544975E-2</v>
      </c>
      <c r="S525">
        <v>3.086792</v>
      </c>
      <c r="T525">
        <v>2.405047E-3</v>
      </c>
      <c r="U525">
        <v>-0.2292786</v>
      </c>
      <c r="V525">
        <v>-9.8262660000000002E-2</v>
      </c>
      <c r="W525">
        <v>0.19118499999999999</v>
      </c>
      <c r="X525">
        <v>0.97662309999999997</v>
      </c>
      <c r="Y525">
        <v>7.1181679999999997E-2</v>
      </c>
      <c r="Z525">
        <v>-3.7886229999999999E-4</v>
      </c>
      <c r="AA525">
        <v>0.99746330000000005</v>
      </c>
      <c r="AB525">
        <v>30</v>
      </c>
      <c r="AC525">
        <v>3.086792</v>
      </c>
      <c r="AD525">
        <v>2.405047E-3</v>
      </c>
      <c r="AE525">
        <v>-0.2292786</v>
      </c>
      <c r="AF525">
        <v>0.22032676171873</v>
      </c>
      <c r="AG525">
        <v>2.405047E-3</v>
      </c>
      <c r="AH525">
        <v>3.08744199577268</v>
      </c>
      <c r="AI525">
        <v>89.955481115402307</v>
      </c>
      <c r="AJ525">
        <v>85.918164733211697</v>
      </c>
      <c r="AK525">
        <v>3.0952944518157399</v>
      </c>
      <c r="AL525">
        <v>78.978052113547506</v>
      </c>
      <c r="AM525">
        <v>95.745463165470099</v>
      </c>
      <c r="AN525">
        <v>0.99999996701444205</v>
      </c>
    </row>
    <row r="526" spans="1:40" x14ac:dyDescent="0.25">
      <c r="A526" t="str">
        <f>"20190304155026092"</f>
        <v>20190304155026092</v>
      </c>
      <c r="B526" t="str">
        <f>"1551685826086720"</f>
        <v>1551685826086720</v>
      </c>
      <c r="C526" t="s">
        <v>40</v>
      </c>
      <c r="D526">
        <v>5.8249490000000002</v>
      </c>
      <c r="E526">
        <v>0.56567279999999998</v>
      </c>
      <c r="F526" t="s">
        <v>53</v>
      </c>
      <c r="G526">
        <v>0</v>
      </c>
      <c r="H526">
        <v>0</v>
      </c>
      <c r="I526">
        <v>0</v>
      </c>
      <c r="J526">
        <v>-388.87549999999999</v>
      </c>
      <c r="K526">
        <v>1.109896</v>
      </c>
      <c r="L526">
        <v>367.57979999999998</v>
      </c>
      <c r="M526">
        <v>0.99994019999999995</v>
      </c>
      <c r="N526">
        <v>-1.054623E-2</v>
      </c>
      <c r="O526">
        <v>-2.9542909999999999E-3</v>
      </c>
      <c r="P526">
        <v>0.97887360000000001</v>
      </c>
      <c r="Q526">
        <v>0.18082100000000001</v>
      </c>
      <c r="R526">
        <v>9.5449950000000006E-2</v>
      </c>
      <c r="S526">
        <v>3.0864259999999999</v>
      </c>
      <c r="T526">
        <v>1.0864260000000001E-2</v>
      </c>
      <c r="U526">
        <v>-0.2430725</v>
      </c>
      <c r="V526">
        <v>-9.8312319999999995E-2</v>
      </c>
      <c r="W526">
        <v>0.19114619999999999</v>
      </c>
      <c r="X526">
        <v>0.97662570000000004</v>
      </c>
      <c r="Y526">
        <v>7.5567789999999996E-2</v>
      </c>
      <c r="Z526">
        <v>-3.0780089999999998E-4</v>
      </c>
      <c r="AA526">
        <v>0.99714060000000004</v>
      </c>
      <c r="AB526">
        <v>30</v>
      </c>
      <c r="AC526">
        <v>3.0864259999999999</v>
      </c>
      <c r="AD526">
        <v>1.0864260000000001E-2</v>
      </c>
      <c r="AE526">
        <v>-0.2430725</v>
      </c>
      <c r="AF526">
        <v>0.23394985218924</v>
      </c>
      <c r="AG526">
        <v>1.0864260000000001E-2</v>
      </c>
      <c r="AH526">
        <v>3.0870926614636098</v>
      </c>
      <c r="AI526">
        <v>89.7989390156621</v>
      </c>
      <c r="AJ526">
        <v>85.666224546188701</v>
      </c>
      <c r="AK526">
        <v>3.09596377012832</v>
      </c>
      <c r="AL526">
        <v>78.980316991565601</v>
      </c>
      <c r="AM526">
        <v>95.748332167098596</v>
      </c>
      <c r="AN526">
        <v>0.99999996996935503</v>
      </c>
    </row>
    <row r="527" spans="1:40" x14ac:dyDescent="0.25">
      <c r="A527" t="str">
        <f>"20190304155026103"</f>
        <v>20190304155026103</v>
      </c>
      <c r="B527" t="str">
        <f>"1551685826097456"</f>
        <v>1551685826097456</v>
      </c>
      <c r="C527" t="s">
        <v>40</v>
      </c>
      <c r="D527">
        <v>5.4303689999999998</v>
      </c>
      <c r="E527">
        <v>0.56476789999999999</v>
      </c>
      <c r="F527" t="s">
        <v>53</v>
      </c>
      <c r="G527">
        <v>0</v>
      </c>
      <c r="H527">
        <v>0</v>
      </c>
      <c r="I527">
        <v>0</v>
      </c>
      <c r="J527">
        <v>-388.72179999999997</v>
      </c>
      <c r="K527">
        <v>1.1099110000000001</v>
      </c>
      <c r="L527">
        <v>367.57929999999999</v>
      </c>
      <c r="M527">
        <v>0.99993969999999999</v>
      </c>
      <c r="N527">
        <v>-1.0576739999999999E-2</v>
      </c>
      <c r="O527">
        <v>-2.9917110000000002E-3</v>
      </c>
      <c r="P527">
        <v>0.97888200000000003</v>
      </c>
      <c r="Q527">
        <v>0.18077309999999999</v>
      </c>
      <c r="R527">
        <v>9.5453750000000004E-2</v>
      </c>
      <c r="S527">
        <v>3.0887449999999999</v>
      </c>
      <c r="T527">
        <v>-3.0728579999999999E-3</v>
      </c>
      <c r="U527">
        <v>-0.23983760000000001</v>
      </c>
      <c r="V527">
        <v>-9.8350370000000006E-2</v>
      </c>
      <c r="W527">
        <v>0.1911293</v>
      </c>
      <c r="X527">
        <v>0.97662519999999997</v>
      </c>
      <c r="Y527">
        <v>7.4432330000000005E-2</v>
      </c>
      <c r="Z527">
        <v>-4.5982359999999998E-4</v>
      </c>
      <c r="AA527">
        <v>0.9972259</v>
      </c>
      <c r="AB527">
        <v>30</v>
      </c>
      <c r="AC527">
        <v>3.0887449999999999</v>
      </c>
      <c r="AD527">
        <v>-3.0728579999999999E-3</v>
      </c>
      <c r="AE527">
        <v>-0.23983760000000001</v>
      </c>
      <c r="AF527">
        <v>0.23059515142721801</v>
      </c>
      <c r="AG527">
        <v>-3.0728579999999999E-3</v>
      </c>
      <c r="AH527">
        <v>3.0894457011982399</v>
      </c>
      <c r="AI527">
        <v>90.0568300486797</v>
      </c>
      <c r="AJ527">
        <v>85.731378165896203</v>
      </c>
      <c r="AK527">
        <v>3.0980410434612198</v>
      </c>
      <c r="AL527">
        <v>78.981303734131004</v>
      </c>
      <c r="AM527">
        <v>95.750544971412893</v>
      </c>
      <c r="AN527">
        <v>0.99999999293633302</v>
      </c>
    </row>
    <row r="528" spans="1:40" x14ac:dyDescent="0.25">
      <c r="A528" t="str">
        <f>"20190304155026125"</f>
        <v>20190304155026125</v>
      </c>
      <c r="B528" t="str">
        <f>"1551685826116979"</f>
        <v>1551685826116979</v>
      </c>
      <c r="C528" t="s">
        <v>40</v>
      </c>
      <c r="D528">
        <v>5.1818379999999999</v>
      </c>
      <c r="E528">
        <v>0.56529449999999903</v>
      </c>
      <c r="F528" t="s">
        <v>52</v>
      </c>
      <c r="G528">
        <v>4.7605589999999998</v>
      </c>
      <c r="H528">
        <v>-0.1</v>
      </c>
      <c r="I528">
        <v>337.94349999999997</v>
      </c>
      <c r="J528">
        <v>-388.42579999999998</v>
      </c>
      <c r="K528">
        <v>1.109936</v>
      </c>
      <c r="L528">
        <v>367.57839999999999</v>
      </c>
      <c r="M528">
        <v>0.99993880000000002</v>
      </c>
      <c r="N528">
        <v>-1.0630860000000001E-2</v>
      </c>
      <c r="O528">
        <v>-3.0705480000000002E-3</v>
      </c>
      <c r="P528">
        <v>0.97886890000000004</v>
      </c>
      <c r="Q528">
        <v>0.18077989999999999</v>
      </c>
      <c r="R528">
        <v>9.5574740000000005E-2</v>
      </c>
      <c r="S528">
        <v>3.089172</v>
      </c>
      <c r="T528">
        <v>-9.4988350000000006E-3</v>
      </c>
      <c r="U528">
        <v>-0.23266600000000001</v>
      </c>
      <c r="V528">
        <v>-9.8544740000000006E-2</v>
      </c>
      <c r="W528">
        <v>0.1911911</v>
      </c>
      <c r="X528">
        <v>0.9765935</v>
      </c>
      <c r="Y528">
        <v>7.2040069999999998E-2</v>
      </c>
      <c r="Z528">
        <v>-5.1725139999999996E-4</v>
      </c>
      <c r="AA528">
        <v>0.9974016</v>
      </c>
      <c r="AB528">
        <v>30</v>
      </c>
      <c r="AC528">
        <v>393.18635899999998</v>
      </c>
      <c r="AD528">
        <v>-1.2099359999999999</v>
      </c>
      <c r="AE528">
        <v>-29.634899999999998</v>
      </c>
      <c r="AF528">
        <v>28.4271268233895</v>
      </c>
      <c r="AG528">
        <v>-1.2099359999999999</v>
      </c>
      <c r="AH528">
        <v>393.27180271837199</v>
      </c>
      <c r="AI528">
        <v>90.175816339639596</v>
      </c>
      <c r="AJ528">
        <v>85.865641698316793</v>
      </c>
      <c r="AK528">
        <v>394.29972901070499</v>
      </c>
      <c r="AL528">
        <v>78.977696223512197</v>
      </c>
      <c r="AM528">
        <v>95.762019160906505</v>
      </c>
      <c r="AN528">
        <v>0.99999998337156304</v>
      </c>
    </row>
    <row r="529" spans="1:40" x14ac:dyDescent="0.25">
      <c r="A529" t="str">
        <f>"20190304155026137"</f>
        <v>20190304155026137</v>
      </c>
      <c r="B529" t="str">
        <f>"1551685826126736"</f>
        <v>1551685826126736</v>
      </c>
      <c r="C529" t="s">
        <v>40</v>
      </c>
      <c r="D529">
        <v>8.4504300000000008</v>
      </c>
      <c r="E529">
        <v>0.56529449999999903</v>
      </c>
      <c r="F529" t="s">
        <v>52</v>
      </c>
      <c r="G529">
        <v>-20.6265</v>
      </c>
      <c r="H529">
        <v>-0.1</v>
      </c>
      <c r="I529">
        <v>339.44959999999998</v>
      </c>
      <c r="J529">
        <v>-388.26940000000002</v>
      </c>
      <c r="K529">
        <v>1.1099559999999999</v>
      </c>
      <c r="L529">
        <v>367.57780000000002</v>
      </c>
      <c r="M529">
        <v>0.99993849999999995</v>
      </c>
      <c r="N529">
        <v>-1.0656479999999999E-2</v>
      </c>
      <c r="O529">
        <v>-3.1157889999999999E-3</v>
      </c>
      <c r="P529">
        <v>0.97880630000000002</v>
      </c>
      <c r="Q529">
        <v>0.18110899999999999</v>
      </c>
      <c r="R529">
        <v>9.5592979999999994E-2</v>
      </c>
      <c r="S529">
        <v>3.0897220000000001</v>
      </c>
      <c r="T529">
        <v>-1.016414E-2</v>
      </c>
      <c r="U529">
        <v>-0.2362976</v>
      </c>
      <c r="V529">
        <v>-9.860534E-2</v>
      </c>
      <c r="W529">
        <v>0.19154489999999999</v>
      </c>
      <c r="X529">
        <v>0.976518</v>
      </c>
      <c r="Y529">
        <v>7.3147069999999995E-2</v>
      </c>
      <c r="Z529">
        <v>-5.3339040000000004E-4</v>
      </c>
      <c r="AA529">
        <v>0.99732100000000001</v>
      </c>
      <c r="AB529">
        <v>30</v>
      </c>
      <c r="AC529">
        <v>367.6429</v>
      </c>
      <c r="AD529">
        <v>-1.209956</v>
      </c>
      <c r="AE529">
        <v>-28.1282</v>
      </c>
      <c r="AF529">
        <v>26.982210297295399</v>
      </c>
      <c r="AG529">
        <v>-1.209956</v>
      </c>
      <c r="AH529">
        <v>367.72480191492701</v>
      </c>
      <c r="AI529">
        <v>90.188018997385697</v>
      </c>
      <c r="AJ529">
        <v>85.803380215399898</v>
      </c>
      <c r="AK529">
        <v>368.715382930278</v>
      </c>
      <c r="AL529">
        <v>78.957042713288402</v>
      </c>
      <c r="AM529">
        <v>95.765981407514502</v>
      </c>
      <c r="AN529">
        <v>0.99999993305825996</v>
      </c>
    </row>
    <row r="530" spans="1:40" x14ac:dyDescent="0.25">
      <c r="A530" t="str">
        <f>"20190304155026150"</f>
        <v>20190304155026150</v>
      </c>
      <c r="B530" t="str">
        <f>"1551685826147231"</f>
        <v>1551685826147231</v>
      </c>
      <c r="C530" t="s">
        <v>40</v>
      </c>
      <c r="D530">
        <v>5.5394489999999896</v>
      </c>
      <c r="E530">
        <v>0.54543969999999997</v>
      </c>
      <c r="F530" t="s">
        <v>52</v>
      </c>
      <c r="G530">
        <v>18.570070000000001</v>
      </c>
      <c r="H530">
        <v>-0.1</v>
      </c>
      <c r="I530">
        <v>336.44779999999997</v>
      </c>
      <c r="J530">
        <v>-388.1037</v>
      </c>
      <c r="K530">
        <v>1.1099699999999999</v>
      </c>
      <c r="L530">
        <v>367.57729999999998</v>
      </c>
      <c r="M530">
        <v>0.99993799999999999</v>
      </c>
      <c r="N530">
        <v>-1.068264E-2</v>
      </c>
      <c r="O530">
        <v>-3.1646069999999998E-3</v>
      </c>
      <c r="P530">
        <v>0.97877110000000001</v>
      </c>
      <c r="Q530">
        <v>0.18115580000000001</v>
      </c>
      <c r="R530">
        <v>9.5863970000000007E-2</v>
      </c>
      <c r="S530">
        <v>3.0897830000000002</v>
      </c>
      <c r="T530">
        <v>-9.1891290000000007E-3</v>
      </c>
      <c r="U530">
        <v>-0.23641970000000001</v>
      </c>
      <c r="V530">
        <v>-9.8922860000000001E-2</v>
      </c>
      <c r="W530">
        <v>0.19161800000000001</v>
      </c>
      <c r="X530">
        <v>0.9764716</v>
      </c>
      <c r="Y530">
        <v>7.313625E-2</v>
      </c>
      <c r="Z530">
        <v>-5.2418690000000003E-4</v>
      </c>
      <c r="AA530">
        <v>0.99732180000000004</v>
      </c>
      <c r="AB530">
        <v>30</v>
      </c>
      <c r="AC530">
        <v>406.67376999999999</v>
      </c>
      <c r="AD530">
        <v>-1.20997</v>
      </c>
      <c r="AE530">
        <v>-31.1295</v>
      </c>
      <c r="AF530">
        <v>29.842045462175498</v>
      </c>
      <c r="AG530">
        <v>-1.20997</v>
      </c>
      <c r="AH530">
        <v>406.76667179446702</v>
      </c>
      <c r="AI530">
        <v>90.169974974701702</v>
      </c>
      <c r="AJ530">
        <v>85.804067392593794</v>
      </c>
      <c r="AK530">
        <v>407.86166403268999</v>
      </c>
      <c r="AL530">
        <v>78.952775959116394</v>
      </c>
      <c r="AM530">
        <v>95.784695794954999</v>
      </c>
      <c r="AN530">
        <v>0.99999998788056899</v>
      </c>
    </row>
    <row r="531" spans="1:40" x14ac:dyDescent="0.25">
      <c r="A531" t="str">
        <f>"20190304155026163"</f>
        <v>20190304155026163</v>
      </c>
      <c r="B531" t="str">
        <f>"1551685826156992"</f>
        <v>1551685826156992</v>
      </c>
      <c r="C531" t="s">
        <v>40</v>
      </c>
      <c r="D531">
        <v>5.7209450000000004</v>
      </c>
      <c r="E531">
        <v>0.54543969999999997</v>
      </c>
      <c r="F531" t="s">
        <v>43</v>
      </c>
      <c r="G531">
        <v>-159.1737</v>
      </c>
      <c r="H531">
        <v>46.755420000000001</v>
      </c>
      <c r="I531">
        <v>361.97469999999998</v>
      </c>
      <c r="J531">
        <v>-387.91739999999999</v>
      </c>
      <c r="K531">
        <v>1.109982</v>
      </c>
      <c r="L531">
        <v>367.57659999999998</v>
      </c>
      <c r="M531">
        <v>0.99993750000000003</v>
      </c>
      <c r="N531">
        <v>-1.0709339999999999E-2</v>
      </c>
      <c r="O531">
        <v>-3.221879E-3</v>
      </c>
      <c r="P531">
        <v>0.97871410000000003</v>
      </c>
      <c r="Q531">
        <v>0.1813843</v>
      </c>
      <c r="R531">
        <v>9.6013669999999995E-2</v>
      </c>
      <c r="S531">
        <v>2.96286</v>
      </c>
      <c r="T531">
        <v>0.59075419999999901</v>
      </c>
      <c r="U531">
        <v>-7.2509770000000001E-2</v>
      </c>
      <c r="V531">
        <v>-9.9126889999999995E-2</v>
      </c>
      <c r="W531">
        <v>0.1918725</v>
      </c>
      <c r="X531">
        <v>0.97640090000000002</v>
      </c>
      <c r="Y531">
        <v>2.0925619999999999E-2</v>
      </c>
      <c r="Z531">
        <v>1.282224E-3</v>
      </c>
      <c r="AA531">
        <v>0.99978020000000001</v>
      </c>
      <c r="AB531">
        <v>30</v>
      </c>
      <c r="AC531">
        <v>228.74369999999999</v>
      </c>
      <c r="AD531">
        <v>45.645437999999999</v>
      </c>
      <c r="AE531">
        <v>-5.6018999999999997</v>
      </c>
      <c r="AF531">
        <v>4.6786538810896401</v>
      </c>
      <c r="AG531">
        <v>45.645437999999999</v>
      </c>
      <c r="AH531">
        <v>220.00529875215699</v>
      </c>
      <c r="AI531">
        <v>78.281468829375797</v>
      </c>
      <c r="AJ531">
        <v>88.781726063719304</v>
      </c>
      <c r="AK531">
        <v>224.73924288244899</v>
      </c>
      <c r="AL531">
        <v>78.937918153459407</v>
      </c>
      <c r="AM531">
        <v>95.796962524888201</v>
      </c>
      <c r="AN531">
        <v>0.99999995704906497</v>
      </c>
    </row>
    <row r="532" spans="1:40" x14ac:dyDescent="0.25">
      <c r="A532" t="str">
        <f>"20190304155026178"</f>
        <v>20190304155026178</v>
      </c>
      <c r="B532" t="str">
        <f>"1551685826166752"</f>
        <v>1551685826166752</v>
      </c>
      <c r="C532" t="s">
        <v>40</v>
      </c>
      <c r="D532">
        <v>5.4546669999999997</v>
      </c>
      <c r="E532">
        <v>0.57033230000000001</v>
      </c>
      <c r="F532" t="s">
        <v>43</v>
      </c>
      <c r="G532">
        <v>-159.1737</v>
      </c>
      <c r="H532">
        <v>46.777929999999998</v>
      </c>
      <c r="I532">
        <v>362.00200000000001</v>
      </c>
      <c r="J532">
        <v>-387.71780000000001</v>
      </c>
      <c r="K532">
        <v>1.1099870000000001</v>
      </c>
      <c r="L532">
        <v>367.57589999999999</v>
      </c>
      <c r="M532">
        <v>0.99993710000000002</v>
      </c>
      <c r="N532">
        <v>-1.0735720000000001E-2</v>
      </c>
      <c r="O532">
        <v>-3.2843920000000001E-3</v>
      </c>
      <c r="P532">
        <v>0.97869790000000001</v>
      </c>
      <c r="Q532">
        <v>0.1815021</v>
      </c>
      <c r="R532">
        <v>9.5957150000000005E-2</v>
      </c>
      <c r="S532">
        <v>2.9627379999999999</v>
      </c>
      <c r="T532">
        <v>0.59150219999999998</v>
      </c>
      <c r="U532">
        <v>-7.2204589999999999E-2</v>
      </c>
      <c r="V532">
        <v>-9.9131059999999993E-2</v>
      </c>
      <c r="W532">
        <v>0.1920162</v>
      </c>
      <c r="X532">
        <v>0.97637229999999997</v>
      </c>
      <c r="Y532">
        <v>2.076478E-2</v>
      </c>
      <c r="Z532">
        <v>1.255649E-3</v>
      </c>
      <c r="AA532">
        <v>0.99978359999999999</v>
      </c>
      <c r="AB532">
        <v>30</v>
      </c>
      <c r="AC532">
        <v>228.54409999999999</v>
      </c>
      <c r="AD532">
        <v>45.667943000000001</v>
      </c>
      <c r="AE532">
        <v>-5.5739000000000303</v>
      </c>
      <c r="AF532">
        <v>4.6381154980903396</v>
      </c>
      <c r="AG532">
        <v>45.667943000000001</v>
      </c>
      <c r="AH532">
        <v>219.79048990373599</v>
      </c>
      <c r="AI532">
        <v>78.264670707969699</v>
      </c>
      <c r="AJ532">
        <v>88.791098709016595</v>
      </c>
      <c r="AK532">
        <v>224.53269825428401</v>
      </c>
      <c r="AL532">
        <v>78.929529552732603</v>
      </c>
      <c r="AM532">
        <v>95.797373382184304</v>
      </c>
      <c r="AN532">
        <v>1.00000002816322</v>
      </c>
    </row>
    <row r="533" spans="1:40" x14ac:dyDescent="0.25">
      <c r="A533" t="str">
        <f>"20190304155026194"</f>
        <v>20190304155026194</v>
      </c>
      <c r="B533" t="str">
        <f>"1551685826187248"</f>
        <v>1551685826187248</v>
      </c>
      <c r="C533" t="s">
        <v>40</v>
      </c>
      <c r="D533">
        <v>4.5126900000000001</v>
      </c>
      <c r="E533">
        <v>0.56560369999999904</v>
      </c>
      <c r="F533" t="s">
        <v>41</v>
      </c>
      <c r="G533">
        <v>-269.34780000000001</v>
      </c>
      <c r="H533">
        <v>7.998566E-2</v>
      </c>
      <c r="I533">
        <v>357.05700000000002</v>
      </c>
      <c r="J533">
        <v>-387.5163</v>
      </c>
      <c r="K533">
        <v>1.1100049999999999</v>
      </c>
      <c r="L533">
        <v>367.5752</v>
      </c>
      <c r="M533">
        <v>0.99993650000000001</v>
      </c>
      <c r="N533">
        <v>-1.0760530000000001E-2</v>
      </c>
      <c r="O533">
        <v>-3.3476090000000001E-3</v>
      </c>
      <c r="P533">
        <v>0.97864010000000001</v>
      </c>
      <c r="Q533">
        <v>0.18180370000000001</v>
      </c>
      <c r="R533">
        <v>9.5974630000000005E-2</v>
      </c>
      <c r="S533">
        <v>3.0972900000000001</v>
      </c>
      <c r="T533">
        <v>-2.695119E-2</v>
      </c>
      <c r="U533">
        <v>-0.27523799999999998</v>
      </c>
      <c r="V533">
        <v>-9.9209350000000002E-2</v>
      </c>
      <c r="W533">
        <v>0.19234190000000001</v>
      </c>
      <c r="X533">
        <v>0.97630019999999995</v>
      </c>
      <c r="Y533">
        <v>8.5172999999999999E-2</v>
      </c>
      <c r="Z533">
        <v>-8.3590289999999903E-4</v>
      </c>
      <c r="AA533">
        <v>0.99636579999999997</v>
      </c>
      <c r="AB533">
        <v>30</v>
      </c>
      <c r="AC533">
        <v>118.16849999999999</v>
      </c>
      <c r="AD533">
        <v>-1.0300193399999999</v>
      </c>
      <c r="AE533">
        <v>-10.5182</v>
      </c>
      <c r="AF533">
        <v>10.121773232633601</v>
      </c>
      <c r="AG533">
        <v>-1.0300193399999999</v>
      </c>
      <c r="AH533">
        <v>118.194141099864</v>
      </c>
      <c r="AI533">
        <v>90.497478680608495</v>
      </c>
      <c r="AJ533">
        <v>85.105312292795105</v>
      </c>
      <c r="AK533">
        <v>118.631219430418</v>
      </c>
      <c r="AL533">
        <v>78.910513446502605</v>
      </c>
      <c r="AM533">
        <v>95.802346257459405</v>
      </c>
      <c r="AN533">
        <v>0.99999999107153603</v>
      </c>
    </row>
    <row r="534" spans="1:40" x14ac:dyDescent="0.25">
      <c r="A534" t="str">
        <f>"20190304155026215"</f>
        <v>20190304155026215</v>
      </c>
      <c r="B534" t="str">
        <f>"1551685826206768"</f>
        <v>1551685826206768</v>
      </c>
      <c r="C534" t="s">
        <v>40</v>
      </c>
      <c r="D534">
        <v>5.4479290000000002</v>
      </c>
      <c r="E534">
        <v>0.55058079999999998</v>
      </c>
      <c r="F534" t="s">
        <v>41</v>
      </c>
      <c r="G534">
        <v>-343.40019999999998</v>
      </c>
      <c r="H534" s="1">
        <v>-4.0631089999999997E-6</v>
      </c>
      <c r="I534">
        <v>364.18830000000003</v>
      </c>
      <c r="J534">
        <v>-387.21820000000002</v>
      </c>
      <c r="K534">
        <v>1.1100219999999901</v>
      </c>
      <c r="L534">
        <v>367.57409999999999</v>
      </c>
      <c r="M534">
        <v>0.99993580000000004</v>
      </c>
      <c r="N534">
        <v>-1.0793769999999999E-2</v>
      </c>
      <c r="O534">
        <v>-3.4417470000000002E-3</v>
      </c>
      <c r="P534">
        <v>0.97869969999999995</v>
      </c>
      <c r="Q534">
        <v>0.18174119999999999</v>
      </c>
      <c r="R534">
        <v>9.5483269999999995E-2</v>
      </c>
      <c r="S534">
        <v>3.1033629999999999</v>
      </c>
      <c r="T534">
        <v>-7.808387E-2</v>
      </c>
      <c r="U534">
        <v>-0.23825070000000001</v>
      </c>
      <c r="V534">
        <v>-9.8809530000000007E-2</v>
      </c>
      <c r="W534">
        <v>0.19231239999999999</v>
      </c>
      <c r="X534">
        <v>0.97634659999999995</v>
      </c>
      <c r="Y534">
        <v>7.3081690000000005E-2</v>
      </c>
      <c r="Z534">
        <v>-1.263644E-3</v>
      </c>
      <c r="AA534">
        <v>0.99732520000000002</v>
      </c>
      <c r="AB534">
        <v>30</v>
      </c>
      <c r="AC534">
        <v>43.817999999999998</v>
      </c>
      <c r="AD534">
        <v>-1.11002606310899</v>
      </c>
      <c r="AE534">
        <v>-3.3857999999999602</v>
      </c>
      <c r="AF534">
        <v>3.2328983080647999</v>
      </c>
      <c r="AG534">
        <v>-1.11002606310899</v>
      </c>
      <c r="AH534">
        <v>43.8014517402259</v>
      </c>
      <c r="AI534">
        <v>91.447755204681897</v>
      </c>
      <c r="AJ534">
        <v>85.778766241157399</v>
      </c>
      <c r="AK534">
        <v>43.934621471937199</v>
      </c>
      <c r="AL534">
        <v>78.912236296722398</v>
      </c>
      <c r="AM534">
        <v>95.778848237885498</v>
      </c>
      <c r="AN534">
        <v>1.00000003287207</v>
      </c>
    </row>
    <row r="535" spans="1:40" x14ac:dyDescent="0.25">
      <c r="A535" t="str">
        <f>"20190304155026228"</f>
        <v>20190304155026228</v>
      </c>
      <c r="B535" t="str">
        <f>"1551685826217504"</f>
        <v>1551685826217504</v>
      </c>
      <c r="C535" t="s">
        <v>40</v>
      </c>
      <c r="D535">
        <v>5.417319</v>
      </c>
      <c r="E535">
        <v>0.54686319999999999</v>
      </c>
      <c r="F535" t="s">
        <v>41</v>
      </c>
      <c r="G535">
        <v>-342.97680000000003</v>
      </c>
      <c r="H535" s="1">
        <v>-3.9683520000000004E-6</v>
      </c>
      <c r="I535">
        <v>365.85079999999999</v>
      </c>
      <c r="J535">
        <v>-387.0498</v>
      </c>
      <c r="K535">
        <v>1.1100319999999999</v>
      </c>
      <c r="L535">
        <v>367.57350000000002</v>
      </c>
      <c r="M535">
        <v>0.99993560000000004</v>
      </c>
      <c r="N535">
        <v>-1.081123E-2</v>
      </c>
      <c r="O535">
        <v>-3.495256E-3</v>
      </c>
      <c r="P535">
        <v>0.97874799999999995</v>
      </c>
      <c r="Q535">
        <v>0.18169779999999999</v>
      </c>
      <c r="R535">
        <v>9.5071059999999999E-2</v>
      </c>
      <c r="S535">
        <v>3.091431</v>
      </c>
      <c r="T535">
        <v>-7.7564599999999997E-2</v>
      </c>
      <c r="U535">
        <v>-0.1204224</v>
      </c>
      <c r="V535">
        <v>-9.8449679999999998E-2</v>
      </c>
      <c r="W535">
        <v>0.19228709999999999</v>
      </c>
      <c r="X535">
        <v>0.97638789999999998</v>
      </c>
      <c r="Y535">
        <v>3.5415460000000003E-2</v>
      </c>
      <c r="Z535">
        <v>-5.8573969999999996E-4</v>
      </c>
      <c r="AA535">
        <v>0.9993725</v>
      </c>
      <c r="AB535">
        <v>30</v>
      </c>
      <c r="AC535">
        <v>44.072999999999901</v>
      </c>
      <c r="AD535">
        <v>-1.11003596835199</v>
      </c>
      <c r="AE535">
        <v>-1.7227000000000301</v>
      </c>
      <c r="AF535">
        <v>1.56764116201187</v>
      </c>
      <c r="AG535">
        <v>-1.11003596835199</v>
      </c>
      <c r="AH535">
        <v>44.050851355243402</v>
      </c>
      <c r="AI535">
        <v>91.442576207539602</v>
      </c>
      <c r="AJ535">
        <v>87.961870622133205</v>
      </c>
      <c r="AK535">
        <v>44.092711231966803</v>
      </c>
      <c r="AL535">
        <v>78.913713077743495</v>
      </c>
      <c r="AM535">
        <v>95.7577022591759</v>
      </c>
      <c r="AN535">
        <v>0.99999999979246101</v>
      </c>
    </row>
    <row r="536" spans="1:40" x14ac:dyDescent="0.25">
      <c r="A536" t="str">
        <f>"20190304155026238"</f>
        <v>20190304155026238</v>
      </c>
      <c r="B536" t="str">
        <f>"1551685826237024"</f>
        <v>1551685826237024</v>
      </c>
      <c r="C536" t="s">
        <v>40</v>
      </c>
      <c r="D536">
        <v>5.4551210000000001</v>
      </c>
      <c r="E536">
        <v>0.54034609999999905</v>
      </c>
      <c r="F536" t="s">
        <v>41</v>
      </c>
      <c r="G536">
        <v>-342.22820000000002</v>
      </c>
      <c r="H536" s="1">
        <v>-4.2541429999999998E-6</v>
      </c>
      <c r="I536">
        <v>366.2346</v>
      </c>
      <c r="J536">
        <v>-386.89609999999999</v>
      </c>
      <c r="K536">
        <v>1.1100380000000001</v>
      </c>
      <c r="L536">
        <v>367.5729</v>
      </c>
      <c r="M536">
        <v>0.99993529999999997</v>
      </c>
      <c r="N536">
        <v>-1.0825670000000001E-2</v>
      </c>
      <c r="O536">
        <v>-3.543736E-3</v>
      </c>
      <c r="P536">
        <v>0.97884139999999997</v>
      </c>
      <c r="Q536">
        <v>0.1813707</v>
      </c>
      <c r="R536">
        <v>9.4734209999999999E-2</v>
      </c>
      <c r="S536">
        <v>3.0882869999999998</v>
      </c>
      <c r="T536">
        <v>-7.6483490000000001E-2</v>
      </c>
      <c r="U536">
        <v>-9.2254639999999999E-2</v>
      </c>
      <c r="V536">
        <v>-9.8160159999999996E-2</v>
      </c>
      <c r="W536">
        <v>0.19197500000000001</v>
      </c>
      <c r="X536">
        <v>0.97647850000000003</v>
      </c>
      <c r="Y536">
        <v>2.630532E-2</v>
      </c>
      <c r="Z536">
        <v>-4.1868990000000001E-4</v>
      </c>
      <c r="AA536">
        <v>0.99965389999999998</v>
      </c>
      <c r="AB536">
        <v>30</v>
      </c>
      <c r="AC536">
        <v>44.667899999999896</v>
      </c>
      <c r="AD536">
        <v>-1.110042254143</v>
      </c>
      <c r="AE536">
        <v>-1.3383</v>
      </c>
      <c r="AF536">
        <v>1.17926347495386</v>
      </c>
      <c r="AG536">
        <v>-1.110042254143</v>
      </c>
      <c r="AH536">
        <v>44.644815671354898</v>
      </c>
      <c r="AI536">
        <v>91.423804120175802</v>
      </c>
      <c r="AJ536">
        <v>88.486921461685995</v>
      </c>
      <c r="AK536">
        <v>44.674180714128397</v>
      </c>
      <c r="AL536">
        <v>78.931935012964104</v>
      </c>
      <c r="AM536">
        <v>95.740354225781303</v>
      </c>
      <c r="AN536">
        <v>1.0000000392992301</v>
      </c>
    </row>
    <row r="537" spans="1:40" x14ac:dyDescent="0.25">
      <c r="A537" t="str">
        <f>"20190304155026260"</f>
        <v>20190304155026260</v>
      </c>
      <c r="B537" t="str">
        <f>"1551685826257520"</f>
        <v>1551685826257520</v>
      </c>
      <c r="C537" t="s">
        <v>40</v>
      </c>
      <c r="D537">
        <v>5.5374879999999997</v>
      </c>
      <c r="E537">
        <v>0.53669140000000004</v>
      </c>
      <c r="F537" t="s">
        <v>41</v>
      </c>
      <c r="G537">
        <v>-348.22019999999998</v>
      </c>
      <c r="H537" s="1">
        <v>-1.351236E-6</v>
      </c>
      <c r="I537">
        <v>367.04730000000001</v>
      </c>
      <c r="J537">
        <v>-386.62729999999999</v>
      </c>
      <c r="K537">
        <v>1.1100449999999999</v>
      </c>
      <c r="L537">
        <v>367.57190000000003</v>
      </c>
      <c r="M537">
        <v>0.99993460000000001</v>
      </c>
      <c r="N537">
        <v>-1.0849370000000001E-2</v>
      </c>
      <c r="O537">
        <v>-3.6280359999999998E-3</v>
      </c>
      <c r="P537">
        <v>0.9788772</v>
      </c>
      <c r="Q537">
        <v>0.1814627</v>
      </c>
      <c r="R537">
        <v>9.4187599999999996E-2</v>
      </c>
      <c r="S537">
        <v>3.0852970000000002</v>
      </c>
      <c r="T537">
        <v>-8.8551519999999995E-2</v>
      </c>
      <c r="U537">
        <v>-4.193115E-2</v>
      </c>
      <c r="V537">
        <v>-9.7696030000000003E-2</v>
      </c>
      <c r="W537">
        <v>0.1920897</v>
      </c>
      <c r="X537">
        <v>0.97650250000000005</v>
      </c>
      <c r="Y537">
        <v>9.956309E-3</v>
      </c>
      <c r="Z537">
        <v>-1.3212679999999999E-4</v>
      </c>
      <c r="AA537">
        <v>0.99995040000000002</v>
      </c>
      <c r="AB537">
        <v>30</v>
      </c>
      <c r="AC537">
        <v>38.4071</v>
      </c>
      <c r="AD537">
        <v>-1.1100463512359999</v>
      </c>
      <c r="AE537">
        <v>-0.52460000000002005</v>
      </c>
      <c r="AF537">
        <v>0.38492452935169902</v>
      </c>
      <c r="AG537">
        <v>-1.1100463512359999</v>
      </c>
      <c r="AH537">
        <v>38.376699268679403</v>
      </c>
      <c r="AI537">
        <v>91.656735659241093</v>
      </c>
      <c r="AJ537">
        <v>89.425333292476097</v>
      </c>
      <c r="AK537">
        <v>38.394679534459499</v>
      </c>
      <c r="AL537">
        <v>78.925238674801307</v>
      </c>
      <c r="AM537">
        <v>95.713252647766794</v>
      </c>
      <c r="AN537">
        <v>1.0000000498150401</v>
      </c>
    </row>
    <row r="538" spans="1:40" x14ac:dyDescent="0.25">
      <c r="A538" t="str">
        <f>"20190304155026274"</f>
        <v>20190304155026274</v>
      </c>
      <c r="B538" t="str">
        <f>"1551685826267281"</f>
        <v>1551685826267281</v>
      </c>
      <c r="C538" t="s">
        <v>40</v>
      </c>
      <c r="D538">
        <v>5.4660320000000002</v>
      </c>
      <c r="E538">
        <v>0.53537619999999997</v>
      </c>
      <c r="F538" t="s">
        <v>41</v>
      </c>
      <c r="G538">
        <v>-348.86900000000003</v>
      </c>
      <c r="H538" s="1">
        <v>-1.0106590000000001E-6</v>
      </c>
      <c r="I538">
        <v>367.39100000000002</v>
      </c>
      <c r="J538">
        <v>-386.44389999999999</v>
      </c>
      <c r="K538">
        <v>1.1100509999999999</v>
      </c>
      <c r="L538">
        <v>367.5711</v>
      </c>
      <c r="M538">
        <v>0.9999344</v>
      </c>
      <c r="N538">
        <v>-1.0864199999999999E-2</v>
      </c>
      <c r="O538">
        <v>-3.684985E-3</v>
      </c>
      <c r="P538">
        <v>0.97887690000000005</v>
      </c>
      <c r="Q538">
        <v>0.1815184</v>
      </c>
      <c r="R538">
        <v>9.4082079999999998E-2</v>
      </c>
      <c r="S538">
        <v>3.082916</v>
      </c>
      <c r="T538">
        <v>-9.0633870000000005E-2</v>
      </c>
      <c r="U538">
        <v>-1.4770510000000001E-2</v>
      </c>
      <c r="V538">
        <v>-9.7645750000000003E-2</v>
      </c>
      <c r="W538">
        <v>0.19216030000000001</v>
      </c>
      <c r="X538">
        <v>0.97649359999999996</v>
      </c>
      <c r="Y538">
        <v>1.1058140000000001E-3</v>
      </c>
      <c r="Z538" s="1">
        <v>4.601937E-5</v>
      </c>
      <c r="AA538">
        <v>0.99999939999999998</v>
      </c>
      <c r="AB538">
        <v>30</v>
      </c>
      <c r="AC538">
        <v>37.5748999999999</v>
      </c>
      <c r="AD538">
        <v>-1.1100520106589999</v>
      </c>
      <c r="AE538">
        <v>-0.18010000000003801</v>
      </c>
      <c r="AF538">
        <v>4.1591392540392597E-2</v>
      </c>
      <c r="AG538">
        <v>-1.1100520106589999</v>
      </c>
      <c r="AH538">
        <v>37.542543969152099</v>
      </c>
      <c r="AI538">
        <v>91.693618082778002</v>
      </c>
      <c r="AJ538">
        <v>89.9365250718308</v>
      </c>
      <c r="AK538">
        <v>37.558974333520098</v>
      </c>
      <c r="AL538">
        <v>78.921116381478399</v>
      </c>
      <c r="AM538">
        <v>95.710383417804195</v>
      </c>
      <c r="AN538">
        <v>1.0000000121150501</v>
      </c>
    </row>
    <row r="539" spans="1:40" x14ac:dyDescent="0.25">
      <c r="A539" t="str">
        <f>"20190304155026286"</f>
        <v>20190304155026286</v>
      </c>
      <c r="B539" t="str">
        <f>"1551685826277040"</f>
        <v>1551685826277040</v>
      </c>
      <c r="C539" t="s">
        <v>40</v>
      </c>
      <c r="D539">
        <v>5.4369630000000004</v>
      </c>
      <c r="E539">
        <v>0.53421030000000003</v>
      </c>
      <c r="F539" t="s">
        <v>41</v>
      </c>
      <c r="G539">
        <v>-349.86279999999999</v>
      </c>
      <c r="H539" s="1">
        <v>-5.9630649999999998E-7</v>
      </c>
      <c r="I539">
        <v>367.51389999999998</v>
      </c>
      <c r="J539">
        <v>-386.26069999999999</v>
      </c>
      <c r="K539">
        <v>1.1100570000000001</v>
      </c>
      <c r="L539">
        <v>367.57040000000001</v>
      </c>
      <c r="M539">
        <v>0.99993379999999998</v>
      </c>
      <c r="N539">
        <v>-1.087813E-2</v>
      </c>
      <c r="O539">
        <v>-3.7420470000000001E-3</v>
      </c>
      <c r="P539">
        <v>0.97888960000000003</v>
      </c>
      <c r="Q539">
        <v>0.18153359999999999</v>
      </c>
      <c r="R539">
        <v>9.3920009999999998E-2</v>
      </c>
      <c r="S539">
        <v>3.0825499999999999</v>
      </c>
      <c r="T539">
        <v>-9.3539709999999998E-2</v>
      </c>
      <c r="U539">
        <v>-4.8217770000000002E-3</v>
      </c>
      <c r="V539">
        <v>-9.7539970000000004E-2</v>
      </c>
      <c r="W539">
        <v>0.19218940000000001</v>
      </c>
      <c r="X539">
        <v>0.97649839999999999</v>
      </c>
      <c r="Y539">
        <v>-2.17599E-3</v>
      </c>
      <c r="Z539">
        <v>1.1767080000000001E-4</v>
      </c>
      <c r="AA539">
        <v>0.99999760000000004</v>
      </c>
      <c r="AB539">
        <v>30</v>
      </c>
      <c r="AC539">
        <v>36.3978999999999</v>
      </c>
      <c r="AD539">
        <v>-1.1100575963065</v>
      </c>
      <c r="AE539">
        <v>-5.6500000000028097E-2</v>
      </c>
      <c r="AF539">
        <v>-7.9637039827192196E-2</v>
      </c>
      <c r="AG539">
        <v>-1.1100575963065</v>
      </c>
      <c r="AH539">
        <v>36.3640337827742</v>
      </c>
      <c r="AI539">
        <v>91.748478140878504</v>
      </c>
      <c r="AJ539">
        <v>90.125477250617195</v>
      </c>
      <c r="AK539">
        <v>36.381059947175402</v>
      </c>
      <c r="AL539">
        <v>78.919416913979703</v>
      </c>
      <c r="AM539">
        <v>95.704210301535696</v>
      </c>
      <c r="AN539">
        <v>0.99999996821125903</v>
      </c>
    </row>
    <row r="540" spans="1:40" x14ac:dyDescent="0.25">
      <c r="A540" t="str">
        <f>"20190304155026305"</f>
        <v>20190304155026305</v>
      </c>
      <c r="B540" t="str">
        <f>"1551685826297536"</f>
        <v>1551685826297536</v>
      </c>
      <c r="C540" t="s">
        <v>40</v>
      </c>
      <c r="D540">
        <v>5.2016269999999896</v>
      </c>
      <c r="E540">
        <v>0.53235519999999903</v>
      </c>
      <c r="F540" t="s">
        <v>41</v>
      </c>
      <c r="G540">
        <v>-350.38260000000002</v>
      </c>
      <c r="H540" s="1">
        <v>-4.4626469999999997E-6</v>
      </c>
      <c r="I540">
        <v>367.61799999999999</v>
      </c>
      <c r="J540">
        <v>-386.02140000000003</v>
      </c>
      <c r="K540">
        <v>1.1100620000000001</v>
      </c>
      <c r="L540">
        <v>367.56939999999997</v>
      </c>
      <c r="M540">
        <v>0.99993339999999997</v>
      </c>
      <c r="N540">
        <v>-1.089482E-2</v>
      </c>
      <c r="O540">
        <v>-3.8160519999999999E-3</v>
      </c>
      <c r="P540">
        <v>0.97889839999999995</v>
      </c>
      <c r="Q540">
        <v>0.18161669999999999</v>
      </c>
      <c r="R540">
        <v>9.3667700000000007E-2</v>
      </c>
      <c r="S540">
        <v>3.082001</v>
      </c>
      <c r="T540">
        <v>-9.5356109999999994E-2</v>
      </c>
      <c r="U540">
        <v>4.0893550000000002E-3</v>
      </c>
      <c r="V540">
        <v>-9.7360139999999998E-2</v>
      </c>
      <c r="W540">
        <v>0.19228899999999999</v>
      </c>
      <c r="X540">
        <v>0.97649680000000005</v>
      </c>
      <c r="Y540">
        <v>-5.1390239999999998E-3</v>
      </c>
      <c r="Z540">
        <v>1.8395409999999999E-4</v>
      </c>
      <c r="AA540">
        <v>0.99998679999999995</v>
      </c>
      <c r="AB540">
        <v>30</v>
      </c>
      <c r="AC540">
        <v>35.638800000000003</v>
      </c>
      <c r="AD540">
        <v>-1.110066462647</v>
      </c>
      <c r="AE540">
        <v>4.8600000000078497E-2</v>
      </c>
      <c r="AF540">
        <v>-0.184428299756104</v>
      </c>
      <c r="AG540">
        <v>-1.110066462647</v>
      </c>
      <c r="AH540">
        <v>35.6038130031111</v>
      </c>
      <c r="AI540">
        <v>91.785782716972903</v>
      </c>
      <c r="AJ540">
        <v>90.2967903658663</v>
      </c>
      <c r="AK540">
        <v>35.621591229333703</v>
      </c>
      <c r="AL540">
        <v>78.913602466733593</v>
      </c>
      <c r="AM540">
        <v>95.693772140177202</v>
      </c>
      <c r="AN540">
        <v>1.00000002839602</v>
      </c>
    </row>
    <row r="541" spans="1:40" x14ac:dyDescent="0.25">
      <c r="A541" t="str">
        <f>"20190304155026318"</f>
        <v>20190304155026318</v>
      </c>
      <c r="B541" t="str">
        <f>"1551685826307296"</f>
        <v>1551685826307296</v>
      </c>
      <c r="C541" t="s">
        <v>40</v>
      </c>
      <c r="D541">
        <v>5.4482100000000004</v>
      </c>
      <c r="E541">
        <v>0.53147129999999998</v>
      </c>
      <c r="F541" t="s">
        <v>41</v>
      </c>
      <c r="G541">
        <v>-347.58269999999999</v>
      </c>
      <c r="H541" s="1">
        <v>-1.445776E-6</v>
      </c>
      <c r="I541">
        <v>367.79759999999999</v>
      </c>
      <c r="J541">
        <v>-385.84429999999998</v>
      </c>
      <c r="K541">
        <v>1.1100650000000001</v>
      </c>
      <c r="L541">
        <v>367.56869999999998</v>
      </c>
      <c r="M541">
        <v>0.99993299999999996</v>
      </c>
      <c r="N541">
        <v>-1.0906249999999999E-2</v>
      </c>
      <c r="O541">
        <v>-3.871073E-3</v>
      </c>
      <c r="P541">
        <v>0.97886810000000002</v>
      </c>
      <c r="Q541">
        <v>0.18175810000000001</v>
      </c>
      <c r="R541">
        <v>9.3708009999999994E-2</v>
      </c>
      <c r="S541">
        <v>3.0793759999999999</v>
      </c>
      <c r="T541">
        <v>-8.8928579999999993E-2</v>
      </c>
      <c r="U541">
        <v>1.8280029999999999E-2</v>
      </c>
      <c r="V541">
        <v>-9.7453570000000003E-2</v>
      </c>
      <c r="W541">
        <v>0.1924411</v>
      </c>
      <c r="X541">
        <v>0.97645749999999998</v>
      </c>
      <c r="Y541">
        <v>-9.8011069999999999E-3</v>
      </c>
      <c r="Z541">
        <v>2.6450859999999998E-4</v>
      </c>
      <c r="AA541">
        <v>0.99995199999999995</v>
      </c>
      <c r="AB541">
        <v>30</v>
      </c>
      <c r="AC541">
        <v>38.261599999999902</v>
      </c>
      <c r="AD541">
        <v>-1.1100664457760001</v>
      </c>
      <c r="AE541">
        <v>0.22890000000001001</v>
      </c>
      <c r="AF541">
        <v>-0.37670347527136699</v>
      </c>
      <c r="AG541">
        <v>-1.1100664457760001</v>
      </c>
      <c r="AH541">
        <v>38.228250513005797</v>
      </c>
      <c r="AI541">
        <v>91.663198524545294</v>
      </c>
      <c r="AJ541">
        <v>90.564577777101306</v>
      </c>
      <c r="AK541">
        <v>38.2462192942969</v>
      </c>
      <c r="AL541">
        <v>78.904721739878099</v>
      </c>
      <c r="AM541">
        <v>95.699427987561805</v>
      </c>
      <c r="AN541">
        <v>1.0000000122906001</v>
      </c>
    </row>
    <row r="542" spans="1:40" x14ac:dyDescent="0.25">
      <c r="A542" t="str">
        <f>"20190304155026331"</f>
        <v>20190304155026331</v>
      </c>
      <c r="B542" t="str">
        <f>"1551685826326816"</f>
        <v>1551685826326816</v>
      </c>
      <c r="C542" t="s">
        <v>40</v>
      </c>
      <c r="D542">
        <v>5.5508519999999999</v>
      </c>
      <c r="E542">
        <v>0.53034369999999997</v>
      </c>
      <c r="F542" t="s">
        <v>41</v>
      </c>
      <c r="G542">
        <v>-347.75630000000001</v>
      </c>
      <c r="H542" s="1">
        <v>-1.34811299999999E-6</v>
      </c>
      <c r="I542">
        <v>367.8854</v>
      </c>
      <c r="J542">
        <v>-385.66300000000001</v>
      </c>
      <c r="K542">
        <v>1.11006</v>
      </c>
      <c r="L542">
        <v>367.56790000000001</v>
      </c>
      <c r="M542">
        <v>0.99993270000000001</v>
      </c>
      <c r="N542">
        <v>-1.0917359999999999E-2</v>
      </c>
      <c r="O542">
        <v>-3.9271640000000003E-3</v>
      </c>
      <c r="P542">
        <v>0.97887279999999999</v>
      </c>
      <c r="Q542">
        <v>0.1817136</v>
      </c>
      <c r="R542">
        <v>9.3745919999999996E-2</v>
      </c>
      <c r="S542">
        <v>3.0789789999999999</v>
      </c>
      <c r="T542">
        <v>-8.9736339999999998E-2</v>
      </c>
      <c r="U542">
        <v>2.5604249999999999E-2</v>
      </c>
      <c r="V542">
        <v>-9.7545950000000006E-2</v>
      </c>
      <c r="W542">
        <v>0.19240789999999999</v>
      </c>
      <c r="X542">
        <v>0.97645479999999996</v>
      </c>
      <c r="Y542">
        <v>-1.223494E-2</v>
      </c>
      <c r="Z542">
        <v>3.1662250000000003E-4</v>
      </c>
      <c r="AA542">
        <v>0.99992510000000001</v>
      </c>
      <c r="AB542">
        <v>30</v>
      </c>
      <c r="AC542">
        <v>37.906700000000001</v>
      </c>
      <c r="AD542">
        <v>-1.1100613481129999</v>
      </c>
      <c r="AE542">
        <v>0.31749999999999501</v>
      </c>
      <c r="AF542">
        <v>-0.465972680941587</v>
      </c>
      <c r="AG542">
        <v>-1.1100613481129999</v>
      </c>
      <c r="AH542">
        <v>37.872685071114503</v>
      </c>
      <c r="AI542">
        <v>91.678751237234593</v>
      </c>
      <c r="AJ542">
        <v>90.704912283438404</v>
      </c>
      <c r="AK542">
        <v>37.8918149635482</v>
      </c>
      <c r="AL542">
        <v>78.906659984778003</v>
      </c>
      <c r="AM542">
        <v>95.704810745905604</v>
      </c>
      <c r="AN542">
        <v>0.99999999439342602</v>
      </c>
    </row>
    <row r="543" spans="1:40" x14ac:dyDescent="0.25">
      <c r="A543" t="str">
        <f>"20190304155026348"</f>
        <v>20190304155026348</v>
      </c>
      <c r="B543" t="str">
        <f>"1551685826337552"</f>
        <v>1551685826337552</v>
      </c>
      <c r="C543" t="s">
        <v>40</v>
      </c>
      <c r="D543">
        <v>4.8057379999999998</v>
      </c>
      <c r="E543">
        <v>0.53034369999999997</v>
      </c>
      <c r="F543" t="s">
        <v>41</v>
      </c>
      <c r="G543">
        <v>-349.17</v>
      </c>
      <c r="H543" s="1">
        <v>-7.38959199999999E-7</v>
      </c>
      <c r="I543">
        <v>367.97770000000003</v>
      </c>
      <c r="J543">
        <v>-385.43790000000001</v>
      </c>
      <c r="K543">
        <v>1.1100669999999999</v>
      </c>
      <c r="L543">
        <v>367.56700000000001</v>
      </c>
      <c r="M543">
        <v>0.9999323</v>
      </c>
      <c r="N543">
        <v>-1.093013E-2</v>
      </c>
      <c r="O543">
        <v>-3.9969740000000004E-3</v>
      </c>
      <c r="P543">
        <v>0.97885219999999995</v>
      </c>
      <c r="Q543">
        <v>0.18192140000000001</v>
      </c>
      <c r="R543">
        <v>9.3558249999999996E-2</v>
      </c>
      <c r="S543">
        <v>3.0787960000000001</v>
      </c>
      <c r="T543">
        <v>-9.3652250000000006E-2</v>
      </c>
      <c r="U543">
        <v>3.4576419999999997E-2</v>
      </c>
      <c r="V543">
        <v>-9.7426650000000004E-2</v>
      </c>
      <c r="W543">
        <v>0.19262779999999999</v>
      </c>
      <c r="X543">
        <v>0.97642340000000005</v>
      </c>
      <c r="Y543">
        <v>-1.521634E-2</v>
      </c>
      <c r="Z543">
        <v>3.9242710000000002E-4</v>
      </c>
      <c r="AA543">
        <v>0.99988410000000005</v>
      </c>
      <c r="AB543">
        <v>30</v>
      </c>
      <c r="AC543">
        <v>36.267899999999997</v>
      </c>
      <c r="AD543">
        <v>-1.1100677389592</v>
      </c>
      <c r="AE543">
        <v>0.410700000000076</v>
      </c>
      <c r="AF543">
        <v>-0.55514722478555301</v>
      </c>
      <c r="AG543">
        <v>-1.1100677389592</v>
      </c>
      <c r="AH543">
        <v>36.232030223261802</v>
      </c>
      <c r="AI543">
        <v>91.754658772118106</v>
      </c>
      <c r="AJ543">
        <v>90.877817336026297</v>
      </c>
      <c r="AK543">
        <v>36.253281960749703</v>
      </c>
      <c r="AL543">
        <v>78.893820958890601</v>
      </c>
      <c r="AM543">
        <v>95.698061651247201</v>
      </c>
      <c r="AN543">
        <v>1.0000000387653101</v>
      </c>
    </row>
    <row r="544" spans="1:40" x14ac:dyDescent="0.25">
      <c r="A544" t="str">
        <f>"20190304155026360"</f>
        <v>20190304155026360</v>
      </c>
      <c r="B544" t="str">
        <f>"1551685826357071"</f>
        <v>1551685826357071</v>
      </c>
      <c r="C544" t="s">
        <v>40</v>
      </c>
      <c r="D544">
        <v>5.4409720000000004</v>
      </c>
      <c r="E544">
        <v>0.5107971</v>
      </c>
      <c r="F544" t="s">
        <v>41</v>
      </c>
      <c r="G544">
        <v>-348.68239999999997</v>
      </c>
      <c r="H544" s="1">
        <v>-9.2786349999999999E-7</v>
      </c>
      <c r="I544">
        <v>367.97140000000002</v>
      </c>
      <c r="J544">
        <v>-385.26859999999999</v>
      </c>
      <c r="K544">
        <v>1.11007099999999</v>
      </c>
      <c r="L544">
        <v>367.56630000000001</v>
      </c>
      <c r="M544">
        <v>0.99993200000000004</v>
      </c>
      <c r="N544">
        <v>-1.09389E-2</v>
      </c>
      <c r="O544">
        <v>-4.0491199999999998E-3</v>
      </c>
      <c r="P544">
        <v>0.97885829999999996</v>
      </c>
      <c r="Q544">
        <v>0.18188260000000001</v>
      </c>
      <c r="R544">
        <v>9.3569550000000001E-2</v>
      </c>
      <c r="S544">
        <v>3.0788880000000001</v>
      </c>
      <c r="T544">
        <v>-9.2986819999999998E-2</v>
      </c>
      <c r="U544">
        <v>3.3874509999999997E-2</v>
      </c>
      <c r="V544">
        <v>-9.7488699999999998E-2</v>
      </c>
      <c r="W544">
        <v>0.1925974</v>
      </c>
      <c r="X544">
        <v>0.97642309999999999</v>
      </c>
      <c r="Y544">
        <v>-1.504046E-2</v>
      </c>
      <c r="Z544">
        <v>3.8732840000000002E-4</v>
      </c>
      <c r="AA544">
        <v>0.99988679999999996</v>
      </c>
      <c r="AB544">
        <v>30</v>
      </c>
      <c r="AC544">
        <v>36.586199999999998</v>
      </c>
      <c r="AD544">
        <v>-1.1100719278634901</v>
      </c>
      <c r="AE544">
        <v>0.40510000000000401</v>
      </c>
      <c r="AF544">
        <v>-0.55273866760314805</v>
      </c>
      <c r="AG544">
        <v>-1.1100719278634901</v>
      </c>
      <c r="AH544">
        <v>36.5506155308667</v>
      </c>
      <c r="AI544">
        <v>91.739385951505696</v>
      </c>
      <c r="AJ544">
        <v>90.866392494576402</v>
      </c>
      <c r="AK544">
        <v>36.571645784745897</v>
      </c>
      <c r="AL544">
        <v>78.895594851216799</v>
      </c>
      <c r="AM544">
        <v>95.701668523043296</v>
      </c>
      <c r="AN544">
        <v>0.99999993766402795</v>
      </c>
    </row>
    <row r="545" spans="1:40" x14ac:dyDescent="0.25">
      <c r="A545" t="str">
        <f>"20190304155026372"</f>
        <v>20190304155026372</v>
      </c>
      <c r="B545" t="str">
        <f>"1551685826366833"</f>
        <v>1551685826366833</v>
      </c>
      <c r="C545" t="s">
        <v>40</v>
      </c>
      <c r="D545">
        <v>4.4615260000000001</v>
      </c>
      <c r="E545">
        <v>0.51265779999999905</v>
      </c>
      <c r="F545" t="s">
        <v>44</v>
      </c>
      <c r="G545">
        <v>-180.023</v>
      </c>
      <c r="H545">
        <v>6.6747709999999998</v>
      </c>
      <c r="I545">
        <v>380.47660000000002</v>
      </c>
      <c r="J545">
        <v>-385.10629999999998</v>
      </c>
      <c r="K545">
        <v>1.110074</v>
      </c>
      <c r="L545">
        <v>367.56560000000002</v>
      </c>
      <c r="M545">
        <v>0.99993180000000004</v>
      </c>
      <c r="N545">
        <v>-1.0947E-2</v>
      </c>
      <c r="O545">
        <v>-4.0991150000000004E-3</v>
      </c>
      <c r="P545">
        <v>0.9788654</v>
      </c>
      <c r="Q545">
        <v>0.18179110000000001</v>
      </c>
      <c r="R545">
        <v>9.3673220000000001E-2</v>
      </c>
      <c r="S545">
        <v>3.0313110000000001</v>
      </c>
      <c r="T545">
        <v>8.2188010000000006E-2</v>
      </c>
      <c r="U545">
        <v>0.1906738</v>
      </c>
      <c r="V545">
        <v>-9.7641649999999997E-2</v>
      </c>
      <c r="W545">
        <v>0.19251360000000001</v>
      </c>
      <c r="X545">
        <v>0.97642439999999997</v>
      </c>
      <c r="Y545">
        <v>-6.6850599999999996E-2</v>
      </c>
      <c r="Z545">
        <v>-6.947117E-4</v>
      </c>
      <c r="AA545">
        <v>0.9977627</v>
      </c>
      <c r="AB545">
        <v>30</v>
      </c>
      <c r="AC545">
        <v>205.08330000000001</v>
      </c>
      <c r="AD545">
        <v>5.5646969999999998</v>
      </c>
      <c r="AE545">
        <v>12.911</v>
      </c>
      <c r="AF545">
        <v>-13.741524628824999</v>
      </c>
      <c r="AG545">
        <v>5.5646969999999998</v>
      </c>
      <c r="AH545">
        <v>204.87840470431499</v>
      </c>
      <c r="AI545">
        <v>88.447659391069294</v>
      </c>
      <c r="AJ545">
        <v>93.837173142103595</v>
      </c>
      <c r="AK545">
        <v>205.41410873163301</v>
      </c>
      <c r="AL545">
        <v>78.900488431306499</v>
      </c>
      <c r="AM545">
        <v>95.710547239922406</v>
      </c>
      <c r="AN545">
        <v>0.999999993457521</v>
      </c>
    </row>
    <row r="546" spans="1:40" x14ac:dyDescent="0.25">
      <c r="A546" t="str">
        <f>"20190304155026386"</f>
        <v>20190304155026386</v>
      </c>
      <c r="B546" t="str">
        <f>"1551685826377570"</f>
        <v>1551685826377570</v>
      </c>
      <c r="C546" t="s">
        <v>40</v>
      </c>
      <c r="D546">
        <v>5.4527549999999998</v>
      </c>
      <c r="E546">
        <v>0.51404989999999995</v>
      </c>
      <c r="F546" t="s">
        <v>43</v>
      </c>
      <c r="G546">
        <v>-170.08879999999999</v>
      </c>
      <c r="H546">
        <v>7.1625170000000002</v>
      </c>
      <c r="I546">
        <v>380.0702</v>
      </c>
      <c r="J546">
        <v>-384.9153</v>
      </c>
      <c r="K546">
        <v>1.110077</v>
      </c>
      <c r="L546">
        <v>367.56470000000002</v>
      </c>
      <c r="M546">
        <v>0.99993129999999997</v>
      </c>
      <c r="N546">
        <v>-1.095605E-2</v>
      </c>
      <c r="O546">
        <v>-4.1582930000000004E-3</v>
      </c>
      <c r="P546">
        <v>0.97892599999999996</v>
      </c>
      <c r="Q546">
        <v>0.18161099999999999</v>
      </c>
      <c r="R546">
        <v>9.3388680000000002E-2</v>
      </c>
      <c r="S546">
        <v>3.0320130000000001</v>
      </c>
      <c r="T546">
        <v>8.5348129999999994E-2</v>
      </c>
      <c r="U546">
        <v>0.1763306</v>
      </c>
      <c r="V546">
        <v>-9.7414959999999995E-2</v>
      </c>
      <c r="W546">
        <v>0.19234329999999999</v>
      </c>
      <c r="X546">
        <v>0.97648060000000003</v>
      </c>
      <c r="Y546">
        <v>-6.2191059999999999E-2</v>
      </c>
      <c r="Z546">
        <v>-6.9581440000000003E-4</v>
      </c>
      <c r="AA546">
        <v>0.99806399999999995</v>
      </c>
      <c r="AB546">
        <v>30</v>
      </c>
      <c r="AC546">
        <v>214.82650000000001</v>
      </c>
      <c r="AD546">
        <v>6.0524399999999998</v>
      </c>
      <c r="AE546">
        <v>12.5054999999999</v>
      </c>
      <c r="AF546">
        <v>-13.388166043494699</v>
      </c>
      <c r="AG546">
        <v>6.0524399999999998</v>
      </c>
      <c r="AH546">
        <v>214.602871431663</v>
      </c>
      <c r="AI546">
        <v>88.387649554567304</v>
      </c>
      <c r="AJ546">
        <v>93.569815075154594</v>
      </c>
      <c r="AK546">
        <v>215.10524737131999</v>
      </c>
      <c r="AL546">
        <v>78.910431703445894</v>
      </c>
      <c r="AM546">
        <v>95.697050908005906</v>
      </c>
      <c r="AN546">
        <v>0.99999999083152502</v>
      </c>
    </row>
    <row r="547" spans="1:40" x14ac:dyDescent="0.25">
      <c r="A547" t="str">
        <f>"20190304155026405"</f>
        <v>20190304155026405</v>
      </c>
      <c r="B547" t="str">
        <f>"1551685826397088"</f>
        <v>1551685826397088</v>
      </c>
      <c r="C547" t="s">
        <v>40</v>
      </c>
      <c r="D547">
        <v>5.4691939999999999</v>
      </c>
      <c r="E547">
        <v>0.51615770000000005</v>
      </c>
      <c r="F547" t="s">
        <v>43</v>
      </c>
      <c r="G547">
        <v>-158.19499999999999</v>
      </c>
      <c r="H547">
        <v>5.5826859999999998</v>
      </c>
      <c r="I547">
        <v>379.81150000000002</v>
      </c>
      <c r="J547">
        <v>-384.66219999999998</v>
      </c>
      <c r="K547">
        <v>1.110077</v>
      </c>
      <c r="L547">
        <v>367.56360000000001</v>
      </c>
      <c r="M547">
        <v>0.99993100000000001</v>
      </c>
      <c r="N547">
        <v>-1.0967090000000001E-2</v>
      </c>
      <c r="O547">
        <v>-4.23691E-3</v>
      </c>
      <c r="P547">
        <v>0.97897100000000004</v>
      </c>
      <c r="Q547">
        <v>0.1814067</v>
      </c>
      <c r="R547">
        <v>9.3313820000000006E-2</v>
      </c>
      <c r="S547">
        <v>3.037811</v>
      </c>
      <c r="T547">
        <v>5.9929370000000003E-2</v>
      </c>
      <c r="U547">
        <v>0.16409299999999999</v>
      </c>
      <c r="V547">
        <v>-9.7417329999999996E-2</v>
      </c>
      <c r="W547">
        <v>0.19214999999999999</v>
      </c>
      <c r="X547">
        <v>0.97651849999999996</v>
      </c>
      <c r="Y547">
        <v>-5.8161740000000003E-2</v>
      </c>
      <c r="Z547">
        <v>-3.8398430000000002E-4</v>
      </c>
      <c r="AA547">
        <v>0.9983071</v>
      </c>
      <c r="AB547">
        <v>30</v>
      </c>
      <c r="AC547">
        <v>226.46719999999999</v>
      </c>
      <c r="AD547">
        <v>4.4726089999999896</v>
      </c>
      <c r="AE547">
        <v>12.2479</v>
      </c>
      <c r="AF547">
        <v>-13.202234387936601</v>
      </c>
      <c r="AG547">
        <v>4.4726089999999896</v>
      </c>
      <c r="AH547">
        <v>226.32525179922999</v>
      </c>
      <c r="AI547">
        <v>88.869796681528896</v>
      </c>
      <c r="AJ547">
        <v>93.338452386607699</v>
      </c>
      <c r="AK547">
        <v>226.754102115233</v>
      </c>
      <c r="AL547">
        <v>78.921718381200904</v>
      </c>
      <c r="AM547">
        <v>95.696968938217793</v>
      </c>
      <c r="AN547">
        <v>1.00000006976328</v>
      </c>
    </row>
    <row r="548" spans="1:40" x14ac:dyDescent="0.25">
      <c r="A548" t="str">
        <f>"20190304155026427"</f>
        <v>20190304155026427</v>
      </c>
      <c r="B548" t="str">
        <f>"1551685826417587"</f>
        <v>1551685826417587</v>
      </c>
      <c r="C548" t="s">
        <v>40</v>
      </c>
      <c r="D548">
        <v>5.4724110000000001</v>
      </c>
      <c r="E548">
        <v>0.52280280000000001</v>
      </c>
      <c r="F548" t="s">
        <v>43</v>
      </c>
      <c r="G548">
        <v>-158.19499999999999</v>
      </c>
      <c r="H548">
        <v>3.7381829999999998</v>
      </c>
      <c r="I548">
        <v>378.47800000000001</v>
      </c>
      <c r="J548">
        <v>-384.37009999999998</v>
      </c>
      <c r="K548">
        <v>1.1100840000000001</v>
      </c>
      <c r="L548">
        <v>367.56220000000002</v>
      </c>
      <c r="M548">
        <v>0.9999304</v>
      </c>
      <c r="N548">
        <v>-1.0979020000000001E-2</v>
      </c>
      <c r="O548">
        <v>-4.3271020000000002E-3</v>
      </c>
      <c r="P548">
        <v>0.97886459999999997</v>
      </c>
      <c r="Q548">
        <v>0.1820223</v>
      </c>
      <c r="R548">
        <v>9.3232709999999996E-2</v>
      </c>
      <c r="S548">
        <v>3.0438839999999998</v>
      </c>
      <c r="T548">
        <v>3.5324809999999998E-2</v>
      </c>
      <c r="U548">
        <v>0.146698</v>
      </c>
      <c r="V548">
        <v>-9.7423770000000007E-2</v>
      </c>
      <c r="W548">
        <v>0.19277610000000001</v>
      </c>
      <c r="X548">
        <v>0.9763944</v>
      </c>
      <c r="Y548">
        <v>-5.2459079999999998E-2</v>
      </c>
      <c r="Z548">
        <v>-1.1372490000000001E-4</v>
      </c>
      <c r="AA548">
        <v>0.99862309999999999</v>
      </c>
      <c r="AB548">
        <v>30</v>
      </c>
      <c r="AC548">
        <v>226.17509999999999</v>
      </c>
      <c r="AD548">
        <v>2.6280990000000002</v>
      </c>
      <c r="AE548">
        <v>10.9157999999999</v>
      </c>
      <c r="AF548">
        <v>-11.8928374553536</v>
      </c>
      <c r="AG548">
        <v>2.6280990000000002</v>
      </c>
      <c r="AH548">
        <v>226.095289532718</v>
      </c>
      <c r="AI548">
        <v>89.334951455985902</v>
      </c>
      <c r="AJ548">
        <v>93.011040076956206</v>
      </c>
      <c r="AK548">
        <v>226.423113740573</v>
      </c>
      <c r="AL548">
        <v>78.885161486506206</v>
      </c>
      <c r="AM548">
        <v>95.6980624410904</v>
      </c>
      <c r="AN548">
        <v>1.00000002002179</v>
      </c>
    </row>
    <row r="549" spans="1:40" x14ac:dyDescent="0.25">
      <c r="A549" t="str">
        <f>"20190304155026440"</f>
        <v>20190304155026440</v>
      </c>
      <c r="B549" t="str">
        <f>"1551685826437104"</f>
        <v>1551685826437104</v>
      </c>
      <c r="C549" t="s">
        <v>40</v>
      </c>
      <c r="D549">
        <v>5.4583490000000001</v>
      </c>
      <c r="E549">
        <v>0.52198849999999997</v>
      </c>
      <c r="F549" t="s">
        <v>41</v>
      </c>
      <c r="G549">
        <v>-357.41500000000002</v>
      </c>
      <c r="H549" s="1">
        <v>-1.3135889999999999E-6</v>
      </c>
      <c r="I549">
        <v>368.363</v>
      </c>
      <c r="J549">
        <v>-384.20400000000001</v>
      </c>
      <c r="K549">
        <v>1.110087</v>
      </c>
      <c r="L549">
        <v>367.56150000000002</v>
      </c>
      <c r="M549">
        <v>0.99993010000000004</v>
      </c>
      <c r="N549">
        <v>-1.0985170000000001E-2</v>
      </c>
      <c r="O549">
        <v>-4.3785150000000004E-3</v>
      </c>
      <c r="P549">
        <v>0.97883609999999999</v>
      </c>
      <c r="Q549">
        <v>0.18222640000000001</v>
      </c>
      <c r="R549">
        <v>9.3132839999999995E-2</v>
      </c>
      <c r="S549">
        <v>3.0796199999999998</v>
      </c>
      <c r="T549">
        <v>-0.1268272</v>
      </c>
      <c r="U549">
        <v>9.1491699999999995E-2</v>
      </c>
      <c r="V549">
        <v>-9.7374050000000004E-2</v>
      </c>
      <c r="W549">
        <v>0.19298570000000001</v>
      </c>
      <c r="X549">
        <v>0.9763579</v>
      </c>
      <c r="Y549">
        <v>-3.4033710000000002E-2</v>
      </c>
      <c r="Z549">
        <v>1.0195619999999999E-3</v>
      </c>
      <c r="AA549">
        <v>0.99942019999999998</v>
      </c>
      <c r="AB549">
        <v>30</v>
      </c>
      <c r="AC549">
        <v>26.788999999999898</v>
      </c>
      <c r="AD549">
        <v>-1.1100883135890001</v>
      </c>
      <c r="AE549">
        <v>0.80150000000003196</v>
      </c>
      <c r="AF549">
        <v>-0.91722185289684999</v>
      </c>
      <c r="AG549">
        <v>-1.1100883135890001</v>
      </c>
      <c r="AH549">
        <v>26.7393598102461</v>
      </c>
      <c r="AI549">
        <v>92.375881510444202</v>
      </c>
      <c r="AJ549">
        <v>91.964607374526693</v>
      </c>
      <c r="AK549">
        <v>26.778105889946801</v>
      </c>
      <c r="AL549">
        <v>78.872921876851393</v>
      </c>
      <c r="AM549">
        <v>95.695385077080402</v>
      </c>
      <c r="AN549">
        <v>0.99999996745514996</v>
      </c>
    </row>
    <row r="550" spans="1:40" x14ac:dyDescent="0.25">
      <c r="A550" t="str">
        <f>"20190304155026460"</f>
        <v>20190304155026460</v>
      </c>
      <c r="B550" t="str">
        <f>"1551685826457600"</f>
        <v>1551685826457600</v>
      </c>
      <c r="C550" t="s">
        <v>40</v>
      </c>
      <c r="D550">
        <v>4.8507709999999999</v>
      </c>
      <c r="E550">
        <v>0.52199989999999996</v>
      </c>
      <c r="F550" t="s">
        <v>41</v>
      </c>
      <c r="G550">
        <v>-357.2525</v>
      </c>
      <c r="H550" s="1">
        <v>-1.3737760000000001E-6</v>
      </c>
      <c r="I550">
        <v>368.41680000000002</v>
      </c>
      <c r="J550">
        <v>-383.92610000000002</v>
      </c>
      <c r="K550">
        <v>1.11009</v>
      </c>
      <c r="L550">
        <v>367.56020000000001</v>
      </c>
      <c r="M550">
        <v>0.99992970000000003</v>
      </c>
      <c r="N550">
        <v>-1.0995E-2</v>
      </c>
      <c r="O550">
        <v>-4.4648759999999996E-3</v>
      </c>
      <c r="P550">
        <v>0.97877190000000003</v>
      </c>
      <c r="Q550">
        <v>0.1825591</v>
      </c>
      <c r="R550">
        <v>9.3156619999999996E-2</v>
      </c>
      <c r="S550">
        <v>3.0791629999999999</v>
      </c>
      <c r="T550">
        <v>-0.1268251</v>
      </c>
      <c r="U550">
        <v>9.7717289999999998E-2</v>
      </c>
      <c r="V550">
        <v>-9.7481410000000004E-2</v>
      </c>
      <c r="W550">
        <v>0.19332769999999999</v>
      </c>
      <c r="X550">
        <v>0.97627960000000003</v>
      </c>
      <c r="Y550">
        <v>-3.6140810000000002E-2</v>
      </c>
      <c r="Z550">
        <v>1.0773460000000001E-3</v>
      </c>
      <c r="AA550">
        <v>0.99934610000000001</v>
      </c>
      <c r="AB550">
        <v>30</v>
      </c>
      <c r="AC550">
        <v>26.6736</v>
      </c>
      <c r="AD550">
        <v>-1.1100913737760001</v>
      </c>
      <c r="AE550">
        <v>0.85660000000001402</v>
      </c>
      <c r="AF550">
        <v>-0.97400769504579698</v>
      </c>
      <c r="AG550">
        <v>-1.1100913737760001</v>
      </c>
      <c r="AH550">
        <v>26.623444285638399</v>
      </c>
      <c r="AI550">
        <v>92.386027921791296</v>
      </c>
      <c r="AJ550">
        <v>92.095207959137298</v>
      </c>
      <c r="AK550">
        <v>26.664372849902801</v>
      </c>
      <c r="AL550">
        <v>78.852951450955899</v>
      </c>
      <c r="AM550">
        <v>95.702077457791304</v>
      </c>
      <c r="AN550">
        <v>1.00000004112951</v>
      </c>
    </row>
    <row r="551" spans="1:40" x14ac:dyDescent="0.25">
      <c r="A551" t="str">
        <f>"20190304155026473"</f>
        <v>20190304155026473</v>
      </c>
      <c r="B551" t="str">
        <f>"1551685826467360"</f>
        <v>1551685826467360</v>
      </c>
      <c r="C551" t="s">
        <v>40</v>
      </c>
      <c r="D551">
        <v>6.0049890000000001</v>
      </c>
      <c r="E551">
        <v>0.52185559999999998</v>
      </c>
      <c r="F551" t="s">
        <v>41</v>
      </c>
      <c r="G551">
        <v>-356.08390000000003</v>
      </c>
      <c r="H551" s="1">
        <v>-1.8700770000000001E-6</v>
      </c>
      <c r="I551">
        <v>368.4452</v>
      </c>
      <c r="J551">
        <v>-383.75689999999997</v>
      </c>
      <c r="K551">
        <v>1.1100920000000001</v>
      </c>
      <c r="L551">
        <v>367.55939999999998</v>
      </c>
      <c r="M551">
        <v>0.99992939999999997</v>
      </c>
      <c r="N551">
        <v>-1.1000640000000001E-2</v>
      </c>
      <c r="O551">
        <v>-4.5172399999999996E-3</v>
      </c>
      <c r="P551">
        <v>0.9788154</v>
      </c>
      <c r="Q551">
        <v>0.1824028</v>
      </c>
      <c r="R551">
        <v>9.3004790000000004E-2</v>
      </c>
      <c r="S551">
        <v>3.0786129999999998</v>
      </c>
      <c r="T551">
        <v>-0.1227462</v>
      </c>
      <c r="U551">
        <v>9.7869869999999998E-2</v>
      </c>
      <c r="V551">
        <v>-9.7381480000000006E-2</v>
      </c>
      <c r="W551">
        <v>0.19317709999999999</v>
      </c>
      <c r="X551">
        <v>0.97631939999999995</v>
      </c>
      <c r="Y551">
        <v>-3.6250499999999998E-2</v>
      </c>
      <c r="Z551">
        <v>1.0520670000000001E-3</v>
      </c>
      <c r="AA551">
        <v>0.99934219999999896</v>
      </c>
      <c r="AB551">
        <v>30</v>
      </c>
      <c r="AC551">
        <v>27.672999999999899</v>
      </c>
      <c r="AD551">
        <v>-1.110093870077</v>
      </c>
      <c r="AE551">
        <v>0.88580000000001702</v>
      </c>
      <c r="AF551">
        <v>-1.00918179265636</v>
      </c>
      <c r="AG551">
        <v>-1.110093870077</v>
      </c>
      <c r="AH551">
        <v>27.6243087912876</v>
      </c>
      <c r="AI551">
        <v>92.299683138265294</v>
      </c>
      <c r="AJ551">
        <v>92.092220847649997</v>
      </c>
      <c r="AK551">
        <v>27.665017485760199</v>
      </c>
      <c r="AL551">
        <v>78.861746167070706</v>
      </c>
      <c r="AM551">
        <v>95.696039929466906</v>
      </c>
      <c r="AN551">
        <v>1.0000000577138699</v>
      </c>
    </row>
    <row r="552" spans="1:40" x14ac:dyDescent="0.25">
      <c r="A552" t="str">
        <f>"20190304155026484"</f>
        <v>20190304155026484</v>
      </c>
      <c r="B552" t="str">
        <f>"1551685826477121"</f>
        <v>1551685826477121</v>
      </c>
      <c r="C552" t="s">
        <v>40</v>
      </c>
      <c r="D552">
        <v>5.4331110000000002</v>
      </c>
      <c r="E552">
        <v>0.52154339999999999</v>
      </c>
      <c r="F552" t="s">
        <v>43</v>
      </c>
      <c r="G552">
        <v>-158.19499999999999</v>
      </c>
      <c r="H552">
        <v>24.840479999999999</v>
      </c>
      <c r="I552">
        <v>375.31729999999999</v>
      </c>
      <c r="J552">
        <v>-383.58499999999998</v>
      </c>
      <c r="K552">
        <v>1.1100920000000001</v>
      </c>
      <c r="L552">
        <v>367.55849999999998</v>
      </c>
      <c r="M552">
        <v>0.99992899999999996</v>
      </c>
      <c r="N552">
        <v>-1.100611E-2</v>
      </c>
      <c r="O552">
        <v>-4.5703180000000003E-3</v>
      </c>
      <c r="P552">
        <v>0.97880979999999995</v>
      </c>
      <c r="Q552">
        <v>0.18245230000000001</v>
      </c>
      <c r="R552">
        <v>9.2966149999999997E-2</v>
      </c>
      <c r="S552">
        <v>2.9963989999999998</v>
      </c>
      <c r="T552">
        <v>0.315239099999999</v>
      </c>
      <c r="U552">
        <v>0.10305789999999999</v>
      </c>
      <c r="V552">
        <v>-9.7394369999999994E-2</v>
      </c>
      <c r="W552">
        <v>0.19323180000000001</v>
      </c>
      <c r="X552">
        <v>0.97630720000000004</v>
      </c>
      <c r="Y552">
        <v>-3.8719400000000001E-2</v>
      </c>
      <c r="Z552">
        <v>-2.3463920000000001E-3</v>
      </c>
      <c r="AA552">
        <v>0.99924740000000001</v>
      </c>
      <c r="AB552">
        <v>30</v>
      </c>
      <c r="AC552">
        <v>225.39</v>
      </c>
      <c r="AD552">
        <v>23.730388000000001</v>
      </c>
      <c r="AE552">
        <v>7.7587999999999999</v>
      </c>
      <c r="AF552">
        <v>-8.6926404040874008</v>
      </c>
      <c r="AG552">
        <v>23.730388000000001</v>
      </c>
      <c r="AH552">
        <v>222.88440738679</v>
      </c>
      <c r="AI552">
        <v>83.927224887456006</v>
      </c>
      <c r="AJ552">
        <v>92.233441644616903</v>
      </c>
      <c r="AK552">
        <v>224.31262195424</v>
      </c>
      <c r="AL552">
        <v>78.858550917143006</v>
      </c>
      <c r="AM552">
        <v>95.6968596519621</v>
      </c>
      <c r="AN552">
        <v>0.99999997030538801</v>
      </c>
    </row>
    <row r="553" spans="1:40" x14ac:dyDescent="0.25">
      <c r="A553" t="str">
        <f>"20190304155026496"</f>
        <v>20190304155026496</v>
      </c>
      <c r="B553" t="str">
        <f>"1551685826486880"</f>
        <v>1551685826486880</v>
      </c>
      <c r="C553" t="s">
        <v>40</v>
      </c>
      <c r="D553">
        <v>5.3961449999999997</v>
      </c>
      <c r="E553">
        <v>0.52137479999999903</v>
      </c>
      <c r="F553" t="s">
        <v>43</v>
      </c>
      <c r="G553">
        <v>-170.08879999999999</v>
      </c>
      <c r="H553">
        <v>12.949199999999999</v>
      </c>
      <c r="I553">
        <v>374.88440000000003</v>
      </c>
      <c r="J553">
        <v>-383.43459999999999</v>
      </c>
      <c r="K553">
        <v>1.1100939999999999</v>
      </c>
      <c r="L553">
        <v>367.55779999999999</v>
      </c>
      <c r="M553">
        <v>0.99992890000000001</v>
      </c>
      <c r="N553">
        <v>-1.101066E-2</v>
      </c>
      <c r="O553">
        <v>-4.6173100000000003E-3</v>
      </c>
      <c r="P553">
        <v>0.97879090000000002</v>
      </c>
      <c r="Q553">
        <v>0.18263360000000001</v>
      </c>
      <c r="R553">
        <v>9.2809130000000004E-2</v>
      </c>
      <c r="S553">
        <v>3.0238339999999999</v>
      </c>
      <c r="T553">
        <v>0.1676832</v>
      </c>
      <c r="U553">
        <v>0.1037598</v>
      </c>
      <c r="V553">
        <v>-9.7283220000000004E-2</v>
      </c>
      <c r="W553">
        <v>0.1934176</v>
      </c>
      <c r="X553">
        <v>0.97628150000000002</v>
      </c>
      <c r="Y553">
        <v>-3.885036E-2</v>
      </c>
      <c r="Z553">
        <v>-1.1685319999999999E-3</v>
      </c>
      <c r="AA553">
        <v>0.99924429999999997</v>
      </c>
      <c r="AB553">
        <v>30</v>
      </c>
      <c r="AC553">
        <v>213.3458</v>
      </c>
      <c r="AD553">
        <v>11.839105999999999</v>
      </c>
      <c r="AE553">
        <v>7.32660000000004</v>
      </c>
      <c r="AF553">
        <v>-8.2861785200424407</v>
      </c>
      <c r="AG553">
        <v>11.839105999999999</v>
      </c>
      <c r="AH553">
        <v>212.655608666718</v>
      </c>
      <c r="AI553">
        <v>86.815891585769506</v>
      </c>
      <c r="AJ553">
        <v>92.231415399886103</v>
      </c>
      <c r="AK553">
        <v>213.146036985813</v>
      </c>
      <c r="AL553">
        <v>78.847700779436295</v>
      </c>
      <c r="AM553">
        <v>95.690549693732294</v>
      </c>
      <c r="AN553">
        <v>0.99999998006278901</v>
      </c>
    </row>
    <row r="554" spans="1:40" x14ac:dyDescent="0.25">
      <c r="A554" t="str">
        <f>"20190304155026508"</f>
        <v>20190304155026508</v>
      </c>
      <c r="B554" t="str">
        <f>"1551685826496641"</f>
        <v>1551685826496641</v>
      </c>
      <c r="C554" t="s">
        <v>40</v>
      </c>
      <c r="D554">
        <v>5.4102980000000001</v>
      </c>
      <c r="E554">
        <v>0.52136959999999999</v>
      </c>
      <c r="F554" t="s">
        <v>43</v>
      </c>
      <c r="G554">
        <v>-170.08879999999999</v>
      </c>
      <c r="H554">
        <v>7.7549349999999997</v>
      </c>
      <c r="I554">
        <v>374.84989999999999</v>
      </c>
      <c r="J554">
        <v>-383.28039999999999</v>
      </c>
      <c r="K554">
        <v>1.110096</v>
      </c>
      <c r="L554">
        <v>367.55700000000002</v>
      </c>
      <c r="M554">
        <v>0.9999285</v>
      </c>
      <c r="N554">
        <v>-1.1015250000000001E-2</v>
      </c>
      <c r="O554">
        <v>-4.6651349999999999E-3</v>
      </c>
      <c r="P554">
        <v>0.97876730000000001</v>
      </c>
      <c r="Q554">
        <v>0.1827049</v>
      </c>
      <c r="R554">
        <v>9.2917659999999999E-2</v>
      </c>
      <c r="S554">
        <v>3.037506</v>
      </c>
      <c r="T554">
        <v>9.4606999999999997E-2</v>
      </c>
      <c r="U554">
        <v>0.1038208</v>
      </c>
      <c r="V554">
        <v>-9.7439090000000006E-2</v>
      </c>
      <c r="W554">
        <v>0.19349240000000001</v>
      </c>
      <c r="X554">
        <v>0.97625110000000004</v>
      </c>
      <c r="Y554">
        <v>-3.8805720000000002E-2</v>
      </c>
      <c r="Z554">
        <v>-5.8675730000000003E-4</v>
      </c>
      <c r="AA554">
        <v>0.99924659999999998</v>
      </c>
      <c r="AB554">
        <v>30</v>
      </c>
      <c r="AC554">
        <v>213.19159999999999</v>
      </c>
      <c r="AD554">
        <v>6.6448390000000002</v>
      </c>
      <c r="AE554">
        <v>7.2929000000000297</v>
      </c>
      <c r="AF554">
        <v>-8.2794147273362793</v>
      </c>
      <c r="AG554">
        <v>6.6448390000000002</v>
      </c>
      <c r="AH554">
        <v>212.94862429211801</v>
      </c>
      <c r="AI554">
        <v>88.214073541929395</v>
      </c>
      <c r="AJ554">
        <v>92.226530975925201</v>
      </c>
      <c r="AK554">
        <v>213.213083982829</v>
      </c>
      <c r="AL554">
        <v>78.843332169319496</v>
      </c>
      <c r="AM554">
        <v>95.699783589092903</v>
      </c>
      <c r="AN554">
        <v>0.99999994768449696</v>
      </c>
    </row>
    <row r="555" spans="1:40" x14ac:dyDescent="0.25">
      <c r="A555" t="str">
        <f>"20190304155026519"</f>
        <v>20190304155026519</v>
      </c>
      <c r="B555" t="str">
        <f>"1551685826517136"</f>
        <v>1551685826517136</v>
      </c>
      <c r="C555" t="s">
        <v>40</v>
      </c>
      <c r="D555">
        <v>5.3848580000000004</v>
      </c>
      <c r="E555">
        <v>0.5211768</v>
      </c>
      <c r="F555" t="s">
        <v>43</v>
      </c>
      <c r="G555">
        <v>-158.19499999999999</v>
      </c>
      <c r="H555">
        <v>5.0079000000000002</v>
      </c>
      <c r="I555">
        <v>375.24639999999999</v>
      </c>
      <c r="J555">
        <v>-383.1182</v>
      </c>
      <c r="K555">
        <v>1.1100950000000001</v>
      </c>
      <c r="L555">
        <v>367.55619999999999</v>
      </c>
      <c r="M555">
        <v>0.99992820000000004</v>
      </c>
      <c r="N555">
        <v>-1.10198E-2</v>
      </c>
      <c r="O555">
        <v>-4.7153500000000001E-3</v>
      </c>
      <c r="P555">
        <v>0.97874280000000002</v>
      </c>
      <c r="Q555">
        <v>0.18291789999999999</v>
      </c>
      <c r="R555">
        <v>9.2755969999999993E-2</v>
      </c>
      <c r="S555">
        <v>3.0453489999999999</v>
      </c>
      <c r="T555">
        <v>5.2737470000000002E-2</v>
      </c>
      <c r="U555">
        <v>0.1040344</v>
      </c>
      <c r="V555">
        <v>-9.7325900000000007E-2</v>
      </c>
      <c r="W555">
        <v>0.19370989999999999</v>
      </c>
      <c r="X555">
        <v>0.97621930000000001</v>
      </c>
      <c r="Y555">
        <v>-3.8850339999999997E-2</v>
      </c>
      <c r="Z555">
        <v>-2.5570410000000002E-4</v>
      </c>
      <c r="AA555">
        <v>0.99924500000000005</v>
      </c>
      <c r="AB555">
        <v>30</v>
      </c>
      <c r="AC555">
        <v>224.92320000000001</v>
      </c>
      <c r="AD555">
        <v>3.897805</v>
      </c>
      <c r="AE555">
        <v>7.6901999999999999</v>
      </c>
      <c r="AF555">
        <v>-8.7481463691143695</v>
      </c>
      <c r="AG555">
        <v>3.897805</v>
      </c>
      <c r="AH555">
        <v>224.816998708028</v>
      </c>
      <c r="AI555">
        <v>89.007474662490694</v>
      </c>
      <c r="AJ555">
        <v>92.228386265514899</v>
      </c>
      <c r="AK555">
        <v>225.02090093322201</v>
      </c>
      <c r="AL555">
        <v>78.830630482513698</v>
      </c>
      <c r="AM555">
        <v>95.693390199636596</v>
      </c>
      <c r="AN555">
        <v>0.999999988930654</v>
      </c>
    </row>
    <row r="556" spans="1:40" x14ac:dyDescent="0.25">
      <c r="A556" t="str">
        <f>"20190304155026531"</f>
        <v>20190304155026531</v>
      </c>
      <c r="B556" t="str">
        <f>"1551685826526896"</f>
        <v>1551685826526896</v>
      </c>
      <c r="C556" t="s">
        <v>40</v>
      </c>
      <c r="D556">
        <v>5.4023199999999996</v>
      </c>
      <c r="E556">
        <v>0.5211517</v>
      </c>
      <c r="F556" t="s">
        <v>43</v>
      </c>
      <c r="G556">
        <v>-158.19499999999999</v>
      </c>
      <c r="H556">
        <v>1.3148580000000001</v>
      </c>
      <c r="I556">
        <v>375.24340000000001</v>
      </c>
      <c r="J556">
        <v>-382.96269999999998</v>
      </c>
      <c r="K556">
        <v>1.1100939999999999</v>
      </c>
      <c r="L556">
        <v>367.55549999999999</v>
      </c>
      <c r="M556">
        <v>0.99992800000000004</v>
      </c>
      <c r="N556">
        <v>-1.102407E-2</v>
      </c>
      <c r="O556">
        <v>-4.7635350000000002E-3</v>
      </c>
      <c r="P556">
        <v>0.97869830000000002</v>
      </c>
      <c r="Q556">
        <v>0.18307039999999999</v>
      </c>
      <c r="R556">
        <v>9.2926250000000002E-2</v>
      </c>
      <c r="S556">
        <v>3.0547179999999998</v>
      </c>
      <c r="T556">
        <v>2.7821059999999999E-3</v>
      </c>
      <c r="U556">
        <v>0.1044006</v>
      </c>
      <c r="V556">
        <v>-9.7543019999999994E-2</v>
      </c>
      <c r="W556">
        <v>0.1938657</v>
      </c>
      <c r="X556">
        <v>0.97616670000000005</v>
      </c>
      <c r="Y556">
        <v>-3.8917399999999998E-2</v>
      </c>
      <c r="Z556">
        <v>1.4002980000000001E-4</v>
      </c>
      <c r="AA556">
        <v>0.99924239999999998</v>
      </c>
      <c r="AB556">
        <v>30</v>
      </c>
      <c r="AC556">
        <v>224.76769999999999</v>
      </c>
      <c r="AD556">
        <v>0.204763999999999</v>
      </c>
      <c r="AE556">
        <v>7.6879000000000097</v>
      </c>
      <c r="AF556">
        <v>-8.7585592552745908</v>
      </c>
      <c r="AG556">
        <v>0.204763999999999</v>
      </c>
      <c r="AH556">
        <v>224.728339452292</v>
      </c>
      <c r="AI556">
        <v>89.947833862207901</v>
      </c>
      <c r="AJ556">
        <v>92.231915319383404</v>
      </c>
      <c r="AK556">
        <v>224.89904588838999</v>
      </c>
      <c r="AL556">
        <v>78.821531303956405</v>
      </c>
      <c r="AM556">
        <v>95.706313043917305</v>
      </c>
      <c r="AN556">
        <v>0.99999998828805003</v>
      </c>
    </row>
    <row r="557" spans="1:40" x14ac:dyDescent="0.25">
      <c r="A557" t="str">
        <f>"20190304155026548"</f>
        <v>20190304155026548</v>
      </c>
      <c r="B557" t="str">
        <f>"1551685826536656"</f>
        <v>1551685826536656</v>
      </c>
      <c r="C557" t="s">
        <v>40</v>
      </c>
      <c r="D557">
        <v>5.2890940000000004</v>
      </c>
      <c r="E557">
        <v>0.5201249</v>
      </c>
      <c r="F557" t="s">
        <v>43</v>
      </c>
      <c r="G557">
        <v>-158.19499999999999</v>
      </c>
      <c r="H557">
        <v>0.2105813</v>
      </c>
      <c r="I557">
        <v>375.26819999999998</v>
      </c>
      <c r="J557">
        <v>-382.72919999999999</v>
      </c>
      <c r="K557">
        <v>1.110096</v>
      </c>
      <c r="L557">
        <v>367.55419999999998</v>
      </c>
      <c r="M557">
        <v>0.99992760000000003</v>
      </c>
      <c r="N557">
        <v>-1.103021E-2</v>
      </c>
      <c r="O557">
        <v>-4.8358089999999999E-3</v>
      </c>
      <c r="P557">
        <v>0.97862700000000002</v>
      </c>
      <c r="Q557">
        <v>0.18362980000000001</v>
      </c>
      <c r="R557">
        <v>9.2569490000000004E-2</v>
      </c>
      <c r="S557">
        <v>3.057617</v>
      </c>
      <c r="T557">
        <v>-1.2235279999999999E-2</v>
      </c>
      <c r="U557">
        <v>0.1049194</v>
      </c>
      <c r="V557">
        <v>-9.7256369999999995E-2</v>
      </c>
      <c r="W557">
        <v>0.19443079999999999</v>
      </c>
      <c r="X557">
        <v>0.97608289999999998</v>
      </c>
      <c r="Y557">
        <v>-3.9125489999999999E-2</v>
      </c>
      <c r="Z557">
        <v>2.6013309999999999E-4</v>
      </c>
      <c r="AA557">
        <v>0.99923430000000002</v>
      </c>
      <c r="AB557">
        <v>30</v>
      </c>
      <c r="AC557">
        <v>224.5342</v>
      </c>
      <c r="AD557">
        <v>-0.899514699999999</v>
      </c>
      <c r="AE557">
        <v>7.7139999999999898</v>
      </c>
      <c r="AF557">
        <v>-8.7996391570926296</v>
      </c>
      <c r="AG557">
        <v>-0.899514699999999</v>
      </c>
      <c r="AH557">
        <v>224.49066996618001</v>
      </c>
      <c r="AI557">
        <v>90.229401836107897</v>
      </c>
      <c r="AJ557">
        <v>92.244744501696601</v>
      </c>
      <c r="AK557">
        <v>224.66486970119499</v>
      </c>
      <c r="AL557">
        <v>78.788525364079106</v>
      </c>
      <c r="AM557">
        <v>95.690139338295296</v>
      </c>
      <c r="AN557">
        <v>0.99999998258331302</v>
      </c>
    </row>
    <row r="558" spans="1:40" x14ac:dyDescent="0.25">
      <c r="A558" t="str">
        <f>"20190304155026571"</f>
        <v>20190304155026571</v>
      </c>
      <c r="B558" t="str">
        <f>"1551685826566912"</f>
        <v>1551685826566912</v>
      </c>
      <c r="C558" t="s">
        <v>40</v>
      </c>
      <c r="D558">
        <v>5.3324629999999997</v>
      </c>
      <c r="E558">
        <v>0.51894689999999999</v>
      </c>
      <c r="F558" t="s">
        <v>50</v>
      </c>
      <c r="G558">
        <v>-180</v>
      </c>
      <c r="H558">
        <v>1.1726139999999999E-2</v>
      </c>
      <c r="I558">
        <v>375.00749999999999</v>
      </c>
      <c r="J558">
        <v>-382.41629999999998</v>
      </c>
      <c r="K558">
        <v>1.1101000000000001</v>
      </c>
      <c r="L558">
        <v>367.55259999999998</v>
      </c>
      <c r="M558">
        <v>0.99992689999999995</v>
      </c>
      <c r="N558">
        <v>-1.1037959999999999E-2</v>
      </c>
      <c r="O558">
        <v>-4.9330019999999997E-3</v>
      </c>
      <c r="P558">
        <v>0.97857550000000004</v>
      </c>
      <c r="Q558">
        <v>0.1840154</v>
      </c>
      <c r="R558">
        <v>9.2349000000000001E-2</v>
      </c>
      <c r="S558">
        <v>3.058014</v>
      </c>
      <c r="T558">
        <v>-1.6568059999999999E-2</v>
      </c>
      <c r="U558">
        <v>0.11242679999999999</v>
      </c>
      <c r="V558">
        <v>-9.7130900000000006E-2</v>
      </c>
      <c r="W558">
        <v>0.19482269999999999</v>
      </c>
      <c r="X558">
        <v>0.97601720000000003</v>
      </c>
      <c r="Y558">
        <v>-4.16674E-2</v>
      </c>
      <c r="Z558">
        <v>3.1517269999999998E-4</v>
      </c>
      <c r="AA558">
        <v>0.99913149999999995</v>
      </c>
      <c r="AB558">
        <v>30</v>
      </c>
      <c r="AC558">
        <v>202.41630000000001</v>
      </c>
      <c r="AD558">
        <v>-1.0983738599999999</v>
      </c>
      <c r="AE558">
        <v>7.4549000000000003</v>
      </c>
      <c r="AF558">
        <v>-8.4531415765528397</v>
      </c>
      <c r="AG558">
        <v>-1.0983738599999999</v>
      </c>
      <c r="AH558">
        <v>202.37110884050199</v>
      </c>
      <c r="AI558">
        <v>90.310700183661396</v>
      </c>
      <c r="AJ558">
        <v>92.391882672653395</v>
      </c>
      <c r="AK558">
        <v>202.550555963157</v>
      </c>
      <c r="AL558">
        <v>78.765632856376499</v>
      </c>
      <c r="AM558">
        <v>95.683226628493401</v>
      </c>
      <c r="AN558">
        <v>0.99999993543296795</v>
      </c>
    </row>
    <row r="559" spans="1:40" x14ac:dyDescent="0.25">
      <c r="A559" t="str">
        <f>"20190304155026585"</f>
        <v>20190304155026585</v>
      </c>
      <c r="B559" t="str">
        <f>"1551685826576672"</f>
        <v>1551685826576672</v>
      </c>
      <c r="C559" t="s">
        <v>40</v>
      </c>
      <c r="D559">
        <v>5.2729249999999999</v>
      </c>
      <c r="E559">
        <v>0.51857949999999997</v>
      </c>
      <c r="F559" t="s">
        <v>42</v>
      </c>
      <c r="G559">
        <v>-289.4633</v>
      </c>
      <c r="H559">
        <v>-0.05</v>
      </c>
      <c r="I559">
        <v>371.21530000000001</v>
      </c>
      <c r="J559">
        <v>-382.2328</v>
      </c>
      <c r="K559">
        <v>1.1101019999999999</v>
      </c>
      <c r="L559">
        <v>367.55160000000001</v>
      </c>
      <c r="M559">
        <v>0.99992669999999995</v>
      </c>
      <c r="N559">
        <v>-1.104229E-2</v>
      </c>
      <c r="O559">
        <v>-4.9900070000000003E-3</v>
      </c>
      <c r="P559">
        <v>0.97858449999999997</v>
      </c>
      <c r="Q559">
        <v>0.1841246</v>
      </c>
      <c r="R559">
        <v>9.2035220000000001E-2</v>
      </c>
      <c r="S559">
        <v>3.061493</v>
      </c>
      <c r="T559">
        <v>-3.820896E-2</v>
      </c>
      <c r="U559">
        <v>0.12063599999999999</v>
      </c>
      <c r="V559">
        <v>-9.6872239999999998E-2</v>
      </c>
      <c r="W559">
        <v>0.19493640000000001</v>
      </c>
      <c r="X559">
        <v>0.97602029999999995</v>
      </c>
      <c r="Y559">
        <v>-4.4353190000000001E-2</v>
      </c>
      <c r="Z559">
        <v>5.2883019999999995E-4</v>
      </c>
      <c r="AA559">
        <v>0.99901569999999995</v>
      </c>
      <c r="AB559">
        <v>30</v>
      </c>
      <c r="AC559">
        <v>92.769499999999994</v>
      </c>
      <c r="AD559">
        <v>-1.160102</v>
      </c>
      <c r="AE559">
        <v>3.6637</v>
      </c>
      <c r="AF559">
        <v>-4.1259587914344102</v>
      </c>
      <c r="AG559">
        <v>-1.160102</v>
      </c>
      <c r="AH559">
        <v>92.735582431788202</v>
      </c>
      <c r="AI559">
        <v>90.716012123495105</v>
      </c>
      <c r="AJ559">
        <v>92.547503545687107</v>
      </c>
      <c r="AK559">
        <v>92.834571262875997</v>
      </c>
      <c r="AL559">
        <v>78.758992041819695</v>
      </c>
      <c r="AM559">
        <v>95.668172968968193</v>
      </c>
      <c r="AN559">
        <v>1.00000002846983</v>
      </c>
    </row>
    <row r="560" spans="1:40" x14ac:dyDescent="0.25">
      <c r="A560" t="str">
        <f>"20190304155026599"</f>
        <v>20190304155026599</v>
      </c>
      <c r="B560" t="str">
        <f>"1551685826587408"</f>
        <v>1551685826587408</v>
      </c>
      <c r="C560" t="s">
        <v>40</v>
      </c>
      <c r="D560">
        <v>5.2728580000000003</v>
      </c>
      <c r="E560">
        <v>0.51817539999999995</v>
      </c>
      <c r="F560" t="s">
        <v>42</v>
      </c>
      <c r="G560">
        <v>-299.34570000000002</v>
      </c>
      <c r="H560">
        <v>-0.05</v>
      </c>
      <c r="I560">
        <v>370.87400000000002</v>
      </c>
      <c r="J560">
        <v>-382.05029999999999</v>
      </c>
      <c r="K560">
        <v>1.110096</v>
      </c>
      <c r="L560">
        <v>367.55070000000001</v>
      </c>
      <c r="M560">
        <v>0.99992630000000005</v>
      </c>
      <c r="N560">
        <v>-1.1046439999999999E-2</v>
      </c>
      <c r="O560">
        <v>-5.0464159999999997E-3</v>
      </c>
      <c r="P560">
        <v>0.9785933</v>
      </c>
      <c r="Q560">
        <v>0.184111</v>
      </c>
      <c r="R560">
        <v>9.1969350000000005E-2</v>
      </c>
      <c r="S560">
        <v>3.062195</v>
      </c>
      <c r="T560">
        <v>-4.2858960000000002E-2</v>
      </c>
      <c r="U560">
        <v>0.1227417</v>
      </c>
      <c r="V560">
        <v>-9.6862169999999997E-2</v>
      </c>
      <c r="W560">
        <v>0.19492699999999999</v>
      </c>
      <c r="X560">
        <v>0.97602310000000003</v>
      </c>
      <c r="Y560">
        <v>-4.5085010000000002E-2</v>
      </c>
      <c r="Z560">
        <v>5.7938779999999995E-4</v>
      </c>
      <c r="AA560">
        <v>0.99898299999999995</v>
      </c>
      <c r="AB560">
        <v>30</v>
      </c>
      <c r="AC560">
        <v>82.7045999999999</v>
      </c>
      <c r="AD560">
        <v>-1.160096</v>
      </c>
      <c r="AE560">
        <v>3.3233000000000099</v>
      </c>
      <c r="AF560">
        <v>-3.7399102771319499</v>
      </c>
      <c r="AG560">
        <v>-1.160096</v>
      </c>
      <c r="AH560">
        <v>82.670535274784299</v>
      </c>
      <c r="AI560">
        <v>90.803143999357999</v>
      </c>
      <c r="AJ560">
        <v>92.590222437586803</v>
      </c>
      <c r="AK560">
        <v>82.763217398972401</v>
      </c>
      <c r="AL560">
        <v>78.759540302436207</v>
      </c>
      <c r="AM560">
        <v>95.667571437747299</v>
      </c>
      <c r="AN560">
        <v>0.99999995351985804</v>
      </c>
    </row>
    <row r="561" spans="1:40" x14ac:dyDescent="0.25">
      <c r="A561" t="str">
        <f>"20190304155026612"</f>
        <v>20190304155026612</v>
      </c>
      <c r="B561" t="str">
        <f>"1551685826606928"</f>
        <v>1551685826606928</v>
      </c>
      <c r="C561" t="s">
        <v>40</v>
      </c>
      <c r="D561">
        <v>5.269825</v>
      </c>
      <c r="E561">
        <v>0.51979179999999903</v>
      </c>
      <c r="F561" t="s">
        <v>42</v>
      </c>
      <c r="G561">
        <v>-303.51729999999998</v>
      </c>
      <c r="H561">
        <v>-0.05</v>
      </c>
      <c r="I561">
        <v>370.78370000000001</v>
      </c>
      <c r="J561">
        <v>-381.8603</v>
      </c>
      <c r="K561">
        <v>1.110096</v>
      </c>
      <c r="L561">
        <v>367.54969999999997</v>
      </c>
      <c r="M561">
        <v>0.99992599999999998</v>
      </c>
      <c r="N561">
        <v>-1.105065E-2</v>
      </c>
      <c r="O561">
        <v>-5.1054469999999999E-3</v>
      </c>
      <c r="P561">
        <v>0.97860499999999995</v>
      </c>
      <c r="Q561">
        <v>0.1842107</v>
      </c>
      <c r="R561">
        <v>9.1646679999999994E-2</v>
      </c>
      <c r="S561">
        <v>3.0622859999999998</v>
      </c>
      <c r="T561">
        <v>-4.5236350000000002E-2</v>
      </c>
      <c r="U561">
        <v>0.12606809999999999</v>
      </c>
      <c r="V561">
        <v>-9.6597189999999999E-2</v>
      </c>
      <c r="W561">
        <v>0.1950308</v>
      </c>
      <c r="X561">
        <v>0.97602869999999997</v>
      </c>
      <c r="Y561">
        <v>-4.6225189999999999E-2</v>
      </c>
      <c r="Z561">
        <v>6.1579699999999996E-4</v>
      </c>
      <c r="AA561">
        <v>0.99893089999999995</v>
      </c>
      <c r="AB561">
        <v>30</v>
      </c>
      <c r="AC561">
        <v>78.343000000000004</v>
      </c>
      <c r="AD561">
        <v>-1.160096</v>
      </c>
      <c r="AE561">
        <v>3.2340000000000302</v>
      </c>
      <c r="AF561">
        <v>-3.6331629638644301</v>
      </c>
      <c r="AG561">
        <v>-1.160096</v>
      </c>
      <c r="AH561">
        <v>78.308325036154997</v>
      </c>
      <c r="AI561">
        <v>90.847832398304206</v>
      </c>
      <c r="AJ561">
        <v>92.656368076043407</v>
      </c>
      <c r="AK561">
        <v>78.401144544064607</v>
      </c>
      <c r="AL561">
        <v>78.753477455797807</v>
      </c>
      <c r="AM561">
        <v>95.652135314077995</v>
      </c>
      <c r="AN561">
        <v>1.00000002664411</v>
      </c>
    </row>
    <row r="562" spans="1:40" x14ac:dyDescent="0.25">
      <c r="A562" t="str">
        <f>"20190304155026628"</f>
        <v>20190304155026628</v>
      </c>
      <c r="B562" t="str">
        <f>"1551685826616688"</f>
        <v>1551685826616688</v>
      </c>
      <c r="C562" t="s">
        <v>40</v>
      </c>
      <c r="D562">
        <v>5.6070359999999999</v>
      </c>
      <c r="E562">
        <v>0.51979179999999903</v>
      </c>
      <c r="F562" t="s">
        <v>42</v>
      </c>
      <c r="G562">
        <v>-310.03590000000003</v>
      </c>
      <c r="H562">
        <v>-0.05</v>
      </c>
      <c r="I562">
        <v>370.17610000000002</v>
      </c>
      <c r="J562">
        <v>-381.65260000000001</v>
      </c>
      <c r="K562">
        <v>1.1101049999999999</v>
      </c>
      <c r="L562">
        <v>367.54849999999999</v>
      </c>
      <c r="M562">
        <v>0.99992559999999997</v>
      </c>
      <c r="N562">
        <v>-1.105512E-2</v>
      </c>
      <c r="O562">
        <v>-5.169725E-3</v>
      </c>
      <c r="P562">
        <v>0.97861900000000002</v>
      </c>
      <c r="Q562">
        <v>0.1844934</v>
      </c>
      <c r="R562">
        <v>9.0923599999999993E-2</v>
      </c>
      <c r="S562">
        <v>3.0644529999999999</v>
      </c>
      <c r="T562">
        <v>-4.9496529999999997E-2</v>
      </c>
      <c r="U562">
        <v>0.11206049999999999</v>
      </c>
      <c r="V562">
        <v>-9.5937239999999993E-2</v>
      </c>
      <c r="W562">
        <v>0.19531750000000001</v>
      </c>
      <c r="X562">
        <v>0.97603640000000003</v>
      </c>
      <c r="Y562">
        <v>-4.1700330000000001E-2</v>
      </c>
      <c r="Z562">
        <v>5.935809E-4</v>
      </c>
      <c r="AA562">
        <v>0.99912999999999996</v>
      </c>
      <c r="AB562">
        <v>30</v>
      </c>
      <c r="AC562">
        <v>71.616699999999895</v>
      </c>
      <c r="AD562">
        <v>-1.1601049999999999</v>
      </c>
      <c r="AE562">
        <v>2.6276000000000201</v>
      </c>
      <c r="AF562">
        <v>-2.99704075630261</v>
      </c>
      <c r="AG562">
        <v>-1.1601049999999999</v>
      </c>
      <c r="AH562">
        <v>71.583399736199596</v>
      </c>
      <c r="AI562">
        <v>90.9276611140548</v>
      </c>
      <c r="AJ562">
        <v>92.397449085658295</v>
      </c>
      <c r="AK562">
        <v>71.655503729291496</v>
      </c>
      <c r="AL562">
        <v>78.736727972456407</v>
      </c>
      <c r="AM562">
        <v>95.613723537349202</v>
      </c>
      <c r="AN562">
        <v>0.99999996697501303</v>
      </c>
    </row>
    <row r="563" spans="1:40" x14ac:dyDescent="0.25">
      <c r="A563" t="str">
        <f>"20190304155026638"</f>
        <v>20190304155026638</v>
      </c>
      <c r="B563" t="str">
        <f>"1551685826627129"</f>
        <v>1551685826627129</v>
      </c>
      <c r="C563" t="s">
        <v>40</v>
      </c>
      <c r="D563">
        <v>5.3707399999999996</v>
      </c>
      <c r="E563">
        <v>0.54310609999999904</v>
      </c>
      <c r="F563" t="s">
        <v>42</v>
      </c>
      <c r="G563">
        <v>-308.65800000000002</v>
      </c>
      <c r="H563">
        <v>-0.05</v>
      </c>
      <c r="I563">
        <v>370.17189999999999</v>
      </c>
      <c r="J563">
        <v>-381.49560000000002</v>
      </c>
      <c r="K563">
        <v>1.110107</v>
      </c>
      <c r="L563">
        <v>367.54770000000002</v>
      </c>
      <c r="M563">
        <v>0.99992530000000002</v>
      </c>
      <c r="N563">
        <v>-1.105836E-2</v>
      </c>
      <c r="O563">
        <v>-5.2180239999999999E-3</v>
      </c>
      <c r="P563">
        <v>0.97858520000000004</v>
      </c>
      <c r="Q563">
        <v>0.18481310000000001</v>
      </c>
      <c r="R563">
        <v>9.0638739999999995E-2</v>
      </c>
      <c r="S563">
        <v>3.064514</v>
      </c>
      <c r="T563">
        <v>-4.870439E-2</v>
      </c>
      <c r="U563">
        <v>0.1101379</v>
      </c>
      <c r="V563">
        <v>-9.5698699999999998E-2</v>
      </c>
      <c r="W563">
        <v>0.1956407</v>
      </c>
      <c r="X563">
        <v>0.9759951</v>
      </c>
      <c r="Y563">
        <v>-4.1122209999999999E-2</v>
      </c>
      <c r="Z563">
        <v>5.7934480000000003E-4</v>
      </c>
      <c r="AA563">
        <v>0.99915399999999999</v>
      </c>
      <c r="AB563">
        <v>30</v>
      </c>
      <c r="AC563">
        <v>72.837599999999995</v>
      </c>
      <c r="AD563">
        <v>-1.160107</v>
      </c>
      <c r="AE563">
        <v>2.6241999999999699</v>
      </c>
      <c r="AF563">
        <v>-3.00349489626125</v>
      </c>
      <c r="AG563">
        <v>-1.160107</v>
      </c>
      <c r="AH563">
        <v>72.804469257546998</v>
      </c>
      <c r="AI563">
        <v>90.912129909466699</v>
      </c>
      <c r="AJ563">
        <v>92.362355725642701</v>
      </c>
      <c r="AK563">
        <v>72.875630863248304</v>
      </c>
      <c r="AL563">
        <v>78.717845844737795</v>
      </c>
      <c r="AM563">
        <v>95.600089762342705</v>
      </c>
      <c r="AN563">
        <v>0.99999997995109402</v>
      </c>
    </row>
    <row r="564" spans="1:40" x14ac:dyDescent="0.25">
      <c r="A564" t="str">
        <f>"20190304155026650"</f>
        <v>20190304155026650</v>
      </c>
      <c r="B564" t="str">
        <f>"1551685826647624"</f>
        <v>1551685826647624</v>
      </c>
      <c r="C564" t="s">
        <v>40</v>
      </c>
      <c r="D564">
        <v>4.5662909999999997</v>
      </c>
      <c r="E564">
        <v>0.54641819999999997</v>
      </c>
      <c r="F564" t="s">
        <v>41</v>
      </c>
      <c r="G564">
        <v>-350.11079999999998</v>
      </c>
      <c r="H564" s="1">
        <v>-4.7291969999999997E-6</v>
      </c>
      <c r="I564">
        <v>366.77260000000001</v>
      </c>
      <c r="J564">
        <v>-381.34160000000003</v>
      </c>
      <c r="K564">
        <v>1.110107</v>
      </c>
      <c r="L564">
        <v>367.54680000000002</v>
      </c>
      <c r="M564">
        <v>0.99992499999999995</v>
      </c>
      <c r="N564">
        <v>-1.10615E-2</v>
      </c>
      <c r="O564">
        <v>-5.2656069999999899E-3</v>
      </c>
      <c r="P564">
        <v>0.97852640000000002</v>
      </c>
      <c r="Q564">
        <v>0.18533240000000001</v>
      </c>
      <c r="R564">
        <v>9.0210100000000001E-2</v>
      </c>
      <c r="S564">
        <v>3.093353</v>
      </c>
      <c r="T564">
        <v>-0.1094146</v>
      </c>
      <c r="U564">
        <v>-7.6385499999999995E-2</v>
      </c>
      <c r="V564">
        <v>-9.531626E-2</v>
      </c>
      <c r="W564">
        <v>0.19616159999999999</v>
      </c>
      <c r="X564">
        <v>0.97592800000000002</v>
      </c>
      <c r="Y564">
        <v>1.9406860000000001E-2</v>
      </c>
      <c r="Z564">
        <v>-3.2252559999999998E-4</v>
      </c>
      <c r="AA564">
        <v>0.99981160000000002</v>
      </c>
      <c r="AB564">
        <v>30</v>
      </c>
      <c r="AC564">
        <v>31.230799999999999</v>
      </c>
      <c r="AD564">
        <v>-1.110111729197</v>
      </c>
      <c r="AE564">
        <v>-0.77420000000000699</v>
      </c>
      <c r="AF564">
        <v>0.60896115663705497</v>
      </c>
      <c r="AG564">
        <v>-1.110111729197</v>
      </c>
      <c r="AH564">
        <v>31.195053853128702</v>
      </c>
      <c r="AI564">
        <v>92.037688032652994</v>
      </c>
      <c r="AJ564">
        <v>88.881666518319193</v>
      </c>
      <c r="AK564">
        <v>31.2207393673051</v>
      </c>
      <c r="AL564">
        <v>78.687411117970498</v>
      </c>
      <c r="AM564">
        <v>95.578232664864103</v>
      </c>
      <c r="AN564">
        <v>1.0000000119594701</v>
      </c>
    </row>
    <row r="565" spans="1:40" x14ac:dyDescent="0.25">
      <c r="A565" t="str">
        <f>"20190304155026663"</f>
        <v>20190304155026663</v>
      </c>
      <c r="B565" t="str">
        <f>"1551685826657386"</f>
        <v>1551685826657386</v>
      </c>
      <c r="C565" t="s">
        <v>40</v>
      </c>
      <c r="D565">
        <v>5.3089589999999998</v>
      </c>
      <c r="E565">
        <v>0.55183359999999904</v>
      </c>
      <c r="F565" t="s">
        <v>41</v>
      </c>
      <c r="G565">
        <v>-346.66789999999997</v>
      </c>
      <c r="H565" s="1">
        <v>-2.12948E-6</v>
      </c>
      <c r="I565">
        <v>366.38099999999997</v>
      </c>
      <c r="J565">
        <v>-381.1739</v>
      </c>
      <c r="K565">
        <v>1.1101110000000001</v>
      </c>
      <c r="L565">
        <v>367.54590000000002</v>
      </c>
      <c r="M565">
        <v>0.9999247</v>
      </c>
      <c r="N565">
        <v>-1.1064829999999999E-2</v>
      </c>
      <c r="O565">
        <v>-5.3178359999999899E-3</v>
      </c>
      <c r="P565">
        <v>0.97850440000000005</v>
      </c>
      <c r="Q565">
        <v>0.18561040000000001</v>
      </c>
      <c r="R565">
        <v>8.9877579999999999E-2</v>
      </c>
      <c r="S565">
        <v>3.0942080000000001</v>
      </c>
      <c r="T565">
        <v>-9.9063750000000006E-2</v>
      </c>
      <c r="U565">
        <v>-0.1040344</v>
      </c>
      <c r="V565">
        <v>-9.5034380000000002E-2</v>
      </c>
      <c r="W565">
        <v>0.19644259999999999</v>
      </c>
      <c r="X565">
        <v>0.97589899999999996</v>
      </c>
      <c r="Y565">
        <v>2.826938E-2</v>
      </c>
      <c r="Z565">
        <v>-4.974504E-4</v>
      </c>
      <c r="AA565">
        <v>0.99960020000000005</v>
      </c>
      <c r="AB565">
        <v>30</v>
      </c>
      <c r="AC565">
        <v>34.506</v>
      </c>
      <c r="AD565">
        <v>-1.11011312948</v>
      </c>
      <c r="AE565">
        <v>-1.16490000000004</v>
      </c>
      <c r="AF565">
        <v>0.98036152377596197</v>
      </c>
      <c r="AG565">
        <v>-1.11011312948</v>
      </c>
      <c r="AH565">
        <v>34.476064651404201</v>
      </c>
      <c r="AI565">
        <v>91.843515376642799</v>
      </c>
      <c r="AJ565">
        <v>88.371175896770595</v>
      </c>
      <c r="AK565">
        <v>34.5078613322435</v>
      </c>
      <c r="AL565">
        <v>78.670991896086093</v>
      </c>
      <c r="AM565">
        <v>95.562003914903102</v>
      </c>
      <c r="AN565">
        <v>1.00000004333887</v>
      </c>
    </row>
    <row r="566" spans="1:40" x14ac:dyDescent="0.25">
      <c r="A566" t="str">
        <f>"20190304155026675"</f>
        <v>20190304155026675</v>
      </c>
      <c r="B566" t="str">
        <f>"1551685826667144"</f>
        <v>1551685826667144</v>
      </c>
      <c r="C566" t="s">
        <v>40</v>
      </c>
      <c r="D566">
        <v>4.5911089999999897</v>
      </c>
      <c r="E566">
        <v>0.55183359999999904</v>
      </c>
      <c r="F566" t="s">
        <v>43</v>
      </c>
      <c r="G566">
        <v>-170.08879999999999</v>
      </c>
      <c r="H566">
        <v>7.6266979999999904</v>
      </c>
      <c r="I566">
        <v>357.47730000000001</v>
      </c>
      <c r="J566">
        <v>-380.99939999999998</v>
      </c>
      <c r="K566">
        <v>1.110112</v>
      </c>
      <c r="L566">
        <v>367.54489999999998</v>
      </c>
      <c r="M566">
        <v>0.99992440000000005</v>
      </c>
      <c r="N566">
        <v>-1.1068390000000001E-2</v>
      </c>
      <c r="O566">
        <v>-5.371738E-3</v>
      </c>
      <c r="P566">
        <v>0.97846960000000005</v>
      </c>
      <c r="Q566">
        <v>0.1859632</v>
      </c>
      <c r="R566">
        <v>8.9525859999999999E-2</v>
      </c>
      <c r="S566">
        <v>3.061401</v>
      </c>
      <c r="T566">
        <v>9.451234E-2</v>
      </c>
      <c r="U566">
        <v>-0.14602660000000001</v>
      </c>
      <c r="V566">
        <v>-9.4735719999999995E-2</v>
      </c>
      <c r="W566">
        <v>0.19679840000000001</v>
      </c>
      <c r="X566">
        <v>0.97585630000000001</v>
      </c>
      <c r="Y566">
        <v>4.2270290000000002E-2</v>
      </c>
      <c r="Z566">
        <v>1.927505E-4</v>
      </c>
      <c r="AA566">
        <v>0.99910620000000006</v>
      </c>
      <c r="AB566">
        <v>30</v>
      </c>
      <c r="AC566">
        <v>210.91059999999999</v>
      </c>
      <c r="AD566">
        <v>6.5165859999999904</v>
      </c>
      <c r="AE566">
        <v>-10.067599999999899</v>
      </c>
      <c r="AF566">
        <v>8.9259271842412193</v>
      </c>
      <c r="AG566">
        <v>6.5165859999999904</v>
      </c>
      <c r="AH566">
        <v>210.760895304173</v>
      </c>
      <c r="AI566">
        <v>88.230602088451505</v>
      </c>
      <c r="AJ566">
        <v>87.574917665230799</v>
      </c>
      <c r="AK566">
        <v>211.05045145322501</v>
      </c>
      <c r="AL566">
        <v>78.650199613773296</v>
      </c>
      <c r="AM566">
        <v>95.544874666661499</v>
      </c>
      <c r="AN566">
        <v>0.99999999256808403</v>
      </c>
    </row>
    <row r="567" spans="1:40" x14ac:dyDescent="0.25">
      <c r="A567" t="str">
        <f>"20190304155026687"</f>
        <v>20190304155026687</v>
      </c>
      <c r="B567" t="str">
        <f>"1551685826676904"</f>
        <v>1551685826676904</v>
      </c>
      <c r="C567" t="s">
        <v>40</v>
      </c>
      <c r="D567">
        <v>5.2936350000000001</v>
      </c>
      <c r="E567">
        <v>0.54959230000000003</v>
      </c>
      <c r="F567" t="s">
        <v>43</v>
      </c>
      <c r="G567">
        <v>-170.08879999999999</v>
      </c>
      <c r="H567">
        <v>7.6848839999999896</v>
      </c>
      <c r="I567">
        <v>357.40870000000001</v>
      </c>
      <c r="J567">
        <v>-380.83659999999998</v>
      </c>
      <c r="K567">
        <v>1.110115</v>
      </c>
      <c r="L567">
        <v>367.54399999999998</v>
      </c>
      <c r="M567">
        <v>0.99992409999999998</v>
      </c>
      <c r="N567">
        <v>-1.107174E-2</v>
      </c>
      <c r="O567">
        <v>-5.4215879999999998E-3</v>
      </c>
      <c r="P567">
        <v>0.97847729999999999</v>
      </c>
      <c r="Q567">
        <v>0.18604589999999999</v>
      </c>
      <c r="R567">
        <v>8.9270420000000003E-2</v>
      </c>
      <c r="S567">
        <v>3.0613100000000002</v>
      </c>
      <c r="T567">
        <v>9.5432279999999994E-2</v>
      </c>
      <c r="U567">
        <v>-0.14712520000000001</v>
      </c>
      <c r="V567">
        <v>-9.4528360000000006E-2</v>
      </c>
      <c r="W567">
        <v>0.19688439999999999</v>
      </c>
      <c r="X567">
        <v>0.97585900000000003</v>
      </c>
      <c r="Y567">
        <v>4.2579329999999999E-2</v>
      </c>
      <c r="Z567">
        <v>1.9839759999999999E-4</v>
      </c>
      <c r="AA567">
        <v>0.99909309999999996</v>
      </c>
      <c r="AB567">
        <v>30</v>
      </c>
      <c r="AC567">
        <v>210.74780000000001</v>
      </c>
      <c r="AD567">
        <v>6.5747689999999999</v>
      </c>
      <c r="AE567">
        <v>-10.135300000000001</v>
      </c>
      <c r="AF567">
        <v>8.9837698584409598</v>
      </c>
      <c r="AG567">
        <v>6.5747689999999999</v>
      </c>
      <c r="AH567">
        <v>210.595161335592</v>
      </c>
      <c r="AI567">
        <v>88.213433625696396</v>
      </c>
      <c r="AJ567">
        <v>87.557302836245697</v>
      </c>
      <c r="AK567">
        <v>210.889207135493</v>
      </c>
      <c r="AL567">
        <v>78.645173162168902</v>
      </c>
      <c r="AM567">
        <v>95.532798079131297</v>
      </c>
      <c r="AN567">
        <v>0.99999993284432198</v>
      </c>
    </row>
    <row r="568" spans="1:40" x14ac:dyDescent="0.25">
      <c r="A568" t="str">
        <f>"20190304155026699"</f>
        <v>20190304155026699</v>
      </c>
      <c r="B568" t="str">
        <f>"1551685826687640"</f>
        <v>1551685826687640</v>
      </c>
      <c r="C568" t="s">
        <v>40</v>
      </c>
      <c r="D568">
        <v>5.5234209999999999</v>
      </c>
      <c r="E568">
        <v>0.54803959999999996</v>
      </c>
      <c r="F568" t="s">
        <v>43</v>
      </c>
      <c r="G568">
        <v>-169.6268</v>
      </c>
      <c r="H568">
        <v>6.6740880000000002</v>
      </c>
      <c r="I568">
        <v>358.57580000000002</v>
      </c>
      <c r="J568">
        <v>-380.67899999999997</v>
      </c>
      <c r="K568">
        <v>1.110117</v>
      </c>
      <c r="L568">
        <v>367.54309999999998</v>
      </c>
      <c r="M568">
        <v>0.99992380000000003</v>
      </c>
      <c r="N568">
        <v>-1.107474E-2</v>
      </c>
      <c r="O568">
        <v>-5.4704790000000003E-3</v>
      </c>
      <c r="P568">
        <v>0.97848219999999997</v>
      </c>
      <c r="Q568">
        <v>0.18621570000000001</v>
      </c>
      <c r="R568">
        <v>8.8863129999999999E-2</v>
      </c>
      <c r="S568">
        <v>3.0624690000000001</v>
      </c>
      <c r="T568">
        <v>8.0676910000000004E-2</v>
      </c>
      <c r="U568">
        <v>-0.1300354</v>
      </c>
      <c r="V568">
        <v>-9.4169069999999994E-2</v>
      </c>
      <c r="W568">
        <v>0.19705690000000001</v>
      </c>
      <c r="X568">
        <v>0.97585900000000003</v>
      </c>
      <c r="Y568">
        <v>3.695263E-2</v>
      </c>
      <c r="Z568" s="1">
        <v>7.7128640000000002E-5</v>
      </c>
      <c r="AA568">
        <v>0.99931700000000001</v>
      </c>
      <c r="AB568">
        <v>30</v>
      </c>
      <c r="AC568">
        <v>211.0522</v>
      </c>
      <c r="AD568">
        <v>5.5639710000000004</v>
      </c>
      <c r="AE568">
        <v>-8.9672999999999607</v>
      </c>
      <c r="AF568">
        <v>7.8071222351562799</v>
      </c>
      <c r="AG568">
        <v>5.5639710000000004</v>
      </c>
      <c r="AH568">
        <v>210.951751028084</v>
      </c>
      <c r="AI568">
        <v>88.4901750476064</v>
      </c>
      <c r="AJ568">
        <v>87.880505399409202</v>
      </c>
      <c r="AK568">
        <v>211.16948215283901</v>
      </c>
      <c r="AL568">
        <v>78.635093054693002</v>
      </c>
      <c r="AM568">
        <v>95.511898383944498</v>
      </c>
      <c r="AN568">
        <v>1.0000000117316299</v>
      </c>
    </row>
    <row r="569" spans="1:40" x14ac:dyDescent="0.25">
      <c r="A569" t="str">
        <f>"20190304155026717"</f>
        <v>20190304155026717</v>
      </c>
      <c r="B569" t="str">
        <f>"1551685826707159"</f>
        <v>1551685826707159</v>
      </c>
      <c r="C569" t="s">
        <v>40</v>
      </c>
      <c r="D569">
        <v>5.3224539999999996</v>
      </c>
      <c r="E569">
        <v>0.54579279999999997</v>
      </c>
      <c r="F569" t="s">
        <v>43</v>
      </c>
      <c r="G569">
        <v>-158.19499999999999</v>
      </c>
      <c r="H569">
        <v>6.2833310000000004</v>
      </c>
      <c r="I569">
        <v>358.90960000000001</v>
      </c>
      <c r="J569">
        <v>-380.43259999999998</v>
      </c>
      <c r="K569">
        <v>1.1101190000000001</v>
      </c>
      <c r="L569">
        <v>367.54160000000002</v>
      </c>
      <c r="M569">
        <v>0.99992329999999996</v>
      </c>
      <c r="N569">
        <v>-1.107927E-2</v>
      </c>
      <c r="O569">
        <v>-5.5467969999999896E-3</v>
      </c>
      <c r="P569">
        <v>0.97834259999999995</v>
      </c>
      <c r="Q569">
        <v>0.18695510000000001</v>
      </c>
      <c r="R569">
        <v>8.8846789999999995E-2</v>
      </c>
      <c r="S569">
        <v>3.0631710000000001</v>
      </c>
      <c r="T569">
        <v>7.1226239999999996E-2</v>
      </c>
      <c r="U569">
        <v>-0.118866</v>
      </c>
      <c r="V569">
        <v>-9.422635E-2</v>
      </c>
      <c r="W569">
        <v>0.19779920000000001</v>
      </c>
      <c r="X569">
        <v>0.97570330000000005</v>
      </c>
      <c r="Y569">
        <v>3.3230699999999898E-2</v>
      </c>
      <c r="Z569" s="1">
        <v>1.16466E-5</v>
      </c>
      <c r="AA569">
        <v>0.99944770000000005</v>
      </c>
      <c r="AB569">
        <v>30</v>
      </c>
      <c r="AC569">
        <v>222.23759999999999</v>
      </c>
      <c r="AD569">
        <v>5.1732120000000004</v>
      </c>
      <c r="AE569">
        <v>-8.6319999999999997</v>
      </c>
      <c r="AF569">
        <v>7.3950837019521796</v>
      </c>
      <c r="AG569">
        <v>5.1732120000000004</v>
      </c>
      <c r="AH569">
        <v>222.16186481250199</v>
      </c>
      <c r="AI569">
        <v>88.666802359776895</v>
      </c>
      <c r="AJ569">
        <v>88.093504041466204</v>
      </c>
      <c r="AK569">
        <v>222.34510015362201</v>
      </c>
      <c r="AL569">
        <v>78.591708675450803</v>
      </c>
      <c r="AM569">
        <v>95.516105104963898</v>
      </c>
      <c r="AN569">
        <v>1.0000000290929201</v>
      </c>
    </row>
    <row r="570" spans="1:40" x14ac:dyDescent="0.25">
      <c r="A570" t="str">
        <f>"20190304155026732"</f>
        <v>20190304155026732</v>
      </c>
      <c r="B570" t="str">
        <f>"1551685826727187"</f>
        <v>1551685826727187</v>
      </c>
      <c r="C570" t="s">
        <v>40</v>
      </c>
      <c r="D570">
        <v>5.1986559999999997</v>
      </c>
      <c r="E570">
        <v>0.54731580000000002</v>
      </c>
      <c r="F570" t="s">
        <v>43</v>
      </c>
      <c r="G570">
        <v>-158.19499999999999</v>
      </c>
      <c r="H570">
        <v>4.5073970000000001</v>
      </c>
      <c r="I570">
        <v>360.21899999999999</v>
      </c>
      <c r="J570">
        <v>-380.23779999999999</v>
      </c>
      <c r="K570">
        <v>1.110117</v>
      </c>
      <c r="L570">
        <v>367.54050000000001</v>
      </c>
      <c r="M570">
        <v>0.99992309999999995</v>
      </c>
      <c r="N570">
        <v>-1.1082710000000001E-2</v>
      </c>
      <c r="O570">
        <v>-5.6071350000000001E-3</v>
      </c>
      <c r="P570">
        <v>0.97824759999999999</v>
      </c>
      <c r="Q570">
        <v>0.1875425</v>
      </c>
      <c r="R570">
        <v>8.8654650000000002E-2</v>
      </c>
      <c r="S570">
        <v>3.0666199999999999</v>
      </c>
      <c r="T570">
        <v>4.6879650000000002E-2</v>
      </c>
      <c r="U570">
        <v>-0.1010437</v>
      </c>
      <c r="V570">
        <v>-9.4093019999999999E-2</v>
      </c>
      <c r="W570">
        <v>0.1983886</v>
      </c>
      <c r="X570">
        <v>0.97559649999999998</v>
      </c>
      <c r="Y570">
        <v>2.7327790000000001E-2</v>
      </c>
      <c r="Z570" s="1">
        <v>-9.0477839999999999E-5</v>
      </c>
      <c r="AA570">
        <v>0.99962649999999997</v>
      </c>
      <c r="AB570">
        <v>30</v>
      </c>
      <c r="AC570">
        <v>222.0428</v>
      </c>
      <c r="AD570">
        <v>3.3972799999999999</v>
      </c>
      <c r="AE570">
        <v>-7.3215000000000101</v>
      </c>
      <c r="AF570">
        <v>6.0748642203366998</v>
      </c>
      <c r="AG570">
        <v>3.3972799999999999</v>
      </c>
      <c r="AH570">
        <v>222.028445227291</v>
      </c>
      <c r="AI570">
        <v>89.123707700965099</v>
      </c>
      <c r="AJ570">
        <v>88.432735657961601</v>
      </c>
      <c r="AK570">
        <v>222.137515914674</v>
      </c>
      <c r="AL570">
        <v>78.557255825068793</v>
      </c>
      <c r="AM570">
        <v>95.508947169856498</v>
      </c>
      <c r="AN570">
        <v>1.00000003191746</v>
      </c>
    </row>
    <row r="571" spans="1:40" x14ac:dyDescent="0.25">
      <c r="A571" t="str">
        <f>"20190304155026743"</f>
        <v>20190304155026743</v>
      </c>
      <c r="B571" t="str">
        <f>"1551685826736948"</f>
        <v>1551685826736948</v>
      </c>
      <c r="C571" t="s">
        <v>40</v>
      </c>
      <c r="D571">
        <v>5.1994870000000004</v>
      </c>
      <c r="E571">
        <v>0.54739510000000002</v>
      </c>
      <c r="F571" t="s">
        <v>43</v>
      </c>
      <c r="G571">
        <v>-158.19499999999999</v>
      </c>
      <c r="H571">
        <v>3.7161900000000001</v>
      </c>
      <c r="I571">
        <v>359.28800000000001</v>
      </c>
      <c r="J571">
        <v>-380.07319999999999</v>
      </c>
      <c r="K571">
        <v>1.1101219999999901</v>
      </c>
      <c r="L571">
        <v>367.53949999999998</v>
      </c>
      <c r="M571">
        <v>0.9999228</v>
      </c>
      <c r="N571">
        <v>-1.108552E-2</v>
      </c>
      <c r="O571">
        <v>-5.6580519999999898E-3</v>
      </c>
      <c r="P571">
        <v>0.9781533</v>
      </c>
      <c r="Q571">
        <v>0.1879651</v>
      </c>
      <c r="R571">
        <v>8.8801539999999998E-2</v>
      </c>
      <c r="S571">
        <v>3.0701290000000001</v>
      </c>
      <c r="T571">
        <v>3.6034700000000003E-2</v>
      </c>
      <c r="U571">
        <v>-0.1141052</v>
      </c>
      <c r="V571">
        <v>-9.4288979999999994E-2</v>
      </c>
      <c r="W571">
        <v>0.19881289999999999</v>
      </c>
      <c r="X571">
        <v>0.9754912</v>
      </c>
      <c r="Y571">
        <v>3.1486880000000002E-2</v>
      </c>
      <c r="Z571">
        <v>-1.189593E-4</v>
      </c>
      <c r="AA571">
        <v>0.99950410000000001</v>
      </c>
      <c r="AB571">
        <v>30</v>
      </c>
      <c r="AC571">
        <v>221.87819999999999</v>
      </c>
      <c r="AD571">
        <v>2.6060680000000001</v>
      </c>
      <c r="AE571">
        <v>-8.2514999999999592</v>
      </c>
      <c r="AF571">
        <v>6.9949290211613597</v>
      </c>
      <c r="AG571">
        <v>2.6060680000000001</v>
      </c>
      <c r="AH571">
        <v>221.890769256119</v>
      </c>
      <c r="AI571">
        <v>89.327436175804493</v>
      </c>
      <c r="AJ571">
        <v>88.194394342572494</v>
      </c>
      <c r="AK571">
        <v>222.01629242806499</v>
      </c>
      <c r="AL571">
        <v>78.532451119397095</v>
      </c>
      <c r="AM571">
        <v>95.520941630934601</v>
      </c>
      <c r="AN571">
        <v>1.0000000311166399</v>
      </c>
    </row>
    <row r="572" spans="1:40" x14ac:dyDescent="0.25">
      <c r="A572" t="str">
        <f>"20190304155026762"</f>
        <v>20190304155026762</v>
      </c>
      <c r="B572" t="str">
        <f>"1551685826757444"</f>
        <v>1551685826757444</v>
      </c>
      <c r="C572" t="s">
        <v>40</v>
      </c>
      <c r="D572">
        <v>4.3237389999999998</v>
      </c>
      <c r="E572">
        <v>0.54712469999999902</v>
      </c>
      <c r="F572" t="s">
        <v>43</v>
      </c>
      <c r="G572">
        <v>-158.19499999999999</v>
      </c>
      <c r="H572">
        <v>3.4950770000000002</v>
      </c>
      <c r="I572">
        <v>359.28680000000003</v>
      </c>
      <c r="J572">
        <v>-379.83390000000003</v>
      </c>
      <c r="K572">
        <v>1.110142</v>
      </c>
      <c r="L572">
        <v>367.53809999999999</v>
      </c>
      <c r="M572">
        <v>0.99992219999999998</v>
      </c>
      <c r="N572">
        <v>-1.109161E-2</v>
      </c>
      <c r="O572">
        <v>-5.7323499999999998E-3</v>
      </c>
      <c r="P572">
        <v>0.97791510000000004</v>
      </c>
      <c r="Q572">
        <v>0.18913089999999999</v>
      </c>
      <c r="R572">
        <v>8.8948299999999994E-2</v>
      </c>
      <c r="S572">
        <v>3.0710449999999998</v>
      </c>
      <c r="T572">
        <v>3.301167E-2</v>
      </c>
      <c r="U572">
        <v>-0.1142273</v>
      </c>
      <c r="V572">
        <v>-9.4506489999999999E-2</v>
      </c>
      <c r="W572">
        <v>0.1999824</v>
      </c>
      <c r="X572">
        <v>0.97523099999999996</v>
      </c>
      <c r="Y572">
        <v>3.1441289999999997E-2</v>
      </c>
      <c r="Z572">
        <v>-1.3066280000000001E-4</v>
      </c>
      <c r="AA572">
        <v>0.99950559999999999</v>
      </c>
      <c r="AB572">
        <v>30</v>
      </c>
      <c r="AC572">
        <v>221.63890000000001</v>
      </c>
      <c r="AD572">
        <v>2.384935</v>
      </c>
      <c r="AE572">
        <v>-8.2512999999999508</v>
      </c>
      <c r="AF572">
        <v>6.979767640635</v>
      </c>
      <c r="AG572">
        <v>2.384935</v>
      </c>
      <c r="AH572">
        <v>221.656930709151</v>
      </c>
      <c r="AI572">
        <v>89.383850763733506</v>
      </c>
      <c r="AJ572">
        <v>88.196405921785896</v>
      </c>
      <c r="AK572">
        <v>221.77962035018601</v>
      </c>
      <c r="AL572">
        <v>78.464069816131797</v>
      </c>
      <c r="AM572">
        <v>95.535065868455803</v>
      </c>
      <c r="AN572">
        <v>0.99999997016143904</v>
      </c>
    </row>
    <row r="573" spans="1:40" x14ac:dyDescent="0.25">
      <c r="A573" t="str">
        <f>"20190304155026774"</f>
        <v>20190304155026774</v>
      </c>
      <c r="B573" t="str">
        <f>"1551685826767203"</f>
        <v>1551685826767203</v>
      </c>
      <c r="C573" t="s">
        <v>40</v>
      </c>
      <c r="D573">
        <v>5.2692240000000004</v>
      </c>
      <c r="E573">
        <v>0.54740819999999901</v>
      </c>
      <c r="F573" t="s">
        <v>43</v>
      </c>
      <c r="G573">
        <v>-158.19499999999999</v>
      </c>
      <c r="H573">
        <v>6.0343249999999999</v>
      </c>
      <c r="I573">
        <v>359.47590000000002</v>
      </c>
      <c r="J573">
        <v>-379.67430000000002</v>
      </c>
      <c r="K573">
        <v>1.1101449999999999</v>
      </c>
      <c r="L573">
        <v>367.53710000000001</v>
      </c>
      <c r="M573">
        <v>0.99992170000000002</v>
      </c>
      <c r="N573">
        <v>-1.109686E-2</v>
      </c>
      <c r="O573">
        <v>-5.7818490000000004E-3</v>
      </c>
      <c r="P573">
        <v>0.97782369999999996</v>
      </c>
      <c r="Q573">
        <v>0.18948319999999999</v>
      </c>
      <c r="R573">
        <v>8.9201959999999997E-2</v>
      </c>
      <c r="S573">
        <v>3.0647280000000001</v>
      </c>
      <c r="T573">
        <v>6.8090680000000001E-2</v>
      </c>
      <c r="U573">
        <v>-0.1114807</v>
      </c>
      <c r="V573">
        <v>-9.4808229999999993E-2</v>
      </c>
      <c r="W573">
        <v>0.2003385</v>
      </c>
      <c r="X573">
        <v>0.97512869999999996</v>
      </c>
      <c r="Y573">
        <v>3.057182E-2</v>
      </c>
      <c r="Z573" s="1">
        <v>-2.276374E-5</v>
      </c>
      <c r="AA573">
        <v>0.99953259999999999</v>
      </c>
      <c r="AB573">
        <v>30</v>
      </c>
      <c r="AC573">
        <v>221.47929999999999</v>
      </c>
      <c r="AD573">
        <v>4.9241799999999998</v>
      </c>
      <c r="AE573">
        <v>-8.0611999999999799</v>
      </c>
      <c r="AF573">
        <v>6.7770809407004498</v>
      </c>
      <c r="AG573">
        <v>4.9241799999999998</v>
      </c>
      <c r="AH573">
        <v>221.412906662892</v>
      </c>
      <c r="AI573">
        <v>88.726559212917607</v>
      </c>
      <c r="AJ573">
        <v>88.246818816373207</v>
      </c>
      <c r="AK573">
        <v>221.571323983181</v>
      </c>
      <c r="AL573">
        <v>78.443246282249206</v>
      </c>
      <c r="AM573">
        <v>95.553206819654704</v>
      </c>
      <c r="AN573">
        <v>1.00000004831083</v>
      </c>
    </row>
    <row r="574" spans="1:40" x14ac:dyDescent="0.25">
      <c r="A574" t="str">
        <f>"20190304155026785"</f>
        <v>20190304155026785</v>
      </c>
      <c r="B574" t="str">
        <f>"1551685826776963"</f>
        <v>1551685826776963</v>
      </c>
      <c r="C574" t="s">
        <v>40</v>
      </c>
      <c r="D574">
        <v>5.3971109999999998</v>
      </c>
      <c r="E574">
        <v>0.54616299999999995</v>
      </c>
      <c r="F574" t="s">
        <v>43</v>
      </c>
      <c r="G574">
        <v>-170.08879999999999</v>
      </c>
      <c r="H574">
        <v>6.7191749999999999</v>
      </c>
      <c r="I574">
        <v>359.79910000000001</v>
      </c>
      <c r="J574">
        <v>-379.5027</v>
      </c>
      <c r="K574">
        <v>1.1101449999999999</v>
      </c>
      <c r="L574">
        <v>367.53609999999998</v>
      </c>
      <c r="M574">
        <v>0.99992139999999996</v>
      </c>
      <c r="N574">
        <v>-1.1103450000000001E-2</v>
      </c>
      <c r="O574">
        <v>-5.8351719999999996E-3</v>
      </c>
      <c r="P574">
        <v>0.97781090000000004</v>
      </c>
      <c r="Q574">
        <v>0.1894343</v>
      </c>
      <c r="R574">
        <v>8.9446129999999999E-2</v>
      </c>
      <c r="S574">
        <v>3.0624690000000001</v>
      </c>
      <c r="T574">
        <v>8.1960560000000002E-2</v>
      </c>
      <c r="U574">
        <v>-0.1130676</v>
      </c>
      <c r="V574">
        <v>-9.5104330000000001E-2</v>
      </c>
      <c r="W574">
        <v>0.2002959</v>
      </c>
      <c r="X574">
        <v>0.97510859999999999</v>
      </c>
      <c r="Y574">
        <v>3.1060770000000001E-2</v>
      </c>
      <c r="Z574" s="1">
        <v>2.2063090000000002E-5</v>
      </c>
      <c r="AA574">
        <v>0.99951749999999995</v>
      </c>
      <c r="AB574">
        <v>30</v>
      </c>
      <c r="AC574">
        <v>209.41390000000001</v>
      </c>
      <c r="AD574">
        <v>5.6090299999999997</v>
      </c>
      <c r="AE574">
        <v>-7.7369999999999601</v>
      </c>
      <c r="AF574">
        <v>6.5101628331415098</v>
      </c>
      <c r="AG574">
        <v>5.6090299999999997</v>
      </c>
      <c r="AH574">
        <v>209.30553165528599</v>
      </c>
      <c r="AI574">
        <v>88.465680217490998</v>
      </c>
      <c r="AJ574">
        <v>88.218467352556402</v>
      </c>
      <c r="AK574">
        <v>209.481858448785</v>
      </c>
      <c r="AL574">
        <v>78.445737380882093</v>
      </c>
      <c r="AM574">
        <v>95.570555485280394</v>
      </c>
      <c r="AN574">
        <v>1.00000003146775</v>
      </c>
    </row>
    <row r="575" spans="1:40" x14ac:dyDescent="0.25">
      <c r="A575" t="str">
        <f>"20190304155026799"</f>
        <v>20190304155026799</v>
      </c>
      <c r="B575" t="str">
        <f>"1551685826786724"</f>
        <v>1551685826786724</v>
      </c>
      <c r="C575" t="s">
        <v>40</v>
      </c>
      <c r="D575">
        <v>5.2033800000000001</v>
      </c>
      <c r="E575">
        <v>0.54632349999999996</v>
      </c>
      <c r="F575" t="s">
        <v>43</v>
      </c>
      <c r="G575">
        <v>-158.19499999999999</v>
      </c>
      <c r="H575">
        <v>6.6516719999999996</v>
      </c>
      <c r="I575">
        <v>360.16390000000001</v>
      </c>
      <c r="J575">
        <v>-379.32470000000001</v>
      </c>
      <c r="K575">
        <v>1.1101490000000001</v>
      </c>
      <c r="L575">
        <v>367.53500000000003</v>
      </c>
      <c r="M575">
        <v>0.99992099999999995</v>
      </c>
      <c r="N575">
        <v>-1.111121E-2</v>
      </c>
      <c r="O575">
        <v>-5.8899340000000003E-3</v>
      </c>
      <c r="P575">
        <v>0.97788989999999998</v>
      </c>
      <c r="Q575">
        <v>0.18888160000000001</v>
      </c>
      <c r="R575">
        <v>8.9750679999999999E-2</v>
      </c>
      <c r="S575">
        <v>3.0625610000000001</v>
      </c>
      <c r="T575">
        <v>7.6687459999999999E-2</v>
      </c>
      <c r="U575">
        <v>-0.10202029999999999</v>
      </c>
      <c r="V575">
        <v>-9.5462489999999997E-2</v>
      </c>
      <c r="W575">
        <v>0.1997517</v>
      </c>
      <c r="X575">
        <v>0.97518519999999997</v>
      </c>
      <c r="Y575">
        <v>2.740507E-2</v>
      </c>
      <c r="Z575" s="1">
        <v>-2.2177820000000001E-5</v>
      </c>
      <c r="AA575">
        <v>0.99962439999999997</v>
      </c>
      <c r="AB575">
        <v>30</v>
      </c>
      <c r="AC575">
        <v>221.12970000000001</v>
      </c>
      <c r="AD575">
        <v>5.5415229999999998</v>
      </c>
      <c r="AE575">
        <v>-7.37110000000001</v>
      </c>
      <c r="AF575">
        <v>6.0646480726273699</v>
      </c>
      <c r="AG575">
        <v>5.5415229999999998</v>
      </c>
      <c r="AH575">
        <v>221.03062722073199</v>
      </c>
      <c r="AI575">
        <v>88.564361825841502</v>
      </c>
      <c r="AJ575">
        <v>88.428310215768605</v>
      </c>
      <c r="AK575">
        <v>221.18324213871799</v>
      </c>
      <c r="AL575">
        <v>78.477560512711193</v>
      </c>
      <c r="AM575">
        <v>95.590964917549996</v>
      </c>
      <c r="AN575">
        <v>1.0000000014744601</v>
      </c>
    </row>
    <row r="576" spans="1:40" x14ac:dyDescent="0.25">
      <c r="A576" t="str">
        <f>"20190304155026814"</f>
        <v>20190304155026814</v>
      </c>
      <c r="B576" t="str">
        <f>"1551685826807219"</f>
        <v>1551685826807219</v>
      </c>
      <c r="C576" t="s">
        <v>40</v>
      </c>
      <c r="D576">
        <v>5.3010830000000002</v>
      </c>
      <c r="E576">
        <v>0.54392940000000001</v>
      </c>
      <c r="F576" t="s">
        <v>43</v>
      </c>
      <c r="G576">
        <v>-158.19499999999999</v>
      </c>
      <c r="H576">
        <v>6.1198360000000003</v>
      </c>
      <c r="I576">
        <v>360.13869999999997</v>
      </c>
      <c r="J576">
        <v>-379.12430000000001</v>
      </c>
      <c r="K576">
        <v>1.11015</v>
      </c>
      <c r="L576">
        <v>367.53379999999999</v>
      </c>
      <c r="M576">
        <v>0.99992049999999999</v>
      </c>
      <c r="N576">
        <v>-1.112024E-2</v>
      </c>
      <c r="O576">
        <v>-5.9517379999999998E-3</v>
      </c>
      <c r="P576">
        <v>0.97766759999999997</v>
      </c>
      <c r="Q576">
        <v>0.19000120000000001</v>
      </c>
      <c r="R576">
        <v>8.9809620000000007E-2</v>
      </c>
      <c r="S576">
        <v>3.063812</v>
      </c>
      <c r="T576">
        <v>6.9411749999999994E-2</v>
      </c>
      <c r="U576">
        <v>-0.102478</v>
      </c>
      <c r="V576">
        <v>-9.5580449999999997E-2</v>
      </c>
      <c r="W576">
        <v>0.20087759999999999</v>
      </c>
      <c r="X576">
        <v>0.97494230000000004</v>
      </c>
      <c r="Y576">
        <v>2.747962E-2</v>
      </c>
      <c r="Z576" s="1">
        <v>-4.2631469999999998E-5</v>
      </c>
      <c r="AA576">
        <v>0.99962229999999996</v>
      </c>
      <c r="AB576">
        <v>30</v>
      </c>
      <c r="AC576">
        <v>220.92930000000001</v>
      </c>
      <c r="AD576">
        <v>5.0096860000000003</v>
      </c>
      <c r="AE576">
        <v>-7.39510000000001</v>
      </c>
      <c r="AF576">
        <v>6.0768533500081698</v>
      </c>
      <c r="AG576">
        <v>5.0096860000000003</v>
      </c>
      <c r="AH576">
        <v>220.855970468127</v>
      </c>
      <c r="AI576">
        <v>88.701071494184404</v>
      </c>
      <c r="AJ576">
        <v>88.423903944584694</v>
      </c>
      <c r="AK576">
        <v>220.99634565276</v>
      </c>
      <c r="AL576">
        <v>78.411716160059001</v>
      </c>
      <c r="AM576">
        <v>95.599215442857599</v>
      </c>
      <c r="AN576">
        <v>0.99999996046662498</v>
      </c>
    </row>
    <row r="577" spans="1:40" x14ac:dyDescent="0.25">
      <c r="A577" t="str">
        <f>"20190304155026830"</f>
        <v>20190304155026830</v>
      </c>
      <c r="B577" t="str">
        <f>"1551685826827245"</f>
        <v>1551685826827245</v>
      </c>
      <c r="C577" t="s">
        <v>40</v>
      </c>
      <c r="D577">
        <v>5.3857089999999896</v>
      </c>
      <c r="E577">
        <v>0.54455880000000001</v>
      </c>
      <c r="F577" t="s">
        <v>43</v>
      </c>
      <c r="G577">
        <v>-164.9222</v>
      </c>
      <c r="H577">
        <v>6.6740890000000004</v>
      </c>
      <c r="I577">
        <v>361.77980000000002</v>
      </c>
      <c r="J577">
        <v>-378.8997</v>
      </c>
      <c r="K577">
        <v>1.1101650000000001</v>
      </c>
      <c r="L577">
        <v>367.53230000000002</v>
      </c>
      <c r="M577">
        <v>0.99991989999999997</v>
      </c>
      <c r="N577">
        <v>-1.1130630000000001E-2</v>
      </c>
      <c r="O577">
        <v>-6.0208179999999998E-3</v>
      </c>
      <c r="P577">
        <v>0.97678050000000005</v>
      </c>
      <c r="Q577">
        <v>0.19470270000000001</v>
      </c>
      <c r="R577">
        <v>8.9390520000000001E-2</v>
      </c>
      <c r="S577">
        <v>3.0606080000000002</v>
      </c>
      <c r="T577">
        <v>7.950103E-2</v>
      </c>
      <c r="U577">
        <v>-8.221436E-2</v>
      </c>
      <c r="V577">
        <v>-9.5222370000000001E-2</v>
      </c>
      <c r="W577">
        <v>0.20557909999999999</v>
      </c>
      <c r="X577">
        <v>0.97399690000000005</v>
      </c>
      <c r="Y577">
        <v>2.0833040000000001E-2</v>
      </c>
      <c r="Z577" s="1">
        <v>-6.8824239999999993E-5</v>
      </c>
      <c r="AA577">
        <v>0.99978299999999998</v>
      </c>
      <c r="AB577">
        <v>30</v>
      </c>
      <c r="AC577">
        <v>213.97749999999999</v>
      </c>
      <c r="AD577">
        <v>5.5639240000000001</v>
      </c>
      <c r="AE577">
        <v>-5.7524999999999897</v>
      </c>
      <c r="AF577">
        <v>4.4609822934737497</v>
      </c>
      <c r="AG577">
        <v>5.5639240000000001</v>
      </c>
      <c r="AH577">
        <v>213.86376408799501</v>
      </c>
      <c r="AI577">
        <v>88.510041254017196</v>
      </c>
      <c r="AJ577">
        <v>88.805041148440097</v>
      </c>
      <c r="AK577">
        <v>213.98263294759701</v>
      </c>
      <c r="AL577">
        <v>78.136599058910804</v>
      </c>
      <c r="AM577">
        <v>95.583751637260704</v>
      </c>
      <c r="AN577">
        <v>1.0000000136574101</v>
      </c>
    </row>
    <row r="578" spans="1:40" x14ac:dyDescent="0.25">
      <c r="A578" t="str">
        <f>"20190304155026851"</f>
        <v>20190304155026851</v>
      </c>
      <c r="B578" t="str">
        <f>"1551685826846768"</f>
        <v>1551685826846768</v>
      </c>
      <c r="C578" t="s">
        <v>40</v>
      </c>
      <c r="D578">
        <v>4.4966540000000004</v>
      </c>
      <c r="E578">
        <v>0.54207869999999903</v>
      </c>
      <c r="F578" t="s">
        <v>43</v>
      </c>
      <c r="G578">
        <v>-170.08879999999999</v>
      </c>
      <c r="H578">
        <v>7.6275050000000002</v>
      </c>
      <c r="I578">
        <v>361.62270000000001</v>
      </c>
      <c r="J578">
        <v>-378.61430000000001</v>
      </c>
      <c r="K578">
        <v>1.110169</v>
      </c>
      <c r="L578">
        <v>367.53050000000002</v>
      </c>
      <c r="M578">
        <v>0.99991929999999996</v>
      </c>
      <c r="N578">
        <v>-1.1143729999999999E-2</v>
      </c>
      <c r="O578">
        <v>-6.1087479999999998E-3</v>
      </c>
      <c r="P578">
        <v>0.97596930000000004</v>
      </c>
      <c r="Q578">
        <v>0.19927010000000001</v>
      </c>
      <c r="R578">
        <v>8.8176959999999999E-2</v>
      </c>
      <c r="S578">
        <v>3.0602109999999998</v>
      </c>
      <c r="T578">
        <v>9.5515610000000001E-2</v>
      </c>
      <c r="U578">
        <v>-8.6608889999999994E-2</v>
      </c>
      <c r="V578">
        <v>-9.4088500000000005E-2</v>
      </c>
      <c r="W578">
        <v>0.21014949999999999</v>
      </c>
      <c r="X578">
        <v>0.97313130000000003</v>
      </c>
      <c r="Y578">
        <v>2.2181610000000001E-2</v>
      </c>
      <c r="Z578" s="1">
        <v>-3.6246260000000003E-5</v>
      </c>
      <c r="AA578">
        <v>0.99975400000000003</v>
      </c>
      <c r="AB578">
        <v>31</v>
      </c>
      <c r="AC578">
        <v>208.52549999999999</v>
      </c>
      <c r="AD578">
        <v>6.5173360000000002</v>
      </c>
      <c r="AE578">
        <v>-5.9077999999999999</v>
      </c>
      <c r="AF578">
        <v>4.6292625845546898</v>
      </c>
      <c r="AG578">
        <v>6.5173360000000002</v>
      </c>
      <c r="AH578">
        <v>208.35433534196699</v>
      </c>
      <c r="AI578">
        <v>88.208810560079499</v>
      </c>
      <c r="AJ578">
        <v>88.727199143147004</v>
      </c>
      <c r="AK578">
        <v>208.50763726157899</v>
      </c>
      <c r="AL578">
        <v>77.868886441344799</v>
      </c>
      <c r="AM578">
        <v>95.522552958022899</v>
      </c>
      <c r="AN578">
        <v>0.99999999261109496</v>
      </c>
    </row>
    <row r="579" spans="1:40" x14ac:dyDescent="0.25">
      <c r="A579" t="str">
        <f>"20190304155026864"</f>
        <v>20190304155026864</v>
      </c>
      <c r="B579" t="str">
        <f>"1551685826857502"</f>
        <v>1551685826857502</v>
      </c>
      <c r="C579" t="s">
        <v>40</v>
      </c>
      <c r="D579">
        <v>4.1511009999999997</v>
      </c>
      <c r="E579">
        <v>0.54207869999999903</v>
      </c>
      <c r="F579" t="s">
        <v>43</v>
      </c>
      <c r="G579">
        <v>-168.84350000000001</v>
      </c>
      <c r="H579">
        <v>8.9363869999999999</v>
      </c>
      <c r="I579">
        <v>362.75170000000003</v>
      </c>
      <c r="J579">
        <v>-378.4366</v>
      </c>
      <c r="K579">
        <v>1.1101650000000001</v>
      </c>
      <c r="L579">
        <v>367.52940000000001</v>
      </c>
      <c r="M579">
        <v>0.9999188</v>
      </c>
      <c r="N579">
        <v>-1.1151700000000001E-2</v>
      </c>
      <c r="O579">
        <v>-6.1636269999999996E-3</v>
      </c>
      <c r="P579">
        <v>0.97591289999999997</v>
      </c>
      <c r="Q579">
        <v>0.20001340000000001</v>
      </c>
      <c r="R579">
        <v>8.7113659999999996E-2</v>
      </c>
      <c r="S579">
        <v>3.056915</v>
      </c>
      <c r="T579">
        <v>0.1140499</v>
      </c>
      <c r="U579">
        <v>-6.9641110000000006E-2</v>
      </c>
      <c r="V579">
        <v>-9.3078679999999997E-2</v>
      </c>
      <c r="W579">
        <v>0.21089959999999999</v>
      </c>
      <c r="X579">
        <v>0.97306619999999999</v>
      </c>
      <c r="Y579">
        <v>1.6611879999999999E-2</v>
      </c>
      <c r="Z579" s="1">
        <v>-8.1467270000000003E-5</v>
      </c>
      <c r="AA579">
        <v>0.99986200000000003</v>
      </c>
      <c r="AB579">
        <v>31</v>
      </c>
      <c r="AC579">
        <v>209.59309999999999</v>
      </c>
      <c r="AD579">
        <v>7.8262219999999996</v>
      </c>
      <c r="AE579">
        <v>-4.7776999999999799</v>
      </c>
      <c r="AF579">
        <v>3.48082445425774</v>
      </c>
      <c r="AG579">
        <v>7.8262219999999996</v>
      </c>
      <c r="AH579">
        <v>209.326859085351</v>
      </c>
      <c r="AI579">
        <v>87.859143171024002</v>
      </c>
      <c r="AJ579">
        <v>89.047335959843096</v>
      </c>
      <c r="AK579">
        <v>209.50202821026099</v>
      </c>
      <c r="AL579">
        <v>77.824924386329499</v>
      </c>
      <c r="AM579">
        <v>95.464005172407695</v>
      </c>
      <c r="AN579">
        <v>1.00000005576656</v>
      </c>
    </row>
    <row r="580" spans="1:40" x14ac:dyDescent="0.25">
      <c r="A580" t="str">
        <f>"20190304155026876"</f>
        <v>20190304155026876</v>
      </c>
      <c r="B580" t="str">
        <f>"1551685826867261"</f>
        <v>1551685826867261</v>
      </c>
      <c r="C580" t="s">
        <v>40</v>
      </c>
      <c r="D580">
        <v>4.5215180000000004</v>
      </c>
      <c r="E580">
        <v>0.54073709999999997</v>
      </c>
      <c r="F580" t="s">
        <v>43</v>
      </c>
      <c r="G580">
        <v>-168.84350000000001</v>
      </c>
      <c r="H580">
        <v>9.0814360000000001</v>
      </c>
      <c r="I580">
        <v>362.55759999999998</v>
      </c>
      <c r="J580">
        <v>-378.28379999999999</v>
      </c>
      <c r="K580">
        <v>1.11016</v>
      </c>
      <c r="L580">
        <v>367.52839999999998</v>
      </c>
      <c r="M580">
        <v>0.99991859999999999</v>
      </c>
      <c r="N580">
        <v>-1.115827E-2</v>
      </c>
      <c r="O580">
        <v>-6.2108700000000003E-3</v>
      </c>
      <c r="P580">
        <v>0.97593079999999999</v>
      </c>
      <c r="Q580">
        <v>0.20019480000000001</v>
      </c>
      <c r="R580">
        <v>8.649664E-2</v>
      </c>
      <c r="S580">
        <v>3.056702</v>
      </c>
      <c r="T580">
        <v>0.1162541</v>
      </c>
      <c r="U580">
        <v>-7.2509770000000001E-2</v>
      </c>
      <c r="V580">
        <v>-9.2507820000000004E-2</v>
      </c>
      <c r="W580">
        <v>0.21108740000000001</v>
      </c>
      <c r="X580">
        <v>0.9730799</v>
      </c>
      <c r="Y580">
        <v>1.750351E-2</v>
      </c>
      <c r="Z580" s="1">
        <v>-7.0366919999999993E-5</v>
      </c>
      <c r="AA580">
        <v>0.99984680000000004</v>
      </c>
      <c r="AB580">
        <v>31</v>
      </c>
      <c r="AC580">
        <v>209.44030000000001</v>
      </c>
      <c r="AD580">
        <v>7.9712759999999996</v>
      </c>
      <c r="AE580">
        <v>-4.9707999999999899</v>
      </c>
      <c r="AF580">
        <v>3.66451157678698</v>
      </c>
      <c r="AG580">
        <v>7.9712759999999996</v>
      </c>
      <c r="AH580">
        <v>209.164319211867</v>
      </c>
      <c r="AI580">
        <v>87.8178420681392</v>
      </c>
      <c r="AJ580">
        <v>88.996293583508006</v>
      </c>
      <c r="AK580">
        <v>209.34823218152201</v>
      </c>
      <c r="AL580">
        <v>77.813916220995495</v>
      </c>
      <c r="AM580">
        <v>95.430618890572802</v>
      </c>
      <c r="AN580">
        <v>1.0000000394919599</v>
      </c>
    </row>
    <row r="581" spans="1:40" x14ac:dyDescent="0.25">
      <c r="A581" t="str">
        <f>"20190304155026886"</f>
        <v>20190304155026886</v>
      </c>
      <c r="B581" t="str">
        <f>"1551685826877022"</f>
        <v>1551685826877022</v>
      </c>
      <c r="C581" t="s">
        <v>40</v>
      </c>
      <c r="D581">
        <v>5.1845470000000002</v>
      </c>
      <c r="E581">
        <v>0.54073709999999997</v>
      </c>
      <c r="F581" t="s">
        <v>43</v>
      </c>
      <c r="G581">
        <v>-168.84350000000001</v>
      </c>
      <c r="H581">
        <v>9.0465219999999995</v>
      </c>
      <c r="I581">
        <v>363.13200000000001</v>
      </c>
      <c r="J581">
        <v>-378.12639999999999</v>
      </c>
      <c r="K581">
        <v>1.110158</v>
      </c>
      <c r="L581">
        <v>367.5274</v>
      </c>
      <c r="M581">
        <v>0.99991810000000003</v>
      </c>
      <c r="N581">
        <v>-1.11649E-2</v>
      </c>
      <c r="O581">
        <v>-6.2594240000000004E-3</v>
      </c>
      <c r="P581">
        <v>0.97598510000000005</v>
      </c>
      <c r="Q581">
        <v>0.20038829999999999</v>
      </c>
      <c r="R581">
        <v>8.5425409999999993E-2</v>
      </c>
      <c r="S581">
        <v>3.055939</v>
      </c>
      <c r="T581">
        <v>0.1158005</v>
      </c>
      <c r="U581">
        <v>-6.4147949999999995E-2</v>
      </c>
      <c r="V581">
        <v>-9.1483819999999993E-2</v>
      </c>
      <c r="W581">
        <v>0.21128830000000001</v>
      </c>
      <c r="X581">
        <v>0.97313309999999997</v>
      </c>
      <c r="Y581">
        <v>1.4727850000000001E-2</v>
      </c>
      <c r="Z581">
        <v>-1.102603E-4</v>
      </c>
      <c r="AA581">
        <v>0.99989150000000004</v>
      </c>
      <c r="AB581">
        <v>31</v>
      </c>
      <c r="AC581">
        <v>209.28290000000001</v>
      </c>
      <c r="AD581">
        <v>7.9363639999999904</v>
      </c>
      <c r="AE581">
        <v>-4.3954000000000502</v>
      </c>
      <c r="AF581">
        <v>3.0808134186093299</v>
      </c>
      <c r="AG581">
        <v>7.9363639999999904</v>
      </c>
      <c r="AH581">
        <v>209.00588438437299</v>
      </c>
      <c r="AI581">
        <v>87.8256474357119</v>
      </c>
      <c r="AJ581">
        <v>89.155503089617596</v>
      </c>
      <c r="AK581">
        <v>209.17919827782799</v>
      </c>
      <c r="AL581">
        <v>77.802139805600504</v>
      </c>
      <c r="AM581">
        <v>95.370567127951801</v>
      </c>
      <c r="AN581">
        <v>1.0000000326771401</v>
      </c>
    </row>
    <row r="582" spans="1:40" x14ac:dyDescent="0.25">
      <c r="A582" t="str">
        <f>"20190304155026898"</f>
        <v>20190304155026898</v>
      </c>
      <c r="B582" t="str">
        <f>"1551685826886782"</f>
        <v>1551685826886782</v>
      </c>
      <c r="C582" t="s">
        <v>40</v>
      </c>
      <c r="D582">
        <v>6.0626670000000003</v>
      </c>
      <c r="E582">
        <v>0.54694339999999997</v>
      </c>
      <c r="F582" t="s">
        <v>43</v>
      </c>
      <c r="G582">
        <v>-168.84350000000001</v>
      </c>
      <c r="H582">
        <v>9.1154840000000004</v>
      </c>
      <c r="I582">
        <v>362.86450000000002</v>
      </c>
      <c r="J582">
        <v>-377.97190000000001</v>
      </c>
      <c r="K582">
        <v>1.110163</v>
      </c>
      <c r="L582">
        <v>367.52640000000002</v>
      </c>
      <c r="M582">
        <v>0.99991779999999997</v>
      </c>
      <c r="N582">
        <v>-1.117107E-2</v>
      </c>
      <c r="O582">
        <v>-6.3070239999999996E-3</v>
      </c>
      <c r="P582">
        <v>0.97598739999999995</v>
      </c>
      <c r="Q582">
        <v>0.2008006</v>
      </c>
      <c r="R582">
        <v>8.4426459999999995E-2</v>
      </c>
      <c r="S582">
        <v>3.0557859999999999</v>
      </c>
      <c r="T582">
        <v>0.1168888</v>
      </c>
      <c r="U582">
        <v>-6.8084720000000001E-2</v>
      </c>
      <c r="V582">
        <v>-9.0531130000000001E-2</v>
      </c>
      <c r="W582">
        <v>0.2117059</v>
      </c>
      <c r="X582">
        <v>0.97313139999999998</v>
      </c>
      <c r="Y582">
        <v>1.5968199999999998E-2</v>
      </c>
      <c r="Z582" s="1">
        <v>-9.552087E-5</v>
      </c>
      <c r="AA582">
        <v>0.99987250000000005</v>
      </c>
      <c r="AB582">
        <v>31</v>
      </c>
      <c r="AC582">
        <v>209.1284</v>
      </c>
      <c r="AD582">
        <v>8.0053210000000004</v>
      </c>
      <c r="AE582">
        <v>-4.6619000000000002</v>
      </c>
      <c r="AF582">
        <v>3.3378586477291901</v>
      </c>
      <c r="AG582">
        <v>8.0053210000000004</v>
      </c>
      <c r="AH582">
        <v>208.84776847163801</v>
      </c>
      <c r="AI582">
        <v>87.805156405435</v>
      </c>
      <c r="AJ582">
        <v>89.084362099702901</v>
      </c>
      <c r="AK582">
        <v>209.027789684167</v>
      </c>
      <c r="AL582">
        <v>77.7776588711519</v>
      </c>
      <c r="AM582">
        <v>95.314970554484006</v>
      </c>
      <c r="AN582">
        <v>0.99999999762992298</v>
      </c>
    </row>
    <row r="583" spans="1:40" x14ac:dyDescent="0.25">
      <c r="A583" t="str">
        <f>"20190304155026911"</f>
        <v>20190304155026911</v>
      </c>
      <c r="B583" t="str">
        <f>"1551685826907277"</f>
        <v>1551685826907277</v>
      </c>
      <c r="C583" t="s">
        <v>40</v>
      </c>
      <c r="D583">
        <v>5.9506739999999896</v>
      </c>
      <c r="E583">
        <v>0.5540176</v>
      </c>
      <c r="F583" t="s">
        <v>43</v>
      </c>
      <c r="G583">
        <v>-158.19499999999999</v>
      </c>
      <c r="H583">
        <v>61.54468</v>
      </c>
      <c r="I583">
        <v>358.56509999999997</v>
      </c>
      <c r="J583">
        <v>-377.8091</v>
      </c>
      <c r="K583">
        <v>1.1101719999999999</v>
      </c>
      <c r="L583">
        <v>367.52530000000002</v>
      </c>
      <c r="M583">
        <v>0.99991739999999996</v>
      </c>
      <c r="N583">
        <v>-1.117746E-2</v>
      </c>
      <c r="O583">
        <v>-6.3571280000000001E-3</v>
      </c>
      <c r="P583">
        <v>0.97584559999999998</v>
      </c>
      <c r="Q583">
        <v>0.2017545</v>
      </c>
      <c r="R583">
        <v>8.3790180000000006E-2</v>
      </c>
      <c r="S583">
        <v>2.9189449999999999</v>
      </c>
      <c r="T583">
        <v>0.80265609999999998</v>
      </c>
      <c r="U583">
        <v>-0.1190186</v>
      </c>
      <c r="V583">
        <v>-8.994307E-2</v>
      </c>
      <c r="W583">
        <v>0.2126644</v>
      </c>
      <c r="X583">
        <v>0.97297690000000003</v>
      </c>
      <c r="Y583">
        <v>3.3455270000000002E-2</v>
      </c>
      <c r="Z583">
        <v>2.5386990000000002E-3</v>
      </c>
      <c r="AA583">
        <v>0.99943700000000002</v>
      </c>
      <c r="AB583">
        <v>31</v>
      </c>
      <c r="AC583">
        <v>219.61410000000001</v>
      </c>
      <c r="AD583">
        <v>60.434508000000001</v>
      </c>
      <c r="AE583">
        <v>-8.9602000000000395</v>
      </c>
      <c r="AF583">
        <v>7.0321776118782298</v>
      </c>
      <c r="AG583">
        <v>60.434508000000001</v>
      </c>
      <c r="AH583">
        <v>204.22688177532001</v>
      </c>
      <c r="AI583">
        <v>73.524775137758297</v>
      </c>
      <c r="AJ583">
        <v>88.027904210080493</v>
      </c>
      <c r="AK583">
        <v>213.09716215575801</v>
      </c>
      <c r="AL583">
        <v>77.721460936930399</v>
      </c>
      <c r="AM583">
        <v>95.281475864060994</v>
      </c>
      <c r="AN583">
        <v>0.99999997540099705</v>
      </c>
    </row>
    <row r="584" spans="1:40" x14ac:dyDescent="0.25">
      <c r="A584" t="str">
        <f>"20190304155026922"</f>
        <v>20190304155026922</v>
      </c>
      <c r="B584" t="str">
        <f>"1551685826917037"</f>
        <v>1551685826917037</v>
      </c>
      <c r="C584" t="s">
        <v>40</v>
      </c>
      <c r="D584">
        <v>5.1773309999999997</v>
      </c>
      <c r="E584">
        <v>0.55316500000000002</v>
      </c>
      <c r="F584" t="s">
        <v>43</v>
      </c>
      <c r="G584">
        <v>-158.19499999999999</v>
      </c>
      <c r="H584">
        <v>66.206469999999996</v>
      </c>
      <c r="I584">
        <v>354.16520000000003</v>
      </c>
      <c r="J584">
        <v>-377.64280000000002</v>
      </c>
      <c r="K584">
        <v>1.1101810000000001</v>
      </c>
      <c r="L584">
        <v>367.52420000000001</v>
      </c>
      <c r="M584">
        <v>0.9999169</v>
      </c>
      <c r="N584">
        <v>-1.118364E-2</v>
      </c>
      <c r="O584">
        <v>-6.4086569999999999E-3</v>
      </c>
      <c r="P584">
        <v>0.97576169999999995</v>
      </c>
      <c r="Q584">
        <v>0.2024849</v>
      </c>
      <c r="R584">
        <v>8.3001179999999994E-2</v>
      </c>
      <c r="S584">
        <v>2.9110719999999999</v>
      </c>
      <c r="T584">
        <v>0.86287800000000003</v>
      </c>
      <c r="U584">
        <v>-0.17709349999999999</v>
      </c>
      <c r="V584">
        <v>-8.9203229999999994E-2</v>
      </c>
      <c r="W584">
        <v>0.21339959999999999</v>
      </c>
      <c r="X584">
        <v>0.97288410000000003</v>
      </c>
      <c r="Y584">
        <v>5.2460340000000001E-2</v>
      </c>
      <c r="Z584">
        <v>5.3771869999999899E-3</v>
      </c>
      <c r="AA584">
        <v>0.99860850000000001</v>
      </c>
      <c r="AB584">
        <v>31</v>
      </c>
      <c r="AC584">
        <v>219.4478</v>
      </c>
      <c r="AD584">
        <v>65.096288999999999</v>
      </c>
      <c r="AE584">
        <v>-13.358999999999901</v>
      </c>
      <c r="AF584">
        <v>10.988892304121499</v>
      </c>
      <c r="AG584">
        <v>65.096288999999999</v>
      </c>
      <c r="AH584">
        <v>201.83439390927501</v>
      </c>
      <c r="AI584">
        <v>72.149037445675503</v>
      </c>
      <c r="AJ584">
        <v>86.883602816710507</v>
      </c>
      <c r="AK584">
        <v>212.35678741299401</v>
      </c>
      <c r="AL584">
        <v>77.6783482095138</v>
      </c>
      <c r="AM584">
        <v>95.238771857824901</v>
      </c>
      <c r="AN584">
        <v>1.0000000387776999</v>
      </c>
    </row>
    <row r="585" spans="1:40" x14ac:dyDescent="0.25">
      <c r="A585" t="str">
        <f>"20190304155026940"</f>
        <v>20190304155026940</v>
      </c>
      <c r="B585" t="str">
        <f>"1551685826937064"</f>
        <v>1551685826937064</v>
      </c>
      <c r="C585" t="s">
        <v>40</v>
      </c>
      <c r="D585">
        <v>5.194375</v>
      </c>
      <c r="E585">
        <v>0.55310130000000002</v>
      </c>
      <c r="F585" t="s">
        <v>43</v>
      </c>
      <c r="G585">
        <v>-158.19499999999999</v>
      </c>
      <c r="H585">
        <v>63.211319999999901</v>
      </c>
      <c r="I585">
        <v>354.529</v>
      </c>
      <c r="J585">
        <v>-377.39890000000003</v>
      </c>
      <c r="K585">
        <v>1.1101989999999999</v>
      </c>
      <c r="L585">
        <v>367.52260000000001</v>
      </c>
      <c r="M585">
        <v>0.99991640000000004</v>
      </c>
      <c r="N585">
        <v>-1.1192300000000001E-2</v>
      </c>
      <c r="O585">
        <v>-6.4841619999999999E-3</v>
      </c>
      <c r="P585">
        <v>0.97566149999999996</v>
      </c>
      <c r="Q585">
        <v>0.20326620000000001</v>
      </c>
      <c r="R585">
        <v>8.226725E-2</v>
      </c>
      <c r="S585">
        <v>2.9178769999999998</v>
      </c>
      <c r="T585">
        <v>0.82572579999999995</v>
      </c>
      <c r="U585">
        <v>-0.17279050000000001</v>
      </c>
      <c r="V585">
        <v>-8.8542280000000001E-2</v>
      </c>
      <c r="W585">
        <v>0.2141882</v>
      </c>
      <c r="X585">
        <v>0.9727711</v>
      </c>
      <c r="Y585">
        <v>5.1000490000000002E-2</v>
      </c>
      <c r="Z585">
        <v>4.9114559999999998E-3</v>
      </c>
      <c r="AA585">
        <v>0.99868659999999998</v>
      </c>
      <c r="AB585">
        <v>31</v>
      </c>
      <c r="AC585">
        <v>219.2039</v>
      </c>
      <c r="AD585">
        <v>62.1011209999999</v>
      </c>
      <c r="AE585">
        <v>-12.993600000000001</v>
      </c>
      <c r="AF585">
        <v>10.7149104073877</v>
      </c>
      <c r="AG585">
        <v>62.1011209999999</v>
      </c>
      <c r="AH585">
        <v>203.04416544063801</v>
      </c>
      <c r="AI585">
        <v>73.016001207059801</v>
      </c>
      <c r="AJ585">
        <v>86.979227598941904</v>
      </c>
      <c r="AK585">
        <v>212.59889852485099</v>
      </c>
      <c r="AL585">
        <v>77.632094429970095</v>
      </c>
      <c r="AM585">
        <v>95.200769612152001</v>
      </c>
      <c r="AN585">
        <v>0.99999996668102298</v>
      </c>
    </row>
    <row r="586" spans="1:40" x14ac:dyDescent="0.25">
      <c r="A586" t="str">
        <f>"20190304155026952"</f>
        <v>20190304155026952</v>
      </c>
      <c r="B586" t="str">
        <f>"1551685826946825"</f>
        <v>1551685826946825</v>
      </c>
      <c r="C586" t="s">
        <v>40</v>
      </c>
      <c r="D586">
        <v>3.9260389999999998</v>
      </c>
      <c r="E586">
        <v>0.54916209999999999</v>
      </c>
      <c r="F586" t="s">
        <v>43</v>
      </c>
      <c r="G586">
        <v>-158.19499999999999</v>
      </c>
      <c r="H586">
        <v>61.931539999999998</v>
      </c>
      <c r="I586">
        <v>354.44639999999998</v>
      </c>
      <c r="J586">
        <v>-377.23020000000002</v>
      </c>
      <c r="K586">
        <v>1.1102030000000001</v>
      </c>
      <c r="L586">
        <v>367.5215</v>
      </c>
      <c r="M586">
        <v>0.99991600000000003</v>
      </c>
      <c r="N586">
        <v>-1.1198029999999999E-2</v>
      </c>
      <c r="O586">
        <v>-6.5362869999999896E-3</v>
      </c>
      <c r="P586">
        <v>0.97556770000000004</v>
      </c>
      <c r="Q586">
        <v>0.20367560000000001</v>
      </c>
      <c r="R586">
        <v>8.2364899999999894E-2</v>
      </c>
      <c r="S586">
        <v>2.9206240000000001</v>
      </c>
      <c r="T586">
        <v>0.81037079999999995</v>
      </c>
      <c r="U586">
        <v>-0.17422489999999999</v>
      </c>
      <c r="V586">
        <v>-8.8690350000000001E-2</v>
      </c>
      <c r="W586">
        <v>0.21460180000000001</v>
      </c>
      <c r="X586">
        <v>0.97266649999999999</v>
      </c>
      <c r="Y586">
        <v>5.1432480000000003E-2</v>
      </c>
      <c r="Z586">
        <v>4.8537470000000003E-3</v>
      </c>
      <c r="AA586">
        <v>0.99866469999999896</v>
      </c>
      <c r="AB586">
        <v>31</v>
      </c>
      <c r="AC586">
        <v>219.0352</v>
      </c>
      <c r="AD586">
        <v>60.821337</v>
      </c>
      <c r="AE586">
        <v>-13.075100000000001</v>
      </c>
      <c r="AF586">
        <v>10.812326797514</v>
      </c>
      <c r="AG586">
        <v>60.821337</v>
      </c>
      <c r="AH586">
        <v>203.48215027699001</v>
      </c>
      <c r="AI586">
        <v>73.380609755133094</v>
      </c>
      <c r="AJ586">
        <v>86.958364030728106</v>
      </c>
      <c r="AK586">
        <v>212.65259680189999</v>
      </c>
      <c r="AL586">
        <v>77.607833352826503</v>
      </c>
      <c r="AM586">
        <v>95.209976224784498</v>
      </c>
      <c r="AN586">
        <v>1.0000000154843001</v>
      </c>
    </row>
    <row r="587" spans="1:40" x14ac:dyDescent="0.25">
      <c r="A587" t="str">
        <f>"20190304155026965"</f>
        <v>20190304155026965</v>
      </c>
      <c r="B587" t="str">
        <f>"1551685826957561"</f>
        <v>1551685826957561</v>
      </c>
      <c r="C587" t="s">
        <v>40</v>
      </c>
      <c r="D587">
        <v>4.8067849999999996</v>
      </c>
      <c r="E587">
        <v>0.54667339999999998</v>
      </c>
      <c r="F587" t="s">
        <v>43</v>
      </c>
      <c r="G587">
        <v>-158.19499999999999</v>
      </c>
      <c r="H587">
        <v>59.164520000000003</v>
      </c>
      <c r="I587">
        <v>356.83890000000002</v>
      </c>
      <c r="J587">
        <v>-377.05079999999998</v>
      </c>
      <c r="K587">
        <v>1.110209</v>
      </c>
      <c r="L587">
        <v>367.52030000000002</v>
      </c>
      <c r="M587">
        <v>0.99991560000000002</v>
      </c>
      <c r="N587">
        <v>-1.1203879999999999E-2</v>
      </c>
      <c r="O587">
        <v>-6.5917509999999999E-3</v>
      </c>
      <c r="P587">
        <v>0.97546270000000002</v>
      </c>
      <c r="Q587">
        <v>0.2040787</v>
      </c>
      <c r="R587">
        <v>8.2611489999999996E-2</v>
      </c>
      <c r="S587">
        <v>2.9252929999999999</v>
      </c>
      <c r="T587">
        <v>0.77533699999999905</v>
      </c>
      <c r="U587">
        <v>-0.14266970000000001</v>
      </c>
      <c r="V587">
        <v>-8.8990159999999999E-2</v>
      </c>
      <c r="W587">
        <v>0.21500929999999999</v>
      </c>
      <c r="X587">
        <v>0.97254910000000006</v>
      </c>
      <c r="Y587">
        <v>4.1023230000000001E-2</v>
      </c>
      <c r="Z587">
        <v>3.318634E-3</v>
      </c>
      <c r="AA587">
        <v>0.9991527</v>
      </c>
      <c r="AB587">
        <v>31</v>
      </c>
      <c r="AC587">
        <v>218.85579999999999</v>
      </c>
      <c r="AD587">
        <v>58.054310999999998</v>
      </c>
      <c r="AE587">
        <v>-10.681399999999901</v>
      </c>
      <c r="AF587">
        <v>8.6324603086583398</v>
      </c>
      <c r="AG587">
        <v>58.054310999999998</v>
      </c>
      <c r="AH587">
        <v>204.56179970005701</v>
      </c>
      <c r="AI587">
        <v>74.169525261335906</v>
      </c>
      <c r="AJ587">
        <v>87.583565179232295</v>
      </c>
      <c r="AK587">
        <v>212.81530089068201</v>
      </c>
      <c r="AL587">
        <v>77.583927081466598</v>
      </c>
      <c r="AM587">
        <v>95.228118217790197</v>
      </c>
      <c r="AN587">
        <v>0.999999999787062</v>
      </c>
    </row>
    <row r="588" spans="1:40" x14ac:dyDescent="0.25">
      <c r="A588" t="str">
        <f>"20190304155026977"</f>
        <v>20190304155026977</v>
      </c>
      <c r="B588" t="str">
        <f>"1551685826967321"</f>
        <v>1551685826967321</v>
      </c>
      <c r="C588" t="s">
        <v>40</v>
      </c>
      <c r="D588">
        <v>5.1814989999999996</v>
      </c>
      <c r="E588">
        <v>0.54667339999999998</v>
      </c>
      <c r="F588" t="s">
        <v>43</v>
      </c>
      <c r="G588">
        <v>-158.19499999999999</v>
      </c>
      <c r="H588">
        <v>57.207039999999999</v>
      </c>
      <c r="I588">
        <v>358.38929999999999</v>
      </c>
      <c r="J588">
        <v>-376.8974</v>
      </c>
      <c r="K588">
        <v>1.1102129999999999</v>
      </c>
      <c r="L588">
        <v>367.51920000000001</v>
      </c>
      <c r="M588">
        <v>0.9999152</v>
      </c>
      <c r="N588">
        <v>-1.1208600000000001E-2</v>
      </c>
      <c r="O588">
        <v>-6.6392219999999898E-3</v>
      </c>
      <c r="P588">
        <v>0.97525019999999996</v>
      </c>
      <c r="Q588">
        <v>0.20498430000000001</v>
      </c>
      <c r="R588">
        <v>8.2877980000000004E-2</v>
      </c>
      <c r="S588">
        <v>2.9287719999999999</v>
      </c>
      <c r="T588">
        <v>0.75069989999999998</v>
      </c>
      <c r="U588">
        <v>-0.12219240000000001</v>
      </c>
      <c r="V588">
        <v>-8.9300630000000006E-2</v>
      </c>
      <c r="W588">
        <v>0.21591679999999999</v>
      </c>
      <c r="X588">
        <v>0.9723195</v>
      </c>
      <c r="Y588">
        <v>3.4229040000000002E-2</v>
      </c>
      <c r="Z588">
        <v>2.373296E-3</v>
      </c>
      <c r="AA588">
        <v>0.99941120000000006</v>
      </c>
      <c r="AB588">
        <v>31</v>
      </c>
      <c r="AC588">
        <v>218.70240000000001</v>
      </c>
      <c r="AD588">
        <v>56.096826999999998</v>
      </c>
      <c r="AE588">
        <v>-9.1299000000000099</v>
      </c>
      <c r="AF588">
        <v>7.2044285802915198</v>
      </c>
      <c r="AG588">
        <v>56.096826999999998</v>
      </c>
      <c r="AH588">
        <v>205.276268972276</v>
      </c>
      <c r="AI588">
        <v>74.724652370001294</v>
      </c>
      <c r="AJ588">
        <v>87.989957645453103</v>
      </c>
      <c r="AK588">
        <v>212.925114521079</v>
      </c>
      <c r="AL588">
        <v>77.530679727708801</v>
      </c>
      <c r="AM588">
        <v>95.2474884564337</v>
      </c>
      <c r="AN588">
        <v>0.999999938560441</v>
      </c>
    </row>
    <row r="589" spans="1:40" x14ac:dyDescent="0.25">
      <c r="A589" t="str">
        <f>"20190304155027012"</f>
        <v>20190304155027012</v>
      </c>
      <c r="B589" t="str">
        <f>"1551685827007337"</f>
        <v>1551685827007337</v>
      </c>
      <c r="C589" t="s">
        <v>40</v>
      </c>
      <c r="D589">
        <v>4.3449559999999998</v>
      </c>
      <c r="E589">
        <v>0.54914300000000005</v>
      </c>
      <c r="F589" t="s">
        <v>43</v>
      </c>
      <c r="G589">
        <v>-158.19499999999999</v>
      </c>
      <c r="H589">
        <v>57.382869999999997</v>
      </c>
      <c r="I589">
        <v>358.43599999999998</v>
      </c>
      <c r="J589">
        <v>-376.42500000000001</v>
      </c>
      <c r="K589">
        <v>1.110198</v>
      </c>
      <c r="L589">
        <v>367.51589999999999</v>
      </c>
      <c r="M589">
        <v>0.99991410000000003</v>
      </c>
      <c r="N589">
        <v>-1.122212E-2</v>
      </c>
      <c r="O589">
        <v>-6.7844960000000001E-3</v>
      </c>
      <c r="P589">
        <v>0.97448520000000005</v>
      </c>
      <c r="Q589">
        <v>0.2079628</v>
      </c>
      <c r="R589">
        <v>8.4440950000000001E-2</v>
      </c>
      <c r="S589">
        <v>2.928131</v>
      </c>
      <c r="T589">
        <v>0.75341610000000003</v>
      </c>
      <c r="U589">
        <v>-0.1216125</v>
      </c>
      <c r="V589">
        <v>-9.0999410000000003E-2</v>
      </c>
      <c r="W589">
        <v>0.21890029999999999</v>
      </c>
      <c r="X589">
        <v>0.97149459999999999</v>
      </c>
      <c r="Y589">
        <v>3.3904219999999999E-2</v>
      </c>
      <c r="Z589">
        <v>2.3051740000000001E-3</v>
      </c>
      <c r="AA589">
        <v>0.99942240000000004</v>
      </c>
      <c r="AB589">
        <v>31</v>
      </c>
      <c r="AC589">
        <v>218.23</v>
      </c>
      <c r="AD589">
        <v>56.272672</v>
      </c>
      <c r="AE589">
        <v>-9.0799000000000092</v>
      </c>
      <c r="AF589">
        <v>7.1260165862977001</v>
      </c>
      <c r="AG589">
        <v>56.272672</v>
      </c>
      <c r="AH589">
        <v>204.69933749822499</v>
      </c>
      <c r="AI589">
        <v>74.637726984088303</v>
      </c>
      <c r="AJ589">
        <v>88.006217966292397</v>
      </c>
      <c r="AK589">
        <v>212.412835060925</v>
      </c>
      <c r="AL589">
        <v>77.355549405740604</v>
      </c>
      <c r="AM589">
        <v>95.351252682300199</v>
      </c>
      <c r="AN589">
        <v>0.99999999589479904</v>
      </c>
    </row>
    <row r="590" spans="1:40" x14ac:dyDescent="0.25">
      <c r="A590" t="str">
        <f>"20190304155027031"</f>
        <v>20190304155027031</v>
      </c>
      <c r="B590" t="str">
        <f>"1551685827027235"</f>
        <v>1551685827027235</v>
      </c>
      <c r="C590" t="s">
        <v>40</v>
      </c>
      <c r="D590">
        <v>5.7923390000000001</v>
      </c>
      <c r="E590">
        <v>0.55132340000000002</v>
      </c>
      <c r="F590" t="s">
        <v>43</v>
      </c>
      <c r="G590">
        <v>-158.19499999999999</v>
      </c>
      <c r="H590">
        <v>56.896929999999998</v>
      </c>
      <c r="I590">
        <v>357.33920000000001</v>
      </c>
      <c r="J590">
        <v>-376.16559999999998</v>
      </c>
      <c r="K590">
        <v>1.1101890000000001</v>
      </c>
      <c r="L590">
        <v>367.51409999999998</v>
      </c>
      <c r="M590">
        <v>0.99991350000000001</v>
      </c>
      <c r="N590">
        <v>-1.12289E-2</v>
      </c>
      <c r="O590">
        <v>-6.8647589999999998E-3</v>
      </c>
      <c r="P590">
        <v>0.97432730000000001</v>
      </c>
      <c r="Q590">
        <v>0.20848520000000001</v>
      </c>
      <c r="R590">
        <v>8.4974250000000001E-2</v>
      </c>
      <c r="S590">
        <v>2.9305110000000001</v>
      </c>
      <c r="T590">
        <v>0.74913540000000001</v>
      </c>
      <c r="U590">
        <v>-0.13665769999999999</v>
      </c>
      <c r="V590">
        <v>-9.1609940000000001E-2</v>
      </c>
      <c r="W590">
        <v>0.21942780000000001</v>
      </c>
      <c r="X590">
        <v>0.97131820000000002</v>
      </c>
      <c r="Y590">
        <v>3.8775610000000002E-2</v>
      </c>
      <c r="Z590">
        <v>2.8522069999999998E-3</v>
      </c>
      <c r="AA590">
        <v>0.99924389999999996</v>
      </c>
      <c r="AB590">
        <v>31</v>
      </c>
      <c r="AC590">
        <v>217.97059999999999</v>
      </c>
      <c r="AD590">
        <v>55.786740999999999</v>
      </c>
      <c r="AE590">
        <v>-10.1748999999999</v>
      </c>
      <c r="AF590">
        <v>8.1458282974742104</v>
      </c>
      <c r="AG590">
        <v>55.786740999999999</v>
      </c>
      <c r="AH590">
        <v>204.65856180049499</v>
      </c>
      <c r="AI590">
        <v>74.764000654220595</v>
      </c>
      <c r="AJ590">
        <v>87.720714191005996</v>
      </c>
      <c r="AK590">
        <v>212.28198677301799</v>
      </c>
      <c r="AL590">
        <v>77.324572742256194</v>
      </c>
      <c r="AM590">
        <v>95.387917168382501</v>
      </c>
      <c r="AN590">
        <v>0.99999999308544096</v>
      </c>
    </row>
    <row r="591" spans="1:40" x14ac:dyDescent="0.25">
      <c r="A591" t="str">
        <f>"20190304155027042"</f>
        <v>20190304155027042</v>
      </c>
      <c r="B591" t="str">
        <f>"1551685827036997"</f>
        <v>1551685827036997</v>
      </c>
      <c r="C591" t="s">
        <v>40</v>
      </c>
      <c r="D591">
        <v>5.163513</v>
      </c>
      <c r="E591">
        <v>0.57098749999999998</v>
      </c>
      <c r="F591" t="s">
        <v>43</v>
      </c>
      <c r="G591">
        <v>-158.19499999999999</v>
      </c>
      <c r="H591">
        <v>58.77948</v>
      </c>
      <c r="I591">
        <v>356.19510000000002</v>
      </c>
      <c r="J591">
        <v>-375.98540000000003</v>
      </c>
      <c r="K591">
        <v>1.1101890000000001</v>
      </c>
      <c r="L591">
        <v>367.51280000000003</v>
      </c>
      <c r="M591">
        <v>0.99991300000000005</v>
      </c>
      <c r="N591">
        <v>-1.123336E-2</v>
      </c>
      <c r="O591">
        <v>-6.9200989999999999E-3</v>
      </c>
      <c r="P591">
        <v>0.97413329999999998</v>
      </c>
      <c r="Q591">
        <v>0.20925930000000001</v>
      </c>
      <c r="R591">
        <v>8.5294490000000001E-2</v>
      </c>
      <c r="S591">
        <v>2.9266359999999998</v>
      </c>
      <c r="T591">
        <v>0.77431179999999999</v>
      </c>
      <c r="U591">
        <v>-0.15197749999999999</v>
      </c>
      <c r="V591">
        <v>-9.198249E-2</v>
      </c>
      <c r="W591">
        <v>0.2202037</v>
      </c>
      <c r="X591">
        <v>0.97110739999999995</v>
      </c>
      <c r="Y591">
        <v>4.3768960000000003E-2</v>
      </c>
      <c r="Z591">
        <v>3.5635290000000002E-3</v>
      </c>
      <c r="AA591">
        <v>0.99903529999999996</v>
      </c>
      <c r="AB591">
        <v>31</v>
      </c>
      <c r="AC591">
        <v>217.79040000000001</v>
      </c>
      <c r="AD591">
        <v>57.669291000000001</v>
      </c>
      <c r="AE591">
        <v>-11.3177</v>
      </c>
      <c r="AF591">
        <v>9.1690453978905495</v>
      </c>
      <c r="AG591">
        <v>57.669291000000001</v>
      </c>
      <c r="AH591">
        <v>203.62478173498499</v>
      </c>
      <c r="AI591">
        <v>74.202368478232003</v>
      </c>
      <c r="AJ591">
        <v>87.4217629035317</v>
      </c>
      <c r="AK591">
        <v>211.83217473880501</v>
      </c>
      <c r="AL591">
        <v>77.279002643110601</v>
      </c>
      <c r="AM591">
        <v>95.410865801116202</v>
      </c>
      <c r="AN591">
        <v>1.0000000151475199</v>
      </c>
    </row>
    <row r="592" spans="1:40" x14ac:dyDescent="0.25">
      <c r="A592" t="str">
        <f>"20190304155027055"</f>
        <v>20190304155027055</v>
      </c>
      <c r="B592" t="str">
        <f>"1551685827046756"</f>
        <v>1551685827046756</v>
      </c>
      <c r="C592" t="s">
        <v>40</v>
      </c>
      <c r="D592">
        <v>6.1846420000000002</v>
      </c>
      <c r="E592">
        <v>0.57098749999999998</v>
      </c>
      <c r="F592" t="s">
        <v>53</v>
      </c>
      <c r="G592">
        <v>0</v>
      </c>
      <c r="H592">
        <v>0</v>
      </c>
      <c r="I592">
        <v>0</v>
      </c>
      <c r="J592">
        <v>-375.8184</v>
      </c>
      <c r="K592">
        <v>1.1101909999999999</v>
      </c>
      <c r="L592">
        <v>367.51170000000002</v>
      </c>
      <c r="M592">
        <v>0.99991260000000004</v>
      </c>
      <c r="N592">
        <v>-1.123733E-2</v>
      </c>
      <c r="O592">
        <v>-6.9713819999999999E-3</v>
      </c>
      <c r="P592">
        <v>0.97402010000000006</v>
      </c>
      <c r="Q592">
        <v>0.20968490000000001</v>
      </c>
      <c r="R592">
        <v>8.5540959999999999E-2</v>
      </c>
      <c r="S592">
        <v>3.0296630000000002</v>
      </c>
      <c r="T592">
        <v>0.35894379999999998</v>
      </c>
      <c r="U592">
        <v>-0.30999759999999998</v>
      </c>
      <c r="V592">
        <v>-9.2278020000000002E-2</v>
      </c>
      <c r="W592">
        <v>0.2206321</v>
      </c>
      <c r="X592">
        <v>0.97098209999999996</v>
      </c>
      <c r="Y592">
        <v>9.4319159999999999E-2</v>
      </c>
      <c r="Z592">
        <v>4.121769E-3</v>
      </c>
      <c r="AA592">
        <v>0.99553349999999996</v>
      </c>
      <c r="AB592">
        <v>31</v>
      </c>
      <c r="AC592">
        <v>3.0296630000000002</v>
      </c>
      <c r="AD592">
        <v>0.35894379999999998</v>
      </c>
      <c r="AE592">
        <v>-0.30999759999999998</v>
      </c>
      <c r="AF592">
        <v>0.28491004116221902</v>
      </c>
      <c r="AG592">
        <v>0.35894379999999998</v>
      </c>
      <c r="AH592">
        <v>2.9902128504729002</v>
      </c>
      <c r="AI592">
        <v>83.185562988873599</v>
      </c>
      <c r="AJ592">
        <v>84.557239968402101</v>
      </c>
      <c r="AK592">
        <v>3.0251259931194201</v>
      </c>
      <c r="AL592">
        <v>77.253837997416895</v>
      </c>
      <c r="AM592">
        <v>95.428842956478604</v>
      </c>
      <c r="AN592">
        <v>0.99999999752296997</v>
      </c>
    </row>
    <row r="593" spans="1:40" x14ac:dyDescent="0.25">
      <c r="A593" t="str">
        <f>"20190304155027068"</f>
        <v>20190304155027068</v>
      </c>
      <c r="B593" t="str">
        <f>"1551685827057493"</f>
        <v>1551685827057493</v>
      </c>
      <c r="C593" t="s">
        <v>40</v>
      </c>
      <c r="D593">
        <v>4.9415570000000004</v>
      </c>
      <c r="E593">
        <v>0.568527</v>
      </c>
      <c r="F593" t="s">
        <v>53</v>
      </c>
      <c r="G593">
        <v>0</v>
      </c>
      <c r="H593">
        <v>0</v>
      </c>
      <c r="I593">
        <v>0</v>
      </c>
      <c r="J593">
        <v>-375.64850000000001</v>
      </c>
      <c r="K593">
        <v>1.1102000000000001</v>
      </c>
      <c r="L593">
        <v>367.5104</v>
      </c>
      <c r="M593">
        <v>0.99991220000000003</v>
      </c>
      <c r="N593">
        <v>-1.1241259999999999E-2</v>
      </c>
      <c r="O593">
        <v>-7.0237349999999997E-3</v>
      </c>
      <c r="P593">
        <v>0.97391629999999996</v>
      </c>
      <c r="Q593">
        <v>0.21009079999999999</v>
      </c>
      <c r="R593">
        <v>8.5728269999999995E-2</v>
      </c>
      <c r="S593">
        <v>3.0295100000000001</v>
      </c>
      <c r="T593">
        <v>0.36086980000000002</v>
      </c>
      <c r="U593">
        <v>-0.30957030000000002</v>
      </c>
      <c r="V593">
        <v>-9.2515100000000003E-2</v>
      </c>
      <c r="W593">
        <v>0.2210404</v>
      </c>
      <c r="X593">
        <v>0.97086669999999997</v>
      </c>
      <c r="Y593">
        <v>9.4128680000000006E-2</v>
      </c>
      <c r="Z593">
        <v>4.1300499999999997E-3</v>
      </c>
      <c r="AA593">
        <v>0.99555150000000003</v>
      </c>
      <c r="AB593">
        <v>31</v>
      </c>
      <c r="AC593">
        <v>3.0295100000000001</v>
      </c>
      <c r="AD593">
        <v>0.36086980000000002</v>
      </c>
      <c r="AE593">
        <v>-0.30957030000000002</v>
      </c>
      <c r="AF593">
        <v>0.28429068682393599</v>
      </c>
      <c r="AG593">
        <v>0.36086980000000002</v>
      </c>
      <c r="AH593">
        <v>2.9896278348417198</v>
      </c>
      <c r="AI593">
        <v>83.1478965530831</v>
      </c>
      <c r="AJ593">
        <v>84.567944550717897</v>
      </c>
      <c r="AK593">
        <v>3.0247186312163401</v>
      </c>
      <c r="AL593">
        <v>77.229852301548604</v>
      </c>
      <c r="AM593">
        <v>95.443350100287006</v>
      </c>
      <c r="AN593">
        <v>1.0000000256645201</v>
      </c>
    </row>
    <row r="594" spans="1:40" x14ac:dyDescent="0.25">
      <c r="A594" t="str">
        <f>"20190304155027079"</f>
        <v>20190304155027079</v>
      </c>
      <c r="B594" t="str">
        <f>"1551685827077011"</f>
        <v>1551685827077011</v>
      </c>
      <c r="C594" t="s">
        <v>40</v>
      </c>
      <c r="D594">
        <v>5.1839769999999996</v>
      </c>
      <c r="E594">
        <v>0.56595209999999996</v>
      </c>
      <c r="F594" t="s">
        <v>53</v>
      </c>
      <c r="G594">
        <v>0</v>
      </c>
      <c r="H594">
        <v>0</v>
      </c>
      <c r="I594">
        <v>0</v>
      </c>
      <c r="J594">
        <v>-375.4753</v>
      </c>
      <c r="K594">
        <v>1.110209</v>
      </c>
      <c r="L594">
        <v>367.50909999999999</v>
      </c>
      <c r="M594">
        <v>0.99991180000000002</v>
      </c>
      <c r="N594">
        <v>-1.124503E-2</v>
      </c>
      <c r="O594">
        <v>-7.0774000000000002E-3</v>
      </c>
      <c r="P594">
        <v>0.97370659999999998</v>
      </c>
      <c r="Q594">
        <v>0.21105560000000001</v>
      </c>
      <c r="R594">
        <v>8.5738930000000005E-2</v>
      </c>
      <c r="S594">
        <v>3.028778</v>
      </c>
      <c r="T594">
        <v>0.3573694</v>
      </c>
      <c r="U594">
        <v>-0.2900085</v>
      </c>
      <c r="V594">
        <v>-9.2576220000000001E-2</v>
      </c>
      <c r="W594">
        <v>0.22200619999999999</v>
      </c>
      <c r="X594">
        <v>0.97064050000000002</v>
      </c>
      <c r="Y594">
        <v>8.778039E-2</v>
      </c>
      <c r="Z594">
        <v>3.7435469999999998E-3</v>
      </c>
      <c r="AA594">
        <v>0.99613280000000004</v>
      </c>
      <c r="AB594">
        <v>31</v>
      </c>
      <c r="AC594">
        <v>3.028778</v>
      </c>
      <c r="AD594">
        <v>0.3573694</v>
      </c>
      <c r="AE594">
        <v>-0.2900085</v>
      </c>
      <c r="AF594">
        <v>0.26490946004011801</v>
      </c>
      <c r="AG594">
        <v>0.3573694</v>
      </c>
      <c r="AH594">
        <v>2.9895130551457298</v>
      </c>
      <c r="AI594">
        <v>83.209511316648801</v>
      </c>
      <c r="AJ594">
        <v>84.936080822539495</v>
      </c>
      <c r="AK594">
        <v>3.0224291913892398</v>
      </c>
      <c r="AL594">
        <v>77.173106433302905</v>
      </c>
      <c r="AM594">
        <v>95.448186347863498</v>
      </c>
      <c r="AN594">
        <v>1.00000004479408</v>
      </c>
    </row>
    <row r="595" spans="1:40" x14ac:dyDescent="0.25">
      <c r="A595" t="str">
        <f>"20190304155027096"</f>
        <v>20190304155027096</v>
      </c>
      <c r="B595" t="str">
        <f>"1551685827086775"</f>
        <v>1551685827086775</v>
      </c>
      <c r="C595" t="s">
        <v>40</v>
      </c>
      <c r="D595">
        <v>5.6782139999999997</v>
      </c>
      <c r="E595">
        <v>0.56595209999999996</v>
      </c>
      <c r="F595" t="s">
        <v>53</v>
      </c>
      <c r="G595">
        <v>0</v>
      </c>
      <c r="H595">
        <v>0</v>
      </c>
      <c r="I595">
        <v>0</v>
      </c>
      <c r="J595">
        <v>-375.24990000000003</v>
      </c>
      <c r="K595">
        <v>1.1102259999999999</v>
      </c>
      <c r="L595">
        <v>367.50740000000002</v>
      </c>
      <c r="M595">
        <v>0.99991129999999995</v>
      </c>
      <c r="N595">
        <v>-1.1249800000000001E-2</v>
      </c>
      <c r="O595">
        <v>-7.1469230000000003E-3</v>
      </c>
      <c r="P595">
        <v>0.97312829999999995</v>
      </c>
      <c r="Q595">
        <v>0.2137674</v>
      </c>
      <c r="R595">
        <v>8.5586259999999997E-2</v>
      </c>
      <c r="S595">
        <v>3.0299990000000001</v>
      </c>
      <c r="T595">
        <v>0.34472910000000001</v>
      </c>
      <c r="U595">
        <v>-0.269287099999999</v>
      </c>
      <c r="V595">
        <v>-9.2486280000000004E-2</v>
      </c>
      <c r="W595">
        <v>0.2247159</v>
      </c>
      <c r="X595">
        <v>0.97002529999999998</v>
      </c>
      <c r="Y595">
        <v>8.0991930000000004E-2</v>
      </c>
      <c r="Z595">
        <v>3.2369289999999999E-3</v>
      </c>
      <c r="AA595">
        <v>0.99670950000000003</v>
      </c>
      <c r="AB595">
        <v>31</v>
      </c>
      <c r="AC595">
        <v>3.0299990000000001</v>
      </c>
      <c r="AD595">
        <v>0.34472910000000001</v>
      </c>
      <c r="AE595">
        <v>-0.269287099999999</v>
      </c>
      <c r="AF595">
        <v>0.24448386744846501</v>
      </c>
      <c r="AG595">
        <v>0.34472910000000001</v>
      </c>
      <c r="AH595">
        <v>2.9934031199931401</v>
      </c>
      <c r="AI595">
        <v>83.452202477108798</v>
      </c>
      <c r="AJ595">
        <v>85.330775744999002</v>
      </c>
      <c r="AK595">
        <v>3.02308993458912</v>
      </c>
      <c r="AL595">
        <v>77.013827571308397</v>
      </c>
      <c r="AM595">
        <v>95.446356316410103</v>
      </c>
      <c r="AN595">
        <v>1.0000000151705599</v>
      </c>
    </row>
    <row r="596" spans="1:40" x14ac:dyDescent="0.25">
      <c r="A596" t="str">
        <f>"20190304155027109"</f>
        <v>20190304155027109</v>
      </c>
      <c r="B596" t="str">
        <f>"1551685827097507"</f>
        <v>1551685827097507</v>
      </c>
      <c r="C596" t="s">
        <v>40</v>
      </c>
      <c r="D596">
        <v>5.1884560000000004</v>
      </c>
      <c r="E596">
        <v>0.59134940000000003</v>
      </c>
      <c r="F596" t="s">
        <v>53</v>
      </c>
      <c r="G596">
        <v>0</v>
      </c>
      <c r="H596">
        <v>0</v>
      </c>
      <c r="I596">
        <v>0</v>
      </c>
      <c r="J596">
        <v>-375.0924</v>
      </c>
      <c r="K596">
        <v>1.1102399999999999</v>
      </c>
      <c r="L596">
        <v>367.50630000000001</v>
      </c>
      <c r="M596">
        <v>0.99991070000000004</v>
      </c>
      <c r="N596">
        <v>-1.1253040000000001E-2</v>
      </c>
      <c r="O596">
        <v>-7.1953390000000002E-3</v>
      </c>
      <c r="P596">
        <v>0.9727962</v>
      </c>
      <c r="Q596">
        <v>0.2153949</v>
      </c>
      <c r="R596">
        <v>8.5276909999999997E-2</v>
      </c>
      <c r="S596">
        <v>3.0289609999999998</v>
      </c>
      <c r="T596">
        <v>0.35342959999999901</v>
      </c>
      <c r="U596">
        <v>-0.26998899999999998</v>
      </c>
      <c r="V596">
        <v>-9.2221639999999994E-2</v>
      </c>
      <c r="W596">
        <v>0.22634280000000001</v>
      </c>
      <c r="X596">
        <v>0.96967210000000004</v>
      </c>
      <c r="Y596">
        <v>8.1179370000000001E-2</v>
      </c>
      <c r="Z596">
        <v>3.3362800000000001E-3</v>
      </c>
      <c r="AA596">
        <v>0.99669390000000002</v>
      </c>
      <c r="AB596">
        <v>31</v>
      </c>
      <c r="AC596">
        <v>3.0289609999999998</v>
      </c>
      <c r="AD596">
        <v>0.35342959999999901</v>
      </c>
      <c r="AE596">
        <v>-0.26998899999999998</v>
      </c>
      <c r="AF596">
        <v>0.24487848046896701</v>
      </c>
      <c r="AG596">
        <v>0.35342959999999901</v>
      </c>
      <c r="AH596">
        <v>2.9904315002059101</v>
      </c>
      <c r="AI596">
        <v>83.281940975870896</v>
      </c>
      <c r="AJ596">
        <v>85.318646050746494</v>
      </c>
      <c r="AK596">
        <v>3.0211849512694098</v>
      </c>
      <c r="AL596">
        <v>76.918146973258004</v>
      </c>
      <c r="AM596">
        <v>95.432831777219903</v>
      </c>
      <c r="AN596">
        <v>0.99999993775726703</v>
      </c>
    </row>
    <row r="597" spans="1:40" x14ac:dyDescent="0.25">
      <c r="A597" t="str">
        <f>"20190304155027152"</f>
        <v>20190304155027152</v>
      </c>
      <c r="B597" t="str">
        <f>"1551685827146815"</f>
        <v>1551685827146815</v>
      </c>
      <c r="C597" t="s">
        <v>40</v>
      </c>
      <c r="D597">
        <v>3.6417160000000002</v>
      </c>
      <c r="E597">
        <v>0.62966390000000005</v>
      </c>
      <c r="F597" t="s">
        <v>45</v>
      </c>
      <c r="G597">
        <v>-169.00919999999999</v>
      </c>
      <c r="H597">
        <v>82.025379999999998</v>
      </c>
      <c r="I597">
        <v>334.13510000000002</v>
      </c>
      <c r="J597">
        <v>-374.49</v>
      </c>
      <c r="K597">
        <v>1.1102749999999999</v>
      </c>
      <c r="L597">
        <v>367.50170000000003</v>
      </c>
      <c r="M597">
        <v>0.99990939999999995</v>
      </c>
      <c r="N597">
        <v>-1.1264400000000001E-2</v>
      </c>
      <c r="O597">
        <v>-7.3760839999999998E-3</v>
      </c>
      <c r="P597">
        <v>0.9722326</v>
      </c>
      <c r="Q597">
        <v>0.2180183</v>
      </c>
      <c r="R597">
        <v>8.5042099999999995E-2</v>
      </c>
      <c r="S597">
        <v>2.8747859999999998</v>
      </c>
      <c r="T597">
        <v>1.1287370000000001</v>
      </c>
      <c r="U597">
        <v>-0.46551510000000001</v>
      </c>
      <c r="V597">
        <v>-9.2159340000000006E-2</v>
      </c>
      <c r="W597">
        <v>0.2289699</v>
      </c>
      <c r="X597">
        <v>0.96906110000000001</v>
      </c>
      <c r="Y597">
        <v>0.1430845</v>
      </c>
      <c r="Z597">
        <v>2.3232269999999999E-2</v>
      </c>
      <c r="AA597">
        <v>0.98943780000000003</v>
      </c>
      <c r="AB597">
        <v>31</v>
      </c>
      <c r="AC597">
        <v>205.48079999999999</v>
      </c>
      <c r="AD597">
        <v>80.915104999999997</v>
      </c>
      <c r="AE597">
        <v>-33.366599999999998</v>
      </c>
      <c r="AF597">
        <v>27.669570922053499</v>
      </c>
      <c r="AG597">
        <v>80.915104999999997</v>
      </c>
      <c r="AH597">
        <v>178.71992782042199</v>
      </c>
      <c r="AI597">
        <v>65.895415313815604</v>
      </c>
      <c r="AJ597">
        <v>81.1992910721074</v>
      </c>
      <c r="AK597">
        <v>198.12539456694699</v>
      </c>
      <c r="AL597">
        <v>76.763566780110693</v>
      </c>
      <c r="AM597">
        <v>95.432586250375806</v>
      </c>
      <c r="AN597">
        <v>0.99999998729422701</v>
      </c>
    </row>
    <row r="598" spans="1:40" x14ac:dyDescent="0.25">
      <c r="A598" t="str">
        <f>"20190304155027164"</f>
        <v>20190304155027164</v>
      </c>
      <c r="B598" t="str">
        <f>"1551685827146815"</f>
        <v>1551685827146815</v>
      </c>
      <c r="C598" t="s">
        <v>40</v>
      </c>
      <c r="D598">
        <v>3.6417160000000002</v>
      </c>
      <c r="E598">
        <v>0.62966390000000005</v>
      </c>
      <c r="F598" t="s">
        <v>54</v>
      </c>
      <c r="G598">
        <v>-244.13050000000001</v>
      </c>
      <c r="H598">
        <v>37.727919999999997</v>
      </c>
      <c r="I598">
        <v>333.51839999999999</v>
      </c>
      <c r="J598">
        <v>-374.32159999999999</v>
      </c>
      <c r="K598">
        <v>1.1102669999999999</v>
      </c>
      <c r="L598">
        <v>367.50049999999999</v>
      </c>
      <c r="M598">
        <v>0.9999091</v>
      </c>
      <c r="N598">
        <v>-1.1267370000000001E-2</v>
      </c>
      <c r="O598">
        <v>-7.4238849999999999E-3</v>
      </c>
      <c r="P598">
        <v>0.97204449999999998</v>
      </c>
      <c r="Q598">
        <v>0.21883040000000001</v>
      </c>
      <c r="R598">
        <v>8.510645E-2</v>
      </c>
      <c r="S598">
        <v>2.966431</v>
      </c>
      <c r="T598">
        <v>0.83326319999999998</v>
      </c>
      <c r="U598">
        <v>-0.77331539999999999</v>
      </c>
      <c r="V598">
        <v>-9.2268740000000002E-2</v>
      </c>
      <c r="W598">
        <v>0.22978209999999999</v>
      </c>
      <c r="X598">
        <v>0.96885840000000001</v>
      </c>
      <c r="Y598">
        <v>0.2371336</v>
      </c>
      <c r="Z598">
        <v>2.868975E-2</v>
      </c>
      <c r="AA598">
        <v>0.97105330000000001</v>
      </c>
      <c r="AB598">
        <v>31</v>
      </c>
      <c r="AC598">
        <v>130.19109999999901</v>
      </c>
      <c r="AD598">
        <v>36.617652999999997</v>
      </c>
      <c r="AE598">
        <v>-33.982100000000003</v>
      </c>
      <c r="AF598">
        <v>30.738061854618799</v>
      </c>
      <c r="AG598">
        <v>36.617652999999997</v>
      </c>
      <c r="AH598">
        <v>121.445344596626</v>
      </c>
      <c r="AI598">
        <v>73.706442776659102</v>
      </c>
      <c r="AJ598">
        <v>75.796601300054206</v>
      </c>
      <c r="AK598">
        <v>130.51686742333399</v>
      </c>
      <c r="AL598">
        <v>76.715756140257895</v>
      </c>
      <c r="AM598">
        <v>95.440127580273796</v>
      </c>
      <c r="AN598">
        <v>0.99999996655607803</v>
      </c>
    </row>
    <row r="599" spans="1:40" x14ac:dyDescent="0.25">
      <c r="A599" t="str">
        <f>"20190304155027179"</f>
        <v>20190304155027179</v>
      </c>
      <c r="B599" t="str">
        <f>"1551685827146815"</f>
        <v>1551685827146815</v>
      </c>
      <c r="C599" t="s">
        <v>40</v>
      </c>
      <c r="D599">
        <v>3.6417160000000002</v>
      </c>
      <c r="E599">
        <v>0.62966390000000005</v>
      </c>
      <c r="F599" t="s">
        <v>54</v>
      </c>
      <c r="G599">
        <v>-244.46870000000001</v>
      </c>
      <c r="H599">
        <v>37.728029999999997</v>
      </c>
      <c r="I599">
        <v>333.64389999999997</v>
      </c>
      <c r="J599">
        <v>-374.1302</v>
      </c>
      <c r="K599">
        <v>1.1102650000000001</v>
      </c>
      <c r="L599">
        <v>367.49900000000002</v>
      </c>
      <c r="M599">
        <v>0.99990860000000004</v>
      </c>
      <c r="N599">
        <v>-1.127064E-2</v>
      </c>
      <c r="O599">
        <v>-7.4757240000000004E-3</v>
      </c>
      <c r="P599">
        <v>0.97196660000000001</v>
      </c>
      <c r="Q599">
        <v>0.21925649999999999</v>
      </c>
      <c r="R599">
        <v>8.4897909999999993E-2</v>
      </c>
      <c r="S599">
        <v>2.9657290000000001</v>
      </c>
      <c r="T599">
        <v>0.83631829999999996</v>
      </c>
      <c r="U599">
        <v>-0.77325440000000001</v>
      </c>
      <c r="V599">
        <v>-9.2111769999999996E-2</v>
      </c>
      <c r="W599">
        <v>0.23021040000000001</v>
      </c>
      <c r="X599">
        <v>0.96877170000000001</v>
      </c>
      <c r="Y599">
        <v>0.237063</v>
      </c>
      <c r="Z599">
        <v>2.8778629999999999E-2</v>
      </c>
      <c r="AA599">
        <v>0.97106789999999998</v>
      </c>
      <c r="AB599">
        <v>31</v>
      </c>
      <c r="AC599">
        <v>129.66149999999999</v>
      </c>
      <c r="AD599">
        <v>36.617764999999999</v>
      </c>
      <c r="AE599">
        <v>-33.8551</v>
      </c>
      <c r="AF599">
        <v>30.600017681209</v>
      </c>
      <c r="AG599">
        <v>36.617764999999999</v>
      </c>
      <c r="AH599">
        <v>120.885058433894</v>
      </c>
      <c r="AI599">
        <v>73.635023913863193</v>
      </c>
      <c r="AJ599">
        <v>75.794924080802105</v>
      </c>
      <c r="AK599">
        <v>129.96314534609999</v>
      </c>
      <c r="AL599">
        <v>76.690540902427898</v>
      </c>
      <c r="AM599">
        <v>95.431411207803094</v>
      </c>
      <c r="AN599">
        <v>1.0000000065807899</v>
      </c>
    </row>
    <row r="600" spans="1:40" x14ac:dyDescent="0.25">
      <c r="A600" t="str">
        <f>"20190304155027192"</f>
        <v>20190304155027192</v>
      </c>
      <c r="B600" t="str">
        <f>"1551685827146815"</f>
        <v>1551685827146815</v>
      </c>
      <c r="C600" t="s">
        <v>40</v>
      </c>
      <c r="D600">
        <v>3.6417160000000002</v>
      </c>
      <c r="E600">
        <v>0.62966390000000005</v>
      </c>
      <c r="F600" t="s">
        <v>54</v>
      </c>
      <c r="G600">
        <v>-244.5515</v>
      </c>
      <c r="H600">
        <v>37.728059999999999</v>
      </c>
      <c r="I600">
        <v>333.67790000000002</v>
      </c>
      <c r="J600">
        <v>-373.95260000000002</v>
      </c>
      <c r="K600">
        <v>1.110266</v>
      </c>
      <c r="L600">
        <v>367.49759999999998</v>
      </c>
      <c r="M600">
        <v>0.99990820000000002</v>
      </c>
      <c r="N600">
        <v>-1.127361E-2</v>
      </c>
      <c r="O600">
        <v>-7.5213550000000004E-3</v>
      </c>
      <c r="P600">
        <v>0.97187159999999995</v>
      </c>
      <c r="Q600">
        <v>0.2196679</v>
      </c>
      <c r="R600">
        <v>8.4920990000000002E-2</v>
      </c>
      <c r="S600">
        <v>2.9651489999999998</v>
      </c>
      <c r="T600">
        <v>0.83792509999999998</v>
      </c>
      <c r="U600">
        <v>-0.7739258</v>
      </c>
      <c r="V600">
        <v>-9.2179659999999997E-2</v>
      </c>
      <c r="W600">
        <v>0.23062289999999999</v>
      </c>
      <c r="X600">
        <v>0.9686671</v>
      </c>
      <c r="Y600">
        <v>0.23723359999999999</v>
      </c>
      <c r="Z600">
        <v>2.8848189999999999E-2</v>
      </c>
      <c r="AA600">
        <v>0.9710242</v>
      </c>
      <c r="AB600">
        <v>31</v>
      </c>
      <c r="AC600">
        <v>129.40110000000001</v>
      </c>
      <c r="AD600">
        <v>36.617794000000004</v>
      </c>
      <c r="AE600">
        <v>-33.819699999999898</v>
      </c>
      <c r="AF600">
        <v>30.5550905754423</v>
      </c>
      <c r="AG600">
        <v>36.617794000000004</v>
      </c>
      <c r="AH600">
        <v>120.61116880848699</v>
      </c>
      <c r="AI600">
        <v>73.600591233625494</v>
      </c>
      <c r="AJ600">
        <v>75.784029952599795</v>
      </c>
      <c r="AK600">
        <v>129.69784284578299</v>
      </c>
      <c r="AL600">
        <v>76.666252507018896</v>
      </c>
      <c r="AM600">
        <v>95.435973822559504</v>
      </c>
      <c r="AN600">
        <v>0.99999998117226696</v>
      </c>
    </row>
    <row r="601" spans="1:40" x14ac:dyDescent="0.25">
      <c r="A601" t="str">
        <f>"20190304155027210"</f>
        <v>20190304155027210</v>
      </c>
      <c r="B601" t="str">
        <f>"1551685827146815"</f>
        <v>1551685827146815</v>
      </c>
      <c r="C601" t="s">
        <v>40</v>
      </c>
      <c r="D601">
        <v>3.6417160000000002</v>
      </c>
      <c r="E601">
        <v>0.62966390000000005</v>
      </c>
      <c r="F601" t="s">
        <v>54</v>
      </c>
      <c r="G601">
        <v>-244.58580000000001</v>
      </c>
      <c r="H601">
        <v>37.728070000000002</v>
      </c>
      <c r="I601">
        <v>333.738</v>
      </c>
      <c r="J601">
        <v>-373.69549999999998</v>
      </c>
      <c r="K601">
        <v>1.110271</v>
      </c>
      <c r="L601">
        <v>367.49560000000002</v>
      </c>
      <c r="M601">
        <v>0.99990780000000001</v>
      </c>
      <c r="N601">
        <v>-1.127776E-2</v>
      </c>
      <c r="O601">
        <v>-7.5811389999999998E-3</v>
      </c>
      <c r="P601">
        <v>0.97142770000000001</v>
      </c>
      <c r="Q601">
        <v>0.22158159999999999</v>
      </c>
      <c r="R601">
        <v>8.5029480000000005E-2</v>
      </c>
      <c r="S601">
        <v>2.9647519999999998</v>
      </c>
      <c r="T601">
        <v>0.83918559999999998</v>
      </c>
      <c r="U601">
        <v>-0.77368159999999997</v>
      </c>
      <c r="V601">
        <v>-9.234618E-2</v>
      </c>
      <c r="W601">
        <v>0.23253360000000001</v>
      </c>
      <c r="X601">
        <v>0.96819440000000001</v>
      </c>
      <c r="Y601">
        <v>0.23711270000000001</v>
      </c>
      <c r="Z601">
        <v>2.8862840000000001E-2</v>
      </c>
      <c r="AA601">
        <v>0.97105330000000001</v>
      </c>
      <c r="AB601">
        <v>31</v>
      </c>
      <c r="AC601">
        <v>129.10969999999901</v>
      </c>
      <c r="AD601">
        <v>36.617798999999998</v>
      </c>
      <c r="AE601">
        <v>-33.757599999999897</v>
      </c>
      <c r="AF601">
        <v>30.482674013398199</v>
      </c>
      <c r="AG601">
        <v>36.617798999999998</v>
      </c>
      <c r="AH601">
        <v>120.30402155813699</v>
      </c>
      <c r="AI601">
        <v>73.561143554745897</v>
      </c>
      <c r="AJ601">
        <v>75.781615638810194</v>
      </c>
      <c r="AK601">
        <v>129.39518623840701</v>
      </c>
      <c r="AL601">
        <v>76.553719203631999</v>
      </c>
      <c r="AM601">
        <v>95.448377544772001</v>
      </c>
      <c r="AN601">
        <v>1.00000004414045</v>
      </c>
    </row>
    <row r="602" spans="1:40" x14ac:dyDescent="0.25">
      <c r="A602" t="str">
        <f>"20190304155027223"</f>
        <v>20190304155027223</v>
      </c>
      <c r="B602" t="str">
        <f>"1551685827217087"</f>
        <v>1551685827217087</v>
      </c>
      <c r="C602" t="s">
        <v>40</v>
      </c>
      <c r="D602">
        <v>3.9794870000000002</v>
      </c>
      <c r="E602">
        <v>0.54989180000000004</v>
      </c>
      <c r="F602" t="s">
        <v>54</v>
      </c>
      <c r="G602">
        <v>-244.84909999999999</v>
      </c>
      <c r="H602">
        <v>37.841949999999997</v>
      </c>
      <c r="I602">
        <v>333.87079999999997</v>
      </c>
      <c r="J602">
        <v>-373.51100000000002</v>
      </c>
      <c r="K602">
        <v>1.110276</v>
      </c>
      <c r="L602">
        <v>367.49419999999998</v>
      </c>
      <c r="M602">
        <v>0.9999074</v>
      </c>
      <c r="N602">
        <v>-1.128063E-2</v>
      </c>
      <c r="O602">
        <v>-7.6187540000000002E-3</v>
      </c>
      <c r="P602">
        <v>0.97118459999999995</v>
      </c>
      <c r="Q602">
        <v>0.22257089999999999</v>
      </c>
      <c r="R602">
        <v>8.522325E-2</v>
      </c>
      <c r="S602">
        <v>2.963257</v>
      </c>
      <c r="T602">
        <v>0.84476899999999999</v>
      </c>
      <c r="U602">
        <v>-0.77331539999999999</v>
      </c>
      <c r="V602">
        <v>-9.2577080000000006E-2</v>
      </c>
      <c r="W602">
        <v>0.23352229999999999</v>
      </c>
      <c r="X602">
        <v>0.96793430000000003</v>
      </c>
      <c r="Y602">
        <v>0.23697399999999999</v>
      </c>
      <c r="Z602">
        <v>2.9042370000000001E-2</v>
      </c>
      <c r="AA602">
        <v>0.97108179999999999</v>
      </c>
      <c r="AB602">
        <v>31</v>
      </c>
      <c r="AC602">
        <v>128.66189999999901</v>
      </c>
      <c r="AD602">
        <v>36.731673999999998</v>
      </c>
      <c r="AE602">
        <v>-33.623399999999997</v>
      </c>
      <c r="AF602">
        <v>30.3282530129738</v>
      </c>
      <c r="AG602">
        <v>36.731673999999998</v>
      </c>
      <c r="AH602">
        <v>119.776142766221</v>
      </c>
      <c r="AI602">
        <v>73.443457627504202</v>
      </c>
      <c r="AJ602">
        <v>75.790905760720804</v>
      </c>
      <c r="AK602">
        <v>128.90051660724799</v>
      </c>
      <c r="AL602">
        <v>76.4954665105586</v>
      </c>
      <c r="AM602">
        <v>95.463377074722999</v>
      </c>
      <c r="AN602">
        <v>0.99999999472755297</v>
      </c>
    </row>
    <row r="603" spans="1:40" x14ac:dyDescent="0.25">
      <c r="A603" t="str">
        <f>"20190304155027242"</f>
        <v>20190304155027242</v>
      </c>
      <c r="B603" t="str">
        <f>"1551685827237584"</f>
        <v>1551685827237584</v>
      </c>
      <c r="C603" t="s">
        <v>40</v>
      </c>
      <c r="D603">
        <v>4.555974</v>
      </c>
      <c r="E603">
        <v>0.54989180000000004</v>
      </c>
      <c r="F603" t="s">
        <v>43</v>
      </c>
      <c r="G603">
        <v>-158.19499999999999</v>
      </c>
      <c r="H603">
        <v>39.234859999999998</v>
      </c>
      <c r="I603">
        <v>357.22500000000002</v>
      </c>
      <c r="J603">
        <v>-373.25299999999999</v>
      </c>
      <c r="K603">
        <v>1.110285</v>
      </c>
      <c r="L603">
        <v>367.49220000000003</v>
      </c>
      <c r="M603">
        <v>0.99990699999999999</v>
      </c>
      <c r="N603">
        <v>-1.1284529999999999E-2</v>
      </c>
      <c r="O603">
        <v>-7.6643190000000002E-3</v>
      </c>
      <c r="P603">
        <v>0.9710183</v>
      </c>
      <c r="Q603">
        <v>0.22309960000000001</v>
      </c>
      <c r="R603">
        <v>8.5732539999999996E-2</v>
      </c>
      <c r="S603">
        <v>2.980499</v>
      </c>
      <c r="T603">
        <v>0.52773829999999999</v>
      </c>
      <c r="U603">
        <v>-0.1421509</v>
      </c>
      <c r="V603">
        <v>-9.3133510000000003E-2</v>
      </c>
      <c r="W603">
        <v>0.2340508</v>
      </c>
      <c r="X603">
        <v>0.96775319999999998</v>
      </c>
      <c r="Y603">
        <v>3.9542689999999998E-2</v>
      </c>
      <c r="Z603">
        <v>1.815473E-3</v>
      </c>
      <c r="AA603">
        <v>0.99921629999999995</v>
      </c>
      <c r="AB603">
        <v>31</v>
      </c>
      <c r="AC603">
        <v>215.05799999999999</v>
      </c>
      <c r="AD603">
        <v>38.124575</v>
      </c>
      <c r="AE603">
        <v>-10.267200000000001</v>
      </c>
      <c r="AF603">
        <v>8.3565003619200997</v>
      </c>
      <c r="AG603">
        <v>38.124575</v>
      </c>
      <c r="AH603">
        <v>208.589990362843</v>
      </c>
      <c r="AI603">
        <v>79.650339923361997</v>
      </c>
      <c r="AJ603">
        <v>87.705852032124497</v>
      </c>
      <c r="AK603">
        <v>212.21003368549799</v>
      </c>
      <c r="AL603">
        <v>76.464321900722993</v>
      </c>
      <c r="AM603">
        <v>95.497036163004196</v>
      </c>
      <c r="AN603">
        <v>0.99999994188789798</v>
      </c>
    </row>
    <row r="604" spans="1:40" x14ac:dyDescent="0.25">
      <c r="A604" t="str">
        <f>"20190304155027278"</f>
        <v>20190304155027278</v>
      </c>
      <c r="B604" t="str">
        <f>"1551685827266865"</f>
        <v>1551685827266865</v>
      </c>
      <c r="C604" t="s">
        <v>40</v>
      </c>
      <c r="D604">
        <v>5.1571339999999903</v>
      </c>
      <c r="E604">
        <v>0.54989180000000004</v>
      </c>
      <c r="F604" t="s">
        <v>43</v>
      </c>
      <c r="G604">
        <v>-158.19499999999999</v>
      </c>
      <c r="H604">
        <v>39.310299999999998</v>
      </c>
      <c r="I604">
        <v>357.32709999999997</v>
      </c>
      <c r="J604">
        <v>-372.76060000000001</v>
      </c>
      <c r="K604">
        <v>1.110314</v>
      </c>
      <c r="L604">
        <v>367.48829999999998</v>
      </c>
      <c r="M604">
        <v>0.99990650000000003</v>
      </c>
      <c r="N604">
        <v>-1.129168E-2</v>
      </c>
      <c r="O604">
        <v>-7.7217880000000003E-3</v>
      </c>
      <c r="P604">
        <v>0.97081810000000002</v>
      </c>
      <c r="Q604">
        <v>0.22351889999999999</v>
      </c>
      <c r="R604">
        <v>8.689993E-2</v>
      </c>
      <c r="S604">
        <v>2.9803160000000002</v>
      </c>
      <c r="T604">
        <v>0.52938430000000003</v>
      </c>
      <c r="U604">
        <v>-0.1408691</v>
      </c>
      <c r="V604">
        <v>-9.4365870000000004E-2</v>
      </c>
      <c r="W604">
        <v>0.23447029999999999</v>
      </c>
      <c r="X604">
        <v>0.96753230000000001</v>
      </c>
      <c r="Y604">
        <v>3.9064500000000002E-2</v>
      </c>
      <c r="Z604">
        <v>1.771789E-3</v>
      </c>
      <c r="AA604">
        <v>0.99923510000000004</v>
      </c>
      <c r="AB604">
        <v>31</v>
      </c>
      <c r="AC604">
        <v>214.56559999999999</v>
      </c>
      <c r="AD604">
        <v>38.199986000000003</v>
      </c>
      <c r="AE604">
        <v>-10.161199999999999</v>
      </c>
      <c r="AF604">
        <v>8.2432664517131293</v>
      </c>
      <c r="AG604">
        <v>38.199986000000003</v>
      </c>
      <c r="AH604">
        <v>208.05779977828001</v>
      </c>
      <c r="AI604">
        <v>79.604186127452707</v>
      </c>
      <c r="AJ604">
        <v>87.731123386282505</v>
      </c>
      <c r="AK604">
        <v>211.69609921010101</v>
      </c>
      <c r="AL604">
        <v>76.439599096279593</v>
      </c>
      <c r="AM604">
        <v>95.570583172255795</v>
      </c>
      <c r="AN604">
        <v>0.999999995273118</v>
      </c>
    </row>
    <row r="605" spans="1:40" x14ac:dyDescent="0.25">
      <c r="A605" t="str">
        <f>"20190304155027292"</f>
        <v>20190304155027292</v>
      </c>
      <c r="B605" t="str">
        <f>"1551685827287360"</f>
        <v>1551685827287360</v>
      </c>
      <c r="C605" t="s">
        <v>40</v>
      </c>
      <c r="D605">
        <v>5.3743720000000001</v>
      </c>
      <c r="E605">
        <v>0.52699240000000003</v>
      </c>
      <c r="F605" t="s">
        <v>43</v>
      </c>
      <c r="G605">
        <v>-158.19499999999999</v>
      </c>
      <c r="H605">
        <v>39.241500000000002</v>
      </c>
      <c r="I605">
        <v>357.62619999999998</v>
      </c>
      <c r="J605">
        <v>-372.56849999999997</v>
      </c>
      <c r="K605">
        <v>1.110322</v>
      </c>
      <c r="L605">
        <v>367.48680000000002</v>
      </c>
      <c r="M605">
        <v>0.99990639999999997</v>
      </c>
      <c r="N605">
        <v>-1.129437E-2</v>
      </c>
      <c r="O605">
        <v>-7.7346960000000001E-3</v>
      </c>
      <c r="P605">
        <v>0.97078379999999997</v>
      </c>
      <c r="Q605">
        <v>0.22342429999999999</v>
      </c>
      <c r="R605">
        <v>8.7524370000000004E-2</v>
      </c>
      <c r="S605">
        <v>2.980499</v>
      </c>
      <c r="T605">
        <v>0.52967569999999997</v>
      </c>
      <c r="U605">
        <v>-0.13699339999999999</v>
      </c>
      <c r="V605">
        <v>-9.5006569999999999E-2</v>
      </c>
      <c r="W605">
        <v>0.23437669999999999</v>
      </c>
      <c r="X605">
        <v>0.96749229999999997</v>
      </c>
      <c r="Y605">
        <v>3.7770789999999999E-2</v>
      </c>
      <c r="Z605">
        <v>1.6637220000000001E-3</v>
      </c>
      <c r="AA605">
        <v>0.99928499999999998</v>
      </c>
      <c r="AB605">
        <v>31</v>
      </c>
      <c r="AC605">
        <v>214.37350000000001</v>
      </c>
      <c r="AD605">
        <v>38.131177999999998</v>
      </c>
      <c r="AE605">
        <v>-9.86060000000003</v>
      </c>
      <c r="AF605">
        <v>7.9510558124496704</v>
      </c>
      <c r="AG605">
        <v>38.131177999999998</v>
      </c>
      <c r="AH605">
        <v>207.88019295089401</v>
      </c>
      <c r="AI605">
        <v>79.613289252665595</v>
      </c>
      <c r="AJ605">
        <v>87.809603804021293</v>
      </c>
      <c r="AK605">
        <v>211.49794477843301</v>
      </c>
      <c r="AL605">
        <v>76.445116020652605</v>
      </c>
      <c r="AM605">
        <v>95.6083949010428</v>
      </c>
      <c r="AN605">
        <v>1.00000001820267</v>
      </c>
    </row>
    <row r="606" spans="1:40" x14ac:dyDescent="0.25">
      <c r="A606" t="str">
        <f>"20190304155027309"</f>
        <v>20190304155027309</v>
      </c>
      <c r="B606" t="str">
        <f>"1551685827306880"</f>
        <v>1551685827306880</v>
      </c>
      <c r="C606" t="s">
        <v>40</v>
      </c>
      <c r="D606">
        <v>5.2755710000000002</v>
      </c>
      <c r="E606">
        <v>0.52495400000000003</v>
      </c>
      <c r="F606" t="s">
        <v>43</v>
      </c>
      <c r="G606">
        <v>-158.19499999999999</v>
      </c>
      <c r="H606">
        <v>79.194959999999995</v>
      </c>
      <c r="I606">
        <v>371.31979999999999</v>
      </c>
      <c r="J606">
        <v>-372.32740000000001</v>
      </c>
      <c r="K606">
        <v>1.1103350000000001</v>
      </c>
      <c r="L606">
        <v>367.48500000000001</v>
      </c>
      <c r="M606">
        <v>0.99990619999999997</v>
      </c>
      <c r="N606">
        <v>-1.1297669999999999E-2</v>
      </c>
      <c r="O606">
        <v>-7.7453349999999999E-3</v>
      </c>
      <c r="P606">
        <v>0.9706186</v>
      </c>
      <c r="Q606">
        <v>0.22384119999999999</v>
      </c>
      <c r="R606">
        <v>8.8287409999999997E-2</v>
      </c>
      <c r="S606">
        <v>2.8470149999999999</v>
      </c>
      <c r="T606">
        <v>1.0370140000000001</v>
      </c>
      <c r="U606">
        <v>5.0903320000000002E-2</v>
      </c>
      <c r="V606">
        <v>-9.5783679999999996E-2</v>
      </c>
      <c r="W606">
        <v>0.234793</v>
      </c>
      <c r="X606">
        <v>0.96731469999999997</v>
      </c>
      <c r="Y606">
        <v>-2.3623870000000002E-2</v>
      </c>
      <c r="Z606">
        <v>-6.8485940000000004E-3</v>
      </c>
      <c r="AA606">
        <v>0.99969739999999996</v>
      </c>
      <c r="AB606">
        <v>31</v>
      </c>
      <c r="AC606">
        <v>214.13239999999999</v>
      </c>
      <c r="AD606">
        <v>78.084624999999903</v>
      </c>
      <c r="AE606">
        <v>3.8347999999999698</v>
      </c>
      <c r="AF606">
        <v>-4.8487655794439402</v>
      </c>
      <c r="AG606">
        <v>78.084624999999903</v>
      </c>
      <c r="AH606">
        <v>188.975523524143</v>
      </c>
      <c r="AI606">
        <v>67.556255441881603</v>
      </c>
      <c r="AJ606">
        <v>91.469782207689704</v>
      </c>
      <c r="AK606">
        <v>204.529869897428</v>
      </c>
      <c r="AL606">
        <v>76.420578814793402</v>
      </c>
      <c r="AM606">
        <v>95.6550043001902</v>
      </c>
      <c r="AN606">
        <v>0.99999999751971602</v>
      </c>
    </row>
    <row r="607" spans="1:40" x14ac:dyDescent="0.25">
      <c r="A607" t="str">
        <f>"20190304155027323"</f>
        <v>20190304155027323</v>
      </c>
      <c r="B607" t="str">
        <f>"1551685827317616"</f>
        <v>1551685827317616</v>
      </c>
      <c r="C607" t="s">
        <v>40</v>
      </c>
      <c r="D607">
        <v>5.4157080000000004</v>
      </c>
      <c r="E607">
        <v>0.49817679999999998</v>
      </c>
      <c r="F607" t="s">
        <v>43</v>
      </c>
      <c r="G607">
        <v>-158.19499999999999</v>
      </c>
      <c r="H607">
        <v>78.618619999999893</v>
      </c>
      <c r="I607">
        <v>372.75319999999999</v>
      </c>
      <c r="J607">
        <v>-372.13470000000001</v>
      </c>
      <c r="K607">
        <v>1.1103379999999901</v>
      </c>
      <c r="L607">
        <v>367.48349999999999</v>
      </c>
      <c r="M607">
        <v>0.99990630000000003</v>
      </c>
      <c r="N607">
        <v>-1.130025E-2</v>
      </c>
      <c r="O607">
        <v>-7.7499309999999998E-3</v>
      </c>
      <c r="P607">
        <v>0.9705802</v>
      </c>
      <c r="Q607">
        <v>0.2239438</v>
      </c>
      <c r="R607">
        <v>8.8452950000000002E-2</v>
      </c>
      <c r="S607">
        <v>2.8467709999999999</v>
      </c>
      <c r="T607">
        <v>1.03043</v>
      </c>
      <c r="U607">
        <v>7.0037840000000004E-2</v>
      </c>
      <c r="V607">
        <v>-9.59565E-2</v>
      </c>
      <c r="W607">
        <v>0.23489579999999999</v>
      </c>
      <c r="X607">
        <v>0.96727260000000004</v>
      </c>
      <c r="Y607">
        <v>-2.9980099999999999E-2</v>
      </c>
      <c r="Z607">
        <v>-7.887069E-3</v>
      </c>
      <c r="AA607">
        <v>0.99951939999999995</v>
      </c>
      <c r="AB607">
        <v>31</v>
      </c>
      <c r="AC607">
        <v>213.93969999999999</v>
      </c>
      <c r="AD607">
        <v>77.508281999999994</v>
      </c>
      <c r="AE607">
        <v>5.2697000000000003</v>
      </c>
      <c r="AF607">
        <v>-6.1243106633010402</v>
      </c>
      <c r="AG607">
        <v>77.508281999999994</v>
      </c>
      <c r="AH607">
        <v>189.08877128409799</v>
      </c>
      <c r="AI607">
        <v>67.721608877656706</v>
      </c>
      <c r="AJ607">
        <v>91.855078591274406</v>
      </c>
      <c r="AK607">
        <v>204.44951549324401</v>
      </c>
      <c r="AL607">
        <v>76.414519166177996</v>
      </c>
      <c r="AM607">
        <v>95.665386134555803</v>
      </c>
      <c r="AN607">
        <v>0.99999998473032403</v>
      </c>
    </row>
    <row r="608" spans="1:40" x14ac:dyDescent="0.25">
      <c r="A608" t="str">
        <f>"20190304155027337"</f>
        <v>20190304155027337</v>
      </c>
      <c r="B608" t="str">
        <f>"1551685827326909"</f>
        <v>1551685827326909</v>
      </c>
      <c r="C608" t="s">
        <v>40</v>
      </c>
      <c r="D608">
        <v>4.7675539999999996</v>
      </c>
      <c r="E608">
        <v>0.49817679999999998</v>
      </c>
      <c r="F608" t="s">
        <v>53</v>
      </c>
      <c r="G608">
        <v>0</v>
      </c>
      <c r="H608">
        <v>0</v>
      </c>
      <c r="I608">
        <v>0</v>
      </c>
      <c r="J608">
        <v>-371.94470000000001</v>
      </c>
      <c r="K608">
        <v>1.1103400000000001</v>
      </c>
      <c r="L608">
        <v>367.48200000000003</v>
      </c>
      <c r="M608">
        <v>0.99990619999999997</v>
      </c>
      <c r="N608">
        <v>-1.130277E-2</v>
      </c>
      <c r="O608">
        <v>-7.7521609999999996E-3</v>
      </c>
      <c r="P608">
        <v>0.97053599999999995</v>
      </c>
      <c r="Q608">
        <v>0.2240723</v>
      </c>
      <c r="R608">
        <v>8.8610980000000006E-2</v>
      </c>
      <c r="S608">
        <v>2.9720460000000002</v>
      </c>
      <c r="T608">
        <v>0.40571479999999999</v>
      </c>
      <c r="U608">
        <v>0.277099599999999</v>
      </c>
      <c r="V608">
        <v>-9.6117599999999997E-2</v>
      </c>
      <c r="W608">
        <v>0.2350256</v>
      </c>
      <c r="X608">
        <v>0.96722509999999995</v>
      </c>
      <c r="Y608">
        <v>-9.9626270000000003E-2</v>
      </c>
      <c r="Z608">
        <v>-7.3257449999999998E-3</v>
      </c>
      <c r="AA608">
        <v>0.99499800000000005</v>
      </c>
      <c r="AB608">
        <v>31</v>
      </c>
      <c r="AC608">
        <v>2.9720460000000002</v>
      </c>
      <c r="AD608">
        <v>0.40571479999999999</v>
      </c>
      <c r="AE608">
        <v>0.277099599999999</v>
      </c>
      <c r="AF608">
        <v>-0.29468831347601498</v>
      </c>
      <c r="AG608">
        <v>0.40571479999999999</v>
      </c>
      <c r="AH608">
        <v>2.9159380491597302</v>
      </c>
      <c r="AI608">
        <v>82.118530111489704</v>
      </c>
      <c r="AJ608">
        <v>95.770789308050794</v>
      </c>
      <c r="AK608">
        <v>2.9587396653939999</v>
      </c>
      <c r="AL608">
        <v>76.406868326258405</v>
      </c>
      <c r="AM608">
        <v>95.675112509183606</v>
      </c>
      <c r="AN608">
        <v>1.0000000098775601</v>
      </c>
    </row>
    <row r="609" spans="1:40" x14ac:dyDescent="0.25">
      <c r="A609" t="str">
        <f>"20190304155027354"</f>
        <v>20190304155027354</v>
      </c>
      <c r="B609" t="str">
        <f>"1551685827347405"</f>
        <v>1551685827347405</v>
      </c>
      <c r="C609" t="s">
        <v>40</v>
      </c>
      <c r="D609">
        <v>5.1873589999999998</v>
      </c>
      <c r="E609">
        <v>0.49896509999999999</v>
      </c>
      <c r="F609" t="s">
        <v>53</v>
      </c>
      <c r="G609">
        <v>0</v>
      </c>
      <c r="H609">
        <v>0</v>
      </c>
      <c r="I609">
        <v>0</v>
      </c>
      <c r="J609">
        <v>-371.71449999999999</v>
      </c>
      <c r="K609">
        <v>1.1103320000000001</v>
      </c>
      <c r="L609">
        <v>367.48020000000002</v>
      </c>
      <c r="M609">
        <v>0.99990610000000002</v>
      </c>
      <c r="N609">
        <v>-1.130579E-2</v>
      </c>
      <c r="O609">
        <v>-7.7518939999999996E-3</v>
      </c>
      <c r="P609">
        <v>0.97049750000000001</v>
      </c>
      <c r="Q609">
        <v>0.2243551</v>
      </c>
      <c r="R609">
        <v>8.8315179999999993E-2</v>
      </c>
      <c r="S609">
        <v>2.9719850000000001</v>
      </c>
      <c r="T609">
        <v>0.40610659999999998</v>
      </c>
      <c r="U609">
        <v>0.27734379999999997</v>
      </c>
      <c r="V609">
        <v>-9.5823469999999994E-2</v>
      </c>
      <c r="W609">
        <v>0.23531060000000001</v>
      </c>
      <c r="X609">
        <v>0.96718499999999996</v>
      </c>
      <c r="Y609">
        <v>-9.9706429999999999E-2</v>
      </c>
      <c r="Z609">
        <v>-7.3381509999999898E-3</v>
      </c>
      <c r="AA609">
        <v>0.99498980000000004</v>
      </c>
      <c r="AB609">
        <v>31</v>
      </c>
      <c r="AC609">
        <v>2.9719850000000001</v>
      </c>
      <c r="AD609">
        <v>0.40610659999999998</v>
      </c>
      <c r="AE609">
        <v>0.27734379999999997</v>
      </c>
      <c r="AF609">
        <v>-0.29491636211098898</v>
      </c>
      <c r="AG609">
        <v>0.40610659999999998</v>
      </c>
      <c r="AH609">
        <v>2.9157728240557801</v>
      </c>
      <c r="AI609">
        <v>82.110638772136596</v>
      </c>
      <c r="AJ609">
        <v>95.775549984394999</v>
      </c>
      <c r="AK609">
        <v>2.9586533072846799</v>
      </c>
      <c r="AL609">
        <v>76.390067996282696</v>
      </c>
      <c r="AM609">
        <v>95.658091968882104</v>
      </c>
      <c r="AN609">
        <v>1.0000000200501</v>
      </c>
    </row>
    <row r="610" spans="1:40" x14ac:dyDescent="0.25">
      <c r="A610" t="str">
        <f>"20190304155027365"</f>
        <v>20190304155027365</v>
      </c>
      <c r="B610" t="str">
        <f>"1551685827357166"</f>
        <v>1551685827357166</v>
      </c>
      <c r="C610" t="s">
        <v>40</v>
      </c>
      <c r="D610">
        <v>4.7014329999999998</v>
      </c>
      <c r="E610">
        <v>0.49987019999999999</v>
      </c>
      <c r="F610" t="s">
        <v>43</v>
      </c>
      <c r="G610">
        <v>-158.78319999999999</v>
      </c>
      <c r="H610">
        <v>32.025759999999998</v>
      </c>
      <c r="I610">
        <v>386.8537</v>
      </c>
      <c r="J610">
        <v>-371.54680000000002</v>
      </c>
      <c r="K610">
        <v>1.110333</v>
      </c>
      <c r="L610">
        <v>367.47890000000001</v>
      </c>
      <c r="M610">
        <v>0.99990610000000002</v>
      </c>
      <c r="N610">
        <v>-1.1307970000000001E-2</v>
      </c>
      <c r="O610">
        <v>-7.7498509999999899E-3</v>
      </c>
      <c r="P610">
        <v>0.97058160000000004</v>
      </c>
      <c r="Q610">
        <v>0.22408539999999999</v>
      </c>
      <c r="R610">
        <v>8.8074799999999995E-2</v>
      </c>
      <c r="S610">
        <v>2.9670719999999999</v>
      </c>
      <c r="T610">
        <v>0.43078909999999998</v>
      </c>
      <c r="U610">
        <v>0.26995849999999999</v>
      </c>
      <c r="V610">
        <v>-9.5583089999999996E-2</v>
      </c>
      <c r="W610">
        <v>0.23504320000000001</v>
      </c>
      <c r="X610">
        <v>0.96727379999999996</v>
      </c>
      <c r="Y610">
        <v>-9.7300680000000001E-2</v>
      </c>
      <c r="Z610">
        <v>-7.6626509999999899E-3</v>
      </c>
      <c r="AA610">
        <v>0.99522549999999999</v>
      </c>
      <c r="AB610">
        <v>31</v>
      </c>
      <c r="AC610">
        <v>212.7636</v>
      </c>
      <c r="AD610">
        <v>30.915427000000001</v>
      </c>
      <c r="AE610">
        <v>19.3748</v>
      </c>
      <c r="AF610">
        <v>-20.592019983201698</v>
      </c>
      <c r="AG610">
        <v>30.915427000000001</v>
      </c>
      <c r="AH610">
        <v>208.24644147613</v>
      </c>
      <c r="AI610">
        <v>81.596169932108097</v>
      </c>
      <c r="AJ610">
        <v>95.647216914315393</v>
      </c>
      <c r="AK610">
        <v>211.53339051093599</v>
      </c>
      <c r="AL610">
        <v>76.405830978348405</v>
      </c>
      <c r="AM610">
        <v>95.643475198863598</v>
      </c>
      <c r="AN610">
        <v>1.00000001856331</v>
      </c>
    </row>
    <row r="611" spans="1:40" x14ac:dyDescent="0.25">
      <c r="A611" t="str">
        <f>"20190304155027377"</f>
        <v>20190304155027377</v>
      </c>
      <c r="B611" t="str">
        <f>"1551685827366925"</f>
        <v>1551685827366925</v>
      </c>
      <c r="C611" t="s">
        <v>40</v>
      </c>
      <c r="D611">
        <v>5.116803</v>
      </c>
      <c r="E611">
        <v>0.49987019999999999</v>
      </c>
      <c r="F611" t="s">
        <v>43</v>
      </c>
      <c r="G611">
        <v>-158.78319999999999</v>
      </c>
      <c r="H611">
        <v>31.960129999999999</v>
      </c>
      <c r="I611">
        <v>386.26119999999997</v>
      </c>
      <c r="J611">
        <v>-371.3954</v>
      </c>
      <c r="K611">
        <v>1.1103289999999999</v>
      </c>
      <c r="L611">
        <v>367.47770000000003</v>
      </c>
      <c r="M611">
        <v>0.99990610000000002</v>
      </c>
      <c r="N611">
        <v>-1.130989E-2</v>
      </c>
      <c r="O611">
        <v>-7.7456579999999999E-3</v>
      </c>
      <c r="P611">
        <v>0.97062340000000003</v>
      </c>
      <c r="Q611">
        <v>0.2239881</v>
      </c>
      <c r="R611">
        <v>8.7861140000000004E-2</v>
      </c>
      <c r="S611">
        <v>2.9678339999999999</v>
      </c>
      <c r="T611">
        <v>0.43032399999999998</v>
      </c>
      <c r="U611">
        <v>0.26199339999999999</v>
      </c>
      <c r="V611">
        <v>-9.5366729999999997E-2</v>
      </c>
      <c r="W611">
        <v>0.23494780000000001</v>
      </c>
      <c r="X611">
        <v>0.96731829999999996</v>
      </c>
      <c r="Y611">
        <v>-9.4651239999999998E-2</v>
      </c>
      <c r="Z611">
        <v>-7.47658099999999E-3</v>
      </c>
      <c r="AA611">
        <v>0.99548239999999999</v>
      </c>
      <c r="AB611">
        <v>31</v>
      </c>
      <c r="AC611">
        <v>212.6122</v>
      </c>
      <c r="AD611">
        <v>30.849800999999999</v>
      </c>
      <c r="AE611">
        <v>18.783499999999901</v>
      </c>
      <c r="AF611">
        <v>-20.011803615984601</v>
      </c>
      <c r="AG611">
        <v>30.849800999999999</v>
      </c>
      <c r="AH611">
        <v>208.11271272375899</v>
      </c>
      <c r="AI611">
        <v>81.606265790392499</v>
      </c>
      <c r="AJ611">
        <v>95.492588031574996</v>
      </c>
      <c r="AK611">
        <v>211.33642303906399</v>
      </c>
      <c r="AL611">
        <v>76.411454046167194</v>
      </c>
      <c r="AM611">
        <v>95.630525553404198</v>
      </c>
      <c r="AN611">
        <v>0.99999998771531096</v>
      </c>
    </row>
    <row r="612" spans="1:40" x14ac:dyDescent="0.25">
      <c r="A612" t="str">
        <f>"20190304155027389"</f>
        <v>20190304155027389</v>
      </c>
      <c r="B612" t="str">
        <f>"1551685827387421"</f>
        <v>1551685827387421</v>
      </c>
      <c r="C612" t="s">
        <v>40</v>
      </c>
      <c r="D612">
        <v>5.3300559999999999</v>
      </c>
      <c r="E612">
        <v>0.49890790000000002</v>
      </c>
      <c r="F612" t="s">
        <v>43</v>
      </c>
      <c r="G612">
        <v>-158.78319999999999</v>
      </c>
      <c r="H612">
        <v>31.915610000000001</v>
      </c>
      <c r="I612">
        <v>386.20490000000001</v>
      </c>
      <c r="J612">
        <v>-371.22149999999999</v>
      </c>
      <c r="K612">
        <v>1.1103270000000001</v>
      </c>
      <c r="L612">
        <v>367.47629999999998</v>
      </c>
      <c r="M612">
        <v>0.99990610000000002</v>
      </c>
      <c r="N612">
        <v>-1.131241E-2</v>
      </c>
      <c r="O612">
        <v>-7.7391949999999999E-3</v>
      </c>
      <c r="P612">
        <v>0.97067079999999994</v>
      </c>
      <c r="Q612">
        <v>0.2238269</v>
      </c>
      <c r="R612">
        <v>8.7750170000000002E-2</v>
      </c>
      <c r="S612">
        <v>2.9678650000000002</v>
      </c>
      <c r="T612">
        <v>0.4300137</v>
      </c>
      <c r="U612">
        <v>0.26141360000000002</v>
      </c>
      <c r="V612">
        <v>-9.5251489999999994E-2</v>
      </c>
      <c r="W612">
        <v>0.23478879999999999</v>
      </c>
      <c r="X612">
        <v>0.96736829999999996</v>
      </c>
      <c r="Y612">
        <v>-9.4454369999999996E-2</v>
      </c>
      <c r="Z612">
        <v>-7.456776E-3</v>
      </c>
      <c r="AA612">
        <v>0.99550130000000003</v>
      </c>
      <c r="AB612">
        <v>31</v>
      </c>
      <c r="AC612">
        <v>212.4383</v>
      </c>
      <c r="AD612">
        <v>30.805282999999999</v>
      </c>
      <c r="AE612">
        <v>18.7286</v>
      </c>
      <c r="AF612">
        <v>-19.9558627095237</v>
      </c>
      <c r="AG612">
        <v>30.805282999999999</v>
      </c>
      <c r="AH612">
        <v>207.94810632085699</v>
      </c>
      <c r="AI612">
        <v>81.611513952022307</v>
      </c>
      <c r="AJ612">
        <v>95.481636893355699</v>
      </c>
      <c r="AK612">
        <v>211.16253654382399</v>
      </c>
      <c r="AL612">
        <v>76.420826790963503</v>
      </c>
      <c r="AM612">
        <v>95.623476525501502</v>
      </c>
      <c r="AN612">
        <v>1.0000000273987699</v>
      </c>
    </row>
    <row r="613" spans="1:40" x14ac:dyDescent="0.25">
      <c r="A613" t="str">
        <f>"20190304155027403"</f>
        <v>20190304155027403</v>
      </c>
      <c r="B613" t="str">
        <f>"1551685827397182"</f>
        <v>1551685827397182</v>
      </c>
      <c r="C613" t="s">
        <v>40</v>
      </c>
      <c r="D613">
        <v>5.3706860000000001</v>
      </c>
      <c r="E613">
        <v>0.51592490000000002</v>
      </c>
      <c r="F613" t="s">
        <v>43</v>
      </c>
      <c r="G613">
        <v>-158.78319999999999</v>
      </c>
      <c r="H613">
        <v>33.031030000000001</v>
      </c>
      <c r="I613">
        <v>386.74860000000001</v>
      </c>
      <c r="J613">
        <v>-371.03390000000002</v>
      </c>
      <c r="K613">
        <v>1.1103179999999999</v>
      </c>
      <c r="L613">
        <v>367.47489999999999</v>
      </c>
      <c r="M613">
        <v>0.99990619999999997</v>
      </c>
      <c r="N613">
        <v>-1.131688E-2</v>
      </c>
      <c r="O613">
        <v>-7.7279540000000004E-3</v>
      </c>
      <c r="P613">
        <v>0.97068690000000002</v>
      </c>
      <c r="Q613">
        <v>0.22371389999999999</v>
      </c>
      <c r="R613">
        <v>8.7859019999999996E-2</v>
      </c>
      <c r="S613">
        <v>2.963654</v>
      </c>
      <c r="T613">
        <v>0.44531569999999998</v>
      </c>
      <c r="U613">
        <v>0.26885989999999999</v>
      </c>
      <c r="V613">
        <v>-9.5351859999999997E-2</v>
      </c>
      <c r="W613">
        <v>0.23467940000000001</v>
      </c>
      <c r="X613">
        <v>0.96738489999999999</v>
      </c>
      <c r="Y613">
        <v>-9.6945699999999996E-2</v>
      </c>
      <c r="Z613">
        <v>-7.9149589999999992E-3</v>
      </c>
      <c r="AA613">
        <v>0.99525819999999998</v>
      </c>
      <c r="AB613">
        <v>31</v>
      </c>
      <c r="AC613">
        <v>212.25069999999999</v>
      </c>
      <c r="AD613">
        <v>31.920711999999899</v>
      </c>
      <c r="AE613">
        <v>19.273700000000002</v>
      </c>
      <c r="AF613">
        <v>-20.454641235733799</v>
      </c>
      <c r="AG613">
        <v>31.920711999999899</v>
      </c>
      <c r="AH613">
        <v>207.44193431551599</v>
      </c>
      <c r="AI613">
        <v>81.293636604876795</v>
      </c>
      <c r="AJ613">
        <v>95.631399313299099</v>
      </c>
      <c r="AK613">
        <v>210.87788009943699</v>
      </c>
      <c r="AL613">
        <v>76.427274342744496</v>
      </c>
      <c r="AM613">
        <v>95.629268170871299</v>
      </c>
      <c r="AN613">
        <v>0.99999997136891405</v>
      </c>
    </row>
    <row r="614" spans="1:40" x14ac:dyDescent="0.25">
      <c r="A614" t="str">
        <f>"20190304155027421"</f>
        <v>20190304155027421</v>
      </c>
      <c r="B614" t="str">
        <f>"1551685827417677"</f>
        <v>1551685827417677</v>
      </c>
      <c r="C614" t="s">
        <v>40</v>
      </c>
      <c r="D614">
        <v>4.9684039999999996</v>
      </c>
      <c r="E614">
        <v>0.4853325</v>
      </c>
      <c r="F614" t="s">
        <v>43</v>
      </c>
      <c r="G614">
        <v>-158.19499999999999</v>
      </c>
      <c r="H614">
        <v>66.255009999999999</v>
      </c>
      <c r="I614">
        <v>377.8331</v>
      </c>
      <c r="J614">
        <v>-370.79070000000002</v>
      </c>
      <c r="K614">
        <v>1.1103149999999999</v>
      </c>
      <c r="L614">
        <v>367.47300000000001</v>
      </c>
      <c r="M614">
        <v>0.99990619999999997</v>
      </c>
      <c r="N614">
        <v>-1.1324610000000001E-2</v>
      </c>
      <c r="O614">
        <v>-7.708955E-3</v>
      </c>
      <c r="P614">
        <v>0.97098269999999998</v>
      </c>
      <c r="Q614">
        <v>0.22225159999999999</v>
      </c>
      <c r="R614">
        <v>8.8299929999999999E-2</v>
      </c>
      <c r="S614">
        <v>2.8751530000000001</v>
      </c>
      <c r="T614">
        <v>0.8800133</v>
      </c>
      <c r="U614">
        <v>0.13992309999999999</v>
      </c>
      <c r="V614">
        <v>-9.5780699999999996E-2</v>
      </c>
      <c r="W614">
        <v>0.2332265</v>
      </c>
      <c r="X614">
        <v>0.9676939</v>
      </c>
      <c r="Y614">
        <v>-5.3575780000000003E-2</v>
      </c>
      <c r="Z614">
        <v>-1.0091839999999999E-2</v>
      </c>
      <c r="AA614">
        <v>0.99851279999999998</v>
      </c>
      <c r="AB614">
        <v>31</v>
      </c>
      <c r="AC614">
        <v>212.59569999999999</v>
      </c>
      <c r="AD614">
        <v>65.144694999999999</v>
      </c>
      <c r="AE614">
        <v>10.3600999999999</v>
      </c>
      <c r="AF614">
        <v>-10.971082699540499</v>
      </c>
      <c r="AG614">
        <v>65.144694999999999</v>
      </c>
      <c r="AH614">
        <v>194.30791310048801</v>
      </c>
      <c r="AI614">
        <v>71.492950727139799</v>
      </c>
      <c r="AJ614">
        <v>93.231623518863401</v>
      </c>
      <c r="AK614">
        <v>205.230994334945</v>
      </c>
      <c r="AL614">
        <v>76.512896137513707</v>
      </c>
      <c r="AM614">
        <v>95.6526279582462</v>
      </c>
      <c r="AN614">
        <v>1.0000000134459699</v>
      </c>
    </row>
    <row r="615" spans="1:40" x14ac:dyDescent="0.25">
      <c r="A615" t="str">
        <f>"20190304155027434"</f>
        <v>20190304155027434</v>
      </c>
      <c r="B615" t="str">
        <f>"1551685827426967"</f>
        <v>1551685827426967</v>
      </c>
      <c r="C615" t="s">
        <v>40</v>
      </c>
      <c r="D615">
        <v>4.9581819999999999</v>
      </c>
      <c r="E615">
        <v>0.48557260000000002</v>
      </c>
      <c r="F615" t="s">
        <v>55</v>
      </c>
      <c r="G615">
        <v>-177.44290000000001</v>
      </c>
      <c r="H615">
        <v>13.215389999999999</v>
      </c>
      <c r="I615">
        <v>391.50439999999998</v>
      </c>
      <c r="J615">
        <v>-370.60140000000001</v>
      </c>
      <c r="K615">
        <v>1.11032</v>
      </c>
      <c r="L615">
        <v>367.47160000000002</v>
      </c>
      <c r="M615">
        <v>0.99990619999999997</v>
      </c>
      <c r="N615">
        <v>-1.133166E-2</v>
      </c>
      <c r="O615">
        <v>-7.6913989999999998E-3</v>
      </c>
      <c r="P615">
        <v>0.97112520000000002</v>
      </c>
      <c r="Q615">
        <v>0.2213379</v>
      </c>
      <c r="R615">
        <v>8.9026759999999996E-2</v>
      </c>
      <c r="S615">
        <v>3.012451</v>
      </c>
      <c r="T615">
        <v>0.18860270000000001</v>
      </c>
      <c r="U615">
        <v>0.37442019999999998</v>
      </c>
      <c r="V615">
        <v>-9.6494339999999998E-2</v>
      </c>
      <c r="W615">
        <v>0.23231979999999999</v>
      </c>
      <c r="X615">
        <v>0.96784110000000001</v>
      </c>
      <c r="Y615">
        <v>-0.13074469999999999</v>
      </c>
      <c r="Z615">
        <v>-3.8949639999999999E-3</v>
      </c>
      <c r="AA615">
        <v>0.99140839999999997</v>
      </c>
      <c r="AB615">
        <v>31</v>
      </c>
      <c r="AC615">
        <v>193.1585</v>
      </c>
      <c r="AD615">
        <v>12.10507</v>
      </c>
      <c r="AE615">
        <v>24.032799999999899</v>
      </c>
      <c r="AF615">
        <v>-25.419532345501</v>
      </c>
      <c r="AG615">
        <v>12.10507</v>
      </c>
      <c r="AH615">
        <v>192.22449108997799</v>
      </c>
      <c r="AI615">
        <v>86.427654213915204</v>
      </c>
      <c r="AJ615">
        <v>97.5330167439392</v>
      </c>
      <c r="AK615">
        <v>194.27542386820201</v>
      </c>
      <c r="AL615">
        <v>76.566313644990203</v>
      </c>
      <c r="AM615">
        <v>95.693608218499705</v>
      </c>
      <c r="AN615">
        <v>1.00000002098664</v>
      </c>
    </row>
    <row r="616" spans="1:40" x14ac:dyDescent="0.25">
      <c r="A616" t="str">
        <f>"20190304155027454"</f>
        <v>20190304155027454</v>
      </c>
      <c r="B616" t="str">
        <f>"1551685827447463"</f>
        <v>1551685827447463</v>
      </c>
      <c r="C616" t="s">
        <v>40</v>
      </c>
      <c r="D616">
        <v>5.0597110000000001</v>
      </c>
      <c r="E616">
        <v>0.50490800000000002</v>
      </c>
      <c r="F616" t="s">
        <v>55</v>
      </c>
      <c r="G616">
        <v>-177.44280000000001</v>
      </c>
      <c r="H616">
        <v>13.57991</v>
      </c>
      <c r="I616">
        <v>391.54590000000002</v>
      </c>
      <c r="J616">
        <v>-370.32929999999999</v>
      </c>
      <c r="K616">
        <v>1.11032</v>
      </c>
      <c r="L616">
        <v>367.46949999999998</v>
      </c>
      <c r="M616">
        <v>0.99990639999999997</v>
      </c>
      <c r="N616">
        <v>-1.1342639999999999E-2</v>
      </c>
      <c r="O616">
        <v>-7.6623960000000001E-3</v>
      </c>
      <c r="P616">
        <v>0.97147340000000004</v>
      </c>
      <c r="Q616">
        <v>0.21922849999999999</v>
      </c>
      <c r="R616">
        <v>9.043445E-2</v>
      </c>
      <c r="S616">
        <v>3.0104980000000001</v>
      </c>
      <c r="T616">
        <v>0.1943463</v>
      </c>
      <c r="U616">
        <v>0.37521359999999998</v>
      </c>
      <c r="V616">
        <v>-9.7880439999999999E-2</v>
      </c>
      <c r="W616">
        <v>0.23022339999999999</v>
      </c>
      <c r="X616">
        <v>0.96820280000000003</v>
      </c>
      <c r="Y616">
        <v>-0.13103600000000001</v>
      </c>
      <c r="Z616">
        <v>-4.0410680000000001E-3</v>
      </c>
      <c r="AA616">
        <v>0.99136939999999996</v>
      </c>
      <c r="AB616">
        <v>31</v>
      </c>
      <c r="AC616">
        <v>192.88650000000001</v>
      </c>
      <c r="AD616">
        <v>12.46959</v>
      </c>
      <c r="AE616">
        <v>24.0764</v>
      </c>
      <c r="AF616">
        <v>-25.449034048968201</v>
      </c>
      <c r="AG616">
        <v>12.46959</v>
      </c>
      <c r="AH616">
        <v>191.906616254684</v>
      </c>
      <c r="AI616">
        <v>86.314471543911196</v>
      </c>
      <c r="AJ616">
        <v>97.554006816970102</v>
      </c>
      <c r="AK616">
        <v>193.98786913391299</v>
      </c>
      <c r="AL616">
        <v>76.689775790877505</v>
      </c>
      <c r="AM616">
        <v>95.772702788309104</v>
      </c>
      <c r="AN616">
        <v>1.0000000281849899</v>
      </c>
    </row>
    <row r="617" spans="1:40" x14ac:dyDescent="0.25">
      <c r="A617" t="str">
        <f>"20190304155027466"</f>
        <v>20190304155027466</v>
      </c>
      <c r="B617" t="str">
        <f>"1551685827457223"</f>
        <v>1551685827457223</v>
      </c>
      <c r="C617" t="s">
        <v>40</v>
      </c>
      <c r="D617">
        <v>5.3693609999999996</v>
      </c>
      <c r="E617">
        <v>0.50916539999999999</v>
      </c>
      <c r="F617" t="s">
        <v>43</v>
      </c>
      <c r="G617">
        <v>-158.78319999999999</v>
      </c>
      <c r="H617">
        <v>75.231619999999893</v>
      </c>
      <c r="I617">
        <v>385.09609999999998</v>
      </c>
      <c r="J617">
        <v>-370.14499999999998</v>
      </c>
      <c r="K617">
        <v>1.110325</v>
      </c>
      <c r="L617">
        <v>367.46809999999999</v>
      </c>
      <c r="M617">
        <v>0.99990650000000003</v>
      </c>
      <c r="N617">
        <v>-1.1350259999999999E-2</v>
      </c>
      <c r="O617">
        <v>-7.6409260000000001E-3</v>
      </c>
      <c r="P617">
        <v>0.97169810000000001</v>
      </c>
      <c r="Q617">
        <v>0.21787339999999999</v>
      </c>
      <c r="R617">
        <v>9.1291670000000005E-2</v>
      </c>
      <c r="S617">
        <v>2.841431</v>
      </c>
      <c r="T617">
        <v>0.99557810000000002</v>
      </c>
      <c r="U617">
        <v>0.2367554</v>
      </c>
      <c r="V617">
        <v>-9.872098E-2</v>
      </c>
      <c r="W617">
        <v>0.22887750000000001</v>
      </c>
      <c r="X617">
        <v>0.96843650000000003</v>
      </c>
      <c r="Y617">
        <v>-8.5288729999999993E-2</v>
      </c>
      <c r="Z617">
        <v>-1.666776E-2</v>
      </c>
      <c r="AA617">
        <v>0.99621680000000001</v>
      </c>
      <c r="AB617">
        <v>31</v>
      </c>
      <c r="AC617">
        <v>211.36179999999999</v>
      </c>
      <c r="AD617">
        <v>74.121294999999904</v>
      </c>
      <c r="AE617">
        <v>17.627999999999901</v>
      </c>
      <c r="AF617">
        <v>-17.148269928851199</v>
      </c>
      <c r="AG617">
        <v>74.121294999999904</v>
      </c>
      <c r="AH617">
        <v>188.23212635977501</v>
      </c>
      <c r="AI617">
        <v>68.587270432507907</v>
      </c>
      <c r="AJ617">
        <v>95.205374922000004</v>
      </c>
      <c r="AK617">
        <v>203.02552284861201</v>
      </c>
      <c r="AL617">
        <v>76.769005481574695</v>
      </c>
      <c r="AM617">
        <v>95.820541014829701</v>
      </c>
      <c r="AN617">
        <v>0.99999999821533003</v>
      </c>
    </row>
    <row r="618" spans="1:40" x14ac:dyDescent="0.25">
      <c r="A618" t="str">
        <f>"20190304155027478"</f>
        <v>20190304155027478</v>
      </c>
      <c r="B618" t="str">
        <f>"1551685827466984"</f>
        <v>1551685827466984</v>
      </c>
      <c r="C618" t="s">
        <v>40</v>
      </c>
      <c r="D618">
        <v>5.3185339999999997</v>
      </c>
      <c r="E618">
        <v>0.50916539999999999</v>
      </c>
      <c r="F618" t="s">
        <v>43</v>
      </c>
      <c r="G618">
        <v>-158.19499999999999</v>
      </c>
      <c r="H618">
        <v>74.220680000000002</v>
      </c>
      <c r="I618">
        <v>382.71039999999999</v>
      </c>
      <c r="J618">
        <v>-369.99</v>
      </c>
      <c r="K618">
        <v>1.1103350000000001</v>
      </c>
      <c r="L618">
        <v>367.46690000000001</v>
      </c>
      <c r="M618">
        <v>0.99990650000000003</v>
      </c>
      <c r="N618">
        <v>-1.1356649999999999E-2</v>
      </c>
      <c r="O618">
        <v>-7.6207849999999997E-3</v>
      </c>
      <c r="P618">
        <v>0.97151379999999998</v>
      </c>
      <c r="Q618">
        <v>0.2183908</v>
      </c>
      <c r="R618">
        <v>9.2013689999999995E-2</v>
      </c>
      <c r="S618">
        <v>2.8478699999999999</v>
      </c>
      <c r="T618">
        <v>0.98234929999999998</v>
      </c>
      <c r="U618">
        <v>0.2048035</v>
      </c>
      <c r="V618">
        <v>-9.9423289999999998E-2</v>
      </c>
      <c r="W618">
        <v>0.22939780000000001</v>
      </c>
      <c r="X618">
        <v>0.96824149999999998</v>
      </c>
      <c r="Y618">
        <v>-7.4712299999999995E-2</v>
      </c>
      <c r="Z618">
        <v>-1.470846E-2</v>
      </c>
      <c r="AA618">
        <v>0.99709669999999895</v>
      </c>
      <c r="AB618">
        <v>31</v>
      </c>
      <c r="AC618">
        <v>211.79499999999999</v>
      </c>
      <c r="AD618">
        <v>73.110344999999995</v>
      </c>
      <c r="AE618">
        <v>15.2434999999999</v>
      </c>
      <c r="AF618">
        <v>-15.070657904122999</v>
      </c>
      <c r="AG618">
        <v>73.110344999999995</v>
      </c>
      <c r="AH618">
        <v>189.239340910609</v>
      </c>
      <c r="AI618">
        <v>68.937373705634201</v>
      </c>
      <c r="AJ618">
        <v>94.553316089203904</v>
      </c>
      <c r="AK618">
        <v>203.43002586630001</v>
      </c>
      <c r="AL618">
        <v>76.738379300293701</v>
      </c>
      <c r="AM618">
        <v>95.862833848786494</v>
      </c>
      <c r="AN618">
        <v>0.99999997178075595</v>
      </c>
    </row>
    <row r="619" spans="1:40" x14ac:dyDescent="0.25">
      <c r="A619" t="str">
        <f>"20190304155027490"</f>
        <v>20190304155027490</v>
      </c>
      <c r="B619" t="str">
        <f>"1551685827487479"</f>
        <v>1551685827487479</v>
      </c>
      <c r="C619" t="s">
        <v>40</v>
      </c>
      <c r="D619">
        <v>4.967867</v>
      </c>
      <c r="E619">
        <v>0.50789039999999996</v>
      </c>
      <c r="F619" t="s">
        <v>43</v>
      </c>
      <c r="G619">
        <v>-158.19499999999999</v>
      </c>
      <c r="H619">
        <v>74.296549999999996</v>
      </c>
      <c r="I619">
        <v>382.78309999999999</v>
      </c>
      <c r="J619">
        <v>-369.83170000000001</v>
      </c>
      <c r="K619">
        <v>1.1103459999999901</v>
      </c>
      <c r="L619">
        <v>367.4658</v>
      </c>
      <c r="M619">
        <v>0.99990659999999998</v>
      </c>
      <c r="N619">
        <v>-1.1363120000000001E-2</v>
      </c>
      <c r="O619">
        <v>-7.5999319999999898E-3</v>
      </c>
      <c r="P619">
        <v>0.97117699999999996</v>
      </c>
      <c r="Q619">
        <v>0.2195792</v>
      </c>
      <c r="R619">
        <v>9.2738029999999999E-2</v>
      </c>
      <c r="S619">
        <v>2.8472599999999999</v>
      </c>
      <c r="T619">
        <v>0.98387769999999997</v>
      </c>
      <c r="U619">
        <v>0.2059021</v>
      </c>
      <c r="V619">
        <v>-0.1001261</v>
      </c>
      <c r="W619">
        <v>0.23058819999999999</v>
      </c>
      <c r="X619">
        <v>0.96788629999999998</v>
      </c>
      <c r="Y619">
        <v>-7.5055819999999995E-2</v>
      </c>
      <c r="Z619">
        <v>-1.4781600000000001E-2</v>
      </c>
      <c r="AA619">
        <v>0.99706980000000001</v>
      </c>
      <c r="AB619">
        <v>31</v>
      </c>
      <c r="AC619">
        <v>211.63669999999999</v>
      </c>
      <c r="AD619">
        <v>73.186204000000004</v>
      </c>
      <c r="AE619">
        <v>15.3172999999999</v>
      </c>
      <c r="AF619">
        <v>-15.1259730383799</v>
      </c>
      <c r="AG619">
        <v>73.186204000000004</v>
      </c>
      <c r="AH619">
        <v>189.02715966275301</v>
      </c>
      <c r="AI619">
        <v>68.896438625878702</v>
      </c>
      <c r="AJ619">
        <v>94.575065826385099</v>
      </c>
      <c r="AK619">
        <v>203.26407111552001</v>
      </c>
      <c r="AL619">
        <v>76.668296292936603</v>
      </c>
      <c r="AM619">
        <v>95.906137074458798</v>
      </c>
      <c r="AN619">
        <v>1.0000000218040599</v>
      </c>
    </row>
    <row r="620" spans="1:40" x14ac:dyDescent="0.25">
      <c r="A620" t="str">
        <f>"20190304155027501"</f>
        <v>20190304155027501</v>
      </c>
      <c r="B620" t="str">
        <f>"1551685827497239"</f>
        <v>1551685827497239</v>
      </c>
      <c r="C620" t="s">
        <v>40</v>
      </c>
      <c r="D620">
        <v>3.782886</v>
      </c>
      <c r="E620">
        <v>0.50273809999999997</v>
      </c>
      <c r="F620" t="s">
        <v>43</v>
      </c>
      <c r="G620">
        <v>-158.19499999999999</v>
      </c>
      <c r="H620">
        <v>71.997469999999893</v>
      </c>
      <c r="I620">
        <v>383.62240000000003</v>
      </c>
      <c r="J620">
        <v>-369.67399999999998</v>
      </c>
      <c r="K620">
        <v>1.110365</v>
      </c>
      <c r="L620">
        <v>367.46460000000002</v>
      </c>
      <c r="M620">
        <v>0.99990679999999998</v>
      </c>
      <c r="N620">
        <v>-1.136942E-2</v>
      </c>
      <c r="O620">
        <v>-7.577777E-3</v>
      </c>
      <c r="P620">
        <v>0.9705298</v>
      </c>
      <c r="Q620">
        <v>0.2223562</v>
      </c>
      <c r="R620">
        <v>9.2897679999999996E-2</v>
      </c>
      <c r="S620">
        <v>2.8522340000000002</v>
      </c>
      <c r="T620">
        <v>0.95534839999999999</v>
      </c>
      <c r="U620">
        <v>0.21774289999999999</v>
      </c>
      <c r="V620">
        <v>-0.10026</v>
      </c>
      <c r="W620">
        <v>0.23336370000000001</v>
      </c>
      <c r="X620">
        <v>0.96720700000000004</v>
      </c>
      <c r="Y620">
        <v>-7.9093029999999995E-2</v>
      </c>
      <c r="Z620">
        <v>-1.4966149999999999E-2</v>
      </c>
      <c r="AA620">
        <v>0.9967549</v>
      </c>
      <c r="AB620">
        <v>31</v>
      </c>
      <c r="AC620">
        <v>211.47900000000001</v>
      </c>
      <c r="AD620">
        <v>70.887104999999906</v>
      </c>
      <c r="AE620">
        <v>16.157800000000002</v>
      </c>
      <c r="AF620">
        <v>-15.975444925712001</v>
      </c>
      <c r="AG620">
        <v>70.887104999999906</v>
      </c>
      <c r="AH620">
        <v>190.11383607722101</v>
      </c>
      <c r="AI620">
        <v>69.617092880822298</v>
      </c>
      <c r="AJ620">
        <v>94.803333827515104</v>
      </c>
      <c r="AK620">
        <v>203.52755873309201</v>
      </c>
      <c r="AL620">
        <v>76.5048123466904</v>
      </c>
      <c r="AM620">
        <v>95.918103593836406</v>
      </c>
      <c r="AN620">
        <v>1.00000003246334</v>
      </c>
    </row>
    <row r="621" spans="1:40" x14ac:dyDescent="0.25">
      <c r="A621" t="str">
        <f>"20190304155027513"</f>
        <v>20190304155027513</v>
      </c>
      <c r="B621" t="str">
        <f>"1551685827506999"</f>
        <v>1551685827506999</v>
      </c>
      <c r="C621" t="s">
        <v>40</v>
      </c>
      <c r="D621">
        <v>4.6367510000000003</v>
      </c>
      <c r="E621">
        <v>0.50273809999999997</v>
      </c>
      <c r="F621" t="s">
        <v>43</v>
      </c>
      <c r="G621">
        <v>-158.78319999999999</v>
      </c>
      <c r="H621">
        <v>74.029309999999995</v>
      </c>
      <c r="I621">
        <v>386.68700000000001</v>
      </c>
      <c r="J621">
        <v>-369.51690000000002</v>
      </c>
      <c r="K621">
        <v>1.1103780000000001</v>
      </c>
      <c r="L621">
        <v>367.46339999999998</v>
      </c>
      <c r="M621">
        <v>0.99990670000000004</v>
      </c>
      <c r="N621">
        <v>-1.137557E-2</v>
      </c>
      <c r="O621">
        <v>-7.55491199999999E-3</v>
      </c>
      <c r="P621">
        <v>0.96996249999999995</v>
      </c>
      <c r="Q621">
        <v>0.2248434</v>
      </c>
      <c r="R621">
        <v>9.2833970000000002E-2</v>
      </c>
      <c r="S621">
        <v>2.8412169999999999</v>
      </c>
      <c r="T621">
        <v>0.9823982</v>
      </c>
      <c r="U621">
        <v>0.25897219999999999</v>
      </c>
      <c r="V621">
        <v>-0.1001705</v>
      </c>
      <c r="W621">
        <v>0.23585010000000001</v>
      </c>
      <c r="X621">
        <v>0.9666129</v>
      </c>
      <c r="Y621">
        <v>-9.2674649999999997E-2</v>
      </c>
      <c r="Z621">
        <v>-1.761478E-2</v>
      </c>
      <c r="AA621">
        <v>0.9955406</v>
      </c>
      <c r="AB621">
        <v>31</v>
      </c>
      <c r="AC621">
        <v>210.7337</v>
      </c>
      <c r="AD621">
        <v>72.918931999999998</v>
      </c>
      <c r="AE621">
        <v>19.223599999999902</v>
      </c>
      <c r="AF621">
        <v>-18.605882353719601</v>
      </c>
      <c r="AG621">
        <v>72.918931999999998</v>
      </c>
      <c r="AH621">
        <v>188.23103827812801</v>
      </c>
      <c r="AI621">
        <v>68.917758489350007</v>
      </c>
      <c r="AJ621">
        <v>95.645120141681105</v>
      </c>
      <c r="AK621">
        <v>202.71722490563801</v>
      </c>
      <c r="AL621">
        <v>76.358260738513593</v>
      </c>
      <c r="AM621">
        <v>95.916466464573503</v>
      </c>
      <c r="AN621">
        <v>0.99999994859333297</v>
      </c>
    </row>
    <row r="622" spans="1:40" x14ac:dyDescent="0.25">
      <c r="A622" t="str">
        <f>"20190304155027525"</f>
        <v>20190304155027525</v>
      </c>
      <c r="B622" t="str">
        <f>"1551685827517736"</f>
        <v>1551685827517736</v>
      </c>
      <c r="C622" t="s">
        <v>40</v>
      </c>
      <c r="D622">
        <v>3.9581149999999998</v>
      </c>
      <c r="E622">
        <v>0.50273809999999997</v>
      </c>
      <c r="F622" t="s">
        <v>43</v>
      </c>
      <c r="G622">
        <v>-158.78319999999999</v>
      </c>
      <c r="H622">
        <v>74.589550000000003</v>
      </c>
      <c r="I622">
        <v>386.64510000000001</v>
      </c>
      <c r="J622">
        <v>-369.33870000000002</v>
      </c>
      <c r="K622">
        <v>1.110387</v>
      </c>
      <c r="L622">
        <v>367.46210000000002</v>
      </c>
      <c r="M622">
        <v>0.99990699999999999</v>
      </c>
      <c r="N622">
        <v>-1.1382389999999999E-2</v>
      </c>
      <c r="O622">
        <v>-7.5287180000000002E-3</v>
      </c>
      <c r="P622">
        <v>0.96944249999999998</v>
      </c>
      <c r="Q622">
        <v>0.2271985</v>
      </c>
      <c r="R622">
        <v>9.2533599999999994E-2</v>
      </c>
      <c r="S622">
        <v>2.8387449999999999</v>
      </c>
      <c r="T622">
        <v>0.98982139999999996</v>
      </c>
      <c r="U622">
        <v>0.25839230000000002</v>
      </c>
      <c r="V622">
        <v>-9.9841299999999994E-2</v>
      </c>
      <c r="W622">
        <v>0.23820520000000001</v>
      </c>
      <c r="X622">
        <v>0.96606930000000002</v>
      </c>
      <c r="Y622">
        <v>-9.2446130000000001E-2</v>
      </c>
      <c r="Z622">
        <v>-1.7711899999999999E-2</v>
      </c>
      <c r="AA622">
        <v>0.99556020000000001</v>
      </c>
      <c r="AB622">
        <v>31</v>
      </c>
      <c r="AC622">
        <v>210.55549999999999</v>
      </c>
      <c r="AD622">
        <v>73.479163</v>
      </c>
      <c r="AE622">
        <v>19.183</v>
      </c>
      <c r="AF622">
        <v>-18.5297015733024</v>
      </c>
      <c r="AG622">
        <v>73.479163</v>
      </c>
      <c r="AH622">
        <v>187.73047699276</v>
      </c>
      <c r="AI622">
        <v>68.718343412208398</v>
      </c>
      <c r="AJ622">
        <v>95.637049278415503</v>
      </c>
      <c r="AK622">
        <v>202.448188995371</v>
      </c>
      <c r="AL622">
        <v>76.219365268760995</v>
      </c>
      <c r="AM622">
        <v>95.900454743831801</v>
      </c>
      <c r="AN622">
        <v>0.99999994744760801</v>
      </c>
    </row>
    <row r="623" spans="1:40" x14ac:dyDescent="0.25">
      <c r="A623" t="str">
        <f>"20190304155027536"</f>
        <v>20190304155027536</v>
      </c>
      <c r="B623" t="str">
        <f>"1551685827527025"</f>
        <v>1551685827527025</v>
      </c>
      <c r="C623" t="s">
        <v>40</v>
      </c>
      <c r="D623">
        <v>4.6357989999999996</v>
      </c>
      <c r="E623">
        <v>0.50273809999999997</v>
      </c>
      <c r="F623" t="s">
        <v>43</v>
      </c>
      <c r="G623">
        <v>-158.78319999999999</v>
      </c>
      <c r="H623">
        <v>75.096190000000007</v>
      </c>
      <c r="I623">
        <v>386.55739999999997</v>
      </c>
      <c r="J623">
        <v>-369.18459999999999</v>
      </c>
      <c r="K623">
        <v>1.1103889999999901</v>
      </c>
      <c r="L623">
        <v>367.46089999999998</v>
      </c>
      <c r="M623">
        <v>0.99990699999999999</v>
      </c>
      <c r="N623">
        <v>-1.1387990000000001E-2</v>
      </c>
      <c r="O623">
        <v>-7.5057369999999898E-3</v>
      </c>
      <c r="P623">
        <v>0.96922870000000005</v>
      </c>
      <c r="Q623">
        <v>0.22826469999999999</v>
      </c>
      <c r="R623">
        <v>9.214754E-2</v>
      </c>
      <c r="S623">
        <v>2.836395</v>
      </c>
      <c r="T623">
        <v>0.99666399999999999</v>
      </c>
      <c r="U623">
        <v>0.25723269999999998</v>
      </c>
      <c r="V623">
        <v>-9.9431569999999997E-2</v>
      </c>
      <c r="W623">
        <v>0.2392744</v>
      </c>
      <c r="X623">
        <v>0.96584740000000002</v>
      </c>
      <c r="Y623">
        <v>-9.20319E-2</v>
      </c>
      <c r="Z623">
        <v>-1.7768389999999998E-2</v>
      </c>
      <c r="AA623">
        <v>0.99559750000000002</v>
      </c>
      <c r="AB623">
        <v>31</v>
      </c>
      <c r="AC623">
        <v>210.4014</v>
      </c>
      <c r="AD623">
        <v>73.985800999999995</v>
      </c>
      <c r="AE623">
        <v>19.096499999999899</v>
      </c>
      <c r="AF623">
        <v>-18.416642102335299</v>
      </c>
      <c r="AG623">
        <v>73.985800999999995</v>
      </c>
      <c r="AH623">
        <v>187.28345441471899</v>
      </c>
      <c r="AI623">
        <v>68.537684899352001</v>
      </c>
      <c r="AJ623">
        <v>95.616162161054504</v>
      </c>
      <c r="AK623">
        <v>202.20821880785999</v>
      </c>
      <c r="AL623">
        <v>76.156281702461996</v>
      </c>
      <c r="AM623">
        <v>95.877750812930501</v>
      </c>
      <c r="AN623">
        <v>1.0000000378473901</v>
      </c>
    </row>
    <row r="624" spans="1:40" x14ac:dyDescent="0.25">
      <c r="A624" t="str">
        <f>"20190304155027555"</f>
        <v>20190304155027555</v>
      </c>
      <c r="B624" t="str">
        <f>"1551685827547524"</f>
        <v>1551685827547524</v>
      </c>
      <c r="C624" t="s">
        <v>40</v>
      </c>
      <c r="D624">
        <v>4.9395939999999996</v>
      </c>
      <c r="E624">
        <v>0.48714970000000002</v>
      </c>
      <c r="F624" t="s">
        <v>43</v>
      </c>
      <c r="G624">
        <v>-158.78319999999999</v>
      </c>
      <c r="H624">
        <v>75.294849999999997</v>
      </c>
      <c r="I624">
        <v>386.43290000000002</v>
      </c>
      <c r="J624">
        <v>-368.92930000000001</v>
      </c>
      <c r="K624">
        <v>1.1103889999999901</v>
      </c>
      <c r="L624">
        <v>367.45909999999998</v>
      </c>
      <c r="M624">
        <v>0.9999072</v>
      </c>
      <c r="N624">
        <v>-1.139691E-2</v>
      </c>
      <c r="O624">
        <v>-7.4682300000000002E-3</v>
      </c>
      <c r="P624">
        <v>0.96914739999999999</v>
      </c>
      <c r="Q624">
        <v>0.228993</v>
      </c>
      <c r="R624">
        <v>9.1189430000000002E-2</v>
      </c>
      <c r="S624">
        <v>2.83548</v>
      </c>
      <c r="T624">
        <v>0.9997492</v>
      </c>
      <c r="U624">
        <v>0.25567630000000002</v>
      </c>
      <c r="V624">
        <v>-9.8437179999999999E-2</v>
      </c>
      <c r="W624">
        <v>0.24001049999999999</v>
      </c>
      <c r="X624">
        <v>0.96576660000000003</v>
      </c>
      <c r="Y624">
        <v>-9.1476870000000002E-2</v>
      </c>
      <c r="Z624">
        <v>-1.7722350000000001E-2</v>
      </c>
      <c r="AA624">
        <v>0.99564949999999997</v>
      </c>
      <c r="AB624">
        <v>31</v>
      </c>
      <c r="AC624">
        <v>210.14609999999999</v>
      </c>
      <c r="AD624">
        <v>74.184460999999999</v>
      </c>
      <c r="AE624">
        <v>18.973800000000001</v>
      </c>
      <c r="AF624">
        <v>-18.282832502598801</v>
      </c>
      <c r="AG624">
        <v>74.184460999999999</v>
      </c>
      <c r="AH624">
        <v>186.89610999755899</v>
      </c>
      <c r="AI624">
        <v>68.443839210728996</v>
      </c>
      <c r="AJ624">
        <v>95.587097416622797</v>
      </c>
      <c r="AK624">
        <v>201.91025766512701</v>
      </c>
      <c r="AL624">
        <v>76.112840231287706</v>
      </c>
      <c r="AM624">
        <v>95.819857884403802</v>
      </c>
      <c r="AN624">
        <v>1.0000000220960801</v>
      </c>
    </row>
    <row r="625" spans="1:40" x14ac:dyDescent="0.25">
      <c r="A625" t="str">
        <f>"20190304155027566"</f>
        <v>20190304155027566</v>
      </c>
      <c r="B625" t="str">
        <f>"1551685827557281"</f>
        <v>1551685827557281</v>
      </c>
      <c r="C625" t="s">
        <v>40</v>
      </c>
      <c r="D625">
        <v>4.6609749999999996</v>
      </c>
      <c r="E625">
        <v>0.48876740000000002</v>
      </c>
      <c r="F625" t="s">
        <v>55</v>
      </c>
      <c r="G625">
        <v>-177.4385</v>
      </c>
      <c r="H625">
        <v>26.434190000000001</v>
      </c>
      <c r="I625">
        <v>391.61989999999997</v>
      </c>
      <c r="J625">
        <v>-368.77280000000002</v>
      </c>
      <c r="K625">
        <v>1.1103940000000001</v>
      </c>
      <c r="L625">
        <v>367.4579</v>
      </c>
      <c r="M625">
        <v>0.99990730000000005</v>
      </c>
      <c r="N625">
        <v>-1.140215E-2</v>
      </c>
      <c r="O625">
        <v>-7.4452490000000001E-3</v>
      </c>
      <c r="P625">
        <v>0.96918559999999998</v>
      </c>
      <c r="Q625">
        <v>0.2289794</v>
      </c>
      <c r="R625">
        <v>9.0818629999999997E-2</v>
      </c>
      <c r="S625">
        <v>2.9675289999999999</v>
      </c>
      <c r="T625">
        <v>0.39244230000000002</v>
      </c>
      <c r="U625">
        <v>0.37442019999999998</v>
      </c>
      <c r="V625">
        <v>-9.8044539999999999E-2</v>
      </c>
      <c r="W625">
        <v>0.24000260000000001</v>
      </c>
      <c r="X625">
        <v>0.96580849999999996</v>
      </c>
      <c r="Y625">
        <v>-0.13146040000000001</v>
      </c>
      <c r="Z625">
        <v>-8.9265190000000008E-3</v>
      </c>
      <c r="AA625">
        <v>0.99128119999999997</v>
      </c>
      <c r="AB625">
        <v>31</v>
      </c>
      <c r="AC625">
        <v>191.33430000000001</v>
      </c>
      <c r="AD625">
        <v>25.323795999999898</v>
      </c>
      <c r="AE625">
        <v>24.1619999999999</v>
      </c>
      <c r="AF625">
        <v>-25.152265727802899</v>
      </c>
      <c r="AG625">
        <v>25.323795999999898</v>
      </c>
      <c r="AH625">
        <v>187.90906557100001</v>
      </c>
      <c r="AI625">
        <v>82.391756522350406</v>
      </c>
      <c r="AJ625">
        <v>97.623918037843296</v>
      </c>
      <c r="AK625">
        <v>191.268784799972</v>
      </c>
      <c r="AL625">
        <v>76.113306455973998</v>
      </c>
      <c r="AM625">
        <v>95.796552632247</v>
      </c>
      <c r="AN625">
        <v>1.00000001925141</v>
      </c>
    </row>
    <row r="626" spans="1:40" x14ac:dyDescent="0.25">
      <c r="A626" t="str">
        <f>"20190304155027577"</f>
        <v>20190304155027577</v>
      </c>
      <c r="B626" t="str">
        <f>"1551685827567042"</f>
        <v>1551685827567042</v>
      </c>
      <c r="C626" t="s">
        <v>40</v>
      </c>
      <c r="D626">
        <v>4.7004460000000003</v>
      </c>
      <c r="E626">
        <v>0.48876740000000002</v>
      </c>
      <c r="F626" t="s">
        <v>55</v>
      </c>
      <c r="G626">
        <v>-175.2243</v>
      </c>
      <c r="H626">
        <v>27.54354</v>
      </c>
      <c r="I626">
        <v>391.00349999999997</v>
      </c>
      <c r="J626">
        <v>-368.62110000000001</v>
      </c>
      <c r="K626">
        <v>1.1103970000000001</v>
      </c>
      <c r="L626">
        <v>367.45679999999999</v>
      </c>
      <c r="M626">
        <v>0.99990760000000001</v>
      </c>
      <c r="N626">
        <v>-1.1406899999999999E-2</v>
      </c>
      <c r="O626">
        <v>-7.4231009999999997E-3</v>
      </c>
      <c r="P626">
        <v>0.96916990000000003</v>
      </c>
      <c r="Q626">
        <v>0.22937060000000001</v>
      </c>
      <c r="R626">
        <v>8.9995939999999996E-2</v>
      </c>
      <c r="S626">
        <v>2.9659119999999999</v>
      </c>
      <c r="T626">
        <v>0.40505790000000003</v>
      </c>
      <c r="U626">
        <v>0.3608093</v>
      </c>
      <c r="V626">
        <v>-9.7200229999999999E-2</v>
      </c>
      <c r="W626">
        <v>0.2403979</v>
      </c>
      <c r="X626">
        <v>0.96579550000000003</v>
      </c>
      <c r="Y626">
        <v>-0.12698499999999999</v>
      </c>
      <c r="Z626">
        <v>-8.9594469999999902E-3</v>
      </c>
      <c r="AA626">
        <v>0.99186419999999997</v>
      </c>
      <c r="AB626">
        <v>31</v>
      </c>
      <c r="AC626">
        <v>193.39680000000001</v>
      </c>
      <c r="AD626">
        <v>26.433143000000001</v>
      </c>
      <c r="AE626">
        <v>23.546699999999898</v>
      </c>
      <c r="AF626">
        <v>-24.5301945895554</v>
      </c>
      <c r="AG626">
        <v>26.433143000000001</v>
      </c>
      <c r="AH626">
        <v>189.72421255590999</v>
      </c>
      <c r="AI626">
        <v>82.133031710308799</v>
      </c>
      <c r="AJ626">
        <v>97.367127680155704</v>
      </c>
      <c r="AK626">
        <v>193.12099400484701</v>
      </c>
      <c r="AL626">
        <v>76.089973954082694</v>
      </c>
      <c r="AM626">
        <v>95.747048056761102</v>
      </c>
      <c r="AN626">
        <v>0.99999999142835605</v>
      </c>
    </row>
    <row r="627" spans="1:40" x14ac:dyDescent="0.25">
      <c r="A627" t="str">
        <f>"20190304155027589"</f>
        <v>20190304155027589</v>
      </c>
      <c r="B627" t="str">
        <f>"1551685827587537"</f>
        <v>1551685827587537</v>
      </c>
      <c r="C627" t="s">
        <v>40</v>
      </c>
      <c r="D627">
        <v>5.0187350000000004</v>
      </c>
      <c r="E627">
        <v>0.50518649999999998</v>
      </c>
      <c r="F627" t="s">
        <v>55</v>
      </c>
      <c r="G627">
        <v>-173.7739</v>
      </c>
      <c r="H627">
        <v>27.80902</v>
      </c>
      <c r="I627">
        <v>391.00349999999997</v>
      </c>
      <c r="J627">
        <v>-368.46370000000002</v>
      </c>
      <c r="K627">
        <v>1.110401</v>
      </c>
      <c r="L627">
        <v>367.4556</v>
      </c>
      <c r="M627">
        <v>0.99990760000000001</v>
      </c>
      <c r="N627">
        <v>-1.141176E-2</v>
      </c>
      <c r="O627">
        <v>-7.4000000000000003E-3</v>
      </c>
      <c r="P627">
        <v>0.96921440000000003</v>
      </c>
      <c r="Q627">
        <v>0.2295111</v>
      </c>
      <c r="R627">
        <v>8.9153189999999993E-2</v>
      </c>
      <c r="S627">
        <v>2.965973</v>
      </c>
      <c r="T627">
        <v>0.40640739999999997</v>
      </c>
      <c r="U627">
        <v>0.358429</v>
      </c>
      <c r="V627">
        <v>-9.6335409999999996E-2</v>
      </c>
      <c r="W627">
        <v>0.2405437</v>
      </c>
      <c r="X627">
        <v>0.96584590000000003</v>
      </c>
      <c r="Y627">
        <v>-0.12617419999999999</v>
      </c>
      <c r="Z627">
        <v>-8.9373290000000008E-3</v>
      </c>
      <c r="AA627">
        <v>0.99196790000000001</v>
      </c>
      <c r="AB627">
        <v>31</v>
      </c>
      <c r="AC627">
        <v>194.68979999999999</v>
      </c>
      <c r="AD627">
        <v>26.698619000000001</v>
      </c>
      <c r="AE627">
        <v>23.547899999999899</v>
      </c>
      <c r="AF627">
        <v>-24.5333370820819</v>
      </c>
      <c r="AG627">
        <v>26.698619000000001</v>
      </c>
      <c r="AH627">
        <v>190.97063315394001</v>
      </c>
      <c r="AI627">
        <v>82.105406968463996</v>
      </c>
      <c r="AJ627">
        <v>97.320494814209397</v>
      </c>
      <c r="AK627">
        <v>194.38231301254501</v>
      </c>
      <c r="AL627">
        <v>76.081368418191801</v>
      </c>
      <c r="AM627">
        <v>95.695957296467498</v>
      </c>
      <c r="AN627">
        <v>1.0000000426881801</v>
      </c>
    </row>
    <row r="628" spans="1:40" x14ac:dyDescent="0.25">
      <c r="A628" t="str">
        <f>"20190304155027610"</f>
        <v>20190304155027610</v>
      </c>
      <c r="B628" t="str">
        <f>"1551685827607058"</f>
        <v>1551685827607058</v>
      </c>
      <c r="C628" t="s">
        <v>40</v>
      </c>
      <c r="D628">
        <v>9.3641850000000009</v>
      </c>
      <c r="E628">
        <v>0.50525969999999998</v>
      </c>
      <c r="F628" t="s">
        <v>43</v>
      </c>
      <c r="G628">
        <v>-158.74700000000001</v>
      </c>
      <c r="H628">
        <v>66.790210000000002</v>
      </c>
      <c r="I628">
        <v>384.04969999999997</v>
      </c>
      <c r="J628">
        <v>-368.16579999999999</v>
      </c>
      <c r="K628">
        <v>1.1104069999999999</v>
      </c>
      <c r="L628">
        <v>367.45350000000002</v>
      </c>
      <c r="M628">
        <v>0.99990769999999995</v>
      </c>
      <c r="N628">
        <v>-1.1420369999999999E-2</v>
      </c>
      <c r="O628">
        <v>-7.3573639999999999E-3</v>
      </c>
      <c r="P628">
        <v>0.96935400000000005</v>
      </c>
      <c r="Q628">
        <v>0.22952719999999999</v>
      </c>
      <c r="R628">
        <v>8.7579119999999996E-2</v>
      </c>
      <c r="S628">
        <v>2.862152</v>
      </c>
      <c r="T628">
        <v>0.89637919999999904</v>
      </c>
      <c r="U628">
        <v>0.2264709</v>
      </c>
      <c r="V628">
        <v>-9.472179E-2</v>
      </c>
      <c r="W628">
        <v>0.24057010000000001</v>
      </c>
      <c r="X628">
        <v>0.96599889999999999</v>
      </c>
      <c r="Y628">
        <v>-8.2078090000000006E-2</v>
      </c>
      <c r="Z628">
        <v>-1.438305E-2</v>
      </c>
      <c r="AA628">
        <v>0.99652209999999997</v>
      </c>
      <c r="AB628">
        <v>31</v>
      </c>
      <c r="AC628">
        <v>209.4188</v>
      </c>
      <c r="AD628">
        <v>65.679803000000007</v>
      </c>
      <c r="AE628">
        <v>16.5961999999999</v>
      </c>
      <c r="AF628">
        <v>-16.521643664213101</v>
      </c>
      <c r="AG628">
        <v>65.679803000000007</v>
      </c>
      <c r="AH628">
        <v>190.654671621792</v>
      </c>
      <c r="AI628">
        <v>71.057271758894899</v>
      </c>
      <c r="AJ628">
        <v>94.952732142348196</v>
      </c>
      <c r="AK628">
        <v>202.32648131843601</v>
      </c>
      <c r="AL628">
        <v>76.079809905771</v>
      </c>
      <c r="AM628">
        <v>95.600280209871102</v>
      </c>
      <c r="AN628">
        <v>1.0000000326580101</v>
      </c>
    </row>
    <row r="629" spans="1:40" x14ac:dyDescent="0.25">
      <c r="A629" t="str">
        <f>"20190304155027624"</f>
        <v>20190304155027624</v>
      </c>
      <c r="B629" t="str">
        <f>"1551685827616817"</f>
        <v>1551685827616817</v>
      </c>
      <c r="C629" t="s">
        <v>40</v>
      </c>
      <c r="D629">
        <v>4.9787489999999996</v>
      </c>
      <c r="E629">
        <v>0.50525969999999998</v>
      </c>
      <c r="F629" t="s">
        <v>43</v>
      </c>
      <c r="G629">
        <v>-158.19499999999999</v>
      </c>
      <c r="H629">
        <v>69.591030000000003</v>
      </c>
      <c r="I629">
        <v>383.72199999999998</v>
      </c>
      <c r="J629">
        <v>-367.97910000000002</v>
      </c>
      <c r="K629">
        <v>1.1104069999999999</v>
      </c>
      <c r="L629">
        <v>367.45209999999997</v>
      </c>
      <c r="M629">
        <v>0.99990800000000002</v>
      </c>
      <c r="N629">
        <v>-1.1425380000000001E-2</v>
      </c>
      <c r="O629">
        <v>-7.3310429999999998E-3</v>
      </c>
      <c r="P629">
        <v>0.96944059999999999</v>
      </c>
      <c r="Q629">
        <v>0.22945360000000001</v>
      </c>
      <c r="R629">
        <v>8.6813349999999997E-2</v>
      </c>
      <c r="S629">
        <v>2.8544309999999999</v>
      </c>
      <c r="T629">
        <v>0.93095490000000003</v>
      </c>
      <c r="U629">
        <v>0.22116089999999999</v>
      </c>
      <c r="V629">
        <v>-9.3931109999999998E-2</v>
      </c>
      <c r="W629">
        <v>0.24050250000000001</v>
      </c>
      <c r="X629">
        <v>0.96609290000000003</v>
      </c>
      <c r="Y629">
        <v>-8.0171220000000001E-2</v>
      </c>
      <c r="Z629">
        <v>-1.466484E-2</v>
      </c>
      <c r="AA629">
        <v>0.99667320000000004</v>
      </c>
      <c r="AB629">
        <v>31</v>
      </c>
      <c r="AC629">
        <v>209.7841</v>
      </c>
      <c r="AD629">
        <v>68.480622999999994</v>
      </c>
      <c r="AE629">
        <v>16.2699</v>
      </c>
      <c r="AF629">
        <v>-16.1019496085596</v>
      </c>
      <c r="AG629">
        <v>68.480622999999994</v>
      </c>
      <c r="AH629">
        <v>189.57864334882501</v>
      </c>
      <c r="AI629">
        <v>70.204701128303896</v>
      </c>
      <c r="AJ629">
        <v>94.854791653780694</v>
      </c>
      <c r="AK629">
        <v>202.21011478569901</v>
      </c>
      <c r="AL629">
        <v>76.083799774105799</v>
      </c>
      <c r="AM629">
        <v>95.553288959377497</v>
      </c>
      <c r="AN629">
        <v>0.99999999868124601</v>
      </c>
    </row>
    <row r="630" spans="1:40" x14ac:dyDescent="0.25">
      <c r="A630" t="str">
        <f>"20190304155027636"</f>
        <v>20190304155027636</v>
      </c>
      <c r="B630" t="str">
        <f>"1551685827627086"</f>
        <v>1551685827627086</v>
      </c>
      <c r="C630" t="s">
        <v>40</v>
      </c>
      <c r="D630">
        <v>4.9280819999999999</v>
      </c>
      <c r="E630">
        <v>0.4836377</v>
      </c>
      <c r="F630" t="s">
        <v>43</v>
      </c>
      <c r="G630">
        <v>-158.19499999999999</v>
      </c>
      <c r="H630">
        <v>69.511629999999997</v>
      </c>
      <c r="I630">
        <v>383.5299</v>
      </c>
      <c r="J630">
        <v>-367.80369999999999</v>
      </c>
      <c r="K630">
        <v>1.1103989999999999</v>
      </c>
      <c r="L630">
        <v>367.45089999999999</v>
      </c>
      <c r="M630">
        <v>0.99990789999999996</v>
      </c>
      <c r="N630">
        <v>-1.142984E-2</v>
      </c>
      <c r="O630">
        <v>-7.306033E-3</v>
      </c>
      <c r="P630">
        <v>0.96958060000000001</v>
      </c>
      <c r="Q630">
        <v>0.228938</v>
      </c>
      <c r="R630">
        <v>8.6606849999999999E-2</v>
      </c>
      <c r="S630">
        <v>2.8546749999999999</v>
      </c>
      <c r="T630">
        <v>0.93078289999999997</v>
      </c>
      <c r="U630">
        <v>0.21878049999999999</v>
      </c>
      <c r="V630">
        <v>-9.3701439999999997E-2</v>
      </c>
      <c r="W630">
        <v>0.23999290000000001</v>
      </c>
      <c r="X630">
        <v>0.96624189999999999</v>
      </c>
      <c r="Y630">
        <v>-7.9357360000000002E-2</v>
      </c>
      <c r="Z630">
        <v>-1.452869E-2</v>
      </c>
      <c r="AA630">
        <v>0.99674030000000002</v>
      </c>
      <c r="AB630">
        <v>31</v>
      </c>
      <c r="AC630">
        <v>209.6087</v>
      </c>
      <c r="AD630">
        <v>68.401230999999996</v>
      </c>
      <c r="AE630">
        <v>16.079000000000001</v>
      </c>
      <c r="AF630">
        <v>-15.924226758304799</v>
      </c>
      <c r="AG630">
        <v>68.401230999999996</v>
      </c>
      <c r="AH630">
        <v>189.43109573311901</v>
      </c>
      <c r="AI630">
        <v>70.210328218057697</v>
      </c>
      <c r="AJ630">
        <v>94.805181868714996</v>
      </c>
      <c r="AK630">
        <v>202.03081307269801</v>
      </c>
      <c r="AL630">
        <v>76.113878409955902</v>
      </c>
      <c r="AM630">
        <v>95.538946282971196</v>
      </c>
      <c r="AN630">
        <v>0.99999998061204598</v>
      </c>
    </row>
    <row r="631" spans="1:40" x14ac:dyDescent="0.25">
      <c r="A631" t="str">
        <f>"20190304155027655"</f>
        <v>20190304155027655</v>
      </c>
      <c r="B631" t="str">
        <f>"1551685827647581"</f>
        <v>1551685827647581</v>
      </c>
      <c r="C631" t="s">
        <v>40</v>
      </c>
      <c r="D631">
        <v>4.2938479999999997</v>
      </c>
      <c r="E631">
        <v>0.50860439999999996</v>
      </c>
      <c r="F631" t="s">
        <v>55</v>
      </c>
      <c r="G631">
        <v>-178.52869999999999</v>
      </c>
      <c r="H631">
        <v>12.85576</v>
      </c>
      <c r="I631">
        <v>391.87</v>
      </c>
      <c r="J631">
        <v>-367.53960000000001</v>
      </c>
      <c r="K631">
        <v>1.110387</v>
      </c>
      <c r="L631">
        <v>367.44900000000001</v>
      </c>
      <c r="M631">
        <v>0.99990809999999997</v>
      </c>
      <c r="N631">
        <v>-1.1436200000000001E-2</v>
      </c>
      <c r="O631">
        <v>-7.2685149999999997E-3</v>
      </c>
      <c r="P631">
        <v>0.97001280000000001</v>
      </c>
      <c r="Q631">
        <v>0.22731380000000001</v>
      </c>
      <c r="R631">
        <v>8.6044739999999995E-2</v>
      </c>
      <c r="S631">
        <v>3.015228</v>
      </c>
      <c r="T631">
        <v>0.18710830000000001</v>
      </c>
      <c r="U631">
        <v>0.38900760000000001</v>
      </c>
      <c r="V631">
        <v>-9.3106449999999993E-2</v>
      </c>
      <c r="W631">
        <v>0.2383798</v>
      </c>
      <c r="X631">
        <v>0.96669859999999996</v>
      </c>
      <c r="Y631">
        <v>-0.13493269999999999</v>
      </c>
      <c r="Z631">
        <v>-3.9214790000000003E-3</v>
      </c>
      <c r="AA631">
        <v>0.99084700000000003</v>
      </c>
      <c r="AB631">
        <v>31</v>
      </c>
      <c r="AC631">
        <v>189.01089999999999</v>
      </c>
      <c r="AD631">
        <v>11.745372999999899</v>
      </c>
      <c r="AE631">
        <v>24.4209999999999</v>
      </c>
      <c r="AF631">
        <v>-25.696674040009299</v>
      </c>
      <c r="AG631">
        <v>11.745372999999899</v>
      </c>
      <c r="AH631">
        <v>188.11390938904</v>
      </c>
      <c r="AI631">
        <v>86.460020042175003</v>
      </c>
      <c r="AJ631">
        <v>97.778554899106396</v>
      </c>
      <c r="AK631">
        <v>190.22385694033099</v>
      </c>
      <c r="AL631">
        <v>76.209064900981204</v>
      </c>
      <c r="AM631">
        <v>95.501407161492494</v>
      </c>
      <c r="AN631">
        <v>0.99999996166079996</v>
      </c>
    </row>
    <row r="632" spans="1:40" x14ac:dyDescent="0.25">
      <c r="A632" t="str">
        <f>"20190304155027667"</f>
        <v>20190304155027667</v>
      </c>
      <c r="B632" t="str">
        <f>"1551685827657341"</f>
        <v>1551685827657341</v>
      </c>
      <c r="C632" t="s">
        <v>40</v>
      </c>
      <c r="D632">
        <v>5.4323459999999999</v>
      </c>
      <c r="E632">
        <v>0.5085769</v>
      </c>
      <c r="F632" t="s">
        <v>43</v>
      </c>
      <c r="G632">
        <v>-158.19499999999999</v>
      </c>
      <c r="H632">
        <v>71.479280000000003</v>
      </c>
      <c r="I632">
        <v>381.4083</v>
      </c>
      <c r="J632">
        <v>-367.38159999999999</v>
      </c>
      <c r="K632">
        <v>1.1103749999999999</v>
      </c>
      <c r="L632">
        <v>367.44779999999997</v>
      </c>
      <c r="M632">
        <v>0.99990829999999997</v>
      </c>
      <c r="N632">
        <v>-1.143984E-2</v>
      </c>
      <c r="O632">
        <v>-7.2463600000000003E-3</v>
      </c>
      <c r="P632">
        <v>0.97030899999999998</v>
      </c>
      <c r="Q632">
        <v>0.22617399999999999</v>
      </c>
      <c r="R632">
        <v>8.5709240000000006E-2</v>
      </c>
      <c r="S632">
        <v>2.8512569999999999</v>
      </c>
      <c r="T632">
        <v>0.95841960000000004</v>
      </c>
      <c r="U632">
        <v>0.1901245</v>
      </c>
      <c r="V632">
        <v>-9.2751710000000001E-2</v>
      </c>
      <c r="W632">
        <v>0.2372474</v>
      </c>
      <c r="X632">
        <v>0.96701130000000002</v>
      </c>
      <c r="Y632">
        <v>-6.9661089999999995E-2</v>
      </c>
      <c r="Z632">
        <v>-1.3422679999999999E-2</v>
      </c>
      <c r="AA632">
        <v>0.99748040000000004</v>
      </c>
      <c r="AB632">
        <v>31</v>
      </c>
      <c r="AC632">
        <v>209.1866</v>
      </c>
      <c r="AD632">
        <v>70.368904999999998</v>
      </c>
      <c r="AE632">
        <v>13.9605</v>
      </c>
      <c r="AF632">
        <v>-13.9090963957608</v>
      </c>
      <c r="AG632">
        <v>70.368904999999998</v>
      </c>
      <c r="AH632">
        <v>187.910254251439</v>
      </c>
      <c r="AI632">
        <v>69.521362752022199</v>
      </c>
      <c r="AJ632">
        <v>94.233307223424305</v>
      </c>
      <c r="AK632">
        <v>201.13554983216201</v>
      </c>
      <c r="AL632">
        <v>76.2758640090439</v>
      </c>
      <c r="AM632">
        <v>95.478812948093903</v>
      </c>
      <c r="AN632">
        <v>1.0000000314211801</v>
      </c>
    </row>
    <row r="633" spans="1:40" x14ac:dyDescent="0.25">
      <c r="A633" t="str">
        <f>"20190304155027678"</f>
        <v>20190304155027678</v>
      </c>
      <c r="B633" t="str">
        <f>"1551685827667100"</f>
        <v>1551685827667100</v>
      </c>
      <c r="C633" t="s">
        <v>40</v>
      </c>
      <c r="D633">
        <v>5.3266710000000002</v>
      </c>
      <c r="E633">
        <v>0.50977059999999996</v>
      </c>
      <c r="F633" t="s">
        <v>43</v>
      </c>
      <c r="G633">
        <v>-158.19499999999999</v>
      </c>
      <c r="H633">
        <v>68.622019999999907</v>
      </c>
      <c r="I633">
        <v>381.2783</v>
      </c>
      <c r="J633">
        <v>-367.22379999999998</v>
      </c>
      <c r="K633">
        <v>1.1103700000000001</v>
      </c>
      <c r="L633">
        <v>367.44670000000002</v>
      </c>
      <c r="M633">
        <v>0.99990849999999998</v>
      </c>
      <c r="N633">
        <v>-1.144325E-2</v>
      </c>
      <c r="O633">
        <v>-7.2238479999999997E-3</v>
      </c>
      <c r="P633">
        <v>0.97055849999999999</v>
      </c>
      <c r="Q633">
        <v>0.22514790000000001</v>
      </c>
      <c r="R633">
        <v>8.5585599999999998E-2</v>
      </c>
      <c r="S633">
        <v>2.8599549999999998</v>
      </c>
      <c r="T633">
        <v>0.92300570000000004</v>
      </c>
      <c r="U633">
        <v>0.1890869</v>
      </c>
      <c r="V633">
        <v>-9.2608019999999999E-2</v>
      </c>
      <c r="W633">
        <v>0.2362272</v>
      </c>
      <c r="X633">
        <v>0.96727470000000004</v>
      </c>
      <c r="Y633">
        <v>-6.9406960000000004E-2</v>
      </c>
      <c r="Z633">
        <v>-1.28565E-2</v>
      </c>
      <c r="AA633">
        <v>0.99750559999999999</v>
      </c>
      <c r="AB633">
        <v>31</v>
      </c>
      <c r="AC633">
        <v>209.02879999999999</v>
      </c>
      <c r="AD633">
        <v>67.511649999999904</v>
      </c>
      <c r="AE633">
        <v>13.8315999999999</v>
      </c>
      <c r="AF633">
        <v>-13.897896460837799</v>
      </c>
      <c r="AG633">
        <v>67.511649999999904</v>
      </c>
      <c r="AH633">
        <v>189.26625387454999</v>
      </c>
      <c r="AI633">
        <v>70.417279671598095</v>
      </c>
      <c r="AJ633">
        <v>94.199714430357602</v>
      </c>
      <c r="AK633">
        <v>201.42663495045599</v>
      </c>
      <c r="AL633">
        <v>76.336026117968999</v>
      </c>
      <c r="AM633">
        <v>95.468896139901005</v>
      </c>
      <c r="AN633">
        <v>0.99999994032412298</v>
      </c>
    </row>
    <row r="634" spans="1:40" x14ac:dyDescent="0.25">
      <c r="A634" t="str">
        <f>"20190304155027691"</f>
        <v>20190304155027691</v>
      </c>
      <c r="B634" t="str">
        <f>"1551685827687597"</f>
        <v>1551685827687597</v>
      </c>
      <c r="C634" t="s">
        <v>40</v>
      </c>
      <c r="D634">
        <v>3.851324</v>
      </c>
      <c r="E634">
        <v>0.50841119999999995</v>
      </c>
      <c r="F634" t="s">
        <v>43</v>
      </c>
      <c r="G634">
        <v>-158.19499999999999</v>
      </c>
      <c r="H634">
        <v>65.966350000000006</v>
      </c>
      <c r="I634">
        <v>380.48840000000001</v>
      </c>
      <c r="J634">
        <v>-367.05020000000002</v>
      </c>
      <c r="K634">
        <v>1.1103639999999999</v>
      </c>
      <c r="L634">
        <v>367.44549999999998</v>
      </c>
      <c r="M634">
        <v>0.99990860000000004</v>
      </c>
      <c r="N634">
        <v>-1.1446899999999999E-2</v>
      </c>
      <c r="O634">
        <v>-7.1991919999999897E-3</v>
      </c>
      <c r="P634">
        <v>0.97083540000000002</v>
      </c>
      <c r="Q634">
        <v>0.2240914</v>
      </c>
      <c r="R634">
        <v>8.5217420000000002E-2</v>
      </c>
      <c r="S634">
        <v>2.868744</v>
      </c>
      <c r="T634">
        <v>0.8900943</v>
      </c>
      <c r="U634">
        <v>0.17898559999999999</v>
      </c>
      <c r="V634">
        <v>-9.2217960000000002E-2</v>
      </c>
      <c r="W634">
        <v>0.23517759999999999</v>
      </c>
      <c r="X634">
        <v>0.96756770000000003</v>
      </c>
      <c r="Y634">
        <v>-6.6114010000000001E-2</v>
      </c>
      <c r="Z634">
        <v>-1.188577E-2</v>
      </c>
      <c r="AA634">
        <v>0.99774130000000005</v>
      </c>
      <c r="AB634">
        <v>31</v>
      </c>
      <c r="AC634">
        <v>208.8552</v>
      </c>
      <c r="AD634">
        <v>64.855986000000001</v>
      </c>
      <c r="AE634">
        <v>13.042899999999999</v>
      </c>
      <c r="AF634">
        <v>-13.2714613974297</v>
      </c>
      <c r="AG634">
        <v>64.855986000000001</v>
      </c>
      <c r="AH634">
        <v>190.461170749454</v>
      </c>
      <c r="AI634">
        <v>71.237525047401604</v>
      </c>
      <c r="AJ634">
        <v>93.985965313127494</v>
      </c>
      <c r="AK634">
        <v>201.63801271315</v>
      </c>
      <c r="AL634">
        <v>76.397907460964404</v>
      </c>
      <c r="AM634">
        <v>95.444360969312299</v>
      </c>
      <c r="AN634">
        <v>0.99999995488580395</v>
      </c>
    </row>
    <row r="635" spans="1:40" x14ac:dyDescent="0.25">
      <c r="A635" t="str">
        <f>"20190304155027703"</f>
        <v>20190304155027703</v>
      </c>
      <c r="B635" t="str">
        <f>"1551685827697357"</f>
        <v>1551685827697357</v>
      </c>
      <c r="C635" t="s">
        <v>40</v>
      </c>
      <c r="D635">
        <v>5.3274699999999999</v>
      </c>
      <c r="E635">
        <v>0.50724440000000004</v>
      </c>
      <c r="F635" t="s">
        <v>43</v>
      </c>
      <c r="G635">
        <v>-158.19499999999999</v>
      </c>
      <c r="H635">
        <v>64.628290000000007</v>
      </c>
      <c r="I635">
        <v>381.1585</v>
      </c>
      <c r="J635">
        <v>-366.87920000000003</v>
      </c>
      <c r="K635">
        <v>1.1103620000000001</v>
      </c>
      <c r="L635">
        <v>367.44420000000002</v>
      </c>
      <c r="M635">
        <v>0.99990869999999998</v>
      </c>
      <c r="N635">
        <v>-1.145029E-2</v>
      </c>
      <c r="O635">
        <v>-7.1744180000000001E-3</v>
      </c>
      <c r="P635">
        <v>0.97097259999999996</v>
      </c>
      <c r="Q635">
        <v>0.2234651</v>
      </c>
      <c r="R635">
        <v>8.5297869999999998E-2</v>
      </c>
      <c r="S635">
        <v>2.8719790000000001</v>
      </c>
      <c r="T635">
        <v>0.87343869999999901</v>
      </c>
      <c r="U635">
        <v>0.18856809999999999</v>
      </c>
      <c r="V635">
        <v>-9.2275140000000005E-2</v>
      </c>
      <c r="W635">
        <v>0.23455609999999999</v>
      </c>
      <c r="X635">
        <v>0.96771320000000005</v>
      </c>
      <c r="Y635">
        <v>-6.9327440000000004E-2</v>
      </c>
      <c r="Z635">
        <v>-1.210467E-2</v>
      </c>
      <c r="AA635">
        <v>0.99752050000000003</v>
      </c>
      <c r="AB635">
        <v>31</v>
      </c>
      <c r="AC635">
        <v>208.6842</v>
      </c>
      <c r="AD635">
        <v>63.517927999999998</v>
      </c>
      <c r="AE635">
        <v>13.7142999999999</v>
      </c>
      <c r="AF635">
        <v>-13.926578402338199</v>
      </c>
      <c r="AG635">
        <v>63.517927999999998</v>
      </c>
      <c r="AH635">
        <v>190.964910000283</v>
      </c>
      <c r="AI635">
        <v>71.647524910899193</v>
      </c>
      <c r="AJ635">
        <v>94.171049447816003</v>
      </c>
      <c r="AK635">
        <v>201.732678599244</v>
      </c>
      <c r="AL635">
        <v>76.434542870474601</v>
      </c>
      <c r="AM635">
        <v>95.446902295858806</v>
      </c>
      <c r="AN635">
        <v>1.00000005148173</v>
      </c>
    </row>
    <row r="636" spans="1:40" x14ac:dyDescent="0.25">
      <c r="A636" t="str">
        <f>"20190304155027714"</f>
        <v>20190304155027714</v>
      </c>
      <c r="B636" t="str">
        <f>"1551685827707117"</f>
        <v>1551685827707117</v>
      </c>
      <c r="C636" t="s">
        <v>40</v>
      </c>
      <c r="D636">
        <v>4.9964529999999998</v>
      </c>
      <c r="E636">
        <v>0.50724440000000004</v>
      </c>
      <c r="F636" t="s">
        <v>43</v>
      </c>
      <c r="G636">
        <v>-158.19499999999999</v>
      </c>
      <c r="H636">
        <v>63.036029999999997</v>
      </c>
      <c r="I636">
        <v>381.80090000000001</v>
      </c>
      <c r="J636">
        <v>-366.71510000000001</v>
      </c>
      <c r="K636">
        <v>1.1103590000000001</v>
      </c>
      <c r="L636">
        <v>367.44310000000002</v>
      </c>
      <c r="M636">
        <v>0.99990889999999999</v>
      </c>
      <c r="N636">
        <v>-1.1453380000000001E-2</v>
      </c>
      <c r="O636">
        <v>-7.1509499999999997E-3</v>
      </c>
      <c r="P636">
        <v>0.97112350000000003</v>
      </c>
      <c r="Q636">
        <v>0.22284100000000001</v>
      </c>
      <c r="R636">
        <v>8.5210839999999996E-2</v>
      </c>
      <c r="S636">
        <v>2.8758240000000002</v>
      </c>
      <c r="T636">
        <v>0.85338259999999899</v>
      </c>
      <c r="U636">
        <v>0.19784550000000001</v>
      </c>
      <c r="V636">
        <v>-9.2166540000000005E-2</v>
      </c>
      <c r="W636">
        <v>0.2339367</v>
      </c>
      <c r="X636">
        <v>0.96787339999999999</v>
      </c>
      <c r="Y636">
        <v>-7.2452520000000006E-2</v>
      </c>
      <c r="Z636">
        <v>-1.224277E-2</v>
      </c>
      <c r="AA636">
        <v>0.99729670000000004</v>
      </c>
      <c r="AB636">
        <v>31</v>
      </c>
      <c r="AC636">
        <v>208.52010000000001</v>
      </c>
      <c r="AD636">
        <v>61.925670999999902</v>
      </c>
      <c r="AE636">
        <v>14.3577999999999</v>
      </c>
      <c r="AF636">
        <v>-14.5697288155389</v>
      </c>
      <c r="AG636">
        <v>61.925670999999902</v>
      </c>
      <c r="AH636">
        <v>191.594118344718</v>
      </c>
      <c r="AI636">
        <v>72.136787921343995</v>
      </c>
      <c r="AJ636">
        <v>94.348674197639895</v>
      </c>
      <c r="AK636">
        <v>201.879597559655</v>
      </c>
      <c r="AL636">
        <v>76.471046612355394</v>
      </c>
      <c r="AM636">
        <v>95.439635140122604</v>
      </c>
      <c r="AN636">
        <v>0.99999998456501005</v>
      </c>
    </row>
    <row r="637" spans="1:40" x14ac:dyDescent="0.25">
      <c r="A637" t="str">
        <f>"20190304155027726"</f>
        <v>20190304155027726</v>
      </c>
      <c r="B637" t="str">
        <f>"1551685827716876"</f>
        <v>1551685827716876</v>
      </c>
      <c r="C637" t="s">
        <v>40</v>
      </c>
      <c r="D637">
        <v>5.3953059999999997</v>
      </c>
      <c r="E637">
        <v>0.50810319999999998</v>
      </c>
      <c r="F637" t="s">
        <v>43</v>
      </c>
      <c r="G637">
        <v>-158.19499999999999</v>
      </c>
      <c r="H637">
        <v>62.84525</v>
      </c>
      <c r="I637">
        <v>381.78109999999998</v>
      </c>
      <c r="J637">
        <v>-366.54669999999999</v>
      </c>
      <c r="K637">
        <v>1.110358</v>
      </c>
      <c r="L637">
        <v>367.44189999999998</v>
      </c>
      <c r="M637">
        <v>0.99990900000000005</v>
      </c>
      <c r="N637">
        <v>-1.145648E-2</v>
      </c>
      <c r="O637">
        <v>-7.1272430000000001E-3</v>
      </c>
      <c r="P637">
        <v>0.97127269999999999</v>
      </c>
      <c r="Q637">
        <v>0.2222836</v>
      </c>
      <c r="R637">
        <v>8.4968310000000005E-2</v>
      </c>
      <c r="S637">
        <v>2.8764340000000002</v>
      </c>
      <c r="T637">
        <v>0.85160389999999997</v>
      </c>
      <c r="U637">
        <v>0.1977844</v>
      </c>
      <c r="V637">
        <v>-9.1902170000000005E-2</v>
      </c>
      <c r="W637">
        <v>0.23338410000000001</v>
      </c>
      <c r="X637">
        <v>0.96803189999999995</v>
      </c>
      <c r="Y637">
        <v>-7.2411229999999993E-2</v>
      </c>
      <c r="Z637">
        <v>-1.220215E-2</v>
      </c>
      <c r="AA637">
        <v>0.99730019999999997</v>
      </c>
      <c r="AB637">
        <v>31</v>
      </c>
      <c r="AC637">
        <v>208.35169999999999</v>
      </c>
      <c r="AD637">
        <v>61.734892000000002</v>
      </c>
      <c r="AE637">
        <v>14.3392</v>
      </c>
      <c r="AF637">
        <v>-14.5523159833006</v>
      </c>
      <c r="AG637">
        <v>61.734892000000002</v>
      </c>
      <c r="AH637">
        <v>191.50994419164101</v>
      </c>
      <c r="AI637">
        <v>72.180931639231304</v>
      </c>
      <c r="AJ637">
        <v>94.345398615912501</v>
      </c>
      <c r="AK637">
        <v>201.739994832495</v>
      </c>
      <c r="AL637">
        <v>76.503609231396993</v>
      </c>
      <c r="AM637">
        <v>95.423242491118998</v>
      </c>
      <c r="AN637">
        <v>0.99999995320056301</v>
      </c>
    </row>
    <row r="638" spans="1:40" x14ac:dyDescent="0.25">
      <c r="A638" t="str">
        <f>"20190304155027745"</f>
        <v>20190304155027745</v>
      </c>
      <c r="B638" t="str">
        <f>"1551685827737376"</f>
        <v>1551685827737376</v>
      </c>
      <c r="C638" t="s">
        <v>40</v>
      </c>
      <c r="D638">
        <v>5.0434590000000004</v>
      </c>
      <c r="E638">
        <v>0.50612069999999998</v>
      </c>
      <c r="F638" t="s">
        <v>43</v>
      </c>
      <c r="G638">
        <v>-158.19499999999999</v>
      </c>
      <c r="H638">
        <v>62.22945</v>
      </c>
      <c r="I638">
        <v>381.19749999999999</v>
      </c>
      <c r="J638">
        <v>-366.30180000000001</v>
      </c>
      <c r="K638">
        <v>1.1103639999999999</v>
      </c>
      <c r="L638">
        <v>367.4402</v>
      </c>
      <c r="M638">
        <v>0.9999093</v>
      </c>
      <c r="N638">
        <v>-1.1460649999999999E-2</v>
      </c>
      <c r="O638">
        <v>-7.0923380000000001E-3</v>
      </c>
      <c r="P638">
        <v>0.97142410000000001</v>
      </c>
      <c r="Q638">
        <v>0.221913</v>
      </c>
      <c r="R638">
        <v>8.4201750000000006E-2</v>
      </c>
      <c r="S638">
        <v>2.8788450000000001</v>
      </c>
      <c r="T638">
        <v>0.84449830000000004</v>
      </c>
      <c r="U638">
        <v>0.1900635</v>
      </c>
      <c r="V638">
        <v>-9.1102539999999996E-2</v>
      </c>
      <c r="W638">
        <v>0.23301959999999999</v>
      </c>
      <c r="X638">
        <v>0.96819529999999998</v>
      </c>
      <c r="Y638">
        <v>-6.9821289999999994E-2</v>
      </c>
      <c r="Z638">
        <v>-1.172597E-2</v>
      </c>
      <c r="AA638">
        <v>0.99749060000000001</v>
      </c>
      <c r="AB638">
        <v>31</v>
      </c>
      <c r="AC638">
        <v>208.10679999999999</v>
      </c>
      <c r="AD638">
        <v>61.119085999999903</v>
      </c>
      <c r="AE638">
        <v>13.757299999999899</v>
      </c>
      <c r="AF638">
        <v>-14.0282788125143</v>
      </c>
      <c r="AG638">
        <v>61.119085999999903</v>
      </c>
      <c r="AH638">
        <v>191.55354553135999</v>
      </c>
      <c r="AI638">
        <v>72.347977674973805</v>
      </c>
      <c r="AJ638">
        <v>94.188535632180205</v>
      </c>
      <c r="AK638">
        <v>201.556682066241</v>
      </c>
      <c r="AL638">
        <v>76.5250859553759</v>
      </c>
      <c r="AM638">
        <v>95.375431159810802</v>
      </c>
      <c r="AN638">
        <v>0.99999997286035003</v>
      </c>
    </row>
    <row r="639" spans="1:40" x14ac:dyDescent="0.25">
      <c r="A639" t="str">
        <f>"20190304155027756"</f>
        <v>20190304155027756</v>
      </c>
      <c r="B639" t="str">
        <f>"1551685827747133"</f>
        <v>1551685827747133</v>
      </c>
      <c r="C639" t="s">
        <v>40</v>
      </c>
      <c r="D639">
        <v>3.6911230000000002</v>
      </c>
      <c r="E639">
        <v>0.50612069999999998</v>
      </c>
      <c r="F639" t="s">
        <v>43</v>
      </c>
      <c r="G639">
        <v>-158.19499999999999</v>
      </c>
      <c r="H639">
        <v>60.204900000000002</v>
      </c>
      <c r="I639">
        <v>382.13940000000002</v>
      </c>
      <c r="J639">
        <v>-366.14819999999997</v>
      </c>
      <c r="K639">
        <v>1.110366</v>
      </c>
      <c r="L639">
        <v>367.43920000000003</v>
      </c>
      <c r="M639">
        <v>0.9999093</v>
      </c>
      <c r="N639">
        <v>-1.146314E-2</v>
      </c>
      <c r="O639">
        <v>-7.0699419999999897E-3</v>
      </c>
      <c r="P639">
        <v>0.97148939999999995</v>
      </c>
      <c r="Q639">
        <v>0.221833</v>
      </c>
      <c r="R639">
        <v>8.3658140000000006E-2</v>
      </c>
      <c r="S639">
        <v>2.883575</v>
      </c>
      <c r="T639">
        <v>0.81882809999999995</v>
      </c>
      <c r="U639">
        <v>0.2036743</v>
      </c>
      <c r="V639">
        <v>-9.0537770000000004E-2</v>
      </c>
      <c r="W639">
        <v>0.2329427</v>
      </c>
      <c r="X639">
        <v>0.96826679999999998</v>
      </c>
      <c r="Y639">
        <v>-7.4402560000000006E-2</v>
      </c>
      <c r="Z639">
        <v>-1.195777E-2</v>
      </c>
      <c r="AA639">
        <v>0.99715659999999895</v>
      </c>
      <c r="AB639">
        <v>31</v>
      </c>
      <c r="AC639">
        <v>207.95320000000001</v>
      </c>
      <c r="AD639">
        <v>59.094533999999904</v>
      </c>
      <c r="AE639">
        <v>14.700199999999899</v>
      </c>
      <c r="AF639">
        <v>-14.967474401014799</v>
      </c>
      <c r="AG639">
        <v>59.094533999999904</v>
      </c>
      <c r="AH639">
        <v>192.38544217619901</v>
      </c>
      <c r="AI639">
        <v>72.973212537429106</v>
      </c>
      <c r="AJ639">
        <v>94.448616980452201</v>
      </c>
      <c r="AK639">
        <v>201.81265470716599</v>
      </c>
      <c r="AL639">
        <v>76.529616952181399</v>
      </c>
      <c r="AM639">
        <v>95.341908556472205</v>
      </c>
      <c r="AN639">
        <v>0.99999999263105099</v>
      </c>
    </row>
    <row r="640" spans="1:40" x14ac:dyDescent="0.25">
      <c r="A640" t="str">
        <f>"20190304155027767"</f>
        <v>20190304155027767</v>
      </c>
      <c r="B640" t="str">
        <f>"1551685827756893"</f>
        <v>1551685827756893</v>
      </c>
      <c r="C640" t="s">
        <v>40</v>
      </c>
      <c r="D640">
        <v>3.9720070000000001</v>
      </c>
      <c r="E640">
        <v>0.50612069999999998</v>
      </c>
      <c r="F640" t="s">
        <v>43</v>
      </c>
      <c r="G640">
        <v>-158.19499999999999</v>
      </c>
      <c r="H640">
        <v>60.129080000000002</v>
      </c>
      <c r="I640">
        <v>381.99669999999998</v>
      </c>
      <c r="J640">
        <v>-365.98390000000001</v>
      </c>
      <c r="K640">
        <v>1.110371</v>
      </c>
      <c r="L640">
        <v>367.43799999999999</v>
      </c>
      <c r="M640">
        <v>0.99990950000000001</v>
      </c>
      <c r="N640">
        <v>-1.146575E-2</v>
      </c>
      <c r="O640">
        <v>-7.0464739999999996E-3</v>
      </c>
      <c r="P640">
        <v>0.97149600000000003</v>
      </c>
      <c r="Q640">
        <v>0.22201389999999999</v>
      </c>
      <c r="R640">
        <v>8.3097329999999997E-2</v>
      </c>
      <c r="S640">
        <v>2.883759</v>
      </c>
      <c r="T640">
        <v>0.81843379999999999</v>
      </c>
      <c r="U640">
        <v>0.20187379999999999</v>
      </c>
      <c r="V640">
        <v>-8.9954240000000005E-2</v>
      </c>
      <c r="W640">
        <v>0.23312630000000001</v>
      </c>
      <c r="X640">
        <v>0.96827700000000005</v>
      </c>
      <c r="Y640">
        <v>-7.3782730000000005E-2</v>
      </c>
      <c r="Z640">
        <v>-1.186219E-2</v>
      </c>
      <c r="AA640">
        <v>0.99720379999999997</v>
      </c>
      <c r="AB640">
        <v>31</v>
      </c>
      <c r="AC640">
        <v>207.78890000000001</v>
      </c>
      <c r="AD640">
        <v>59.018708999999902</v>
      </c>
      <c r="AE640">
        <v>14.5586999999999</v>
      </c>
      <c r="AF640">
        <v>-14.831906674756601</v>
      </c>
      <c r="AG640">
        <v>59.018708999999902</v>
      </c>
      <c r="AH640">
        <v>192.24749650677401</v>
      </c>
      <c r="AI640">
        <v>72.981498726270104</v>
      </c>
      <c r="AJ640">
        <v>94.411634034080393</v>
      </c>
      <c r="AK640">
        <v>201.648935977251</v>
      </c>
      <c r="AL640">
        <v>76.518799633020294</v>
      </c>
      <c r="AM640">
        <v>95.307620797943002</v>
      </c>
      <c r="AN640">
        <v>0.99999999288733299</v>
      </c>
    </row>
    <row r="641" spans="1:40" x14ac:dyDescent="0.25">
      <c r="A641" t="str">
        <f>"20190304155027780"</f>
        <v>20190304155027780</v>
      </c>
      <c r="B641" t="str">
        <f>"1551685827777389"</f>
        <v>1551685827777389</v>
      </c>
      <c r="C641" t="s">
        <v>40</v>
      </c>
      <c r="D641">
        <v>4.6733580000000003</v>
      </c>
      <c r="E641">
        <v>0.46396500000000002</v>
      </c>
      <c r="F641" t="s">
        <v>43</v>
      </c>
      <c r="G641">
        <v>-158.19499999999999</v>
      </c>
      <c r="H641">
        <v>60.117800000000003</v>
      </c>
      <c r="I641">
        <v>381.87430000000001</v>
      </c>
      <c r="J641">
        <v>-365.80259999999998</v>
      </c>
      <c r="K641">
        <v>1.110374</v>
      </c>
      <c r="L641">
        <v>367.43680000000001</v>
      </c>
      <c r="M641">
        <v>0.99990959999999995</v>
      </c>
      <c r="N641">
        <v>-1.146847E-2</v>
      </c>
      <c r="O641">
        <v>-7.0209749999999996E-3</v>
      </c>
      <c r="P641">
        <v>0.97144200000000003</v>
      </c>
      <c r="Q641">
        <v>0.22249340000000001</v>
      </c>
      <c r="R641">
        <v>8.2446359999999996E-2</v>
      </c>
      <c r="S641">
        <v>2.8837280000000001</v>
      </c>
      <c r="T641">
        <v>0.81891539999999996</v>
      </c>
      <c r="U641">
        <v>0.2003479</v>
      </c>
      <c r="V641">
        <v>-8.9278270000000007E-2</v>
      </c>
      <c r="W641">
        <v>0.23360810000000001</v>
      </c>
      <c r="X641">
        <v>0.96822350000000001</v>
      </c>
      <c r="Y641">
        <v>-7.3250309999999999E-2</v>
      </c>
      <c r="Z641">
        <v>-1.1791039999999999E-2</v>
      </c>
      <c r="AA641">
        <v>0.99724389999999996</v>
      </c>
      <c r="AB641">
        <v>31</v>
      </c>
      <c r="AC641">
        <v>207.60759999999999</v>
      </c>
      <c r="AD641">
        <v>59.007426000000002</v>
      </c>
      <c r="AE641">
        <v>14.4375</v>
      </c>
      <c r="AF641">
        <v>-14.7120643236928</v>
      </c>
      <c r="AG641">
        <v>59.007426000000002</v>
      </c>
      <c r="AH641">
        <v>192.06032899562999</v>
      </c>
      <c r="AI641">
        <v>72.968268568781497</v>
      </c>
      <c r="AJ641">
        <v>94.3803749504184</v>
      </c>
      <c r="AK641">
        <v>201.45841043183</v>
      </c>
      <c r="AL641">
        <v>76.490411454257199</v>
      </c>
      <c r="AM641">
        <v>95.268250846614805</v>
      </c>
      <c r="AN641">
        <v>1.00000004991602</v>
      </c>
    </row>
    <row r="642" spans="1:40" x14ac:dyDescent="0.25">
      <c r="A642" t="str">
        <f>"20190304155027793"</f>
        <v>20190304155027793</v>
      </c>
      <c r="B642" t="str">
        <f>"1551685827787149"</f>
        <v>1551685827787149</v>
      </c>
      <c r="C642" t="s">
        <v>40</v>
      </c>
      <c r="D642">
        <v>5.357704</v>
      </c>
      <c r="E642">
        <v>0.46396500000000002</v>
      </c>
      <c r="F642" t="s">
        <v>55</v>
      </c>
      <c r="G642">
        <v>-233.91550000000001</v>
      </c>
      <c r="H642">
        <v>10.207700000000001</v>
      </c>
      <c r="I642">
        <v>391.00349999999997</v>
      </c>
      <c r="J642">
        <v>-365.64389999999997</v>
      </c>
      <c r="K642">
        <v>1.110379</v>
      </c>
      <c r="L642">
        <v>367.4357</v>
      </c>
      <c r="M642">
        <v>0.99990970000000001</v>
      </c>
      <c r="N642">
        <v>-1.14708E-2</v>
      </c>
      <c r="O642">
        <v>-6.9983370000000003E-3</v>
      </c>
      <c r="P642">
        <v>0.97128619999999999</v>
      </c>
      <c r="Q642">
        <v>0.22337699999999999</v>
      </c>
      <c r="R642">
        <v>8.1887710000000002E-2</v>
      </c>
      <c r="S642">
        <v>2.995422</v>
      </c>
      <c r="T642">
        <v>0.20661850000000001</v>
      </c>
      <c r="U642">
        <v>0.53524780000000005</v>
      </c>
      <c r="V642">
        <v>-8.8696510000000006E-2</v>
      </c>
      <c r="W642">
        <v>0.23449210000000001</v>
      </c>
      <c r="X642">
        <v>0.96806320000000001</v>
      </c>
      <c r="Y642">
        <v>-0.1824173</v>
      </c>
      <c r="Z642">
        <v>-5.7372259999999998E-3</v>
      </c>
      <c r="AA642">
        <v>0.98320450000000004</v>
      </c>
      <c r="AB642">
        <v>31</v>
      </c>
      <c r="AC642">
        <v>131.728399999999</v>
      </c>
      <c r="AD642">
        <v>9.0973210000000009</v>
      </c>
      <c r="AE642">
        <v>23.567799999999899</v>
      </c>
      <c r="AF642">
        <v>-24.37650676282</v>
      </c>
      <c r="AG642">
        <v>9.0973210000000009</v>
      </c>
      <c r="AH642">
        <v>130.95501670469</v>
      </c>
      <c r="AI642">
        <v>86.092999322308899</v>
      </c>
      <c r="AJ642">
        <v>100.544589258179</v>
      </c>
      <c r="AK642">
        <v>133.51476222298601</v>
      </c>
      <c r="AL642">
        <v>76.438314119829897</v>
      </c>
      <c r="AM642">
        <v>95.234974764968598</v>
      </c>
      <c r="AN642">
        <v>0.99999998752141495</v>
      </c>
    </row>
    <row r="643" spans="1:40" x14ac:dyDescent="0.25">
      <c r="A643" t="str">
        <f>"20190304155027804"</f>
        <v>20190304155027804</v>
      </c>
      <c r="B643" t="str">
        <f>"1551685827796910"</f>
        <v>1551685827796910</v>
      </c>
      <c r="C643" t="s">
        <v>40</v>
      </c>
      <c r="D643">
        <v>4.1993150000000004</v>
      </c>
      <c r="E643">
        <v>0.50342349999999902</v>
      </c>
      <c r="F643" t="s">
        <v>55</v>
      </c>
      <c r="G643">
        <v>-233.2039</v>
      </c>
      <c r="H643">
        <v>10.3588</v>
      </c>
      <c r="I643">
        <v>391.00349999999997</v>
      </c>
      <c r="J643">
        <v>-365.46499999999997</v>
      </c>
      <c r="K643">
        <v>1.110387</v>
      </c>
      <c r="L643">
        <v>367.43450000000001</v>
      </c>
      <c r="M643">
        <v>0.99990999999999997</v>
      </c>
      <c r="N643">
        <v>-1.147332E-2</v>
      </c>
      <c r="O643">
        <v>-6.9730790000000001E-3</v>
      </c>
      <c r="P643">
        <v>0.97113320000000003</v>
      </c>
      <c r="Q643">
        <v>0.22423360000000001</v>
      </c>
      <c r="R643">
        <v>8.1360730000000006E-2</v>
      </c>
      <c r="S643">
        <v>2.9956670000000001</v>
      </c>
      <c r="T643">
        <v>0.2091904</v>
      </c>
      <c r="U643">
        <v>0.53308109999999997</v>
      </c>
      <c r="V643">
        <v>-8.8144089999999994E-2</v>
      </c>
      <c r="W643">
        <v>0.23534959999999999</v>
      </c>
      <c r="X643">
        <v>0.96790560000000003</v>
      </c>
      <c r="Y643">
        <v>-0.1816807</v>
      </c>
      <c r="Z643">
        <v>-5.797038E-3</v>
      </c>
      <c r="AA643">
        <v>0.98334049999999995</v>
      </c>
      <c r="AB643">
        <v>31</v>
      </c>
      <c r="AC643">
        <v>132.261099999999</v>
      </c>
      <c r="AD643">
        <v>9.2484129999999993</v>
      </c>
      <c r="AE643">
        <v>23.5689999999999</v>
      </c>
      <c r="AF643">
        <v>-24.375238556598401</v>
      </c>
      <c r="AG643">
        <v>9.2484129999999993</v>
      </c>
      <c r="AH643">
        <v>131.470476527226</v>
      </c>
      <c r="AI643">
        <v>86.043314882288797</v>
      </c>
      <c r="AJ643">
        <v>100.50363438562199</v>
      </c>
      <c r="AK643">
        <v>134.03048756161999</v>
      </c>
      <c r="AL643">
        <v>76.387769066779299</v>
      </c>
      <c r="AM643">
        <v>95.203392206387804</v>
      </c>
      <c r="AN643">
        <v>1.00000003266672</v>
      </c>
    </row>
    <row r="644" spans="1:40" x14ac:dyDescent="0.25">
      <c r="A644" t="str">
        <f>"20190304155027825"</f>
        <v>20190304155027825</v>
      </c>
      <c r="B644" t="str">
        <f>"1551685827817405"</f>
        <v>1551685827817405</v>
      </c>
      <c r="C644" t="s">
        <v>40</v>
      </c>
      <c r="D644">
        <v>5.002834</v>
      </c>
      <c r="E644">
        <v>0.49493959999999998</v>
      </c>
      <c r="F644" t="s">
        <v>43</v>
      </c>
      <c r="G644">
        <v>-158.19499999999999</v>
      </c>
      <c r="H644">
        <v>49.26538</v>
      </c>
      <c r="I644">
        <v>382.85169999999999</v>
      </c>
      <c r="J644">
        <v>-365.20139999999998</v>
      </c>
      <c r="K644">
        <v>1.1103959999999999</v>
      </c>
      <c r="L644">
        <v>367.43270000000001</v>
      </c>
      <c r="M644">
        <v>0.99991030000000003</v>
      </c>
      <c r="N644">
        <v>-1.147691E-2</v>
      </c>
      <c r="O644">
        <v>-6.9351940000000004E-3</v>
      </c>
      <c r="P644">
        <v>0.97062990000000005</v>
      </c>
      <c r="Q644">
        <v>0.2266223</v>
      </c>
      <c r="R644">
        <v>8.0749509999999997E-2</v>
      </c>
      <c r="S644">
        <v>2.9146420000000002</v>
      </c>
      <c r="T644">
        <v>0.67715909999999901</v>
      </c>
      <c r="U644">
        <v>0.21679689999999999</v>
      </c>
      <c r="V644">
        <v>-8.7492669999999995E-2</v>
      </c>
      <c r="W644">
        <v>0.23773559999999999</v>
      </c>
      <c r="X644">
        <v>0.96738139999999995</v>
      </c>
      <c r="Y644">
        <v>-7.8905450000000002E-2</v>
      </c>
      <c r="Z644">
        <v>-1.0241E-2</v>
      </c>
      <c r="AA644">
        <v>0.99682950000000003</v>
      </c>
      <c r="AB644">
        <v>31</v>
      </c>
      <c r="AC644">
        <v>207.00640000000001</v>
      </c>
      <c r="AD644">
        <v>48.154983999999999</v>
      </c>
      <c r="AE644">
        <v>15.418999999999899</v>
      </c>
      <c r="AF644">
        <v>-15.9936379866291</v>
      </c>
      <c r="AG644">
        <v>48.154983999999999</v>
      </c>
      <c r="AH644">
        <v>196.32883155997999</v>
      </c>
      <c r="AI644">
        <v>76.262493266328093</v>
      </c>
      <c r="AJ644">
        <v>94.657231862741497</v>
      </c>
      <c r="AK644">
        <v>202.77995226795599</v>
      </c>
      <c r="AL644">
        <v>76.247067605377893</v>
      </c>
      <c r="AM644">
        <v>95.167929548755296</v>
      </c>
      <c r="AN644">
        <v>0.99999997793852402</v>
      </c>
    </row>
    <row r="645" spans="1:40" x14ac:dyDescent="0.25">
      <c r="A645" t="str">
        <f>"20190304155027846"</f>
        <v>20190304155027846</v>
      </c>
      <c r="B645" t="str">
        <f>"1551685827836926"</f>
        <v>1551685827836926</v>
      </c>
      <c r="C645" t="s">
        <v>40</v>
      </c>
      <c r="D645">
        <v>4.9943730000000004</v>
      </c>
      <c r="E645">
        <v>0.48800589999999999</v>
      </c>
      <c r="F645" t="s">
        <v>43</v>
      </c>
      <c r="G645">
        <v>-158.78319999999999</v>
      </c>
      <c r="H645">
        <v>9.3377320000000008</v>
      </c>
      <c r="I645">
        <v>386.60669999999999</v>
      </c>
      <c r="J645">
        <v>-364.88990000000001</v>
      </c>
      <c r="K645">
        <v>1.1103879999999999</v>
      </c>
      <c r="L645">
        <v>367.43060000000003</v>
      </c>
      <c r="M645">
        <v>0.99991050000000004</v>
      </c>
      <c r="N645">
        <v>-1.148097E-2</v>
      </c>
      <c r="O645">
        <v>-6.8912259999999899E-3</v>
      </c>
      <c r="P645">
        <v>0.97050049999999999</v>
      </c>
      <c r="Q645">
        <v>0.2273105</v>
      </c>
      <c r="R645">
        <v>8.0369640000000006E-2</v>
      </c>
      <c r="S645">
        <v>3.0389710000000001</v>
      </c>
      <c r="T645">
        <v>0.121127399999999</v>
      </c>
      <c r="U645">
        <v>0.28228760000000003</v>
      </c>
      <c r="V645">
        <v>-8.7070179999999997E-2</v>
      </c>
      <c r="W645">
        <v>0.2384261</v>
      </c>
      <c r="X645">
        <v>0.96724960000000004</v>
      </c>
      <c r="Y645">
        <v>-9.9286490000000005E-2</v>
      </c>
      <c r="Z645">
        <v>-1.7551960000000001E-3</v>
      </c>
      <c r="AA645">
        <v>0.99505730000000003</v>
      </c>
      <c r="AB645">
        <v>31</v>
      </c>
      <c r="AC645">
        <v>206.10669999999999</v>
      </c>
      <c r="AD645">
        <v>8.2273440000000004</v>
      </c>
      <c r="AE645">
        <v>19.176099999999899</v>
      </c>
      <c r="AF645">
        <v>-20.563580278644</v>
      </c>
      <c r="AG645">
        <v>8.2273440000000004</v>
      </c>
      <c r="AH645">
        <v>205.644779918723</v>
      </c>
      <c r="AI645">
        <v>87.720315009374005</v>
      </c>
      <c r="AJ645">
        <v>95.710345497165505</v>
      </c>
      <c r="AK645">
        <v>206.83405312228101</v>
      </c>
      <c r="AL645">
        <v>76.206333955882101</v>
      </c>
      <c r="AM645">
        <v>95.143805545158102</v>
      </c>
      <c r="AN645">
        <v>1.0000000050533</v>
      </c>
    </row>
    <row r="646" spans="1:40" x14ac:dyDescent="0.25">
      <c r="A646" t="str">
        <f>"20190304155027860"</f>
        <v>20190304155027860</v>
      </c>
      <c r="B646" t="str">
        <f>"1551685827857422"</f>
        <v>1551685827857422</v>
      </c>
      <c r="C646" t="s">
        <v>40</v>
      </c>
      <c r="D646">
        <v>5.3723749999999999</v>
      </c>
      <c r="E646">
        <v>0.4838382</v>
      </c>
      <c r="F646" t="s">
        <v>53</v>
      </c>
      <c r="G646">
        <v>0</v>
      </c>
      <c r="H646">
        <v>0</v>
      </c>
      <c r="I646">
        <v>0</v>
      </c>
      <c r="J646">
        <v>-364.70150000000001</v>
      </c>
      <c r="K646">
        <v>1.110384</v>
      </c>
      <c r="L646">
        <v>367.42930000000001</v>
      </c>
      <c r="M646">
        <v>0.99991050000000004</v>
      </c>
      <c r="N646">
        <v>-1.148331E-2</v>
      </c>
      <c r="O646">
        <v>-6.8638240000000001E-3</v>
      </c>
      <c r="P646">
        <v>0.97047570000000005</v>
      </c>
      <c r="Q646">
        <v>0.2274217</v>
      </c>
      <c r="R646">
        <v>8.0351720000000001E-2</v>
      </c>
      <c r="S646">
        <v>3.0099490000000002</v>
      </c>
      <c r="T646">
        <v>0.22819229999999999</v>
      </c>
      <c r="U646">
        <v>0.33618160000000002</v>
      </c>
      <c r="V646">
        <v>-8.7024799999999999E-2</v>
      </c>
      <c r="W646">
        <v>0.23853959999999999</v>
      </c>
      <c r="X646">
        <v>0.96722569999999997</v>
      </c>
      <c r="Y646">
        <v>-0.1175113</v>
      </c>
      <c r="Z646">
        <v>-4.3531890000000004E-3</v>
      </c>
      <c r="AA646">
        <v>0.993062</v>
      </c>
      <c r="AB646">
        <v>31</v>
      </c>
      <c r="AC646">
        <v>3.0099490000000002</v>
      </c>
      <c r="AD646">
        <v>0.22819229999999999</v>
      </c>
      <c r="AE646">
        <v>0.33618160000000002</v>
      </c>
      <c r="AF646">
        <v>-0.35482057581008802</v>
      </c>
      <c r="AG646">
        <v>0.22819229999999999</v>
      </c>
      <c r="AH646">
        <v>2.99059360117307</v>
      </c>
      <c r="AI646">
        <v>85.666870052160903</v>
      </c>
      <c r="AJ646">
        <v>96.766257683005406</v>
      </c>
      <c r="AK646">
        <v>3.0202018896383098</v>
      </c>
      <c r="AL646">
        <v>76.199637683766596</v>
      </c>
      <c r="AM646">
        <v>95.141265378015603</v>
      </c>
      <c r="AN646">
        <v>1.0000000056618401</v>
      </c>
    </row>
    <row r="647" spans="1:40" x14ac:dyDescent="0.25">
      <c r="A647" t="str">
        <f>"20190304155027873"</f>
        <v>20190304155027873</v>
      </c>
      <c r="B647" t="str">
        <f>"1551685827867181"</f>
        <v>1551685827867181</v>
      </c>
      <c r="C647" t="s">
        <v>40</v>
      </c>
      <c r="D647">
        <v>5.60494</v>
      </c>
      <c r="E647">
        <v>0.48136519999999999</v>
      </c>
      <c r="F647" t="s">
        <v>53</v>
      </c>
      <c r="G647">
        <v>0</v>
      </c>
      <c r="H647">
        <v>0</v>
      </c>
      <c r="I647">
        <v>0</v>
      </c>
      <c r="J647">
        <v>-364.5317</v>
      </c>
      <c r="K647">
        <v>1.1103879999999999</v>
      </c>
      <c r="L647">
        <v>367.4282</v>
      </c>
      <c r="M647">
        <v>0.99991079999999999</v>
      </c>
      <c r="N647">
        <v>-1.148538E-2</v>
      </c>
      <c r="O647">
        <v>-6.8393999999999903E-3</v>
      </c>
      <c r="P647">
        <v>0.97043539999999995</v>
      </c>
      <c r="Q647">
        <v>0.22743650000000001</v>
      </c>
      <c r="R647">
        <v>8.0794450000000004E-2</v>
      </c>
      <c r="S647">
        <v>3.0101930000000001</v>
      </c>
      <c r="T647">
        <v>0.21551880000000001</v>
      </c>
      <c r="U647">
        <v>0.36880489999999999</v>
      </c>
      <c r="V647">
        <v>-8.7443660000000006E-2</v>
      </c>
      <c r="W647">
        <v>0.2385563</v>
      </c>
      <c r="X647">
        <v>0.96718380000000004</v>
      </c>
      <c r="Y647">
        <v>-0.12810179999999999</v>
      </c>
      <c r="Z647">
        <v>-4.3891879999999996E-3</v>
      </c>
      <c r="AA647">
        <v>0.9917513</v>
      </c>
      <c r="AB647">
        <v>31</v>
      </c>
      <c r="AC647">
        <v>3.0101930000000001</v>
      </c>
      <c r="AD647">
        <v>0.21551880000000001</v>
      </c>
      <c r="AE647">
        <v>0.36880489999999999</v>
      </c>
      <c r="AF647">
        <v>-0.38742893750981799</v>
      </c>
      <c r="AG647">
        <v>0.21551880000000001</v>
      </c>
      <c r="AH647">
        <v>2.9924872729852301</v>
      </c>
      <c r="AI647">
        <v>85.914652452194005</v>
      </c>
      <c r="AJ647">
        <v>97.376890027996396</v>
      </c>
      <c r="AK647">
        <v>3.0251495192390099</v>
      </c>
      <c r="AL647">
        <v>76.198652354796096</v>
      </c>
      <c r="AM647">
        <v>95.166099871031093</v>
      </c>
      <c r="AN647">
        <v>1.0000000024631599</v>
      </c>
    </row>
    <row r="648" spans="1:40" x14ac:dyDescent="0.25">
      <c r="A648" t="str">
        <f>"20190304155027889"</f>
        <v>20190304155027889</v>
      </c>
      <c r="B648" t="str">
        <f>"1551685827876941"</f>
        <v>1551685827876941</v>
      </c>
      <c r="C648" t="s">
        <v>40</v>
      </c>
      <c r="D648">
        <v>5.426304</v>
      </c>
      <c r="E648">
        <v>0.47794150000000002</v>
      </c>
      <c r="F648" t="s">
        <v>55</v>
      </c>
      <c r="G648">
        <v>-177.4426</v>
      </c>
      <c r="H648">
        <v>14.125489999999999</v>
      </c>
      <c r="I648">
        <v>391.66160000000002</v>
      </c>
      <c r="J648">
        <v>-364.29680000000002</v>
      </c>
      <c r="K648">
        <v>1.110382</v>
      </c>
      <c r="L648">
        <v>367.42660000000001</v>
      </c>
      <c r="M648">
        <v>0.99991099999999999</v>
      </c>
      <c r="N648">
        <v>-1.1488190000000001E-2</v>
      </c>
      <c r="O648">
        <v>-6.8059189999999997E-3</v>
      </c>
      <c r="P648">
        <v>0.97055040000000004</v>
      </c>
      <c r="Q648">
        <v>0.22663710000000001</v>
      </c>
      <c r="R648">
        <v>8.1658560000000005E-2</v>
      </c>
      <c r="S648">
        <v>3.0098569999999998</v>
      </c>
      <c r="T648">
        <v>0.20938470000000001</v>
      </c>
      <c r="U648">
        <v>0.38986209999999999</v>
      </c>
      <c r="V648">
        <v>-8.8275820000000005E-2</v>
      </c>
      <c r="W648">
        <v>0.23776059999999999</v>
      </c>
      <c r="X648">
        <v>0.9673041</v>
      </c>
      <c r="Y648">
        <v>-0.13491330000000001</v>
      </c>
      <c r="Z648">
        <v>-4.4373800000000003E-3</v>
      </c>
      <c r="AA648">
        <v>0.99084749999999999</v>
      </c>
      <c r="AB648">
        <v>31</v>
      </c>
      <c r="AC648">
        <v>186.85419999999999</v>
      </c>
      <c r="AD648">
        <v>13.015108</v>
      </c>
      <c r="AE648">
        <v>24.234999999999999</v>
      </c>
      <c r="AF648">
        <v>-25.3851146505264</v>
      </c>
      <c r="AG648">
        <v>13.015108</v>
      </c>
      <c r="AH648">
        <v>185.798402981316</v>
      </c>
      <c r="AI648">
        <v>86.029763020730698</v>
      </c>
      <c r="AJ648">
        <v>97.779990623512703</v>
      </c>
      <c r="AK648">
        <v>187.97564638133201</v>
      </c>
      <c r="AL648">
        <v>76.245592852209597</v>
      </c>
      <c r="AM648">
        <v>95.214348398497293</v>
      </c>
      <c r="AN648">
        <v>0.99999997259292095</v>
      </c>
    </row>
    <row r="649" spans="1:40" x14ac:dyDescent="0.25">
      <c r="A649" t="str">
        <f>"20190304155027900"</f>
        <v>20190304155027900</v>
      </c>
      <c r="B649" t="str">
        <f>"1551685827897437"</f>
        <v>1551685827897437</v>
      </c>
      <c r="C649" t="s">
        <v>40</v>
      </c>
      <c r="D649">
        <v>5.6737890000000002</v>
      </c>
      <c r="E649">
        <v>0.48256290000000002</v>
      </c>
      <c r="F649" t="s">
        <v>55</v>
      </c>
      <c r="G649">
        <v>-188.9357</v>
      </c>
      <c r="H649">
        <v>13.32452</v>
      </c>
      <c r="I649">
        <v>391.87</v>
      </c>
      <c r="J649">
        <v>-364.13170000000002</v>
      </c>
      <c r="K649">
        <v>1.1103809999999901</v>
      </c>
      <c r="L649">
        <v>367.4255</v>
      </c>
      <c r="M649">
        <v>0.99991110000000005</v>
      </c>
      <c r="N649">
        <v>-1.14901E-2</v>
      </c>
      <c r="O649">
        <v>-6.7826809999999996E-3</v>
      </c>
      <c r="P649">
        <v>0.97056759999999997</v>
      </c>
      <c r="Q649">
        <v>0.2263645</v>
      </c>
      <c r="R649">
        <v>8.220566E-2</v>
      </c>
      <c r="S649">
        <v>3.0068969999999999</v>
      </c>
      <c r="T649">
        <v>0.20943429999999999</v>
      </c>
      <c r="U649">
        <v>0.41912840000000001</v>
      </c>
      <c r="V649">
        <v>-8.8800770000000001E-2</v>
      </c>
      <c r="W649">
        <v>0.2374896</v>
      </c>
      <c r="X649">
        <v>0.96732260000000003</v>
      </c>
      <c r="Y649">
        <v>-0.1444616</v>
      </c>
      <c r="Z649">
        <v>-4.7131040000000001E-3</v>
      </c>
      <c r="AA649">
        <v>0.98949920000000002</v>
      </c>
      <c r="AB649">
        <v>31</v>
      </c>
      <c r="AC649">
        <v>175.196</v>
      </c>
      <c r="AD649">
        <v>12.214138999999999</v>
      </c>
      <c r="AE649">
        <v>24.444500000000001</v>
      </c>
      <c r="AF649">
        <v>-25.510688626898101</v>
      </c>
      <c r="AG649">
        <v>12.214138999999999</v>
      </c>
      <c r="AH649">
        <v>174.195656321239</v>
      </c>
      <c r="AI649">
        <v>86.031330969944193</v>
      </c>
      <c r="AJ649">
        <v>98.331653127628002</v>
      </c>
      <c r="AK649">
        <v>176.47693080659801</v>
      </c>
      <c r="AL649">
        <v>76.261577547535197</v>
      </c>
      <c r="AM649">
        <v>95.2450843720747</v>
      </c>
      <c r="AN649">
        <v>0.99999994966575501</v>
      </c>
    </row>
    <row r="650" spans="1:40" x14ac:dyDescent="0.25">
      <c r="A650" t="str">
        <f>"20190304155027913"</f>
        <v>20190304155027913</v>
      </c>
      <c r="B650" t="str">
        <f>"1551685827907197"</f>
        <v>1551685827907197</v>
      </c>
      <c r="C650" t="s">
        <v>40</v>
      </c>
      <c r="D650">
        <v>5.6406919999999996</v>
      </c>
      <c r="E650">
        <v>0.48051860000000002</v>
      </c>
      <c r="F650" t="s">
        <v>55</v>
      </c>
      <c r="G650">
        <v>-181.1857</v>
      </c>
      <c r="H650">
        <v>48.002809999999997</v>
      </c>
      <c r="I650">
        <v>391.87</v>
      </c>
      <c r="J650">
        <v>-363.96940000000001</v>
      </c>
      <c r="K650">
        <v>1.1103809999999901</v>
      </c>
      <c r="L650">
        <v>367.42439999999999</v>
      </c>
      <c r="M650">
        <v>0.9999112</v>
      </c>
      <c r="N650">
        <v>-1.1491950000000001E-2</v>
      </c>
      <c r="O650">
        <v>-6.7593260000000004E-3</v>
      </c>
      <c r="P650">
        <v>0.97057879999999996</v>
      </c>
      <c r="Q650">
        <v>0.22612550000000001</v>
      </c>
      <c r="R650">
        <v>8.2729349999999993E-2</v>
      </c>
      <c r="S650">
        <v>2.8858030000000001</v>
      </c>
      <c r="T650">
        <v>0.73968400000000001</v>
      </c>
      <c r="U650">
        <v>0.38558959999999998</v>
      </c>
      <c r="V650">
        <v>-8.9302380000000001E-2</v>
      </c>
      <c r="W650">
        <v>0.23725289999999999</v>
      </c>
      <c r="X650">
        <v>0.96733460000000004</v>
      </c>
      <c r="Y650">
        <v>-0.1348184</v>
      </c>
      <c r="Z650">
        <v>-1.791599E-2</v>
      </c>
      <c r="AA650">
        <v>0.99070840000000004</v>
      </c>
      <c r="AB650">
        <v>31</v>
      </c>
      <c r="AC650">
        <v>182.78370000000001</v>
      </c>
      <c r="AD650">
        <v>46.892429</v>
      </c>
      <c r="AE650">
        <v>24.445599999999999</v>
      </c>
      <c r="AF650">
        <v>-24.120971862588799</v>
      </c>
      <c r="AG650">
        <v>46.892429</v>
      </c>
      <c r="AH650">
        <v>171.523672535369</v>
      </c>
      <c r="AI650">
        <v>74.851785601861494</v>
      </c>
      <c r="AJ650">
        <v>98.004878033182806</v>
      </c>
      <c r="AK650">
        <v>179.44662554959501</v>
      </c>
      <c r="AL650">
        <v>76.275539754479993</v>
      </c>
      <c r="AM650">
        <v>95.274480638005002</v>
      </c>
      <c r="AN650">
        <v>1.0000000409946099</v>
      </c>
    </row>
    <row r="651" spans="1:40" x14ac:dyDescent="0.25">
      <c r="A651" t="str">
        <f>"20190304155027924"</f>
        <v>20190304155027924</v>
      </c>
      <c r="B651" t="str">
        <f>"1551685827916959"</f>
        <v>1551685827916959</v>
      </c>
      <c r="C651" t="s">
        <v>40</v>
      </c>
      <c r="D651">
        <v>5.4278510000000004</v>
      </c>
      <c r="E651">
        <v>0.48051860000000002</v>
      </c>
      <c r="F651" t="s">
        <v>55</v>
      </c>
      <c r="G651">
        <v>-188.4117</v>
      </c>
      <c r="H651">
        <v>43.29721</v>
      </c>
      <c r="I651">
        <v>391.87</v>
      </c>
      <c r="J651">
        <v>-363.80189999999999</v>
      </c>
      <c r="K651">
        <v>1.1103809999999901</v>
      </c>
      <c r="L651">
        <v>367.42329999999998</v>
      </c>
      <c r="M651">
        <v>0.99991140000000001</v>
      </c>
      <c r="N651">
        <v>-1.149382E-2</v>
      </c>
      <c r="O651">
        <v>-6.7353789999999997E-3</v>
      </c>
      <c r="P651">
        <v>0.970522</v>
      </c>
      <c r="Q651">
        <v>0.22619300000000001</v>
      </c>
      <c r="R651">
        <v>8.3210350000000002E-2</v>
      </c>
      <c r="S651">
        <v>2.894501</v>
      </c>
      <c r="T651">
        <v>0.69555369999999905</v>
      </c>
      <c r="U651">
        <v>0.40304570000000001</v>
      </c>
      <c r="V651">
        <v>-8.9759320000000004E-2</v>
      </c>
      <c r="W651">
        <v>0.237321</v>
      </c>
      <c r="X651">
        <v>0.96727560000000001</v>
      </c>
      <c r="Y651">
        <v>-0.14064270000000001</v>
      </c>
      <c r="Z651">
        <v>-1.7426290000000001E-2</v>
      </c>
      <c r="AA651">
        <v>0.98990699999999998</v>
      </c>
      <c r="AB651">
        <v>31</v>
      </c>
      <c r="AC651">
        <v>175.39019999999999</v>
      </c>
      <c r="AD651">
        <v>42.186828999999904</v>
      </c>
      <c r="AE651">
        <v>24.4467</v>
      </c>
      <c r="AF651">
        <v>-24.251220506180601</v>
      </c>
      <c r="AG651">
        <v>42.186828999999904</v>
      </c>
      <c r="AH651">
        <v>165.81131278834101</v>
      </c>
      <c r="AI651">
        <v>75.869514938033106</v>
      </c>
      <c r="AJ651">
        <v>98.320964893053599</v>
      </c>
      <c r="AK651">
        <v>172.804055755956</v>
      </c>
      <c r="AL651">
        <v>76.271523176149003</v>
      </c>
      <c r="AM651">
        <v>95.301637095453799</v>
      </c>
      <c r="AN651">
        <v>1.00000003946161</v>
      </c>
    </row>
    <row r="652" spans="1:40" x14ac:dyDescent="0.25">
      <c r="A652" t="str">
        <f>"20190304155027935"</f>
        <v>20190304155027935</v>
      </c>
      <c r="B652" t="str">
        <f>"1551685827927693"</f>
        <v>1551685827927693</v>
      </c>
      <c r="C652" t="s">
        <v>40</v>
      </c>
      <c r="D652">
        <v>5.3749039999999999</v>
      </c>
      <c r="E652">
        <v>0.4815855</v>
      </c>
      <c r="F652" t="s">
        <v>55</v>
      </c>
      <c r="G652">
        <v>-188.9264</v>
      </c>
      <c r="H652">
        <v>43.146050000000002</v>
      </c>
      <c r="I652">
        <v>391.87</v>
      </c>
      <c r="J652">
        <v>-363.65699999999998</v>
      </c>
      <c r="K652">
        <v>1.110384</v>
      </c>
      <c r="L652">
        <v>367.42239999999998</v>
      </c>
      <c r="M652">
        <v>0.99991149999999995</v>
      </c>
      <c r="N652">
        <v>-1.1495399999999999E-2</v>
      </c>
      <c r="O652">
        <v>-6.7147650000000001E-3</v>
      </c>
      <c r="P652">
        <v>0.97048659999999998</v>
      </c>
      <c r="Q652">
        <v>0.22620409999999999</v>
      </c>
      <c r="R652">
        <v>8.3591490000000004E-2</v>
      </c>
      <c r="S652">
        <v>2.8942570000000001</v>
      </c>
      <c r="T652">
        <v>0.69570619999999905</v>
      </c>
      <c r="U652">
        <v>0.40460210000000002</v>
      </c>
      <c r="V652">
        <v>-9.0120179999999994E-2</v>
      </c>
      <c r="W652">
        <v>0.2373335</v>
      </c>
      <c r="X652">
        <v>0.96723890000000001</v>
      </c>
      <c r="Y652">
        <v>-0.14114119999999999</v>
      </c>
      <c r="Z652">
        <v>-1.7481650000000001E-2</v>
      </c>
      <c r="AA652">
        <v>0.98983509999999997</v>
      </c>
      <c r="AB652">
        <v>31</v>
      </c>
      <c r="AC652">
        <v>174.73059999999899</v>
      </c>
      <c r="AD652">
        <v>42.035665999999999</v>
      </c>
      <c r="AE652">
        <v>24.447600000000001</v>
      </c>
      <c r="AF652">
        <v>-24.2441877473114</v>
      </c>
      <c r="AG652">
        <v>42.035665999999999</v>
      </c>
      <c r="AH652">
        <v>165.18577356493699</v>
      </c>
      <c r="AI652">
        <v>75.867930803423306</v>
      </c>
      <c r="AJ652">
        <v>98.349643843400202</v>
      </c>
      <c r="AK652">
        <v>172.165959596655</v>
      </c>
      <c r="AL652">
        <v>76.270784850060593</v>
      </c>
      <c r="AM652">
        <v>95.323029925598604</v>
      </c>
      <c r="AN652">
        <v>0.99999996336934505</v>
      </c>
    </row>
    <row r="653" spans="1:40" x14ac:dyDescent="0.25">
      <c r="A653" t="str">
        <f>"20190304155027946"</f>
        <v>20190304155027946</v>
      </c>
      <c r="B653" t="str">
        <f>"1551685827937453"</f>
        <v>1551685827937453</v>
      </c>
      <c r="C653" t="s">
        <v>40</v>
      </c>
      <c r="D653">
        <v>5.4261309999999998</v>
      </c>
      <c r="E653">
        <v>0.4815855</v>
      </c>
      <c r="F653" t="s">
        <v>55</v>
      </c>
      <c r="G653">
        <v>-185.703</v>
      </c>
      <c r="H653">
        <v>44.661450000000002</v>
      </c>
      <c r="I653">
        <v>391.87</v>
      </c>
      <c r="J653">
        <v>-363.49090000000001</v>
      </c>
      <c r="K653">
        <v>1.110387</v>
      </c>
      <c r="L653">
        <v>367.42129999999997</v>
      </c>
      <c r="M653">
        <v>0.99991169999999996</v>
      </c>
      <c r="N653">
        <v>-1.1497189999999999E-2</v>
      </c>
      <c r="O653">
        <v>-6.6910529999999998E-3</v>
      </c>
      <c r="P653">
        <v>0.97046580000000005</v>
      </c>
      <c r="Q653">
        <v>0.2261309</v>
      </c>
      <c r="R653">
        <v>8.4031099999999997E-2</v>
      </c>
      <c r="S653">
        <v>2.8919980000000001</v>
      </c>
      <c r="T653">
        <v>0.70776439999999996</v>
      </c>
      <c r="U653">
        <v>0.3973083</v>
      </c>
      <c r="V653">
        <v>-9.0536450000000004E-2</v>
      </c>
      <c r="W653">
        <v>0.23726179999999999</v>
      </c>
      <c r="X653">
        <v>0.96721769999999996</v>
      </c>
      <c r="Y653">
        <v>-0.1386947</v>
      </c>
      <c r="Z653">
        <v>-1.7520049999999999E-2</v>
      </c>
      <c r="AA653">
        <v>0.99018019999999995</v>
      </c>
      <c r="AB653">
        <v>31</v>
      </c>
      <c r="AC653">
        <v>177.78790000000001</v>
      </c>
      <c r="AD653">
        <v>43.551062999999999</v>
      </c>
      <c r="AE653">
        <v>24.448699999999999</v>
      </c>
      <c r="AF653">
        <v>-24.211928136715802</v>
      </c>
      <c r="AG653">
        <v>43.551062999999999</v>
      </c>
      <c r="AH653">
        <v>167.741663309492</v>
      </c>
      <c r="AI653">
        <v>75.588587453347699</v>
      </c>
      <c r="AJ653">
        <v>98.2133795144793</v>
      </c>
      <c r="AK653">
        <v>174.98622277871601</v>
      </c>
      <c r="AL653">
        <v>76.275014887949098</v>
      </c>
      <c r="AM653">
        <v>95.347591610282805</v>
      </c>
      <c r="AN653">
        <v>1.0000000448555599</v>
      </c>
    </row>
    <row r="654" spans="1:40" x14ac:dyDescent="0.25">
      <c r="A654" t="str">
        <f>"20190304155027958"</f>
        <v>20190304155027958</v>
      </c>
      <c r="B654" t="str">
        <f>"1551685827947214"</f>
        <v>1551685827947214</v>
      </c>
      <c r="C654" t="s">
        <v>40</v>
      </c>
      <c r="D654">
        <v>5.0048209999999997</v>
      </c>
      <c r="E654">
        <v>0.46538390000000002</v>
      </c>
      <c r="F654" t="s">
        <v>55</v>
      </c>
      <c r="G654">
        <v>-186.0643</v>
      </c>
      <c r="H654">
        <v>44.514499999999998</v>
      </c>
      <c r="I654">
        <v>391.87</v>
      </c>
      <c r="J654">
        <v>-363.34010000000001</v>
      </c>
      <c r="K654">
        <v>1.1103889999999901</v>
      </c>
      <c r="L654">
        <v>367.4203</v>
      </c>
      <c r="M654">
        <v>0.99991160000000001</v>
      </c>
      <c r="N654">
        <v>-1.149877E-2</v>
      </c>
      <c r="O654">
        <v>-6.6696019999999898E-3</v>
      </c>
      <c r="P654">
        <v>0.97046829999999995</v>
      </c>
      <c r="Q654">
        <v>0.22603519999999999</v>
      </c>
      <c r="R654">
        <v>8.4258269999999996E-2</v>
      </c>
      <c r="S654">
        <v>2.891937</v>
      </c>
      <c r="T654">
        <v>0.70745829999999998</v>
      </c>
      <c r="U654">
        <v>0.39849849999999998</v>
      </c>
      <c r="V654">
        <v>-9.0743359999999995E-2</v>
      </c>
      <c r="W654">
        <v>0.23716770000000001</v>
      </c>
      <c r="X654">
        <v>0.96722129999999995</v>
      </c>
      <c r="Y654">
        <v>-0.13907030000000001</v>
      </c>
      <c r="Z654">
        <v>-1.7549619999999998E-2</v>
      </c>
      <c r="AA654">
        <v>0.99012699999999998</v>
      </c>
      <c r="AB654">
        <v>31</v>
      </c>
      <c r="AC654">
        <v>177.2758</v>
      </c>
      <c r="AD654">
        <v>43.404111</v>
      </c>
      <c r="AE654">
        <v>24.4497</v>
      </c>
      <c r="AF654">
        <v>-24.207528220035499</v>
      </c>
      <c r="AG654">
        <v>43.404111</v>
      </c>
      <c r="AH654">
        <v>167.26879321712599</v>
      </c>
      <c r="AI654">
        <v>75.597023555072298</v>
      </c>
      <c r="AJ654">
        <v>98.234804474950096</v>
      </c>
      <c r="AK654">
        <v>174.49576057468499</v>
      </c>
      <c r="AL654">
        <v>76.280563633701206</v>
      </c>
      <c r="AM654">
        <v>95.3597219537386</v>
      </c>
      <c r="AN654">
        <v>0.99999995924053298</v>
      </c>
    </row>
    <row r="655" spans="1:40" x14ac:dyDescent="0.25">
      <c r="A655" t="str">
        <f>"20190304155027971"</f>
        <v>20190304155027971</v>
      </c>
      <c r="B655" t="str">
        <f>"1551685827967709"</f>
        <v>1551685827967709</v>
      </c>
      <c r="C655" t="s">
        <v>40</v>
      </c>
      <c r="D655">
        <v>5.1284989999999997</v>
      </c>
      <c r="E655">
        <v>0.46544540000000001</v>
      </c>
      <c r="F655" t="s">
        <v>55</v>
      </c>
      <c r="G655">
        <v>-223.98599999999999</v>
      </c>
      <c r="H655">
        <v>10.53534</v>
      </c>
      <c r="I655">
        <v>391.87</v>
      </c>
      <c r="J655">
        <v>-363.15350000000001</v>
      </c>
      <c r="K655">
        <v>1.1103860000000001</v>
      </c>
      <c r="L655">
        <v>367.41910000000001</v>
      </c>
      <c r="M655">
        <v>0.99991189999999996</v>
      </c>
      <c r="N655">
        <v>-1.1500710000000001E-2</v>
      </c>
      <c r="O655">
        <v>-6.6433859999999898E-3</v>
      </c>
      <c r="P655">
        <v>0.97047130000000004</v>
      </c>
      <c r="Q655">
        <v>0.22585549999999999</v>
      </c>
      <c r="R655">
        <v>8.4707069999999995E-2</v>
      </c>
      <c r="S655">
        <v>2.9983520000000001</v>
      </c>
      <c r="T655">
        <v>0.20278760000000001</v>
      </c>
      <c r="U655">
        <v>0.52606200000000003</v>
      </c>
      <c r="V655">
        <v>-9.1166670000000005E-2</v>
      </c>
      <c r="W655">
        <v>0.23698930000000001</v>
      </c>
      <c r="X655">
        <v>0.96722529999999995</v>
      </c>
      <c r="Y655">
        <v>-0.17900279999999999</v>
      </c>
      <c r="Z655">
        <v>-5.4837540000000004E-3</v>
      </c>
      <c r="AA655">
        <v>0.98383330000000002</v>
      </c>
      <c r="AB655">
        <v>31</v>
      </c>
      <c r="AC655">
        <v>139.16749999999999</v>
      </c>
      <c r="AD655">
        <v>9.4249539999999996</v>
      </c>
      <c r="AE655">
        <v>24.450899999999901</v>
      </c>
      <c r="AF655">
        <v>-25.262567219422401</v>
      </c>
      <c r="AG655">
        <v>9.4249539999999996</v>
      </c>
      <c r="AH655">
        <v>138.38627609620301</v>
      </c>
      <c r="AI655">
        <v>86.166973403526995</v>
      </c>
      <c r="AJ655">
        <v>100.34549067533401</v>
      </c>
      <c r="AK655">
        <v>140.98861114356899</v>
      </c>
      <c r="AL655">
        <v>76.291086230659801</v>
      </c>
      <c r="AM655">
        <v>95.3845558427751</v>
      </c>
      <c r="AN655">
        <v>1.00000003549673</v>
      </c>
    </row>
    <row r="656" spans="1:40" x14ac:dyDescent="0.25">
      <c r="A656" t="str">
        <f>"20190304155027983"</f>
        <v>20190304155027983</v>
      </c>
      <c r="B656" t="str">
        <f>"1551685827977469"</f>
        <v>1551685827977469</v>
      </c>
      <c r="C656" t="s">
        <v>40</v>
      </c>
      <c r="D656">
        <v>4.6880459999999999</v>
      </c>
      <c r="E656">
        <v>0.46739229999999998</v>
      </c>
      <c r="F656" t="s">
        <v>55</v>
      </c>
      <c r="G656">
        <v>-224.18629999999999</v>
      </c>
      <c r="H656">
        <v>11.109830000000001</v>
      </c>
      <c r="I656">
        <v>391.87</v>
      </c>
      <c r="J656">
        <v>-362.98820000000001</v>
      </c>
      <c r="K656">
        <v>1.110385</v>
      </c>
      <c r="L656">
        <v>367.41800000000001</v>
      </c>
      <c r="M656">
        <v>0.99991200000000002</v>
      </c>
      <c r="N656">
        <v>-1.1502399999999999E-2</v>
      </c>
      <c r="O656">
        <v>-6.6196759999999997E-3</v>
      </c>
      <c r="P656">
        <v>0.97042910000000004</v>
      </c>
      <c r="Q656">
        <v>0.2259312</v>
      </c>
      <c r="R656">
        <v>8.4984970000000007E-2</v>
      </c>
      <c r="S656">
        <v>2.9950869999999998</v>
      </c>
      <c r="T656">
        <v>0.2155126</v>
      </c>
      <c r="U656">
        <v>0.52697749999999999</v>
      </c>
      <c r="V656">
        <v>-9.1420870000000001E-2</v>
      </c>
      <c r="W656">
        <v>0.23706669999999999</v>
      </c>
      <c r="X656">
        <v>0.96718230000000005</v>
      </c>
      <c r="Y656">
        <v>-0.17940300000000001</v>
      </c>
      <c r="Z656">
        <v>-5.9040730000000001E-3</v>
      </c>
      <c r="AA656">
        <v>0.98375800000000002</v>
      </c>
      <c r="AB656">
        <v>31</v>
      </c>
      <c r="AC656">
        <v>138.80189999999999</v>
      </c>
      <c r="AD656">
        <v>9.9994449999999997</v>
      </c>
      <c r="AE656">
        <v>24.452000000000002</v>
      </c>
      <c r="AF656">
        <v>-25.2432812179817</v>
      </c>
      <c r="AG656">
        <v>9.9994449999999997</v>
      </c>
      <c r="AH656">
        <v>137.94262058625199</v>
      </c>
      <c r="AI656">
        <v>85.921384110546896</v>
      </c>
      <c r="AJ656">
        <v>100.370291426473</v>
      </c>
      <c r="AK656">
        <v>140.58939761291001</v>
      </c>
      <c r="AL656">
        <v>76.286520938036006</v>
      </c>
      <c r="AM656">
        <v>95.399719624355001</v>
      </c>
      <c r="AN656">
        <v>0.99999999857686805</v>
      </c>
    </row>
    <row r="657" spans="1:40" x14ac:dyDescent="0.25">
      <c r="A657" t="str">
        <f>"20190304155027995"</f>
        <v>20190304155027995</v>
      </c>
      <c r="B657" t="str">
        <f>"1551685827987229"</f>
        <v>1551685827987229</v>
      </c>
      <c r="C657" t="s">
        <v>40</v>
      </c>
      <c r="D657">
        <v>5.1918069999999998</v>
      </c>
      <c r="E657">
        <v>0.46719739999999998</v>
      </c>
      <c r="F657" t="s">
        <v>55</v>
      </c>
      <c r="G657">
        <v>-219.43279999999999</v>
      </c>
      <c r="H657">
        <v>9.9938570000000002</v>
      </c>
      <c r="I657">
        <v>391.87</v>
      </c>
      <c r="J657">
        <v>-362.81970000000001</v>
      </c>
      <c r="K657">
        <v>1.1103829999999999</v>
      </c>
      <c r="L657">
        <v>367.4169</v>
      </c>
      <c r="M657">
        <v>0.99991209999999997</v>
      </c>
      <c r="N657">
        <v>-1.15041E-2</v>
      </c>
      <c r="O657">
        <v>-6.5956069999999999E-3</v>
      </c>
      <c r="P657">
        <v>0.97043659999999998</v>
      </c>
      <c r="Q657">
        <v>0.22575300000000001</v>
      </c>
      <c r="R657">
        <v>8.5372180000000006E-2</v>
      </c>
      <c r="S657">
        <v>3.0033569999999998</v>
      </c>
      <c r="T657">
        <v>0.18585309999999999</v>
      </c>
      <c r="U657">
        <v>0.51156619999999997</v>
      </c>
      <c r="V657">
        <v>-9.1785119999999998E-2</v>
      </c>
      <c r="W657">
        <v>0.2368902</v>
      </c>
      <c r="X657">
        <v>0.96719100000000002</v>
      </c>
      <c r="Y657">
        <v>-0.17413229999999999</v>
      </c>
      <c r="Z657">
        <v>-4.8148669999999996E-3</v>
      </c>
      <c r="AA657">
        <v>0.98471050000000004</v>
      </c>
      <c r="AB657">
        <v>31</v>
      </c>
      <c r="AC657">
        <v>143.3869</v>
      </c>
      <c r="AD657">
        <v>8.8834739999999996</v>
      </c>
      <c r="AE657">
        <v>24.453099999999999</v>
      </c>
      <c r="AF657">
        <v>-25.303973206022199</v>
      </c>
      <c r="AG657">
        <v>8.8834739999999996</v>
      </c>
      <c r="AH657">
        <v>142.69026800975399</v>
      </c>
      <c r="AI657">
        <v>86.492122633636498</v>
      </c>
      <c r="AJ657">
        <v>100.056001915227</v>
      </c>
      <c r="AK657">
        <v>145.18856619932299</v>
      </c>
      <c r="AL657">
        <v>76.2969295109489</v>
      </c>
      <c r="AM657">
        <v>95.4210574439129</v>
      </c>
      <c r="AN657">
        <v>0.99999995279522602</v>
      </c>
    </row>
    <row r="658" spans="1:40" x14ac:dyDescent="0.25">
      <c r="A658" t="str">
        <f>"20190304155028006"</f>
        <v>20190304155028006</v>
      </c>
      <c r="B658" t="str">
        <f>"1551685827996990"</f>
        <v>1551685827996990</v>
      </c>
      <c r="C658" t="s">
        <v>40</v>
      </c>
      <c r="D658">
        <v>5.0256309999999997</v>
      </c>
      <c r="E658">
        <v>0.46729270000000001</v>
      </c>
      <c r="F658" t="s">
        <v>55</v>
      </c>
      <c r="G658">
        <v>-220.17320000000001</v>
      </c>
      <c r="H658">
        <v>10.379350000000001</v>
      </c>
      <c r="I658">
        <v>391.87</v>
      </c>
      <c r="J658">
        <v>-362.65589999999997</v>
      </c>
      <c r="K658">
        <v>1.1103829999999999</v>
      </c>
      <c r="L658">
        <v>367.41590000000002</v>
      </c>
      <c r="M658">
        <v>0.99991229999999998</v>
      </c>
      <c r="N658">
        <v>-1.150575E-2</v>
      </c>
      <c r="O658">
        <v>-6.5722519999999998E-3</v>
      </c>
      <c r="P658">
        <v>0.97045769999999998</v>
      </c>
      <c r="Q658">
        <v>0.2255144</v>
      </c>
      <c r="R658">
        <v>8.5762370000000004E-2</v>
      </c>
      <c r="S658">
        <v>3.0007630000000001</v>
      </c>
      <c r="T658">
        <v>0.1949852</v>
      </c>
      <c r="U658">
        <v>0.51440429999999904</v>
      </c>
      <c r="V658">
        <v>-9.2152629999999999E-2</v>
      </c>
      <c r="W658">
        <v>0.236653</v>
      </c>
      <c r="X658">
        <v>0.96721420000000002</v>
      </c>
      <c r="Y658">
        <v>-0.1751219</v>
      </c>
      <c r="Z658">
        <v>-5.1254919999999997E-3</v>
      </c>
      <c r="AA658">
        <v>0.9845334</v>
      </c>
      <c r="AB658">
        <v>31</v>
      </c>
      <c r="AC658">
        <v>142.482699999999</v>
      </c>
      <c r="AD658">
        <v>9.268967</v>
      </c>
      <c r="AE658">
        <v>24.454099999999901</v>
      </c>
      <c r="AF658">
        <v>-25.2861187359062</v>
      </c>
      <c r="AG658">
        <v>9.268967</v>
      </c>
      <c r="AH658">
        <v>141.73623835102401</v>
      </c>
      <c r="AI658">
        <v>86.316415951154099</v>
      </c>
      <c r="AJ658">
        <v>100.115299216837</v>
      </c>
      <c r="AK658">
        <v>144.27218308416801</v>
      </c>
      <c r="AL658">
        <v>76.310918889108393</v>
      </c>
      <c r="AM658">
        <v>95.442503650208593</v>
      </c>
      <c r="AN658">
        <v>1.00000002915327</v>
      </c>
    </row>
    <row r="659" spans="1:40" x14ac:dyDescent="0.25">
      <c r="A659" t="str">
        <f>"20190304155028025"</f>
        <v>20190304155028025</v>
      </c>
      <c r="B659" t="str">
        <f>"1551685828017485"</f>
        <v>1551685828017485</v>
      </c>
      <c r="C659" t="s">
        <v>40</v>
      </c>
      <c r="D659">
        <v>5.64154</v>
      </c>
      <c r="E659">
        <v>0.46746470000000001</v>
      </c>
      <c r="F659" t="s">
        <v>55</v>
      </c>
      <c r="G659">
        <v>-220.44210000000001</v>
      </c>
      <c r="H659">
        <v>11.70743</v>
      </c>
      <c r="I659">
        <v>391.87</v>
      </c>
      <c r="J659">
        <v>-362.40370000000001</v>
      </c>
      <c r="K659">
        <v>1.110379</v>
      </c>
      <c r="L659">
        <v>367.41430000000003</v>
      </c>
      <c r="M659">
        <v>0.99991260000000004</v>
      </c>
      <c r="N659">
        <v>-1.15082E-2</v>
      </c>
      <c r="O659">
        <v>-6.5367400000000001E-3</v>
      </c>
      <c r="P659">
        <v>0.97067930000000002</v>
      </c>
      <c r="Q659">
        <v>0.224297</v>
      </c>
      <c r="R659">
        <v>8.6444209999999994E-2</v>
      </c>
      <c r="S659">
        <v>2.9940190000000002</v>
      </c>
      <c r="T659">
        <v>0.22309899999999999</v>
      </c>
      <c r="U659">
        <v>0.5148315</v>
      </c>
      <c r="V659">
        <v>-9.2801510000000004E-2</v>
      </c>
      <c r="W659">
        <v>0.23544090000000001</v>
      </c>
      <c r="X659">
        <v>0.96744790000000003</v>
      </c>
      <c r="Y659">
        <v>-0.1754838</v>
      </c>
      <c r="Z659">
        <v>-6.0208769999999896E-3</v>
      </c>
      <c r="AA659">
        <v>0.98446389999999995</v>
      </c>
      <c r="AB659">
        <v>31</v>
      </c>
      <c r="AC659">
        <v>141.9616</v>
      </c>
      <c r="AD659">
        <v>10.597050999999899</v>
      </c>
      <c r="AE659">
        <v>24.455699999999901</v>
      </c>
      <c r="AF659">
        <v>-25.246579890044</v>
      </c>
      <c r="AG659">
        <v>10.597050999999899</v>
      </c>
      <c r="AH659">
        <v>141.035465145524</v>
      </c>
      <c r="AI659">
        <v>85.770002165217903</v>
      </c>
      <c r="AJ659">
        <v>100.14895122146901</v>
      </c>
      <c r="AK659">
        <v>143.66868035467999</v>
      </c>
      <c r="AL659">
        <v>76.382386102809903</v>
      </c>
      <c r="AM659">
        <v>95.479277907324999</v>
      </c>
      <c r="AN659">
        <v>0.99999998843274995</v>
      </c>
    </row>
    <row r="660" spans="1:40" x14ac:dyDescent="0.25">
      <c r="A660" t="str">
        <f>"20190304155028038"</f>
        <v>20190304155028038</v>
      </c>
      <c r="B660" t="str">
        <f>"1551685828027245"</f>
        <v>1551685828027245</v>
      </c>
      <c r="C660" t="s">
        <v>40</v>
      </c>
      <c r="D660">
        <v>6.1239699999999999</v>
      </c>
      <c r="E660">
        <v>0.46746470000000001</v>
      </c>
      <c r="F660" t="s">
        <v>55</v>
      </c>
      <c r="G660">
        <v>-219.69110000000001</v>
      </c>
      <c r="H660">
        <v>9.5040859999999991</v>
      </c>
      <c r="I660">
        <v>391.87</v>
      </c>
      <c r="J660">
        <v>-362.20979999999997</v>
      </c>
      <c r="K660">
        <v>1.1103769999999999</v>
      </c>
      <c r="L660">
        <v>367.41300000000001</v>
      </c>
      <c r="M660">
        <v>0.99991269999999999</v>
      </c>
      <c r="N660">
        <v>-1.1510039999999999E-2</v>
      </c>
      <c r="O660">
        <v>-6.508018E-3</v>
      </c>
      <c r="P660">
        <v>0.97076479999999998</v>
      </c>
      <c r="Q660">
        <v>0.22383210000000001</v>
      </c>
      <c r="R660">
        <v>8.6689699999999995E-2</v>
      </c>
      <c r="S660">
        <v>3.0039669999999998</v>
      </c>
      <c r="T660">
        <v>0.17667959999999999</v>
      </c>
      <c r="U660">
        <v>0.51477050000000002</v>
      </c>
      <c r="V660">
        <v>-9.3019779999999996E-2</v>
      </c>
      <c r="W660">
        <v>0.23497879999999999</v>
      </c>
      <c r="X660">
        <v>0.96753929999999999</v>
      </c>
      <c r="Y660">
        <v>-0.1750621</v>
      </c>
      <c r="Z660">
        <v>-4.5451399999999996E-3</v>
      </c>
      <c r="AA660">
        <v>0.9845469</v>
      </c>
      <c r="AB660">
        <v>31</v>
      </c>
      <c r="AC660">
        <v>142.518699999999</v>
      </c>
      <c r="AD660">
        <v>8.3937089999999994</v>
      </c>
      <c r="AE660">
        <v>24.456999999999901</v>
      </c>
      <c r="AF660">
        <v>-25.298814408193</v>
      </c>
      <c r="AG660">
        <v>8.3937089999999994</v>
      </c>
      <c r="AH660">
        <v>141.87845142444101</v>
      </c>
      <c r="AI660">
        <v>86.666711466429106</v>
      </c>
      <c r="AJ660">
        <v>100.110338191811</v>
      </c>
      <c r="AK660">
        <v>144.36058790346601</v>
      </c>
      <c r="AL660">
        <v>76.409626979535304</v>
      </c>
      <c r="AM660">
        <v>95.491570868733703</v>
      </c>
      <c r="AN660">
        <v>1.00000000648258</v>
      </c>
    </row>
    <row r="661" spans="1:40" x14ac:dyDescent="0.25">
      <c r="A661" t="str">
        <f>"20190304155028069"</f>
        <v>20190304155028069</v>
      </c>
      <c r="B661" t="str">
        <f>"1551685828057502"</f>
        <v>1551685828057502</v>
      </c>
      <c r="C661" t="s">
        <v>40</v>
      </c>
      <c r="D661">
        <v>5.0587569999999999</v>
      </c>
      <c r="E661">
        <v>0.47244409999999998</v>
      </c>
      <c r="F661" t="s">
        <v>55</v>
      </c>
      <c r="G661">
        <v>-219.59970000000001</v>
      </c>
      <c r="H661">
        <v>9.4234500000000008</v>
      </c>
      <c r="I661">
        <v>391.87</v>
      </c>
      <c r="J661">
        <v>-361.79360000000003</v>
      </c>
      <c r="K661">
        <v>1.110374</v>
      </c>
      <c r="L661">
        <v>367.41039999999998</v>
      </c>
      <c r="M661">
        <v>0.9999131</v>
      </c>
      <c r="N661">
        <v>-1.1513880000000001E-2</v>
      </c>
      <c r="O661">
        <v>-6.4426819999999999E-3</v>
      </c>
      <c r="P661">
        <v>0.97083759999999997</v>
      </c>
      <c r="Q661">
        <v>0.22302759999999999</v>
      </c>
      <c r="R661">
        <v>8.7939580000000003E-2</v>
      </c>
      <c r="S661">
        <v>3.0039669999999998</v>
      </c>
      <c r="T661">
        <v>0.17510809999999999</v>
      </c>
      <c r="U661">
        <v>0.51516720000000005</v>
      </c>
      <c r="V661">
        <v>-9.4207979999999997E-2</v>
      </c>
      <c r="W661">
        <v>0.23417830000000001</v>
      </c>
      <c r="X661">
        <v>0.96761839999999999</v>
      </c>
      <c r="Y661">
        <v>-0.17512910000000001</v>
      </c>
      <c r="Z661">
        <v>-4.4930719999999999E-3</v>
      </c>
      <c r="AA661">
        <v>0.98453520000000005</v>
      </c>
      <c r="AB661">
        <v>31</v>
      </c>
      <c r="AC661">
        <v>142.19390000000001</v>
      </c>
      <c r="AD661">
        <v>8.3130759999999899</v>
      </c>
      <c r="AE661">
        <v>24.459599999999998</v>
      </c>
      <c r="AF661">
        <v>-25.291303690587899</v>
      </c>
      <c r="AG661">
        <v>8.3130759999999899</v>
      </c>
      <c r="AH661">
        <v>141.56340604757199</v>
      </c>
      <c r="AI661">
        <v>86.691526645836703</v>
      </c>
      <c r="AJ661">
        <v>100.129426978884</v>
      </c>
      <c r="AK661">
        <v>144.044976332884</v>
      </c>
      <c r="AL661">
        <v>76.456808583160694</v>
      </c>
      <c r="AM661">
        <v>95.5608293751866</v>
      </c>
      <c r="AN661">
        <v>0.99999999385256499</v>
      </c>
    </row>
    <row r="662" spans="1:40" x14ac:dyDescent="0.25">
      <c r="A662" t="str">
        <f>"20190304155028081"</f>
        <v>20190304155028081</v>
      </c>
      <c r="B662" t="str">
        <f>"1551685828077021"</f>
        <v>1551685828077021</v>
      </c>
      <c r="C662" t="s">
        <v>40</v>
      </c>
      <c r="D662">
        <v>5.5821170000000002</v>
      </c>
      <c r="E662">
        <v>0.47440559999999998</v>
      </c>
      <c r="F662" t="s">
        <v>55</v>
      </c>
      <c r="G662">
        <v>-216.0865</v>
      </c>
      <c r="H662">
        <v>38.263019999999997</v>
      </c>
      <c r="I662">
        <v>391.87</v>
      </c>
      <c r="J662">
        <v>-361.6019</v>
      </c>
      <c r="K662">
        <v>1.110376</v>
      </c>
      <c r="L662">
        <v>367.4092</v>
      </c>
      <c r="M662">
        <v>0.99991319999999995</v>
      </c>
      <c r="N662">
        <v>-1.1515640000000001E-2</v>
      </c>
      <c r="O662">
        <v>-6.409283E-3</v>
      </c>
      <c r="P662">
        <v>0.97086980000000001</v>
      </c>
      <c r="Q662">
        <v>0.22278110000000001</v>
      </c>
      <c r="R662">
        <v>8.8206220000000002E-2</v>
      </c>
      <c r="S662">
        <v>2.8778079999999999</v>
      </c>
      <c r="T662">
        <v>0.73378840000000001</v>
      </c>
      <c r="U662">
        <v>0.4830933</v>
      </c>
      <c r="V662">
        <v>-9.4443949999999999E-2</v>
      </c>
      <c r="W662">
        <v>0.233933</v>
      </c>
      <c r="X662">
        <v>0.96765469999999998</v>
      </c>
      <c r="Y662">
        <v>-0.1667071</v>
      </c>
      <c r="Z662">
        <v>-2.146984E-2</v>
      </c>
      <c r="AA662">
        <v>0.98577269999999995</v>
      </c>
      <c r="AB662">
        <v>31</v>
      </c>
      <c r="AC662">
        <v>145.5154</v>
      </c>
      <c r="AD662">
        <v>37.152644000000002</v>
      </c>
      <c r="AE662">
        <v>24.460799999999999</v>
      </c>
      <c r="AF662">
        <v>-23.879171440754</v>
      </c>
      <c r="AG662">
        <v>37.152644000000002</v>
      </c>
      <c r="AH662">
        <v>136.69005950901499</v>
      </c>
      <c r="AI662">
        <v>75.010800644741593</v>
      </c>
      <c r="AJ662">
        <v>99.909329975040094</v>
      </c>
      <c r="AK662">
        <v>143.64785467756101</v>
      </c>
      <c r="AL662">
        <v>76.471264363915793</v>
      </c>
      <c r="AM662">
        <v>95.574462576691701</v>
      </c>
      <c r="AN662">
        <v>0.999999963306345</v>
      </c>
    </row>
    <row r="663" spans="1:40" x14ac:dyDescent="0.25">
      <c r="A663" t="str">
        <f>"20190304155028094"</f>
        <v>20190304155028094</v>
      </c>
      <c r="B663" t="str">
        <f>"1551685828086781"</f>
        <v>1551685828086781</v>
      </c>
      <c r="C663" t="s">
        <v>40</v>
      </c>
      <c r="D663">
        <v>5.0303120000000003</v>
      </c>
      <c r="E663">
        <v>0.47253200000000001</v>
      </c>
      <c r="F663" t="s">
        <v>55</v>
      </c>
      <c r="G663">
        <v>-211.14570000000001</v>
      </c>
      <c r="H663">
        <v>39.272350000000003</v>
      </c>
      <c r="I663">
        <v>391.87</v>
      </c>
      <c r="J663">
        <v>-361.43279999999999</v>
      </c>
      <c r="K663">
        <v>1.110376</v>
      </c>
      <c r="L663">
        <v>367.40809999999999</v>
      </c>
      <c r="M663">
        <v>0.99991350000000001</v>
      </c>
      <c r="N663">
        <v>-1.151718E-2</v>
      </c>
      <c r="O663">
        <v>-6.3781469999999998E-3</v>
      </c>
      <c r="P663">
        <v>0.97083929999999996</v>
      </c>
      <c r="Q663">
        <v>0.2227413</v>
      </c>
      <c r="R663">
        <v>8.8644529999999999E-2</v>
      </c>
      <c r="S663">
        <v>2.8798520000000001</v>
      </c>
      <c r="T663">
        <v>0.73045099999999996</v>
      </c>
      <c r="U663">
        <v>0.46820070000000003</v>
      </c>
      <c r="V663">
        <v>-9.4853209999999993E-2</v>
      </c>
      <c r="W663">
        <v>0.23389409999999999</v>
      </c>
      <c r="X663">
        <v>0.96762409999999999</v>
      </c>
      <c r="Y663">
        <v>-0.16179199999999999</v>
      </c>
      <c r="Z663">
        <v>-2.0776369999999999E-2</v>
      </c>
      <c r="AA663">
        <v>0.98660610000000004</v>
      </c>
      <c r="AB663">
        <v>31</v>
      </c>
      <c r="AC663">
        <v>150.28709999999899</v>
      </c>
      <c r="AD663">
        <v>38.161974000000001</v>
      </c>
      <c r="AE663">
        <v>24.4619</v>
      </c>
      <c r="AF663">
        <v>-23.917636967272198</v>
      </c>
      <c r="AG663">
        <v>38.161974000000001</v>
      </c>
      <c r="AH663">
        <v>141.255097394595</v>
      </c>
      <c r="AI663">
        <v>75.084343455067199</v>
      </c>
      <c r="AJ663">
        <v>99.610301995683599</v>
      </c>
      <c r="AK663">
        <v>148.261229448671</v>
      </c>
      <c r="AL663">
        <v>76.473557137482004</v>
      </c>
      <c r="AM663">
        <v>95.598641537519001</v>
      </c>
      <c r="AN663">
        <v>0.99999999018146202</v>
      </c>
    </row>
    <row r="664" spans="1:40" x14ac:dyDescent="0.25">
      <c r="A664" t="str">
        <f>"20190304155028106"</f>
        <v>20190304155028106</v>
      </c>
      <c r="B664" t="str">
        <f>"1551685828097517"</f>
        <v>1551685828097517</v>
      </c>
      <c r="C664" t="s">
        <v>40</v>
      </c>
      <c r="D664">
        <v>5.6317849999999998</v>
      </c>
      <c r="E664">
        <v>0.47253200000000001</v>
      </c>
      <c r="F664" t="s">
        <v>55</v>
      </c>
      <c r="G664">
        <v>-215.3476</v>
      </c>
      <c r="H664">
        <v>35.049050000000001</v>
      </c>
      <c r="I664">
        <v>391.87</v>
      </c>
      <c r="J664">
        <v>-361.26100000000002</v>
      </c>
      <c r="K664">
        <v>1.1103780000000001</v>
      </c>
      <c r="L664">
        <v>367.40710000000001</v>
      </c>
      <c r="M664">
        <v>0.99991359999999996</v>
      </c>
      <c r="N664">
        <v>-1.151873E-2</v>
      </c>
      <c r="O664">
        <v>-6.345219E-3</v>
      </c>
      <c r="P664">
        <v>0.97089820000000004</v>
      </c>
      <c r="Q664">
        <v>0.2223319</v>
      </c>
      <c r="R664">
        <v>8.9026389999999997E-2</v>
      </c>
      <c r="S664">
        <v>2.8917540000000002</v>
      </c>
      <c r="T664">
        <v>0.67181480000000005</v>
      </c>
      <c r="U664">
        <v>0.4842224</v>
      </c>
      <c r="V664">
        <v>-9.5204700000000003E-2</v>
      </c>
      <c r="W664">
        <v>0.23348650000000001</v>
      </c>
      <c r="X664">
        <v>0.96768799999999999</v>
      </c>
      <c r="Y664">
        <v>-0.16711679999999901</v>
      </c>
      <c r="Z664">
        <v>-1.9565889999999999E-2</v>
      </c>
      <c r="AA664">
        <v>0.98574289999999998</v>
      </c>
      <c r="AB664">
        <v>31</v>
      </c>
      <c r="AC664">
        <v>145.913399999999</v>
      </c>
      <c r="AD664">
        <v>33.938671999999997</v>
      </c>
      <c r="AE664">
        <v>24.462899999999902</v>
      </c>
      <c r="AF664">
        <v>-24.119143140447498</v>
      </c>
      <c r="AG664">
        <v>33.938671999999997</v>
      </c>
      <c r="AH664">
        <v>138.46883378734699</v>
      </c>
      <c r="AI664">
        <v>76.424978124409293</v>
      </c>
      <c r="AJ664">
        <v>99.880910407250099</v>
      </c>
      <c r="AK664">
        <v>144.59316876457501</v>
      </c>
      <c r="AL664">
        <v>76.497575715737398</v>
      </c>
      <c r="AM664">
        <v>95.618886756558695</v>
      </c>
      <c r="AN664">
        <v>0.99999997296416898</v>
      </c>
    </row>
    <row r="665" spans="1:40" x14ac:dyDescent="0.25">
      <c r="A665" t="str">
        <f>"20190304155028118"</f>
        <v>20190304155028118</v>
      </c>
      <c r="B665" t="str">
        <f>"1551685828107278"</f>
        <v>1551685828107278</v>
      </c>
      <c r="C665" t="s">
        <v>40</v>
      </c>
      <c r="D665">
        <v>5.6052970000000002</v>
      </c>
      <c r="E665">
        <v>0.47238750000000002</v>
      </c>
      <c r="F665" t="s">
        <v>55</v>
      </c>
      <c r="G665">
        <v>-215.4649</v>
      </c>
      <c r="H665">
        <v>34.918619999999997</v>
      </c>
      <c r="I665">
        <v>391.87</v>
      </c>
      <c r="J665">
        <v>-361.10469999999998</v>
      </c>
      <c r="K665">
        <v>1.1103829999999999</v>
      </c>
      <c r="L665">
        <v>367.40609999999998</v>
      </c>
      <c r="M665">
        <v>0.99991390000000002</v>
      </c>
      <c r="N665">
        <v>-1.1520249999999999E-2</v>
      </c>
      <c r="O665">
        <v>-6.3104889999999999E-3</v>
      </c>
      <c r="P665">
        <v>0.97093790000000002</v>
      </c>
      <c r="Q665">
        <v>0.22213479999999999</v>
      </c>
      <c r="R665">
        <v>8.9085940000000002E-2</v>
      </c>
      <c r="S665">
        <v>2.8919069999999998</v>
      </c>
      <c r="T665">
        <v>0.67059539999999995</v>
      </c>
      <c r="U665">
        <v>0.48522949999999998</v>
      </c>
      <c r="V665">
        <v>-9.5232849999999994E-2</v>
      </c>
      <c r="W665">
        <v>0.23329</v>
      </c>
      <c r="X665">
        <v>0.9677327</v>
      </c>
      <c r="Y665">
        <v>-0.16741809999999999</v>
      </c>
      <c r="Z665">
        <v>-1.9552159999999999E-2</v>
      </c>
      <c r="AA665">
        <v>0.98569209999999996</v>
      </c>
      <c r="AB665">
        <v>31</v>
      </c>
      <c r="AC665">
        <v>145.63979999999901</v>
      </c>
      <c r="AD665">
        <v>33.808236999999998</v>
      </c>
      <c r="AE665">
        <v>24.463899999999999</v>
      </c>
      <c r="AF665">
        <v>-24.118519695121901</v>
      </c>
      <c r="AG665">
        <v>33.808236999999998</v>
      </c>
      <c r="AH665">
        <v>138.23769782751501</v>
      </c>
      <c r="AI665">
        <v>76.454082337866197</v>
      </c>
      <c r="AJ665">
        <v>99.896854284331894</v>
      </c>
      <c r="AK665">
        <v>144.341127132856</v>
      </c>
      <c r="AL665">
        <v>76.5091551377961</v>
      </c>
      <c r="AM665">
        <v>95.620279552384801</v>
      </c>
      <c r="AN665">
        <v>1.0000000492342001</v>
      </c>
    </row>
    <row r="666" spans="1:40" x14ac:dyDescent="0.25">
      <c r="A666" t="str">
        <f>"20190304155028130"</f>
        <v>20190304155028130</v>
      </c>
      <c r="B666" t="str">
        <f>"1551685828126797"</f>
        <v>1551685828126797</v>
      </c>
      <c r="C666" t="s">
        <v>40</v>
      </c>
      <c r="D666">
        <v>5.0139820000000004</v>
      </c>
      <c r="E666">
        <v>0.4638427</v>
      </c>
      <c r="F666" t="s">
        <v>55</v>
      </c>
      <c r="G666">
        <v>-215.82929999999999</v>
      </c>
      <c r="H666">
        <v>35.33126</v>
      </c>
      <c r="I666">
        <v>391.87</v>
      </c>
      <c r="J666">
        <v>-360.93400000000003</v>
      </c>
      <c r="K666">
        <v>1.1103860000000001</v>
      </c>
      <c r="L666">
        <v>367.4051</v>
      </c>
      <c r="M666">
        <v>0.99991410000000003</v>
      </c>
      <c r="N666">
        <v>-1.15219E-2</v>
      </c>
      <c r="O666">
        <v>-6.2701450000000004E-3</v>
      </c>
      <c r="P666">
        <v>0.97095679999999995</v>
      </c>
      <c r="Q666">
        <v>0.22191</v>
      </c>
      <c r="R666">
        <v>8.9438149999999994E-2</v>
      </c>
      <c r="S666">
        <v>2.8894350000000002</v>
      </c>
      <c r="T666">
        <v>0.68063090000000004</v>
      </c>
      <c r="U666">
        <v>0.48657230000000001</v>
      </c>
      <c r="V666">
        <v>-9.5548670000000002E-2</v>
      </c>
      <c r="W666">
        <v>0.23306650000000001</v>
      </c>
      <c r="X666">
        <v>0.96775540000000004</v>
      </c>
      <c r="Y666">
        <v>-0.1678152</v>
      </c>
      <c r="Z666">
        <v>-1.9899920000000001E-2</v>
      </c>
      <c r="AA666">
        <v>0.98561759999999998</v>
      </c>
      <c r="AB666">
        <v>31</v>
      </c>
      <c r="AC666">
        <v>145.10470000000001</v>
      </c>
      <c r="AD666">
        <v>34.220874000000002</v>
      </c>
      <c r="AE666">
        <v>24.4649</v>
      </c>
      <c r="AF666">
        <v>-24.0724413555049</v>
      </c>
      <c r="AG666">
        <v>34.220874000000002</v>
      </c>
      <c r="AH666">
        <v>137.51164968966</v>
      </c>
      <c r="AI666">
        <v>76.2266556239409</v>
      </c>
      <c r="AJ666">
        <v>99.929440364328102</v>
      </c>
      <c r="AK666">
        <v>143.73588435220299</v>
      </c>
      <c r="AL666">
        <v>76.522323458055197</v>
      </c>
      <c r="AM666">
        <v>95.638666709978196</v>
      </c>
      <c r="AN666">
        <v>1.00000002799508</v>
      </c>
    </row>
    <row r="667" spans="1:40" x14ac:dyDescent="0.25">
      <c r="A667" t="str">
        <f>"20190304155028147"</f>
        <v>20190304155028147</v>
      </c>
      <c r="B667" t="str">
        <f>"1551685828137537"</f>
        <v>1551685828137537</v>
      </c>
      <c r="C667" t="s">
        <v>40</v>
      </c>
      <c r="D667">
        <v>5.3930230000000003</v>
      </c>
      <c r="E667">
        <v>0.4638427</v>
      </c>
      <c r="F667" t="s">
        <v>55</v>
      </c>
      <c r="G667">
        <v>-232.85740000000001</v>
      </c>
      <c r="H667">
        <v>8.3837619999999902</v>
      </c>
      <c r="I667">
        <v>391.00349999999997</v>
      </c>
      <c r="J667">
        <v>-360.69409999999999</v>
      </c>
      <c r="K667">
        <v>1.1103940000000001</v>
      </c>
      <c r="L667">
        <v>367.40370000000001</v>
      </c>
      <c r="M667">
        <v>0.99991450000000004</v>
      </c>
      <c r="N667">
        <v>-1.152413E-2</v>
      </c>
      <c r="O667">
        <v>-6.2049569999999997E-3</v>
      </c>
      <c r="P667">
        <v>0.97107639999999995</v>
      </c>
      <c r="Q667">
        <v>0.2213946</v>
      </c>
      <c r="R667">
        <v>8.9417399999999994E-2</v>
      </c>
      <c r="S667">
        <v>2.9998779999999998</v>
      </c>
      <c r="T667">
        <v>0.1703607</v>
      </c>
      <c r="U667">
        <v>0.55273439999999996</v>
      </c>
      <c r="V667">
        <v>-9.5469819999999997E-2</v>
      </c>
      <c r="W667">
        <v>0.2325527</v>
      </c>
      <c r="X667">
        <v>0.96788669999999999</v>
      </c>
      <c r="Y667">
        <v>-0.18705640000000001</v>
      </c>
      <c r="Z667">
        <v>-4.5954430000000003E-3</v>
      </c>
      <c r="AA667">
        <v>0.98233839999999994</v>
      </c>
      <c r="AB667">
        <v>31</v>
      </c>
      <c r="AC667">
        <v>127.836699999999</v>
      </c>
      <c r="AD667">
        <v>7.2733679999999898</v>
      </c>
      <c r="AE667">
        <v>23.599799999999899</v>
      </c>
      <c r="AF667">
        <v>-24.316498009953101</v>
      </c>
      <c r="AG667">
        <v>7.2733679999999898</v>
      </c>
      <c r="AH667">
        <v>127.28932139258001</v>
      </c>
      <c r="AI667">
        <v>86.787615755848293</v>
      </c>
      <c r="AJ667">
        <v>100.815096702837</v>
      </c>
      <c r="AK667">
        <v>129.79508965332599</v>
      </c>
      <c r="AL667">
        <v>76.5525927791534</v>
      </c>
      <c r="AM667">
        <v>95.633284063396005</v>
      </c>
      <c r="AN667">
        <v>0.999999954422505</v>
      </c>
    </row>
    <row r="668" spans="1:40" x14ac:dyDescent="0.25">
      <c r="A668" t="str">
        <f>"20190304155028159"</f>
        <v>20190304155028159</v>
      </c>
      <c r="B668" t="str">
        <f>"1551685828157053"</f>
        <v>1551685828157053</v>
      </c>
      <c r="C668" t="s">
        <v>40</v>
      </c>
      <c r="D668">
        <v>5.6535729999999997</v>
      </c>
      <c r="E668">
        <v>0.46729480000000001</v>
      </c>
      <c r="F668" t="s">
        <v>55</v>
      </c>
      <c r="G668">
        <v>-232.5761</v>
      </c>
      <c r="H668">
        <v>8.3166600000000006</v>
      </c>
      <c r="I668">
        <v>391.00349999999997</v>
      </c>
      <c r="J668">
        <v>-360.52510000000001</v>
      </c>
      <c r="K668">
        <v>1.1104000000000001</v>
      </c>
      <c r="L668">
        <v>367.40260000000001</v>
      </c>
      <c r="M668">
        <v>0.99991470000000005</v>
      </c>
      <c r="N668">
        <v>-1.152559E-2</v>
      </c>
      <c r="O668">
        <v>-6.1513459999999898E-3</v>
      </c>
      <c r="P668">
        <v>0.97106079999999995</v>
      </c>
      <c r="Q668">
        <v>0.22141920000000001</v>
      </c>
      <c r="R668">
        <v>8.9524480000000003E-2</v>
      </c>
      <c r="S668">
        <v>3</v>
      </c>
      <c r="T668">
        <v>0.16874120000000001</v>
      </c>
      <c r="U668">
        <v>0.55261229999999995</v>
      </c>
      <c r="V668">
        <v>-9.5528340000000003E-2</v>
      </c>
      <c r="W668">
        <v>0.2325768</v>
      </c>
      <c r="X668">
        <v>0.96787520000000005</v>
      </c>
      <c r="Y668">
        <v>-0.1869633</v>
      </c>
      <c r="Z668">
        <v>-4.5362120000000004E-3</v>
      </c>
      <c r="AA668">
        <v>0.98235640000000002</v>
      </c>
      <c r="AB668">
        <v>31</v>
      </c>
      <c r="AC668">
        <v>127.949</v>
      </c>
      <c r="AD668">
        <v>7.2062600000000003</v>
      </c>
      <c r="AE668">
        <v>23.6008999999999</v>
      </c>
      <c r="AF668">
        <v>-24.312978859662401</v>
      </c>
      <c r="AG668">
        <v>7.2062600000000003</v>
      </c>
      <c r="AH668">
        <v>127.41053232991101</v>
      </c>
      <c r="AI668">
        <v>86.820093053691593</v>
      </c>
      <c r="AJ668">
        <v>100.80352324180301</v>
      </c>
      <c r="AK668">
        <v>129.90956420837199</v>
      </c>
      <c r="AL668">
        <v>76.551173882620603</v>
      </c>
      <c r="AM668">
        <v>95.6367814017743</v>
      </c>
      <c r="AN668">
        <v>1.00000001720821</v>
      </c>
    </row>
    <row r="669" spans="1:40" x14ac:dyDescent="0.25">
      <c r="A669" t="str">
        <f>"20190304155028171"</f>
        <v>20190304155028171</v>
      </c>
      <c r="B669" t="str">
        <f>"1551685828166814"</f>
        <v>1551685828166814</v>
      </c>
      <c r="C669" t="s">
        <v>40</v>
      </c>
      <c r="D669">
        <v>5.6343100000000002</v>
      </c>
      <c r="E669">
        <v>0.46817920000000002</v>
      </c>
      <c r="F669" t="s">
        <v>55</v>
      </c>
      <c r="G669">
        <v>-230.42</v>
      </c>
      <c r="H669">
        <v>7.245152</v>
      </c>
      <c r="I669">
        <v>390.11860000000001</v>
      </c>
      <c r="J669">
        <v>-360.35860000000002</v>
      </c>
      <c r="K669">
        <v>1.110403</v>
      </c>
      <c r="L669">
        <v>367.40159999999997</v>
      </c>
      <c r="M669">
        <v>0.9999152</v>
      </c>
      <c r="N669">
        <v>-1.1527000000000001E-2</v>
      </c>
      <c r="O669">
        <v>-6.0957059999999898E-3</v>
      </c>
      <c r="P669">
        <v>0.97111009999999998</v>
      </c>
      <c r="Q669">
        <v>0.22117129999999999</v>
      </c>
      <c r="R669">
        <v>8.9603600000000005E-2</v>
      </c>
      <c r="S669">
        <v>3.0086360000000001</v>
      </c>
      <c r="T669">
        <v>0.14186389999999999</v>
      </c>
      <c r="U669">
        <v>0.52529910000000002</v>
      </c>
      <c r="V669">
        <v>-9.5558619999999997E-2</v>
      </c>
      <c r="W669">
        <v>0.23232910000000001</v>
      </c>
      <c r="X669">
        <v>0.96793169999999995</v>
      </c>
      <c r="Y669">
        <v>-0.17784320000000001</v>
      </c>
      <c r="Z669">
        <v>-3.4808090000000001E-3</v>
      </c>
      <c r="AA669">
        <v>0.9840527</v>
      </c>
      <c r="AB669">
        <v>31</v>
      </c>
      <c r="AC669">
        <v>129.93860000000001</v>
      </c>
      <c r="AD669">
        <v>6.1347490000000002</v>
      </c>
      <c r="AE669">
        <v>22.716999999999999</v>
      </c>
      <c r="AF669">
        <v>-23.4579599943409</v>
      </c>
      <c r="AG669">
        <v>6.1347490000000002</v>
      </c>
      <c r="AH669">
        <v>129.51756323022201</v>
      </c>
      <c r="AI669">
        <v>87.331497019032199</v>
      </c>
      <c r="AJ669">
        <v>100.266007117897</v>
      </c>
      <c r="AK669">
        <v>131.76763721598601</v>
      </c>
      <c r="AL669">
        <v>76.565765766481704</v>
      </c>
      <c r="AM669">
        <v>95.6382295906499</v>
      </c>
      <c r="AN669">
        <v>1.0000000182140001</v>
      </c>
    </row>
    <row r="670" spans="1:40" x14ac:dyDescent="0.25">
      <c r="A670" t="str">
        <f>"20190304155028184"</f>
        <v>20190304155028184</v>
      </c>
      <c r="B670" t="str">
        <f>"1551685828177549"</f>
        <v>1551685828177549</v>
      </c>
      <c r="C670" t="s">
        <v>40</v>
      </c>
      <c r="D670">
        <v>5.6003660000000002</v>
      </c>
      <c r="E670">
        <v>0.46790110000000001</v>
      </c>
      <c r="F670" t="s">
        <v>55</v>
      </c>
      <c r="G670">
        <v>-228.40520000000001</v>
      </c>
      <c r="H670">
        <v>6.8599319999999997</v>
      </c>
      <c r="I670">
        <v>390.11860000000001</v>
      </c>
      <c r="J670">
        <v>-360.17970000000003</v>
      </c>
      <c r="K670">
        <v>1.110412</v>
      </c>
      <c r="L670">
        <v>367.40069999999997</v>
      </c>
      <c r="M670">
        <v>0.99991549999999996</v>
      </c>
      <c r="N670">
        <v>-1.1528470000000001E-2</v>
      </c>
      <c r="O670">
        <v>-6.0301560000000001E-3</v>
      </c>
      <c r="P670">
        <v>0.97114909999999999</v>
      </c>
      <c r="Q670">
        <v>0.22102140000000001</v>
      </c>
      <c r="R670">
        <v>8.955043E-2</v>
      </c>
      <c r="S670">
        <v>3.011536</v>
      </c>
      <c r="T670">
        <v>0.131219899999999</v>
      </c>
      <c r="U670">
        <v>0.51846309999999995</v>
      </c>
      <c r="V670">
        <v>-9.5446279999999994E-2</v>
      </c>
      <c r="W670">
        <v>0.23217930000000001</v>
      </c>
      <c r="X670">
        <v>0.96797869999999997</v>
      </c>
      <c r="Y670">
        <v>-0.1754762</v>
      </c>
      <c r="Z670">
        <v>-3.1037460000000001E-3</v>
      </c>
      <c r="AA670">
        <v>0.98447879999999999</v>
      </c>
      <c r="AB670">
        <v>31</v>
      </c>
      <c r="AC670">
        <v>131.77449999999999</v>
      </c>
      <c r="AD670">
        <v>5.7495199999999897</v>
      </c>
      <c r="AE670">
        <v>22.7179</v>
      </c>
      <c r="AF670">
        <v>-23.4687722610253</v>
      </c>
      <c r="AG670">
        <v>5.7495199999999897</v>
      </c>
      <c r="AH670">
        <v>131.392189612382</v>
      </c>
      <c r="AI670">
        <v>87.533411699418593</v>
      </c>
      <c r="AJ670">
        <v>100.127157005361</v>
      </c>
      <c r="AK670">
        <v>133.59546303226901</v>
      </c>
      <c r="AL670">
        <v>76.574589608048399</v>
      </c>
      <c r="AM670">
        <v>95.631372160296806</v>
      </c>
      <c r="AN670">
        <v>0.99999999168400899</v>
      </c>
    </row>
    <row r="671" spans="1:40" x14ac:dyDescent="0.25">
      <c r="A671" t="str">
        <f>"20190304155028196"</f>
        <v>20190304155028196</v>
      </c>
      <c r="B671" t="str">
        <f>"1551685828187309"</f>
        <v>1551685828187309</v>
      </c>
      <c r="C671" t="s">
        <v>40</v>
      </c>
      <c r="D671">
        <v>5.3858569999999997</v>
      </c>
      <c r="E671">
        <v>0.46689330000000001</v>
      </c>
      <c r="F671" t="s">
        <v>55</v>
      </c>
      <c r="G671">
        <v>-228.74619999999999</v>
      </c>
      <c r="H671">
        <v>6.5423869999999997</v>
      </c>
      <c r="I671">
        <v>390.11860000000001</v>
      </c>
      <c r="J671">
        <v>-360.01979999999998</v>
      </c>
      <c r="K671">
        <v>1.110417</v>
      </c>
      <c r="L671">
        <v>367.3997</v>
      </c>
      <c r="M671">
        <v>0.99991569999999996</v>
      </c>
      <c r="N671">
        <v>-1.152976E-2</v>
      </c>
      <c r="O671">
        <v>-5.9661749999999998E-3</v>
      </c>
      <c r="P671">
        <v>0.97121590000000002</v>
      </c>
      <c r="Q671">
        <v>0.22075520000000001</v>
      </c>
      <c r="R671">
        <v>8.9480680000000007E-2</v>
      </c>
      <c r="S671">
        <v>3.0127869999999999</v>
      </c>
      <c r="T671">
        <v>0.12451429999999999</v>
      </c>
      <c r="U671">
        <v>0.52075199999999999</v>
      </c>
      <c r="V671">
        <v>-9.5318630000000001E-2</v>
      </c>
      <c r="W671">
        <v>0.23191349999999999</v>
      </c>
      <c r="X671">
        <v>0.968055</v>
      </c>
      <c r="Y671">
        <v>-0.17608560000000001</v>
      </c>
      <c r="Z671">
        <v>-2.9004109999999999E-3</v>
      </c>
      <c r="AA671">
        <v>0.98437059999999998</v>
      </c>
      <c r="AB671">
        <v>31</v>
      </c>
      <c r="AC671">
        <v>131.27359999999999</v>
      </c>
      <c r="AD671">
        <v>5.4319699999999997</v>
      </c>
      <c r="AE671">
        <v>22.718900000000001</v>
      </c>
      <c r="AF671">
        <v>-23.462743810491499</v>
      </c>
      <c r="AG671">
        <v>5.4319699999999997</v>
      </c>
      <c r="AH671">
        <v>130.91806736187399</v>
      </c>
      <c r="AI671">
        <v>87.661301208475706</v>
      </c>
      <c r="AJ671">
        <v>100.16051335834899</v>
      </c>
      <c r="AK671">
        <v>133.114788836424</v>
      </c>
      <c r="AL671">
        <v>76.590246261344305</v>
      </c>
      <c r="AM671">
        <v>95.623448646081499</v>
      </c>
      <c r="AN671">
        <v>0.999999997866163</v>
      </c>
    </row>
    <row r="672" spans="1:40" x14ac:dyDescent="0.25">
      <c r="A672" t="str">
        <f>"20190304155028206"</f>
        <v>20190304155028206</v>
      </c>
      <c r="B672" t="str">
        <f>"1551685828197069"</f>
        <v>1551685828197069</v>
      </c>
      <c r="C672" t="s">
        <v>40</v>
      </c>
      <c r="D672">
        <v>5.8851620000000002</v>
      </c>
      <c r="E672">
        <v>0.46689330000000001</v>
      </c>
      <c r="F672" t="s">
        <v>55</v>
      </c>
      <c r="G672">
        <v>-230.58860000000001</v>
      </c>
      <c r="H672">
        <v>6.7509009999999998</v>
      </c>
      <c r="I672">
        <v>390.11860000000001</v>
      </c>
      <c r="J672">
        <v>-359.86020000000002</v>
      </c>
      <c r="K672">
        <v>1.1104160000000001</v>
      </c>
      <c r="L672">
        <v>367.39879999999999</v>
      </c>
      <c r="M672">
        <v>0.99991629999999998</v>
      </c>
      <c r="N672">
        <v>-1.1531039999999999E-2</v>
      </c>
      <c r="O672">
        <v>-5.9005280000000004E-3</v>
      </c>
      <c r="P672">
        <v>0.97127280000000005</v>
      </c>
      <c r="Q672">
        <v>0.2204189</v>
      </c>
      <c r="R672">
        <v>8.9694640000000006E-2</v>
      </c>
      <c r="S672">
        <v>3.0104060000000001</v>
      </c>
      <c r="T672">
        <v>0.13119040000000001</v>
      </c>
      <c r="U672">
        <v>0.52841190000000005</v>
      </c>
      <c r="V672">
        <v>-9.5472799999999997E-2</v>
      </c>
      <c r="W672">
        <v>0.2315777</v>
      </c>
      <c r="X672">
        <v>0.96812019999999999</v>
      </c>
      <c r="Y672">
        <v>-0.17856569999999999</v>
      </c>
      <c r="Z672">
        <v>-3.144413E-3</v>
      </c>
      <c r="AA672">
        <v>0.98392299999999999</v>
      </c>
      <c r="AB672">
        <v>31</v>
      </c>
      <c r="AC672">
        <v>129.27160000000001</v>
      </c>
      <c r="AD672">
        <v>5.640485</v>
      </c>
      <c r="AE672">
        <v>22.719799999999999</v>
      </c>
      <c r="AF672">
        <v>-23.438939172927</v>
      </c>
      <c r="AG672">
        <v>5.640485</v>
      </c>
      <c r="AH672">
        <v>128.897236976198</v>
      </c>
      <c r="AI672">
        <v>87.534737300068997</v>
      </c>
      <c r="AJ672">
        <v>100.30617083378399</v>
      </c>
      <c r="AK672">
        <v>131.13236305613299</v>
      </c>
      <c r="AL672">
        <v>76.610024707780994</v>
      </c>
      <c r="AM672">
        <v>95.632108778127304</v>
      </c>
      <c r="AN672">
        <v>1.0000000041625801</v>
      </c>
    </row>
    <row r="673" spans="1:40" x14ac:dyDescent="0.25">
      <c r="A673" t="str">
        <f>"20190304155028218"</f>
        <v>20190304155028218</v>
      </c>
      <c r="B673" t="str">
        <f>"1551685828206830"</f>
        <v>1551685828206830</v>
      </c>
      <c r="C673" t="s">
        <v>40</v>
      </c>
      <c r="D673">
        <v>5.0284440000000004</v>
      </c>
      <c r="E673">
        <v>0.46446480000000001</v>
      </c>
      <c r="F673" t="s">
        <v>55</v>
      </c>
      <c r="G673">
        <v>-230.59700000000001</v>
      </c>
      <c r="H673">
        <v>6.6977479999999998</v>
      </c>
      <c r="I673">
        <v>390.11860000000001</v>
      </c>
      <c r="J673">
        <v>-359.70299999999997</v>
      </c>
      <c r="K673">
        <v>1.110419</v>
      </c>
      <c r="L673">
        <v>367.39800000000002</v>
      </c>
      <c r="M673">
        <v>0.99991660000000004</v>
      </c>
      <c r="N673">
        <v>-1.1532290000000001E-2</v>
      </c>
      <c r="O673">
        <v>-5.8302429999999997E-3</v>
      </c>
      <c r="P673">
        <v>0.97132499999999999</v>
      </c>
      <c r="Q673">
        <v>0.2201359</v>
      </c>
      <c r="R673">
        <v>8.9822009999999994E-2</v>
      </c>
      <c r="S673">
        <v>3.0103759999999999</v>
      </c>
      <c r="T673">
        <v>0.13012169999999901</v>
      </c>
      <c r="U673">
        <v>0.52911379999999997</v>
      </c>
      <c r="V673">
        <v>-9.5535720000000005E-2</v>
      </c>
      <c r="W673">
        <v>0.23129559999999999</v>
      </c>
      <c r="X673">
        <v>0.96818139999999997</v>
      </c>
      <c r="Y673">
        <v>-0.1787232</v>
      </c>
      <c r="Z673">
        <v>-3.1094059999999999E-3</v>
      </c>
      <c r="AA673">
        <v>0.98389450000000001</v>
      </c>
      <c r="AB673">
        <v>31</v>
      </c>
      <c r="AC673">
        <v>129.10599999999999</v>
      </c>
      <c r="AD673">
        <v>5.5873290000000004</v>
      </c>
      <c r="AE673">
        <v>22.720599999999902</v>
      </c>
      <c r="AF673">
        <v>-23.430418436628301</v>
      </c>
      <c r="AG673">
        <v>5.5873290000000004</v>
      </c>
      <c r="AH673">
        <v>128.737460078753</v>
      </c>
      <c r="AI673">
        <v>87.554983117759207</v>
      </c>
      <c r="AJ673">
        <v>100.31501666362099</v>
      </c>
      <c r="AK673">
        <v>130.971509806516</v>
      </c>
      <c r="AL673">
        <v>76.626638537730997</v>
      </c>
      <c r="AM673">
        <v>95.635442699465003</v>
      </c>
      <c r="AN673">
        <v>0.99999997584061795</v>
      </c>
    </row>
    <row r="674" spans="1:40" x14ac:dyDescent="0.25">
      <c r="A674" t="str">
        <f>"20190304155028232"</f>
        <v>20190304155028232</v>
      </c>
      <c r="B674" t="str">
        <f>"1551685828227325"</f>
        <v>1551685828227325</v>
      </c>
      <c r="C674" t="s">
        <v>40</v>
      </c>
      <c r="D674">
        <v>5.0543719999999999</v>
      </c>
      <c r="E674">
        <v>0.46584560000000003</v>
      </c>
      <c r="F674" t="s">
        <v>55</v>
      </c>
      <c r="G674">
        <v>-234.2655</v>
      </c>
      <c r="H674">
        <v>33.997920000000001</v>
      </c>
      <c r="I674">
        <v>391.56400000000002</v>
      </c>
      <c r="J674">
        <v>-359.51819999999998</v>
      </c>
      <c r="K674">
        <v>1.1104240000000001</v>
      </c>
      <c r="L674">
        <v>367.39699999999999</v>
      </c>
      <c r="M674">
        <v>0.99991699999999994</v>
      </c>
      <c r="N674">
        <v>-1.153377E-2</v>
      </c>
      <c r="O674">
        <v>-5.7460069999999896E-3</v>
      </c>
      <c r="P674">
        <v>0.97131029999999996</v>
      </c>
      <c r="Q674">
        <v>0.22008079999999999</v>
      </c>
      <c r="R674">
        <v>9.0118069999999995E-2</v>
      </c>
      <c r="S674">
        <v>2.8671570000000002</v>
      </c>
      <c r="T674">
        <v>0.75171769999999904</v>
      </c>
      <c r="U674">
        <v>0.55236819999999998</v>
      </c>
      <c r="V674">
        <v>-9.5753089999999999E-2</v>
      </c>
      <c r="W674">
        <v>0.23124</v>
      </c>
      <c r="X674">
        <v>0.96817330000000001</v>
      </c>
      <c r="Y674">
        <v>-0.18874089999999999</v>
      </c>
      <c r="Z674">
        <v>-2.4538330000000001E-2</v>
      </c>
      <c r="AA674">
        <v>0.98172029999999999</v>
      </c>
      <c r="AB674">
        <v>31</v>
      </c>
      <c r="AC674">
        <v>125.252699999999</v>
      </c>
      <c r="AD674">
        <v>32.887495999999999</v>
      </c>
      <c r="AE674">
        <v>24.167000000000002</v>
      </c>
      <c r="AF674">
        <v>-23.3352991986166</v>
      </c>
      <c r="AG674">
        <v>32.887495999999999</v>
      </c>
      <c r="AH674">
        <v>117.314115019014</v>
      </c>
      <c r="AI674">
        <v>74.626388393399907</v>
      </c>
      <c r="AJ674">
        <v>101.25003328735301</v>
      </c>
      <c r="AK674">
        <v>124.051300535438</v>
      </c>
      <c r="AL674">
        <v>76.629914170902794</v>
      </c>
      <c r="AM674">
        <v>95.648229012664999</v>
      </c>
      <c r="AN674">
        <v>1.00000006533871</v>
      </c>
    </row>
    <row r="675" spans="1:40" x14ac:dyDescent="0.25">
      <c r="A675" t="str">
        <f>"20190304155028248"</f>
        <v>20190304155028248</v>
      </c>
      <c r="B675" t="str">
        <f>"1551685828237086"</f>
        <v>1551685828237086</v>
      </c>
      <c r="C675" t="s">
        <v>40</v>
      </c>
      <c r="D675">
        <v>5.915457</v>
      </c>
      <c r="E675">
        <v>0.4663448</v>
      </c>
      <c r="F675" t="s">
        <v>55</v>
      </c>
      <c r="G675">
        <v>-234.2647</v>
      </c>
      <c r="H675">
        <v>36.293059999999997</v>
      </c>
      <c r="I675">
        <v>391.18709999999999</v>
      </c>
      <c r="J675">
        <v>-359.28739999999999</v>
      </c>
      <c r="K675">
        <v>1.1104270000000001</v>
      </c>
      <c r="L675">
        <v>367.39580000000001</v>
      </c>
      <c r="M675">
        <v>0.99991770000000002</v>
      </c>
      <c r="N675">
        <v>-1.153559E-2</v>
      </c>
      <c r="O675">
        <v>-5.6355490000000001E-3</v>
      </c>
      <c r="P675">
        <v>0.97136630000000002</v>
      </c>
      <c r="Q675">
        <v>0.21986900000000001</v>
      </c>
      <c r="R675">
        <v>9.0031029999999998E-2</v>
      </c>
      <c r="S675">
        <v>2.8564449999999999</v>
      </c>
      <c r="T675">
        <v>0.80235100000000004</v>
      </c>
      <c r="U675">
        <v>0.54254150000000001</v>
      </c>
      <c r="V675">
        <v>-9.5562690000000006E-2</v>
      </c>
      <c r="W675">
        <v>0.23102980000000001</v>
      </c>
      <c r="X675">
        <v>0.96824219999999905</v>
      </c>
      <c r="Y675">
        <v>-0.1852808</v>
      </c>
      <c r="Z675">
        <v>-2.5820450000000002E-2</v>
      </c>
      <c r="AA675">
        <v>0.98234639999999995</v>
      </c>
      <c r="AB675">
        <v>31</v>
      </c>
      <c r="AC675">
        <v>125.0227</v>
      </c>
      <c r="AD675">
        <v>35.182633000000003</v>
      </c>
      <c r="AE675">
        <v>23.7912999999999</v>
      </c>
      <c r="AF675">
        <v>-22.7564037619453</v>
      </c>
      <c r="AG675">
        <v>35.182633000000003</v>
      </c>
      <c r="AH675">
        <v>116.01991560712899</v>
      </c>
      <c r="AI675">
        <v>73.428238419766203</v>
      </c>
      <c r="AJ675">
        <v>101.097242451225</v>
      </c>
      <c r="AK675">
        <v>123.35433674774001</v>
      </c>
      <c r="AL675">
        <v>76.642291737404605</v>
      </c>
      <c r="AM675">
        <v>95.636671662966705</v>
      </c>
      <c r="AN675">
        <v>0.99999997703445698</v>
      </c>
    </row>
    <row r="676" spans="1:40" x14ac:dyDescent="0.25">
      <c r="A676" t="str">
        <f>"20190304155028261"</f>
        <v>20190304155028261</v>
      </c>
      <c r="B676" t="str">
        <f>"1551685828257582"</f>
        <v>1551685828257582</v>
      </c>
      <c r="C676" t="s">
        <v>40</v>
      </c>
      <c r="D676">
        <v>5.2745730000000002</v>
      </c>
      <c r="E676">
        <v>0.46721580000000001</v>
      </c>
      <c r="F676" t="s">
        <v>55</v>
      </c>
      <c r="G676">
        <v>-233.94460000000001</v>
      </c>
      <c r="H676">
        <v>36.352420000000002</v>
      </c>
      <c r="I676">
        <v>391.00349999999997</v>
      </c>
      <c r="J676">
        <v>-359.1001</v>
      </c>
      <c r="K676">
        <v>1.1104309999999999</v>
      </c>
      <c r="L676">
        <v>367.39479999999998</v>
      </c>
      <c r="M676">
        <v>0.99991819999999998</v>
      </c>
      <c r="N676">
        <v>-1.153704E-2</v>
      </c>
      <c r="O676">
        <v>-5.5422930000000002E-3</v>
      </c>
      <c r="P676">
        <v>0.97143970000000002</v>
      </c>
      <c r="Q676">
        <v>0.2194923</v>
      </c>
      <c r="R676">
        <v>9.0155739999999998E-2</v>
      </c>
      <c r="S676">
        <v>2.8567499999999999</v>
      </c>
      <c r="T676">
        <v>0.80321779999999998</v>
      </c>
      <c r="U676">
        <v>0.53805539999999996</v>
      </c>
      <c r="V676">
        <v>-9.5599149999999994E-2</v>
      </c>
      <c r="W676">
        <v>0.23065450000000001</v>
      </c>
      <c r="X676">
        <v>0.96832810000000002</v>
      </c>
      <c r="Y676">
        <v>-0.1837242</v>
      </c>
      <c r="Z676">
        <v>-2.561911E-2</v>
      </c>
      <c r="AA676">
        <v>0.98264390000000001</v>
      </c>
      <c r="AB676">
        <v>31</v>
      </c>
      <c r="AC676">
        <v>125.1555</v>
      </c>
      <c r="AD676">
        <v>35.241988999999997</v>
      </c>
      <c r="AE676">
        <v>23.608699999999999</v>
      </c>
      <c r="AF676">
        <v>-22.573657205326001</v>
      </c>
      <c r="AG676">
        <v>35.241988999999997</v>
      </c>
      <c r="AH676">
        <v>116.131033518351</v>
      </c>
      <c r="AI676">
        <v>73.411633814572198</v>
      </c>
      <c r="AJ676">
        <v>101.00003375858</v>
      </c>
      <c r="AK676">
        <v>123.44223237749701</v>
      </c>
      <c r="AL676">
        <v>76.664392084887197</v>
      </c>
      <c r="AM676">
        <v>95.638311370291305</v>
      </c>
      <c r="AN676">
        <v>1.00000000255029</v>
      </c>
    </row>
    <row r="677" spans="1:40" x14ac:dyDescent="0.25">
      <c r="A677" t="str">
        <f>"20190304155028281"</f>
        <v>20190304155028281</v>
      </c>
      <c r="B677" t="str">
        <f>"1551685828277102"</f>
        <v>1551685828277102</v>
      </c>
      <c r="C677" t="s">
        <v>40</v>
      </c>
      <c r="D677">
        <v>5.2889790000000003</v>
      </c>
      <c r="E677">
        <v>0.4374499</v>
      </c>
      <c r="F677" t="s">
        <v>55</v>
      </c>
      <c r="G677">
        <v>-231.95820000000001</v>
      </c>
      <c r="H677">
        <v>35.998820000000002</v>
      </c>
      <c r="I677">
        <v>391.00349999999997</v>
      </c>
      <c r="J677">
        <v>-358.83629999999999</v>
      </c>
      <c r="K677">
        <v>1.1104459999999901</v>
      </c>
      <c r="L677">
        <v>367.39350000000002</v>
      </c>
      <c r="M677">
        <v>0.99991890000000005</v>
      </c>
      <c r="N677">
        <v>-1.153911E-2</v>
      </c>
      <c r="O677">
        <v>-5.4087479999999997E-3</v>
      </c>
      <c r="P677">
        <v>0.97154830000000003</v>
      </c>
      <c r="Q677">
        <v>0.2190674</v>
      </c>
      <c r="R677">
        <v>9.002077E-2</v>
      </c>
      <c r="S677">
        <v>2.8614809999999999</v>
      </c>
      <c r="T677">
        <v>0.78520440000000002</v>
      </c>
      <c r="U677">
        <v>0.53134159999999997</v>
      </c>
      <c r="V677">
        <v>-9.5336519999999994E-2</v>
      </c>
      <c r="W677">
        <v>0.2302322</v>
      </c>
      <c r="X677">
        <v>0.9684545</v>
      </c>
      <c r="Y677">
        <v>-0.18147170000000001</v>
      </c>
      <c r="Z677">
        <v>-2.4683130000000001E-2</v>
      </c>
      <c r="AA677">
        <v>0.98308629999999997</v>
      </c>
      <c r="AB677">
        <v>31</v>
      </c>
      <c r="AC677">
        <v>126.8781</v>
      </c>
      <c r="AD677">
        <v>34.888373999999999</v>
      </c>
      <c r="AE677">
        <v>23.6099999999999</v>
      </c>
      <c r="AF677">
        <v>-22.641303866578902</v>
      </c>
      <c r="AG677">
        <v>34.888373999999999</v>
      </c>
      <c r="AH677">
        <v>118.116470786962</v>
      </c>
      <c r="AI677">
        <v>73.823020142954903</v>
      </c>
      <c r="AJ677">
        <v>100.85118715179701</v>
      </c>
      <c r="AK677">
        <v>125.225109112789</v>
      </c>
      <c r="AL677">
        <v>76.6892575351674</v>
      </c>
      <c r="AM677">
        <v>95.622192013415201</v>
      </c>
      <c r="AN677">
        <v>1.0000000182663999</v>
      </c>
    </row>
    <row r="678" spans="1:40" x14ac:dyDescent="0.25">
      <c r="A678" t="str">
        <f>"20190304155028293"</f>
        <v>20190304155028293</v>
      </c>
      <c r="B678" t="str">
        <f>"1551685828286862"</f>
        <v>1551685828286862</v>
      </c>
      <c r="C678" t="s">
        <v>40</v>
      </c>
      <c r="D678">
        <v>5.5707240000000002</v>
      </c>
      <c r="E678">
        <v>0.44696089999999999</v>
      </c>
      <c r="F678" t="s">
        <v>56</v>
      </c>
      <c r="G678">
        <v>-264.5018</v>
      </c>
      <c r="H678">
        <v>8.8798580000000005</v>
      </c>
      <c r="I678">
        <v>391.75</v>
      </c>
      <c r="J678">
        <v>-358.65820000000002</v>
      </c>
      <c r="K678">
        <v>1.1104459999999901</v>
      </c>
      <c r="L678">
        <v>367.39260000000002</v>
      </c>
      <c r="M678">
        <v>0.99991940000000001</v>
      </c>
      <c r="N678">
        <v>-1.154055E-2</v>
      </c>
      <c r="O678">
        <v>-5.3174219999999996E-3</v>
      </c>
      <c r="P678">
        <v>0.97158940000000005</v>
      </c>
      <c r="Q678">
        <v>0.2188475</v>
      </c>
      <c r="R678">
        <v>9.0110590000000004E-2</v>
      </c>
      <c r="S678">
        <v>2.9620060000000001</v>
      </c>
      <c r="T678">
        <v>0.24395220000000001</v>
      </c>
      <c r="U678">
        <v>0.76477050000000002</v>
      </c>
      <c r="V678">
        <v>-9.5339259999999995E-2</v>
      </c>
      <c r="W678">
        <v>0.23001369999999999</v>
      </c>
      <c r="X678">
        <v>0.96850619999999998</v>
      </c>
      <c r="Y678">
        <v>-0.25442940000000003</v>
      </c>
      <c r="Z678">
        <v>-9.2885060000000002E-3</v>
      </c>
      <c r="AA678">
        <v>0.96704670000000004</v>
      </c>
      <c r="AB678">
        <v>31</v>
      </c>
      <c r="AC678">
        <v>94.156400000000005</v>
      </c>
      <c r="AD678">
        <v>7.769412</v>
      </c>
      <c r="AE678">
        <v>24.357399999999899</v>
      </c>
      <c r="AF678">
        <v>-24.7001264952161</v>
      </c>
      <c r="AG678">
        <v>7.769412</v>
      </c>
      <c r="AH678">
        <v>93.429292819079095</v>
      </c>
      <c r="AI678">
        <v>85.403529095153203</v>
      </c>
      <c r="AJ678">
        <v>104.80862259066301</v>
      </c>
      <c r="AK678">
        <v>96.950981265682103</v>
      </c>
      <c r="AL678">
        <v>76.702122597160795</v>
      </c>
      <c r="AM678">
        <v>95.622054356630002</v>
      </c>
      <c r="AN678">
        <v>1.00000006806173</v>
      </c>
    </row>
    <row r="679" spans="1:40" x14ac:dyDescent="0.25">
      <c r="A679" t="str">
        <f>"20190304155028305"</f>
        <v>20190304155028305</v>
      </c>
      <c r="B679" t="str">
        <f>"1551685828297597"</f>
        <v>1551685828297597</v>
      </c>
      <c r="C679" t="s">
        <v>40</v>
      </c>
      <c r="D679">
        <v>4.9920429999999998</v>
      </c>
      <c r="E679">
        <v>0.45060420000000001</v>
      </c>
      <c r="F679" t="s">
        <v>56</v>
      </c>
      <c r="G679">
        <v>-260.9391</v>
      </c>
      <c r="H679">
        <v>7.6062989999999999</v>
      </c>
      <c r="I679">
        <v>389.99860000000001</v>
      </c>
      <c r="J679">
        <v>-358.47809999999998</v>
      </c>
      <c r="K679">
        <v>1.1104449999999999</v>
      </c>
      <c r="L679">
        <v>367.39179999999999</v>
      </c>
      <c r="M679">
        <v>0.99991980000000003</v>
      </c>
      <c r="N679">
        <v>-1.154206E-2</v>
      </c>
      <c r="O679">
        <v>-5.2250259999999998E-3</v>
      </c>
      <c r="P679">
        <v>0.97165190000000001</v>
      </c>
      <c r="Q679">
        <v>0.2186217</v>
      </c>
      <c r="R679">
        <v>8.9984359999999999E-2</v>
      </c>
      <c r="S679">
        <v>2.9792480000000001</v>
      </c>
      <c r="T679">
        <v>0.19804559999999999</v>
      </c>
      <c r="U679">
        <v>0.68920899999999996</v>
      </c>
      <c r="V679">
        <v>-9.5124130000000001E-2</v>
      </c>
      <c r="W679">
        <v>0.22978999999999999</v>
      </c>
      <c r="X679">
        <v>0.96858040000000001</v>
      </c>
      <c r="Y679">
        <v>-0.23006190000000001</v>
      </c>
      <c r="Z679">
        <v>-6.5947860000000001E-3</v>
      </c>
      <c r="AA679">
        <v>0.97315370000000001</v>
      </c>
      <c r="AB679">
        <v>31</v>
      </c>
      <c r="AC679">
        <v>97.539000000000001</v>
      </c>
      <c r="AD679">
        <v>6.4958539999999996</v>
      </c>
      <c r="AE679">
        <v>22.6068</v>
      </c>
      <c r="AF679">
        <v>-23.019278162936399</v>
      </c>
      <c r="AG679">
        <v>6.4958539999999996</v>
      </c>
      <c r="AH679">
        <v>97.011207459757898</v>
      </c>
      <c r="AI679">
        <v>86.272401221495002</v>
      </c>
      <c r="AJ679">
        <v>103.34854238466799</v>
      </c>
      <c r="AK679">
        <v>99.916253228051602</v>
      </c>
      <c r="AL679">
        <v>76.715291750905195</v>
      </c>
      <c r="AM679">
        <v>95.609022387089794</v>
      </c>
      <c r="AN679">
        <v>1.0000000177362001</v>
      </c>
    </row>
    <row r="680" spans="1:40" x14ac:dyDescent="0.25">
      <c r="A680" t="str">
        <f>"20190304155028320"</f>
        <v>20190304155028320</v>
      </c>
      <c r="B680" t="str">
        <f>"1551685828317117"</f>
        <v>1551685828317117</v>
      </c>
      <c r="C680" t="s">
        <v>40</v>
      </c>
      <c r="D680">
        <v>7.4547339999999904</v>
      </c>
      <c r="E680">
        <v>0.4554647</v>
      </c>
      <c r="F680" t="s">
        <v>56</v>
      </c>
      <c r="G680">
        <v>-248.4727</v>
      </c>
      <c r="H680">
        <v>8.5886990000000001</v>
      </c>
      <c r="I680">
        <v>391.75</v>
      </c>
      <c r="J680">
        <v>-358.2928</v>
      </c>
      <c r="K680">
        <v>1.1104449999999999</v>
      </c>
      <c r="L680">
        <v>367.39080000000001</v>
      </c>
      <c r="M680">
        <v>0.99992020000000004</v>
      </c>
      <c r="N680">
        <v>-1.1543599999999999E-2</v>
      </c>
      <c r="O680">
        <v>-5.1298949999999998E-3</v>
      </c>
      <c r="P680">
        <v>0.97172769999999997</v>
      </c>
      <c r="Q680">
        <v>0.2182895</v>
      </c>
      <c r="R680">
        <v>8.9971830000000003E-2</v>
      </c>
      <c r="S680">
        <v>2.980804</v>
      </c>
      <c r="T680">
        <v>0.2026384</v>
      </c>
      <c r="U680">
        <v>0.66003420000000002</v>
      </c>
      <c r="V680">
        <v>-9.5019980000000004E-2</v>
      </c>
      <c r="W680">
        <v>0.22946</v>
      </c>
      <c r="X680">
        <v>0.9686688</v>
      </c>
      <c r="Y680">
        <v>-0.2207818</v>
      </c>
      <c r="Z680">
        <v>-6.5183539999999996E-3</v>
      </c>
      <c r="AA680">
        <v>0.97530139999999999</v>
      </c>
      <c r="AB680">
        <v>31</v>
      </c>
      <c r="AC680">
        <v>109.8201</v>
      </c>
      <c r="AD680">
        <v>7.4782539999999997</v>
      </c>
      <c r="AE680">
        <v>24.359199999999898</v>
      </c>
      <c r="AF680">
        <v>-24.812621805425099</v>
      </c>
      <c r="AG680">
        <v>7.4782539999999997</v>
      </c>
      <c r="AH680">
        <v>109.21102214564699</v>
      </c>
      <c r="AI680">
        <v>86.179828396753194</v>
      </c>
      <c r="AJ680">
        <v>102.80024262545101</v>
      </c>
      <c r="AK680">
        <v>112.243653904551</v>
      </c>
      <c r="AL680">
        <v>76.734717758548399</v>
      </c>
      <c r="AM680">
        <v>95.602412184182398</v>
      </c>
      <c r="AN680">
        <v>0.99999996614631903</v>
      </c>
    </row>
    <row r="681" spans="1:40" x14ac:dyDescent="0.25">
      <c r="A681" t="str">
        <f>"20190304155028332"</f>
        <v>20190304155028332</v>
      </c>
      <c r="B681" t="str">
        <f>"1551685828326878"</f>
        <v>1551685828326878</v>
      </c>
      <c r="C681" t="s">
        <v>40</v>
      </c>
      <c r="D681">
        <v>4.2940579999999997</v>
      </c>
      <c r="E681">
        <v>0.45960190000000001</v>
      </c>
      <c r="F681" t="s">
        <v>56</v>
      </c>
      <c r="G681">
        <v>-245.16909999999999</v>
      </c>
      <c r="H681">
        <v>9.5042380000000009</v>
      </c>
      <c r="I681">
        <v>390.98930000000001</v>
      </c>
      <c r="J681">
        <v>-358.1053</v>
      </c>
      <c r="K681">
        <v>1.1104430000000001</v>
      </c>
      <c r="L681">
        <v>367.39</v>
      </c>
      <c r="M681">
        <v>0.9999207</v>
      </c>
      <c r="N681">
        <v>-1.1545130000000001E-2</v>
      </c>
      <c r="O681">
        <v>-5.0334539999999997E-3</v>
      </c>
      <c r="P681">
        <v>0.97177369999999996</v>
      </c>
      <c r="Q681">
        <v>0.21814349999999999</v>
      </c>
      <c r="R681">
        <v>8.9830199999999999E-2</v>
      </c>
      <c r="S681">
        <v>2.9801030000000002</v>
      </c>
      <c r="T681">
        <v>0.22112490000000001</v>
      </c>
      <c r="U681">
        <v>0.62167359999999905</v>
      </c>
      <c r="V681">
        <v>-9.4785400000000006E-2</v>
      </c>
      <c r="W681">
        <v>0.22931609999999999</v>
      </c>
      <c r="X681">
        <v>0.96872590000000003</v>
      </c>
      <c r="Y681">
        <v>-0.20865800000000001</v>
      </c>
      <c r="Z681">
        <v>-6.8564129999999996E-3</v>
      </c>
      <c r="AA681">
        <v>0.97796459999999996</v>
      </c>
      <c r="AB681">
        <v>31</v>
      </c>
      <c r="AC681">
        <v>112.9362</v>
      </c>
      <c r="AD681">
        <v>8.3937949999999901</v>
      </c>
      <c r="AE681">
        <v>23.599299999999999</v>
      </c>
      <c r="AF681">
        <v>-24.0402566588706</v>
      </c>
      <c r="AG681">
        <v>8.3937949999999901</v>
      </c>
      <c r="AH681">
        <v>112.222001379945</v>
      </c>
      <c r="AI681">
        <v>85.817005208453395</v>
      </c>
      <c r="AJ681">
        <v>102.091186233272</v>
      </c>
      <c r="AK681">
        <v>115.074616351508</v>
      </c>
      <c r="AL681">
        <v>76.743189052138803</v>
      </c>
      <c r="AM681">
        <v>95.588341600221099</v>
      </c>
      <c r="AN681">
        <v>1.00000000755159</v>
      </c>
    </row>
    <row r="682" spans="1:40" x14ac:dyDescent="0.25">
      <c r="A682" t="str">
        <f>"20190304155028359"</f>
        <v>20190304155028359</v>
      </c>
      <c r="B682" t="str">
        <f>"1551685828347374"</f>
        <v>1551685828347374</v>
      </c>
      <c r="C682" t="s">
        <v>40</v>
      </c>
      <c r="D682">
        <v>6.5448360000000001</v>
      </c>
      <c r="E682">
        <v>0.45960190000000001</v>
      </c>
      <c r="F682" t="s">
        <v>55</v>
      </c>
      <c r="G682">
        <v>-234.27289999999999</v>
      </c>
      <c r="H682">
        <v>11.48611</v>
      </c>
      <c r="I682">
        <v>391.88350000000003</v>
      </c>
      <c r="J682">
        <v>-357.7321</v>
      </c>
      <c r="K682">
        <v>1.1104400000000001</v>
      </c>
      <c r="L682">
        <v>367.38830000000002</v>
      </c>
      <c r="M682">
        <v>0.99992170000000002</v>
      </c>
      <c r="N682">
        <v>-1.15481E-2</v>
      </c>
      <c r="O682">
        <v>-4.8427219999999998E-3</v>
      </c>
      <c r="P682">
        <v>0.97186910000000004</v>
      </c>
      <c r="Q682">
        <v>0.2177975</v>
      </c>
      <c r="R682">
        <v>8.9637869999999994E-2</v>
      </c>
      <c r="S682">
        <v>2.9766849999999998</v>
      </c>
      <c r="T682">
        <v>0.2494103</v>
      </c>
      <c r="U682">
        <v>0.58877559999999995</v>
      </c>
      <c r="V682">
        <v>-9.4408880000000001E-2</v>
      </c>
      <c r="W682">
        <v>0.2289745</v>
      </c>
      <c r="X682">
        <v>0.96884349999999997</v>
      </c>
      <c r="Y682">
        <v>-0.19819059999999999</v>
      </c>
      <c r="Z682">
        <v>-7.5088339999999998E-3</v>
      </c>
      <c r="AA682">
        <v>0.98013470000000003</v>
      </c>
      <c r="AB682">
        <v>31</v>
      </c>
      <c r="AC682">
        <v>123.4592</v>
      </c>
      <c r="AD682">
        <v>10.37567</v>
      </c>
      <c r="AE682">
        <v>24.495200000000001</v>
      </c>
      <c r="AF682">
        <v>-24.923465388177998</v>
      </c>
      <c r="AG682">
        <v>10.37567</v>
      </c>
      <c r="AH682">
        <v>122.506635186083</v>
      </c>
      <c r="AI682">
        <v>85.255633453455005</v>
      </c>
      <c r="AJ682">
        <v>101.49964465147001</v>
      </c>
      <c r="AK682">
        <v>125.446041466125</v>
      </c>
      <c r="AL682">
        <v>76.763296775581196</v>
      </c>
      <c r="AM682">
        <v>95.565611082863896</v>
      </c>
      <c r="AN682">
        <v>1.0000000428826701</v>
      </c>
    </row>
    <row r="683" spans="1:40" x14ac:dyDescent="0.25">
      <c r="A683" t="str">
        <f>"20190304155028369"</f>
        <v>20190304155028369</v>
      </c>
      <c r="B683" t="str">
        <f>"1551685828366894"</f>
        <v>1551685828366894</v>
      </c>
      <c r="C683" t="s">
        <v>40</v>
      </c>
      <c r="D683">
        <v>5.1400379999999997</v>
      </c>
      <c r="E683">
        <v>0.56264630000000004</v>
      </c>
      <c r="F683" t="s">
        <v>55</v>
      </c>
      <c r="G683">
        <v>-234.273</v>
      </c>
      <c r="H683">
        <v>11.423360000000001</v>
      </c>
      <c r="I683">
        <v>391.79410000000001</v>
      </c>
      <c r="J683">
        <v>-357.58080000000001</v>
      </c>
      <c r="K683">
        <v>1.110439</v>
      </c>
      <c r="L683">
        <v>367.38760000000002</v>
      </c>
      <c r="M683">
        <v>0.99992210000000004</v>
      </c>
      <c r="N683">
        <v>-1.154931E-2</v>
      </c>
      <c r="O683">
        <v>-4.7655960000000004E-3</v>
      </c>
      <c r="P683">
        <v>0.97189239999999999</v>
      </c>
      <c r="Q683">
        <v>0.21766269999999999</v>
      </c>
      <c r="R683">
        <v>8.9713870000000001E-2</v>
      </c>
      <c r="S683">
        <v>2.9768370000000002</v>
      </c>
      <c r="T683">
        <v>0.2486643</v>
      </c>
      <c r="U683">
        <v>0.58847050000000001</v>
      </c>
      <c r="V683">
        <v>-9.4410530000000006E-2</v>
      </c>
      <c r="W683">
        <v>0.22884090000000001</v>
      </c>
      <c r="X683">
        <v>0.96887489999999998</v>
      </c>
      <c r="Y683">
        <v>-0.19801340000000001</v>
      </c>
      <c r="Z683">
        <v>-7.469196E-3</v>
      </c>
      <c r="AA683">
        <v>0.98017080000000001</v>
      </c>
      <c r="AB683">
        <v>31</v>
      </c>
      <c r="AC683">
        <v>123.3078</v>
      </c>
      <c r="AD683">
        <v>10.312920999999999</v>
      </c>
      <c r="AE683">
        <v>24.406499999999902</v>
      </c>
      <c r="AF683">
        <v>-24.826782918580999</v>
      </c>
      <c r="AG683">
        <v>10.312920999999999</v>
      </c>
      <c r="AH683">
        <v>122.36640698349299</v>
      </c>
      <c r="AI683">
        <v>85.278305671277906</v>
      </c>
      <c r="AJ683">
        <v>101.46899799429799</v>
      </c>
      <c r="AK683">
        <v>125.284727910821</v>
      </c>
      <c r="AL683">
        <v>76.771160226767904</v>
      </c>
      <c r="AM683">
        <v>95.565528498270098</v>
      </c>
      <c r="AN683">
        <v>1.0000000387688399</v>
      </c>
    </row>
    <row r="684" spans="1:40" x14ac:dyDescent="0.25">
      <c r="A684" t="str">
        <f>"20190304155028381"</f>
        <v>20190304155028381</v>
      </c>
      <c r="B684" t="str">
        <f>"1551685828377630"</f>
        <v>1551685828377630</v>
      </c>
      <c r="C684" t="s">
        <v>40</v>
      </c>
      <c r="D684">
        <v>6.1788230000000004</v>
      </c>
      <c r="E684">
        <v>0.56298599999999999</v>
      </c>
      <c r="F684" t="s">
        <v>53</v>
      </c>
      <c r="G684">
        <v>0</v>
      </c>
      <c r="H684">
        <v>0</v>
      </c>
      <c r="I684">
        <v>0</v>
      </c>
      <c r="J684">
        <v>-357.41120000000001</v>
      </c>
      <c r="K684">
        <v>1.1104400000000001</v>
      </c>
      <c r="L684">
        <v>367.38690000000003</v>
      </c>
      <c r="M684">
        <v>0.99992239999999999</v>
      </c>
      <c r="N684">
        <v>-1.1550660000000001E-2</v>
      </c>
      <c r="O684">
        <v>-4.6792919999999998E-3</v>
      </c>
      <c r="P684">
        <v>0.97194389999999997</v>
      </c>
      <c r="Q684">
        <v>0.21737580000000001</v>
      </c>
      <c r="R684">
        <v>8.9848460000000005E-2</v>
      </c>
      <c r="S684">
        <v>2.8215940000000002</v>
      </c>
      <c r="T684">
        <v>1.2774160000000001</v>
      </c>
      <c r="U684">
        <v>-0.22668460000000001</v>
      </c>
      <c r="V684">
        <v>-9.4461379999999998E-2</v>
      </c>
      <c r="W684">
        <v>0.22855590000000001</v>
      </c>
      <c r="X684">
        <v>0.96893720000000005</v>
      </c>
      <c r="Y684">
        <v>6.9348960000000001E-2</v>
      </c>
      <c r="Z684">
        <v>1.245856E-2</v>
      </c>
      <c r="AA684">
        <v>0.99751469999999998</v>
      </c>
      <c r="AB684">
        <v>31</v>
      </c>
      <c r="AC684">
        <v>2.8215940000000002</v>
      </c>
      <c r="AD684">
        <v>1.2774160000000001</v>
      </c>
      <c r="AE684">
        <v>-0.22668460000000001</v>
      </c>
      <c r="AF684">
        <v>0.17735920996563601</v>
      </c>
      <c r="AG684">
        <v>1.2774160000000001</v>
      </c>
      <c r="AH684">
        <v>2.3450563192437102</v>
      </c>
      <c r="AI684">
        <v>61.490255544953698</v>
      </c>
      <c r="AJ684">
        <v>85.674890750858495</v>
      </c>
      <c r="AK684">
        <v>2.6762916632610301</v>
      </c>
      <c r="AL684">
        <v>76.787933885130798</v>
      </c>
      <c r="AM684">
        <v>95.568151495441796</v>
      </c>
      <c r="AN684">
        <v>1.00000002464007</v>
      </c>
    </row>
    <row r="685" spans="1:40" x14ac:dyDescent="0.25">
      <c r="A685" t="str">
        <f>"20190304155028392"</f>
        <v>20190304155028392</v>
      </c>
      <c r="B685" t="str">
        <f>"1551685828387390"</f>
        <v>1551685828387390</v>
      </c>
      <c r="C685" t="s">
        <v>40</v>
      </c>
      <c r="D685">
        <v>5.0161280000000001</v>
      </c>
      <c r="E685">
        <v>0.56298599999999999</v>
      </c>
      <c r="F685" t="s">
        <v>53</v>
      </c>
      <c r="G685">
        <v>0</v>
      </c>
      <c r="H685">
        <v>0</v>
      </c>
      <c r="I685">
        <v>0</v>
      </c>
      <c r="J685">
        <v>-357.26830000000001</v>
      </c>
      <c r="K685">
        <v>1.1104400000000001</v>
      </c>
      <c r="L685">
        <v>367.38639999999998</v>
      </c>
      <c r="M685">
        <v>0.9999228</v>
      </c>
      <c r="N685">
        <v>-1.1551779999999999E-2</v>
      </c>
      <c r="O685">
        <v>-4.6068159999999997E-3</v>
      </c>
      <c r="P685">
        <v>0.97195200000000004</v>
      </c>
      <c r="Q685">
        <v>0.2174238</v>
      </c>
      <c r="R685">
        <v>8.9645630000000004E-2</v>
      </c>
      <c r="S685">
        <v>2.8356629999999998</v>
      </c>
      <c r="T685">
        <v>1.2167410000000001</v>
      </c>
      <c r="U685">
        <v>-0.2292786</v>
      </c>
      <c r="V685">
        <v>-9.4188590000000003E-2</v>
      </c>
      <c r="W685">
        <v>0.228605</v>
      </c>
      <c r="X685">
        <v>0.96895209999999998</v>
      </c>
      <c r="Y685">
        <v>7.0435369999999997E-2</v>
      </c>
      <c r="Z685">
        <v>1.2087199999999999E-2</v>
      </c>
      <c r="AA685">
        <v>0.99744310000000003</v>
      </c>
      <c r="AB685">
        <v>31</v>
      </c>
      <c r="AC685">
        <v>2.8356629999999998</v>
      </c>
      <c r="AD685">
        <v>1.2167410000000001</v>
      </c>
      <c r="AE685">
        <v>-0.2292786</v>
      </c>
      <c r="AF685">
        <v>0.182778410903462</v>
      </c>
      <c r="AG685">
        <v>1.2167410000000001</v>
      </c>
      <c r="AH685">
        <v>2.3980433180979999</v>
      </c>
      <c r="AI685">
        <v>63.164164009823601</v>
      </c>
      <c r="AJ685">
        <v>85.641353879893302</v>
      </c>
      <c r="AK685">
        <v>2.6952696273374701</v>
      </c>
      <c r="AL685">
        <v>76.785043210608805</v>
      </c>
      <c r="AM685">
        <v>95.552087301136694</v>
      </c>
      <c r="AN685">
        <v>0.99999995430279798</v>
      </c>
    </row>
    <row r="686" spans="1:40" x14ac:dyDescent="0.25">
      <c r="A686" t="str">
        <f>"20190304155028414"</f>
        <v>20190304155028414</v>
      </c>
      <c r="B686" t="str">
        <f>"1551685828406909"</f>
        <v>1551685828406909</v>
      </c>
      <c r="C686" t="s">
        <v>40</v>
      </c>
      <c r="D686">
        <v>5.1472629999999997</v>
      </c>
      <c r="E686">
        <v>0.55668070000000003</v>
      </c>
      <c r="F686" t="s">
        <v>53</v>
      </c>
      <c r="G686">
        <v>0</v>
      </c>
      <c r="H686">
        <v>0</v>
      </c>
      <c r="I686">
        <v>0</v>
      </c>
      <c r="J686">
        <v>-356.94799999999998</v>
      </c>
      <c r="K686">
        <v>1.1104449999999999</v>
      </c>
      <c r="L686">
        <v>367.38499999999999</v>
      </c>
      <c r="M686">
        <v>0.99992340000000002</v>
      </c>
      <c r="N686">
        <v>-1.155426E-2</v>
      </c>
      <c r="O686">
        <v>-4.4439859999999996E-3</v>
      </c>
      <c r="P686">
        <v>0.97192990000000001</v>
      </c>
      <c r="Q686">
        <v>0.2175031</v>
      </c>
      <c r="R686">
        <v>8.9692850000000005E-2</v>
      </c>
      <c r="S686">
        <v>2.8356319999999999</v>
      </c>
      <c r="T686">
        <v>1.2167269999999999</v>
      </c>
      <c r="U686">
        <v>-0.22985839999999999</v>
      </c>
      <c r="V686">
        <v>-9.4078149999999999E-2</v>
      </c>
      <c r="W686">
        <v>0.22868669999999999</v>
      </c>
      <c r="X686">
        <v>0.96894360000000002</v>
      </c>
      <c r="Y686">
        <v>7.0758840000000003E-2</v>
      </c>
      <c r="Z686">
        <v>1.222004E-2</v>
      </c>
      <c r="AA686">
        <v>0.99741860000000004</v>
      </c>
      <c r="AB686">
        <v>31</v>
      </c>
      <c r="AC686">
        <v>2.8356319999999999</v>
      </c>
      <c r="AD686">
        <v>1.2167269999999999</v>
      </c>
      <c r="AE686">
        <v>-0.22985839999999999</v>
      </c>
      <c r="AF686">
        <v>0.183660136534539</v>
      </c>
      <c r="AG686">
        <v>1.2167269999999999</v>
      </c>
      <c r="AH686">
        <v>2.3980021691543199</v>
      </c>
      <c r="AI686">
        <v>63.164680444133701</v>
      </c>
      <c r="AJ686">
        <v>85.620334460071803</v>
      </c>
      <c r="AK686">
        <v>2.6952866343952602</v>
      </c>
      <c r="AL686">
        <v>76.780235416969802</v>
      </c>
      <c r="AM686">
        <v>95.545666201137394</v>
      </c>
      <c r="AN686">
        <v>1.0000000025226301</v>
      </c>
    </row>
    <row r="687" spans="1:40" x14ac:dyDescent="0.25">
      <c r="A687" t="str">
        <f>"20190304155028425"</f>
        <v>20190304155028425</v>
      </c>
      <c r="B687" t="str">
        <f>"1551685828417646"</f>
        <v>1551685828417646</v>
      </c>
      <c r="C687" t="s">
        <v>40</v>
      </c>
      <c r="D687">
        <v>5.1066260000000003</v>
      </c>
      <c r="E687">
        <v>0.55668070000000003</v>
      </c>
      <c r="F687" t="s">
        <v>53</v>
      </c>
      <c r="G687">
        <v>0</v>
      </c>
      <c r="H687">
        <v>0</v>
      </c>
      <c r="I687">
        <v>0</v>
      </c>
      <c r="J687">
        <v>-356.79070000000002</v>
      </c>
      <c r="K687">
        <v>1.1104449999999999</v>
      </c>
      <c r="L687">
        <v>367.38440000000003</v>
      </c>
      <c r="M687">
        <v>0.99992369999999997</v>
      </c>
      <c r="N687">
        <v>-1.155554E-2</v>
      </c>
      <c r="O687">
        <v>-4.3640019999999996E-3</v>
      </c>
      <c r="P687">
        <v>0.97195600000000004</v>
      </c>
      <c r="Q687">
        <v>0.2173621</v>
      </c>
      <c r="R687">
        <v>8.975263E-2</v>
      </c>
      <c r="S687">
        <v>2.8358759999999998</v>
      </c>
      <c r="T687">
        <v>1.1945380000000001</v>
      </c>
      <c r="U687">
        <v>-0.17956539999999999</v>
      </c>
      <c r="V687">
        <v>-9.4060539999999998E-2</v>
      </c>
      <c r="W687">
        <v>0.228547</v>
      </c>
      <c r="X687">
        <v>0.96897829999999996</v>
      </c>
      <c r="Y687">
        <v>5.4726530000000002E-2</v>
      </c>
      <c r="Z687">
        <v>8.9070369999999996E-3</v>
      </c>
      <c r="AA687">
        <v>0.99846170000000001</v>
      </c>
      <c r="AB687">
        <v>31</v>
      </c>
      <c r="AC687">
        <v>2.8358759999999998</v>
      </c>
      <c r="AD687">
        <v>1.1945380000000001</v>
      </c>
      <c r="AE687">
        <v>-0.17956539999999999</v>
      </c>
      <c r="AF687">
        <v>0.14207881079439799</v>
      </c>
      <c r="AG687">
        <v>1.1945380000000001</v>
      </c>
      <c r="AH687">
        <v>2.41062503335987</v>
      </c>
      <c r="AI687">
        <v>63.679688045875501</v>
      </c>
      <c r="AJ687">
        <v>86.626970330770007</v>
      </c>
      <c r="AK687">
        <v>2.6941084746873201</v>
      </c>
      <c r="AL687">
        <v>76.788457768811298</v>
      </c>
      <c r="AM687">
        <v>95.544437284866504</v>
      </c>
      <c r="AN687">
        <v>1.0000000311324899</v>
      </c>
    </row>
    <row r="688" spans="1:40" x14ac:dyDescent="0.25">
      <c r="A688" t="str">
        <f>"20190304155028439"</f>
        <v>20190304155028439</v>
      </c>
      <c r="B688" t="str">
        <f>"1551685828427406"</f>
        <v>1551685828427406</v>
      </c>
      <c r="C688" t="s">
        <v>40</v>
      </c>
      <c r="D688">
        <v>5.6788550000000004</v>
      </c>
      <c r="E688">
        <v>0.55258969999999996</v>
      </c>
      <c r="F688" t="s">
        <v>53</v>
      </c>
      <c r="G688">
        <v>0</v>
      </c>
      <c r="H688">
        <v>0</v>
      </c>
      <c r="I688">
        <v>0</v>
      </c>
      <c r="J688">
        <v>-356.62189999999998</v>
      </c>
      <c r="K688">
        <v>1.1104419999999999</v>
      </c>
      <c r="L688">
        <v>367.38369999999998</v>
      </c>
      <c r="M688">
        <v>0.99992409999999998</v>
      </c>
      <c r="N688">
        <v>-1.155693E-2</v>
      </c>
      <c r="O688">
        <v>-4.278179E-3</v>
      </c>
      <c r="P688">
        <v>0.97201079999999995</v>
      </c>
      <c r="Q688">
        <v>0.21713470000000001</v>
      </c>
      <c r="R688">
        <v>8.9708880000000005E-2</v>
      </c>
      <c r="S688">
        <v>2.83609</v>
      </c>
      <c r="T688">
        <v>1.1941539999999999</v>
      </c>
      <c r="U688">
        <v>-0.17974849999999901</v>
      </c>
      <c r="V688">
        <v>-9.3933489999999994E-2</v>
      </c>
      <c r="W688">
        <v>0.22832140000000001</v>
      </c>
      <c r="X688">
        <v>0.96904380000000001</v>
      </c>
      <c r="Y688">
        <v>5.4856540000000002E-2</v>
      </c>
      <c r="Z688">
        <v>8.9646109999999904E-3</v>
      </c>
      <c r="AA688">
        <v>0.99845399999999995</v>
      </c>
      <c r="AB688">
        <v>31</v>
      </c>
      <c r="AC688">
        <v>2.83609</v>
      </c>
      <c r="AD688">
        <v>1.1941539999999999</v>
      </c>
      <c r="AE688">
        <v>-0.17974849999999901</v>
      </c>
      <c r="AF688">
        <v>0.142457676345946</v>
      </c>
      <c r="AG688">
        <v>1.1941539999999999</v>
      </c>
      <c r="AH688">
        <v>2.41108545801709</v>
      </c>
      <c r="AI688">
        <v>63.691551341271897</v>
      </c>
      <c r="AJ688">
        <v>86.618641036843101</v>
      </c>
      <c r="AK688">
        <v>2.6943702513068599</v>
      </c>
      <c r="AL688">
        <v>76.801734656111194</v>
      </c>
      <c r="AM688">
        <v>95.536622908076296</v>
      </c>
      <c r="AN688">
        <v>1.00000002427998</v>
      </c>
    </row>
    <row r="689" spans="1:40" x14ac:dyDescent="0.25">
      <c r="A689" t="str">
        <f>"20190304155028460"</f>
        <v>20190304155028460</v>
      </c>
      <c r="B689" t="str">
        <f>"1551685828457661"</f>
        <v>1551685828457661</v>
      </c>
      <c r="C689" t="s">
        <v>40</v>
      </c>
      <c r="D689">
        <v>5.0298249999999998</v>
      </c>
      <c r="E689">
        <v>0.51995069999999999</v>
      </c>
      <c r="F689" t="s">
        <v>43</v>
      </c>
      <c r="G689">
        <v>-158.19499999999999</v>
      </c>
      <c r="H689">
        <v>81.621489999999994</v>
      </c>
      <c r="I689">
        <v>357.08539999999999</v>
      </c>
      <c r="J689">
        <v>-356.32040000000001</v>
      </c>
      <c r="K689">
        <v>1.110444</v>
      </c>
      <c r="L689">
        <v>367.3827</v>
      </c>
      <c r="M689">
        <v>0.9999247</v>
      </c>
      <c r="N689">
        <v>-1.1559399999999999E-2</v>
      </c>
      <c r="O689">
        <v>-4.1250089999999998E-3</v>
      </c>
      <c r="P689">
        <v>0.97199389999999997</v>
      </c>
      <c r="Q689">
        <v>0.21720039999999999</v>
      </c>
      <c r="R689">
        <v>8.9734339999999996E-2</v>
      </c>
      <c r="S689">
        <v>2.8424070000000001</v>
      </c>
      <c r="T689">
        <v>1.1532979999999999</v>
      </c>
      <c r="U689">
        <v>-0.14752199999999999</v>
      </c>
      <c r="V689">
        <v>-9.3809970000000006E-2</v>
      </c>
      <c r="W689">
        <v>0.2283896</v>
      </c>
      <c r="X689">
        <v>0.96903969999999995</v>
      </c>
      <c r="Y689">
        <v>4.4638320000000002E-2</v>
      </c>
      <c r="Z689">
        <v>6.7834050000000002E-3</v>
      </c>
      <c r="AA689">
        <v>0.99898019999999998</v>
      </c>
      <c r="AB689">
        <v>31</v>
      </c>
      <c r="AC689">
        <v>198.12540000000001</v>
      </c>
      <c r="AD689">
        <v>80.511045999999993</v>
      </c>
      <c r="AE689">
        <v>-10.2973</v>
      </c>
      <c r="AF689">
        <v>8.1394310358933808</v>
      </c>
      <c r="AG689">
        <v>80.511045999999993</v>
      </c>
      <c r="AH689">
        <v>170.14546381378099</v>
      </c>
      <c r="AI689">
        <v>64.702288005261593</v>
      </c>
      <c r="AJ689">
        <v>87.261168326342101</v>
      </c>
      <c r="AK689">
        <v>188.408486332248</v>
      </c>
      <c r="AL689">
        <v>76.797721112549397</v>
      </c>
      <c r="AM689">
        <v>95.5294107979757</v>
      </c>
      <c r="AN689">
        <v>1.00000003001782</v>
      </c>
    </row>
    <row r="690" spans="1:40" x14ac:dyDescent="0.25">
      <c r="A690" t="str">
        <f>"20190304155028475"</f>
        <v>20190304155028475</v>
      </c>
      <c r="B690" t="str">
        <f>"1551685828467422"</f>
        <v>1551685828467422</v>
      </c>
      <c r="C690" t="s">
        <v>40</v>
      </c>
      <c r="D690">
        <v>4.7338529999999999</v>
      </c>
      <c r="E690">
        <v>0.50867609999999996</v>
      </c>
      <c r="F690" t="s">
        <v>43</v>
      </c>
      <c r="G690">
        <v>-158.19499999999999</v>
      </c>
      <c r="H690">
        <v>26.734580000000001</v>
      </c>
      <c r="I690">
        <v>374.67099999999999</v>
      </c>
      <c r="J690">
        <v>-356.11329999999998</v>
      </c>
      <c r="K690">
        <v>1.110447</v>
      </c>
      <c r="L690">
        <v>367.38189999999997</v>
      </c>
      <c r="M690">
        <v>0.99992510000000001</v>
      </c>
      <c r="N690">
        <v>-1.15611E-2</v>
      </c>
      <c r="O690">
        <v>-4.019758E-3</v>
      </c>
      <c r="P690">
        <v>0.97200109999999995</v>
      </c>
      <c r="Q690">
        <v>0.21707270000000001</v>
      </c>
      <c r="R690">
        <v>8.9961719999999995E-2</v>
      </c>
      <c r="S690">
        <v>2.9898380000000002</v>
      </c>
      <c r="T690">
        <v>0.38668550000000002</v>
      </c>
      <c r="U690">
        <v>0.1099854</v>
      </c>
      <c r="V690">
        <v>-9.3935260000000007E-2</v>
      </c>
      <c r="W690">
        <v>0.22826379999999999</v>
      </c>
      <c r="X690">
        <v>0.9690571</v>
      </c>
      <c r="Y690">
        <v>-4.0432879999999997E-2</v>
      </c>
      <c r="Z690">
        <v>-2.9320700000000002E-3</v>
      </c>
      <c r="AA690">
        <v>0.99917789999999995</v>
      </c>
      <c r="AB690">
        <v>31</v>
      </c>
      <c r="AC690">
        <v>197.91829999999999</v>
      </c>
      <c r="AD690">
        <v>25.624133</v>
      </c>
      <c r="AE690">
        <v>7.2891000000000101</v>
      </c>
      <c r="AF690">
        <v>-7.9515739997478798</v>
      </c>
      <c r="AG690">
        <v>25.624133</v>
      </c>
      <c r="AH690">
        <v>194.629434131019</v>
      </c>
      <c r="AI690">
        <v>82.505983160593601</v>
      </c>
      <c r="AJ690">
        <v>92.339514607762098</v>
      </c>
      <c r="AK690">
        <v>196.469947705078</v>
      </c>
      <c r="AL690">
        <v>76.805123131149202</v>
      </c>
      <c r="AM690">
        <v>95.5366510694287</v>
      </c>
      <c r="AN690">
        <v>0.99999992926105596</v>
      </c>
    </row>
    <row r="691" spans="1:40" x14ac:dyDescent="0.25">
      <c r="A691" t="str">
        <f>"20190304155028485"</f>
        <v>20190304155028485</v>
      </c>
      <c r="B691" t="str">
        <f>"1551685828477182"</f>
        <v>1551685828477182</v>
      </c>
      <c r="C691" t="s">
        <v>40</v>
      </c>
      <c r="D691">
        <v>5.0077319999999999</v>
      </c>
      <c r="E691">
        <v>0.51081569999999998</v>
      </c>
      <c r="F691" t="s">
        <v>43</v>
      </c>
      <c r="G691">
        <v>-158.19499999999999</v>
      </c>
      <c r="H691">
        <v>25.039390000000001</v>
      </c>
      <c r="I691">
        <v>380.6397</v>
      </c>
      <c r="J691">
        <v>-355.94900000000001</v>
      </c>
      <c r="K691">
        <v>1.1104499999999999</v>
      </c>
      <c r="L691">
        <v>367.38130000000001</v>
      </c>
      <c r="M691">
        <v>0.99992559999999997</v>
      </c>
      <c r="N691">
        <v>-1.156244E-2</v>
      </c>
      <c r="O691">
        <v>-3.9365579999999997E-3</v>
      </c>
      <c r="P691">
        <v>0.97193779999999996</v>
      </c>
      <c r="Q691">
        <v>0.2173139</v>
      </c>
      <c r="R691">
        <v>9.0064610000000003E-2</v>
      </c>
      <c r="S691">
        <v>2.987244</v>
      </c>
      <c r="T691">
        <v>0.3611684</v>
      </c>
      <c r="U691">
        <v>0.2001038</v>
      </c>
      <c r="V691">
        <v>-9.3957040000000006E-2</v>
      </c>
      <c r="W691">
        <v>0.22850570000000001</v>
      </c>
      <c r="X691">
        <v>0.96899809999999997</v>
      </c>
      <c r="Y691">
        <v>-7.0269289999999998E-2</v>
      </c>
      <c r="Z691">
        <v>-4.3387620000000003E-3</v>
      </c>
      <c r="AA691">
        <v>0.99751860000000003</v>
      </c>
      <c r="AB691">
        <v>31</v>
      </c>
      <c r="AC691">
        <v>197.75399999999999</v>
      </c>
      <c r="AD691">
        <v>23.928940000000001</v>
      </c>
      <c r="AE691">
        <v>13.2583999999999</v>
      </c>
      <c r="AF691">
        <v>-13.835153296646199</v>
      </c>
      <c r="AG691">
        <v>23.928940000000001</v>
      </c>
      <c r="AH691">
        <v>194.859926476006</v>
      </c>
      <c r="AI691">
        <v>83.0164934998257</v>
      </c>
      <c r="AJ691">
        <v>94.061214171819501</v>
      </c>
      <c r="AK691">
        <v>196.810560139693</v>
      </c>
      <c r="AL691">
        <v>76.790888645542594</v>
      </c>
      <c r="AM691">
        <v>95.538261922862603</v>
      </c>
      <c r="AN691">
        <v>1.0000000490508201</v>
      </c>
    </row>
    <row r="692" spans="1:40" x14ac:dyDescent="0.25">
      <c r="A692" t="str">
        <f>"20190304155028497"</f>
        <v>20190304155028497</v>
      </c>
      <c r="B692" t="str">
        <f>"1551685828486942"</f>
        <v>1551685828486942</v>
      </c>
      <c r="C692" t="s">
        <v>40</v>
      </c>
      <c r="D692">
        <v>4.4438050000000002</v>
      </c>
      <c r="E692">
        <v>0.50576730000000003</v>
      </c>
      <c r="F692" t="s">
        <v>43</v>
      </c>
      <c r="G692">
        <v>-158.19499999999999</v>
      </c>
      <c r="H692">
        <v>20.279810000000001</v>
      </c>
      <c r="I692">
        <v>379.44119999999998</v>
      </c>
      <c r="J692">
        <v>-355.79329999999999</v>
      </c>
      <c r="K692">
        <v>1.1104510000000001</v>
      </c>
      <c r="L692">
        <v>367.38080000000002</v>
      </c>
      <c r="M692">
        <v>0.99992579999999998</v>
      </c>
      <c r="N692">
        <v>-1.156369E-2</v>
      </c>
      <c r="O692">
        <v>-3.8572910000000001E-3</v>
      </c>
      <c r="P692">
        <v>0.97183980000000003</v>
      </c>
      <c r="Q692">
        <v>0.21761030000000001</v>
      </c>
      <c r="R692">
        <v>9.040745E-2</v>
      </c>
      <c r="S692">
        <v>3.0045169999999999</v>
      </c>
      <c r="T692">
        <v>0.29124509999999998</v>
      </c>
      <c r="U692">
        <v>0.18322749999999999</v>
      </c>
      <c r="V692">
        <v>-9.4222899999999998E-2</v>
      </c>
      <c r="W692">
        <v>0.22880229999999999</v>
      </c>
      <c r="X692">
        <v>0.96890220000000005</v>
      </c>
      <c r="Y692">
        <v>-6.4433550000000006E-2</v>
      </c>
      <c r="Z692">
        <v>-3.1562669999999999E-3</v>
      </c>
      <c r="AA692">
        <v>0.99791700000000005</v>
      </c>
      <c r="AB692">
        <v>31</v>
      </c>
      <c r="AC692">
        <v>197.59829999999999</v>
      </c>
      <c r="AD692">
        <v>19.169359</v>
      </c>
      <c r="AE692">
        <v>12.0603999999999</v>
      </c>
      <c r="AF692">
        <v>-12.703443337367901</v>
      </c>
      <c r="AG692">
        <v>19.169359</v>
      </c>
      <c r="AH692">
        <v>195.71521143786501</v>
      </c>
      <c r="AI692">
        <v>84.417670473554296</v>
      </c>
      <c r="AJ692">
        <v>93.713733361140996</v>
      </c>
      <c r="AK692">
        <v>197.06162940883399</v>
      </c>
      <c r="AL692">
        <v>76.773431063657398</v>
      </c>
      <c r="AM692">
        <v>95.554381367780394</v>
      </c>
      <c r="AN692">
        <v>0.99999996026726901</v>
      </c>
    </row>
    <row r="693" spans="1:40" x14ac:dyDescent="0.25">
      <c r="A693" t="str">
        <f>"20190304155028509"</f>
        <v>20190304155028509</v>
      </c>
      <c r="B693" t="str">
        <f>"1551685828497677"</f>
        <v>1551685828497677</v>
      </c>
      <c r="C693" t="s">
        <v>40</v>
      </c>
      <c r="D693">
        <v>5.523434</v>
      </c>
      <c r="E693">
        <v>0.50576730000000003</v>
      </c>
      <c r="F693" t="s">
        <v>43</v>
      </c>
      <c r="G693">
        <v>-158.19499999999999</v>
      </c>
      <c r="H693">
        <v>17.25835</v>
      </c>
      <c r="I693">
        <v>382.10109999999997</v>
      </c>
      <c r="J693">
        <v>-355.63069999999999</v>
      </c>
      <c r="K693">
        <v>1.1104540000000001</v>
      </c>
      <c r="L693">
        <v>367.38029999999998</v>
      </c>
      <c r="M693">
        <v>0.99992599999999998</v>
      </c>
      <c r="N693">
        <v>-1.1565000000000001E-2</v>
      </c>
      <c r="O693">
        <v>-3.7746870000000001E-3</v>
      </c>
      <c r="P693">
        <v>0.97180929999999999</v>
      </c>
      <c r="Q693">
        <v>0.2176266</v>
      </c>
      <c r="R693">
        <v>9.0693700000000002E-2</v>
      </c>
      <c r="S693">
        <v>3.0109560000000002</v>
      </c>
      <c r="T693">
        <v>0.2460591</v>
      </c>
      <c r="U693">
        <v>0.22430420000000001</v>
      </c>
      <c r="V693">
        <v>-9.4429040000000006E-2</v>
      </c>
      <c r="W693">
        <v>0.22881950000000001</v>
      </c>
      <c r="X693">
        <v>0.96887809999999996</v>
      </c>
      <c r="Y693">
        <v>-7.7816609999999994E-2</v>
      </c>
      <c r="Z693">
        <v>-3.0697799999999998E-3</v>
      </c>
      <c r="AA693">
        <v>0.99696300000000004</v>
      </c>
      <c r="AB693">
        <v>31</v>
      </c>
      <c r="AC693">
        <v>197.4357</v>
      </c>
      <c r="AD693">
        <v>16.147895999999999</v>
      </c>
      <c r="AE693">
        <v>14.720799999999899</v>
      </c>
      <c r="AF693">
        <v>-15.363798083493201</v>
      </c>
      <c r="AG693">
        <v>16.147895999999999</v>
      </c>
      <c r="AH693">
        <v>196.074374393765</v>
      </c>
      <c r="AI693">
        <v>85.3062977943828</v>
      </c>
      <c r="AJ693">
        <v>94.480370319182001</v>
      </c>
      <c r="AK693">
        <v>197.33717625091199</v>
      </c>
      <c r="AL693">
        <v>76.772419118943006</v>
      </c>
      <c r="AM693">
        <v>95.5665945454178</v>
      </c>
      <c r="AN693">
        <v>0.99999998991758998</v>
      </c>
    </row>
    <row r="694" spans="1:40" x14ac:dyDescent="0.25">
      <c r="A694" t="str">
        <f>"20190304155028525"</f>
        <v>20190304155028525</v>
      </c>
      <c r="B694" t="str">
        <f>"1551685828517197"</f>
        <v>1551685828517197</v>
      </c>
      <c r="C694" t="s">
        <v>40</v>
      </c>
      <c r="D694">
        <v>4.972397</v>
      </c>
      <c r="E694">
        <v>0.50721870000000002</v>
      </c>
      <c r="F694" t="s">
        <v>43</v>
      </c>
      <c r="G694">
        <v>-158.19499999999999</v>
      </c>
      <c r="H694">
        <v>17.248349999999999</v>
      </c>
      <c r="I694">
        <v>382.1628</v>
      </c>
      <c r="J694">
        <v>-355.38589999999999</v>
      </c>
      <c r="K694">
        <v>1.1104560000000001</v>
      </c>
      <c r="L694">
        <v>367.37950000000001</v>
      </c>
      <c r="M694">
        <v>0.99992639999999999</v>
      </c>
      <c r="N694">
        <v>-1.1566979999999999E-2</v>
      </c>
      <c r="O694">
        <v>-3.6502449999999999E-3</v>
      </c>
      <c r="P694">
        <v>0.97172139999999996</v>
      </c>
      <c r="Q694">
        <v>0.217777</v>
      </c>
      <c r="R694">
        <v>9.127507E-2</v>
      </c>
      <c r="S694">
        <v>3.0108950000000001</v>
      </c>
      <c r="T694">
        <v>0.24610409999999999</v>
      </c>
      <c r="U694">
        <v>0.2254333</v>
      </c>
      <c r="V694">
        <v>-9.4889409999999993E-2</v>
      </c>
      <c r="W694">
        <v>0.2289708</v>
      </c>
      <c r="X694">
        <v>0.96879740000000003</v>
      </c>
      <c r="Y694">
        <v>-7.8065570000000001E-2</v>
      </c>
      <c r="Z694">
        <v>-3.0674830000000002E-3</v>
      </c>
      <c r="AA694">
        <v>0.99694349999999998</v>
      </c>
      <c r="AB694">
        <v>31</v>
      </c>
      <c r="AC694">
        <v>197.1909</v>
      </c>
      <c r="AD694">
        <v>16.137893999999999</v>
      </c>
      <c r="AE694">
        <v>14.783299999999899</v>
      </c>
      <c r="AF694">
        <v>-15.400474861784399</v>
      </c>
      <c r="AG694">
        <v>16.137893999999999</v>
      </c>
      <c r="AH694">
        <v>195.83134801804499</v>
      </c>
      <c r="AI694">
        <v>85.303500624549301</v>
      </c>
      <c r="AJ694">
        <v>94.4965727580053</v>
      </c>
      <c r="AK694">
        <v>197.097750152782</v>
      </c>
      <c r="AL694">
        <v>76.763514177478996</v>
      </c>
      <c r="AM694">
        <v>95.594024657784203</v>
      </c>
      <c r="AN694">
        <v>1.0000000148147701</v>
      </c>
    </row>
    <row r="695" spans="1:40" x14ac:dyDescent="0.25">
      <c r="A695" t="str">
        <f>"20190304155028537"</f>
        <v>20190304155028537</v>
      </c>
      <c r="B695" t="str">
        <f>"1551685828526960"</f>
        <v>1551685828526960</v>
      </c>
      <c r="C695" t="s">
        <v>40</v>
      </c>
      <c r="D695">
        <v>5.0361699999999896</v>
      </c>
      <c r="E695">
        <v>0.50907999999999998</v>
      </c>
      <c r="F695" t="s">
        <v>43</v>
      </c>
      <c r="G695">
        <v>-158.19499999999999</v>
      </c>
      <c r="H695">
        <v>19.002590000000001</v>
      </c>
      <c r="I695">
        <v>381.51929999999999</v>
      </c>
      <c r="J695">
        <v>-355.22730000000001</v>
      </c>
      <c r="K695">
        <v>1.110455</v>
      </c>
      <c r="L695">
        <v>367.37900000000002</v>
      </c>
      <c r="M695">
        <v>0.99992669999999995</v>
      </c>
      <c r="N695">
        <v>-1.156826E-2</v>
      </c>
      <c r="O695">
        <v>-3.569905E-3</v>
      </c>
      <c r="P695">
        <v>0.97168650000000001</v>
      </c>
      <c r="Q695">
        <v>0.2177588</v>
      </c>
      <c r="R695">
        <v>9.1687950000000004E-2</v>
      </c>
      <c r="S695">
        <v>3.005951</v>
      </c>
      <c r="T695">
        <v>0.2727464</v>
      </c>
      <c r="U695">
        <v>0.21554570000000001</v>
      </c>
      <c r="V695">
        <v>-9.522427E-2</v>
      </c>
      <c r="W695">
        <v>0.2289532</v>
      </c>
      <c r="X695">
        <v>0.96876870000000004</v>
      </c>
      <c r="Y695">
        <v>-7.4798229999999993E-2</v>
      </c>
      <c r="Z695">
        <v>-3.3121769999999999E-3</v>
      </c>
      <c r="AA695">
        <v>0.9971932</v>
      </c>
      <c r="AB695">
        <v>31</v>
      </c>
      <c r="AC695">
        <v>197.03229999999999</v>
      </c>
      <c r="AD695">
        <v>17.8921349999999</v>
      </c>
      <c r="AE695">
        <v>14.1402999999999</v>
      </c>
      <c r="AF695">
        <v>-14.722859229747</v>
      </c>
      <c r="AG695">
        <v>17.8921349999999</v>
      </c>
      <c r="AH695">
        <v>195.37770936668301</v>
      </c>
      <c r="AI695">
        <v>84.782321163019404</v>
      </c>
      <c r="AJ695">
        <v>94.309429159607205</v>
      </c>
      <c r="AK695">
        <v>196.74689424773399</v>
      </c>
      <c r="AL695">
        <v>76.764550060758495</v>
      </c>
      <c r="AM695">
        <v>95.613805062311499</v>
      </c>
      <c r="AN695">
        <v>1.00000001174348</v>
      </c>
    </row>
    <row r="696" spans="1:40" x14ac:dyDescent="0.25">
      <c r="A696" t="str">
        <f>"20190304155028548"</f>
        <v>20190304155028548</v>
      </c>
      <c r="B696" t="str">
        <f>"1551685828537694"</f>
        <v>1551685828537694</v>
      </c>
      <c r="C696" t="s">
        <v>40</v>
      </c>
      <c r="D696">
        <v>4.9747459999999997</v>
      </c>
      <c r="E696">
        <v>0.5091348</v>
      </c>
      <c r="F696" t="s">
        <v>43</v>
      </c>
      <c r="G696">
        <v>-158.19499999999999</v>
      </c>
      <c r="H696">
        <v>16.62546</v>
      </c>
      <c r="I696">
        <v>380.57490000000001</v>
      </c>
      <c r="J696">
        <v>-355.07190000000003</v>
      </c>
      <c r="K696">
        <v>1.1104529999999999</v>
      </c>
      <c r="L696">
        <v>367.3784</v>
      </c>
      <c r="M696">
        <v>0.99992720000000002</v>
      </c>
      <c r="N696">
        <v>-1.15695E-2</v>
      </c>
      <c r="O696">
        <v>-3.4914719999999998E-3</v>
      </c>
      <c r="P696">
        <v>0.97173849999999995</v>
      </c>
      <c r="Q696">
        <v>0.21743299999999999</v>
      </c>
      <c r="R696">
        <v>9.1909619999999997E-2</v>
      </c>
      <c r="S696">
        <v>3.0151669999999999</v>
      </c>
      <c r="T696">
        <v>0.23742579999999999</v>
      </c>
      <c r="U696">
        <v>0.2019348</v>
      </c>
      <c r="V696">
        <v>-9.5369389999999998E-2</v>
      </c>
      <c r="W696">
        <v>0.2286292</v>
      </c>
      <c r="X696">
        <v>0.96883090000000005</v>
      </c>
      <c r="Y696">
        <v>-7.0108530000000002E-2</v>
      </c>
      <c r="Z696">
        <v>-2.6608999999999999E-3</v>
      </c>
      <c r="AA696">
        <v>0.99753579999999997</v>
      </c>
      <c r="AB696">
        <v>31</v>
      </c>
      <c r="AC696">
        <v>196.87690000000001</v>
      </c>
      <c r="AD696">
        <v>15.515007000000001</v>
      </c>
      <c r="AE696">
        <v>13.1965</v>
      </c>
      <c r="AF696">
        <v>-13.7985454128825</v>
      </c>
      <c r="AG696">
        <v>15.515007000000001</v>
      </c>
      <c r="AH696">
        <v>195.62019018699701</v>
      </c>
      <c r="AI696">
        <v>85.476448703067703</v>
      </c>
      <c r="AJ696">
        <v>94.034814096883196</v>
      </c>
      <c r="AK696">
        <v>196.71902324513101</v>
      </c>
      <c r="AL696">
        <v>76.783619173768699</v>
      </c>
      <c r="AM696">
        <v>95.621946977241507</v>
      </c>
      <c r="AN696">
        <v>0.99999997221821002</v>
      </c>
    </row>
    <row r="697" spans="1:40" x14ac:dyDescent="0.25">
      <c r="A697" t="str">
        <f>"20190304155028559"</f>
        <v>20190304155028559</v>
      </c>
      <c r="B697" t="str">
        <f>"1551685828547453"</f>
        <v>1551685828547453</v>
      </c>
      <c r="C697" t="s">
        <v>40</v>
      </c>
      <c r="D697">
        <v>5.1690779999999998</v>
      </c>
      <c r="E697">
        <v>0.50973930000000001</v>
      </c>
      <c r="F697" t="s">
        <v>43</v>
      </c>
      <c r="G697">
        <v>-158.19499999999999</v>
      </c>
      <c r="H697">
        <v>17.753050000000002</v>
      </c>
      <c r="I697">
        <v>380.5652</v>
      </c>
      <c r="J697">
        <v>-354.91699999999997</v>
      </c>
      <c r="K697">
        <v>1.1104449999999999</v>
      </c>
      <c r="L697">
        <v>367.37799999999999</v>
      </c>
      <c r="M697">
        <v>0.99992729999999996</v>
      </c>
      <c r="N697">
        <v>-1.157073E-2</v>
      </c>
      <c r="O697">
        <v>-3.4123270000000002E-3</v>
      </c>
      <c r="P697">
        <v>0.97176819999999997</v>
      </c>
      <c r="Q697">
        <v>0.2172557</v>
      </c>
      <c r="R697">
        <v>9.2015040000000006E-2</v>
      </c>
      <c r="S697">
        <v>3.0112299999999999</v>
      </c>
      <c r="T697">
        <v>0.25454949999999998</v>
      </c>
      <c r="U697">
        <v>0.2016907</v>
      </c>
      <c r="V697">
        <v>-9.5398369999999996E-2</v>
      </c>
      <c r="W697">
        <v>0.2284532</v>
      </c>
      <c r="X697">
        <v>0.9688696</v>
      </c>
      <c r="Y697">
        <v>-7.0004300000000005E-2</v>
      </c>
      <c r="Z697">
        <v>-2.8711980000000002E-3</v>
      </c>
      <c r="AA697">
        <v>0.99754259999999995</v>
      </c>
      <c r="AB697">
        <v>31</v>
      </c>
      <c r="AC697">
        <v>196.72200000000001</v>
      </c>
      <c r="AD697">
        <v>16.642605</v>
      </c>
      <c r="AE697">
        <v>13.187199999999899</v>
      </c>
      <c r="AF697">
        <v>-13.760403966676799</v>
      </c>
      <c r="AG697">
        <v>16.642605</v>
      </c>
      <c r="AH697">
        <v>195.284435868332</v>
      </c>
      <c r="AI697">
        <v>85.140877259641599</v>
      </c>
      <c r="AJ697">
        <v>94.0305930907342</v>
      </c>
      <c r="AK697">
        <v>196.47477169073099</v>
      </c>
      <c r="AL697">
        <v>76.793977845763393</v>
      </c>
      <c r="AM697">
        <v>95.623421187402798</v>
      </c>
      <c r="AN697">
        <v>1.0000000076965201</v>
      </c>
    </row>
    <row r="698" spans="1:40" x14ac:dyDescent="0.25">
      <c r="A698" t="str">
        <f>"20190304155028570"</f>
        <v>20190304155028570</v>
      </c>
      <c r="B698" t="str">
        <f>"1551685828566974"</f>
        <v>1551685828566974</v>
      </c>
      <c r="C698" t="s">
        <v>40</v>
      </c>
      <c r="D698">
        <v>5.01729</v>
      </c>
      <c r="E698">
        <v>0.51013679999999995</v>
      </c>
      <c r="F698" t="s">
        <v>43</v>
      </c>
      <c r="G698">
        <v>-158.19499999999999</v>
      </c>
      <c r="H698">
        <v>18.66451</v>
      </c>
      <c r="I698">
        <v>380.27519999999998</v>
      </c>
      <c r="J698">
        <v>-354.77</v>
      </c>
      <c r="K698">
        <v>1.1104449999999999</v>
      </c>
      <c r="L698">
        <v>367.37759999999997</v>
      </c>
      <c r="M698">
        <v>0.99992760000000003</v>
      </c>
      <c r="N698">
        <v>-1.15719E-2</v>
      </c>
      <c r="O698">
        <v>-3.337474E-3</v>
      </c>
      <c r="P698">
        <v>0.97179009999999999</v>
      </c>
      <c r="Q698">
        <v>0.2171439</v>
      </c>
      <c r="R698">
        <v>9.2047210000000004E-2</v>
      </c>
      <c r="S698">
        <v>3.0084529999999998</v>
      </c>
      <c r="T698">
        <v>0.26845419999999998</v>
      </c>
      <c r="U698">
        <v>0.1972351</v>
      </c>
      <c r="V698">
        <v>-9.5357460000000005E-2</v>
      </c>
      <c r="W698">
        <v>0.2283432</v>
      </c>
      <c r="X698">
        <v>0.96889950000000002</v>
      </c>
      <c r="Y698">
        <v>-6.8497580000000002E-2</v>
      </c>
      <c r="Z698">
        <v>-2.9847879999999999E-3</v>
      </c>
      <c r="AA698">
        <v>0.99764679999999994</v>
      </c>
      <c r="AB698">
        <v>31</v>
      </c>
      <c r="AC698">
        <v>196.57499999999999</v>
      </c>
      <c r="AD698">
        <v>17.554064999999898</v>
      </c>
      <c r="AE698">
        <v>12.897600000000001</v>
      </c>
      <c r="AF698">
        <v>-13.4468647154393</v>
      </c>
      <c r="AG698">
        <v>17.554064999999898</v>
      </c>
      <c r="AH698">
        <v>194.982649052238</v>
      </c>
      <c r="AI698">
        <v>84.867720338179794</v>
      </c>
      <c r="AJ698">
        <v>93.945123487798199</v>
      </c>
      <c r="AK698">
        <v>196.23250699139501</v>
      </c>
      <c r="AL698">
        <v>76.800450740828694</v>
      </c>
      <c r="AM698">
        <v>95.620852771231995</v>
      </c>
      <c r="AN698">
        <v>0.99999995163206901</v>
      </c>
    </row>
    <row r="699" spans="1:40" x14ac:dyDescent="0.25">
      <c r="A699" t="str">
        <f>"20190304155028581"</f>
        <v>20190304155028581</v>
      </c>
      <c r="B699" t="str">
        <f>"1551685828577711"</f>
        <v>1551685828577711</v>
      </c>
      <c r="C699" t="s">
        <v>40</v>
      </c>
      <c r="D699">
        <v>5.0635750000000002</v>
      </c>
      <c r="E699">
        <v>0.52030739999999998</v>
      </c>
      <c r="F699" t="s">
        <v>43</v>
      </c>
      <c r="G699">
        <v>-158.19499999999999</v>
      </c>
      <c r="H699">
        <v>19.49832</v>
      </c>
      <c r="I699">
        <v>380.0806</v>
      </c>
      <c r="J699">
        <v>-354.60910000000001</v>
      </c>
      <c r="K699">
        <v>1.1104430000000001</v>
      </c>
      <c r="L699">
        <v>367.37709999999998</v>
      </c>
      <c r="M699">
        <v>0.99992789999999998</v>
      </c>
      <c r="N699">
        <v>-1.1573180000000001E-2</v>
      </c>
      <c r="O699">
        <v>-3.255824E-3</v>
      </c>
      <c r="P699">
        <v>0.97176609999999997</v>
      </c>
      <c r="Q699">
        <v>0.21713959999999999</v>
      </c>
      <c r="R699">
        <v>9.2311279999999996E-2</v>
      </c>
      <c r="S699">
        <v>3.00589</v>
      </c>
      <c r="T699">
        <v>0.28117589999999998</v>
      </c>
      <c r="U699">
        <v>0.19424440000000001</v>
      </c>
      <c r="V699">
        <v>-9.5542360000000007E-2</v>
      </c>
      <c r="W699">
        <v>0.2283395</v>
      </c>
      <c r="X699">
        <v>0.96888220000000003</v>
      </c>
      <c r="Y699">
        <v>-6.7461049999999995E-2</v>
      </c>
      <c r="Z699">
        <v>-3.0946820000000001E-3</v>
      </c>
      <c r="AA699">
        <v>0.99771710000000002</v>
      </c>
      <c r="AB699">
        <v>31</v>
      </c>
      <c r="AC699">
        <v>196.41409999999999</v>
      </c>
      <c r="AD699">
        <v>18.387877</v>
      </c>
      <c r="AE699">
        <v>12.7035</v>
      </c>
      <c r="AF699">
        <v>-13.227517949838299</v>
      </c>
      <c r="AG699">
        <v>18.387877</v>
      </c>
      <c r="AH699">
        <v>194.67263132266999</v>
      </c>
      <c r="AI699">
        <v>84.6164545679367</v>
      </c>
      <c r="AJ699">
        <v>93.887130014707395</v>
      </c>
      <c r="AK699">
        <v>195.98600622945699</v>
      </c>
      <c r="AL699">
        <v>76.800669052428105</v>
      </c>
      <c r="AM699">
        <v>95.631781631361093</v>
      </c>
      <c r="AN699">
        <v>0.999999993645729</v>
      </c>
    </row>
    <row r="700" spans="1:40" x14ac:dyDescent="0.25">
      <c r="A700" t="str">
        <f>"20190304155028593"</f>
        <v>20190304155028593</v>
      </c>
      <c r="B700" t="str">
        <f>"1551685828587470"</f>
        <v>1551685828587470</v>
      </c>
      <c r="C700" t="s">
        <v>40</v>
      </c>
      <c r="D700">
        <v>4.9214760000000002</v>
      </c>
      <c r="E700">
        <v>0.520652</v>
      </c>
      <c r="F700" t="s">
        <v>43</v>
      </c>
      <c r="G700">
        <v>-158.19499999999999</v>
      </c>
      <c r="H700">
        <v>50.829129999999999</v>
      </c>
      <c r="I700">
        <v>375.21499999999997</v>
      </c>
      <c r="J700">
        <v>-354.45030000000003</v>
      </c>
      <c r="K700">
        <v>1.110441</v>
      </c>
      <c r="L700">
        <v>367.37670000000003</v>
      </c>
      <c r="M700">
        <v>0.99992809999999999</v>
      </c>
      <c r="N700">
        <v>-1.157445E-2</v>
      </c>
      <c r="O700">
        <v>-3.1751269999999998E-3</v>
      </c>
      <c r="P700">
        <v>0.97180999999999995</v>
      </c>
      <c r="Q700">
        <v>0.21683839999999999</v>
      </c>
      <c r="R700">
        <v>9.2556869999999999E-2</v>
      </c>
      <c r="S700">
        <v>2.9114689999999999</v>
      </c>
      <c r="T700">
        <v>0.73698699999999995</v>
      </c>
      <c r="U700">
        <v>0.1161804</v>
      </c>
      <c r="V700">
        <v>-9.5709550000000004E-2</v>
      </c>
      <c r="W700">
        <v>0.22804050000000001</v>
      </c>
      <c r="X700">
        <v>0.96893609999999997</v>
      </c>
      <c r="Y700">
        <v>-4.1685140000000002E-2</v>
      </c>
      <c r="Z700">
        <v>-5.7742389999999996E-3</v>
      </c>
      <c r="AA700">
        <v>0.9991141</v>
      </c>
      <c r="AB700">
        <v>31</v>
      </c>
      <c r="AC700">
        <v>196.25530000000001</v>
      </c>
      <c r="AD700">
        <v>49.718688999999998</v>
      </c>
      <c r="AE700">
        <v>7.8382999999999399</v>
      </c>
      <c r="AF700">
        <v>-7.9519011396344697</v>
      </c>
      <c r="AG700">
        <v>49.718688999999998</v>
      </c>
      <c r="AH700">
        <v>184.41274680942001</v>
      </c>
      <c r="AI700">
        <v>74.924864840537595</v>
      </c>
      <c r="AJ700">
        <v>92.469071785297899</v>
      </c>
      <c r="AK700">
        <v>191.16286761138599</v>
      </c>
      <c r="AL700">
        <v>76.818264497141698</v>
      </c>
      <c r="AM700">
        <v>95.641261386409099</v>
      </c>
      <c r="AN700">
        <v>0.99999997674233099</v>
      </c>
    </row>
    <row r="701" spans="1:40" x14ac:dyDescent="0.25">
      <c r="A701" t="str">
        <f>"20190304155028616"</f>
        <v>20190304155028616</v>
      </c>
      <c r="B701" t="str">
        <f>"1551685828606990"</f>
        <v>1551685828606990</v>
      </c>
      <c r="C701" t="s">
        <v>40</v>
      </c>
      <c r="D701">
        <v>5.4690629999999896</v>
      </c>
      <c r="E701">
        <v>0.5268564</v>
      </c>
      <c r="F701" t="s">
        <v>43</v>
      </c>
      <c r="G701">
        <v>-158.19499999999999</v>
      </c>
      <c r="H701">
        <v>48.384529999999998</v>
      </c>
      <c r="I701">
        <v>375.02100000000002</v>
      </c>
      <c r="J701">
        <v>-354.11500000000001</v>
      </c>
      <c r="K701">
        <v>1.11043799999999</v>
      </c>
      <c r="L701">
        <v>367.37580000000003</v>
      </c>
      <c r="M701">
        <v>0.9999287</v>
      </c>
      <c r="N701">
        <v>-1.157709E-2</v>
      </c>
      <c r="O701">
        <v>-3.004676E-3</v>
      </c>
      <c r="P701">
        <v>0.97192290000000003</v>
      </c>
      <c r="Q701">
        <v>0.2162625</v>
      </c>
      <c r="R701">
        <v>9.2719029999999994E-2</v>
      </c>
      <c r="S701">
        <v>2.9192809999999998</v>
      </c>
      <c r="T701">
        <v>0.70319889999999996</v>
      </c>
      <c r="U701">
        <v>0.1137085</v>
      </c>
      <c r="V701">
        <v>-9.5706990000000006E-2</v>
      </c>
      <c r="W701">
        <v>0.22746849999999999</v>
      </c>
      <c r="X701">
        <v>0.96907080000000001</v>
      </c>
      <c r="Y701">
        <v>-4.0723919999999997E-2</v>
      </c>
      <c r="Z701">
        <v>-5.3424839999999998E-3</v>
      </c>
      <c r="AA701">
        <v>0.99915620000000005</v>
      </c>
      <c r="AB701">
        <v>31</v>
      </c>
      <c r="AC701">
        <v>195.92</v>
      </c>
      <c r="AD701">
        <v>47.274092000000003</v>
      </c>
      <c r="AE701">
        <v>7.6451999999999298</v>
      </c>
      <c r="AF701">
        <v>-7.7815127184613999</v>
      </c>
      <c r="AG701">
        <v>47.274092000000003</v>
      </c>
      <c r="AH701">
        <v>185.13363737126099</v>
      </c>
      <c r="AI701">
        <v>75.687674559020095</v>
      </c>
      <c r="AJ701">
        <v>92.406831976969599</v>
      </c>
      <c r="AK701">
        <v>191.232464296535</v>
      </c>
      <c r="AL701">
        <v>76.851922313779198</v>
      </c>
      <c r="AM701">
        <v>95.640332416244902</v>
      </c>
      <c r="AN701">
        <v>0.99999998091987397</v>
      </c>
    </row>
    <row r="702" spans="1:40" x14ac:dyDescent="0.25">
      <c r="A702" t="str">
        <f>"20190304155028629"</f>
        <v>20190304155028629</v>
      </c>
      <c r="B702" t="str">
        <f>"1551685828627487"</f>
        <v>1551685828627487</v>
      </c>
      <c r="C702" t="s">
        <v>40</v>
      </c>
      <c r="D702">
        <v>5.1191610000000001</v>
      </c>
      <c r="E702">
        <v>0.53018299999999996</v>
      </c>
      <c r="F702" t="s">
        <v>43</v>
      </c>
      <c r="G702">
        <v>-158.19499999999999</v>
      </c>
      <c r="H702">
        <v>49.871160000000003</v>
      </c>
      <c r="I702">
        <v>371.75330000000002</v>
      </c>
      <c r="J702">
        <v>-353.93799999999999</v>
      </c>
      <c r="K702">
        <v>1.1104419999999999</v>
      </c>
      <c r="L702">
        <v>367.37540000000001</v>
      </c>
      <c r="M702">
        <v>0.99992879999999995</v>
      </c>
      <c r="N702">
        <v>-1.157847E-2</v>
      </c>
      <c r="O702">
        <v>-2.9145659999999999E-3</v>
      </c>
      <c r="P702">
        <v>0.97195580000000004</v>
      </c>
      <c r="Q702">
        <v>0.21599360000000001</v>
      </c>
      <c r="R702">
        <v>9.3000289999999999E-2</v>
      </c>
      <c r="S702">
        <v>2.9188230000000002</v>
      </c>
      <c r="T702">
        <v>0.72643999999999997</v>
      </c>
      <c r="U702">
        <v>6.5216060000000006E-2</v>
      </c>
      <c r="V702">
        <v>-9.5900299999999994E-2</v>
      </c>
      <c r="W702">
        <v>0.2272015</v>
      </c>
      <c r="X702">
        <v>0.96911440000000004</v>
      </c>
      <c r="Y702">
        <v>-2.4444690000000002E-2</v>
      </c>
      <c r="Z702">
        <v>-3.599905E-3</v>
      </c>
      <c r="AA702">
        <v>0.99969470000000005</v>
      </c>
      <c r="AB702">
        <v>31</v>
      </c>
      <c r="AC702">
        <v>195.74299999999999</v>
      </c>
      <c r="AD702">
        <v>48.760717999999997</v>
      </c>
      <c r="AE702">
        <v>4.3779000000000101</v>
      </c>
      <c r="AF702">
        <v>-4.6594348652002404</v>
      </c>
      <c r="AG702">
        <v>48.760717999999997</v>
      </c>
      <c r="AH702">
        <v>184.29870846281</v>
      </c>
      <c r="AI702">
        <v>75.185086628247106</v>
      </c>
      <c r="AJ702">
        <v>91.4482418087604</v>
      </c>
      <c r="AK702">
        <v>190.69696351593601</v>
      </c>
      <c r="AL702">
        <v>76.867632596271903</v>
      </c>
      <c r="AM702">
        <v>95.651398520505495</v>
      </c>
      <c r="AN702">
        <v>1.00000005471484</v>
      </c>
    </row>
    <row r="703" spans="1:40" x14ac:dyDescent="0.25">
      <c r="A703" t="str">
        <f>"20190304155028649"</f>
        <v>20190304155028649</v>
      </c>
      <c r="B703" t="str">
        <f>"1551685828647005"</f>
        <v>1551685828647005</v>
      </c>
      <c r="C703" t="s">
        <v>40</v>
      </c>
      <c r="D703">
        <v>5.0676199999999998</v>
      </c>
      <c r="E703">
        <v>0.53054109999999999</v>
      </c>
      <c r="F703" t="s">
        <v>43</v>
      </c>
      <c r="G703">
        <v>-158.78319999999999</v>
      </c>
      <c r="H703">
        <v>49.847369999999998</v>
      </c>
      <c r="I703">
        <v>370.01609999999999</v>
      </c>
      <c r="J703">
        <v>-353.64769999999999</v>
      </c>
      <c r="K703">
        <v>1.110436</v>
      </c>
      <c r="L703">
        <v>367.37470000000002</v>
      </c>
      <c r="M703">
        <v>0.99992919999999996</v>
      </c>
      <c r="N703">
        <v>-1.1580740000000001E-2</v>
      </c>
      <c r="O703">
        <v>-2.7670009999999998E-3</v>
      </c>
      <c r="P703">
        <v>0.97208289999999997</v>
      </c>
      <c r="Q703">
        <v>0.21525839999999999</v>
      </c>
      <c r="R703">
        <v>9.3374600000000002E-2</v>
      </c>
      <c r="S703">
        <v>2.9206539999999999</v>
      </c>
      <c r="T703">
        <v>0.72938970000000003</v>
      </c>
      <c r="U703">
        <v>3.9520260000000001E-2</v>
      </c>
      <c r="V703">
        <v>-9.6131510000000003E-2</v>
      </c>
      <c r="W703">
        <v>0.22647</v>
      </c>
      <c r="X703">
        <v>0.96926270000000003</v>
      </c>
      <c r="Y703">
        <v>-1.574358E-2</v>
      </c>
      <c r="Z703">
        <v>-2.5556390000000002E-3</v>
      </c>
      <c r="AA703">
        <v>0.99987280000000001</v>
      </c>
      <c r="AB703">
        <v>31</v>
      </c>
      <c r="AC703">
        <v>194.86449999999999</v>
      </c>
      <c r="AD703">
        <v>48.736933999999998</v>
      </c>
      <c r="AE703">
        <v>2.6413999999999702</v>
      </c>
      <c r="AF703">
        <v>-2.9934031079632302</v>
      </c>
      <c r="AG703">
        <v>48.736933999999998</v>
      </c>
      <c r="AH703">
        <v>183.38706662725599</v>
      </c>
      <c r="AI703">
        <v>75.118991155931198</v>
      </c>
      <c r="AJ703">
        <v>90.935148470189802</v>
      </c>
      <c r="AK703">
        <v>189.776356282959</v>
      </c>
      <c r="AL703">
        <v>76.910666215803502</v>
      </c>
      <c r="AM703">
        <v>95.664074078240503</v>
      </c>
      <c r="AN703">
        <v>1.0000000548630801</v>
      </c>
    </row>
    <row r="704" spans="1:40" x14ac:dyDescent="0.25">
      <c r="A704" t="str">
        <f>"20190304155028664"</f>
        <v>20190304155028664</v>
      </c>
      <c r="B704" t="str">
        <f>"1551685828657742"</f>
        <v>1551685828657742</v>
      </c>
      <c r="C704" t="s">
        <v>40</v>
      </c>
      <c r="D704">
        <v>5.0410940000000002</v>
      </c>
      <c r="E704">
        <v>0.53054109999999999</v>
      </c>
      <c r="F704" t="s">
        <v>43</v>
      </c>
      <c r="G704">
        <v>-158.78319999999999</v>
      </c>
      <c r="H704">
        <v>54.590710000000001</v>
      </c>
      <c r="I704">
        <v>369.93900000000002</v>
      </c>
      <c r="J704">
        <v>-353.43729999999999</v>
      </c>
      <c r="K704">
        <v>1.1104369999999999</v>
      </c>
      <c r="L704">
        <v>367.37419999999997</v>
      </c>
      <c r="M704">
        <v>0.99992939999999997</v>
      </c>
      <c r="N704">
        <v>-1.158237E-2</v>
      </c>
      <c r="O704">
        <v>-2.6603170000000002E-3</v>
      </c>
      <c r="P704">
        <v>0.97215479999999999</v>
      </c>
      <c r="Q704">
        <v>0.21486710000000001</v>
      </c>
      <c r="R704">
        <v>9.3526349999999994E-2</v>
      </c>
      <c r="S704">
        <v>2.9058839999999999</v>
      </c>
      <c r="T704">
        <v>0.79751629999999996</v>
      </c>
      <c r="U704">
        <v>3.823853E-2</v>
      </c>
      <c r="V704">
        <v>-9.6180189999999999E-2</v>
      </c>
      <c r="W704">
        <v>0.22608130000000001</v>
      </c>
      <c r="X704">
        <v>0.96934849999999995</v>
      </c>
      <c r="Y704">
        <v>-1.5174750000000001E-2</v>
      </c>
      <c r="Z704">
        <v>-2.7021189999999998E-3</v>
      </c>
      <c r="AA704">
        <v>0.99988120000000003</v>
      </c>
      <c r="AB704">
        <v>31</v>
      </c>
      <c r="AC704">
        <v>194.6541</v>
      </c>
      <c r="AD704">
        <v>53.480272999999997</v>
      </c>
      <c r="AE704">
        <v>2.5648000000000399</v>
      </c>
      <c r="AF704">
        <v>-2.8663394557526298</v>
      </c>
      <c r="AG704">
        <v>53.480272999999997</v>
      </c>
      <c r="AH704">
        <v>180.98716009587099</v>
      </c>
      <c r="AI704">
        <v>73.539959502337993</v>
      </c>
      <c r="AJ704">
        <v>90.907331906146297</v>
      </c>
      <c r="AK704">
        <v>188.74508635087301</v>
      </c>
      <c r="AL704">
        <v>76.933528687281296</v>
      </c>
      <c r="AM704">
        <v>95.666425309935207</v>
      </c>
      <c r="AN704">
        <v>0.99999994880518595</v>
      </c>
    </row>
    <row r="705" spans="1:40" x14ac:dyDescent="0.25">
      <c r="A705" t="str">
        <f>"20190304155028683"</f>
        <v>20190304155028683</v>
      </c>
      <c r="B705" t="str">
        <f>"1551685828677262"</f>
        <v>1551685828677262</v>
      </c>
      <c r="C705" t="s">
        <v>40</v>
      </c>
      <c r="D705">
        <v>5.4789979999999998</v>
      </c>
      <c r="E705">
        <v>0.52069489999999996</v>
      </c>
      <c r="F705" t="s">
        <v>43</v>
      </c>
      <c r="G705">
        <v>-158.78319999999999</v>
      </c>
      <c r="H705">
        <v>54.451189999999997</v>
      </c>
      <c r="I705">
        <v>369.96809999999999</v>
      </c>
      <c r="J705">
        <v>-353.19069999999999</v>
      </c>
      <c r="K705">
        <v>1.11043799999999</v>
      </c>
      <c r="L705">
        <v>367.37369999999999</v>
      </c>
      <c r="M705">
        <v>0.99992959999999997</v>
      </c>
      <c r="N705">
        <v>-1.1584260000000001E-2</v>
      </c>
      <c r="O705">
        <v>-2.534686E-3</v>
      </c>
      <c r="P705">
        <v>0.97225680000000003</v>
      </c>
      <c r="Q705">
        <v>0.21434059999999999</v>
      </c>
      <c r="R705">
        <v>9.3673930000000002E-2</v>
      </c>
      <c r="S705">
        <v>2.9062190000000001</v>
      </c>
      <c r="T705">
        <v>0.79638769999999903</v>
      </c>
      <c r="U705">
        <v>3.872681E-2</v>
      </c>
      <c r="V705">
        <v>-9.6205089999999993E-2</v>
      </c>
      <c r="W705">
        <v>0.2255578</v>
      </c>
      <c r="X705">
        <v>0.96946810000000005</v>
      </c>
      <c r="Y705">
        <v>-1.5220940000000001E-2</v>
      </c>
      <c r="Z705">
        <v>-2.6687479999999999E-3</v>
      </c>
      <c r="AA705">
        <v>0.99988060000000001</v>
      </c>
      <c r="AB705">
        <v>31</v>
      </c>
      <c r="AC705">
        <v>194.4075</v>
      </c>
      <c r="AD705">
        <v>53.340752000000002</v>
      </c>
      <c r="AE705">
        <v>2.5943999999999998</v>
      </c>
      <c r="AF705">
        <v>-2.87108375999343</v>
      </c>
      <c r="AG705">
        <v>53.340752000000002</v>
      </c>
      <c r="AH705">
        <v>180.79228365933801</v>
      </c>
      <c r="AI705">
        <v>73.563852284090501</v>
      </c>
      <c r="AJ705">
        <v>90.909812920153897</v>
      </c>
      <c r="AK705">
        <v>188.518775660784</v>
      </c>
      <c r="AL705">
        <v>76.964319943616104</v>
      </c>
      <c r="AM705">
        <v>95.667188059491295</v>
      </c>
      <c r="AN705">
        <v>1.00000006870017</v>
      </c>
    </row>
    <row r="706" spans="1:40" x14ac:dyDescent="0.25">
      <c r="A706" t="str">
        <f>"20190304155028693"</f>
        <v>20190304155028693</v>
      </c>
      <c r="B706" t="str">
        <f>"1551685828687022"</f>
        <v>1551685828687022</v>
      </c>
      <c r="C706" t="s">
        <v>40</v>
      </c>
      <c r="D706">
        <v>4.1993640000000001</v>
      </c>
      <c r="E706">
        <v>0.53793290000000005</v>
      </c>
      <c r="F706" t="s">
        <v>43</v>
      </c>
      <c r="G706">
        <v>-158.19499999999999</v>
      </c>
      <c r="H706">
        <v>5.529191</v>
      </c>
      <c r="I706">
        <v>374.63470000000001</v>
      </c>
      <c r="J706">
        <v>-353.0342</v>
      </c>
      <c r="K706">
        <v>1.1104309999999999</v>
      </c>
      <c r="L706">
        <v>367.3734</v>
      </c>
      <c r="M706">
        <v>0.99992990000000004</v>
      </c>
      <c r="N706">
        <v>-1.1585460000000001E-2</v>
      </c>
      <c r="O706">
        <v>-2.4553029999999998E-3</v>
      </c>
      <c r="P706">
        <v>0.97230740000000004</v>
      </c>
      <c r="Q706">
        <v>0.2140794</v>
      </c>
      <c r="R706">
        <v>9.3746300000000005E-2</v>
      </c>
      <c r="S706">
        <v>3.0593870000000001</v>
      </c>
      <c r="T706">
        <v>6.9329379999999996E-2</v>
      </c>
      <c r="U706">
        <v>0.1139221</v>
      </c>
      <c r="V706">
        <v>-9.620041E-2</v>
      </c>
      <c r="W706">
        <v>0.2252981</v>
      </c>
      <c r="X706">
        <v>0.96952890000000003</v>
      </c>
      <c r="Y706">
        <v>-3.9658369999999998E-2</v>
      </c>
      <c r="Z706">
        <v>-3.0335330000000001E-4</v>
      </c>
      <c r="AA706">
        <v>0.99921329999999997</v>
      </c>
      <c r="AB706">
        <v>31</v>
      </c>
      <c r="AC706">
        <v>194.83920000000001</v>
      </c>
      <c r="AD706">
        <v>4.4187599999999998</v>
      </c>
      <c r="AE706">
        <v>7.2613000000000003</v>
      </c>
      <c r="AF706">
        <v>-7.7357262218147103</v>
      </c>
      <c r="AG706">
        <v>4.4187599999999998</v>
      </c>
      <c r="AH706">
        <v>194.72076946205101</v>
      </c>
      <c r="AI706">
        <v>88.701045583443303</v>
      </c>
      <c r="AJ706">
        <v>92.275009038701697</v>
      </c>
      <c r="AK706">
        <v>194.924459624772</v>
      </c>
      <c r="AL706">
        <v>76.979592141083501</v>
      </c>
      <c r="AM706">
        <v>95.666561103275797</v>
      </c>
      <c r="AN706">
        <v>1.00000002034149</v>
      </c>
    </row>
    <row r="707" spans="1:40" x14ac:dyDescent="0.25">
      <c r="A707" t="str">
        <f>"20190304155028759"</f>
        <v>20190304155028759</v>
      </c>
      <c r="B707" t="str">
        <f>"1551685828757294"</f>
        <v>1551685828757294</v>
      </c>
      <c r="C707" t="s">
        <v>40</v>
      </c>
      <c r="D707">
        <v>6.3213429999999997</v>
      </c>
      <c r="E707">
        <v>0.57369789999999998</v>
      </c>
      <c r="F707" t="s">
        <v>43</v>
      </c>
      <c r="G707">
        <v>-158.19499999999999</v>
      </c>
      <c r="H707">
        <v>61.263420000000004</v>
      </c>
      <c r="I707">
        <v>366.09809999999999</v>
      </c>
      <c r="J707">
        <v>-352.09949999999998</v>
      </c>
      <c r="K707">
        <v>1.110412</v>
      </c>
      <c r="L707">
        <v>367.37169999999998</v>
      </c>
      <c r="M707">
        <v>0.99993100000000001</v>
      </c>
      <c r="N707">
        <v>-1.15925E-2</v>
      </c>
      <c r="O707">
        <v>-1.9803059999999998E-3</v>
      </c>
      <c r="P707">
        <v>0.97351069999999995</v>
      </c>
      <c r="Q707">
        <v>0.20872569999999999</v>
      </c>
      <c r="R707">
        <v>9.3331590000000006E-2</v>
      </c>
      <c r="S707">
        <v>2.8908079999999998</v>
      </c>
      <c r="T707">
        <v>0.89248419999999895</v>
      </c>
      <c r="U707">
        <v>-1.8920900000000001E-2</v>
      </c>
      <c r="V707">
        <v>-9.5324919999999994E-2</v>
      </c>
      <c r="W707">
        <v>0.21996650000000001</v>
      </c>
      <c r="X707">
        <v>0.97083869999999906</v>
      </c>
      <c r="Y707">
        <v>4.4641840000000004E-3</v>
      </c>
      <c r="Z707" s="1">
        <v>2.7108180000000001E-5</v>
      </c>
      <c r="AA707">
        <v>0.99999000000000005</v>
      </c>
      <c r="AB707">
        <v>32</v>
      </c>
      <c r="AC707">
        <v>193.90450000000001</v>
      </c>
      <c r="AD707">
        <v>60.1530079999999</v>
      </c>
      <c r="AE707">
        <v>-1.2735999999999801</v>
      </c>
      <c r="AF707">
        <v>0.81149007879531498</v>
      </c>
      <c r="AG707">
        <v>60.1530079999999</v>
      </c>
      <c r="AH707">
        <v>176.88465174162801</v>
      </c>
      <c r="AI707">
        <v>71.218600683432498</v>
      </c>
      <c r="AJ707">
        <v>89.737147174794501</v>
      </c>
      <c r="AK707">
        <v>186.83474759624599</v>
      </c>
      <c r="AL707">
        <v>77.292933857071503</v>
      </c>
      <c r="AM707">
        <v>95.607795029947596</v>
      </c>
      <c r="AN707">
        <v>0.99999994145647098</v>
      </c>
    </row>
    <row r="708" spans="1:40" x14ac:dyDescent="0.25">
      <c r="A708" t="str">
        <f>"20190304155028783"</f>
        <v>20190304155028783</v>
      </c>
      <c r="B708" t="str">
        <f>"1551685828777790"</f>
        <v>1551685828777790</v>
      </c>
      <c r="C708" t="s">
        <v>40</v>
      </c>
      <c r="D708">
        <v>4.7725309999999999</v>
      </c>
      <c r="E708">
        <v>0.57840380000000002</v>
      </c>
      <c r="F708" t="s">
        <v>53</v>
      </c>
      <c r="G708">
        <v>0</v>
      </c>
      <c r="H708">
        <v>0</v>
      </c>
      <c r="I708">
        <v>0</v>
      </c>
      <c r="J708">
        <v>-351.76760000000002</v>
      </c>
      <c r="K708">
        <v>1.110403</v>
      </c>
      <c r="L708">
        <v>367.37119999999999</v>
      </c>
      <c r="M708">
        <v>0.99993129999999997</v>
      </c>
      <c r="N708">
        <v>-1.1594989999999999E-2</v>
      </c>
      <c r="O708">
        <v>-1.8117630000000001E-3</v>
      </c>
      <c r="P708">
        <v>0.97395419999999999</v>
      </c>
      <c r="Q708">
        <v>0.20661080000000001</v>
      </c>
      <c r="R708">
        <v>9.3410839999999995E-2</v>
      </c>
      <c r="S708">
        <v>2.8795169999999999</v>
      </c>
      <c r="T708">
        <v>1.078039</v>
      </c>
      <c r="U708">
        <v>-0.30270390000000003</v>
      </c>
      <c r="V708">
        <v>-9.5240019999999995E-2</v>
      </c>
      <c r="W708">
        <v>0.21785969999999999</v>
      </c>
      <c r="X708">
        <v>0.97132200000000002</v>
      </c>
      <c r="Y708">
        <v>9.6610769999999999E-2</v>
      </c>
      <c r="Z708">
        <v>1.6194399999999901E-2</v>
      </c>
      <c r="AA708">
        <v>0.99519049999999998</v>
      </c>
      <c r="AB708">
        <v>32</v>
      </c>
      <c r="AC708">
        <v>2.8795169999999999</v>
      </c>
      <c r="AD708">
        <v>1.078039</v>
      </c>
      <c r="AE708">
        <v>-0.30270390000000003</v>
      </c>
      <c r="AF708">
        <v>0.26126669720491702</v>
      </c>
      <c r="AG708">
        <v>1.078039</v>
      </c>
      <c r="AH708">
        <v>2.52940920917501</v>
      </c>
      <c r="AI708">
        <v>67.025662414448504</v>
      </c>
      <c r="AJ708">
        <v>84.102741451685404</v>
      </c>
      <c r="AK708">
        <v>2.7619448437738101</v>
      </c>
      <c r="AL708">
        <v>77.416645693200607</v>
      </c>
      <c r="AM708">
        <v>95.600062235228293</v>
      </c>
      <c r="AN708">
        <v>0.99999996898884402</v>
      </c>
    </row>
    <row r="709" spans="1:40" x14ac:dyDescent="0.25">
      <c r="A709" t="str">
        <f>"20190304155028795"</f>
        <v>20190304155028795</v>
      </c>
      <c r="B709" t="str">
        <f>"1551685828787550"</f>
        <v>1551685828787550</v>
      </c>
      <c r="C709" t="s">
        <v>40</v>
      </c>
      <c r="D709">
        <v>3.984092</v>
      </c>
      <c r="E709">
        <v>0.57840380000000002</v>
      </c>
      <c r="F709" t="s">
        <v>53</v>
      </c>
      <c r="G709">
        <v>0</v>
      </c>
      <c r="H709">
        <v>0</v>
      </c>
      <c r="I709">
        <v>0</v>
      </c>
      <c r="J709">
        <v>-351.6069</v>
      </c>
      <c r="K709">
        <v>1.1103989999999999</v>
      </c>
      <c r="L709">
        <v>367.37110000000001</v>
      </c>
      <c r="M709">
        <v>0.99993140000000003</v>
      </c>
      <c r="N709">
        <v>-1.1596189999999999E-2</v>
      </c>
      <c r="O709">
        <v>-1.729757E-3</v>
      </c>
      <c r="P709">
        <v>0.97404349999999995</v>
      </c>
      <c r="Q709">
        <v>0.2061453</v>
      </c>
      <c r="R709">
        <v>9.3506870000000006E-2</v>
      </c>
      <c r="S709">
        <v>2.8953250000000001</v>
      </c>
      <c r="T709">
        <v>1.025012</v>
      </c>
      <c r="U709">
        <v>-0.33953860000000002</v>
      </c>
      <c r="V709">
        <v>-9.5256579999999993E-2</v>
      </c>
      <c r="W709">
        <v>0.21739620000000001</v>
      </c>
      <c r="X709">
        <v>0.97142419999999996</v>
      </c>
      <c r="Y709">
        <v>0.1085779</v>
      </c>
      <c r="Z709">
        <v>1.7332819999999999E-2</v>
      </c>
      <c r="AA709">
        <v>0.99393679999999995</v>
      </c>
      <c r="AB709">
        <v>32</v>
      </c>
      <c r="AC709">
        <v>2.8953250000000001</v>
      </c>
      <c r="AD709">
        <v>1.025012</v>
      </c>
      <c r="AE709">
        <v>-0.33953860000000002</v>
      </c>
      <c r="AF709">
        <v>0.297721596945691</v>
      </c>
      <c r="AG709">
        <v>1.025012</v>
      </c>
      <c r="AH709">
        <v>2.57727417360939</v>
      </c>
      <c r="AI709">
        <v>68.441801262969193</v>
      </c>
      <c r="AJ709">
        <v>83.410512639982102</v>
      </c>
      <c r="AK709">
        <v>2.7895572973835501</v>
      </c>
      <c r="AL709">
        <v>77.443854191314799</v>
      </c>
      <c r="AM709">
        <v>95.6004442457469</v>
      </c>
      <c r="AN709">
        <v>0.99999995007668696</v>
      </c>
    </row>
    <row r="710" spans="1:40" x14ac:dyDescent="0.25">
      <c r="A710" t="str">
        <f>"20190304155028806"</f>
        <v>20190304155028806</v>
      </c>
      <c r="B710" t="str">
        <f>"1551685828797310"</f>
        <v>1551685828797310</v>
      </c>
      <c r="C710" t="s">
        <v>40</v>
      </c>
      <c r="D710">
        <v>5.1040150000000004</v>
      </c>
      <c r="E710">
        <v>0.57784040000000003</v>
      </c>
      <c r="F710" t="s">
        <v>53</v>
      </c>
      <c r="G710">
        <v>0</v>
      </c>
      <c r="H710">
        <v>0</v>
      </c>
      <c r="I710">
        <v>0</v>
      </c>
      <c r="J710">
        <v>-351.45229999999998</v>
      </c>
      <c r="K710">
        <v>1.1103989999999999</v>
      </c>
      <c r="L710">
        <v>367.37090000000001</v>
      </c>
      <c r="M710">
        <v>0.99993129999999997</v>
      </c>
      <c r="N710">
        <v>-1.1597349999999999E-2</v>
      </c>
      <c r="O710">
        <v>-1.6507329999999999E-3</v>
      </c>
      <c r="P710">
        <v>0.97421539999999995</v>
      </c>
      <c r="Q710">
        <v>0.2053307</v>
      </c>
      <c r="R710">
        <v>9.3508270000000004E-2</v>
      </c>
      <c r="S710">
        <v>2.8957820000000001</v>
      </c>
      <c r="T710">
        <v>1.023989</v>
      </c>
      <c r="U710">
        <v>-0.33917239999999999</v>
      </c>
      <c r="V710">
        <v>-9.5181059999999998E-2</v>
      </c>
      <c r="W710">
        <v>0.21658540000000001</v>
      </c>
      <c r="X710">
        <v>0.97161280000000005</v>
      </c>
      <c r="Y710">
        <v>0.1085262</v>
      </c>
      <c r="Z710">
        <v>1.7332699999999999E-2</v>
      </c>
      <c r="AA710">
        <v>0.99394249999999995</v>
      </c>
      <c r="AB710">
        <v>32</v>
      </c>
      <c r="AC710">
        <v>2.8957820000000001</v>
      </c>
      <c r="AD710">
        <v>1.023989</v>
      </c>
      <c r="AE710">
        <v>-0.33917239999999999</v>
      </c>
      <c r="AF710">
        <v>0.297673262311555</v>
      </c>
      <c r="AG710">
        <v>1.023989</v>
      </c>
      <c r="AH710">
        <v>2.5783026628198198</v>
      </c>
      <c r="AI710">
        <v>68.4690066412806</v>
      </c>
      <c r="AJ710">
        <v>83.414178068812305</v>
      </c>
      <c r="AK710">
        <v>2.7901267828398</v>
      </c>
      <c r="AL710">
        <v>77.491444780650696</v>
      </c>
      <c r="AM710">
        <v>95.594953018780799</v>
      </c>
      <c r="AN710">
        <v>1.0000000513998599</v>
      </c>
    </row>
    <row r="711" spans="1:40" x14ac:dyDescent="0.25">
      <c r="A711" t="str">
        <f>"20190304155028818"</f>
        <v>20190304155028818</v>
      </c>
      <c r="B711" t="str">
        <f>"1551685828807070"</f>
        <v>1551685828807070</v>
      </c>
      <c r="C711" t="s">
        <v>40</v>
      </c>
      <c r="D711">
        <v>5.0290480000000004</v>
      </c>
      <c r="E711">
        <v>0.57784040000000003</v>
      </c>
      <c r="F711" t="s">
        <v>53</v>
      </c>
      <c r="G711">
        <v>0</v>
      </c>
      <c r="H711">
        <v>0</v>
      </c>
      <c r="I711">
        <v>0</v>
      </c>
      <c r="J711">
        <v>-351.27719999999999</v>
      </c>
      <c r="K711">
        <v>1.1103959999999999</v>
      </c>
      <c r="L711">
        <v>367.3707</v>
      </c>
      <c r="M711">
        <v>0.99993169999999998</v>
      </c>
      <c r="N711">
        <v>-1.159865E-2</v>
      </c>
      <c r="O711">
        <v>-1.56181299999999E-3</v>
      </c>
      <c r="P711">
        <v>0.9741997</v>
      </c>
      <c r="Q711">
        <v>0.20542369999999999</v>
      </c>
      <c r="R711">
        <v>9.3469239999999995E-2</v>
      </c>
      <c r="S711">
        <v>2.907654</v>
      </c>
      <c r="T711">
        <v>0.96742609999999996</v>
      </c>
      <c r="U711">
        <v>-0.33502199999999999</v>
      </c>
      <c r="V711">
        <v>-9.5055310000000004E-2</v>
      </c>
      <c r="W711">
        <v>0.21667939999999999</v>
      </c>
      <c r="X711">
        <v>0.97160409999999997</v>
      </c>
      <c r="Y711">
        <v>0.10749309999999999</v>
      </c>
      <c r="Z711">
        <v>1.6197010000000001E-2</v>
      </c>
      <c r="AA711">
        <v>0.99407389999999995</v>
      </c>
      <c r="AB711">
        <v>32</v>
      </c>
      <c r="AC711">
        <v>2.907654</v>
      </c>
      <c r="AD711">
        <v>0.96742609999999996</v>
      </c>
      <c r="AE711">
        <v>-0.33502199999999999</v>
      </c>
      <c r="AF711">
        <v>0.29793103269967502</v>
      </c>
      <c r="AG711">
        <v>0.96742609999999996</v>
      </c>
      <c r="AH711">
        <v>2.6217471748899501</v>
      </c>
      <c r="AI711">
        <v>69.865003757128903</v>
      </c>
      <c r="AJ711">
        <v>83.516813740067306</v>
      </c>
      <c r="AK711">
        <v>2.8103797622830502</v>
      </c>
      <c r="AL711">
        <v>77.485927327124102</v>
      </c>
      <c r="AM711">
        <v>95.587657681000294</v>
      </c>
      <c r="AN711">
        <v>1.0000000007401799</v>
      </c>
    </row>
    <row r="712" spans="1:40" x14ac:dyDescent="0.25">
      <c r="A712" t="str">
        <f>"20190304155028831"</f>
        <v>20190304155028831</v>
      </c>
      <c r="B712" t="str">
        <f>"1551685828827566"</f>
        <v>1551685828827566</v>
      </c>
      <c r="C712" t="s">
        <v>40</v>
      </c>
      <c r="D712">
        <v>4.7024319999999999</v>
      </c>
      <c r="E712">
        <v>0.56551549999999995</v>
      </c>
      <c r="F712" t="s">
        <v>53</v>
      </c>
      <c r="G712">
        <v>0</v>
      </c>
      <c r="H712">
        <v>0</v>
      </c>
      <c r="I712">
        <v>0</v>
      </c>
      <c r="J712">
        <v>-351.09739999999999</v>
      </c>
      <c r="K712">
        <v>1.110393</v>
      </c>
      <c r="L712">
        <v>367.37049999999999</v>
      </c>
      <c r="M712">
        <v>0.99993180000000004</v>
      </c>
      <c r="N712">
        <v>-1.1600020000000001E-2</v>
      </c>
      <c r="O712">
        <v>-1.4702700000000001E-3</v>
      </c>
      <c r="P712">
        <v>0.97424069999999996</v>
      </c>
      <c r="Q712">
        <v>0.2052455</v>
      </c>
      <c r="R712">
        <v>9.3432609999999999E-2</v>
      </c>
      <c r="S712">
        <v>2.9075929999999999</v>
      </c>
      <c r="T712">
        <v>0.96751430000000005</v>
      </c>
      <c r="U712">
        <v>-0.33520509999999998</v>
      </c>
      <c r="V712">
        <v>-9.4929410000000006E-2</v>
      </c>
      <c r="W712">
        <v>0.216503</v>
      </c>
      <c r="X712">
        <v>0.97165570000000001</v>
      </c>
      <c r="Y712">
        <v>0.1076346</v>
      </c>
      <c r="Z712">
        <v>1.6251270000000002E-2</v>
      </c>
      <c r="AA712">
        <v>0.99405770000000004</v>
      </c>
      <c r="AB712">
        <v>32</v>
      </c>
      <c r="AC712">
        <v>2.9075929999999999</v>
      </c>
      <c r="AD712">
        <v>0.96751430000000005</v>
      </c>
      <c r="AE712">
        <v>-0.33520509999999998</v>
      </c>
      <c r="AF712">
        <v>0.298330043623865</v>
      </c>
      <c r="AG712">
        <v>0.96751430000000005</v>
      </c>
      <c r="AH712">
        <v>2.6216110621147899</v>
      </c>
      <c r="AI712">
        <v>69.8626827375179</v>
      </c>
      <c r="AJ712">
        <v>83.507870882859805</v>
      </c>
      <c r="AK712">
        <v>2.8103254787721199</v>
      </c>
      <c r="AL712">
        <v>77.496279668840103</v>
      </c>
      <c r="AM712">
        <v>95.580009143268299</v>
      </c>
      <c r="AN712">
        <v>0.99999997061721801</v>
      </c>
    </row>
    <row r="713" spans="1:40" x14ac:dyDescent="0.25">
      <c r="A713" t="str">
        <f>"20190304155028859"</f>
        <v>20190304155028859</v>
      </c>
      <c r="B713" t="str">
        <f>"1551685828847086"</f>
        <v>1551685828847086</v>
      </c>
      <c r="C713" t="s">
        <v>40</v>
      </c>
      <c r="D713">
        <v>4.3995730000000002</v>
      </c>
      <c r="E713">
        <v>0.56551549999999995</v>
      </c>
      <c r="F713" t="s">
        <v>43</v>
      </c>
      <c r="G713">
        <v>-170.08879999999999</v>
      </c>
      <c r="H713">
        <v>13.464589999999999</v>
      </c>
      <c r="I713">
        <v>352.9873</v>
      </c>
      <c r="J713">
        <v>-350.70209999999997</v>
      </c>
      <c r="K713">
        <v>1.11039</v>
      </c>
      <c r="L713">
        <v>367.37009999999998</v>
      </c>
      <c r="M713">
        <v>0.99993209999999999</v>
      </c>
      <c r="N713">
        <v>-1.1603189999999999E-2</v>
      </c>
      <c r="O713">
        <v>-1.2690679999999999E-3</v>
      </c>
      <c r="P713">
        <v>0.97433789999999998</v>
      </c>
      <c r="Q713">
        <v>0.2045545</v>
      </c>
      <c r="R713">
        <v>9.3933340000000004E-2</v>
      </c>
      <c r="S713">
        <v>3.058624</v>
      </c>
      <c r="T713">
        <v>0.20875859999999999</v>
      </c>
      <c r="U713">
        <v>-0.24304200000000001</v>
      </c>
      <c r="V713">
        <v>-9.5234269999999996E-2</v>
      </c>
      <c r="W713">
        <v>0.2158167</v>
      </c>
      <c r="X713">
        <v>0.97177860000000005</v>
      </c>
      <c r="Y713">
        <v>7.7801229999999999E-2</v>
      </c>
      <c r="Z713">
        <v>2.0942280000000001E-3</v>
      </c>
      <c r="AA713">
        <v>0.99696669999999998</v>
      </c>
      <c r="AB713">
        <v>32</v>
      </c>
      <c r="AC713">
        <v>180.61330000000001</v>
      </c>
      <c r="AD713">
        <v>12.354200000000001</v>
      </c>
      <c r="AE713">
        <v>-14.3827999999999</v>
      </c>
      <c r="AF713">
        <v>14.088063315604099</v>
      </c>
      <c r="AG713">
        <v>12.354200000000001</v>
      </c>
      <c r="AH713">
        <v>179.79549134980101</v>
      </c>
      <c r="AI713">
        <v>86.081215503328394</v>
      </c>
      <c r="AJ713">
        <v>85.519683672671206</v>
      </c>
      <c r="AK713">
        <v>180.76924101002601</v>
      </c>
      <c r="AL713">
        <v>77.536554691173393</v>
      </c>
      <c r="AM713">
        <v>95.597111910085502</v>
      </c>
      <c r="AN713">
        <v>1.0000000307996399</v>
      </c>
    </row>
    <row r="714" spans="1:40" x14ac:dyDescent="0.25">
      <c r="A714" t="str">
        <f>"20190304155028873"</f>
        <v>20190304155028873</v>
      </c>
      <c r="B714" t="str">
        <f>"1551685828867582"</f>
        <v>1551685828867582</v>
      </c>
      <c r="C714" t="s">
        <v>40</v>
      </c>
      <c r="D714">
        <v>3.625489</v>
      </c>
      <c r="E714">
        <v>0.56551549999999995</v>
      </c>
      <c r="F714" t="s">
        <v>43</v>
      </c>
      <c r="G714">
        <v>-170.08879999999999</v>
      </c>
      <c r="H714">
        <v>13.32484</v>
      </c>
      <c r="I714">
        <v>353.12029999999999</v>
      </c>
      <c r="J714">
        <v>-350.50959999999998</v>
      </c>
      <c r="K714">
        <v>1.11039</v>
      </c>
      <c r="L714">
        <v>367.37</v>
      </c>
      <c r="M714">
        <v>0.99993209999999999</v>
      </c>
      <c r="N714">
        <v>-1.1604629999999999E-2</v>
      </c>
      <c r="O714">
        <v>-1.1707320000000001E-3</v>
      </c>
      <c r="P714">
        <v>0.97458359999999999</v>
      </c>
      <c r="Q714">
        <v>0.2032564</v>
      </c>
      <c r="R714">
        <v>9.4201489999999999E-2</v>
      </c>
      <c r="S714">
        <v>3.0588380000000002</v>
      </c>
      <c r="T714">
        <v>0.2068633</v>
      </c>
      <c r="U714">
        <v>-0.24133299999999999</v>
      </c>
      <c r="V714">
        <v>-9.5406669999999999E-2</v>
      </c>
      <c r="W714">
        <v>0.21452309999999999</v>
      </c>
      <c r="X714">
        <v>0.97204800000000002</v>
      </c>
      <c r="Y714">
        <v>7.7343720000000005E-2</v>
      </c>
      <c r="Z714">
        <v>2.0658679999999998E-3</v>
      </c>
      <c r="AA714">
        <v>0.99700239999999996</v>
      </c>
      <c r="AB714">
        <v>32</v>
      </c>
      <c r="AC714">
        <v>180.42080000000001</v>
      </c>
      <c r="AD714">
        <v>12.214449999999999</v>
      </c>
      <c r="AE714">
        <v>-14.249700000000001</v>
      </c>
      <c r="AF714">
        <v>13.974798538198201</v>
      </c>
      <c r="AG714">
        <v>12.214449999999999</v>
      </c>
      <c r="AH714">
        <v>179.61922166567501</v>
      </c>
      <c r="AI714">
        <v>86.121451890428304</v>
      </c>
      <c r="AJ714">
        <v>85.551215420480403</v>
      </c>
      <c r="AK714">
        <v>180.57561456289901</v>
      </c>
      <c r="AL714">
        <v>77.612449274882906</v>
      </c>
      <c r="AM714">
        <v>95.605635584260597</v>
      </c>
      <c r="AN714">
        <v>0.99999995370904804</v>
      </c>
    </row>
    <row r="715" spans="1:40" x14ac:dyDescent="0.25">
      <c r="A715" t="str">
        <f>"20190304155028906"</f>
        <v>20190304155028906</v>
      </c>
      <c r="B715" t="str">
        <f>"1551685828896862"</f>
        <v>1551685828896862</v>
      </c>
      <c r="C715" t="s">
        <v>40</v>
      </c>
      <c r="D715">
        <v>4.1851099999999999</v>
      </c>
      <c r="E715">
        <v>0.56107980000000002</v>
      </c>
      <c r="F715" t="s">
        <v>43</v>
      </c>
      <c r="G715">
        <v>-170.08879999999999</v>
      </c>
      <c r="H715">
        <v>13.05194</v>
      </c>
      <c r="I715">
        <v>353.19119999999998</v>
      </c>
      <c r="J715">
        <v>-350.0326</v>
      </c>
      <c r="K715">
        <v>1.1103860000000001</v>
      </c>
      <c r="L715">
        <v>367.36970000000002</v>
      </c>
      <c r="M715">
        <v>0.99993220000000005</v>
      </c>
      <c r="N715">
        <v>-1.1607879999999999E-2</v>
      </c>
      <c r="O715">
        <v>-9.282839E-4</v>
      </c>
      <c r="P715">
        <v>0.97469620000000001</v>
      </c>
      <c r="Q715">
        <v>0.20258880000000001</v>
      </c>
      <c r="R715">
        <v>9.447324E-2</v>
      </c>
      <c r="S715">
        <v>3.0592350000000001</v>
      </c>
      <c r="T715">
        <v>0.20248369999999999</v>
      </c>
      <c r="U715">
        <v>-0.24041750000000001</v>
      </c>
      <c r="V715">
        <v>-9.544176E-2</v>
      </c>
      <c r="W715">
        <v>0.21385979999999999</v>
      </c>
      <c r="X715">
        <v>0.97219069999999996</v>
      </c>
      <c r="Y715">
        <v>7.7284770000000003E-2</v>
      </c>
      <c r="Z715">
        <v>2.029248E-3</v>
      </c>
      <c r="AA715">
        <v>0.99700699999999998</v>
      </c>
      <c r="AB715">
        <v>32</v>
      </c>
      <c r="AC715">
        <v>179.94380000000001</v>
      </c>
      <c r="AD715">
        <v>11.941554</v>
      </c>
      <c r="AE715">
        <v>-14.1785</v>
      </c>
      <c r="AF715">
        <v>13.9503852031287</v>
      </c>
      <c r="AG715">
        <v>11.941554</v>
      </c>
      <c r="AH715">
        <v>179.172676210106</v>
      </c>
      <c r="AI715">
        <v>86.198444487631306</v>
      </c>
      <c r="AJ715">
        <v>85.547932319236097</v>
      </c>
      <c r="AK715">
        <v>180.11124856471901</v>
      </c>
      <c r="AL715">
        <v>77.6513564979672</v>
      </c>
      <c r="AM715">
        <v>95.606866303376194</v>
      </c>
      <c r="AN715">
        <v>0.99999995038721201</v>
      </c>
    </row>
    <row r="716" spans="1:40" x14ac:dyDescent="0.25">
      <c r="A716" t="str">
        <f>"20190304155028917"</f>
        <v>20190304155028917</v>
      </c>
      <c r="B716" t="str">
        <f>"1551685828907599"</f>
        <v>1551685828907599</v>
      </c>
      <c r="C716" t="s">
        <v>40</v>
      </c>
      <c r="D716">
        <v>4.925573</v>
      </c>
      <c r="E716">
        <v>0.56107980000000002</v>
      </c>
      <c r="F716" t="s">
        <v>43</v>
      </c>
      <c r="G716">
        <v>-168.84350000000001</v>
      </c>
      <c r="H716">
        <v>11.95059</v>
      </c>
      <c r="I716">
        <v>355.27760000000001</v>
      </c>
      <c r="J716">
        <v>-349.88299999999998</v>
      </c>
      <c r="K716">
        <v>1.1103860000000001</v>
      </c>
      <c r="L716">
        <v>367.36959999999999</v>
      </c>
      <c r="M716">
        <v>0.9999323</v>
      </c>
      <c r="N716">
        <v>-1.160886E-2</v>
      </c>
      <c r="O716">
        <v>-8.5247350000000003E-4</v>
      </c>
      <c r="P716">
        <v>0.97472579999999998</v>
      </c>
      <c r="Q716">
        <v>0.2023279</v>
      </c>
      <c r="R716">
        <v>9.4726589999999999E-2</v>
      </c>
      <c r="S716">
        <v>3.059631</v>
      </c>
      <c r="T716">
        <v>0.18305350000000001</v>
      </c>
      <c r="U716">
        <v>-0.20419309999999999</v>
      </c>
      <c r="V716">
        <v>-9.5621609999999996E-2</v>
      </c>
      <c r="W716">
        <v>0.2136004</v>
      </c>
      <c r="X716">
        <v>0.97223009999999999</v>
      </c>
      <c r="Y716">
        <v>6.5647109999999995E-2</v>
      </c>
      <c r="Z716">
        <v>1.5173319999999999E-3</v>
      </c>
      <c r="AA716">
        <v>0.9978418</v>
      </c>
      <c r="AB716">
        <v>32</v>
      </c>
      <c r="AC716">
        <v>181.0395</v>
      </c>
      <c r="AD716">
        <v>10.840204</v>
      </c>
      <c r="AE716">
        <v>-12.091999999999899</v>
      </c>
      <c r="AF716">
        <v>11.895195141608101</v>
      </c>
      <c r="AG716">
        <v>10.840204</v>
      </c>
      <c r="AH716">
        <v>180.40580276054101</v>
      </c>
      <c r="AI716">
        <v>86.568784711795601</v>
      </c>
      <c r="AJ716">
        <v>86.227619296319105</v>
      </c>
      <c r="AK716">
        <v>181.12222215922</v>
      </c>
      <c r="AL716">
        <v>77.666571141765303</v>
      </c>
      <c r="AM716">
        <v>95.617138153601701</v>
      </c>
      <c r="AN716">
        <v>0.99999999526258099</v>
      </c>
    </row>
    <row r="717" spans="1:40" x14ac:dyDescent="0.25">
      <c r="A717" t="str">
        <f>"20190304155028928"</f>
        <v>20190304155028928</v>
      </c>
      <c r="B717" t="str">
        <f>"1551685828917358"</f>
        <v>1551685828917358</v>
      </c>
      <c r="C717" t="s">
        <v>40</v>
      </c>
      <c r="D717">
        <v>3.947219</v>
      </c>
      <c r="E717">
        <v>0.56107980000000002</v>
      </c>
      <c r="F717" t="s">
        <v>43</v>
      </c>
      <c r="G717">
        <v>-168.84350000000001</v>
      </c>
      <c r="H717">
        <v>11.898479999999999</v>
      </c>
      <c r="I717">
        <v>355.31849999999997</v>
      </c>
      <c r="J717">
        <v>-349.72140000000002</v>
      </c>
      <c r="K717">
        <v>1.1103860000000001</v>
      </c>
      <c r="L717">
        <v>367.36959999999999</v>
      </c>
      <c r="M717">
        <v>0.99993240000000005</v>
      </c>
      <c r="N717">
        <v>-1.1609909999999999E-2</v>
      </c>
      <c r="O717">
        <v>-7.7046470000000002E-4</v>
      </c>
      <c r="P717">
        <v>0.97475529999999999</v>
      </c>
      <c r="Q717">
        <v>0.2022101</v>
      </c>
      <c r="R717">
        <v>9.4675529999999994E-2</v>
      </c>
      <c r="S717">
        <v>3.059723</v>
      </c>
      <c r="T717">
        <v>0.18232950000000001</v>
      </c>
      <c r="U717">
        <v>-0.2036743</v>
      </c>
      <c r="V717">
        <v>-9.5490569999999997E-2</v>
      </c>
      <c r="W717">
        <v>0.2134839</v>
      </c>
      <c r="X717">
        <v>0.97226860000000004</v>
      </c>
      <c r="Y717">
        <v>6.5559270000000003E-2</v>
      </c>
      <c r="Z717">
        <v>1.5134440000000001E-3</v>
      </c>
      <c r="AA717">
        <v>0.99784759999999995</v>
      </c>
      <c r="AB717">
        <v>32</v>
      </c>
      <c r="AC717">
        <v>180.87790000000001</v>
      </c>
      <c r="AD717">
        <v>10.788093999999999</v>
      </c>
      <c r="AE717">
        <v>-12.0511</v>
      </c>
      <c r="AF717">
        <v>11.869689761</v>
      </c>
      <c r="AG717">
        <v>10.788093999999999</v>
      </c>
      <c r="AH717">
        <v>180.248769648033</v>
      </c>
      <c r="AI717">
        <v>86.582253098292696</v>
      </c>
      <c r="AJ717">
        <v>86.232414621681798</v>
      </c>
      <c r="AK717">
        <v>180.96102195446699</v>
      </c>
      <c r="AL717">
        <v>77.673404104966295</v>
      </c>
      <c r="AM717">
        <v>95.609268839046507</v>
      </c>
      <c r="AN717">
        <v>1.00000002753204</v>
      </c>
    </row>
    <row r="718" spans="1:40" x14ac:dyDescent="0.25">
      <c r="A718" t="str">
        <f>"20190304155029096"</f>
        <v>20190304155029096</v>
      </c>
      <c r="B718" t="str">
        <f>"1551685829087182"</f>
        <v>1551685829087182</v>
      </c>
      <c r="C718" t="s">
        <v>40</v>
      </c>
      <c r="D718">
        <v>5.4434969999999998</v>
      </c>
      <c r="E718">
        <v>0.55446580000000001</v>
      </c>
      <c r="F718" t="s">
        <v>43</v>
      </c>
      <c r="G718">
        <v>-168.84350000000001</v>
      </c>
      <c r="H718">
        <v>11.87121</v>
      </c>
      <c r="I718">
        <v>355.32029999999997</v>
      </c>
      <c r="J718">
        <v>-347.34320000000002</v>
      </c>
      <c r="K718">
        <v>1.110393</v>
      </c>
      <c r="L718">
        <v>367.37020000000001</v>
      </c>
      <c r="M718">
        <v>0.99993240000000005</v>
      </c>
      <c r="N718">
        <v>-1.162592E-2</v>
      </c>
      <c r="O718">
        <v>4.3706499999999999E-4</v>
      </c>
      <c r="P718">
        <v>0.97534569999999998</v>
      </c>
      <c r="Q718">
        <v>0.19957030000000001</v>
      </c>
      <c r="R718">
        <v>9.4196269999999999E-2</v>
      </c>
      <c r="S718">
        <v>3.0597530000000002</v>
      </c>
      <c r="T718">
        <v>0.1820329</v>
      </c>
      <c r="U718">
        <v>-0.20382690000000001</v>
      </c>
      <c r="V718">
        <v>-9.3833739999999999E-2</v>
      </c>
      <c r="W718">
        <v>0.21086840000000001</v>
      </c>
      <c r="X718">
        <v>0.97300039999999999</v>
      </c>
      <c r="Y718">
        <v>6.6808660000000006E-2</v>
      </c>
      <c r="Z718">
        <v>1.6253140000000001E-3</v>
      </c>
      <c r="AA718">
        <v>0.99776450000000005</v>
      </c>
      <c r="AB718">
        <v>32</v>
      </c>
      <c r="AC718">
        <v>178.49969999999999</v>
      </c>
      <c r="AD718">
        <v>10.760816999999999</v>
      </c>
      <c r="AE718">
        <v>-12.049899999999999</v>
      </c>
      <c r="AF718">
        <v>12.084202231366699</v>
      </c>
      <c r="AG718">
        <v>10.760816999999999</v>
      </c>
      <c r="AH718">
        <v>177.85099214609599</v>
      </c>
      <c r="AI718">
        <v>86.545503814998298</v>
      </c>
      <c r="AJ718">
        <v>86.1129749899291</v>
      </c>
      <c r="AK718">
        <v>178.58554962097799</v>
      </c>
      <c r="AL718">
        <v>77.826752645294803</v>
      </c>
      <c r="AM718">
        <v>95.508428218269998</v>
      </c>
      <c r="AN718">
        <v>1.00000001564055</v>
      </c>
    </row>
    <row r="719" spans="1:40" x14ac:dyDescent="0.25">
      <c r="A719" t="str">
        <f>"20190304155029108"</f>
        <v>20190304155029108</v>
      </c>
      <c r="B719" t="str">
        <f>"1551685829096942"</f>
        <v>1551685829096942</v>
      </c>
      <c r="C719" t="s">
        <v>40</v>
      </c>
      <c r="D719">
        <v>5.3671150000000001</v>
      </c>
      <c r="E719">
        <v>0.55389239999999995</v>
      </c>
      <c r="F719" t="s">
        <v>43</v>
      </c>
      <c r="G719">
        <v>-158.19499999999999</v>
      </c>
      <c r="H719">
        <v>18.064209999999999</v>
      </c>
      <c r="I719">
        <v>357.88510000000002</v>
      </c>
      <c r="J719">
        <v>-347.18110000000001</v>
      </c>
      <c r="K719">
        <v>1.110393</v>
      </c>
      <c r="L719">
        <v>367.37040000000002</v>
      </c>
      <c r="M719">
        <v>0.9999323</v>
      </c>
      <c r="N719">
        <v>-1.162704E-2</v>
      </c>
      <c r="O719">
        <v>5.1931239999999999E-4</v>
      </c>
      <c r="P719">
        <v>0.97533349999999996</v>
      </c>
      <c r="Q719">
        <v>0.19954369999999999</v>
      </c>
      <c r="R719">
        <v>9.4376639999999998E-2</v>
      </c>
      <c r="S719">
        <v>3.0349119999999998</v>
      </c>
      <c r="T719">
        <v>0.27202789999999999</v>
      </c>
      <c r="U719">
        <v>-0.1521912</v>
      </c>
      <c r="V719">
        <v>-9.3933559999999999E-2</v>
      </c>
      <c r="W719">
        <v>0.21084269999999999</v>
      </c>
      <c r="X719">
        <v>0.97299630000000004</v>
      </c>
      <c r="Y719">
        <v>5.0424570000000002E-2</v>
      </c>
      <c r="Z719">
        <v>2.0125210000000002E-3</v>
      </c>
      <c r="AA719">
        <v>0.9987258</v>
      </c>
      <c r="AB719">
        <v>32</v>
      </c>
      <c r="AC719">
        <v>188.98609999999999</v>
      </c>
      <c r="AD719">
        <v>16.953817000000001</v>
      </c>
      <c r="AE719">
        <v>-9.4852999999999899</v>
      </c>
      <c r="AF719">
        <v>9.5071292938772807</v>
      </c>
      <c r="AG719">
        <v>16.953817000000001</v>
      </c>
      <c r="AH719">
        <v>187.47617539827701</v>
      </c>
      <c r="AI719">
        <v>84.8392876850357</v>
      </c>
      <c r="AJ719">
        <v>87.096952902078399</v>
      </c>
      <c r="AK719">
        <v>188.48112308728801</v>
      </c>
      <c r="AL719">
        <v>77.828258559180497</v>
      </c>
      <c r="AM719">
        <v>95.514275058799598</v>
      </c>
      <c r="AN719">
        <v>0.99999997882562597</v>
      </c>
    </row>
    <row r="720" spans="1:40" x14ac:dyDescent="0.25">
      <c r="A720" t="str">
        <f>"20190304155029119"</f>
        <v>20190304155029119</v>
      </c>
      <c r="B720" t="str">
        <f>"1551685829107679"</f>
        <v>1551685829107679</v>
      </c>
      <c r="C720" t="s">
        <v>40</v>
      </c>
      <c r="D720">
        <v>5.0884489999999998</v>
      </c>
      <c r="E720">
        <v>0.55345849999999996</v>
      </c>
      <c r="F720" t="s">
        <v>43</v>
      </c>
      <c r="G720">
        <v>-158.19499999999999</v>
      </c>
      <c r="H720">
        <v>21.522379999999998</v>
      </c>
      <c r="I720">
        <v>358.20780000000002</v>
      </c>
      <c r="J720">
        <v>-347.02480000000003</v>
      </c>
      <c r="K720">
        <v>1.1103940000000001</v>
      </c>
      <c r="L720">
        <v>367.37049999999999</v>
      </c>
      <c r="M720">
        <v>0.9999323</v>
      </c>
      <c r="N720">
        <v>-1.162813E-2</v>
      </c>
      <c r="O720">
        <v>5.9887410000000003E-4</v>
      </c>
      <c r="P720">
        <v>0.97540090000000002</v>
      </c>
      <c r="Q720">
        <v>0.1992341</v>
      </c>
      <c r="R720">
        <v>9.4335939999999993E-2</v>
      </c>
      <c r="S720">
        <v>3.0232540000000001</v>
      </c>
      <c r="T720">
        <v>0.32653670000000001</v>
      </c>
      <c r="U720">
        <v>-0.14657590000000001</v>
      </c>
      <c r="V720">
        <v>-9.3815129999999997E-2</v>
      </c>
      <c r="W720">
        <v>0.2105351</v>
      </c>
      <c r="X720">
        <v>0.97307440000000001</v>
      </c>
      <c r="Y720">
        <v>4.8767610000000003E-2</v>
      </c>
      <c r="Z720">
        <v>2.4114399999999999E-3</v>
      </c>
      <c r="AA720">
        <v>0.99880729999999995</v>
      </c>
      <c r="AB720">
        <v>32</v>
      </c>
      <c r="AC720">
        <v>188.82980000000001</v>
      </c>
      <c r="AD720">
        <v>20.411985999999999</v>
      </c>
      <c r="AE720">
        <v>-9.1626999999999708</v>
      </c>
      <c r="AF720">
        <v>9.1689041120419308</v>
      </c>
      <c r="AG720">
        <v>20.411985999999999</v>
      </c>
      <c r="AH720">
        <v>186.648411219233</v>
      </c>
      <c r="AI720">
        <v>83.766357394631399</v>
      </c>
      <c r="AJ720">
        <v>87.187666696414098</v>
      </c>
      <c r="AK720">
        <v>187.98496585031501</v>
      </c>
      <c r="AL720">
        <v>77.846288279289297</v>
      </c>
      <c r="AM720">
        <v>95.506926206158198</v>
      </c>
      <c r="AN720">
        <v>1.00000004744214</v>
      </c>
    </row>
    <row r="721" spans="1:40" x14ac:dyDescent="0.25">
      <c r="A721" t="str">
        <f>"20190304155029130"</f>
        <v>20190304155029130</v>
      </c>
      <c r="B721" t="str">
        <f>"1551685829127198"</f>
        <v>1551685829127198</v>
      </c>
      <c r="C721" t="s">
        <v>40</v>
      </c>
      <c r="D721">
        <v>4.8024740000000001</v>
      </c>
      <c r="E721">
        <v>0.55262290000000003</v>
      </c>
      <c r="F721" t="s">
        <v>43</v>
      </c>
      <c r="G721">
        <v>-158.19499999999999</v>
      </c>
      <c r="H721">
        <v>18.602270000000001</v>
      </c>
      <c r="I721">
        <v>358.41559999999998</v>
      </c>
      <c r="J721">
        <v>-346.87430000000001</v>
      </c>
      <c r="K721">
        <v>1.1103940000000001</v>
      </c>
      <c r="L721">
        <v>367.3707</v>
      </c>
      <c r="M721">
        <v>0.99993220000000005</v>
      </c>
      <c r="N721">
        <v>-1.1629189999999999E-2</v>
      </c>
      <c r="O721">
        <v>6.7569479999999996E-4</v>
      </c>
      <c r="P721">
        <v>0.97539039999999999</v>
      </c>
      <c r="Q721">
        <v>0.19915430000000001</v>
      </c>
      <c r="R721">
        <v>9.4611089999999995E-2</v>
      </c>
      <c r="S721">
        <v>3.0322269999999998</v>
      </c>
      <c r="T721">
        <v>0.28088550000000001</v>
      </c>
      <c r="U721">
        <v>-0.14379879999999901</v>
      </c>
      <c r="V721">
        <v>-9.4015340000000003E-2</v>
      </c>
      <c r="W721">
        <v>0.2104568</v>
      </c>
      <c r="X721">
        <v>0.97307200000000005</v>
      </c>
      <c r="Y721">
        <v>4.786294E-2</v>
      </c>
      <c r="Z721">
        <v>2.0021549999999998E-3</v>
      </c>
      <c r="AA721">
        <v>0.99885190000000001</v>
      </c>
      <c r="AB721">
        <v>32</v>
      </c>
      <c r="AC721">
        <v>188.67930000000001</v>
      </c>
      <c r="AD721">
        <v>17.491876000000001</v>
      </c>
      <c r="AE721">
        <v>-8.9551000000000105</v>
      </c>
      <c r="AF721">
        <v>9.0053728218410107</v>
      </c>
      <c r="AG721">
        <v>17.491876000000001</v>
      </c>
      <c r="AH721">
        <v>187.069040820613</v>
      </c>
      <c r="AI721">
        <v>84.6642381146752</v>
      </c>
      <c r="AJ721">
        <v>87.243948873353304</v>
      </c>
      <c r="AK721">
        <v>188.10074029414099</v>
      </c>
      <c r="AL721">
        <v>77.850877180054596</v>
      </c>
      <c r="AM721">
        <v>95.518619539817607</v>
      </c>
      <c r="AN721">
        <v>1.0000000330027701</v>
      </c>
    </row>
    <row r="722" spans="1:40" x14ac:dyDescent="0.25">
      <c r="A722" t="str">
        <f>"20190304155029140"</f>
        <v>20190304155029140</v>
      </c>
      <c r="B722" t="str">
        <f>"1551685829137466"</f>
        <v>1551685829137466</v>
      </c>
      <c r="C722" t="s">
        <v>40</v>
      </c>
      <c r="D722">
        <v>4.6650919999999996</v>
      </c>
      <c r="E722">
        <v>0.54974659999999997</v>
      </c>
      <c r="F722" t="s">
        <v>44</v>
      </c>
      <c r="G722">
        <v>-249.8502</v>
      </c>
      <c r="H722">
        <v>8.8700299999999999</v>
      </c>
      <c r="I722">
        <v>363.01010000000002</v>
      </c>
      <c r="J722">
        <v>-346.7174</v>
      </c>
      <c r="K722">
        <v>1.1103940000000001</v>
      </c>
      <c r="L722">
        <v>367.37090000000001</v>
      </c>
      <c r="M722">
        <v>0.99993220000000005</v>
      </c>
      <c r="N722">
        <v>-1.16303E-2</v>
      </c>
      <c r="O722">
        <v>7.5537789999999998E-4</v>
      </c>
      <c r="P722">
        <v>0.97538290000000005</v>
      </c>
      <c r="Q722">
        <v>0.19912879999999999</v>
      </c>
      <c r="R722">
        <v>9.4742129999999994E-2</v>
      </c>
      <c r="S722">
        <v>3.039307</v>
      </c>
      <c r="T722">
        <v>0.2430756</v>
      </c>
      <c r="U722">
        <v>-0.13659669999999999</v>
      </c>
      <c r="V722">
        <v>-9.4068730000000003E-2</v>
      </c>
      <c r="W722">
        <v>0.21043210000000001</v>
      </c>
      <c r="X722">
        <v>0.97307220000000005</v>
      </c>
      <c r="Y722">
        <v>4.5525660000000003E-2</v>
      </c>
      <c r="Z722">
        <v>1.620507E-3</v>
      </c>
      <c r="AA722">
        <v>0.99896189999999996</v>
      </c>
      <c r="AB722">
        <v>32</v>
      </c>
      <c r="AC722">
        <v>96.867199999999997</v>
      </c>
      <c r="AD722">
        <v>7.7596359999999898</v>
      </c>
      <c r="AE722">
        <v>-4.3607999999999798</v>
      </c>
      <c r="AF722">
        <v>4.4057606374724196</v>
      </c>
      <c r="AG722">
        <v>7.7596359999999898</v>
      </c>
      <c r="AH722">
        <v>96.247510998180402</v>
      </c>
      <c r="AI722">
        <v>85.395488199733506</v>
      </c>
      <c r="AJ722">
        <v>87.379096919006201</v>
      </c>
      <c r="AK722">
        <v>96.660260971052907</v>
      </c>
      <c r="AL722">
        <v>77.852325020448404</v>
      </c>
      <c r="AM722">
        <v>95.521732995763699</v>
      </c>
      <c r="AN722">
        <v>1.00000005054353</v>
      </c>
    </row>
    <row r="723" spans="1:40" x14ac:dyDescent="0.25">
      <c r="A723" t="str">
        <f>"20190304155029162"</f>
        <v>20190304155029162</v>
      </c>
      <c r="B723" t="str">
        <f>"1551685829156989"</f>
        <v>1551685829156989</v>
      </c>
      <c r="C723" t="s">
        <v>40</v>
      </c>
      <c r="D723">
        <v>5.0772830000000004</v>
      </c>
      <c r="E723">
        <v>0.55063930000000005</v>
      </c>
      <c r="F723" t="s">
        <v>43</v>
      </c>
      <c r="G723">
        <v>-170.08879999999999</v>
      </c>
      <c r="H723">
        <v>14.091519999999999</v>
      </c>
      <c r="I723">
        <v>360.78620000000001</v>
      </c>
      <c r="J723">
        <v>-346.41</v>
      </c>
      <c r="K723">
        <v>1.1103909999999999</v>
      </c>
      <c r="L723">
        <v>367.37130000000002</v>
      </c>
      <c r="M723">
        <v>0.99993209999999999</v>
      </c>
      <c r="N723">
        <v>-1.1632480000000001E-2</v>
      </c>
      <c r="O723">
        <v>9.1129009999999996E-4</v>
      </c>
      <c r="P723">
        <v>0.97543659999999999</v>
      </c>
      <c r="Q723">
        <v>0.19888690000000001</v>
      </c>
      <c r="R723">
        <v>9.4697110000000001E-2</v>
      </c>
      <c r="S723">
        <v>3.0411069999999998</v>
      </c>
      <c r="T723">
        <v>0.22350410000000001</v>
      </c>
      <c r="U723">
        <v>-0.1133728</v>
      </c>
      <c r="V723">
        <v>-9.3871369999999996E-2</v>
      </c>
      <c r="W723">
        <v>0.21019289999999999</v>
      </c>
      <c r="X723">
        <v>0.97314290000000003</v>
      </c>
      <c r="Y723">
        <v>3.8075379999999999E-2</v>
      </c>
      <c r="Z723">
        <v>1.2524459999999999E-3</v>
      </c>
      <c r="AA723">
        <v>0.99927410000000005</v>
      </c>
      <c r="AB723">
        <v>32</v>
      </c>
      <c r="AC723">
        <v>176.3212</v>
      </c>
      <c r="AD723">
        <v>12.981128999999999</v>
      </c>
      <c r="AE723">
        <v>-6.5851000000000104</v>
      </c>
      <c r="AF723">
        <v>6.7094718021323203</v>
      </c>
      <c r="AG723">
        <v>12.981128999999999</v>
      </c>
      <c r="AH723">
        <v>175.365929760612</v>
      </c>
      <c r="AI723">
        <v>85.769594003746406</v>
      </c>
      <c r="AJ723">
        <v>87.808941527574504</v>
      </c>
      <c r="AK723">
        <v>175.97367997169999</v>
      </c>
      <c r="AL723">
        <v>77.866343044357805</v>
      </c>
      <c r="AM723">
        <v>95.509821689935293</v>
      </c>
      <c r="AN723">
        <v>0.99999999656824801</v>
      </c>
    </row>
    <row r="724" spans="1:40" x14ac:dyDescent="0.25">
      <c r="A724" t="str">
        <f>"20190304155029174"</f>
        <v>20190304155029174</v>
      </c>
      <c r="B724" t="str">
        <f>"1551685829167722"</f>
        <v>1551685829167722</v>
      </c>
      <c r="C724" t="s">
        <v>40</v>
      </c>
      <c r="D724">
        <v>4.6214190000000004</v>
      </c>
      <c r="E724">
        <v>0.54849250000000005</v>
      </c>
      <c r="F724" t="s">
        <v>43</v>
      </c>
      <c r="G724">
        <v>-170.08879999999999</v>
      </c>
      <c r="H724">
        <v>13.296419999999999</v>
      </c>
      <c r="I724">
        <v>360.39839999999998</v>
      </c>
      <c r="J724">
        <v>-346.23750000000001</v>
      </c>
      <c r="K724">
        <v>1.1103909999999999</v>
      </c>
      <c r="L724">
        <v>367.37150000000003</v>
      </c>
      <c r="M724">
        <v>0.99993189999999998</v>
      </c>
      <c r="N724">
        <v>-1.16337E-2</v>
      </c>
      <c r="O724">
        <v>9.9890039999999997E-4</v>
      </c>
      <c r="P724">
        <v>0.97545740000000003</v>
      </c>
      <c r="Q724">
        <v>0.19873360000000001</v>
      </c>
      <c r="R724">
        <v>9.4804059999999996E-2</v>
      </c>
      <c r="S724">
        <v>3.0443120000000001</v>
      </c>
      <c r="T724">
        <v>0.21040200000000001</v>
      </c>
      <c r="U724">
        <v>-0.12039179999999999</v>
      </c>
      <c r="V724">
        <v>-9.3892600000000007E-2</v>
      </c>
      <c r="W724">
        <v>0.2100409</v>
      </c>
      <c r="X724">
        <v>0.97317370000000003</v>
      </c>
      <c r="Y724">
        <v>4.0430500000000001E-2</v>
      </c>
      <c r="Z724">
        <v>1.239951E-3</v>
      </c>
      <c r="AA724">
        <v>0.9991816</v>
      </c>
      <c r="AB724">
        <v>32</v>
      </c>
      <c r="AC724">
        <v>176.14869999999999</v>
      </c>
      <c r="AD724">
        <v>12.186029</v>
      </c>
      <c r="AE724">
        <v>-6.9731000000000396</v>
      </c>
      <c r="AF724">
        <v>7.1150645649685398</v>
      </c>
      <c r="AG724">
        <v>12.186029</v>
      </c>
      <c r="AH724">
        <v>175.30396796807599</v>
      </c>
      <c r="AI724">
        <v>86.026815251954901</v>
      </c>
      <c r="AJ724">
        <v>87.675811063339097</v>
      </c>
      <c r="AK724">
        <v>175.870988602171</v>
      </c>
      <c r="AL724">
        <v>77.875251210827898</v>
      </c>
      <c r="AM724">
        <v>95.510886777552201</v>
      </c>
      <c r="AN724">
        <v>1.0000000251896199</v>
      </c>
    </row>
    <row r="725" spans="1:40" x14ac:dyDescent="0.25">
      <c r="A725" t="str">
        <f>"20190304155029185"</f>
        <v>20190304155029185</v>
      </c>
      <c r="B725" t="str">
        <f>"1551685829177482"</f>
        <v>1551685829177482</v>
      </c>
      <c r="C725" t="s">
        <v>40</v>
      </c>
      <c r="D725">
        <v>4.8598840000000001</v>
      </c>
      <c r="E725">
        <v>0.54818809999999996</v>
      </c>
      <c r="F725" t="s">
        <v>43</v>
      </c>
      <c r="G725">
        <v>-168.84350000000001</v>
      </c>
      <c r="H725">
        <v>12.160550000000001</v>
      </c>
      <c r="I725">
        <v>361.35180000000003</v>
      </c>
      <c r="J725">
        <v>-346.08069999999998</v>
      </c>
      <c r="K725">
        <v>1.1103909999999999</v>
      </c>
      <c r="L725">
        <v>367.37180000000001</v>
      </c>
      <c r="M725">
        <v>0.99993180000000004</v>
      </c>
      <c r="N725">
        <v>-1.1634810000000001E-2</v>
      </c>
      <c r="O725">
        <v>1.0785829999999999E-3</v>
      </c>
      <c r="P725">
        <v>0.97547550000000005</v>
      </c>
      <c r="Q725">
        <v>0.1985614</v>
      </c>
      <c r="R725">
        <v>9.4978690000000005E-2</v>
      </c>
      <c r="S725">
        <v>3.046875</v>
      </c>
      <c r="T725">
        <v>0.1897962</v>
      </c>
      <c r="U725">
        <v>-0.1033936</v>
      </c>
      <c r="V725">
        <v>-9.3989400000000001E-2</v>
      </c>
      <c r="W725">
        <v>0.20987030000000001</v>
      </c>
      <c r="X725">
        <v>0.97320119999999999</v>
      </c>
      <c r="Y725">
        <v>3.4934890000000003E-2</v>
      </c>
      <c r="Z725">
        <v>9.6289740000000002E-4</v>
      </c>
      <c r="AA725">
        <v>0.99938910000000003</v>
      </c>
      <c r="AB725">
        <v>32</v>
      </c>
      <c r="AC725">
        <v>177.23719999999901</v>
      </c>
      <c r="AD725">
        <v>11.050158999999899</v>
      </c>
      <c r="AE725">
        <v>-6.01999999999998</v>
      </c>
      <c r="AF725">
        <v>6.1871520039233303</v>
      </c>
      <c r="AG725">
        <v>11.050158999999899</v>
      </c>
      <c r="AH725">
        <v>176.54514305953199</v>
      </c>
      <c r="AI725">
        <v>86.420656617065404</v>
      </c>
      <c r="AJ725">
        <v>87.992849499687694</v>
      </c>
      <c r="AK725">
        <v>176.998797740989</v>
      </c>
      <c r="AL725">
        <v>77.885249169394797</v>
      </c>
      <c r="AM725">
        <v>95.516378359718402</v>
      </c>
      <c r="AN725">
        <v>1.00000006290794</v>
      </c>
    </row>
    <row r="726" spans="1:40" x14ac:dyDescent="0.25">
      <c r="A726" t="str">
        <f>"20190304155029197"</f>
        <v>20190304155029197</v>
      </c>
      <c r="B726" t="str">
        <f>"1551685829187242"</f>
        <v>1551685829187242</v>
      </c>
      <c r="C726" t="s">
        <v>40</v>
      </c>
      <c r="D726">
        <v>5.2373589999999997</v>
      </c>
      <c r="E726">
        <v>0.54763300000000004</v>
      </c>
      <c r="F726" t="s">
        <v>43</v>
      </c>
      <c r="G726">
        <v>-170.08879999999999</v>
      </c>
      <c r="H726">
        <v>13.134029999999999</v>
      </c>
      <c r="I726">
        <v>361.56819999999999</v>
      </c>
      <c r="J726">
        <v>-345.92520000000002</v>
      </c>
      <c r="K726">
        <v>1.1103889999999901</v>
      </c>
      <c r="L726">
        <v>367.37200000000001</v>
      </c>
      <c r="M726">
        <v>0.99993160000000003</v>
      </c>
      <c r="N726">
        <v>-1.1635909999999999E-2</v>
      </c>
      <c r="O726">
        <v>1.157431E-3</v>
      </c>
      <c r="P726">
        <v>0.97548579999999996</v>
      </c>
      <c r="Q726">
        <v>0.19846739999999999</v>
      </c>
      <c r="R726">
        <v>9.506908E-2</v>
      </c>
      <c r="S726">
        <v>3.0428470000000001</v>
      </c>
      <c r="T726">
        <v>0.2078866</v>
      </c>
      <c r="U726">
        <v>-0.10034179999999999</v>
      </c>
      <c r="V726">
        <v>-9.4003390000000006E-2</v>
      </c>
      <c r="W726">
        <v>0.20977750000000001</v>
      </c>
      <c r="X726">
        <v>0.97321979999999997</v>
      </c>
      <c r="Y726">
        <v>3.4045800000000001E-2</v>
      </c>
      <c r="Z726">
        <v>1.0554119999999999E-3</v>
      </c>
      <c r="AA726">
        <v>0.99941970000000002</v>
      </c>
      <c r="AB726">
        <v>32</v>
      </c>
      <c r="AC726">
        <v>175.8364</v>
      </c>
      <c r="AD726">
        <v>12.023641</v>
      </c>
      <c r="AE726">
        <v>-5.8037999999999599</v>
      </c>
      <c r="AF726">
        <v>5.9794004391314797</v>
      </c>
      <c r="AG726">
        <v>12.023641</v>
      </c>
      <c r="AH726">
        <v>175.01213586635799</v>
      </c>
      <c r="AI726">
        <v>86.072139557339696</v>
      </c>
      <c r="AJ726">
        <v>88.043214555546996</v>
      </c>
      <c r="AK726">
        <v>175.52654748787401</v>
      </c>
      <c r="AL726">
        <v>77.890686598692497</v>
      </c>
      <c r="AM726">
        <v>95.517089594806393</v>
      </c>
      <c r="AN726">
        <v>1.0000000079748901</v>
      </c>
    </row>
    <row r="727" spans="1:40" x14ac:dyDescent="0.25">
      <c r="A727" t="str">
        <f>"20190304155029207"</f>
        <v>20190304155029207</v>
      </c>
      <c r="B727" t="str">
        <f>"1551685829197003"</f>
        <v>1551685829197003</v>
      </c>
      <c r="C727" t="s">
        <v>40</v>
      </c>
      <c r="D727">
        <v>5.300999</v>
      </c>
      <c r="E727">
        <v>0.54736980000000002</v>
      </c>
      <c r="F727" t="s">
        <v>43</v>
      </c>
      <c r="G727">
        <v>-170.08879999999999</v>
      </c>
      <c r="H727">
        <v>13.7373799999999</v>
      </c>
      <c r="I727">
        <v>361.8458</v>
      </c>
      <c r="J727">
        <v>-345.77319999999997</v>
      </c>
      <c r="K727">
        <v>1.110387</v>
      </c>
      <c r="L727">
        <v>367.37220000000002</v>
      </c>
      <c r="M727">
        <v>0.99993149999999997</v>
      </c>
      <c r="N727">
        <v>-1.163699E-2</v>
      </c>
      <c r="O727">
        <v>1.2347300000000001E-3</v>
      </c>
      <c r="P727">
        <v>0.97549030000000003</v>
      </c>
      <c r="Q727">
        <v>0.19835</v>
      </c>
      <c r="R727">
        <v>9.5269290000000006E-2</v>
      </c>
      <c r="S727">
        <v>3.0402529999999999</v>
      </c>
      <c r="T727">
        <v>0.21832509999999999</v>
      </c>
      <c r="U727">
        <v>-9.5550540000000003E-2</v>
      </c>
      <c r="V727">
        <v>-9.4128299999999998E-2</v>
      </c>
      <c r="W727">
        <v>0.2096614</v>
      </c>
      <c r="X727">
        <v>0.97323269999999995</v>
      </c>
      <c r="Y727">
        <v>3.2572690000000001E-2</v>
      </c>
      <c r="Z727">
        <v>1.0808510000000001E-3</v>
      </c>
      <c r="AA727">
        <v>0.99946880000000005</v>
      </c>
      <c r="AB727">
        <v>32</v>
      </c>
      <c r="AC727">
        <v>175.68439999999899</v>
      </c>
      <c r="AD727">
        <v>12.626993000000001</v>
      </c>
      <c r="AE727">
        <v>-5.5264000000000202</v>
      </c>
      <c r="AF727">
        <v>5.7138461512521603</v>
      </c>
      <c r="AG727">
        <v>12.626993000000001</v>
      </c>
      <c r="AH727">
        <v>174.775487801157</v>
      </c>
      <c r="AI727">
        <v>85.869934152864005</v>
      </c>
      <c r="AJ727">
        <v>88.127525124391497</v>
      </c>
      <c r="AK727">
        <v>175.32415728071999</v>
      </c>
      <c r="AL727">
        <v>77.897489392787605</v>
      </c>
      <c r="AM727">
        <v>95.524302510804006</v>
      </c>
      <c r="AN727">
        <v>0.99999996393006896</v>
      </c>
    </row>
    <row r="728" spans="1:40" x14ac:dyDescent="0.25">
      <c r="A728" t="str">
        <f>"20190304155029229"</f>
        <v>20190304155029229</v>
      </c>
      <c r="B728" t="str">
        <f>"1551685829217498"</f>
        <v>1551685829217498</v>
      </c>
      <c r="C728" t="s">
        <v>40</v>
      </c>
      <c r="D728">
        <v>4.9389890000000003</v>
      </c>
      <c r="E728">
        <v>0.54591690000000004</v>
      </c>
      <c r="F728" t="s">
        <v>43</v>
      </c>
      <c r="G728">
        <v>-158.19499999999999</v>
      </c>
      <c r="H728">
        <v>15.48372</v>
      </c>
      <c r="I728">
        <v>361.6311</v>
      </c>
      <c r="J728">
        <v>-345.46730000000002</v>
      </c>
      <c r="K728">
        <v>1.110382</v>
      </c>
      <c r="L728">
        <v>367.37279999999998</v>
      </c>
      <c r="M728">
        <v>0.99993129999999997</v>
      </c>
      <c r="N728">
        <v>-1.1639160000000001E-2</v>
      </c>
      <c r="O728">
        <v>1.3895699999999999E-3</v>
      </c>
      <c r="P728">
        <v>0.97557969999999905</v>
      </c>
      <c r="Q728">
        <v>0.19775329999999999</v>
      </c>
      <c r="R728">
        <v>9.5592250000000004E-2</v>
      </c>
      <c r="S728">
        <v>3.03714</v>
      </c>
      <c r="T728">
        <v>0.23272470000000001</v>
      </c>
      <c r="U728">
        <v>-9.2956540000000004E-2</v>
      </c>
      <c r="V728">
        <v>-9.4299729999999998E-2</v>
      </c>
      <c r="W728">
        <v>0.2090679</v>
      </c>
      <c r="X728">
        <v>0.97334379999999998</v>
      </c>
      <c r="Y728">
        <v>3.1896679999999997E-2</v>
      </c>
      <c r="Z728">
        <v>1.1565239999999999E-3</v>
      </c>
      <c r="AA728">
        <v>0.99949049999999995</v>
      </c>
      <c r="AB728">
        <v>32</v>
      </c>
      <c r="AC728">
        <v>187.2723</v>
      </c>
      <c r="AD728">
        <v>14.373338</v>
      </c>
      <c r="AE728">
        <v>-5.7416999999999803</v>
      </c>
      <c r="AF728">
        <v>5.9668241877481103</v>
      </c>
      <c r="AG728">
        <v>14.373338</v>
      </c>
      <c r="AH728">
        <v>186.168504005464</v>
      </c>
      <c r="AI728">
        <v>85.587433089095697</v>
      </c>
      <c r="AJ728">
        <v>88.164260629160793</v>
      </c>
      <c r="AK728">
        <v>186.817846363195</v>
      </c>
      <c r="AL728">
        <v>77.932265465364907</v>
      </c>
      <c r="AM728">
        <v>95.533673393131494</v>
      </c>
      <c r="AN728">
        <v>0.99999998944346102</v>
      </c>
    </row>
    <row r="729" spans="1:40" x14ac:dyDescent="0.25">
      <c r="A729" t="str">
        <f>"20190304155029240"</f>
        <v>20190304155029240</v>
      </c>
      <c r="B729" t="str">
        <f>"1551685829237526"</f>
        <v>1551685829237526</v>
      </c>
      <c r="C729" t="s">
        <v>40</v>
      </c>
      <c r="D729">
        <v>5.2843669999999996</v>
      </c>
      <c r="E729">
        <v>0.54499980000000003</v>
      </c>
      <c r="F729" t="s">
        <v>43</v>
      </c>
      <c r="G729">
        <v>-170.08879999999999</v>
      </c>
      <c r="H729">
        <v>13.834009999999999</v>
      </c>
      <c r="I729">
        <v>362.73809999999997</v>
      </c>
      <c r="J729">
        <v>-345.30900000000003</v>
      </c>
      <c r="K729">
        <v>1.1103809999999901</v>
      </c>
      <c r="L729">
        <v>367.37310000000002</v>
      </c>
      <c r="M729">
        <v>0.99993129999999997</v>
      </c>
      <c r="N729">
        <v>-1.1640289999999999E-2</v>
      </c>
      <c r="O729">
        <v>1.46973E-3</v>
      </c>
      <c r="P729">
        <v>0.97561330000000002</v>
      </c>
      <c r="Q729">
        <v>0.1975285</v>
      </c>
      <c r="R729">
        <v>9.5716510000000005E-2</v>
      </c>
      <c r="S729">
        <v>3.0382690000000001</v>
      </c>
      <c r="T729">
        <v>0.2204266</v>
      </c>
      <c r="U729">
        <v>-8.0291749999999995E-2</v>
      </c>
      <c r="V729">
        <v>-9.434563E-2</v>
      </c>
      <c r="W729">
        <v>0.208845</v>
      </c>
      <c r="X729">
        <v>0.97338720000000001</v>
      </c>
      <c r="Y729">
        <v>2.7820359999999999E-2</v>
      </c>
      <c r="Z729">
        <v>9.6910479999999998E-4</v>
      </c>
      <c r="AA729">
        <v>0.99961250000000001</v>
      </c>
      <c r="AB729">
        <v>32</v>
      </c>
      <c r="AC729">
        <v>175.22020000000001</v>
      </c>
      <c r="AD729">
        <v>12.723628999999899</v>
      </c>
      <c r="AE729">
        <v>-4.6350000000000398</v>
      </c>
      <c r="AF729">
        <v>4.8668938496562504</v>
      </c>
      <c r="AG729">
        <v>12.723628999999899</v>
      </c>
      <c r="AH729">
        <v>174.29479298011501</v>
      </c>
      <c r="AI729">
        <v>85.826399465995493</v>
      </c>
      <c r="AJ729">
        <v>88.400525735438606</v>
      </c>
      <c r="AK729">
        <v>174.826348845518</v>
      </c>
      <c r="AL729">
        <v>77.945324948648505</v>
      </c>
      <c r="AM729">
        <v>95.536104841659295</v>
      </c>
      <c r="AN729">
        <v>0.99999998652446798</v>
      </c>
    </row>
    <row r="730" spans="1:40" x14ac:dyDescent="0.25">
      <c r="A730" t="str">
        <f>"20190304155029253"</f>
        <v>20190304155029253</v>
      </c>
      <c r="B730" t="str">
        <f>"1551685829247286"</f>
        <v>1551685829247286</v>
      </c>
      <c r="C730" t="s">
        <v>40</v>
      </c>
      <c r="D730">
        <v>5.0586479999999998</v>
      </c>
      <c r="E730">
        <v>0.54475430000000002</v>
      </c>
      <c r="F730" t="s">
        <v>43</v>
      </c>
      <c r="G730">
        <v>-170.08879999999999</v>
      </c>
      <c r="H730">
        <v>13.086</v>
      </c>
      <c r="I730">
        <v>363.16750000000002</v>
      </c>
      <c r="J730">
        <v>-345.12889999999999</v>
      </c>
      <c r="K730">
        <v>1.1103799999999999</v>
      </c>
      <c r="L730">
        <v>367.3734</v>
      </c>
      <c r="M730">
        <v>0.99993120000000002</v>
      </c>
      <c r="N730">
        <v>-1.164156E-2</v>
      </c>
      <c r="O730">
        <v>1.5610349999999999E-3</v>
      </c>
      <c r="P730">
        <v>0.97560780000000002</v>
      </c>
      <c r="Q730">
        <v>0.19745119999999999</v>
      </c>
      <c r="R730">
        <v>9.5930940000000006E-2</v>
      </c>
      <c r="S730">
        <v>3.0400700000000001</v>
      </c>
      <c r="T730">
        <v>0.2077785</v>
      </c>
      <c r="U730">
        <v>-7.2967530000000003E-2</v>
      </c>
      <c r="V730">
        <v>-9.4471120000000006E-2</v>
      </c>
      <c r="W730">
        <v>0.2087685</v>
      </c>
      <c r="X730">
        <v>0.97339149999999997</v>
      </c>
      <c r="Y730">
        <v>2.5501389999999999E-2</v>
      </c>
      <c r="Z730">
        <v>8.4641700000000002E-4</v>
      </c>
      <c r="AA730">
        <v>0.99967439999999996</v>
      </c>
      <c r="AB730">
        <v>32</v>
      </c>
      <c r="AC730">
        <v>175.0401</v>
      </c>
      <c r="AD730">
        <v>11.975619999999999</v>
      </c>
      <c r="AE730">
        <v>-4.2058999999999802</v>
      </c>
      <c r="AF730">
        <v>4.4583006530431604</v>
      </c>
      <c r="AG730">
        <v>11.975619999999999</v>
      </c>
      <c r="AH730">
        <v>174.21830864503499</v>
      </c>
      <c r="AI730">
        <v>86.069004842094699</v>
      </c>
      <c r="AJ730">
        <v>88.5341031305922</v>
      </c>
      <c r="AK730">
        <v>174.686321691866</v>
      </c>
      <c r="AL730">
        <v>77.949807594861795</v>
      </c>
      <c r="AM730">
        <v>95.543398293828105</v>
      </c>
      <c r="AN730">
        <v>1.0000000456892699</v>
      </c>
    </row>
    <row r="731" spans="1:40" x14ac:dyDescent="0.25">
      <c r="A731" t="str">
        <f>"20190304155029265"</f>
        <v>20190304155029265</v>
      </c>
      <c r="B731" t="str">
        <f>"1551685829257046"</f>
        <v>1551685829257046</v>
      </c>
      <c r="C731" t="s">
        <v>40</v>
      </c>
      <c r="D731">
        <v>5.016953</v>
      </c>
      <c r="E731">
        <v>0.54451590000000005</v>
      </c>
      <c r="F731" t="s">
        <v>43</v>
      </c>
      <c r="G731">
        <v>-170.08879999999999</v>
      </c>
      <c r="H731">
        <v>12.80311</v>
      </c>
      <c r="I731">
        <v>363.3331</v>
      </c>
      <c r="J731">
        <v>-344.94940000000003</v>
      </c>
      <c r="K731">
        <v>1.1103769999999999</v>
      </c>
      <c r="L731">
        <v>367.37380000000002</v>
      </c>
      <c r="M731">
        <v>0.99993100000000001</v>
      </c>
      <c r="N731">
        <v>-1.164282E-2</v>
      </c>
      <c r="O731">
        <v>1.651804E-3</v>
      </c>
      <c r="P731">
        <v>0.97560939999999996</v>
      </c>
      <c r="Q731">
        <v>0.19735269999999999</v>
      </c>
      <c r="R731">
        <v>9.6117709999999995E-2</v>
      </c>
      <c r="S731">
        <v>3.0408629999999999</v>
      </c>
      <c r="T731">
        <v>0.2031319</v>
      </c>
      <c r="U731">
        <v>-7.0190429999999998E-2</v>
      </c>
      <c r="V731">
        <v>-9.4569210000000001E-2</v>
      </c>
      <c r="W731">
        <v>0.20867150000000001</v>
      </c>
      <c r="X731">
        <v>0.97340269999999995</v>
      </c>
      <c r="Y731">
        <v>2.4677259999999999E-2</v>
      </c>
      <c r="Z731">
        <v>8.087999E-4</v>
      </c>
      <c r="AA731">
        <v>0.99969509999999995</v>
      </c>
      <c r="AB731">
        <v>32</v>
      </c>
      <c r="AC731">
        <v>174.86060000000001</v>
      </c>
      <c r="AD731">
        <v>11.692733</v>
      </c>
      <c r="AE731">
        <v>-4.04070000000001</v>
      </c>
      <c r="AF731">
        <v>4.3102865283896996</v>
      </c>
      <c r="AG731">
        <v>11.692733</v>
      </c>
      <c r="AH731">
        <v>174.07573144228999</v>
      </c>
      <c r="AI731">
        <v>86.158367149232902</v>
      </c>
      <c r="AJ731">
        <v>88.581589909662696</v>
      </c>
      <c r="AK731">
        <v>174.521227511539</v>
      </c>
      <c r="AL731">
        <v>77.955489563547999</v>
      </c>
      <c r="AM731">
        <v>95.549054685107194</v>
      </c>
      <c r="AN731">
        <v>0.99999997337978097</v>
      </c>
    </row>
    <row r="732" spans="1:40" x14ac:dyDescent="0.25">
      <c r="A732" t="str">
        <f>"20190304155029278"</f>
        <v>20190304155029278</v>
      </c>
      <c r="B732" t="str">
        <f>"1551685829266806"</f>
        <v>1551685829266806</v>
      </c>
      <c r="C732" t="s">
        <v>40</v>
      </c>
      <c r="D732">
        <v>4.9161729999999997</v>
      </c>
      <c r="E732">
        <v>0.54397390000000001</v>
      </c>
      <c r="F732" t="s">
        <v>43</v>
      </c>
      <c r="G732">
        <v>-168.84350000000001</v>
      </c>
      <c r="H732">
        <v>12.58084</v>
      </c>
      <c r="I732">
        <v>363.43009999999998</v>
      </c>
      <c r="J732">
        <v>-344.7731</v>
      </c>
      <c r="K732">
        <v>1.1103769999999999</v>
      </c>
      <c r="L732">
        <v>367.37419999999997</v>
      </c>
      <c r="M732">
        <v>0.99993089999999996</v>
      </c>
      <c r="N732">
        <v>-1.1644069999999999E-2</v>
      </c>
      <c r="O732">
        <v>1.7414380000000001E-3</v>
      </c>
      <c r="P732">
        <v>0.97556200000000004</v>
      </c>
      <c r="Q732">
        <v>0.19752120000000001</v>
      </c>
      <c r="R732">
        <v>9.6253950000000005E-2</v>
      </c>
      <c r="S732">
        <v>3.0416259999999999</v>
      </c>
      <c r="T732">
        <v>0.19811429999999999</v>
      </c>
      <c r="U732">
        <v>-6.8115229999999999E-2</v>
      </c>
      <c r="V732">
        <v>-9.4618629999999995E-2</v>
      </c>
      <c r="W732">
        <v>0.20884079999999999</v>
      </c>
      <c r="X732">
        <v>0.97336160000000005</v>
      </c>
      <c r="Y732">
        <v>2.408283E-2</v>
      </c>
      <c r="Z732">
        <v>7.7657020000000004E-4</v>
      </c>
      <c r="AA732">
        <v>0.99970970000000003</v>
      </c>
      <c r="AB732">
        <v>32</v>
      </c>
      <c r="AC732">
        <v>175.92959999999999</v>
      </c>
      <c r="AD732">
        <v>11.470463000000001</v>
      </c>
      <c r="AE732">
        <v>-3.9440999999999899</v>
      </c>
      <c r="AF732">
        <v>4.2325021795422</v>
      </c>
      <c r="AG732">
        <v>11.470463000000001</v>
      </c>
      <c r="AH732">
        <v>175.17816808747401</v>
      </c>
      <c r="AI732">
        <v>86.254776754361998</v>
      </c>
      <c r="AJ732">
        <v>88.615938603070205</v>
      </c>
      <c r="AK732">
        <v>175.60431706144701</v>
      </c>
      <c r="AL732">
        <v>77.945570993639393</v>
      </c>
      <c r="AM732">
        <v>95.552169362770897</v>
      </c>
      <c r="AN732">
        <v>0.99999998462113804</v>
      </c>
    </row>
    <row r="733" spans="1:40" x14ac:dyDescent="0.25">
      <c r="A733" t="str">
        <f>"20190304155029299"</f>
        <v>20190304155029299</v>
      </c>
      <c r="B733" t="str">
        <f>"1551685829287301"</f>
        <v>1551685829287301</v>
      </c>
      <c r="C733" t="s">
        <v>40</v>
      </c>
      <c r="D733">
        <v>4.9266370000000004</v>
      </c>
      <c r="E733">
        <v>0.54363079999999997</v>
      </c>
      <c r="F733" t="s">
        <v>43</v>
      </c>
      <c r="G733">
        <v>-168.84350000000001</v>
      </c>
      <c r="H733">
        <v>12.50132</v>
      </c>
      <c r="I733">
        <v>363.72019999999998</v>
      </c>
      <c r="J733">
        <v>-344.48660000000001</v>
      </c>
      <c r="K733">
        <v>1.110385</v>
      </c>
      <c r="L733">
        <v>367.37479999999999</v>
      </c>
      <c r="M733">
        <v>0.9999304</v>
      </c>
      <c r="N733">
        <v>-1.164609E-2</v>
      </c>
      <c r="O733">
        <v>1.8875669999999999E-3</v>
      </c>
      <c r="P733">
        <v>0.97548579999999996</v>
      </c>
      <c r="Q733">
        <v>0.19770589999999999</v>
      </c>
      <c r="R733">
        <v>9.6643950000000006E-2</v>
      </c>
      <c r="S733">
        <v>3.0415040000000002</v>
      </c>
      <c r="T733">
        <v>0.1969302</v>
      </c>
      <c r="U733">
        <v>-6.3171389999999994E-2</v>
      </c>
      <c r="V733">
        <v>-9.4865409999999997E-2</v>
      </c>
      <c r="W733">
        <v>0.2090264</v>
      </c>
      <c r="X733">
        <v>0.97329779999999999</v>
      </c>
      <c r="Y733">
        <v>2.260827E-2</v>
      </c>
      <c r="Z733">
        <v>7.4332039999999895E-4</v>
      </c>
      <c r="AA733">
        <v>0.99974410000000002</v>
      </c>
      <c r="AB733">
        <v>32</v>
      </c>
      <c r="AC733">
        <v>175.6431</v>
      </c>
      <c r="AD733">
        <v>11.390935000000001</v>
      </c>
      <c r="AE733">
        <v>-3.6546000000000101</v>
      </c>
      <c r="AF733">
        <v>3.9694662320947098</v>
      </c>
      <c r="AG733">
        <v>11.390935000000001</v>
      </c>
      <c r="AH733">
        <v>174.900596234376</v>
      </c>
      <c r="AI733">
        <v>86.274656771527503</v>
      </c>
      <c r="AJ733">
        <v>88.699863639636305</v>
      </c>
      <c r="AK733">
        <v>175.316082050342</v>
      </c>
      <c r="AL733">
        <v>77.934697639505998</v>
      </c>
      <c r="AM733">
        <v>95.566922040667905</v>
      </c>
      <c r="AN733">
        <v>1.0000000446981301</v>
      </c>
    </row>
    <row r="734" spans="1:40" x14ac:dyDescent="0.25">
      <c r="A734" t="str">
        <f>"20190304155029319"</f>
        <v>20190304155029319</v>
      </c>
      <c r="B734" t="str">
        <f>"1551685829306821"</f>
        <v>1551685829306821</v>
      </c>
      <c r="C734" t="s">
        <v>40</v>
      </c>
      <c r="D734">
        <v>4.9682659999999998</v>
      </c>
      <c r="E734">
        <v>0.54297320000000004</v>
      </c>
      <c r="F734" t="s">
        <v>43</v>
      </c>
      <c r="G734">
        <v>-168.84350000000001</v>
      </c>
      <c r="H734">
        <v>11.81639</v>
      </c>
      <c r="I734">
        <v>363.96710000000002</v>
      </c>
      <c r="J734">
        <v>-344.19279999999998</v>
      </c>
      <c r="K734">
        <v>1.1103879999999999</v>
      </c>
      <c r="L734">
        <v>367.37560000000002</v>
      </c>
      <c r="M734">
        <v>0.99993010000000004</v>
      </c>
      <c r="N734">
        <v>-1.1648169999999999E-2</v>
      </c>
      <c r="O734">
        <v>2.0371579999999999E-3</v>
      </c>
      <c r="P734">
        <v>0.97543990000000003</v>
      </c>
      <c r="Q734">
        <v>0.19774739999999999</v>
      </c>
      <c r="R734">
        <v>9.7022670000000005E-2</v>
      </c>
      <c r="S734">
        <v>3.0436100000000001</v>
      </c>
      <c r="T734">
        <v>0.18551899999999999</v>
      </c>
      <c r="U734">
        <v>-5.9051510000000001E-2</v>
      </c>
      <c r="V734">
        <v>-9.5098409999999994E-2</v>
      </c>
      <c r="W734">
        <v>0.2090698</v>
      </c>
      <c r="X734">
        <v>0.97326570000000001</v>
      </c>
      <c r="Y734">
        <v>2.1397570000000001E-2</v>
      </c>
      <c r="Z734">
        <v>6.7448050000000004E-4</v>
      </c>
      <c r="AA734">
        <v>0.99977079999999996</v>
      </c>
      <c r="AB734">
        <v>32</v>
      </c>
      <c r="AC734">
        <v>175.349299999999</v>
      </c>
      <c r="AD734">
        <v>10.706002</v>
      </c>
      <c r="AE734">
        <v>-3.4085000000000001</v>
      </c>
      <c r="AF734">
        <v>3.7517510844610502</v>
      </c>
      <c r="AG734">
        <v>10.706002</v>
      </c>
      <c r="AH734">
        <v>174.69103375547101</v>
      </c>
      <c r="AI734">
        <v>86.493800566758495</v>
      </c>
      <c r="AJ734">
        <v>88.769676621913007</v>
      </c>
      <c r="AK734">
        <v>175.058994026525</v>
      </c>
      <c r="AL734">
        <v>77.932154343951794</v>
      </c>
      <c r="AM734">
        <v>95.580691710354998</v>
      </c>
      <c r="AN734">
        <v>1.0000000058265199</v>
      </c>
    </row>
    <row r="735" spans="1:40" x14ac:dyDescent="0.25">
      <c r="A735" t="str">
        <f>"20190304155029331"</f>
        <v>20190304155029331</v>
      </c>
      <c r="B735" t="str">
        <f>"1551685829327318"</f>
        <v>1551685829327318</v>
      </c>
      <c r="C735" t="s">
        <v>40</v>
      </c>
      <c r="D735">
        <v>5.1396499999999996</v>
      </c>
      <c r="E735">
        <v>0.54356579999999999</v>
      </c>
      <c r="F735" t="s">
        <v>43</v>
      </c>
      <c r="G735">
        <v>-168.84350000000001</v>
      </c>
      <c r="H735">
        <v>11.58498</v>
      </c>
      <c r="I735">
        <v>364.31139999999999</v>
      </c>
      <c r="J735">
        <v>-344.02089999999998</v>
      </c>
      <c r="K735">
        <v>1.110385</v>
      </c>
      <c r="L735">
        <v>367.37599999999998</v>
      </c>
      <c r="M735">
        <v>0.99992979999999998</v>
      </c>
      <c r="N735">
        <v>-1.1649390000000001E-2</v>
      </c>
      <c r="O735">
        <v>2.124529E-3</v>
      </c>
      <c r="P735">
        <v>0.97539120000000001</v>
      </c>
      <c r="Q735">
        <v>0.1979147</v>
      </c>
      <c r="R735">
        <v>9.7169160000000004E-2</v>
      </c>
      <c r="S735">
        <v>3.0439759999999998</v>
      </c>
      <c r="T735">
        <v>0.1818352</v>
      </c>
      <c r="U735">
        <v>-5.3192139999999999E-2</v>
      </c>
      <c r="V735">
        <v>-9.5159889999999997E-2</v>
      </c>
      <c r="W735">
        <v>0.2092376</v>
      </c>
      <c r="X735">
        <v>0.97322359999999997</v>
      </c>
      <c r="Y735">
        <v>1.956275E-2</v>
      </c>
      <c r="Z735">
        <v>6.2120570000000002E-4</v>
      </c>
      <c r="AA735">
        <v>0.99980840000000004</v>
      </c>
      <c r="AB735">
        <v>32</v>
      </c>
      <c r="AC735">
        <v>175.17739999999901</v>
      </c>
      <c r="AD735">
        <v>10.4745949999999</v>
      </c>
      <c r="AE735">
        <v>-3.06459999999998</v>
      </c>
      <c r="AF735">
        <v>3.42454763365776</v>
      </c>
      <c r="AG735">
        <v>10.4745949999999</v>
      </c>
      <c r="AH735">
        <v>174.546619347681</v>
      </c>
      <c r="AI735">
        <v>86.566440803127094</v>
      </c>
      <c r="AJ735">
        <v>88.876019732634902</v>
      </c>
      <c r="AK735">
        <v>174.89415940108799</v>
      </c>
      <c r="AL735">
        <v>77.922322306352498</v>
      </c>
      <c r="AM735">
        <v>95.584516803813102</v>
      </c>
      <c r="AN735">
        <v>0.99999997675776497</v>
      </c>
    </row>
    <row r="736" spans="1:40" x14ac:dyDescent="0.25">
      <c r="A736" t="str">
        <f>"20190304155029343"</f>
        <v>20190304155029343</v>
      </c>
      <c r="B736" t="str">
        <f>"1551685829337585"</f>
        <v>1551685829337585</v>
      </c>
      <c r="C736" t="s">
        <v>40</v>
      </c>
      <c r="D736">
        <v>4.4103700000000003</v>
      </c>
      <c r="E736">
        <v>0.54345840000000001</v>
      </c>
      <c r="F736" t="s">
        <v>43</v>
      </c>
      <c r="G736">
        <v>-168.84350000000001</v>
      </c>
      <c r="H736">
        <v>10.861000000000001</v>
      </c>
      <c r="I736">
        <v>364.08109999999999</v>
      </c>
      <c r="J736">
        <v>-343.84879999999998</v>
      </c>
      <c r="K736">
        <v>1.1103860000000001</v>
      </c>
      <c r="L736">
        <v>367.37650000000002</v>
      </c>
      <c r="M736">
        <v>0.99992979999999998</v>
      </c>
      <c r="N736">
        <v>-1.165061E-2</v>
      </c>
      <c r="O736">
        <v>2.2122560000000001E-3</v>
      </c>
      <c r="P736">
        <v>0.97532509999999994</v>
      </c>
      <c r="Q736">
        <v>0.19813629999999999</v>
      </c>
      <c r="R736">
        <v>9.7382659999999996E-2</v>
      </c>
      <c r="S736">
        <v>3.0469970000000002</v>
      </c>
      <c r="T736">
        <v>0.16960159999999999</v>
      </c>
      <c r="U736">
        <v>-5.7312009999999997E-2</v>
      </c>
      <c r="V736">
        <v>-9.5287990000000003E-2</v>
      </c>
      <c r="W736">
        <v>0.20946000000000001</v>
      </c>
      <c r="X736">
        <v>0.97316320000000001</v>
      </c>
      <c r="Y736">
        <v>2.098732E-2</v>
      </c>
      <c r="Z736">
        <v>6.1002759999999995E-4</v>
      </c>
      <c r="AA736">
        <v>0.99977959999999999</v>
      </c>
      <c r="AB736">
        <v>32</v>
      </c>
      <c r="AC736">
        <v>175.00529999999901</v>
      </c>
      <c r="AD736">
        <v>9.7506140000000006</v>
      </c>
      <c r="AE736">
        <v>-3.2954000000000199</v>
      </c>
      <c r="AF736">
        <v>3.67118233742519</v>
      </c>
      <c r="AG736">
        <v>9.7506140000000006</v>
      </c>
      <c r="AH736">
        <v>174.45621116928399</v>
      </c>
      <c r="AI736">
        <v>86.801689616516498</v>
      </c>
      <c r="AJ736">
        <v>88.794469903455905</v>
      </c>
      <c r="AK736">
        <v>174.76704972240401</v>
      </c>
      <c r="AL736">
        <v>77.909290674822799</v>
      </c>
      <c r="AM736">
        <v>95.592331684734106</v>
      </c>
      <c r="AN736">
        <v>0.99999995323623903</v>
      </c>
    </row>
    <row r="737" spans="1:40" x14ac:dyDescent="0.25">
      <c r="A737" t="str">
        <f>"20190304155029354"</f>
        <v>20190304155029354</v>
      </c>
      <c r="B737" t="str">
        <f>"1551685829347344"</f>
        <v>1551685829347344</v>
      </c>
      <c r="C737" t="s">
        <v>40</v>
      </c>
      <c r="D737">
        <v>4.9871850000000002</v>
      </c>
      <c r="E737">
        <v>0.54309219999999903</v>
      </c>
      <c r="F737" t="s">
        <v>43</v>
      </c>
      <c r="G737">
        <v>-168.84350000000001</v>
      </c>
      <c r="H737">
        <v>10.98686</v>
      </c>
      <c r="I737">
        <v>364.16320000000002</v>
      </c>
      <c r="J737">
        <v>-343.6943</v>
      </c>
      <c r="K737">
        <v>1.1103889999999901</v>
      </c>
      <c r="L737">
        <v>367.37689999999998</v>
      </c>
      <c r="M737">
        <v>0.99992950000000003</v>
      </c>
      <c r="N737">
        <v>-1.1651699999999999E-2</v>
      </c>
      <c r="O737">
        <v>2.2910439999999999E-3</v>
      </c>
      <c r="P737">
        <v>0.97528550000000003</v>
      </c>
      <c r="Q737">
        <v>0.19832069999999999</v>
      </c>
      <c r="R737">
        <v>9.7401970000000004E-2</v>
      </c>
      <c r="S737">
        <v>3.04657</v>
      </c>
      <c r="T737">
        <v>0.17193539999999999</v>
      </c>
      <c r="U737">
        <v>-5.5938719999999997E-2</v>
      </c>
      <c r="V737">
        <v>-9.5230750000000003E-2</v>
      </c>
      <c r="W737">
        <v>0.20964459999999999</v>
      </c>
      <c r="X737">
        <v>0.97312909999999997</v>
      </c>
      <c r="Y737">
        <v>2.0617570000000002E-2</v>
      </c>
      <c r="Z737">
        <v>6.1691890000000003E-4</v>
      </c>
      <c r="AA737">
        <v>0.99978730000000005</v>
      </c>
      <c r="AB737">
        <v>32</v>
      </c>
      <c r="AC737">
        <v>174.85079999999999</v>
      </c>
      <c r="AD737">
        <v>9.8764710000000004</v>
      </c>
      <c r="AE737">
        <v>-3.2136999999999598</v>
      </c>
      <c r="AF737">
        <v>3.60281846873389</v>
      </c>
      <c r="AG737">
        <v>9.8764710000000004</v>
      </c>
      <c r="AH737">
        <v>174.28709036910399</v>
      </c>
      <c r="AI737">
        <v>86.757332621993001</v>
      </c>
      <c r="AJ737">
        <v>88.815764860874395</v>
      </c>
      <c r="AK737">
        <v>174.60387982419201</v>
      </c>
      <c r="AL737">
        <v>77.898474279371001</v>
      </c>
      <c r="AM737">
        <v>95.589188224588298</v>
      </c>
      <c r="AN737">
        <v>0.99999999966076603</v>
      </c>
    </row>
    <row r="738" spans="1:40" x14ac:dyDescent="0.25">
      <c r="A738" t="str">
        <f>"20190304155029365"</f>
        <v>20190304155029365</v>
      </c>
      <c r="B738" t="str">
        <f>"1551685829357104"</f>
        <v>1551685829357104</v>
      </c>
      <c r="C738" t="s">
        <v>40</v>
      </c>
      <c r="D738">
        <v>5.1991009999999998</v>
      </c>
      <c r="E738">
        <v>0.54306509999999997</v>
      </c>
      <c r="F738" t="s">
        <v>43</v>
      </c>
      <c r="G738">
        <v>-168.84350000000001</v>
      </c>
      <c r="H738">
        <v>10.96833</v>
      </c>
      <c r="I738">
        <v>364.33440000000002</v>
      </c>
      <c r="J738">
        <v>-343.52550000000002</v>
      </c>
      <c r="K738">
        <v>1.1103970000000001</v>
      </c>
      <c r="L738">
        <v>367.37740000000002</v>
      </c>
      <c r="M738">
        <v>0.99992939999999997</v>
      </c>
      <c r="N738">
        <v>-1.1652900000000001E-2</v>
      </c>
      <c r="O738">
        <v>2.376923E-3</v>
      </c>
      <c r="P738">
        <v>0.97522900000000001</v>
      </c>
      <c r="Q738">
        <v>0.1985005</v>
      </c>
      <c r="R738">
        <v>9.7600999999999993E-2</v>
      </c>
      <c r="S738">
        <v>3.0463870000000002</v>
      </c>
      <c r="T738">
        <v>0.17175409999999999</v>
      </c>
      <c r="U738">
        <v>-5.3009029999999999E-2</v>
      </c>
      <c r="V738">
        <v>-9.5345760000000002E-2</v>
      </c>
      <c r="W738">
        <v>0.2098256</v>
      </c>
      <c r="X738">
        <v>0.97307880000000002</v>
      </c>
      <c r="Y738">
        <v>1.9744319999999999E-2</v>
      </c>
      <c r="Z738">
        <v>6.0254519999999997E-4</v>
      </c>
      <c r="AA738">
        <v>0.9998049</v>
      </c>
      <c r="AB738">
        <v>32</v>
      </c>
      <c r="AC738">
        <v>174.68199999999999</v>
      </c>
      <c r="AD738">
        <v>9.8579329999999992</v>
      </c>
      <c r="AE738">
        <v>-3.0430000000000001</v>
      </c>
      <c r="AF738">
        <v>3.4472499084156998</v>
      </c>
      <c r="AG738">
        <v>9.8579329999999992</v>
      </c>
      <c r="AH738">
        <v>174.11991276085999</v>
      </c>
      <c r="AI738">
        <v>86.760248055439206</v>
      </c>
      <c r="AJ738">
        <v>88.865798474799504</v>
      </c>
      <c r="AK738">
        <v>174.43281341196399</v>
      </c>
      <c r="AL738">
        <v>77.887867518021807</v>
      </c>
      <c r="AM738">
        <v>95.596182883962399</v>
      </c>
      <c r="AN738">
        <v>0.99999997368738802</v>
      </c>
    </row>
    <row r="739" spans="1:40" x14ac:dyDescent="0.25">
      <c r="A739" t="str">
        <f>"20190304155029376"</f>
        <v>20190304155029376</v>
      </c>
      <c r="B739" t="str">
        <f>"1551685829366865"</f>
        <v>1551685829366865</v>
      </c>
      <c r="C739" t="s">
        <v>40</v>
      </c>
      <c r="D739">
        <v>5.1143929999999997</v>
      </c>
      <c r="E739">
        <v>0.54324890000000003</v>
      </c>
      <c r="F739" t="s">
        <v>43</v>
      </c>
      <c r="G739">
        <v>-168.84350000000001</v>
      </c>
      <c r="H739">
        <v>10.53539</v>
      </c>
      <c r="I739">
        <v>364.38310000000001</v>
      </c>
      <c r="J739">
        <v>-343.36939999999998</v>
      </c>
      <c r="K739">
        <v>1.1103970000000001</v>
      </c>
      <c r="L739">
        <v>367.37779999999998</v>
      </c>
      <c r="M739">
        <v>0.99992910000000002</v>
      </c>
      <c r="N739">
        <v>-1.1653999999999999E-2</v>
      </c>
      <c r="O739">
        <v>2.4560720000000001E-3</v>
      </c>
      <c r="P739">
        <v>0.97521049999999998</v>
      </c>
      <c r="Q739">
        <v>0.19856470000000001</v>
      </c>
      <c r="R739">
        <v>9.7654679999999994E-2</v>
      </c>
      <c r="S739">
        <v>3.0479430000000001</v>
      </c>
      <c r="T739">
        <v>0.16445370000000001</v>
      </c>
      <c r="U739">
        <v>-5.2246090000000002E-2</v>
      </c>
      <c r="V739">
        <v>-9.5322130000000005E-2</v>
      </c>
      <c r="W739">
        <v>0.2098904</v>
      </c>
      <c r="X739">
        <v>0.97306720000000002</v>
      </c>
      <c r="Y739">
        <v>1.956716E-2</v>
      </c>
      <c r="Z739">
        <v>5.743721E-4</v>
      </c>
      <c r="AA739">
        <v>0.99980840000000004</v>
      </c>
      <c r="AB739">
        <v>32</v>
      </c>
      <c r="AC739">
        <v>174.52589999999901</v>
      </c>
      <c r="AD739">
        <v>9.42499299999999</v>
      </c>
      <c r="AE739">
        <v>-2.9946999999999599</v>
      </c>
      <c r="AF739">
        <v>3.4134163951154002</v>
      </c>
      <c r="AG739">
        <v>9.42499299999999</v>
      </c>
      <c r="AH739">
        <v>174.010688034938</v>
      </c>
      <c r="AI739">
        <v>86.900296065288501</v>
      </c>
      <c r="AJ739">
        <v>88.876222627630995</v>
      </c>
      <c r="AK739">
        <v>174.299172272644</v>
      </c>
      <c r="AL739">
        <v>77.8840709105164</v>
      </c>
      <c r="AM739">
        <v>95.594871028426894</v>
      </c>
      <c r="AN739">
        <v>1.0000000320978599</v>
      </c>
    </row>
    <row r="740" spans="1:40" x14ac:dyDescent="0.25">
      <c r="A740" t="str">
        <f>"20190304155029388"</f>
        <v>20190304155029388</v>
      </c>
      <c r="B740" t="str">
        <f>"1551685829377600"</f>
        <v>1551685829377600</v>
      </c>
      <c r="C740" t="s">
        <v>40</v>
      </c>
      <c r="D740">
        <v>5.4504530000000004</v>
      </c>
      <c r="E740">
        <v>0.54325519999999905</v>
      </c>
      <c r="F740" t="s">
        <v>43</v>
      </c>
      <c r="G740">
        <v>-168.84350000000001</v>
      </c>
      <c r="H740">
        <v>10.2606</v>
      </c>
      <c r="I740">
        <v>364.3</v>
      </c>
      <c r="J740">
        <v>-343.20859999999999</v>
      </c>
      <c r="K740">
        <v>1.1103970000000001</v>
      </c>
      <c r="L740">
        <v>367.37830000000002</v>
      </c>
      <c r="M740">
        <v>0.99992899999999996</v>
      </c>
      <c r="N740">
        <v>-1.165513E-2</v>
      </c>
      <c r="O740">
        <v>2.5373660000000001E-3</v>
      </c>
      <c r="P740">
        <v>0.97516009999999997</v>
      </c>
      <c r="Q740">
        <v>0.1986869</v>
      </c>
      <c r="R740">
        <v>9.7910079999999997E-2</v>
      </c>
      <c r="S740">
        <v>3.0491030000000001</v>
      </c>
      <c r="T740">
        <v>0.15986259999999999</v>
      </c>
      <c r="U740">
        <v>-5.3771970000000002E-2</v>
      </c>
      <c r="V740">
        <v>-9.5499120000000007E-2</v>
      </c>
      <c r="W740">
        <v>0.21001300000000001</v>
      </c>
      <c r="X740">
        <v>0.97302339999999998</v>
      </c>
      <c r="Y740">
        <v>2.014299E-2</v>
      </c>
      <c r="Z740">
        <v>5.7265759999999995E-4</v>
      </c>
      <c r="AA740">
        <v>0.99979689999999999</v>
      </c>
      <c r="AB740">
        <v>32</v>
      </c>
      <c r="AC740">
        <v>174.36509999999899</v>
      </c>
      <c r="AD740">
        <v>9.1502029999999994</v>
      </c>
      <c r="AE740">
        <v>-3.0783000000000098</v>
      </c>
      <c r="AF740">
        <v>3.5110821291534502</v>
      </c>
      <c r="AG740">
        <v>9.1502029999999994</v>
      </c>
      <c r="AH740">
        <v>173.87804021153701</v>
      </c>
      <c r="AI740">
        <v>86.988243573418899</v>
      </c>
      <c r="AJ740">
        <v>88.843195772865201</v>
      </c>
      <c r="AK740">
        <v>174.15403176631801</v>
      </c>
      <c r="AL740">
        <v>77.876886407539502</v>
      </c>
      <c r="AM740">
        <v>95.605443955975105</v>
      </c>
      <c r="AN740">
        <v>1.0000000395186599</v>
      </c>
    </row>
    <row r="741" spans="1:40" x14ac:dyDescent="0.25">
      <c r="A741" t="str">
        <f>"20190304155029399"</f>
        <v>20190304155029399</v>
      </c>
      <c r="B741" t="str">
        <f>"1551685829397120"</f>
        <v>1551685829397120</v>
      </c>
      <c r="C741" t="s">
        <v>40</v>
      </c>
      <c r="D741">
        <v>5.1442550000000002</v>
      </c>
      <c r="E741">
        <v>0.54367840000000001</v>
      </c>
      <c r="F741" t="s">
        <v>43</v>
      </c>
      <c r="G741">
        <v>-168.84350000000001</v>
      </c>
      <c r="H741">
        <v>9.9826049999999995</v>
      </c>
      <c r="I741">
        <v>364.3306</v>
      </c>
      <c r="J741">
        <v>-343.04219999999998</v>
      </c>
      <c r="K741">
        <v>1.1103989999999999</v>
      </c>
      <c r="L741">
        <v>367.37880000000001</v>
      </c>
      <c r="M741">
        <v>0.9999287</v>
      </c>
      <c r="N741">
        <v>-1.16563E-2</v>
      </c>
      <c r="O741">
        <v>2.6220530000000001E-3</v>
      </c>
      <c r="P741">
        <v>0.97517540000000003</v>
      </c>
      <c r="Q741">
        <v>0.19863249999999999</v>
      </c>
      <c r="R741">
        <v>9.7869529999999996E-2</v>
      </c>
      <c r="S741">
        <v>3.0501710000000002</v>
      </c>
      <c r="T741">
        <v>0.15520309999999901</v>
      </c>
      <c r="U741">
        <v>-5.3314210000000001E-2</v>
      </c>
      <c r="V741">
        <v>-9.53759E-2</v>
      </c>
      <c r="W741">
        <v>0.20996029999999999</v>
      </c>
      <c r="X741">
        <v>0.97304679999999999</v>
      </c>
      <c r="Y741">
        <v>2.007306E-2</v>
      </c>
      <c r="Z741">
        <v>5.57125E-4</v>
      </c>
      <c r="AA741">
        <v>0.99979839999999998</v>
      </c>
      <c r="AB741">
        <v>32</v>
      </c>
      <c r="AC741">
        <v>174.19869999999901</v>
      </c>
      <c r="AD741">
        <v>8.8722060000000003</v>
      </c>
      <c r="AE741">
        <v>-3.0482</v>
      </c>
      <c r="AF741">
        <v>3.4959130482957601</v>
      </c>
      <c r="AG741">
        <v>8.8722060000000003</v>
      </c>
      <c r="AH741">
        <v>173.73956196928</v>
      </c>
      <c r="AI741">
        <v>87.077256556963704</v>
      </c>
      <c r="AJ741">
        <v>88.847274420214504</v>
      </c>
      <c r="AK741">
        <v>174.00107137780699</v>
      </c>
      <c r="AL741">
        <v>77.879974049559394</v>
      </c>
      <c r="AM741">
        <v>95.598123600233706</v>
      </c>
      <c r="AN741">
        <v>0.99999998243356902</v>
      </c>
    </row>
    <row r="742" spans="1:40" x14ac:dyDescent="0.25">
      <c r="A742" t="str">
        <f>"20190304155029412"</f>
        <v>20190304155029412</v>
      </c>
      <c r="B742" t="str">
        <f>"1551685829406880"</f>
        <v>1551685829406880</v>
      </c>
      <c r="C742" t="s">
        <v>40</v>
      </c>
      <c r="D742">
        <v>8.1907529999999902</v>
      </c>
      <c r="E742">
        <v>0.54311899999999902</v>
      </c>
      <c r="F742" t="s">
        <v>43</v>
      </c>
      <c r="G742">
        <v>-168.84350000000001</v>
      </c>
      <c r="H742">
        <v>9.5704799999999999</v>
      </c>
      <c r="I742">
        <v>364.15100000000001</v>
      </c>
      <c r="J742">
        <v>-342.87270000000001</v>
      </c>
      <c r="K742">
        <v>1.1103989999999999</v>
      </c>
      <c r="L742">
        <v>367.37939999999998</v>
      </c>
      <c r="M742">
        <v>0.9999285</v>
      </c>
      <c r="N742">
        <v>-1.165749E-2</v>
      </c>
      <c r="O742">
        <v>2.7080530000000002E-3</v>
      </c>
      <c r="P742">
        <v>0.97510870000000005</v>
      </c>
      <c r="Q742">
        <v>0.19886760000000001</v>
      </c>
      <c r="R742">
        <v>9.8056169999999998E-2</v>
      </c>
      <c r="S742">
        <v>3.0518489999999998</v>
      </c>
      <c r="T742">
        <v>0.1482166</v>
      </c>
      <c r="U742">
        <v>-5.654907E-2</v>
      </c>
      <c r="V742">
        <v>-9.5478599999999997E-2</v>
      </c>
      <c r="W742">
        <v>0.21019570000000001</v>
      </c>
      <c r="X742">
        <v>0.97298589999999996</v>
      </c>
      <c r="Y742">
        <v>2.1210079999999999E-2</v>
      </c>
      <c r="Z742">
        <v>5.5397650000000003E-4</v>
      </c>
      <c r="AA742">
        <v>0.99977490000000002</v>
      </c>
      <c r="AB742">
        <v>32</v>
      </c>
      <c r="AC742">
        <v>174.0292</v>
      </c>
      <c r="AD742">
        <v>8.4600810000000006</v>
      </c>
      <c r="AE742">
        <v>-3.2283999999999602</v>
      </c>
      <c r="AF742">
        <v>3.6909808163806201</v>
      </c>
      <c r="AG742">
        <v>8.4600810000000006</v>
      </c>
      <c r="AH742">
        <v>173.60968118133701</v>
      </c>
      <c r="AI742">
        <v>87.210786057467104</v>
      </c>
      <c r="AJ742">
        <v>88.782062337686696</v>
      </c>
      <c r="AK742">
        <v>173.85487542717601</v>
      </c>
      <c r="AL742">
        <v>77.866178727402101</v>
      </c>
      <c r="AM742">
        <v>95.604461795517906</v>
      </c>
      <c r="AN742">
        <v>0.999999978477629</v>
      </c>
    </row>
    <row r="743" spans="1:40" x14ac:dyDescent="0.25">
      <c r="A743" t="str">
        <f>"20190304155029431"</f>
        <v>20190304155029431</v>
      </c>
      <c r="B743" t="str">
        <f>"1551685829427376"</f>
        <v>1551685829427376</v>
      </c>
      <c r="C743" t="s">
        <v>40</v>
      </c>
      <c r="D743">
        <v>5.1169000000000002</v>
      </c>
      <c r="E743">
        <v>0.5031407</v>
      </c>
      <c r="F743" t="s">
        <v>43</v>
      </c>
      <c r="G743">
        <v>-168.84350000000001</v>
      </c>
      <c r="H743">
        <v>9.9232899999999997</v>
      </c>
      <c r="I743">
        <v>364.43680000000001</v>
      </c>
      <c r="J743">
        <v>-342.61099999999999</v>
      </c>
      <c r="K743">
        <v>1.110395</v>
      </c>
      <c r="L743">
        <v>367.3802</v>
      </c>
      <c r="M743">
        <v>0.99992800000000004</v>
      </c>
      <c r="N743">
        <v>-1.1659310000000001E-2</v>
      </c>
      <c r="O743">
        <v>2.840722E-3</v>
      </c>
      <c r="P743">
        <v>0.97509959999999996</v>
      </c>
      <c r="Q743">
        <v>0.1987006</v>
      </c>
      <c r="R743">
        <v>9.8482700000000006E-2</v>
      </c>
      <c r="S743">
        <v>3.0502319999999998</v>
      </c>
      <c r="T743">
        <v>0.1544662</v>
      </c>
      <c r="U743">
        <v>-5.1574710000000003E-2</v>
      </c>
      <c r="V743">
        <v>-9.5775750000000007E-2</v>
      </c>
      <c r="W743">
        <v>0.21003069999999999</v>
      </c>
      <c r="X743">
        <v>0.97299239999999998</v>
      </c>
      <c r="Y743">
        <v>1.9721530000000001E-2</v>
      </c>
      <c r="Z743">
        <v>5.6081129999999905E-4</v>
      </c>
      <c r="AA743">
        <v>0.99980530000000001</v>
      </c>
      <c r="AB743">
        <v>32</v>
      </c>
      <c r="AC743">
        <v>173.76749999999899</v>
      </c>
      <c r="AD743">
        <v>8.8128949999999993</v>
      </c>
      <c r="AE743">
        <v>-2.9433999999999898</v>
      </c>
      <c r="AF743">
        <v>3.4282313607764099</v>
      </c>
      <c r="AG743">
        <v>8.8128949999999993</v>
      </c>
      <c r="AH743">
        <v>173.31277435060699</v>
      </c>
      <c r="AI743">
        <v>87.089604870415002</v>
      </c>
      <c r="AJ743">
        <v>88.866802654344994</v>
      </c>
      <c r="AK743">
        <v>173.57055522653701</v>
      </c>
      <c r="AL743">
        <v>77.875849264826996</v>
      </c>
      <c r="AM743">
        <v>95.621755213076398</v>
      </c>
      <c r="AN743">
        <v>1.0000000498441499</v>
      </c>
    </row>
    <row r="744" spans="1:40" x14ac:dyDescent="0.25">
      <c r="A744" t="str">
        <f>"20190304155029443"</f>
        <v>20190304155029443</v>
      </c>
      <c r="B744" t="str">
        <f>"1551685829437643"</f>
        <v>1551685829437643</v>
      </c>
      <c r="C744" t="s">
        <v>40</v>
      </c>
      <c r="D744">
        <v>5.1381030000000001</v>
      </c>
      <c r="E744">
        <v>0.50514579999999998</v>
      </c>
      <c r="F744" t="s">
        <v>42</v>
      </c>
      <c r="G744">
        <v>-279.63679999999999</v>
      </c>
      <c r="H744">
        <v>-0.05</v>
      </c>
      <c r="I744">
        <v>372.83499999999998</v>
      </c>
      <c r="J744">
        <v>-342.42660000000001</v>
      </c>
      <c r="K744">
        <v>1.1103959999999999</v>
      </c>
      <c r="L744">
        <v>367.38080000000002</v>
      </c>
      <c r="M744">
        <v>0.99992780000000003</v>
      </c>
      <c r="N744">
        <v>-1.166059E-2</v>
      </c>
      <c r="O744">
        <v>2.9339940000000001E-3</v>
      </c>
      <c r="P744">
        <v>0.97509290000000004</v>
      </c>
      <c r="Q744">
        <v>0.19859489999999999</v>
      </c>
      <c r="R744">
        <v>9.8762530000000001E-2</v>
      </c>
      <c r="S744">
        <v>3.0613100000000002</v>
      </c>
      <c r="T744">
        <v>-5.6409359999999999E-2</v>
      </c>
      <c r="U744">
        <v>0.26516719999999999</v>
      </c>
      <c r="V744">
        <v>-9.5964919999999995E-2</v>
      </c>
      <c r="W744">
        <v>0.2099258</v>
      </c>
      <c r="X744">
        <v>0.97299639999999998</v>
      </c>
      <c r="Y744">
        <v>-8.3349210000000007E-2</v>
      </c>
      <c r="Z744">
        <v>1.2335549999999999E-3</v>
      </c>
      <c r="AA744">
        <v>0.99651959999999995</v>
      </c>
      <c r="AB744">
        <v>32</v>
      </c>
      <c r="AC744">
        <v>62.7898</v>
      </c>
      <c r="AD744">
        <v>-1.160396</v>
      </c>
      <c r="AE744">
        <v>5.4541999999999504</v>
      </c>
      <c r="AF744">
        <v>-5.2681533353952696</v>
      </c>
      <c r="AG744">
        <v>-1.160396</v>
      </c>
      <c r="AH744">
        <v>62.7842509954314</v>
      </c>
      <c r="AI744">
        <v>91.0551289279542</v>
      </c>
      <c r="AJ744">
        <v>94.796386518652</v>
      </c>
      <c r="AK744">
        <v>63.015570548074699</v>
      </c>
      <c r="AL744">
        <v>77.881996653963299</v>
      </c>
      <c r="AM744">
        <v>95.632764591802797</v>
      </c>
      <c r="AN744">
        <v>1.0000000508946001</v>
      </c>
    </row>
    <row r="745" spans="1:40" x14ac:dyDescent="0.25">
      <c r="A745" t="str">
        <f>"20190304155029454"</f>
        <v>20190304155029454</v>
      </c>
      <c r="B745" t="str">
        <f>"1551685829447403"</f>
        <v>1551685829447403</v>
      </c>
      <c r="C745" t="s">
        <v>40</v>
      </c>
      <c r="D745">
        <v>5.1338800000000004</v>
      </c>
      <c r="E745">
        <v>0.50399269999999996</v>
      </c>
      <c r="F745" t="s">
        <v>41</v>
      </c>
      <c r="G745">
        <v>-272.57909999999998</v>
      </c>
      <c r="H745" s="1">
        <v>-4.0143769999999996E-6</v>
      </c>
      <c r="I745">
        <v>373.08920000000001</v>
      </c>
      <c r="J745">
        <v>-342.2765</v>
      </c>
      <c r="K745">
        <v>1.1103959999999999</v>
      </c>
      <c r="L745">
        <v>367.38130000000001</v>
      </c>
      <c r="M745">
        <v>0.99992760000000003</v>
      </c>
      <c r="N745">
        <v>-1.1661619999999999E-2</v>
      </c>
      <c r="O745">
        <v>3.010577E-3</v>
      </c>
      <c r="P745">
        <v>0.97502169999999999</v>
      </c>
      <c r="Q745">
        <v>0.19878219999999999</v>
      </c>
      <c r="R745">
        <v>9.9088640000000006E-2</v>
      </c>
      <c r="S745">
        <v>3.0612180000000002</v>
      </c>
      <c r="T745">
        <v>-4.8665640000000003E-2</v>
      </c>
      <c r="U745">
        <v>0.25018309999999999</v>
      </c>
      <c r="V745">
        <v>-9.6216129999999997E-2</v>
      </c>
      <c r="W745">
        <v>0.21011369999999999</v>
      </c>
      <c r="X745">
        <v>0.97293099999999999</v>
      </c>
      <c r="Y745">
        <v>-7.8436850000000002E-2</v>
      </c>
      <c r="Z745">
        <v>1.06785E-3</v>
      </c>
      <c r="AA745">
        <v>0.99691850000000004</v>
      </c>
      <c r="AB745">
        <v>32</v>
      </c>
      <c r="AC745">
        <v>69.697400000000002</v>
      </c>
      <c r="AD745">
        <v>-1.1104000143770001</v>
      </c>
      <c r="AE745">
        <v>5.7078999999999898</v>
      </c>
      <c r="AF745">
        <v>-5.4966446351023697</v>
      </c>
      <c r="AG745">
        <v>-1.1104000143770001</v>
      </c>
      <c r="AH745">
        <v>69.696696785745999</v>
      </c>
      <c r="AI745">
        <v>90.909927874369799</v>
      </c>
      <c r="AJ745">
        <v>94.509310260213098</v>
      </c>
      <c r="AK745">
        <v>69.9219252686934</v>
      </c>
      <c r="AL745">
        <v>77.870984818415593</v>
      </c>
      <c r="AM745">
        <v>95.647791603887896</v>
      </c>
      <c r="AN745">
        <v>1.00000002068043</v>
      </c>
    </row>
    <row r="746" spans="1:40" x14ac:dyDescent="0.25">
      <c r="A746" t="str">
        <f>"20190304155029466"</f>
        <v>20190304155029466</v>
      </c>
      <c r="B746" t="str">
        <f>"1551685829457163"</f>
        <v>1551685829457163</v>
      </c>
      <c r="C746" t="s">
        <v>40</v>
      </c>
      <c r="D746">
        <v>5.1043770000000004</v>
      </c>
      <c r="E746">
        <v>0.50469019999999998</v>
      </c>
      <c r="F746" t="s">
        <v>44</v>
      </c>
      <c r="G746">
        <v>-179.97890000000001</v>
      </c>
      <c r="H746">
        <v>0.14139669999999999</v>
      </c>
      <c r="I746">
        <v>381.22269999999997</v>
      </c>
      <c r="J746">
        <v>-342.08530000000002</v>
      </c>
      <c r="K746">
        <v>1.110393</v>
      </c>
      <c r="L746">
        <v>367.38200000000001</v>
      </c>
      <c r="M746">
        <v>0.99992720000000002</v>
      </c>
      <c r="N746">
        <v>-1.166294E-2</v>
      </c>
      <c r="O746">
        <v>3.1080169999999998E-3</v>
      </c>
      <c r="P746">
        <v>0.97500010000000004</v>
      </c>
      <c r="Q746">
        <v>0.19876199999999999</v>
      </c>
      <c r="R746">
        <v>9.9341360000000004E-2</v>
      </c>
      <c r="S746">
        <v>3.054138</v>
      </c>
      <c r="T746">
        <v>-1.8232350000000001E-2</v>
      </c>
      <c r="U746">
        <v>0.26046750000000002</v>
      </c>
      <c r="V746">
        <v>-9.6374280000000007E-2</v>
      </c>
      <c r="W746">
        <v>0.21009410000000001</v>
      </c>
      <c r="X746">
        <v>0.9729196</v>
      </c>
      <c r="Y746">
        <v>-8.1873360000000006E-2</v>
      </c>
      <c r="Z746">
        <v>7.399377E-4</v>
      </c>
      <c r="AA746">
        <v>0.99664249999999999</v>
      </c>
      <c r="AB746">
        <v>32</v>
      </c>
      <c r="AC746">
        <v>162.10640000000001</v>
      </c>
      <c r="AD746">
        <v>-0.96899630000000003</v>
      </c>
      <c r="AE746">
        <v>13.8407</v>
      </c>
      <c r="AF746">
        <v>-13.336296378006001</v>
      </c>
      <c r="AG746">
        <v>-0.96899630000000003</v>
      </c>
      <c r="AH746">
        <v>162.14288540859499</v>
      </c>
      <c r="AI746">
        <v>90.341253913763495</v>
      </c>
      <c r="AJ746">
        <v>94.702009293854701</v>
      </c>
      <c r="AK746">
        <v>162.69330362229499</v>
      </c>
      <c r="AL746">
        <v>77.872133696872993</v>
      </c>
      <c r="AM746">
        <v>95.657080543159594</v>
      </c>
      <c r="AN746">
        <v>1.00000004038224</v>
      </c>
    </row>
    <row r="747" spans="1:40" x14ac:dyDescent="0.25">
      <c r="A747" t="str">
        <f>"20190304155029480"</f>
        <v>20190304155029480</v>
      </c>
      <c r="B747" t="str">
        <f>"1551685829476684"</f>
        <v>1551685829476684</v>
      </c>
      <c r="C747" t="s">
        <v>40</v>
      </c>
      <c r="D747">
        <v>5.1686529999999999</v>
      </c>
      <c r="E747">
        <v>0.50654350000000004</v>
      </c>
      <c r="F747" t="s">
        <v>50</v>
      </c>
      <c r="G747">
        <v>-187.6662</v>
      </c>
      <c r="H747">
        <v>7.9987660000000002E-2</v>
      </c>
      <c r="I747">
        <v>380.2885</v>
      </c>
      <c r="J747">
        <v>-341.90140000000002</v>
      </c>
      <c r="K747">
        <v>1.1103909999999999</v>
      </c>
      <c r="L747">
        <v>367.3827</v>
      </c>
      <c r="M747">
        <v>0.99992689999999995</v>
      </c>
      <c r="N747">
        <v>-1.166419E-2</v>
      </c>
      <c r="O747">
        <v>3.2012310000000001E-3</v>
      </c>
      <c r="P747">
        <v>0.9749622</v>
      </c>
      <c r="Q747">
        <v>0.19885149999999999</v>
      </c>
      <c r="R747">
        <v>9.9533259999999998E-2</v>
      </c>
      <c r="S747">
        <v>3.0550229999999998</v>
      </c>
      <c r="T747">
        <v>-2.0385500000000001E-2</v>
      </c>
      <c r="U747">
        <v>0.25534059999999997</v>
      </c>
      <c r="V747">
        <v>-9.6475340000000007E-2</v>
      </c>
      <c r="W747">
        <v>0.21018500000000001</v>
      </c>
      <c r="X747">
        <v>0.97288989999999997</v>
      </c>
      <c r="Y747">
        <v>-8.0094540000000006E-2</v>
      </c>
      <c r="Z747">
        <v>7.5067539999999896E-4</v>
      </c>
      <c r="AA747">
        <v>0.99678699999999998</v>
      </c>
      <c r="AB747">
        <v>32</v>
      </c>
      <c r="AC747">
        <v>154.23519999999999</v>
      </c>
      <c r="AD747">
        <v>-1.0304033399999999</v>
      </c>
      <c r="AE747">
        <v>12.905799999999999</v>
      </c>
      <c r="AF747">
        <v>-12.4114076981563</v>
      </c>
      <c r="AG747">
        <v>-1.0304033399999999</v>
      </c>
      <c r="AH747">
        <v>154.268889380552</v>
      </c>
      <c r="AI747">
        <v>90.381455710836093</v>
      </c>
      <c r="AJ747">
        <v>94.599714963596199</v>
      </c>
      <c r="AK747">
        <v>154.770782135395</v>
      </c>
      <c r="AL747">
        <v>77.866805961028703</v>
      </c>
      <c r="AM747">
        <v>95.663145886401495</v>
      </c>
      <c r="AN747">
        <v>0.99999999148756202</v>
      </c>
    </row>
    <row r="748" spans="1:40" x14ac:dyDescent="0.25">
      <c r="A748" t="str">
        <f>"20190304155029495"</f>
        <v>20190304155029495</v>
      </c>
      <c r="B748" t="str">
        <f>"1551685829487419"</f>
        <v>1551685829487419</v>
      </c>
      <c r="C748" t="s">
        <v>40</v>
      </c>
      <c r="D748">
        <v>5.4001839999999897</v>
      </c>
      <c r="E748">
        <v>0.50771290000000002</v>
      </c>
      <c r="F748" t="s">
        <v>44</v>
      </c>
      <c r="G748">
        <v>-180.11600000000001</v>
      </c>
      <c r="H748">
        <v>0.20726349999999999</v>
      </c>
      <c r="I748">
        <v>380.17410000000001</v>
      </c>
      <c r="J748">
        <v>-341.69819999999999</v>
      </c>
      <c r="K748">
        <v>1.1103909999999999</v>
      </c>
      <c r="L748">
        <v>367.38339999999999</v>
      </c>
      <c r="M748">
        <v>0.9999266</v>
      </c>
      <c r="N748">
        <v>-1.166555E-2</v>
      </c>
      <c r="O748">
        <v>3.3040399999999998E-3</v>
      </c>
      <c r="P748">
        <v>0.97491439999999996</v>
      </c>
      <c r="Q748">
        <v>0.1988712</v>
      </c>
      <c r="R748">
        <v>9.9962780000000001E-2</v>
      </c>
      <c r="S748">
        <v>3.055847</v>
      </c>
      <c r="T748">
        <v>-1.7056109999999999E-2</v>
      </c>
      <c r="U748">
        <v>0.24160770000000001</v>
      </c>
      <c r="V748">
        <v>-9.6804749999999995E-2</v>
      </c>
      <c r="W748">
        <v>0.210205</v>
      </c>
      <c r="X748">
        <v>0.97285290000000002</v>
      </c>
      <c r="Y748">
        <v>-7.5520110000000001E-2</v>
      </c>
      <c r="Z748">
        <v>6.7170449999999905E-4</v>
      </c>
      <c r="AA748">
        <v>0.99714400000000003</v>
      </c>
      <c r="AB748">
        <v>32</v>
      </c>
      <c r="AC748">
        <v>161.5822</v>
      </c>
      <c r="AD748">
        <v>-0.90312749999999997</v>
      </c>
      <c r="AE748">
        <v>12.790699999999999</v>
      </c>
      <c r="AF748">
        <v>-12.256339343886101</v>
      </c>
      <c r="AG748">
        <v>-0.90312749999999997</v>
      </c>
      <c r="AH748">
        <v>161.618564238819</v>
      </c>
      <c r="AI748">
        <v>90.319249875062397</v>
      </c>
      <c r="AJ748">
        <v>94.336723148024603</v>
      </c>
      <c r="AK748">
        <v>162.08514367458599</v>
      </c>
      <c r="AL748">
        <v>77.865634375706705</v>
      </c>
      <c r="AM748">
        <v>95.682570769616305</v>
      </c>
      <c r="AN748">
        <v>1.0000000333429799</v>
      </c>
    </row>
    <row r="749" spans="1:40" x14ac:dyDescent="0.25">
      <c r="A749" t="str">
        <f>"20190304155029508"</f>
        <v>20190304155029508</v>
      </c>
      <c r="B749" t="str">
        <f>"1551685829497179"</f>
        <v>1551685829497179</v>
      </c>
      <c r="C749" t="s">
        <v>40</v>
      </c>
      <c r="D749">
        <v>5.3392759999999999</v>
      </c>
      <c r="E749">
        <v>0.50840569999999996</v>
      </c>
      <c r="F749" t="s">
        <v>43</v>
      </c>
      <c r="G749">
        <v>-158.19499999999999</v>
      </c>
      <c r="H749">
        <v>0.32099529999999998</v>
      </c>
      <c r="I749">
        <v>381.38749999999999</v>
      </c>
      <c r="J749">
        <v>-341.50110000000001</v>
      </c>
      <c r="K749">
        <v>1.110398</v>
      </c>
      <c r="L749">
        <v>367.38420000000002</v>
      </c>
      <c r="M749">
        <v>0.99992610000000004</v>
      </c>
      <c r="N749">
        <v>-1.1666859999999999E-2</v>
      </c>
      <c r="O749">
        <v>3.4043440000000001E-3</v>
      </c>
      <c r="P749">
        <v>0.97489510000000001</v>
      </c>
      <c r="Q749">
        <v>0.19873940000000001</v>
      </c>
      <c r="R749">
        <v>0.10041079999999999</v>
      </c>
      <c r="S749">
        <v>3.0559690000000002</v>
      </c>
      <c r="T749">
        <v>-1.314473E-2</v>
      </c>
      <c r="U749">
        <v>0.23321529999999999</v>
      </c>
      <c r="V749">
        <v>-9.7154969999999993E-2</v>
      </c>
      <c r="W749">
        <v>0.2100745</v>
      </c>
      <c r="X749">
        <v>0.97284619999999999</v>
      </c>
      <c r="Y749">
        <v>-7.2695869999999996E-2</v>
      </c>
      <c r="Z749">
        <v>6.0586240000000001E-4</v>
      </c>
      <c r="AA749">
        <v>0.99735399999999996</v>
      </c>
      <c r="AB749">
        <v>32</v>
      </c>
      <c r="AC749">
        <v>183.30609999999999</v>
      </c>
      <c r="AD749">
        <v>-0.78940269999999901</v>
      </c>
      <c r="AE749">
        <v>14.0032999999999</v>
      </c>
      <c r="AF749">
        <v>-13.3788926367563</v>
      </c>
      <c r="AG749">
        <v>-0.78940269999999901</v>
      </c>
      <c r="AH749">
        <v>183.34933231712901</v>
      </c>
      <c r="AI749">
        <v>90.246028884235997</v>
      </c>
      <c r="AJ749">
        <v>94.173442511848606</v>
      </c>
      <c r="AK749">
        <v>183.83850408971901</v>
      </c>
      <c r="AL749">
        <v>77.8732825237513</v>
      </c>
      <c r="AM749">
        <v>95.703032902052399</v>
      </c>
      <c r="AN749">
        <v>1.0000000563001901</v>
      </c>
    </row>
    <row r="750" spans="1:40" x14ac:dyDescent="0.25">
      <c r="A750" t="str">
        <f>"20190304155029519"</f>
        <v>20190304155029519</v>
      </c>
      <c r="B750" t="str">
        <f>"1551685829517676"</f>
        <v>1551685829517676</v>
      </c>
      <c r="C750" t="s">
        <v>40</v>
      </c>
      <c r="D750">
        <v>5.2381229999999999</v>
      </c>
      <c r="E750">
        <v>0.5095324</v>
      </c>
      <c r="F750" t="s">
        <v>43</v>
      </c>
      <c r="G750">
        <v>-158.19499999999999</v>
      </c>
      <c r="H750">
        <v>0.49075980000000002</v>
      </c>
      <c r="I750">
        <v>381.13240000000002</v>
      </c>
      <c r="J750">
        <v>-341.33550000000002</v>
      </c>
      <c r="K750">
        <v>1.110398</v>
      </c>
      <c r="L750">
        <v>367.38479999999998</v>
      </c>
      <c r="M750">
        <v>0.99992579999999998</v>
      </c>
      <c r="N750">
        <v>-1.166795E-2</v>
      </c>
      <c r="O750">
        <v>3.4886740000000002E-3</v>
      </c>
      <c r="P750">
        <v>0.97481949999999995</v>
      </c>
      <c r="Q750">
        <v>0.1989938</v>
      </c>
      <c r="R750">
        <v>0.1006398</v>
      </c>
      <c r="S750">
        <v>3.0557859999999999</v>
      </c>
      <c r="T750">
        <v>-1.0328169999999999E-2</v>
      </c>
      <c r="U750">
        <v>0.229187</v>
      </c>
      <c r="V750">
        <v>-9.7301689999999996E-2</v>
      </c>
      <c r="W750">
        <v>0.21032909999999999</v>
      </c>
      <c r="X750">
        <v>0.97277650000000004</v>
      </c>
      <c r="Y750">
        <v>-7.1309650000000002E-2</v>
      </c>
      <c r="Z750">
        <v>5.6583869999999995E-4</v>
      </c>
      <c r="AA750">
        <v>0.99745399999999995</v>
      </c>
      <c r="AB750">
        <v>32</v>
      </c>
      <c r="AC750">
        <v>183.1405</v>
      </c>
      <c r="AD750">
        <v>-0.61963819999999903</v>
      </c>
      <c r="AE750">
        <v>13.7476</v>
      </c>
      <c r="AF750">
        <v>-13.1084060888065</v>
      </c>
      <c r="AG750">
        <v>-0.61963819999999903</v>
      </c>
      <c r="AH750">
        <v>183.185264270723</v>
      </c>
      <c r="AI750">
        <v>90.193312328158498</v>
      </c>
      <c r="AJ750">
        <v>94.093005654973496</v>
      </c>
      <c r="AK750">
        <v>183.65471762964</v>
      </c>
      <c r="AL750">
        <v>77.858361383345496</v>
      </c>
      <c r="AM750">
        <v>95.711995052196698</v>
      </c>
      <c r="AN750">
        <v>1.00000003406795</v>
      </c>
    </row>
    <row r="751" spans="1:40" x14ac:dyDescent="0.25">
      <c r="A751" t="str">
        <f>"20190304155029531"</f>
        <v>20190304155029531</v>
      </c>
      <c r="B751" t="str">
        <f>"1551685829527435"</f>
        <v>1551685829527435</v>
      </c>
      <c r="C751" t="s">
        <v>40</v>
      </c>
      <c r="D751">
        <v>5.4522199999999996</v>
      </c>
      <c r="E751">
        <v>0.5103799</v>
      </c>
      <c r="F751" t="s">
        <v>43</v>
      </c>
      <c r="G751">
        <v>-158.19499999999999</v>
      </c>
      <c r="H751">
        <v>0.37924960000000002</v>
      </c>
      <c r="I751">
        <v>380.6336</v>
      </c>
      <c r="J751">
        <v>-341.18699999999899</v>
      </c>
      <c r="K751">
        <v>1.110401</v>
      </c>
      <c r="L751">
        <v>367.3854</v>
      </c>
      <c r="M751">
        <v>0.99992559999999997</v>
      </c>
      <c r="N751">
        <v>-1.1668970000000001E-2</v>
      </c>
      <c r="O751">
        <v>3.5640649999999999E-3</v>
      </c>
      <c r="P751">
        <v>0.97483039999999999</v>
      </c>
      <c r="Q751">
        <v>0.1989679</v>
      </c>
      <c r="R751">
        <v>0.1005858</v>
      </c>
      <c r="S751">
        <v>3.057159</v>
      </c>
      <c r="T751">
        <v>-1.220357E-2</v>
      </c>
      <c r="U751">
        <v>0.22116089999999999</v>
      </c>
      <c r="V751">
        <v>-9.7174650000000001E-2</v>
      </c>
      <c r="W751">
        <v>0.21030479999999999</v>
      </c>
      <c r="X751">
        <v>0.97279439999999995</v>
      </c>
      <c r="Y751">
        <v>-6.8595890000000007E-2</v>
      </c>
      <c r="Z751">
        <v>5.6482530000000002E-4</v>
      </c>
      <c r="AA751">
        <v>0.99764439999999999</v>
      </c>
      <c r="AB751">
        <v>32</v>
      </c>
      <c r="AC751">
        <v>182.99199999999999</v>
      </c>
      <c r="AD751">
        <v>-0.73115140000000001</v>
      </c>
      <c r="AE751">
        <v>13.248199999999899</v>
      </c>
      <c r="AF751">
        <v>-12.595676046045501</v>
      </c>
      <c r="AG751">
        <v>-0.73115140000000001</v>
      </c>
      <c r="AH751">
        <v>183.035151467996</v>
      </c>
      <c r="AI751">
        <v>90.2283322485479</v>
      </c>
      <c r="AJ751">
        <v>93.936637886185196</v>
      </c>
      <c r="AK751">
        <v>183.469486046969</v>
      </c>
      <c r="AL751">
        <v>77.859784895799606</v>
      </c>
      <c r="AM751">
        <v>95.704482244668398</v>
      </c>
      <c r="AN751">
        <v>0.99999998308851101</v>
      </c>
    </row>
    <row r="752" spans="1:40" x14ac:dyDescent="0.25">
      <c r="A752" t="str">
        <f>"20190304155029541"</f>
        <v>20190304155029541</v>
      </c>
      <c r="B752" t="str">
        <f>"1551685829537704"</f>
        <v>1551685829537704</v>
      </c>
      <c r="C752" t="s">
        <v>40</v>
      </c>
      <c r="D752">
        <v>5.67814</v>
      </c>
      <c r="E752">
        <v>0.51168349999999996</v>
      </c>
      <c r="F752" t="s">
        <v>43</v>
      </c>
      <c r="G752">
        <v>-158.19499999999999</v>
      </c>
      <c r="H752">
        <v>0.50398829999999994</v>
      </c>
      <c r="I752">
        <v>380.22980000000001</v>
      </c>
      <c r="J752">
        <v>-341.03190000000001</v>
      </c>
      <c r="K752">
        <v>1.110403</v>
      </c>
      <c r="L752">
        <v>367.38600000000002</v>
      </c>
      <c r="M752">
        <v>0.99992539999999996</v>
      </c>
      <c r="N752">
        <v>-1.1670130000000001E-2</v>
      </c>
      <c r="O752">
        <v>3.642438E-3</v>
      </c>
      <c r="P752">
        <v>0.97487380000000001</v>
      </c>
      <c r="Q752">
        <v>0.1987565</v>
      </c>
      <c r="R752">
        <v>0.1005846</v>
      </c>
      <c r="S752">
        <v>3.0573730000000001</v>
      </c>
      <c r="T752">
        <v>-1.013029E-2</v>
      </c>
      <c r="U752">
        <v>0.2145996</v>
      </c>
      <c r="V752">
        <v>-9.7096580000000002E-2</v>
      </c>
      <c r="W752">
        <v>0.21009459999999999</v>
      </c>
      <c r="X752">
        <v>0.97284760000000003</v>
      </c>
      <c r="Y752">
        <v>-6.6382860000000002E-2</v>
      </c>
      <c r="Z752">
        <v>5.2808819999999998E-4</v>
      </c>
      <c r="AA752">
        <v>0.99779410000000002</v>
      </c>
      <c r="AB752">
        <v>32</v>
      </c>
      <c r="AC752">
        <v>182.83690000000001</v>
      </c>
      <c r="AD752">
        <v>-0.60641469999999997</v>
      </c>
      <c r="AE752">
        <v>12.8438</v>
      </c>
      <c r="AF752">
        <v>-12.1775641464295</v>
      </c>
      <c r="AG752">
        <v>-0.60641469999999997</v>
      </c>
      <c r="AH752">
        <v>182.88047098038899</v>
      </c>
      <c r="AI752">
        <v>90.189567007785499</v>
      </c>
      <c r="AJ752">
        <v>93.809562329109895</v>
      </c>
      <c r="AK752">
        <v>183.28646287529699</v>
      </c>
      <c r="AL752">
        <v>77.872103526106599</v>
      </c>
      <c r="AM752">
        <v>95.699619812974106</v>
      </c>
      <c r="AN752">
        <v>0.99999996981130701</v>
      </c>
    </row>
    <row r="753" spans="1:40" x14ac:dyDescent="0.25">
      <c r="A753" t="str">
        <f>"20190304155029566"</f>
        <v>20190304155029566</v>
      </c>
      <c r="B753" t="str">
        <f>"1551685829557221"</f>
        <v>1551685829557221</v>
      </c>
      <c r="C753" t="s">
        <v>40</v>
      </c>
      <c r="D753">
        <v>5.7434570000000003</v>
      </c>
      <c r="E753">
        <v>0.51303739999999998</v>
      </c>
      <c r="F753" t="s">
        <v>43</v>
      </c>
      <c r="G753">
        <v>-158.19499999999999</v>
      </c>
      <c r="H753">
        <v>0.4877977</v>
      </c>
      <c r="I753">
        <v>379.56920000000002</v>
      </c>
      <c r="J753">
        <v>-340.69119999999998</v>
      </c>
      <c r="K753">
        <v>1.110401</v>
      </c>
      <c r="L753">
        <v>367.38749999999999</v>
      </c>
      <c r="M753">
        <v>0.99992479999999995</v>
      </c>
      <c r="N753">
        <v>-1.167254E-2</v>
      </c>
      <c r="O753">
        <v>3.815274E-3</v>
      </c>
      <c r="P753">
        <v>0.97493759999999996</v>
      </c>
      <c r="Q753">
        <v>0.19845309999999999</v>
      </c>
      <c r="R753">
        <v>0.1005648</v>
      </c>
      <c r="S753">
        <v>3.0584410000000002</v>
      </c>
      <c r="T753">
        <v>-1.041329E-2</v>
      </c>
      <c r="U753">
        <v>0.20379639999999999</v>
      </c>
      <c r="V753">
        <v>-9.690812E-2</v>
      </c>
      <c r="W753">
        <v>0.2097948</v>
      </c>
      <c r="X753">
        <v>0.97293110000000005</v>
      </c>
      <c r="Y753">
        <v>-6.2677579999999997E-2</v>
      </c>
      <c r="Z753">
        <v>5.0432109999999999E-4</v>
      </c>
      <c r="AA753">
        <v>0.99803370000000002</v>
      </c>
      <c r="AB753">
        <v>32</v>
      </c>
      <c r="AC753">
        <v>182.49619999999999</v>
      </c>
      <c r="AD753">
        <v>-0.62260329999999997</v>
      </c>
      <c r="AE753">
        <v>12.181699999999999</v>
      </c>
      <c r="AF753">
        <v>-11.485157942704101</v>
      </c>
      <c r="AG753">
        <v>-0.62260329999999997</v>
      </c>
      <c r="AH753">
        <v>182.53923611130099</v>
      </c>
      <c r="AI753">
        <v>90.195037536652805</v>
      </c>
      <c r="AJ753">
        <v>93.600238435747997</v>
      </c>
      <c r="AK753">
        <v>182.90125534816701</v>
      </c>
      <c r="AL753">
        <v>77.889672522640495</v>
      </c>
      <c r="AM753">
        <v>95.688144726003102</v>
      </c>
      <c r="AN753">
        <v>0.99999998358809195</v>
      </c>
    </row>
    <row r="754" spans="1:40" x14ac:dyDescent="0.25">
      <c r="A754" t="str">
        <f>"20190304155029576"</f>
        <v>20190304155029576</v>
      </c>
      <c r="B754" t="str">
        <f>"1551685829566982"</f>
        <v>1551685829566982</v>
      </c>
      <c r="C754" t="s">
        <v>40</v>
      </c>
      <c r="D754">
        <v>5.1918899999999999</v>
      </c>
      <c r="E754">
        <v>0.51303029999999905</v>
      </c>
      <c r="F754" t="s">
        <v>43</v>
      </c>
      <c r="G754">
        <v>-158.19499999999999</v>
      </c>
      <c r="H754">
        <v>0.59026149999999999</v>
      </c>
      <c r="I754">
        <v>378.88839999999999</v>
      </c>
      <c r="J754">
        <v>-340.529</v>
      </c>
      <c r="K754">
        <v>1.110401</v>
      </c>
      <c r="L754">
        <v>367.38819999999998</v>
      </c>
      <c r="M754">
        <v>0.99992440000000005</v>
      </c>
      <c r="N754">
        <v>-1.167354E-2</v>
      </c>
      <c r="O754">
        <v>3.8975210000000001E-3</v>
      </c>
      <c r="P754">
        <v>0.97498439999999997</v>
      </c>
      <c r="Q754">
        <v>0.19819439999999999</v>
      </c>
      <c r="R754">
        <v>0.1006219</v>
      </c>
      <c r="S754">
        <v>3.059021</v>
      </c>
      <c r="T754">
        <v>-8.7171790000000002E-3</v>
      </c>
      <c r="U754">
        <v>0.19277949999999999</v>
      </c>
      <c r="V754">
        <v>-9.6884349999999994E-2</v>
      </c>
      <c r="W754">
        <v>0.20953740000000001</v>
      </c>
      <c r="X754">
        <v>0.97298899999999999</v>
      </c>
      <c r="Y754">
        <v>-5.900362E-2</v>
      </c>
      <c r="Z754">
        <v>4.630948E-4</v>
      </c>
      <c r="AA754">
        <v>0.99825759999999997</v>
      </c>
      <c r="AB754">
        <v>32</v>
      </c>
      <c r="AC754">
        <v>182.334</v>
      </c>
      <c r="AD754">
        <v>-0.52013949999999998</v>
      </c>
      <c r="AE754">
        <v>11.5002</v>
      </c>
      <c r="AF754">
        <v>-10.789326262501801</v>
      </c>
      <c r="AG754">
        <v>-0.52013949999999998</v>
      </c>
      <c r="AH754">
        <v>182.37596198847299</v>
      </c>
      <c r="AI754">
        <v>90.163122938478907</v>
      </c>
      <c r="AJ754">
        <v>93.385660990911902</v>
      </c>
      <c r="AK754">
        <v>182.69557087548401</v>
      </c>
      <c r="AL754">
        <v>77.904756484788095</v>
      </c>
      <c r="AM754">
        <v>95.686422475650502</v>
      </c>
      <c r="AN754">
        <v>1.00000004669734</v>
      </c>
    </row>
    <row r="755" spans="1:40" x14ac:dyDescent="0.25">
      <c r="A755" t="str">
        <f>"20190304155029588"</f>
        <v>20190304155029588</v>
      </c>
      <c r="B755" t="str">
        <f>"1551685829577719"</f>
        <v>1551685829577719</v>
      </c>
      <c r="C755" t="s">
        <v>40</v>
      </c>
      <c r="D755">
        <v>5.4547080000000001</v>
      </c>
      <c r="E755">
        <v>0.51346829999999999</v>
      </c>
      <c r="F755" t="s">
        <v>43</v>
      </c>
      <c r="G755">
        <v>-158.19499999999999</v>
      </c>
      <c r="H755">
        <v>0.47850039999999999</v>
      </c>
      <c r="I755">
        <v>378.88170000000002</v>
      </c>
      <c r="J755">
        <v>-340.3664</v>
      </c>
      <c r="K755">
        <v>1.110401</v>
      </c>
      <c r="L755">
        <v>367.38889999999998</v>
      </c>
      <c r="M755">
        <v>0.99992389999999998</v>
      </c>
      <c r="N755">
        <v>-1.1674510000000001E-2</v>
      </c>
      <c r="O755">
        <v>3.9801250000000002E-3</v>
      </c>
      <c r="P755">
        <v>0.97505920000000001</v>
      </c>
      <c r="Q755">
        <v>0.19787650000000001</v>
      </c>
      <c r="R755">
        <v>0.1005224</v>
      </c>
      <c r="S755">
        <v>3.0592350000000001</v>
      </c>
      <c r="T755">
        <v>-1.0600689999999999E-2</v>
      </c>
      <c r="U755">
        <v>0.1928406</v>
      </c>
      <c r="V755">
        <v>-9.6704079999999998E-2</v>
      </c>
      <c r="W755">
        <v>0.2092213</v>
      </c>
      <c r="X755">
        <v>0.97307489999999996</v>
      </c>
      <c r="Y755">
        <v>-5.8936290000000002E-2</v>
      </c>
      <c r="Z755">
        <v>4.7903909999999999E-4</v>
      </c>
      <c r="AA755">
        <v>0.99826159999999997</v>
      </c>
      <c r="AB755">
        <v>32</v>
      </c>
      <c r="AC755">
        <v>182.17140000000001</v>
      </c>
      <c r="AD755">
        <v>-0.63190059999999904</v>
      </c>
      <c r="AE755">
        <v>11.492800000000001</v>
      </c>
      <c r="AF755">
        <v>-10.767465535077401</v>
      </c>
      <c r="AG755">
        <v>-0.63190059999999904</v>
      </c>
      <c r="AH755">
        <v>182.21351907410701</v>
      </c>
      <c r="AI755">
        <v>90.1983499644262</v>
      </c>
      <c r="AJ755">
        <v>93.381822282889601</v>
      </c>
      <c r="AK755">
        <v>182.53247422249899</v>
      </c>
      <c r="AL755">
        <v>77.923277605112304</v>
      </c>
      <c r="AM755">
        <v>95.675413277886094</v>
      </c>
      <c r="AN755">
        <v>0.99999999623617297</v>
      </c>
    </row>
    <row r="756" spans="1:40" x14ac:dyDescent="0.25">
      <c r="A756" t="str">
        <f>"20190304155029598"</f>
        <v>20190304155029598</v>
      </c>
      <c r="B756" t="str">
        <f>"1551685829587478"</f>
        <v>1551685829587478</v>
      </c>
      <c r="C756" t="s">
        <v>40</v>
      </c>
      <c r="D756">
        <v>5.2315809999999896</v>
      </c>
      <c r="E756">
        <v>0.51354100000000003</v>
      </c>
      <c r="F756" t="s">
        <v>43</v>
      </c>
      <c r="G756">
        <v>-158.19499999999999</v>
      </c>
      <c r="H756">
        <v>0.51398180000000004</v>
      </c>
      <c r="I756">
        <v>378.65230000000003</v>
      </c>
      <c r="J756">
        <v>-340.21699999999998</v>
      </c>
      <c r="K756">
        <v>1.1103959999999999</v>
      </c>
      <c r="L756">
        <v>367.38959999999997</v>
      </c>
      <c r="M756">
        <v>0.99992369999999997</v>
      </c>
      <c r="N756">
        <v>-1.1675359999999999E-2</v>
      </c>
      <c r="O756">
        <v>4.0558159999999899E-3</v>
      </c>
      <c r="P756">
        <v>0.97510580000000002</v>
      </c>
      <c r="Q756">
        <v>0.19756480000000001</v>
      </c>
      <c r="R756">
        <v>0.1006832</v>
      </c>
      <c r="S756">
        <v>3.0592350000000001</v>
      </c>
      <c r="T756">
        <v>-1.00143E-2</v>
      </c>
      <c r="U756">
        <v>0.18914790000000001</v>
      </c>
      <c r="V756">
        <v>-9.6790440000000005E-2</v>
      </c>
      <c r="W756">
        <v>0.20891119999999999</v>
      </c>
      <c r="X756">
        <v>0.97313300000000003</v>
      </c>
      <c r="Y756">
        <v>-5.7660549999999998E-2</v>
      </c>
      <c r="Z756">
        <v>4.6527310000000002E-4</v>
      </c>
      <c r="AA756">
        <v>0.99833609999999995</v>
      </c>
      <c r="AB756">
        <v>32</v>
      </c>
      <c r="AC756">
        <v>182.02199999999999</v>
      </c>
      <c r="AD756">
        <v>-0.59641419999999901</v>
      </c>
      <c r="AE756">
        <v>11.262700000000001</v>
      </c>
      <c r="AF756">
        <v>-10.524196795707301</v>
      </c>
      <c r="AG756">
        <v>-0.59641419999999901</v>
      </c>
      <c r="AH756">
        <v>182.06423802798901</v>
      </c>
      <c r="AI756">
        <v>90.187378623691203</v>
      </c>
      <c r="AJ756">
        <v>93.308292700181894</v>
      </c>
      <c r="AK756">
        <v>182.369134441124</v>
      </c>
      <c r="AL756">
        <v>77.9414472794125</v>
      </c>
      <c r="AM756">
        <v>95.680111552914994</v>
      </c>
      <c r="AN756">
        <v>1.0000000572249099</v>
      </c>
    </row>
    <row r="757" spans="1:40" x14ac:dyDescent="0.25">
      <c r="A757" t="str">
        <f>"20190304155029608"</f>
        <v>20190304155029608</v>
      </c>
      <c r="B757" t="str">
        <f>"1551685829597238"</f>
        <v>1551685829597238</v>
      </c>
      <c r="C757" t="s">
        <v>40</v>
      </c>
      <c r="D757">
        <v>5.799887</v>
      </c>
      <c r="E757">
        <v>0.51447860000000001</v>
      </c>
      <c r="F757" t="s">
        <v>43</v>
      </c>
      <c r="G757">
        <v>-158.19499999999999</v>
      </c>
      <c r="H757">
        <v>0.37990190000000001</v>
      </c>
      <c r="I757">
        <v>378.63499999999999</v>
      </c>
      <c r="J757">
        <v>-340.06990000000002</v>
      </c>
      <c r="K757">
        <v>1.110395</v>
      </c>
      <c r="L757">
        <v>367.39019999999999</v>
      </c>
      <c r="M757">
        <v>0.99992329999999996</v>
      </c>
      <c r="N757">
        <v>-1.1676199999999999E-2</v>
      </c>
      <c r="O757">
        <v>4.1306720000000002E-3</v>
      </c>
      <c r="P757">
        <v>0.97512569999999998</v>
      </c>
      <c r="Q757">
        <v>0.1974291</v>
      </c>
      <c r="R757">
        <v>0.1007562</v>
      </c>
      <c r="S757">
        <v>3.059631</v>
      </c>
      <c r="T757">
        <v>-1.227748E-2</v>
      </c>
      <c r="U757">
        <v>0.1890259</v>
      </c>
      <c r="V757">
        <v>-9.6790950000000001E-2</v>
      </c>
      <c r="W757">
        <v>0.20877689999999999</v>
      </c>
      <c r="X757">
        <v>0.97316170000000002</v>
      </c>
      <c r="Y757">
        <v>-5.7537730000000002E-2</v>
      </c>
      <c r="Z757">
        <v>4.8320840000000003E-4</v>
      </c>
      <c r="AA757">
        <v>0.99834319999999999</v>
      </c>
      <c r="AB757">
        <v>32</v>
      </c>
      <c r="AC757">
        <v>181.8749</v>
      </c>
      <c r="AD757">
        <v>-0.73049310000000001</v>
      </c>
      <c r="AE757">
        <v>11.2447999999999</v>
      </c>
      <c r="AF757">
        <v>-10.493218650367901</v>
      </c>
      <c r="AG757">
        <v>-0.73049310000000001</v>
      </c>
      <c r="AH757">
        <v>181.91687641555799</v>
      </c>
      <c r="AI757">
        <v>90.229690034460404</v>
      </c>
      <c r="AJ757">
        <v>93.301242322693</v>
      </c>
      <c r="AK757">
        <v>182.22072105720201</v>
      </c>
      <c r="AL757">
        <v>77.949314762217597</v>
      </c>
      <c r="AM757">
        <v>95.679974865848294</v>
      </c>
      <c r="AN757">
        <v>0.99999998816120095</v>
      </c>
    </row>
    <row r="758" spans="1:40" x14ac:dyDescent="0.25">
      <c r="A758" t="str">
        <f>"20190304155029621"</f>
        <v>20190304155029621</v>
      </c>
      <c r="B758" t="str">
        <f>"1551685829617735"</f>
        <v>1551685829617735</v>
      </c>
      <c r="C758" t="s">
        <v>40</v>
      </c>
      <c r="D758">
        <v>5.2530769999999896</v>
      </c>
      <c r="E758">
        <v>0.51352779999999998</v>
      </c>
      <c r="F758" t="s">
        <v>43</v>
      </c>
      <c r="G758">
        <v>-158.19499999999999</v>
      </c>
      <c r="H758">
        <v>0.37813659999999999</v>
      </c>
      <c r="I758">
        <v>378.21280000000002</v>
      </c>
      <c r="J758">
        <v>-339.8947</v>
      </c>
      <c r="K758">
        <v>1.1103940000000001</v>
      </c>
      <c r="L758">
        <v>367.39100000000002</v>
      </c>
      <c r="M758">
        <v>0.99992289999999995</v>
      </c>
      <c r="N758">
        <v>-1.1677170000000001E-2</v>
      </c>
      <c r="O758">
        <v>4.2197129999999999E-3</v>
      </c>
      <c r="P758">
        <v>0.97514579999999995</v>
      </c>
      <c r="Q758">
        <v>0.1972477</v>
      </c>
      <c r="R758">
        <v>0.10091700000000001</v>
      </c>
      <c r="S758">
        <v>3.060181</v>
      </c>
      <c r="T758">
        <v>-1.231933E-2</v>
      </c>
      <c r="U758">
        <v>0.18209839999999999</v>
      </c>
      <c r="V758">
        <v>-9.6864370000000005E-2</v>
      </c>
      <c r="W758">
        <v>0.2085969</v>
      </c>
      <c r="X758">
        <v>0.97319299999999997</v>
      </c>
      <c r="Y758">
        <v>-5.5185989999999997E-2</v>
      </c>
      <c r="Z758">
        <v>4.6575400000000003E-4</v>
      </c>
      <c r="AA758">
        <v>0.99847600000000003</v>
      </c>
      <c r="AB758">
        <v>32</v>
      </c>
      <c r="AC758">
        <v>181.69970000000001</v>
      </c>
      <c r="AD758">
        <v>-0.73225739999999995</v>
      </c>
      <c r="AE758">
        <v>10.8218</v>
      </c>
      <c r="AF758">
        <v>-10.054768038102299</v>
      </c>
      <c r="AG758">
        <v>-0.73225739999999995</v>
      </c>
      <c r="AH758">
        <v>181.74080884397699</v>
      </c>
      <c r="AI758">
        <v>90.230498427298798</v>
      </c>
      <c r="AJ758">
        <v>93.166647470448595</v>
      </c>
      <c r="AK758">
        <v>182.020208110151</v>
      </c>
      <c r="AL758">
        <v>77.959860258563893</v>
      </c>
      <c r="AM758">
        <v>95.684073539946496</v>
      </c>
      <c r="AN758">
        <v>0.99999999405705298</v>
      </c>
    </row>
    <row r="759" spans="1:40" x14ac:dyDescent="0.25">
      <c r="A759" t="str">
        <f>"20190304155029634"</f>
        <v>20190304155029634</v>
      </c>
      <c r="B759" t="str">
        <f>"1551685829627494"</f>
        <v>1551685829627494</v>
      </c>
      <c r="C759" t="s">
        <v>40</v>
      </c>
      <c r="D759">
        <v>5.1975550000000004</v>
      </c>
      <c r="E759">
        <v>0.51316700000000004</v>
      </c>
      <c r="F759" t="s">
        <v>43</v>
      </c>
      <c r="G759">
        <v>-158.19499999999999</v>
      </c>
      <c r="H759">
        <v>0.64079379999999997</v>
      </c>
      <c r="I759">
        <v>378.69549999999998</v>
      </c>
      <c r="J759">
        <v>-339.71069999999997</v>
      </c>
      <c r="K759">
        <v>1.1103909999999999</v>
      </c>
      <c r="L759">
        <v>367.39190000000002</v>
      </c>
      <c r="M759">
        <v>0.99992250000000005</v>
      </c>
      <c r="N759">
        <v>-1.16782E-2</v>
      </c>
      <c r="O759">
        <v>4.3134030000000004E-3</v>
      </c>
      <c r="P759">
        <v>0.97512790000000005</v>
      </c>
      <c r="Q759">
        <v>0.19714490000000001</v>
      </c>
      <c r="R759">
        <v>0.1012892</v>
      </c>
      <c r="S759">
        <v>3.0583800000000001</v>
      </c>
      <c r="T759">
        <v>-7.9028610000000006E-3</v>
      </c>
      <c r="U759">
        <v>0.1902771</v>
      </c>
      <c r="V759">
        <v>-9.7145419999999996E-2</v>
      </c>
      <c r="W759">
        <v>0.20849470000000001</v>
      </c>
      <c r="X759">
        <v>0.97318689999999997</v>
      </c>
      <c r="Y759">
        <v>-5.7788100000000002E-2</v>
      </c>
      <c r="Z759">
        <v>4.515543E-4</v>
      </c>
      <c r="AA759">
        <v>0.99832869999999996</v>
      </c>
      <c r="AB759">
        <v>32</v>
      </c>
      <c r="AC759">
        <v>181.51570000000001</v>
      </c>
      <c r="AD759">
        <v>-0.46959719999999999</v>
      </c>
      <c r="AE759">
        <v>11.3035999999999</v>
      </c>
      <c r="AF759">
        <v>-10.5204209263298</v>
      </c>
      <c r="AG759">
        <v>-0.46959719999999999</v>
      </c>
      <c r="AH759">
        <v>181.56156097680201</v>
      </c>
      <c r="AI759">
        <v>90.147943334603596</v>
      </c>
      <c r="AJ759">
        <v>93.316244143789902</v>
      </c>
      <c r="AK759">
        <v>181.866709989295</v>
      </c>
      <c r="AL759">
        <v>77.965847695335</v>
      </c>
      <c r="AM759">
        <v>95.700492796621901</v>
      </c>
      <c r="AN759">
        <v>1.00000000744333</v>
      </c>
    </row>
    <row r="760" spans="1:40" x14ac:dyDescent="0.25">
      <c r="A760" t="str">
        <f>"20190304155029645"</f>
        <v>20190304155029645</v>
      </c>
      <c r="B760" t="str">
        <f>"1551685829637761"</f>
        <v>1551685829637761</v>
      </c>
      <c r="C760" t="s">
        <v>40</v>
      </c>
      <c r="D760">
        <v>5.2133500000000002</v>
      </c>
      <c r="E760">
        <v>0.51286390000000004</v>
      </c>
      <c r="F760" t="s">
        <v>43</v>
      </c>
      <c r="G760">
        <v>-158.19499999999999</v>
      </c>
      <c r="H760">
        <v>0.48663139999999999</v>
      </c>
      <c r="I760">
        <v>378.94369999999998</v>
      </c>
      <c r="J760">
        <v>-339.5498</v>
      </c>
      <c r="K760">
        <v>1.1103860000000001</v>
      </c>
      <c r="L760">
        <v>367.39260000000002</v>
      </c>
      <c r="M760">
        <v>0.99992219999999998</v>
      </c>
      <c r="N760">
        <v>-1.167908E-2</v>
      </c>
      <c r="O760">
        <v>4.3949339999999996E-3</v>
      </c>
      <c r="P760">
        <v>0.97515209999999997</v>
      </c>
      <c r="Q760">
        <v>0.19697770000000001</v>
      </c>
      <c r="R760">
        <v>0.101382</v>
      </c>
      <c r="S760">
        <v>3.0584410000000002</v>
      </c>
      <c r="T760">
        <v>-1.050854E-2</v>
      </c>
      <c r="U760">
        <v>0.19464110000000001</v>
      </c>
      <c r="V760">
        <v>-9.7158220000000003E-2</v>
      </c>
      <c r="W760">
        <v>0.20832870000000001</v>
      </c>
      <c r="X760">
        <v>0.97322120000000001</v>
      </c>
      <c r="Y760">
        <v>-5.9123790000000002E-2</v>
      </c>
      <c r="Z760">
        <v>4.8328649999999999E-4</v>
      </c>
      <c r="AA760">
        <v>0.99825050000000004</v>
      </c>
      <c r="AB760">
        <v>32</v>
      </c>
      <c r="AC760">
        <v>181.35480000000001</v>
      </c>
      <c r="AD760">
        <v>-0.62375459999999905</v>
      </c>
      <c r="AE760">
        <v>11.5510999999999</v>
      </c>
      <c r="AF760">
        <v>-10.7537650363802</v>
      </c>
      <c r="AG760">
        <v>-0.62375459999999905</v>
      </c>
      <c r="AH760">
        <v>181.40168082446701</v>
      </c>
      <c r="AI760">
        <v>90.196667048119807</v>
      </c>
      <c r="AJ760">
        <v>93.392609666918304</v>
      </c>
      <c r="AK760">
        <v>181.72122148554999</v>
      </c>
      <c r="AL760">
        <v>77.975572679181298</v>
      </c>
      <c r="AM760">
        <v>95.701039343141503</v>
      </c>
      <c r="AN760">
        <v>1.00000003554334</v>
      </c>
    </row>
    <row r="761" spans="1:40" x14ac:dyDescent="0.25">
      <c r="A761" t="str">
        <f>"20190304155029655"</f>
        <v>20190304155029655</v>
      </c>
      <c r="B761" t="str">
        <f>"1551685829647521"</f>
        <v>1551685829647521</v>
      </c>
      <c r="C761" t="s">
        <v>40</v>
      </c>
      <c r="D761">
        <v>5.1007280000000002</v>
      </c>
      <c r="E761">
        <v>0.51236990000000004</v>
      </c>
      <c r="F761" t="s">
        <v>43</v>
      </c>
      <c r="G761">
        <v>-158.19499999999999</v>
      </c>
      <c r="H761">
        <v>0.36556339999999998</v>
      </c>
      <c r="I761">
        <v>379.08609999999999</v>
      </c>
      <c r="J761">
        <v>-339.4074</v>
      </c>
      <c r="K761">
        <v>1.110387</v>
      </c>
      <c r="L761">
        <v>367.39339999999999</v>
      </c>
      <c r="M761">
        <v>0.99992190000000003</v>
      </c>
      <c r="N761">
        <v>-1.167988E-2</v>
      </c>
      <c r="O761">
        <v>4.467108E-3</v>
      </c>
      <c r="P761">
        <v>0.97521199999999997</v>
      </c>
      <c r="Q761">
        <v>0.1966473</v>
      </c>
      <c r="R761">
        <v>0.1014485</v>
      </c>
      <c r="S761">
        <v>3.0584720000000001</v>
      </c>
      <c r="T761">
        <v>-1.255965E-2</v>
      </c>
      <c r="U761">
        <v>0.19720460000000001</v>
      </c>
      <c r="V761">
        <v>-9.7154050000000006E-2</v>
      </c>
      <c r="W761">
        <v>0.20799989999999999</v>
      </c>
      <c r="X761">
        <v>0.97329189999999999</v>
      </c>
      <c r="Y761">
        <v>-5.988392E-2</v>
      </c>
      <c r="Z761">
        <v>5.0672870000000004E-4</v>
      </c>
      <c r="AA761">
        <v>0.99820520000000001</v>
      </c>
      <c r="AB761">
        <v>32</v>
      </c>
      <c r="AC761">
        <v>181.2124</v>
      </c>
      <c r="AD761">
        <v>-0.74482360000000003</v>
      </c>
      <c r="AE761">
        <v>11.6927</v>
      </c>
      <c r="AF761">
        <v>-10.882849717609099</v>
      </c>
      <c r="AG761">
        <v>-0.74482360000000003</v>
      </c>
      <c r="AH761">
        <v>181.25977830915099</v>
      </c>
      <c r="AI761">
        <v>90.235012419825694</v>
      </c>
      <c r="AJ761">
        <v>93.435917944492203</v>
      </c>
      <c r="AK761">
        <v>181.58771547892201</v>
      </c>
      <c r="AL761">
        <v>77.994832968681095</v>
      </c>
      <c r="AM761">
        <v>95.700384889130802</v>
      </c>
      <c r="AN761">
        <v>0.99999999521851102</v>
      </c>
    </row>
    <row r="762" spans="1:40" x14ac:dyDescent="0.25">
      <c r="A762" t="str">
        <f>"20190304155029667"</f>
        <v>20190304155029667</v>
      </c>
      <c r="B762" t="str">
        <f>"1551685829657283"</f>
        <v>1551685829657283</v>
      </c>
      <c r="C762" t="s">
        <v>40</v>
      </c>
      <c r="D762">
        <v>5.1025320000000001</v>
      </c>
      <c r="E762">
        <v>0.51223580000000002</v>
      </c>
      <c r="F762" t="s">
        <v>43</v>
      </c>
      <c r="G762">
        <v>-158.19499999999999</v>
      </c>
      <c r="H762">
        <v>0.20362089999999999</v>
      </c>
      <c r="I762">
        <v>379.32569999999998</v>
      </c>
      <c r="J762">
        <v>-339.2371</v>
      </c>
      <c r="K762">
        <v>1.1103809999999901</v>
      </c>
      <c r="L762">
        <v>367.39420000000001</v>
      </c>
      <c r="M762">
        <v>0.99992150000000002</v>
      </c>
      <c r="N762">
        <v>-1.168082E-2</v>
      </c>
      <c r="O762">
        <v>4.5537059999999898E-3</v>
      </c>
      <c r="P762">
        <v>0.97518439999999995</v>
      </c>
      <c r="Q762">
        <v>0.19675780000000001</v>
      </c>
      <c r="R762">
        <v>0.1014979</v>
      </c>
      <c r="S762">
        <v>3.0583800000000001</v>
      </c>
      <c r="T762">
        <v>-1.53023E-2</v>
      </c>
      <c r="U762">
        <v>0.2013855</v>
      </c>
      <c r="V762">
        <v>-9.7119189999999994E-2</v>
      </c>
      <c r="W762">
        <v>0.2081114</v>
      </c>
      <c r="X762">
        <v>0.97327149999999996</v>
      </c>
      <c r="Y762">
        <v>-6.115752E-2</v>
      </c>
      <c r="Z762">
        <v>5.4080199999999995E-4</v>
      </c>
      <c r="AA762">
        <v>0.99812800000000002</v>
      </c>
      <c r="AB762">
        <v>32</v>
      </c>
      <c r="AC762">
        <v>181.0421</v>
      </c>
      <c r="AD762">
        <v>-0.90676009999999896</v>
      </c>
      <c r="AE762">
        <v>11.9314999999999</v>
      </c>
      <c r="AF762">
        <v>-11.106630193982699</v>
      </c>
      <c r="AG762">
        <v>-0.90676009999999896</v>
      </c>
      <c r="AH762">
        <v>181.09003579502601</v>
      </c>
      <c r="AI762">
        <v>90.286352889301099</v>
      </c>
      <c r="AJ762">
        <v>93.509673562476706</v>
      </c>
      <c r="AK762">
        <v>181.43257842071401</v>
      </c>
      <c r="AL762">
        <v>77.988301039119605</v>
      </c>
      <c r="AM762">
        <v>95.698471640941804</v>
      </c>
      <c r="AN762">
        <v>0.999999952294231</v>
      </c>
    </row>
    <row r="763" spans="1:40" x14ac:dyDescent="0.25">
      <c r="A763" t="str">
        <f>"20190304155029680"</f>
        <v>20190304155029680</v>
      </c>
      <c r="B763" t="str">
        <f>"1551685829677777"</f>
        <v>1551685829677777</v>
      </c>
      <c r="C763" t="s">
        <v>40</v>
      </c>
      <c r="D763">
        <v>5.2417069999999999</v>
      </c>
      <c r="E763">
        <v>0.5124223</v>
      </c>
      <c r="F763" t="s">
        <v>43</v>
      </c>
      <c r="G763">
        <v>-158.19499999999999</v>
      </c>
      <c r="H763">
        <v>0.67438129999999996</v>
      </c>
      <c r="I763">
        <v>379.4085</v>
      </c>
      <c r="J763">
        <v>-339.0634</v>
      </c>
      <c r="K763">
        <v>1.110384</v>
      </c>
      <c r="L763">
        <v>367.39510000000001</v>
      </c>
      <c r="M763">
        <v>0.99992099999999995</v>
      </c>
      <c r="N763">
        <v>-1.1681800000000001E-2</v>
      </c>
      <c r="O763">
        <v>4.6422080000000001E-3</v>
      </c>
      <c r="P763">
        <v>0.97520490000000004</v>
      </c>
      <c r="Q763">
        <v>0.196634</v>
      </c>
      <c r="R763">
        <v>0.10154050000000001</v>
      </c>
      <c r="S763">
        <v>3.0567319999999998</v>
      </c>
      <c r="T763">
        <v>-7.3599819999999897E-3</v>
      </c>
      <c r="U763">
        <v>0.20285030000000001</v>
      </c>
      <c r="V763">
        <v>-9.7075380000000003E-2</v>
      </c>
      <c r="W763">
        <v>0.2079887</v>
      </c>
      <c r="X763">
        <v>0.97330209999999995</v>
      </c>
      <c r="Y763">
        <v>-6.1582280000000003E-2</v>
      </c>
      <c r="Z763">
        <v>4.7717300000000001E-4</v>
      </c>
      <c r="AA763">
        <v>0.99810189999999999</v>
      </c>
      <c r="AB763">
        <v>32</v>
      </c>
      <c r="AC763">
        <v>180.86840000000001</v>
      </c>
      <c r="AD763">
        <v>-0.43600270000000002</v>
      </c>
      <c r="AE763">
        <v>12.013399999999899</v>
      </c>
      <c r="AF763">
        <v>-11.173519871937801</v>
      </c>
      <c r="AG763">
        <v>-0.43600270000000002</v>
      </c>
      <c r="AH763">
        <v>180.921176644366</v>
      </c>
      <c r="AI763">
        <v>90.137814497785101</v>
      </c>
      <c r="AJ763">
        <v>93.534044273361502</v>
      </c>
      <c r="AK763">
        <v>181.26640561081601</v>
      </c>
      <c r="AL763">
        <v>77.9954885186974</v>
      </c>
      <c r="AM763">
        <v>95.695740095777694</v>
      </c>
      <c r="AN763">
        <v>0.99999995329712099</v>
      </c>
    </row>
    <row r="764" spans="1:40" x14ac:dyDescent="0.25">
      <c r="A764" t="str">
        <f>"20190304155029694"</f>
        <v>20190304155029694</v>
      </c>
      <c r="B764" t="str">
        <f>"1551685829687537"</f>
        <v>1551685829687537</v>
      </c>
      <c r="C764" t="s">
        <v>40</v>
      </c>
      <c r="D764">
        <v>5.2195919999999996</v>
      </c>
      <c r="E764">
        <v>0.51192519999999997</v>
      </c>
      <c r="F764" t="s">
        <v>43</v>
      </c>
      <c r="G764">
        <v>-158.19499999999999</v>
      </c>
      <c r="H764">
        <v>0.90543940000000001</v>
      </c>
      <c r="I764">
        <v>379.32479999999998</v>
      </c>
      <c r="J764">
        <v>-338.86689999999999</v>
      </c>
      <c r="K764">
        <v>1.110384</v>
      </c>
      <c r="L764">
        <v>367.39609999999999</v>
      </c>
      <c r="M764">
        <v>0.99992060000000005</v>
      </c>
      <c r="N764">
        <v>-1.1682919999999999E-2</v>
      </c>
      <c r="O764">
        <v>4.741917E-3</v>
      </c>
      <c r="P764">
        <v>0.97519330000000004</v>
      </c>
      <c r="Q764">
        <v>0.19665750000000001</v>
      </c>
      <c r="R764">
        <v>0.10160719999999999</v>
      </c>
      <c r="S764">
        <v>3.0560299999999998</v>
      </c>
      <c r="T764">
        <v>-3.461361E-3</v>
      </c>
      <c r="U764">
        <v>0.20156859999999999</v>
      </c>
      <c r="V764">
        <v>-9.7044679999999994E-2</v>
      </c>
      <c r="W764">
        <v>0.20801349999999999</v>
      </c>
      <c r="X764">
        <v>0.9732999</v>
      </c>
      <c r="Y764">
        <v>-6.1081770000000001E-2</v>
      </c>
      <c r="Z764">
        <v>4.4174029999999998E-4</v>
      </c>
      <c r="AA764">
        <v>0.99813260000000004</v>
      </c>
      <c r="AB764">
        <v>32</v>
      </c>
      <c r="AC764">
        <v>180.67189999999999</v>
      </c>
      <c r="AD764">
        <v>-0.2049446</v>
      </c>
      <c r="AE764">
        <v>11.9286999999999</v>
      </c>
      <c r="AF764">
        <v>-11.071762133620799</v>
      </c>
      <c r="AG764">
        <v>-0.2049446</v>
      </c>
      <c r="AH764">
        <v>180.726205659665</v>
      </c>
      <c r="AI764">
        <v>90.064852144869505</v>
      </c>
      <c r="AJ764">
        <v>93.505708582691895</v>
      </c>
      <c r="AK764">
        <v>181.06514664941</v>
      </c>
      <c r="AL764">
        <v>77.994036266505404</v>
      </c>
      <c r="AM764">
        <v>95.6939634470058</v>
      </c>
      <c r="AN764">
        <v>0.99999999071928103</v>
      </c>
    </row>
    <row r="765" spans="1:40" x14ac:dyDescent="0.25">
      <c r="A765" t="str">
        <f>"20190304155029710"</f>
        <v>20190304155029710</v>
      </c>
      <c r="B765" t="str">
        <f>"1551685829707057"</f>
        <v>1551685829707057</v>
      </c>
      <c r="C765" t="s">
        <v>40</v>
      </c>
      <c r="D765">
        <v>5.2675700000000001</v>
      </c>
      <c r="E765">
        <v>0.51111850000000003</v>
      </c>
      <c r="F765" t="s">
        <v>43</v>
      </c>
      <c r="G765">
        <v>-158.19499999999999</v>
      </c>
      <c r="H765">
        <v>1.02115</v>
      </c>
      <c r="I765">
        <v>379.54689999999999</v>
      </c>
      <c r="J765">
        <v>-338.62400000000002</v>
      </c>
      <c r="K765">
        <v>1.1103799999999999</v>
      </c>
      <c r="L765">
        <v>367.3974</v>
      </c>
      <c r="M765">
        <v>0.99991989999999997</v>
      </c>
      <c r="N765">
        <v>-1.168431E-2</v>
      </c>
      <c r="O765">
        <v>4.8649929999999997E-3</v>
      </c>
      <c r="P765">
        <v>0.97517960000000004</v>
      </c>
      <c r="Q765">
        <v>0.19677649999999999</v>
      </c>
      <c r="R765">
        <v>0.1015095</v>
      </c>
      <c r="S765">
        <v>3.055237</v>
      </c>
      <c r="T765">
        <v>-1.5075209999999999E-3</v>
      </c>
      <c r="U765">
        <v>0.20547489999999999</v>
      </c>
      <c r="V765">
        <v>-9.6827269999999993E-2</v>
      </c>
      <c r="W765">
        <v>0.20813380000000001</v>
      </c>
      <c r="X765">
        <v>0.97329589999999999</v>
      </c>
      <c r="Y765">
        <v>-6.2246719999999998E-2</v>
      </c>
      <c r="Z765">
        <v>4.3380479999999998E-4</v>
      </c>
      <c r="AA765">
        <v>0.99806070000000002</v>
      </c>
      <c r="AB765">
        <v>32</v>
      </c>
      <c r="AC765">
        <v>180.429</v>
      </c>
      <c r="AD765">
        <v>-8.9229999999999907E-2</v>
      </c>
      <c r="AE765">
        <v>12.1494999999999</v>
      </c>
      <c r="AF765">
        <v>-11.271507708938501</v>
      </c>
      <c r="AG765">
        <v>-8.9229999999999907E-2</v>
      </c>
      <c r="AH765">
        <v>180.48593180975999</v>
      </c>
      <c r="AI765">
        <v>90.028271241625305</v>
      </c>
      <c r="AJ765">
        <v>93.573531720099993</v>
      </c>
      <c r="AK765">
        <v>180.83756918644599</v>
      </c>
      <c r="AL765">
        <v>77.986990120188196</v>
      </c>
      <c r="AM765">
        <v>95.681313952104105</v>
      </c>
      <c r="AN765">
        <v>1.0000000539374401</v>
      </c>
    </row>
    <row r="766" spans="1:40" x14ac:dyDescent="0.25">
      <c r="A766" t="str">
        <f>"20190304155029722"</f>
        <v>20190304155029722</v>
      </c>
      <c r="B766" t="str">
        <f>"1551685829717792"</f>
        <v>1551685829717792</v>
      </c>
      <c r="C766" t="s">
        <v>40</v>
      </c>
      <c r="D766">
        <v>5.1813419999999999</v>
      </c>
      <c r="E766">
        <v>0.51062909999999995</v>
      </c>
      <c r="F766" t="s">
        <v>43</v>
      </c>
      <c r="G766">
        <v>-158.19499999999999</v>
      </c>
      <c r="H766">
        <v>1.1746620000000001</v>
      </c>
      <c r="I766">
        <v>379.88240000000002</v>
      </c>
      <c r="J766">
        <v>-338.44699999999898</v>
      </c>
      <c r="K766">
        <v>1.1103799999999999</v>
      </c>
      <c r="L766">
        <v>367.39830000000001</v>
      </c>
      <c r="M766">
        <v>0.99991949999999996</v>
      </c>
      <c r="N766">
        <v>-1.168543E-2</v>
      </c>
      <c r="O766">
        <v>4.9546299999999998E-3</v>
      </c>
      <c r="P766">
        <v>0.97515989999999997</v>
      </c>
      <c r="Q766">
        <v>0.1968405</v>
      </c>
      <c r="R766">
        <v>0.1015726</v>
      </c>
      <c r="S766">
        <v>3.054138</v>
      </c>
      <c r="T766">
        <v>1.0895729999999999E-3</v>
      </c>
      <c r="U766">
        <v>0.2113342</v>
      </c>
      <c r="V766">
        <v>-9.6803169999999994E-2</v>
      </c>
      <c r="W766">
        <v>0.2081981</v>
      </c>
      <c r="X766">
        <v>0.9732845</v>
      </c>
      <c r="Y766">
        <v>-6.4087439999999996E-2</v>
      </c>
      <c r="Z766">
        <v>4.2308390000000002E-4</v>
      </c>
      <c r="AA766">
        <v>0.99794419999999995</v>
      </c>
      <c r="AB766">
        <v>32</v>
      </c>
      <c r="AC766">
        <v>180.25199999999899</v>
      </c>
      <c r="AD766">
        <v>6.4282000000000103E-2</v>
      </c>
      <c r="AE766">
        <v>12.4841</v>
      </c>
      <c r="AF766">
        <v>-11.5908023776355</v>
      </c>
      <c r="AG766">
        <v>6.4282000000000103E-2</v>
      </c>
      <c r="AH766">
        <v>180.31162273326399</v>
      </c>
      <c r="AI766">
        <v>89.979615839541694</v>
      </c>
      <c r="AJ766">
        <v>93.678030153573104</v>
      </c>
      <c r="AK766">
        <v>180.68379043133899</v>
      </c>
      <c r="AL766">
        <v>77.983222955347401</v>
      </c>
      <c r="AM766">
        <v>95.679975231672998</v>
      </c>
      <c r="AN766">
        <v>1.00000001025295</v>
      </c>
    </row>
    <row r="767" spans="1:40" x14ac:dyDescent="0.25">
      <c r="A767" t="str">
        <f>"20190304155029734"</f>
        <v>20190304155029734</v>
      </c>
      <c r="B767" t="str">
        <f>"1551685829727554"</f>
        <v>1551685829727554</v>
      </c>
      <c r="C767" t="s">
        <v>40</v>
      </c>
      <c r="D767">
        <v>5.5427869999999997</v>
      </c>
      <c r="E767">
        <v>0.51109559999999998</v>
      </c>
      <c r="F767" t="s">
        <v>43</v>
      </c>
      <c r="G767">
        <v>-158.19499999999999</v>
      </c>
      <c r="H767">
        <v>1.2954950000000001</v>
      </c>
      <c r="I767">
        <v>380.12459999999999</v>
      </c>
      <c r="J767">
        <v>-338.29230000000001</v>
      </c>
      <c r="K767">
        <v>1.110385</v>
      </c>
      <c r="L767">
        <v>367.39920000000001</v>
      </c>
      <c r="M767">
        <v>0.99991909999999895</v>
      </c>
      <c r="N767">
        <v>-1.16864E-2</v>
      </c>
      <c r="O767">
        <v>5.0326420000000004E-3</v>
      </c>
      <c r="P767">
        <v>0.97518400000000005</v>
      </c>
      <c r="Q767">
        <v>0.1967575</v>
      </c>
      <c r="R767">
        <v>0.1015027</v>
      </c>
      <c r="S767">
        <v>3.053375</v>
      </c>
      <c r="T767">
        <v>3.1372309999999999E-3</v>
      </c>
      <c r="U767">
        <v>0.2155762</v>
      </c>
      <c r="V767">
        <v>-9.6656370000000005E-2</v>
      </c>
      <c r="W767">
        <v>0.208117</v>
      </c>
      <c r="X767">
        <v>0.97331639999999997</v>
      </c>
      <c r="Y767">
        <v>-6.5406660000000005E-2</v>
      </c>
      <c r="Z767">
        <v>4.1302050000000001E-4</v>
      </c>
      <c r="AA767">
        <v>0.99785860000000004</v>
      </c>
      <c r="AB767">
        <v>32</v>
      </c>
      <c r="AC767">
        <v>180.09729999999999</v>
      </c>
      <c r="AD767">
        <v>0.18511</v>
      </c>
      <c r="AE767">
        <v>12.725399999999899</v>
      </c>
      <c r="AF767">
        <v>-11.818799315550301</v>
      </c>
      <c r="AG767">
        <v>0.18511</v>
      </c>
      <c r="AH767">
        <v>180.15887633939201</v>
      </c>
      <c r="AI767">
        <v>89.941255910160507</v>
      </c>
      <c r="AJ767">
        <v>93.753344865659699</v>
      </c>
      <c r="AK767">
        <v>180.54622401713601</v>
      </c>
      <c r="AL767">
        <v>77.987973301727806</v>
      </c>
      <c r="AM767">
        <v>95.671233196534899</v>
      </c>
      <c r="AN767">
        <v>0.99999997702976795</v>
      </c>
    </row>
    <row r="768" spans="1:40" x14ac:dyDescent="0.25">
      <c r="A768" t="str">
        <f>"20190304155029745"</f>
        <v>20190304155029745</v>
      </c>
      <c r="B768" t="str">
        <f>"1551685829737820"</f>
        <v>1551685829737820</v>
      </c>
      <c r="C768" t="s">
        <v>40</v>
      </c>
      <c r="D768">
        <v>5.1728209999999999</v>
      </c>
      <c r="E768">
        <v>0.51109559999999998</v>
      </c>
      <c r="F768" t="s">
        <v>43</v>
      </c>
      <c r="G768">
        <v>-158.19499999999999</v>
      </c>
      <c r="H768">
        <v>1.575164</v>
      </c>
      <c r="I768">
        <v>379.89409999999998</v>
      </c>
      <c r="J768">
        <v>-338.11360000000002</v>
      </c>
      <c r="K768">
        <v>1.110385</v>
      </c>
      <c r="L768">
        <v>367.40019999999998</v>
      </c>
      <c r="M768">
        <v>0.99991859999999999</v>
      </c>
      <c r="N768">
        <v>-1.16875E-2</v>
      </c>
      <c r="O768">
        <v>5.1226320000000002E-3</v>
      </c>
      <c r="P768">
        <v>0.97513760000000005</v>
      </c>
      <c r="Q768">
        <v>0.19687830000000001</v>
      </c>
      <c r="R768">
        <v>0.10171379999999999</v>
      </c>
      <c r="S768">
        <v>3.0527039999999999</v>
      </c>
      <c r="T768">
        <v>7.8796149999999995E-3</v>
      </c>
      <c r="U768">
        <v>0.21179200000000001</v>
      </c>
      <c r="V768">
        <v>-9.6780519999999995E-2</v>
      </c>
      <c r="W768">
        <v>0.20823829999999999</v>
      </c>
      <c r="X768">
        <v>0.97327819999999998</v>
      </c>
      <c r="Y768">
        <v>-6.4101790000000006E-2</v>
      </c>
      <c r="Z768">
        <v>3.6543429999999998E-4</v>
      </c>
      <c r="AA768">
        <v>0.99794329999999998</v>
      </c>
      <c r="AB768">
        <v>32</v>
      </c>
      <c r="AC768">
        <v>179.9186</v>
      </c>
      <c r="AD768">
        <v>0.464779</v>
      </c>
      <c r="AE768">
        <v>12.493899999999901</v>
      </c>
      <c r="AF768">
        <v>-11.571939484369601</v>
      </c>
      <c r="AG768">
        <v>0.464779</v>
      </c>
      <c r="AH768">
        <v>179.97904973914601</v>
      </c>
      <c r="AI768">
        <v>89.852344243949901</v>
      </c>
      <c r="AJ768">
        <v>93.678827685638396</v>
      </c>
      <c r="AK768">
        <v>180.35127986225899</v>
      </c>
      <c r="AL768">
        <v>77.980868616761597</v>
      </c>
      <c r="AM768">
        <v>95.678691436052304</v>
      </c>
      <c r="AN768">
        <v>1.0000000566167899</v>
      </c>
    </row>
    <row r="769" spans="1:40" x14ac:dyDescent="0.25">
      <c r="A769" t="str">
        <f>"20190304155029757"</f>
        <v>20190304155029757</v>
      </c>
      <c r="B769" t="str">
        <f>"1551685829747580"</f>
        <v>1551685829747580</v>
      </c>
      <c r="C769" t="s">
        <v>40</v>
      </c>
      <c r="D769">
        <v>5.2341949999999997</v>
      </c>
      <c r="E769">
        <v>0.54240239999999995</v>
      </c>
      <c r="F769" t="s">
        <v>43</v>
      </c>
      <c r="G769">
        <v>-158.19499999999999</v>
      </c>
      <c r="H769">
        <v>1.598125</v>
      </c>
      <c r="I769">
        <v>379.90260000000001</v>
      </c>
      <c r="J769">
        <v>-337.95830000000001</v>
      </c>
      <c r="K769">
        <v>1.110385</v>
      </c>
      <c r="L769">
        <v>367.40100000000001</v>
      </c>
      <c r="M769">
        <v>0.99991830000000004</v>
      </c>
      <c r="N769">
        <v>-1.168843E-2</v>
      </c>
      <c r="O769">
        <v>5.1999239999999999E-3</v>
      </c>
      <c r="P769">
        <v>0.97519049999999996</v>
      </c>
      <c r="Q769">
        <v>0.19667689999999999</v>
      </c>
      <c r="R769">
        <v>0.10159700000000001</v>
      </c>
      <c r="S769">
        <v>3.052673</v>
      </c>
      <c r="T769">
        <v>8.2769390000000005E-3</v>
      </c>
      <c r="U769">
        <v>0.2121277</v>
      </c>
      <c r="V769">
        <v>-9.6586989999999998E-2</v>
      </c>
      <c r="W769">
        <v>0.2080391</v>
      </c>
      <c r="X769">
        <v>0.97333999999999998</v>
      </c>
      <c r="Y769">
        <v>-6.41346E-2</v>
      </c>
      <c r="Z769">
        <v>3.6322809999999998E-4</v>
      </c>
      <c r="AA769">
        <v>0.99794119999999997</v>
      </c>
      <c r="AB769">
        <v>32</v>
      </c>
      <c r="AC769">
        <v>179.76329999999999</v>
      </c>
      <c r="AD769">
        <v>0.48774000000000001</v>
      </c>
      <c r="AE769">
        <v>12.5015999999999</v>
      </c>
      <c r="AF769">
        <v>-11.5665269869379</v>
      </c>
      <c r="AG769">
        <v>0.48774000000000001</v>
      </c>
      <c r="AH769">
        <v>179.824563693405</v>
      </c>
      <c r="AI769">
        <v>89.844916926541501</v>
      </c>
      <c r="AJ769">
        <v>93.680262027385396</v>
      </c>
      <c r="AK769">
        <v>180.196826121801</v>
      </c>
      <c r="AL769">
        <v>77.992537224378907</v>
      </c>
      <c r="AM769">
        <v>95.667052375890705</v>
      </c>
      <c r="AN769">
        <v>1.00000003468303</v>
      </c>
    </row>
    <row r="770" spans="1:40" x14ac:dyDescent="0.25">
      <c r="A770" t="str">
        <f>"20190304155029768"</f>
        <v>20190304155029768</v>
      </c>
      <c r="B770" t="str">
        <f>"1551685829757341"</f>
        <v>1551685829757341</v>
      </c>
      <c r="C770" t="s">
        <v>40</v>
      </c>
      <c r="D770">
        <v>5.4419430000000002</v>
      </c>
      <c r="E770">
        <v>0.54445440000000001</v>
      </c>
      <c r="F770" t="s">
        <v>41</v>
      </c>
      <c r="G770">
        <v>-259.99099999999999</v>
      </c>
      <c r="H770" s="1">
        <v>-4.833739E-6</v>
      </c>
      <c r="I770">
        <v>366.47280000000001</v>
      </c>
      <c r="J770">
        <v>-337.79829999999998</v>
      </c>
      <c r="K770">
        <v>1.110385</v>
      </c>
      <c r="L770">
        <v>367.40190000000001</v>
      </c>
      <c r="M770">
        <v>0.99991770000000002</v>
      </c>
      <c r="N770">
        <v>-1.1689379999999999E-2</v>
      </c>
      <c r="O770">
        <v>5.2795979999999999E-3</v>
      </c>
      <c r="P770">
        <v>0.97518249999999995</v>
      </c>
      <c r="Q770">
        <v>0.19674739999999999</v>
      </c>
      <c r="R770">
        <v>0.1015365</v>
      </c>
      <c r="S770">
        <v>3.0890200000000001</v>
      </c>
      <c r="T770">
        <v>-4.3992999999999997E-2</v>
      </c>
      <c r="U770">
        <v>-3.6773680000000003E-2</v>
      </c>
      <c r="V770">
        <v>-9.6449049999999995E-2</v>
      </c>
      <c r="W770">
        <v>0.2081105</v>
      </c>
      <c r="X770">
        <v>0.97333840000000005</v>
      </c>
      <c r="Y770">
        <v>1.7180029999999999E-2</v>
      </c>
      <c r="Z770">
        <v>-2.3622460000000001E-4</v>
      </c>
      <c r="AA770">
        <v>0.99985239999999997</v>
      </c>
      <c r="AB770">
        <v>32</v>
      </c>
      <c r="AC770">
        <v>77.807299999999998</v>
      </c>
      <c r="AD770">
        <v>-1.1103898337389999</v>
      </c>
      <c r="AE770">
        <v>-0.92910000000000503</v>
      </c>
      <c r="AF770">
        <v>1.33963360532078</v>
      </c>
      <c r="AG770">
        <v>-1.1103898337389999</v>
      </c>
      <c r="AH770">
        <v>77.785470132609305</v>
      </c>
      <c r="AI770">
        <v>90.817722114877697</v>
      </c>
      <c r="AJ770">
        <v>89.013340611258101</v>
      </c>
      <c r="AK770">
        <v>77.804928812578694</v>
      </c>
      <c r="AL770">
        <v>77.988354587272198</v>
      </c>
      <c r="AM770">
        <v>95.659020828176907</v>
      </c>
      <c r="AN770">
        <v>1.0000000201853501</v>
      </c>
    </row>
    <row r="771" spans="1:40" x14ac:dyDescent="0.25">
      <c r="A771" t="str">
        <f>"20190304155029779"</f>
        <v>20190304155029779</v>
      </c>
      <c r="B771" t="str">
        <f>"1551685829777837"</f>
        <v>1551685829777837</v>
      </c>
      <c r="C771" t="s">
        <v>40</v>
      </c>
      <c r="D771">
        <v>4.6576930000000001</v>
      </c>
      <c r="E771">
        <v>0.54140390000000005</v>
      </c>
      <c r="F771" t="s">
        <v>50</v>
      </c>
      <c r="G771">
        <v>-200.03270000000001</v>
      </c>
      <c r="H771" s="1">
        <v>-1.2289950000000001E-6</v>
      </c>
      <c r="I771">
        <v>365.0498</v>
      </c>
      <c r="J771">
        <v>-337.62799999999999</v>
      </c>
      <c r="K771">
        <v>1.110382</v>
      </c>
      <c r="L771">
        <v>367.40289999999999</v>
      </c>
      <c r="M771">
        <v>0.99991739999999996</v>
      </c>
      <c r="N771">
        <v>-1.169039E-2</v>
      </c>
      <c r="O771">
        <v>5.3633229999999997E-3</v>
      </c>
      <c r="P771">
        <v>0.97518090000000002</v>
      </c>
      <c r="Q771">
        <v>0.19668469999999999</v>
      </c>
      <c r="R771">
        <v>0.101674899999999</v>
      </c>
      <c r="S771">
        <v>3.0868530000000001</v>
      </c>
      <c r="T771">
        <v>-2.4879930000000001E-2</v>
      </c>
      <c r="U771">
        <v>-5.2703859999999998E-2</v>
      </c>
      <c r="V771">
        <v>-9.6505110000000005E-2</v>
      </c>
      <c r="W771">
        <v>0.20804890000000001</v>
      </c>
      <c r="X771">
        <v>0.97334600000000004</v>
      </c>
      <c r="Y771">
        <v>2.2432009999999999E-2</v>
      </c>
      <c r="Z771">
        <v>-2.0205900000000001E-4</v>
      </c>
      <c r="AA771">
        <v>0.99974830000000003</v>
      </c>
      <c r="AB771">
        <v>32</v>
      </c>
      <c r="AC771">
        <v>137.59530000000001</v>
      </c>
      <c r="AD771">
        <v>-1.110383228995</v>
      </c>
      <c r="AE771">
        <v>-2.35309999999998</v>
      </c>
      <c r="AF771">
        <v>3.09088330278502</v>
      </c>
      <c r="AG771">
        <v>-1.110383228995</v>
      </c>
      <c r="AH771">
        <v>137.57174288737301</v>
      </c>
      <c r="AI771">
        <v>90.462324890852202</v>
      </c>
      <c r="AJ771">
        <v>88.712927703938504</v>
      </c>
      <c r="AK771">
        <v>137.610940522823</v>
      </c>
      <c r="AL771">
        <v>77.9919628445016</v>
      </c>
      <c r="AM771">
        <v>95.662244781899204</v>
      </c>
      <c r="AN771">
        <v>1.00000000838166</v>
      </c>
    </row>
    <row r="772" spans="1:40" x14ac:dyDescent="0.25">
      <c r="A772" t="str">
        <f>"20190304155029792"</f>
        <v>20190304155029792</v>
      </c>
      <c r="B772" t="str">
        <f>"1551685829787597"</f>
        <v>1551685829787597</v>
      </c>
      <c r="C772" t="s">
        <v>40</v>
      </c>
      <c r="D772">
        <v>5.4420760000000001</v>
      </c>
      <c r="E772">
        <v>0.5426879</v>
      </c>
      <c r="F772" t="s">
        <v>41</v>
      </c>
      <c r="G772">
        <v>-214.0154</v>
      </c>
      <c r="H772" s="1">
        <v>-3.1403689999999998E-6</v>
      </c>
      <c r="I772">
        <v>366.28640000000001</v>
      </c>
      <c r="J772">
        <v>-337.45949999999999</v>
      </c>
      <c r="K772">
        <v>1.1103809999999901</v>
      </c>
      <c r="L772">
        <v>367.40390000000002</v>
      </c>
      <c r="M772">
        <v>0.9999169</v>
      </c>
      <c r="N772">
        <v>-1.1691389999999999E-2</v>
      </c>
      <c r="O772">
        <v>5.4463929999999999E-3</v>
      </c>
      <c r="P772">
        <v>0.97516659999999999</v>
      </c>
      <c r="Q772">
        <v>0.19673779999999999</v>
      </c>
      <c r="R772">
        <v>0.1017079</v>
      </c>
      <c r="S772">
        <v>3.0848390000000001</v>
      </c>
      <c r="T772">
        <v>-2.7710439999999999E-2</v>
      </c>
      <c r="U772">
        <v>-2.786255E-2</v>
      </c>
      <c r="V772">
        <v>-9.6456620000000007E-2</v>
      </c>
      <c r="W772">
        <v>0.20810300000000001</v>
      </c>
      <c r="X772">
        <v>0.97333930000000002</v>
      </c>
      <c r="Y772">
        <v>1.447677E-2</v>
      </c>
      <c r="Z772">
        <v>-1.348984E-4</v>
      </c>
      <c r="AA772">
        <v>0.99989519999999998</v>
      </c>
      <c r="AB772">
        <v>32</v>
      </c>
      <c r="AC772">
        <v>123.44410000000001</v>
      </c>
      <c r="AD772">
        <v>-1.11038414036899</v>
      </c>
      <c r="AE772">
        <v>-1.1174999999999999</v>
      </c>
      <c r="AF772">
        <v>1.78970961162469</v>
      </c>
      <c r="AG772">
        <v>-1.11038414036899</v>
      </c>
      <c r="AH772">
        <v>123.426196424859</v>
      </c>
      <c r="AI772">
        <v>90.515384284224496</v>
      </c>
      <c r="AJ772">
        <v>89.169255600546293</v>
      </c>
      <c r="AK772">
        <v>123.44416542445801</v>
      </c>
      <c r="AL772">
        <v>77.988794477262601</v>
      </c>
      <c r="AM772">
        <v>95.659456905592407</v>
      </c>
      <c r="AN772">
        <v>1.00000006553765</v>
      </c>
    </row>
    <row r="773" spans="1:40" x14ac:dyDescent="0.25">
      <c r="A773" t="str">
        <f>"20190304155029804"</f>
        <v>20190304155029804</v>
      </c>
      <c r="B773" t="str">
        <f>"1551685829797358"</f>
        <v>1551685829797358</v>
      </c>
      <c r="C773" t="s">
        <v>40</v>
      </c>
      <c r="D773">
        <v>5.4392699999999996</v>
      </c>
      <c r="E773">
        <v>0.54374929999999999</v>
      </c>
      <c r="F773" t="s">
        <v>50</v>
      </c>
      <c r="G773">
        <v>-179.52860000000001</v>
      </c>
      <c r="H773">
        <v>7.9987899999999904E-2</v>
      </c>
      <c r="I773">
        <v>365.47570000000002</v>
      </c>
      <c r="J773">
        <v>-337.286</v>
      </c>
      <c r="K773">
        <v>1.1103829999999999</v>
      </c>
      <c r="L773">
        <v>367.4049</v>
      </c>
      <c r="M773">
        <v>0.99991640000000004</v>
      </c>
      <c r="N773">
        <v>-1.169243E-2</v>
      </c>
      <c r="O773">
        <v>5.5312499999999997E-3</v>
      </c>
      <c r="P773">
        <v>0.9751476</v>
      </c>
      <c r="Q773">
        <v>0.19669310000000001</v>
      </c>
      <c r="R773">
        <v>0.1019753</v>
      </c>
      <c r="S773">
        <v>3.0844119999999999</v>
      </c>
      <c r="T773">
        <v>-2.0123720000000001E-2</v>
      </c>
      <c r="U773">
        <v>-3.7658690000000002E-2</v>
      </c>
      <c r="V773">
        <v>-9.6640859999999995E-2</v>
      </c>
      <c r="W773">
        <v>0.20805960000000001</v>
      </c>
      <c r="X773">
        <v>0.97333029999999998</v>
      </c>
      <c r="Y773">
        <v>1.773835E-2</v>
      </c>
      <c r="Z773">
        <v>-1.3298769999999999E-4</v>
      </c>
      <c r="AA773">
        <v>0.99984260000000003</v>
      </c>
      <c r="AB773">
        <v>32</v>
      </c>
      <c r="AC773">
        <v>157.75739999999999</v>
      </c>
      <c r="AD773">
        <v>-1.0303951</v>
      </c>
      <c r="AE773">
        <v>-1.92919999999998</v>
      </c>
      <c r="AF773">
        <v>2.8017062015506999</v>
      </c>
      <c r="AG773">
        <v>-1.0303951</v>
      </c>
      <c r="AH773">
        <v>157.73758657177501</v>
      </c>
      <c r="AI773">
        <v>90.374211004646497</v>
      </c>
      <c r="AJ773">
        <v>88.982429828905396</v>
      </c>
      <c r="AK773">
        <v>157.76583118403701</v>
      </c>
      <c r="AL773">
        <v>77.991336728896997</v>
      </c>
      <c r="AM773">
        <v>95.670248641421196</v>
      </c>
      <c r="AN773">
        <v>1.0000000629358901</v>
      </c>
    </row>
    <row r="774" spans="1:40" x14ac:dyDescent="0.25">
      <c r="A774" t="str">
        <f>"20190304155029816"</f>
        <v>20190304155029816</v>
      </c>
      <c r="B774" t="str">
        <f>"1551685829807116"</f>
        <v>1551685829807116</v>
      </c>
      <c r="C774" t="s">
        <v>40</v>
      </c>
      <c r="D774">
        <v>4.5494130000000004</v>
      </c>
      <c r="E774">
        <v>0.54390859999999996</v>
      </c>
      <c r="F774" t="s">
        <v>43</v>
      </c>
      <c r="G774">
        <v>-158.19499999999999</v>
      </c>
      <c r="H774">
        <v>0.29014849999999998</v>
      </c>
      <c r="I774">
        <v>364.79270000000002</v>
      </c>
      <c r="J774">
        <v>-337.10849999999999</v>
      </c>
      <c r="K774">
        <v>1.1103799999999999</v>
      </c>
      <c r="L774">
        <v>367.40600000000001</v>
      </c>
      <c r="M774">
        <v>0.99991600000000003</v>
      </c>
      <c r="N774">
        <v>-1.1693510000000001E-2</v>
      </c>
      <c r="O774">
        <v>5.6179539999999997E-3</v>
      </c>
      <c r="P774">
        <v>0.9751396</v>
      </c>
      <c r="Q774">
        <v>0.1966609</v>
      </c>
      <c r="R774">
        <v>0.102115</v>
      </c>
      <c r="S774">
        <v>3.0839840000000001</v>
      </c>
      <c r="T774">
        <v>-1.412308E-2</v>
      </c>
      <c r="U774">
        <v>-4.4982910000000001E-2</v>
      </c>
      <c r="V774">
        <v>-9.6695829999999997E-2</v>
      </c>
      <c r="W774">
        <v>0.2080284</v>
      </c>
      <c r="X774">
        <v>0.97333150000000002</v>
      </c>
      <c r="Y774">
        <v>2.020104E-2</v>
      </c>
      <c r="Z774">
        <v>-1.2440920000000001E-4</v>
      </c>
      <c r="AA774">
        <v>0.99979589999999996</v>
      </c>
      <c r="AB774">
        <v>32</v>
      </c>
      <c r="AC774">
        <v>178.9135</v>
      </c>
      <c r="AD774">
        <v>-0.820231499999999</v>
      </c>
      <c r="AE774">
        <v>-2.6132999999999802</v>
      </c>
      <c r="AF774">
        <v>3.6183791058534198</v>
      </c>
      <c r="AG774">
        <v>-0.820231499999999</v>
      </c>
      <c r="AH774">
        <v>178.892234696674</v>
      </c>
      <c r="AI774">
        <v>90.262648983855499</v>
      </c>
      <c r="AJ774">
        <v>88.841260010707998</v>
      </c>
      <c r="AK774">
        <v>178.93070469272999</v>
      </c>
      <c r="AL774">
        <v>77.993164235247093</v>
      </c>
      <c r="AM774">
        <v>95.673445934190894</v>
      </c>
      <c r="AN774">
        <v>1.0000000538190901</v>
      </c>
    </row>
    <row r="775" spans="1:40" x14ac:dyDescent="0.25">
      <c r="A775" t="str">
        <f>"20190304155029833"</f>
        <v>20190304155029833</v>
      </c>
      <c r="B775" t="str">
        <f>"1551685829827613"</f>
        <v>1551685829827613</v>
      </c>
      <c r="C775" t="s">
        <v>40</v>
      </c>
      <c r="D775">
        <v>4.8675600000000001</v>
      </c>
      <c r="E775">
        <v>0.5441378</v>
      </c>
      <c r="F775" t="s">
        <v>43</v>
      </c>
      <c r="G775">
        <v>-158.19499999999999</v>
      </c>
      <c r="H775">
        <v>1.99356</v>
      </c>
      <c r="I775">
        <v>364.74009999999998</v>
      </c>
      <c r="J775">
        <v>-336.87130000000002</v>
      </c>
      <c r="K775">
        <v>1.1103799999999999</v>
      </c>
      <c r="L775">
        <v>367.4074</v>
      </c>
      <c r="M775">
        <v>0.99991529999999995</v>
      </c>
      <c r="N775">
        <v>-1.1694980000000001E-2</v>
      </c>
      <c r="O775">
        <v>5.7336230000000002E-3</v>
      </c>
      <c r="P775">
        <v>0.97521000000000002</v>
      </c>
      <c r="Q775">
        <v>0.1963635</v>
      </c>
      <c r="R775">
        <v>0.10201490000000001</v>
      </c>
      <c r="S775">
        <v>3.0782470000000002</v>
      </c>
      <c r="T775">
        <v>1.5196799999999899E-2</v>
      </c>
      <c r="U775">
        <v>-4.586792E-2</v>
      </c>
      <c r="V775">
        <v>-9.6482020000000002E-2</v>
      </c>
      <c r="W775">
        <v>0.20773359999999999</v>
      </c>
      <c r="X775">
        <v>0.97341560000000005</v>
      </c>
      <c r="Y775">
        <v>2.0631690000000001E-2</v>
      </c>
      <c r="Z775" s="1">
        <v>2.5626839999999999E-5</v>
      </c>
      <c r="AA775">
        <v>0.99978719999999999</v>
      </c>
      <c r="AB775">
        <v>32</v>
      </c>
      <c r="AC775">
        <v>178.6763</v>
      </c>
      <c r="AD775">
        <v>0.88317999999999897</v>
      </c>
      <c r="AE775">
        <v>-2.6673000000000102</v>
      </c>
      <c r="AF775">
        <v>3.6916984534225299</v>
      </c>
      <c r="AG775">
        <v>0.88317999999999897</v>
      </c>
      <c r="AH775">
        <v>178.653704346822</v>
      </c>
      <c r="AI775">
        <v>89.716819337141004</v>
      </c>
      <c r="AJ775">
        <v>88.816209029097905</v>
      </c>
      <c r="AK775">
        <v>178.69402542117899</v>
      </c>
      <c r="AL775">
        <v>78.010431361588104</v>
      </c>
      <c r="AM775">
        <v>95.660496692413602</v>
      </c>
      <c r="AN775">
        <v>0.99999997953779995</v>
      </c>
    </row>
    <row r="776" spans="1:40" x14ac:dyDescent="0.25">
      <c r="A776" t="str">
        <f>"20190304155029845"</f>
        <v>20190304155029845</v>
      </c>
      <c r="B776" t="str">
        <f>"1551685829836904"</f>
        <v>1551685829836904</v>
      </c>
      <c r="C776" t="s">
        <v>40</v>
      </c>
      <c r="D776">
        <v>5.3007</v>
      </c>
      <c r="E776">
        <v>0.54458109999999904</v>
      </c>
      <c r="F776" t="s">
        <v>43</v>
      </c>
      <c r="G776">
        <v>-158.19499999999999</v>
      </c>
      <c r="H776">
        <v>1.7578779999999901</v>
      </c>
      <c r="I776">
        <v>364.64120000000003</v>
      </c>
      <c r="J776">
        <v>-336.69119999999998</v>
      </c>
      <c r="K776">
        <v>1.1103799999999999</v>
      </c>
      <c r="L776">
        <v>367.4085</v>
      </c>
      <c r="M776">
        <v>0.99991459999999999</v>
      </c>
      <c r="N776">
        <v>-1.1696109999999999E-2</v>
      </c>
      <c r="O776">
        <v>5.8206890000000004E-3</v>
      </c>
      <c r="P776">
        <v>0.975267</v>
      </c>
      <c r="Q776">
        <v>0.19601199999999999</v>
      </c>
      <c r="R776">
        <v>0.1021451</v>
      </c>
      <c r="S776">
        <v>3.0790099999999998</v>
      </c>
      <c r="T776">
        <v>1.115942E-2</v>
      </c>
      <c r="U776">
        <v>-4.7668460000000003E-2</v>
      </c>
      <c r="V776">
        <v>-9.6526440000000005E-2</v>
      </c>
      <c r="W776">
        <v>0.20738470000000001</v>
      </c>
      <c r="X776">
        <v>0.97348559999999995</v>
      </c>
      <c r="Y776">
        <v>2.129965E-2</v>
      </c>
      <c r="Z776" s="1">
        <v>3.1952509999999998E-6</v>
      </c>
      <c r="AA776">
        <v>0.99977309999999997</v>
      </c>
      <c r="AB776">
        <v>32</v>
      </c>
      <c r="AC776">
        <v>178.49619999999999</v>
      </c>
      <c r="AD776">
        <v>0.64749799999999902</v>
      </c>
      <c r="AE776">
        <v>-2.7672999999999699</v>
      </c>
      <c r="AF776">
        <v>3.8062450397797498</v>
      </c>
      <c r="AG776">
        <v>0.64749799999999902</v>
      </c>
      <c r="AH776">
        <v>178.47471913874401</v>
      </c>
      <c r="AI776">
        <v>89.792181736585306</v>
      </c>
      <c r="AJ776">
        <v>88.778265493549696</v>
      </c>
      <c r="AK776">
        <v>178.516475784775</v>
      </c>
      <c r="AL776">
        <v>78.030867027128295</v>
      </c>
      <c r="AM776">
        <v>95.662681263903593</v>
      </c>
      <c r="AN776">
        <v>0.999999990410261</v>
      </c>
    </row>
    <row r="777" spans="1:40" x14ac:dyDescent="0.25">
      <c r="A777" t="str">
        <f>"20190304155029858"</f>
        <v>20190304155029858</v>
      </c>
      <c r="B777" t="str">
        <f>"1551685829847641"</f>
        <v>1551685829847641</v>
      </c>
      <c r="C777" t="s">
        <v>40</v>
      </c>
      <c r="D777">
        <v>4.4338379999999997</v>
      </c>
      <c r="E777">
        <v>0.54230749999999905</v>
      </c>
      <c r="F777" t="s">
        <v>43</v>
      </c>
      <c r="G777">
        <v>-158.19499999999999</v>
      </c>
      <c r="H777">
        <v>1.4787999999999999</v>
      </c>
      <c r="I777">
        <v>364.45870000000002</v>
      </c>
      <c r="J777">
        <v>-336.51780000000002</v>
      </c>
      <c r="K777">
        <v>1.110379</v>
      </c>
      <c r="L777">
        <v>367.40960000000001</v>
      </c>
      <c r="M777">
        <v>0.99991419999999998</v>
      </c>
      <c r="N777">
        <v>-1.1697219999999999E-2</v>
      </c>
      <c r="O777">
        <v>5.9040029999999997E-3</v>
      </c>
      <c r="P777">
        <v>0.97529339999999998</v>
      </c>
      <c r="Q777">
        <v>0.1959178</v>
      </c>
      <c r="R777">
        <v>0.10207479999999999</v>
      </c>
      <c r="S777">
        <v>3.080139</v>
      </c>
      <c r="T777">
        <v>6.3589809999999997E-3</v>
      </c>
      <c r="U777">
        <v>-5.0903320000000002E-2</v>
      </c>
      <c r="V777">
        <v>-9.6374719999999997E-2</v>
      </c>
      <c r="W777">
        <v>0.2072919</v>
      </c>
      <c r="X777">
        <v>0.97352039999999995</v>
      </c>
      <c r="Y777">
        <v>2.2427030000000001E-2</v>
      </c>
      <c r="Z777" s="1">
        <v>-2.6785720000000001E-5</v>
      </c>
      <c r="AA777">
        <v>0.99974850000000004</v>
      </c>
      <c r="AB777">
        <v>32</v>
      </c>
      <c r="AC777">
        <v>178.3228</v>
      </c>
      <c r="AD777">
        <v>0.368420999999999</v>
      </c>
      <c r="AE777">
        <v>-2.9508999999999901</v>
      </c>
      <c r="AF777">
        <v>4.0037218095026397</v>
      </c>
      <c r="AG777">
        <v>0.368420999999999</v>
      </c>
      <c r="AH777">
        <v>178.30150744173</v>
      </c>
      <c r="AI777">
        <v>89.881640828920595</v>
      </c>
      <c r="AJ777">
        <v>88.713651826203701</v>
      </c>
      <c r="AK777">
        <v>178.34683366506499</v>
      </c>
      <c r="AL777">
        <v>78.036302226917599</v>
      </c>
      <c r="AM777">
        <v>95.653637592124795</v>
      </c>
      <c r="AN777">
        <v>0.99999999383842397</v>
      </c>
    </row>
    <row r="778" spans="1:40" x14ac:dyDescent="0.25">
      <c r="A778" t="str">
        <f>"20190304155029870"</f>
        <v>20190304155029870</v>
      </c>
      <c r="B778" t="str">
        <f>"1551685829867160"</f>
        <v>1551685829867160</v>
      </c>
      <c r="C778" t="s">
        <v>40</v>
      </c>
      <c r="D778">
        <v>5.3768229999999999</v>
      </c>
      <c r="E778">
        <v>0.54315279999999999</v>
      </c>
      <c r="F778" t="s">
        <v>43</v>
      </c>
      <c r="G778">
        <v>-158.19499999999999</v>
      </c>
      <c r="H778">
        <v>1.73718499999999</v>
      </c>
      <c r="I778">
        <v>365.5068</v>
      </c>
      <c r="J778">
        <v>-336.35320000000002</v>
      </c>
      <c r="K778">
        <v>1.110374</v>
      </c>
      <c r="L778">
        <v>367.41070000000002</v>
      </c>
      <c r="M778">
        <v>0.99991379999999996</v>
      </c>
      <c r="N778">
        <v>-1.169827E-2</v>
      </c>
      <c r="O778">
        <v>5.9826669999999997E-3</v>
      </c>
      <c r="P778">
        <v>0.97535380000000005</v>
      </c>
      <c r="Q778">
        <v>0.1956775</v>
      </c>
      <c r="R778">
        <v>0.1019568</v>
      </c>
      <c r="S778">
        <v>3.0773009999999998</v>
      </c>
      <c r="T778">
        <v>1.081824E-2</v>
      </c>
      <c r="U778">
        <v>-3.2836909999999997E-2</v>
      </c>
      <c r="V778">
        <v>-9.6178710000000001E-2</v>
      </c>
      <c r="W778">
        <v>0.20705299999999999</v>
      </c>
      <c r="X778">
        <v>0.97359059999999997</v>
      </c>
      <c r="Y778">
        <v>1.6652170000000001E-2</v>
      </c>
      <c r="Z778" s="1">
        <v>2.2880749999999999E-5</v>
      </c>
      <c r="AA778">
        <v>0.99986140000000001</v>
      </c>
      <c r="AB778">
        <v>32</v>
      </c>
      <c r="AC778">
        <v>178.15819999999999</v>
      </c>
      <c r="AD778">
        <v>0.62681099999999901</v>
      </c>
      <c r="AE778">
        <v>-1.9039000000000199</v>
      </c>
      <c r="AF778">
        <v>2.9697631559236402</v>
      </c>
      <c r="AG778">
        <v>0.62681099999999901</v>
      </c>
      <c r="AH778">
        <v>178.141415172823</v>
      </c>
      <c r="AI778">
        <v>89.798427068628001</v>
      </c>
      <c r="AJ778">
        <v>89.044920943746405</v>
      </c>
      <c r="AK778">
        <v>178.16727024066</v>
      </c>
      <c r="AL778">
        <v>78.050293486673695</v>
      </c>
      <c r="AM778">
        <v>95.641809107608097</v>
      </c>
      <c r="AN778">
        <v>0.999999972737311</v>
      </c>
    </row>
    <row r="779" spans="1:40" x14ac:dyDescent="0.25">
      <c r="A779" t="str">
        <f>"20190304155029883"</f>
        <v>20190304155029883</v>
      </c>
      <c r="B779" t="str">
        <f>"1551685829877896"</f>
        <v>1551685829877896</v>
      </c>
      <c r="C779" t="s">
        <v>40</v>
      </c>
      <c r="D779">
        <v>4.5230810000000004</v>
      </c>
      <c r="E779">
        <v>0.54173079999999996</v>
      </c>
      <c r="F779" t="s">
        <v>43</v>
      </c>
      <c r="G779">
        <v>-158.19499999999999</v>
      </c>
      <c r="H779">
        <v>1.5716490000000001</v>
      </c>
      <c r="I779">
        <v>365.10059999999999</v>
      </c>
      <c r="J779">
        <v>-336.14879999999999</v>
      </c>
      <c r="K779">
        <v>1.1103749999999999</v>
      </c>
      <c r="L779">
        <v>367.41199999999998</v>
      </c>
      <c r="M779">
        <v>0.9999131</v>
      </c>
      <c r="N779">
        <v>-1.1699569999999999E-2</v>
      </c>
      <c r="O779">
        <v>6.0791459999999997E-3</v>
      </c>
      <c r="P779">
        <v>0.97539089999999995</v>
      </c>
      <c r="Q779">
        <v>0.195517</v>
      </c>
      <c r="R779">
        <v>0.10190979999999999</v>
      </c>
      <c r="S779">
        <v>3.0783999999999998</v>
      </c>
      <c r="T779">
        <v>7.9718830000000008E-3</v>
      </c>
      <c r="U779">
        <v>-3.9916989999999999E-2</v>
      </c>
      <c r="V779">
        <v>-9.6037139999999993E-2</v>
      </c>
      <c r="W779">
        <v>0.20689489999999999</v>
      </c>
      <c r="X779">
        <v>0.97363820000000001</v>
      </c>
      <c r="Y779">
        <v>1.9044120000000001E-2</v>
      </c>
      <c r="Z779" s="1">
        <v>1.09445E-7</v>
      </c>
      <c r="AA779">
        <v>0.9998186</v>
      </c>
      <c r="AB779">
        <v>32</v>
      </c>
      <c r="AC779">
        <v>177.9538</v>
      </c>
      <c r="AD779">
        <v>0.46127400000000002</v>
      </c>
      <c r="AE779">
        <v>-2.3113999999999901</v>
      </c>
      <c r="AF779">
        <v>3.3932156429521401</v>
      </c>
      <c r="AG779">
        <v>0.46127400000000002</v>
      </c>
      <c r="AH779">
        <v>177.935263646311</v>
      </c>
      <c r="AI779">
        <v>89.851495485693107</v>
      </c>
      <c r="AJ779">
        <v>88.907505071931496</v>
      </c>
      <c r="AK779">
        <v>177.96821270941899</v>
      </c>
      <c r="AL779">
        <v>78.059552626210106</v>
      </c>
      <c r="AM779">
        <v>95.633284473627</v>
      </c>
      <c r="AN779">
        <v>0.99999998820231395</v>
      </c>
    </row>
    <row r="780" spans="1:40" x14ac:dyDescent="0.25">
      <c r="A780" t="str">
        <f>"20190304155029901"</f>
        <v>20190304155029901</v>
      </c>
      <c r="B780" t="str">
        <f>"1551685829897416"</f>
        <v>1551685829897416</v>
      </c>
      <c r="C780" t="s">
        <v>40</v>
      </c>
      <c r="D780">
        <v>5.2253740000000004</v>
      </c>
      <c r="E780">
        <v>0.54263739999999905</v>
      </c>
      <c r="F780" t="s">
        <v>43</v>
      </c>
      <c r="G780">
        <v>-158.19499999999999</v>
      </c>
      <c r="H780">
        <v>1.5871409999999999</v>
      </c>
      <c r="I780">
        <v>365.75299999999999</v>
      </c>
      <c r="J780">
        <v>-335.91539999999998</v>
      </c>
      <c r="K780">
        <v>1.1103700000000001</v>
      </c>
      <c r="L780">
        <v>367.41359999999997</v>
      </c>
      <c r="M780">
        <v>0.99991249999999998</v>
      </c>
      <c r="N780">
        <v>-1.1701049999999999E-2</v>
      </c>
      <c r="O780">
        <v>6.1880140000000004E-3</v>
      </c>
      <c r="P780">
        <v>0.97539279999999995</v>
      </c>
      <c r="Q780">
        <v>0.19557849999999999</v>
      </c>
      <c r="R780">
        <v>0.1017754</v>
      </c>
      <c r="S780">
        <v>3.077026</v>
      </c>
      <c r="T780">
        <v>8.2453490000000008E-3</v>
      </c>
      <c r="U780">
        <v>-2.868652E-2</v>
      </c>
      <c r="V780">
        <v>-9.5796270000000003E-2</v>
      </c>
      <c r="W780">
        <v>0.20695830000000001</v>
      </c>
      <c r="X780">
        <v>0.97364850000000003</v>
      </c>
      <c r="Y780">
        <v>1.550994E-2</v>
      </c>
      <c r="Z780" s="1">
        <v>1.9021909999999999E-5</v>
      </c>
      <c r="AA780">
        <v>0.99987969999999904</v>
      </c>
      <c r="AB780">
        <v>32</v>
      </c>
      <c r="AC780">
        <v>177.72039999999899</v>
      </c>
      <c r="AD780">
        <v>0.476770999999999</v>
      </c>
      <c r="AE780">
        <v>-1.6605999999999299</v>
      </c>
      <c r="AF780">
        <v>2.7603598360446702</v>
      </c>
      <c r="AG780">
        <v>0.476770999999999</v>
      </c>
      <c r="AH780">
        <v>177.70544157630599</v>
      </c>
      <c r="AI780">
        <v>89.846298428767696</v>
      </c>
      <c r="AJ780">
        <v>89.110076491238004</v>
      </c>
      <c r="AK780">
        <v>177.72751858629201</v>
      </c>
      <c r="AL780">
        <v>78.055840249110204</v>
      </c>
      <c r="AM780">
        <v>95.619187150307496</v>
      </c>
      <c r="AN780">
        <v>1.0000000324185201</v>
      </c>
    </row>
    <row r="781" spans="1:40" x14ac:dyDescent="0.25">
      <c r="A781" t="str">
        <f>"20190304155029914"</f>
        <v>20190304155029914</v>
      </c>
      <c r="B781" t="str">
        <f>"1551685829907177"</f>
        <v>1551685829907177</v>
      </c>
      <c r="C781" t="s">
        <v>40</v>
      </c>
      <c r="D781">
        <v>5.2359580000000001</v>
      </c>
      <c r="E781">
        <v>0.5429503</v>
      </c>
      <c r="F781" t="s">
        <v>43</v>
      </c>
      <c r="G781">
        <v>-158.19499999999999</v>
      </c>
      <c r="H781">
        <v>1.0837749999999999</v>
      </c>
      <c r="I781">
        <v>365.33190000000002</v>
      </c>
      <c r="J781">
        <v>-335.71499999999997</v>
      </c>
      <c r="K781">
        <v>1.1103670000000001</v>
      </c>
      <c r="L781">
        <v>367.41489999999999</v>
      </c>
      <c r="M781">
        <v>0.99991189999999996</v>
      </c>
      <c r="N781">
        <v>-1.170233E-2</v>
      </c>
      <c r="O781">
        <v>6.2802509999999997E-3</v>
      </c>
      <c r="P781">
        <v>0.97537689999999999</v>
      </c>
      <c r="Q781">
        <v>0.1956214</v>
      </c>
      <c r="R781">
        <v>0.1018453</v>
      </c>
      <c r="S781">
        <v>3.079529</v>
      </c>
      <c r="T781">
        <v>-4.5931340000000001E-4</v>
      </c>
      <c r="U781">
        <v>-3.6071779999999998E-2</v>
      </c>
      <c r="V781">
        <v>-9.5775369999999999E-2</v>
      </c>
      <c r="W781">
        <v>0.20700260000000001</v>
      </c>
      <c r="X781">
        <v>0.97364110000000004</v>
      </c>
      <c r="Y781">
        <v>1.7992190000000002E-2</v>
      </c>
      <c r="Z781" s="1">
        <v>-3.4067630000000001E-5</v>
      </c>
      <c r="AA781">
        <v>0.99983809999999995</v>
      </c>
      <c r="AB781">
        <v>32</v>
      </c>
      <c r="AC781">
        <v>177.51999999999899</v>
      </c>
      <c r="AD781">
        <v>-2.6592000000000102E-2</v>
      </c>
      <c r="AE781">
        <v>-2.08299999999997</v>
      </c>
      <c r="AF781">
        <v>3.19790523881943</v>
      </c>
      <c r="AG781">
        <v>-2.6592000000000102E-2</v>
      </c>
      <c r="AH781">
        <v>177.50341201457101</v>
      </c>
      <c r="AI781">
        <v>90.008582157018907</v>
      </c>
      <c r="AJ781">
        <v>88.967869678973699</v>
      </c>
      <c r="AK781">
        <v>177.532218433346</v>
      </c>
      <c r="AL781">
        <v>78.053245408414497</v>
      </c>
      <c r="AM781">
        <v>95.618011473469195</v>
      </c>
      <c r="AN781">
        <v>0.99999999475730295</v>
      </c>
    </row>
    <row r="782" spans="1:40" x14ac:dyDescent="0.25">
      <c r="A782" t="str">
        <f>"20190304155029934"</f>
        <v>20190304155029934</v>
      </c>
      <c r="B782" t="str">
        <f>"1551685829927675"</f>
        <v>1551685829927675</v>
      </c>
      <c r="C782" t="s">
        <v>40</v>
      </c>
      <c r="D782">
        <v>5.1542110000000001</v>
      </c>
      <c r="E782">
        <v>0.54325880000000004</v>
      </c>
      <c r="F782" t="s">
        <v>43</v>
      </c>
      <c r="G782">
        <v>-158.19499999999999</v>
      </c>
      <c r="H782">
        <v>0.88870260000000001</v>
      </c>
      <c r="I782">
        <v>365.20080000000002</v>
      </c>
      <c r="J782">
        <v>-335.44159999999999</v>
      </c>
      <c r="K782">
        <v>1.1103670000000001</v>
      </c>
      <c r="L782">
        <v>367.41669999999999</v>
      </c>
      <c r="M782">
        <v>0.9999112</v>
      </c>
      <c r="N782">
        <v>-1.1704050000000001E-2</v>
      </c>
      <c r="O782">
        <v>6.4028640000000003E-3</v>
      </c>
      <c r="P782">
        <v>0.97539140000000002</v>
      </c>
      <c r="Q782">
        <v>0.1955324</v>
      </c>
      <c r="R782">
        <v>0.1018776</v>
      </c>
      <c r="S782">
        <v>3.0804749999999999</v>
      </c>
      <c r="T782">
        <v>-3.8449759999999999E-3</v>
      </c>
      <c r="U782">
        <v>-3.8421629999999998E-2</v>
      </c>
      <c r="V782">
        <v>-9.5686640000000003E-2</v>
      </c>
      <c r="W782">
        <v>0.2069163</v>
      </c>
      <c r="X782">
        <v>0.97366819999999998</v>
      </c>
      <c r="Y782">
        <v>1.8873709999999998E-2</v>
      </c>
      <c r="Z782" s="1">
        <v>-5.5288999999999999E-5</v>
      </c>
      <c r="AA782">
        <v>0.99982190000000004</v>
      </c>
      <c r="AB782">
        <v>32</v>
      </c>
      <c r="AC782">
        <v>177.2466</v>
      </c>
      <c r="AD782">
        <v>-0.22166440000000001</v>
      </c>
      <c r="AE782">
        <v>-2.2158999999999698</v>
      </c>
      <c r="AF782">
        <v>3.3508127235530298</v>
      </c>
      <c r="AG782">
        <v>-0.22166440000000001</v>
      </c>
      <c r="AH782">
        <v>177.228499989363</v>
      </c>
      <c r="AI782">
        <v>90.071648513641094</v>
      </c>
      <c r="AJ782">
        <v>88.916852787948997</v>
      </c>
      <c r="AK782">
        <v>177.26031222327799</v>
      </c>
      <c r="AL782">
        <v>78.058299835196905</v>
      </c>
      <c r="AM782">
        <v>95.6126847568801</v>
      </c>
      <c r="AN782">
        <v>1.0000000259857</v>
      </c>
    </row>
    <row r="783" spans="1:40" x14ac:dyDescent="0.25">
      <c r="A783" t="str">
        <f>"20190304155029944"</f>
        <v>20190304155029944</v>
      </c>
      <c r="B783" t="str">
        <f>"1551685829936964"</f>
        <v>1551685829936964</v>
      </c>
      <c r="C783" t="s">
        <v>40</v>
      </c>
      <c r="D783">
        <v>4.2408570000000001</v>
      </c>
      <c r="E783">
        <v>0.55040909999999998</v>
      </c>
      <c r="F783" t="s">
        <v>43</v>
      </c>
      <c r="G783">
        <v>-158.19499999999999</v>
      </c>
      <c r="H783">
        <v>0.62853930000000002</v>
      </c>
      <c r="I783">
        <v>365.09620000000001</v>
      </c>
      <c r="J783">
        <v>-335.28089999999997</v>
      </c>
      <c r="K783">
        <v>1.1103620000000001</v>
      </c>
      <c r="L783">
        <v>367.4178</v>
      </c>
      <c r="M783">
        <v>0.99991050000000004</v>
      </c>
      <c r="N783">
        <v>-1.170504E-2</v>
      </c>
      <c r="O783">
        <v>6.4729210000000004E-3</v>
      </c>
      <c r="P783">
        <v>0.97534609999999999</v>
      </c>
      <c r="Q783">
        <v>0.19566169999999999</v>
      </c>
      <c r="R783">
        <v>0.1020624</v>
      </c>
      <c r="S783">
        <v>3.081604</v>
      </c>
      <c r="T783">
        <v>-8.375525E-3</v>
      </c>
      <c r="U783">
        <v>-4.0344240000000003E-2</v>
      </c>
      <c r="V783">
        <v>-9.5801849999999994E-2</v>
      </c>
      <c r="W783">
        <v>0.20704690000000001</v>
      </c>
      <c r="X783">
        <v>0.97362910000000003</v>
      </c>
      <c r="Y783">
        <v>1.956273E-2</v>
      </c>
      <c r="Z783" s="1">
        <v>-8.2911859999999999E-5</v>
      </c>
      <c r="AA783">
        <v>0.99980860000000005</v>
      </c>
      <c r="AB783">
        <v>32</v>
      </c>
      <c r="AC783">
        <v>177.08589999999899</v>
      </c>
      <c r="AD783">
        <v>-0.48182269999999999</v>
      </c>
      <c r="AE783">
        <v>-2.3215999999999801</v>
      </c>
      <c r="AF783">
        <v>3.46786731014019</v>
      </c>
      <c r="AG783">
        <v>-0.48182269999999999</v>
      </c>
      <c r="AH783">
        <v>177.06585046421401</v>
      </c>
      <c r="AI783">
        <v>90.1558801197951</v>
      </c>
      <c r="AJ783">
        <v>88.877995044734107</v>
      </c>
      <c r="AK783">
        <v>177.10046204742201</v>
      </c>
      <c r="AL783">
        <v>78.050651291040296</v>
      </c>
      <c r="AM783">
        <v>95.619623619845001</v>
      </c>
      <c r="AN783">
        <v>1.0000000188149201</v>
      </c>
    </row>
    <row r="784" spans="1:40" x14ac:dyDescent="0.25">
      <c r="A784" t="str">
        <f>"20190304155029956"</f>
        <v>20190304155029956</v>
      </c>
      <c r="B784" t="str">
        <f>"1551685829947700"</f>
        <v>1551685829947700</v>
      </c>
      <c r="C784" t="s">
        <v>40</v>
      </c>
      <c r="D784">
        <v>4.8005190000000004</v>
      </c>
      <c r="E784">
        <v>0.54630489999999998</v>
      </c>
      <c r="F784" t="s">
        <v>43</v>
      </c>
      <c r="G784">
        <v>-158.19499999999999</v>
      </c>
      <c r="H784">
        <v>16.31898</v>
      </c>
      <c r="I784">
        <v>361.85250000000002</v>
      </c>
      <c r="J784">
        <v>-335.11829999999998</v>
      </c>
      <c r="K784">
        <v>1.1103590000000001</v>
      </c>
      <c r="L784">
        <v>367.41890000000001</v>
      </c>
      <c r="M784">
        <v>0.99991010000000002</v>
      </c>
      <c r="N784">
        <v>-1.1706050000000001E-2</v>
      </c>
      <c r="O784">
        <v>6.5407640000000001E-3</v>
      </c>
      <c r="P784">
        <v>0.97537240000000003</v>
      </c>
      <c r="Q784">
        <v>0.1955662</v>
      </c>
      <c r="R784">
        <v>0.1019934</v>
      </c>
      <c r="S784">
        <v>3.0335390000000002</v>
      </c>
      <c r="T784">
        <v>0.26052989999999998</v>
      </c>
      <c r="U784">
        <v>-9.5336909999999997E-2</v>
      </c>
      <c r="V784">
        <v>-9.5665449999999999E-2</v>
      </c>
      <c r="W784">
        <v>0.2069532</v>
      </c>
      <c r="X784">
        <v>0.97366240000000004</v>
      </c>
      <c r="Y784">
        <v>3.7798390000000001E-2</v>
      </c>
      <c r="Z784">
        <v>2.0350680000000001E-3</v>
      </c>
      <c r="AA784">
        <v>0.99928329999999999</v>
      </c>
      <c r="AB784">
        <v>32</v>
      </c>
      <c r="AC784">
        <v>176.92329999999899</v>
      </c>
      <c r="AD784">
        <v>15.208621000000001</v>
      </c>
      <c r="AE784">
        <v>-5.5663999999999803</v>
      </c>
      <c r="AF784">
        <v>6.6743033718243296</v>
      </c>
      <c r="AG784">
        <v>15.208621000000001</v>
      </c>
      <c r="AH784">
        <v>175.58690380943801</v>
      </c>
      <c r="AI784">
        <v>85.053183205706404</v>
      </c>
      <c r="AJ784">
        <v>87.823155435929806</v>
      </c>
      <c r="AK784">
        <v>176.37065874914001</v>
      </c>
      <c r="AL784">
        <v>78.0561383762779</v>
      </c>
      <c r="AM784">
        <v>95.611482963680203</v>
      </c>
      <c r="AN784">
        <v>0.99999998724385097</v>
      </c>
    </row>
    <row r="785" spans="1:40" x14ac:dyDescent="0.25">
      <c r="A785" t="str">
        <f>"20190304155029967"</f>
        <v>20190304155029967</v>
      </c>
      <c r="B785" t="str">
        <f>"1551685829957460"</f>
        <v>1551685829957460</v>
      </c>
      <c r="C785" t="s">
        <v>40</v>
      </c>
      <c r="D785">
        <v>5.2346009999999996</v>
      </c>
      <c r="E785">
        <v>0.54651810000000001</v>
      </c>
      <c r="F785" t="s">
        <v>43</v>
      </c>
      <c r="G785">
        <v>-168.84350000000001</v>
      </c>
      <c r="H785">
        <v>10.80184</v>
      </c>
      <c r="I785">
        <v>363.97640000000001</v>
      </c>
      <c r="J785">
        <v>-334.95639999999997</v>
      </c>
      <c r="K785">
        <v>1.1103559999999999</v>
      </c>
      <c r="L785">
        <v>367.42</v>
      </c>
      <c r="M785">
        <v>0.99990979999999996</v>
      </c>
      <c r="N785">
        <v>-1.170706E-2</v>
      </c>
      <c r="O785">
        <v>6.6070540000000002E-3</v>
      </c>
      <c r="P785">
        <v>0.97540009999999999</v>
      </c>
      <c r="Q785">
        <v>0.1954409</v>
      </c>
      <c r="R785">
        <v>0.1019695</v>
      </c>
      <c r="S785">
        <v>3.0467529999999998</v>
      </c>
      <c r="T785">
        <v>0.177584299999999</v>
      </c>
      <c r="U785">
        <v>-6.3079830000000003E-2</v>
      </c>
      <c r="V785">
        <v>-9.5575149999999998E-2</v>
      </c>
      <c r="W785">
        <v>0.20683000000000001</v>
      </c>
      <c r="X785">
        <v>0.97369749999999999</v>
      </c>
      <c r="Y785">
        <v>2.725207E-2</v>
      </c>
      <c r="Z785">
        <v>1.095805E-3</v>
      </c>
      <c r="AA785">
        <v>0.99962799999999996</v>
      </c>
      <c r="AB785">
        <v>32</v>
      </c>
      <c r="AC785">
        <v>166.112899999999</v>
      </c>
      <c r="AD785">
        <v>9.6914840000000009</v>
      </c>
      <c r="AE785">
        <v>-3.4436</v>
      </c>
      <c r="AF785">
        <v>4.5257184006615496</v>
      </c>
      <c r="AG785">
        <v>9.6914840000000009</v>
      </c>
      <c r="AH785">
        <v>165.523341131227</v>
      </c>
      <c r="AI785">
        <v>86.650374726284795</v>
      </c>
      <c r="AJ785">
        <v>88.433816197672101</v>
      </c>
      <c r="AK785">
        <v>165.86857281718301</v>
      </c>
      <c r="AL785">
        <v>78.063353957065999</v>
      </c>
      <c r="AM785">
        <v>95.606019156008998</v>
      </c>
      <c r="AN785">
        <v>1.00000003985188</v>
      </c>
    </row>
    <row r="786" spans="1:40" x14ac:dyDescent="0.25">
      <c r="A786" t="str">
        <f>"20190304155029978"</f>
        <v>20190304155029978</v>
      </c>
      <c r="B786" t="str">
        <f>"1551685829976980"</f>
        <v>1551685829976980</v>
      </c>
      <c r="C786" t="s">
        <v>40</v>
      </c>
      <c r="D786">
        <v>5.2369159999999999</v>
      </c>
      <c r="E786">
        <v>0.54661749999999998</v>
      </c>
      <c r="F786" t="s">
        <v>43</v>
      </c>
      <c r="G786">
        <v>-170.08879999999999</v>
      </c>
      <c r="H786">
        <v>7.4187989999999999</v>
      </c>
      <c r="I786">
        <v>363.91840000000002</v>
      </c>
      <c r="J786">
        <v>-334.78809999999999</v>
      </c>
      <c r="K786">
        <v>1.1103540000000001</v>
      </c>
      <c r="L786">
        <v>367.42129999999997</v>
      </c>
      <c r="M786">
        <v>0.9999093</v>
      </c>
      <c r="N786">
        <v>-1.1708100000000001E-2</v>
      </c>
      <c r="O786">
        <v>6.6696809999999898E-3</v>
      </c>
      <c r="P786">
        <v>0.97542119999999999</v>
      </c>
      <c r="Q786">
        <v>0.1953337</v>
      </c>
      <c r="R786">
        <v>0.1019728</v>
      </c>
      <c r="S786">
        <v>3.059021</v>
      </c>
      <c r="T786">
        <v>0.117051</v>
      </c>
      <c r="U786">
        <v>-6.4971920000000002E-2</v>
      </c>
      <c r="V786">
        <v>-9.5514600000000005E-2</v>
      </c>
      <c r="W786">
        <v>0.20672550000000001</v>
      </c>
      <c r="X786">
        <v>0.97372559999999997</v>
      </c>
      <c r="Y786">
        <v>2.788036E-2</v>
      </c>
      <c r="Z786">
        <v>7.0301229999999895E-4</v>
      </c>
      <c r="AA786">
        <v>0.99961100000000003</v>
      </c>
      <c r="AB786">
        <v>32</v>
      </c>
      <c r="AC786">
        <v>164.69929999999999</v>
      </c>
      <c r="AD786">
        <v>6.3084449999999999</v>
      </c>
      <c r="AE786">
        <v>-3.5028999999999502</v>
      </c>
      <c r="AF786">
        <v>4.5946512840654403</v>
      </c>
      <c r="AG786">
        <v>6.3084449999999999</v>
      </c>
      <c r="AH786">
        <v>164.431142694329</v>
      </c>
      <c r="AI786">
        <v>87.803765949341596</v>
      </c>
      <c r="AJ786">
        <v>88.399417294963499</v>
      </c>
      <c r="AK786">
        <v>164.61624460089899</v>
      </c>
      <c r="AL786">
        <v>78.069473234307907</v>
      </c>
      <c r="AM786">
        <v>95.602329511569394</v>
      </c>
      <c r="AN786">
        <v>1.00000000762938</v>
      </c>
    </row>
    <row r="787" spans="1:40" x14ac:dyDescent="0.25">
      <c r="A787" t="str">
        <f>"20190304155029990"</f>
        <v>20190304155029990</v>
      </c>
      <c r="B787" t="str">
        <f>"1551685829987716"</f>
        <v>1551685829987716</v>
      </c>
      <c r="C787" t="s">
        <v>40</v>
      </c>
      <c r="D787">
        <v>4.860023</v>
      </c>
      <c r="E787">
        <v>0.54642380000000002</v>
      </c>
      <c r="F787" t="s">
        <v>43</v>
      </c>
      <c r="G787">
        <v>-170.08879999999999</v>
      </c>
      <c r="H787">
        <v>7.1423030000000001</v>
      </c>
      <c r="I787">
        <v>363.8784</v>
      </c>
      <c r="J787">
        <v>-334.62450000000001</v>
      </c>
      <c r="K787">
        <v>1.1103479999999999</v>
      </c>
      <c r="L787">
        <v>367.42239999999998</v>
      </c>
      <c r="M787">
        <v>0.99990889999999999</v>
      </c>
      <c r="N787">
        <v>-1.170911E-2</v>
      </c>
      <c r="O787">
        <v>6.7278919999999897E-3</v>
      </c>
      <c r="P787">
        <v>0.9753735</v>
      </c>
      <c r="Q787">
        <v>0.19560649999999999</v>
      </c>
      <c r="R787">
        <v>0.1019065</v>
      </c>
      <c r="S787">
        <v>3.0600589999999999</v>
      </c>
      <c r="T787">
        <v>0.1120732</v>
      </c>
      <c r="U787">
        <v>-6.5826419999999997E-2</v>
      </c>
      <c r="V787">
        <v>-9.5389160000000001E-2</v>
      </c>
      <c r="W787">
        <v>0.20699980000000001</v>
      </c>
      <c r="X787">
        <v>0.97367959999999998</v>
      </c>
      <c r="Y787">
        <v>2.8212109999999999E-2</v>
      </c>
      <c r="Z787">
        <v>6.7619610000000004E-4</v>
      </c>
      <c r="AA787">
        <v>0.99960170000000004</v>
      </c>
      <c r="AB787">
        <v>32</v>
      </c>
      <c r="AC787">
        <v>164.53569999999999</v>
      </c>
      <c r="AD787">
        <v>6.031955</v>
      </c>
      <c r="AE787">
        <v>-3.5439999999999801</v>
      </c>
      <c r="AF787">
        <v>4.6447344148010803</v>
      </c>
      <c r="AG787">
        <v>6.031955</v>
      </c>
      <c r="AH787">
        <v>164.28743214658701</v>
      </c>
      <c r="AI787">
        <v>87.898119579236607</v>
      </c>
      <c r="AJ787">
        <v>88.380565057943699</v>
      </c>
      <c r="AK787">
        <v>164.46372974071099</v>
      </c>
      <c r="AL787">
        <v>78.053409285167305</v>
      </c>
      <c r="AM787">
        <v>95.595281298290004</v>
      </c>
      <c r="AN787">
        <v>0.99999998625085196</v>
      </c>
    </row>
    <row r="788" spans="1:40" x14ac:dyDescent="0.25">
      <c r="A788" t="str">
        <f>"20190304155030002"</f>
        <v>20190304155030002</v>
      </c>
      <c r="B788" t="str">
        <f>"1551685829997476"</f>
        <v>1551685829997476</v>
      </c>
      <c r="C788" t="s">
        <v>40</v>
      </c>
      <c r="D788">
        <v>5.2435400000000003</v>
      </c>
      <c r="E788">
        <v>0.54617329999999997</v>
      </c>
      <c r="F788" t="s">
        <v>43</v>
      </c>
      <c r="G788">
        <v>-170.08879999999999</v>
      </c>
      <c r="H788">
        <v>7.3438489999999996</v>
      </c>
      <c r="I788">
        <v>363.96080000000001</v>
      </c>
      <c r="J788">
        <v>-334.45620000000002</v>
      </c>
      <c r="K788">
        <v>1.1103449999999999</v>
      </c>
      <c r="L788">
        <v>367.42360000000002</v>
      </c>
      <c r="M788">
        <v>0.99990849999999998</v>
      </c>
      <c r="N788">
        <v>-1.1710140000000001E-2</v>
      </c>
      <c r="O788">
        <v>6.7813739999999997E-3</v>
      </c>
      <c r="P788">
        <v>0.97536469999999997</v>
      </c>
      <c r="Q788">
        <v>0.19561629999999999</v>
      </c>
      <c r="R788">
        <v>0.10197100000000001</v>
      </c>
      <c r="S788">
        <v>3.0592649999999999</v>
      </c>
      <c r="T788">
        <v>0.11590300000000001</v>
      </c>
      <c r="U788">
        <v>-6.4361570000000007E-2</v>
      </c>
      <c r="V788">
        <v>-9.5397709999999997E-2</v>
      </c>
      <c r="W788">
        <v>0.20701240000000001</v>
      </c>
      <c r="X788">
        <v>0.97367610000000004</v>
      </c>
      <c r="Y788">
        <v>2.7791349999999999E-2</v>
      </c>
      <c r="Z788">
        <v>6.9958649999999896E-4</v>
      </c>
      <c r="AA788">
        <v>0.99961350000000004</v>
      </c>
      <c r="AB788">
        <v>32</v>
      </c>
      <c r="AC788">
        <v>164.3674</v>
      </c>
      <c r="AD788">
        <v>6.2335039999999999</v>
      </c>
      <c r="AE788">
        <v>-3.4628000000000099</v>
      </c>
      <c r="AF788">
        <v>4.5708624348673697</v>
      </c>
      <c r="AG788">
        <v>6.2335039999999999</v>
      </c>
      <c r="AH788">
        <v>164.10421840966001</v>
      </c>
      <c r="AI788">
        <v>87.825506338460599</v>
      </c>
      <c r="AJ788">
        <v>88.404529547407094</v>
      </c>
      <c r="AK788">
        <v>164.286164528125</v>
      </c>
      <c r="AL788">
        <v>78.052671569140898</v>
      </c>
      <c r="AM788">
        <v>95.595799623306405</v>
      </c>
      <c r="AN788">
        <v>1.0000000022691</v>
      </c>
    </row>
    <row r="789" spans="1:40" x14ac:dyDescent="0.25">
      <c r="A789" t="str">
        <f>"20190304155030014"</f>
        <v>20190304155030014</v>
      </c>
      <c r="B789" t="str">
        <f>"1551685830007235"</f>
        <v>1551685830007235</v>
      </c>
      <c r="C789" t="s">
        <v>40</v>
      </c>
      <c r="D789">
        <v>5.2485059999999999</v>
      </c>
      <c r="E789">
        <v>0.54687680000000005</v>
      </c>
      <c r="F789" t="s">
        <v>43</v>
      </c>
      <c r="G789">
        <v>-165.45519999999999</v>
      </c>
      <c r="H789">
        <v>6.6740890000000004</v>
      </c>
      <c r="I789">
        <v>363.99930000000001</v>
      </c>
      <c r="J789">
        <v>-334.29289999999997</v>
      </c>
      <c r="K789">
        <v>1.1103350000000001</v>
      </c>
      <c r="L789">
        <v>367.42469999999997</v>
      </c>
      <c r="M789">
        <v>0.99990829999999997</v>
      </c>
      <c r="N789">
        <v>-1.171114E-2</v>
      </c>
      <c r="O789">
        <v>6.828649E-3</v>
      </c>
      <c r="P789">
        <v>0.97529770000000005</v>
      </c>
      <c r="Q789">
        <v>0.19585859999999999</v>
      </c>
      <c r="R789">
        <v>0.1021464</v>
      </c>
      <c r="S789">
        <v>3.0620419999999999</v>
      </c>
      <c r="T789">
        <v>0.1008081</v>
      </c>
      <c r="U789">
        <v>-6.2042239999999999E-2</v>
      </c>
      <c r="V789">
        <v>-9.5524070000000003E-2</v>
      </c>
      <c r="W789">
        <v>0.20725640000000001</v>
      </c>
      <c r="X789">
        <v>0.97361180000000003</v>
      </c>
      <c r="Y789">
        <v>2.706857E-2</v>
      </c>
      <c r="Z789">
        <v>5.9152230000000003E-4</v>
      </c>
      <c r="AA789">
        <v>0.99963340000000001</v>
      </c>
      <c r="AB789">
        <v>32</v>
      </c>
      <c r="AC789">
        <v>168.83769999999899</v>
      </c>
      <c r="AD789">
        <v>5.5637540000000003</v>
      </c>
      <c r="AE789">
        <v>-3.4253999999999598</v>
      </c>
      <c r="AF789">
        <v>4.5733681029064099</v>
      </c>
      <c r="AG789">
        <v>5.5637540000000003</v>
      </c>
      <c r="AH789">
        <v>168.627330380476</v>
      </c>
      <c r="AI789">
        <v>88.110941023893204</v>
      </c>
      <c r="AJ789">
        <v>88.446453068749904</v>
      </c>
      <c r="AK789">
        <v>168.78106412042601</v>
      </c>
      <c r="AL789">
        <v>78.038381457447898</v>
      </c>
      <c r="AM789">
        <v>95.603532153945807</v>
      </c>
      <c r="AN789">
        <v>1.00000000019478</v>
      </c>
    </row>
    <row r="790" spans="1:40" x14ac:dyDescent="0.25">
      <c r="A790" t="str">
        <f>"20190304155030025"</f>
        <v>20190304155030025</v>
      </c>
      <c r="B790" t="str">
        <f>"1551685830016995"</f>
        <v>1551685830016995</v>
      </c>
      <c r="C790" t="s">
        <v>40</v>
      </c>
      <c r="D790">
        <v>5.228828</v>
      </c>
      <c r="E790">
        <v>0.54711259999999995</v>
      </c>
      <c r="F790" t="s">
        <v>43</v>
      </c>
      <c r="G790">
        <v>-158.19499999999999</v>
      </c>
      <c r="H790">
        <v>5.6849730000000003</v>
      </c>
      <c r="I790">
        <v>363.55239999999998</v>
      </c>
      <c r="J790">
        <v>-334.10730000000001</v>
      </c>
      <c r="K790">
        <v>1.1103259999999999</v>
      </c>
      <c r="L790">
        <v>367.42610000000002</v>
      </c>
      <c r="M790">
        <v>0.99990789999999996</v>
      </c>
      <c r="N790">
        <v>-1.171226E-2</v>
      </c>
      <c r="O790">
        <v>6.8780439999999998E-3</v>
      </c>
      <c r="P790">
        <v>0.97532430000000003</v>
      </c>
      <c r="Q790">
        <v>0.19568840000000001</v>
      </c>
      <c r="R790">
        <v>0.1022199</v>
      </c>
      <c r="S790">
        <v>3.067078</v>
      </c>
      <c r="T790">
        <v>7.9677460000000006E-2</v>
      </c>
      <c r="U790">
        <v>-6.744385E-2</v>
      </c>
      <c r="V790">
        <v>-9.5544240000000002E-2</v>
      </c>
      <c r="W790">
        <v>0.20708940000000001</v>
      </c>
      <c r="X790">
        <v>0.97364539999999999</v>
      </c>
      <c r="Y790">
        <v>2.885041E-2</v>
      </c>
      <c r="Z790">
        <v>4.648004E-4</v>
      </c>
      <c r="AA790">
        <v>0.99958369999999996</v>
      </c>
      <c r="AB790">
        <v>32</v>
      </c>
      <c r="AC790">
        <v>175.91229999999999</v>
      </c>
      <c r="AD790">
        <v>4.5746469999999997</v>
      </c>
      <c r="AE790">
        <v>-3.8737000000000399</v>
      </c>
      <c r="AF790">
        <v>5.0801897814466797</v>
      </c>
      <c r="AG790">
        <v>4.5746469999999997</v>
      </c>
      <c r="AH790">
        <v>175.76268694916101</v>
      </c>
      <c r="AI790">
        <v>88.509698131769298</v>
      </c>
      <c r="AJ790">
        <v>88.344401631746393</v>
      </c>
      <c r="AK790">
        <v>175.89558791220099</v>
      </c>
      <c r="AL790">
        <v>78.048162570145607</v>
      </c>
      <c r="AM790">
        <v>95.6045156283935</v>
      </c>
      <c r="AN790">
        <v>1.00000004316534</v>
      </c>
    </row>
    <row r="791" spans="1:40" x14ac:dyDescent="0.25">
      <c r="A791" t="str">
        <f>"20190304155030038"</f>
        <v>20190304155030038</v>
      </c>
      <c r="B791" t="str">
        <f>"1551685830027733"</f>
        <v>1551685830027733</v>
      </c>
      <c r="C791" t="s">
        <v>40</v>
      </c>
      <c r="D791">
        <v>5.4061159999999999</v>
      </c>
      <c r="E791">
        <v>0.54755710000000002</v>
      </c>
      <c r="F791" t="s">
        <v>43</v>
      </c>
      <c r="G791">
        <v>-158.19499999999999</v>
      </c>
      <c r="H791">
        <v>4.7252869999999998</v>
      </c>
      <c r="I791">
        <v>363.48169999999999</v>
      </c>
      <c r="J791">
        <v>-333.95139999999998</v>
      </c>
      <c r="K791">
        <v>1.1103179999999999</v>
      </c>
      <c r="L791">
        <v>367.42720000000003</v>
      </c>
      <c r="M791">
        <v>0.99990769999999995</v>
      </c>
      <c r="N791">
        <v>-1.171321E-2</v>
      </c>
      <c r="O791">
        <v>6.9115330000000001E-3</v>
      </c>
      <c r="P791">
        <v>0.97533669999999995</v>
      </c>
      <c r="Q791">
        <v>0.1956302</v>
      </c>
      <c r="R791">
        <v>0.10221379999999999</v>
      </c>
      <c r="S791">
        <v>3.070465</v>
      </c>
      <c r="T791">
        <v>6.3098909999999994E-2</v>
      </c>
      <c r="U791">
        <v>-6.8847660000000005E-2</v>
      </c>
      <c r="V791">
        <v>-9.5501249999999996E-2</v>
      </c>
      <c r="W791">
        <v>0.20703479999999999</v>
      </c>
      <c r="X791">
        <v>0.9736612</v>
      </c>
      <c r="Y791">
        <v>2.93204E-2</v>
      </c>
      <c r="Z791">
        <v>3.523857E-4</v>
      </c>
      <c r="AA791">
        <v>0.99956999999999996</v>
      </c>
      <c r="AB791">
        <v>32</v>
      </c>
      <c r="AC791">
        <v>175.75640000000001</v>
      </c>
      <c r="AD791">
        <v>3.6149689999999999</v>
      </c>
      <c r="AE791">
        <v>-3.9455000000000302</v>
      </c>
      <c r="AF791">
        <v>5.1580540269870099</v>
      </c>
      <c r="AG791">
        <v>3.6149689999999999</v>
      </c>
      <c r="AH791">
        <v>175.65065942232201</v>
      </c>
      <c r="AI791">
        <v>88.821501586722604</v>
      </c>
      <c r="AJ791">
        <v>88.317969190041595</v>
      </c>
      <c r="AK791">
        <v>175.763556170535</v>
      </c>
      <c r="AL791">
        <v>78.051359875419493</v>
      </c>
      <c r="AM791">
        <v>95.601919600597398</v>
      </c>
      <c r="AN791">
        <v>1.00000001477402</v>
      </c>
    </row>
    <row r="792" spans="1:40" x14ac:dyDescent="0.25">
      <c r="A792" t="str">
        <f>"20190304155030049"</f>
        <v>20190304155030049</v>
      </c>
      <c r="B792" t="str">
        <f>"1551685830047760"</f>
        <v>1551685830047760</v>
      </c>
      <c r="C792" t="s">
        <v>40</v>
      </c>
      <c r="D792">
        <v>5.2739630000000002</v>
      </c>
      <c r="E792">
        <v>0.54759349999999996</v>
      </c>
      <c r="F792" t="s">
        <v>43</v>
      </c>
      <c r="G792">
        <v>-158.19499999999999</v>
      </c>
      <c r="H792">
        <v>4.4247059999999996</v>
      </c>
      <c r="I792">
        <v>363.28199999999998</v>
      </c>
      <c r="J792">
        <v>-333.78309999999999</v>
      </c>
      <c r="K792">
        <v>1.110311</v>
      </c>
      <c r="L792">
        <v>367.42840000000001</v>
      </c>
      <c r="M792">
        <v>0.9999072</v>
      </c>
      <c r="N792">
        <v>-1.1714489999999999E-2</v>
      </c>
      <c r="O792">
        <v>6.9453079999999999E-3</v>
      </c>
      <c r="P792">
        <v>0.9753889</v>
      </c>
      <c r="Q792">
        <v>0.19531780000000001</v>
      </c>
      <c r="R792">
        <v>0.1023106</v>
      </c>
      <c r="S792">
        <v>3.0718079999999999</v>
      </c>
      <c r="T792">
        <v>5.792916E-2</v>
      </c>
      <c r="U792">
        <v>-7.2448730000000003E-2</v>
      </c>
      <c r="V792">
        <v>-9.5559610000000003E-2</v>
      </c>
      <c r="W792">
        <v>0.2067264</v>
      </c>
      <c r="X792">
        <v>0.97372099999999995</v>
      </c>
      <c r="Y792">
        <v>3.0516479999999999E-2</v>
      </c>
      <c r="Z792">
        <v>3.2118810000000001E-4</v>
      </c>
      <c r="AA792">
        <v>0.99953420000000004</v>
      </c>
      <c r="AB792">
        <v>32</v>
      </c>
      <c r="AC792">
        <v>175.5881</v>
      </c>
      <c r="AD792">
        <v>3.31439499999999</v>
      </c>
      <c r="AE792">
        <v>-4.1464000000000203</v>
      </c>
      <c r="AF792">
        <v>5.3639870416812698</v>
      </c>
      <c r="AG792">
        <v>3.31439499999999</v>
      </c>
      <c r="AH792">
        <v>175.492570894625</v>
      </c>
      <c r="AI792">
        <v>88.918531663562703</v>
      </c>
      <c r="AJ792">
        <v>88.249281076933201</v>
      </c>
      <c r="AK792">
        <v>175.60580858959199</v>
      </c>
      <c r="AL792">
        <v>78.069420614989994</v>
      </c>
      <c r="AM792">
        <v>95.604979039020606</v>
      </c>
      <c r="AN792">
        <v>1.00000001468065</v>
      </c>
    </row>
    <row r="793" spans="1:40" x14ac:dyDescent="0.25">
      <c r="A793" t="str">
        <f>"20190304155030060"</f>
        <v>20190304155030060</v>
      </c>
      <c r="B793" t="str">
        <f>"1551685830057520"</f>
        <v>1551685830057520</v>
      </c>
      <c r="C793" t="s">
        <v>40</v>
      </c>
      <c r="D793">
        <v>5.3848330000000004</v>
      </c>
      <c r="E793">
        <v>0.54759279999999999</v>
      </c>
      <c r="F793" t="s">
        <v>43</v>
      </c>
      <c r="G793">
        <v>-158.19499999999999</v>
      </c>
      <c r="H793">
        <v>5.1501479999999997</v>
      </c>
      <c r="I793">
        <v>363.28879999999998</v>
      </c>
      <c r="J793">
        <v>-333.61900000000003</v>
      </c>
      <c r="K793">
        <v>1.1103000000000001</v>
      </c>
      <c r="L793">
        <v>367.42959999999999</v>
      </c>
      <c r="M793">
        <v>0.99990710000000005</v>
      </c>
      <c r="N793">
        <v>-1.171706E-2</v>
      </c>
      <c r="O793">
        <v>6.9690639999999996E-3</v>
      </c>
      <c r="P793">
        <v>0.97539849999999995</v>
      </c>
      <c r="Q793">
        <v>0.19534270000000001</v>
      </c>
      <c r="R793">
        <v>0.1021714</v>
      </c>
      <c r="S793">
        <v>3.069153</v>
      </c>
      <c r="T793">
        <v>7.0614930000000006E-2</v>
      </c>
      <c r="U793">
        <v>-7.2357179999999993E-2</v>
      </c>
      <c r="V793">
        <v>-9.5393290000000006E-2</v>
      </c>
      <c r="W793">
        <v>0.20675589999999999</v>
      </c>
      <c r="X793">
        <v>0.97373100000000001</v>
      </c>
      <c r="Y793">
        <v>3.052794E-2</v>
      </c>
      <c r="Z793">
        <v>4.141398E-4</v>
      </c>
      <c r="AA793">
        <v>0.99953380000000003</v>
      </c>
      <c r="AB793">
        <v>32</v>
      </c>
      <c r="AC793">
        <v>175.42400000000001</v>
      </c>
      <c r="AD793">
        <v>4.0398480000000001</v>
      </c>
      <c r="AE793">
        <v>-4.1408000000000103</v>
      </c>
      <c r="AF793">
        <v>5.3604831224300904</v>
      </c>
      <c r="AG793">
        <v>4.0398480000000001</v>
      </c>
      <c r="AH793">
        <v>175.29796465081199</v>
      </c>
      <c r="AI793">
        <v>88.680434261141997</v>
      </c>
      <c r="AJ793">
        <v>88.248482913952103</v>
      </c>
      <c r="AK793">
        <v>175.426427774969</v>
      </c>
      <c r="AL793">
        <v>78.067692540087407</v>
      </c>
      <c r="AM793">
        <v>95.595228521484799</v>
      </c>
      <c r="AN793">
        <v>0.99999997116141603</v>
      </c>
    </row>
    <row r="794" spans="1:40" x14ac:dyDescent="0.25">
      <c r="A794" t="str">
        <f>"20190304155030079"</f>
        <v>20190304155030079</v>
      </c>
      <c r="B794" t="str">
        <f>"1551685830067280"</f>
        <v>1551685830067280</v>
      </c>
      <c r="C794" t="s">
        <v>40</v>
      </c>
      <c r="D794">
        <v>5.364935</v>
      </c>
      <c r="E794">
        <v>0.54770750000000001</v>
      </c>
      <c r="F794" t="s">
        <v>43</v>
      </c>
      <c r="G794">
        <v>-158.19499999999999</v>
      </c>
      <c r="H794">
        <v>5.3981870000000001</v>
      </c>
      <c r="I794">
        <v>363.2944</v>
      </c>
      <c r="J794">
        <v>-333.36079999999998</v>
      </c>
      <c r="K794">
        <v>1.110284</v>
      </c>
      <c r="L794">
        <v>367.4314</v>
      </c>
      <c r="M794">
        <v>0.99990699999999999</v>
      </c>
      <c r="N794">
        <v>-1.1722750000000001E-2</v>
      </c>
      <c r="O794">
        <v>6.9975649999999999E-3</v>
      </c>
      <c r="P794">
        <v>0.97554430000000003</v>
      </c>
      <c r="Q794">
        <v>0.19469890000000001</v>
      </c>
      <c r="R794">
        <v>0.10200819999999999</v>
      </c>
      <c r="S794">
        <v>3.0682369999999999</v>
      </c>
      <c r="T794">
        <v>7.4998380000000003E-2</v>
      </c>
      <c r="U794">
        <v>-7.2326660000000001E-2</v>
      </c>
      <c r="V794">
        <v>-9.5194070000000006E-2</v>
      </c>
      <c r="W794">
        <v>0.20612269999999999</v>
      </c>
      <c r="X794">
        <v>0.97388479999999999</v>
      </c>
      <c r="Y794">
        <v>3.0552369999999999E-2</v>
      </c>
      <c r="Z794">
        <v>4.4717249999999997E-4</v>
      </c>
      <c r="AA794">
        <v>0.99953309999999995</v>
      </c>
      <c r="AB794">
        <v>32</v>
      </c>
      <c r="AC794">
        <v>175.16579999999999</v>
      </c>
      <c r="AD794">
        <v>4.287903</v>
      </c>
      <c r="AE794">
        <v>-4.1369999999999996</v>
      </c>
      <c r="AF794">
        <v>5.3595069870142096</v>
      </c>
      <c r="AG794">
        <v>4.287903</v>
      </c>
      <c r="AH794">
        <v>175.027737021288</v>
      </c>
      <c r="AI794">
        <v>88.597281849540394</v>
      </c>
      <c r="AJ794">
        <v>88.246099653004507</v>
      </c>
      <c r="AK794">
        <v>175.16226521164401</v>
      </c>
      <c r="AL794">
        <v>78.104771763119899</v>
      </c>
      <c r="AM794">
        <v>95.582741108860404</v>
      </c>
      <c r="AN794">
        <v>1.0000000410447401</v>
      </c>
    </row>
    <row r="795" spans="1:40" x14ac:dyDescent="0.25">
      <c r="A795" t="str">
        <f>"20190304155030092"</f>
        <v>20190304155030092</v>
      </c>
      <c r="B795" t="str">
        <f>"1551685830087775"</f>
        <v>1551685830087775</v>
      </c>
      <c r="C795" t="s">
        <v>40</v>
      </c>
      <c r="D795">
        <v>4.79068</v>
      </c>
      <c r="E795">
        <v>0.5474308</v>
      </c>
      <c r="F795" t="s">
        <v>43</v>
      </c>
      <c r="G795">
        <v>-158.19499999999999</v>
      </c>
      <c r="H795">
        <v>4.9665559999999997</v>
      </c>
      <c r="I795">
        <v>363.21519999999998</v>
      </c>
      <c r="J795">
        <v>-333.1746</v>
      </c>
      <c r="K795">
        <v>1.110277</v>
      </c>
      <c r="L795">
        <v>367.43270000000001</v>
      </c>
      <c r="M795">
        <v>0.99990670000000004</v>
      </c>
      <c r="N795">
        <v>-1.1727899999999999E-2</v>
      </c>
      <c r="O795">
        <v>7.011832E-3</v>
      </c>
      <c r="P795">
        <v>0.97559700000000005</v>
      </c>
      <c r="Q795">
        <v>0.19450819999999999</v>
      </c>
      <c r="R795">
        <v>0.1018688</v>
      </c>
      <c r="S795">
        <v>3.0695190000000001</v>
      </c>
      <c r="T795">
        <v>6.7576890000000001E-2</v>
      </c>
      <c r="U795">
        <v>-7.388306E-2</v>
      </c>
      <c r="V795">
        <v>-9.5035739999999994E-2</v>
      </c>
      <c r="W795">
        <v>0.20593980000000001</v>
      </c>
      <c r="X795">
        <v>0.97393890000000005</v>
      </c>
      <c r="Y795">
        <v>3.1065140000000002E-2</v>
      </c>
      <c r="Z795">
        <v>3.9619710000000002E-4</v>
      </c>
      <c r="AA795">
        <v>0.99951730000000005</v>
      </c>
      <c r="AB795">
        <v>32</v>
      </c>
      <c r="AC795">
        <v>174.9796</v>
      </c>
      <c r="AD795">
        <v>3.8562789999999998</v>
      </c>
      <c r="AE795">
        <v>-4.2175000000000296</v>
      </c>
      <c r="AF795">
        <v>5.4417666842984298</v>
      </c>
      <c r="AG795">
        <v>3.8562789999999998</v>
      </c>
      <c r="AH795">
        <v>174.86084399828499</v>
      </c>
      <c r="AI795">
        <v>88.737248239485197</v>
      </c>
      <c r="AJ795">
        <v>88.217498782000703</v>
      </c>
      <c r="AK795">
        <v>174.98799523443</v>
      </c>
      <c r="AL795">
        <v>78.115480269874396</v>
      </c>
      <c r="AM795">
        <v>95.5732065723668</v>
      </c>
      <c r="AN795">
        <v>0.99999998701729798</v>
      </c>
    </row>
    <row r="796" spans="1:40" x14ac:dyDescent="0.25">
      <c r="A796" t="str">
        <f>"20190304155030104"</f>
        <v>20190304155030104</v>
      </c>
      <c r="B796" t="str">
        <f>"1551685830097536"</f>
        <v>1551685830097536</v>
      </c>
      <c r="C796" t="s">
        <v>40</v>
      </c>
      <c r="D796">
        <v>4.8025209999999996</v>
      </c>
      <c r="E796">
        <v>0.54771759999999903</v>
      </c>
      <c r="F796" t="s">
        <v>43</v>
      </c>
      <c r="G796">
        <v>-158.19499999999999</v>
      </c>
      <c r="H796">
        <v>5.3374739999999896</v>
      </c>
      <c r="I796">
        <v>363.33339999999998</v>
      </c>
      <c r="J796">
        <v>-332.99400000000003</v>
      </c>
      <c r="K796">
        <v>1.110269</v>
      </c>
      <c r="L796">
        <v>367.43400000000003</v>
      </c>
      <c r="M796">
        <v>0.99990670000000004</v>
      </c>
      <c r="N796">
        <v>-1.173361E-2</v>
      </c>
      <c r="O796">
        <v>7.0205739999999999E-3</v>
      </c>
      <c r="P796">
        <v>0.97562340000000003</v>
      </c>
      <c r="Q796">
        <v>0.19461600000000001</v>
      </c>
      <c r="R796">
        <v>0.10141</v>
      </c>
      <c r="S796">
        <v>3.06778</v>
      </c>
      <c r="T796">
        <v>7.4113609999999996E-2</v>
      </c>
      <c r="U796">
        <v>-7.1868899999999999E-2</v>
      </c>
      <c r="V796">
        <v>-9.4564789999999996E-2</v>
      </c>
      <c r="W796">
        <v>0.20605509999999999</v>
      </c>
      <c r="X796">
        <v>0.97396039999999995</v>
      </c>
      <c r="Y796">
        <v>3.043005E-2</v>
      </c>
      <c r="Z796">
        <v>4.4081179999999999E-4</v>
      </c>
      <c r="AA796">
        <v>0.9995368</v>
      </c>
      <c r="AB796">
        <v>32</v>
      </c>
      <c r="AC796">
        <v>174.79900000000001</v>
      </c>
      <c r="AD796">
        <v>4.2272049999999997</v>
      </c>
      <c r="AE796">
        <v>-4.10060000000004</v>
      </c>
      <c r="AF796">
        <v>5.32466019861333</v>
      </c>
      <c r="AG796">
        <v>4.2272049999999997</v>
      </c>
      <c r="AH796">
        <v>174.66380878887</v>
      </c>
      <c r="AI796">
        <v>88.614244500755504</v>
      </c>
      <c r="AJ796">
        <v>88.253867799376096</v>
      </c>
      <c r="AK796">
        <v>174.79607366579401</v>
      </c>
      <c r="AL796">
        <v>78.1087298204272</v>
      </c>
      <c r="AM796">
        <v>95.545639463199194</v>
      </c>
      <c r="AN796">
        <v>1.0000000322559499</v>
      </c>
    </row>
    <row r="797" spans="1:40" x14ac:dyDescent="0.25">
      <c r="A797" t="str">
        <f>"20190304155030117"</f>
        <v>20190304155030117</v>
      </c>
      <c r="B797" t="str">
        <f>"1551685830107296"</f>
        <v>1551685830107296</v>
      </c>
      <c r="C797" t="s">
        <v>40</v>
      </c>
      <c r="D797">
        <v>4.7943939999999996</v>
      </c>
      <c r="E797">
        <v>0.54792980000000002</v>
      </c>
      <c r="F797" t="s">
        <v>43</v>
      </c>
      <c r="G797">
        <v>-158.19499999999999</v>
      </c>
      <c r="H797">
        <v>5.7933979999999998</v>
      </c>
      <c r="I797">
        <v>363.1198</v>
      </c>
      <c r="J797">
        <v>-332.81950000000001</v>
      </c>
      <c r="K797">
        <v>1.1102620000000001</v>
      </c>
      <c r="L797">
        <v>367.43520000000001</v>
      </c>
      <c r="M797">
        <v>0.99990650000000003</v>
      </c>
      <c r="N797">
        <v>-1.173942E-2</v>
      </c>
      <c r="O797">
        <v>7.0257019999999896E-3</v>
      </c>
      <c r="P797">
        <v>0.97560590000000003</v>
      </c>
      <c r="Q797">
        <v>0.19475519999999999</v>
      </c>
      <c r="R797">
        <v>0.1013092</v>
      </c>
      <c r="S797">
        <v>3.0664669999999998</v>
      </c>
      <c r="T797">
        <v>8.2156779999999999E-2</v>
      </c>
      <c r="U797">
        <v>-7.5683589999999995E-2</v>
      </c>
      <c r="V797">
        <v>-9.4455929999999994E-2</v>
      </c>
      <c r="W797">
        <v>0.2062011</v>
      </c>
      <c r="X797">
        <v>0.97394000000000003</v>
      </c>
      <c r="Y797">
        <v>3.1685369999999997E-2</v>
      </c>
      <c r="Z797">
        <v>5.088976E-4</v>
      </c>
      <c r="AA797">
        <v>0.99949779999999999</v>
      </c>
      <c r="AB797">
        <v>32</v>
      </c>
      <c r="AC797">
        <v>174.62450000000001</v>
      </c>
      <c r="AD797">
        <v>4.6831360000000002</v>
      </c>
      <c r="AE797">
        <v>-4.3154000000000101</v>
      </c>
      <c r="AF797">
        <v>5.5382568062314004</v>
      </c>
      <c r="AG797">
        <v>4.6831360000000002</v>
      </c>
      <c r="AH797">
        <v>174.46446661325399</v>
      </c>
      <c r="AI797">
        <v>88.463156890992295</v>
      </c>
      <c r="AJ797">
        <v>88.181794701146103</v>
      </c>
      <c r="AK797">
        <v>174.615160172001</v>
      </c>
      <c r="AL797">
        <v>78.100180300273294</v>
      </c>
      <c r="AM797">
        <v>95.539410529957294</v>
      </c>
      <c r="AN797">
        <v>0.99999996997668605</v>
      </c>
    </row>
    <row r="798" spans="1:40" x14ac:dyDescent="0.25">
      <c r="A798" t="str">
        <f>"20190304155030129"</f>
        <v>20190304155030129</v>
      </c>
      <c r="B798" t="str">
        <f>"1551685830117055"</f>
        <v>1551685830117055</v>
      </c>
      <c r="C798" t="s">
        <v>40</v>
      </c>
      <c r="D798">
        <v>5.1600849999999996</v>
      </c>
      <c r="E798">
        <v>0.54745940000000004</v>
      </c>
      <c r="F798" t="s">
        <v>43</v>
      </c>
      <c r="G798">
        <v>-158.19499999999999</v>
      </c>
      <c r="H798">
        <v>5.9786590000000004</v>
      </c>
      <c r="I798">
        <v>363.036</v>
      </c>
      <c r="J798">
        <v>-332.6377</v>
      </c>
      <c r="K798">
        <v>1.110257</v>
      </c>
      <c r="L798">
        <v>367.43650000000002</v>
      </c>
      <c r="M798">
        <v>0.99990630000000003</v>
      </c>
      <c r="N798">
        <v>-1.174557E-2</v>
      </c>
      <c r="O798">
        <v>7.0291090000000004E-3</v>
      </c>
      <c r="P798">
        <v>0.97553540000000005</v>
      </c>
      <c r="Q798">
        <v>0.19519149999999999</v>
      </c>
      <c r="R798">
        <v>0.1011484</v>
      </c>
      <c r="S798">
        <v>3.0660099999999999</v>
      </c>
      <c r="T798">
        <v>8.54795E-2</v>
      </c>
      <c r="U798">
        <v>-7.7239989999999994E-2</v>
      </c>
      <c r="V798">
        <v>-9.4289499999999998E-2</v>
      </c>
      <c r="W798">
        <v>0.20664389999999999</v>
      </c>
      <c r="X798">
        <v>0.97386229999999996</v>
      </c>
      <c r="Y798">
        <v>3.2198350000000001E-2</v>
      </c>
      <c r="Z798">
        <v>5.3796059999999997E-4</v>
      </c>
      <c r="AA798">
        <v>0.99948139999999996</v>
      </c>
      <c r="AB798">
        <v>32</v>
      </c>
      <c r="AC798">
        <v>174.4427</v>
      </c>
      <c r="AD798">
        <v>4.8684019999999997</v>
      </c>
      <c r="AE798">
        <v>-4.4005000000000196</v>
      </c>
      <c r="AF798">
        <v>5.6222763692532602</v>
      </c>
      <c r="AG798">
        <v>4.8684019999999997</v>
      </c>
      <c r="AH798">
        <v>174.27180668246899</v>
      </c>
      <c r="AI798">
        <v>88.400651081600301</v>
      </c>
      <c r="AJ798">
        <v>88.152190972351804</v>
      </c>
      <c r="AK798">
        <v>174.43042720230201</v>
      </c>
      <c r="AL798">
        <v>78.074251600157496</v>
      </c>
      <c r="AM798">
        <v>95.530149171697701</v>
      </c>
      <c r="AN798">
        <v>0.999999995289374</v>
      </c>
    </row>
    <row r="799" spans="1:40" x14ac:dyDescent="0.25">
      <c r="A799" t="str">
        <f>"20190304155030145"</f>
        <v>20190304155030145</v>
      </c>
      <c r="B799" t="str">
        <f>"1551685830137085"</f>
        <v>1551685830137085</v>
      </c>
      <c r="C799" t="s">
        <v>40</v>
      </c>
      <c r="D799">
        <v>4.7491000000000003</v>
      </c>
      <c r="E799">
        <v>0.54586049999999997</v>
      </c>
      <c r="F799" t="s">
        <v>43</v>
      </c>
      <c r="G799">
        <v>-158.19499999999999</v>
      </c>
      <c r="H799">
        <v>6.1454430000000002</v>
      </c>
      <c r="I799">
        <v>363.21780000000001</v>
      </c>
      <c r="J799">
        <v>-332.40260000000001</v>
      </c>
      <c r="K799">
        <v>1.1102620000000001</v>
      </c>
      <c r="L799">
        <v>367.43810000000002</v>
      </c>
      <c r="M799">
        <v>0.99990630000000003</v>
      </c>
      <c r="N799">
        <v>-1.17535E-2</v>
      </c>
      <c r="O799">
        <v>7.0298340000000004E-3</v>
      </c>
      <c r="P799">
        <v>0.97551089999999996</v>
      </c>
      <c r="Q799">
        <v>0.19538759999999999</v>
      </c>
      <c r="R799">
        <v>0.1010065</v>
      </c>
      <c r="S799">
        <v>3.0651860000000002</v>
      </c>
      <c r="T799">
        <v>8.8476299999999994E-2</v>
      </c>
      <c r="U799">
        <v>-7.4127199999999893E-2</v>
      </c>
      <c r="V799">
        <v>-9.4145099999999995E-2</v>
      </c>
      <c r="W799">
        <v>0.20684820000000001</v>
      </c>
      <c r="X799">
        <v>0.9738329</v>
      </c>
      <c r="Y799">
        <v>3.1190699999999998E-2</v>
      </c>
      <c r="Z799">
        <v>5.520802E-4</v>
      </c>
      <c r="AA799">
        <v>0.99951330000000005</v>
      </c>
      <c r="AB799">
        <v>32</v>
      </c>
      <c r="AC799">
        <v>174.20760000000001</v>
      </c>
      <c r="AD799">
        <v>5.0351809999999997</v>
      </c>
      <c r="AE799">
        <v>-4.2202999999999999</v>
      </c>
      <c r="AF799">
        <v>5.4403884556420303</v>
      </c>
      <c r="AG799">
        <v>5.0351809999999997</v>
      </c>
      <c r="AH799">
        <v>174.02832625764501</v>
      </c>
      <c r="AI799">
        <v>88.3435259323781</v>
      </c>
      <c r="AJ799">
        <v>88.209430497131194</v>
      </c>
      <c r="AK799">
        <v>174.186133817501</v>
      </c>
      <c r="AL799">
        <v>78.062287611158396</v>
      </c>
      <c r="AM799">
        <v>95.521898056694098</v>
      </c>
      <c r="AN799">
        <v>0.99999999740983003</v>
      </c>
    </row>
    <row r="800" spans="1:40" x14ac:dyDescent="0.25">
      <c r="A800" t="str">
        <f>"20190304155030157"</f>
        <v>20190304155030157</v>
      </c>
      <c r="B800" t="str">
        <f>"1551685830147818"</f>
        <v>1551685830147818</v>
      </c>
      <c r="C800" t="s">
        <v>40</v>
      </c>
      <c r="D800">
        <v>5.2087830000000004</v>
      </c>
      <c r="E800">
        <v>0.54538430000000004</v>
      </c>
      <c r="F800" t="s">
        <v>43</v>
      </c>
      <c r="G800">
        <v>-158.19499999999999</v>
      </c>
      <c r="H800">
        <v>6.3149829999999998</v>
      </c>
      <c r="I800">
        <v>363.9307</v>
      </c>
      <c r="J800">
        <v>-332.2439</v>
      </c>
      <c r="K800">
        <v>1.1102590000000001</v>
      </c>
      <c r="L800">
        <v>367.43920000000003</v>
      </c>
      <c r="M800">
        <v>0.99990639999999997</v>
      </c>
      <c r="N800">
        <v>-1.175869E-2</v>
      </c>
      <c r="O800">
        <v>7.029118E-3</v>
      </c>
      <c r="P800">
        <v>0.97546569999999999</v>
      </c>
      <c r="Q800">
        <v>0.1956476</v>
      </c>
      <c r="R800">
        <v>0.1009408</v>
      </c>
      <c r="S800">
        <v>3.0633240000000002</v>
      </c>
      <c r="T800">
        <v>9.1523049999999995E-2</v>
      </c>
      <c r="U800">
        <v>-6.167603E-2</v>
      </c>
      <c r="V800">
        <v>-9.4079330000000003E-2</v>
      </c>
      <c r="W800">
        <v>0.20711370000000001</v>
      </c>
      <c r="X800">
        <v>0.97378279999999995</v>
      </c>
      <c r="Y800">
        <v>2.714387E-2</v>
      </c>
      <c r="Z800">
        <v>5.3829069999999999E-4</v>
      </c>
      <c r="AA800">
        <v>0.99963139999999995</v>
      </c>
      <c r="AB800">
        <v>32</v>
      </c>
      <c r="AC800">
        <v>174.0489</v>
      </c>
      <c r="AD800">
        <v>5.2047239999999997</v>
      </c>
      <c r="AE800">
        <v>-3.5085000000000202</v>
      </c>
      <c r="AF800">
        <v>4.72768190622278</v>
      </c>
      <c r="AG800">
        <v>5.2047239999999997</v>
      </c>
      <c r="AH800">
        <v>173.86452323525299</v>
      </c>
      <c r="AI800">
        <v>88.285966591586998</v>
      </c>
      <c r="AJ800">
        <v>88.442410887145897</v>
      </c>
      <c r="AK800">
        <v>174.00664518329299</v>
      </c>
      <c r="AL800">
        <v>78.046738581042604</v>
      </c>
      <c r="AM800">
        <v>95.518346408408604</v>
      </c>
      <c r="AN800">
        <v>0.99999997331838897</v>
      </c>
    </row>
    <row r="801" spans="1:40" x14ac:dyDescent="0.25">
      <c r="A801" t="str">
        <f>"20190304155030168"</f>
        <v>20190304155030168</v>
      </c>
      <c r="B801" t="str">
        <f>"1551685830157578"</f>
        <v>1551685830157578</v>
      </c>
      <c r="C801" t="s">
        <v>40</v>
      </c>
      <c r="D801">
        <v>5.2298859999999996</v>
      </c>
      <c r="E801">
        <v>0.54498819999999903</v>
      </c>
      <c r="F801" t="s">
        <v>43</v>
      </c>
      <c r="G801">
        <v>-158.19499999999999</v>
      </c>
      <c r="H801">
        <v>6.1321879999999904</v>
      </c>
      <c r="I801">
        <v>364.15730000000002</v>
      </c>
      <c r="J801">
        <v>-332.0779</v>
      </c>
      <c r="K801">
        <v>1.1102590000000001</v>
      </c>
      <c r="L801">
        <v>367.44040000000001</v>
      </c>
      <c r="M801">
        <v>0.99990619999999997</v>
      </c>
      <c r="N801">
        <v>-1.176407E-2</v>
      </c>
      <c r="O801">
        <v>7.0282230000000001E-3</v>
      </c>
      <c r="P801">
        <v>0.97551140000000003</v>
      </c>
      <c r="Q801">
        <v>0.19546479999999999</v>
      </c>
      <c r="R801">
        <v>0.1008525</v>
      </c>
      <c r="S801">
        <v>3.0637210000000001</v>
      </c>
      <c r="T801">
        <v>8.8400720000000002E-2</v>
      </c>
      <c r="U801">
        <v>-5.776978E-2</v>
      </c>
      <c r="V801">
        <v>-9.3990519999999994E-2</v>
      </c>
      <c r="W801">
        <v>0.20693690000000001</v>
      </c>
      <c r="X801">
        <v>0.97382899999999994</v>
      </c>
      <c r="Y801">
        <v>2.5867560000000001E-2</v>
      </c>
      <c r="Z801">
        <v>5.062752E-4</v>
      </c>
      <c r="AA801">
        <v>0.99966529999999998</v>
      </c>
      <c r="AB801">
        <v>32</v>
      </c>
      <c r="AC801">
        <v>173.88290000000001</v>
      </c>
      <c r="AD801">
        <v>5.0219289999999903</v>
      </c>
      <c r="AE801">
        <v>-3.2830999999999899</v>
      </c>
      <c r="AF801">
        <v>4.5014377598679802</v>
      </c>
      <c r="AG801">
        <v>5.0219289999999903</v>
      </c>
      <c r="AH801">
        <v>173.71068530915699</v>
      </c>
      <c r="AI801">
        <v>88.344611114245296</v>
      </c>
      <c r="AJ801">
        <v>88.515602663681193</v>
      </c>
      <c r="AK801">
        <v>173.84155114173399</v>
      </c>
      <c r="AL801">
        <v>78.057093235618296</v>
      </c>
      <c r="AM801">
        <v>95.512909309373597</v>
      </c>
      <c r="AN801">
        <v>1.00000000983624</v>
      </c>
    </row>
    <row r="802" spans="1:40" x14ac:dyDescent="0.25">
      <c r="A802" t="str">
        <f>"20190304155030179"</f>
        <v>20190304155030179</v>
      </c>
      <c r="B802" t="str">
        <f>"1551685830167338"</f>
        <v>1551685830167338</v>
      </c>
      <c r="C802" t="s">
        <v>40</v>
      </c>
      <c r="D802">
        <v>5.1564699999999997</v>
      </c>
      <c r="E802">
        <v>0.54452739999999999</v>
      </c>
      <c r="F802" t="s">
        <v>43</v>
      </c>
      <c r="G802">
        <v>-158.19499999999999</v>
      </c>
      <c r="H802">
        <v>5.9065690000000002</v>
      </c>
      <c r="I802">
        <v>364.34210000000002</v>
      </c>
      <c r="J802">
        <v>-331.91539999999998</v>
      </c>
      <c r="K802">
        <v>1.110258</v>
      </c>
      <c r="L802">
        <v>367.44150000000002</v>
      </c>
      <c r="M802">
        <v>0.99990619999999997</v>
      </c>
      <c r="N802">
        <v>-1.176907E-2</v>
      </c>
      <c r="O802">
        <v>7.0269829999999997E-3</v>
      </c>
      <c r="P802">
        <v>0.97551670000000001</v>
      </c>
      <c r="Q802">
        <v>0.195463</v>
      </c>
      <c r="R802">
        <v>0.1008053</v>
      </c>
      <c r="S802">
        <v>3.0640260000000001</v>
      </c>
      <c r="T802">
        <v>8.4518190000000007E-2</v>
      </c>
      <c r="U802">
        <v>-5.4595949999999997E-2</v>
      </c>
      <c r="V802">
        <v>-9.3944020000000003E-2</v>
      </c>
      <c r="W802">
        <v>0.20694009999999999</v>
      </c>
      <c r="X802">
        <v>0.97383280000000005</v>
      </c>
      <c r="Y802">
        <v>2.4830609999999999E-2</v>
      </c>
      <c r="Z802">
        <v>4.7267920000000001E-4</v>
      </c>
      <c r="AA802">
        <v>0.99969149999999996</v>
      </c>
      <c r="AB802">
        <v>32</v>
      </c>
      <c r="AC802">
        <v>173.72039999999899</v>
      </c>
      <c r="AD802">
        <v>4.7963110000000002</v>
      </c>
      <c r="AE802">
        <v>-3.0994000000000002</v>
      </c>
      <c r="AF802">
        <v>4.3168485442914601</v>
      </c>
      <c r="AG802">
        <v>4.7963110000000002</v>
      </c>
      <c r="AH802">
        <v>173.56206905392699</v>
      </c>
      <c r="AI802">
        <v>88.417548487883096</v>
      </c>
      <c r="AJ802">
        <v>88.575228907606899</v>
      </c>
      <c r="AK802">
        <v>173.68198408252701</v>
      </c>
      <c r="AL802">
        <v>78.056905751181503</v>
      </c>
      <c r="AM802">
        <v>95.510177324589705</v>
      </c>
      <c r="AN802">
        <v>1.0000000031188001</v>
      </c>
    </row>
    <row r="803" spans="1:40" x14ac:dyDescent="0.25">
      <c r="A803" t="str">
        <f>"20190304155030190"</f>
        <v>20190304155030190</v>
      </c>
      <c r="B803" t="str">
        <f>"1551685830187834"</f>
        <v>1551685830187834</v>
      </c>
      <c r="C803" t="s">
        <v>40</v>
      </c>
      <c r="D803">
        <v>5.1993049999999998</v>
      </c>
      <c r="E803">
        <v>0.5438904</v>
      </c>
      <c r="F803" t="s">
        <v>43</v>
      </c>
      <c r="G803">
        <v>-158.19499999999999</v>
      </c>
      <c r="H803">
        <v>5.7205940000000002</v>
      </c>
      <c r="I803">
        <v>364.54880000000003</v>
      </c>
      <c r="J803">
        <v>-331.7611</v>
      </c>
      <c r="K803">
        <v>1.110258</v>
      </c>
      <c r="L803">
        <v>367.44260000000003</v>
      </c>
      <c r="M803">
        <v>0.99990610000000002</v>
      </c>
      <c r="N803">
        <v>-1.177373E-2</v>
      </c>
      <c r="O803">
        <v>7.025926E-3</v>
      </c>
      <c r="P803">
        <v>0.97560309999999995</v>
      </c>
      <c r="Q803">
        <v>0.19511490000000001</v>
      </c>
      <c r="R803">
        <v>0.1006436</v>
      </c>
      <c r="S803">
        <v>3.06427</v>
      </c>
      <c r="T803">
        <v>8.1323619999999999E-2</v>
      </c>
      <c r="U803">
        <v>-5.1025389999999997E-2</v>
      </c>
      <c r="V803">
        <v>-9.3782400000000002E-2</v>
      </c>
      <c r="W803">
        <v>0.2065977</v>
      </c>
      <c r="X803">
        <v>0.97392109999999998</v>
      </c>
      <c r="Y803">
        <v>2.3664660000000001E-2</v>
      </c>
      <c r="Z803">
        <v>4.4372200000000002E-4</v>
      </c>
      <c r="AA803">
        <v>0.99971989999999999</v>
      </c>
      <c r="AB803">
        <v>32</v>
      </c>
      <c r="AC803">
        <v>173.56610000000001</v>
      </c>
      <c r="AD803">
        <v>4.6103360000000002</v>
      </c>
      <c r="AE803">
        <v>-2.8937999999999899</v>
      </c>
      <c r="AF803">
        <v>4.1103762316422401</v>
      </c>
      <c r="AG803">
        <v>4.6103360000000002</v>
      </c>
      <c r="AH803">
        <v>173.41915838409699</v>
      </c>
      <c r="AI803">
        <v>88.477581840995697</v>
      </c>
      <c r="AJ803">
        <v>88.642231193024003</v>
      </c>
      <c r="AK803">
        <v>173.52911826390101</v>
      </c>
      <c r="AL803">
        <v>78.076957448849797</v>
      </c>
      <c r="AM803">
        <v>95.500260219746295</v>
      </c>
      <c r="AN803">
        <v>1.0000000286101201</v>
      </c>
    </row>
    <row r="804" spans="1:40" x14ac:dyDescent="0.25">
      <c r="A804" t="str">
        <f>"20190304155030200"</f>
        <v>20190304155030200</v>
      </c>
      <c r="B804" t="str">
        <f>"1551685830197594"</f>
        <v>1551685830197594</v>
      </c>
      <c r="C804" t="s">
        <v>40</v>
      </c>
      <c r="D804">
        <v>5.251906</v>
      </c>
      <c r="E804">
        <v>0.54357310000000003</v>
      </c>
      <c r="F804" t="s">
        <v>43</v>
      </c>
      <c r="G804">
        <v>-158.19499999999999</v>
      </c>
      <c r="H804">
        <v>5.1702779999999997</v>
      </c>
      <c r="I804">
        <v>364.80939999999998</v>
      </c>
      <c r="J804">
        <v>-331.61410000000001</v>
      </c>
      <c r="K804">
        <v>1.11026</v>
      </c>
      <c r="L804">
        <v>367.44369999999998</v>
      </c>
      <c r="M804">
        <v>0.99990610000000002</v>
      </c>
      <c r="N804">
        <v>-1.1777950000000001E-2</v>
      </c>
      <c r="O804">
        <v>7.0250549999999997E-3</v>
      </c>
      <c r="P804">
        <v>0.9756338</v>
      </c>
      <c r="Q804">
        <v>0.1950356</v>
      </c>
      <c r="R804">
        <v>0.10049959999999999</v>
      </c>
      <c r="S804">
        <v>3.0654910000000002</v>
      </c>
      <c r="T804">
        <v>7.1708800000000003E-2</v>
      </c>
      <c r="U804">
        <v>-4.6508790000000001E-2</v>
      </c>
      <c r="V804">
        <v>-9.3638540000000006E-2</v>
      </c>
      <c r="W804">
        <v>0.20652300000000001</v>
      </c>
      <c r="X804">
        <v>0.97395069999999995</v>
      </c>
      <c r="Y804">
        <v>2.218699E-2</v>
      </c>
      <c r="Z804">
        <v>3.7579459999999997E-4</v>
      </c>
      <c r="AA804">
        <v>0.99975380000000003</v>
      </c>
      <c r="AB804">
        <v>32</v>
      </c>
      <c r="AC804">
        <v>173.41909999999999</v>
      </c>
      <c r="AD804">
        <v>4.0600180000000003</v>
      </c>
      <c r="AE804">
        <v>-2.6342999999999899</v>
      </c>
      <c r="AF804">
        <v>3.8504880638145398</v>
      </c>
      <c r="AG804">
        <v>4.0600180000000003</v>
      </c>
      <c r="AH804">
        <v>173.30134768367</v>
      </c>
      <c r="AI804">
        <v>88.658279407826797</v>
      </c>
      <c r="AJ804">
        <v>88.727185762690596</v>
      </c>
      <c r="AK804">
        <v>173.391658142675</v>
      </c>
      <c r="AL804">
        <v>78.081330780231895</v>
      </c>
      <c r="AM804">
        <v>95.491708685240894</v>
      </c>
      <c r="AN804">
        <v>0.99999994586640895</v>
      </c>
    </row>
    <row r="805" spans="1:40" x14ac:dyDescent="0.25">
      <c r="A805" t="str">
        <f>"20190304155030212"</f>
        <v>20190304155030212</v>
      </c>
      <c r="B805" t="str">
        <f>"1551685830207354"</f>
        <v>1551685830207354</v>
      </c>
      <c r="C805" t="s">
        <v>40</v>
      </c>
      <c r="D805">
        <v>5.1914170000000004</v>
      </c>
      <c r="E805">
        <v>0.54328469999999995</v>
      </c>
      <c r="F805" t="s">
        <v>43</v>
      </c>
      <c r="G805">
        <v>-158.19499999999999</v>
      </c>
      <c r="H805">
        <v>5.1267139999999998</v>
      </c>
      <c r="I805">
        <v>364.9212</v>
      </c>
      <c r="J805">
        <v>-331.45580000000001</v>
      </c>
      <c r="K805">
        <v>1.11026</v>
      </c>
      <c r="L805">
        <v>367.44479999999999</v>
      </c>
      <c r="M805">
        <v>0.99990599999999996</v>
      </c>
      <c r="N805">
        <v>-1.178236E-2</v>
      </c>
      <c r="O805">
        <v>7.0243600000000003E-3</v>
      </c>
      <c r="P805">
        <v>0.97567839999999995</v>
      </c>
      <c r="Q805">
        <v>0.1947912</v>
      </c>
      <c r="R805">
        <v>0.1005385</v>
      </c>
      <c r="S805">
        <v>3.0653380000000001</v>
      </c>
      <c r="T805">
        <v>7.0995929999999999E-2</v>
      </c>
      <c r="U805">
        <v>-4.4586180000000003E-2</v>
      </c>
      <c r="V805">
        <v>-9.3676809999999999E-2</v>
      </c>
      <c r="W805">
        <v>0.20628369999999999</v>
      </c>
      <c r="X805">
        <v>0.97399780000000002</v>
      </c>
      <c r="Y805">
        <v>2.1560360000000001E-2</v>
      </c>
      <c r="Z805">
        <v>3.6800210000000001E-4</v>
      </c>
      <c r="AA805">
        <v>0.99976750000000003</v>
      </c>
      <c r="AB805">
        <v>32</v>
      </c>
      <c r="AC805">
        <v>173.26079999999999</v>
      </c>
      <c r="AD805">
        <v>4.0164540000000004</v>
      </c>
      <c r="AE805">
        <v>-2.5235999999999801</v>
      </c>
      <c r="AF805">
        <v>3.7386596738037601</v>
      </c>
      <c r="AG805">
        <v>4.0164540000000004</v>
      </c>
      <c r="AH805">
        <v>173.14577088377899</v>
      </c>
      <c r="AI805">
        <v>88.671460475287006</v>
      </c>
      <c r="AJ805">
        <v>88.763029915939597</v>
      </c>
      <c r="AK805">
        <v>173.232697415438</v>
      </c>
      <c r="AL805">
        <v>78.095344193766806</v>
      </c>
      <c r="AM805">
        <v>95.493675365593404</v>
      </c>
      <c r="AN805">
        <v>1.0000000120111501</v>
      </c>
    </row>
    <row r="806" spans="1:40" x14ac:dyDescent="0.25">
      <c r="A806" t="str">
        <f>"20190304155030223"</f>
        <v>20190304155030223</v>
      </c>
      <c r="B806" t="str">
        <f>"1551685830217114"</f>
        <v>1551685830217114</v>
      </c>
      <c r="C806" t="s">
        <v>40</v>
      </c>
      <c r="D806">
        <v>5.210763</v>
      </c>
      <c r="E806">
        <v>0.54297299999999904</v>
      </c>
      <c r="F806" t="s">
        <v>43</v>
      </c>
      <c r="G806">
        <v>-158.19499999999999</v>
      </c>
      <c r="H806">
        <v>4.9862070000000003</v>
      </c>
      <c r="I806">
        <v>365.05579999999998</v>
      </c>
      <c r="J806">
        <v>-331.28449999999998</v>
      </c>
      <c r="K806">
        <v>1.110258</v>
      </c>
      <c r="L806">
        <v>367.44600000000003</v>
      </c>
      <c r="M806">
        <v>0.99990579999999996</v>
      </c>
      <c r="N806">
        <v>-1.178688E-2</v>
      </c>
      <c r="O806">
        <v>7.0239639999999997E-3</v>
      </c>
      <c r="P806">
        <v>0.97579689999999997</v>
      </c>
      <c r="Q806">
        <v>0.19431039999999999</v>
      </c>
      <c r="R806">
        <v>0.1003199</v>
      </c>
      <c r="S806">
        <v>3.0654599999999999</v>
      </c>
      <c r="T806">
        <v>6.8577650000000004E-2</v>
      </c>
      <c r="U806">
        <v>-4.2266850000000002E-2</v>
      </c>
      <c r="V806">
        <v>-9.3457830000000006E-2</v>
      </c>
      <c r="W806">
        <v>0.20580909999999999</v>
      </c>
      <c r="X806">
        <v>0.97411919999999996</v>
      </c>
      <c r="Y806">
        <v>2.080367E-2</v>
      </c>
      <c r="Z806">
        <v>3.499183E-4</v>
      </c>
      <c r="AA806">
        <v>0.99978350000000005</v>
      </c>
      <c r="AB806">
        <v>32</v>
      </c>
      <c r="AC806">
        <v>173.08949999999999</v>
      </c>
      <c r="AD806">
        <v>3.8759489999999999</v>
      </c>
      <c r="AE806">
        <v>-2.3901999999999899</v>
      </c>
      <c r="AF806">
        <v>3.60419306086375</v>
      </c>
      <c r="AG806">
        <v>3.8759489999999999</v>
      </c>
      <c r="AH806">
        <v>172.981717175867</v>
      </c>
      <c r="AI806">
        <v>88.7166840256981</v>
      </c>
      <c r="AJ806">
        <v>88.806375731335507</v>
      </c>
      <c r="AK806">
        <v>173.06266976266801</v>
      </c>
      <c r="AL806">
        <v>78.123132717043006</v>
      </c>
      <c r="AM806">
        <v>95.480232675253703</v>
      </c>
      <c r="AN806">
        <v>0.99999998371987897</v>
      </c>
    </row>
    <row r="807" spans="1:40" x14ac:dyDescent="0.25">
      <c r="A807" t="str">
        <f>"20190304155030234"</f>
        <v>20190304155030234</v>
      </c>
      <c r="B807" t="str">
        <f>"1551685830226874"</f>
        <v>1551685830226874</v>
      </c>
      <c r="C807" t="s">
        <v>40</v>
      </c>
      <c r="D807">
        <v>5.5424189999999998</v>
      </c>
      <c r="E807">
        <v>0.54300800000000005</v>
      </c>
      <c r="F807" t="s">
        <v>43</v>
      </c>
      <c r="G807">
        <v>-158.19499999999999</v>
      </c>
      <c r="H807">
        <v>4.8023480000000003</v>
      </c>
      <c r="I807">
        <v>365.14569999999998</v>
      </c>
      <c r="J807">
        <v>-331.12619999999998</v>
      </c>
      <c r="K807">
        <v>1.1102510000000001</v>
      </c>
      <c r="L807">
        <v>367.44709999999998</v>
      </c>
      <c r="M807">
        <v>0.99990579999999996</v>
      </c>
      <c r="N807">
        <v>-1.179092E-2</v>
      </c>
      <c r="O807">
        <v>7.0237519999999899E-3</v>
      </c>
      <c r="P807">
        <v>0.97587789999999996</v>
      </c>
      <c r="Q807">
        <v>0.19393360000000001</v>
      </c>
      <c r="R807">
        <v>0.10026069999999999</v>
      </c>
      <c r="S807">
        <v>3.0656129999999999</v>
      </c>
      <c r="T807">
        <v>6.5392610000000004E-2</v>
      </c>
      <c r="U807">
        <v>-4.0740970000000001E-2</v>
      </c>
      <c r="V807">
        <v>-9.3397939999999999E-2</v>
      </c>
      <c r="W807">
        <v>0.20543719999999999</v>
      </c>
      <c r="X807">
        <v>0.9742035</v>
      </c>
      <c r="Y807">
        <v>2.030587E-2</v>
      </c>
      <c r="Z807">
        <v>3.2941170000000002E-4</v>
      </c>
      <c r="AA807">
        <v>0.99979379999999995</v>
      </c>
      <c r="AB807">
        <v>32</v>
      </c>
      <c r="AC807">
        <v>172.93119999999999</v>
      </c>
      <c r="AD807">
        <v>3.692097</v>
      </c>
      <c r="AE807">
        <v>-2.3014000000000001</v>
      </c>
      <c r="AF807">
        <v>3.51445184989293</v>
      </c>
      <c r="AG807">
        <v>3.692097</v>
      </c>
      <c r="AH807">
        <v>172.83200070983199</v>
      </c>
      <c r="AI807">
        <v>88.776466726348701</v>
      </c>
      <c r="AJ807">
        <v>88.835079670777702</v>
      </c>
      <c r="AK807">
        <v>172.90715260343001</v>
      </c>
      <c r="AL807">
        <v>78.144906955446203</v>
      </c>
      <c r="AM807">
        <v>95.476271137666998</v>
      </c>
      <c r="AN807">
        <v>1.0000000388761601</v>
      </c>
    </row>
    <row r="808" spans="1:40" x14ac:dyDescent="0.25">
      <c r="A808" t="str">
        <f>"20190304155030246"</f>
        <v>20190304155030246</v>
      </c>
      <c r="B808" t="str">
        <f>"1551685830237610"</f>
        <v>1551685830237610</v>
      </c>
      <c r="C808" t="s">
        <v>40</v>
      </c>
      <c r="D808">
        <v>4.6961180000000002</v>
      </c>
      <c r="E808">
        <v>0.54291619999999996</v>
      </c>
      <c r="F808" t="s">
        <v>43</v>
      </c>
      <c r="G808">
        <v>-158.19499999999999</v>
      </c>
      <c r="H808">
        <v>4.6653650000000004</v>
      </c>
      <c r="I808">
        <v>365.1284</v>
      </c>
      <c r="J808">
        <v>-330.95979999999997</v>
      </c>
      <c r="K808">
        <v>1.1102459999999901</v>
      </c>
      <c r="L808">
        <v>367.44830000000002</v>
      </c>
      <c r="M808">
        <v>0.99990579999999996</v>
      </c>
      <c r="N808">
        <v>-1.1795089999999999E-2</v>
      </c>
      <c r="O808">
        <v>7.0237169999999996E-3</v>
      </c>
      <c r="P808">
        <v>0.97591300000000003</v>
      </c>
      <c r="Q808">
        <v>0.19389029999999999</v>
      </c>
      <c r="R808">
        <v>0.1000018</v>
      </c>
      <c r="S808">
        <v>3.0658569999999998</v>
      </c>
      <c r="T808">
        <v>6.3029290000000002E-2</v>
      </c>
      <c r="U808">
        <v>-4.110718E-2</v>
      </c>
      <c r="V808">
        <v>-9.3138109999999996E-2</v>
      </c>
      <c r="W808">
        <v>0.2053989</v>
      </c>
      <c r="X808">
        <v>0.9742364</v>
      </c>
      <c r="Y808">
        <v>2.0424580000000001E-2</v>
      </c>
      <c r="Z808">
        <v>3.1665350000000003E-4</v>
      </c>
      <c r="AA808">
        <v>0.99979130000000005</v>
      </c>
      <c r="AB808">
        <v>32</v>
      </c>
      <c r="AC808">
        <v>172.76479999999901</v>
      </c>
      <c r="AD808">
        <v>3.5551189999999999</v>
      </c>
      <c r="AE808">
        <v>-2.3199000000000098</v>
      </c>
      <c r="AF808">
        <v>3.5318829187737899</v>
      </c>
      <c r="AG808">
        <v>3.5551189999999999</v>
      </c>
      <c r="AH808">
        <v>172.67113875678899</v>
      </c>
      <c r="AI808">
        <v>88.820752781706304</v>
      </c>
      <c r="AJ808">
        <v>88.828213145662701</v>
      </c>
      <c r="AK808">
        <v>172.74384280669</v>
      </c>
      <c r="AL808">
        <v>78.147148605823901</v>
      </c>
      <c r="AM808">
        <v>95.460945254399803</v>
      </c>
      <c r="AN808">
        <v>0.99999998937027101</v>
      </c>
    </row>
    <row r="809" spans="1:40" x14ac:dyDescent="0.25">
      <c r="A809" t="str">
        <f>"20190304155030257"</f>
        <v>20190304155030257</v>
      </c>
      <c r="B809" t="str">
        <f>"1551685830247370"</f>
        <v>1551685830247370</v>
      </c>
      <c r="C809" t="s">
        <v>40</v>
      </c>
      <c r="D809">
        <v>5.2372920000000001</v>
      </c>
      <c r="E809">
        <v>0.54272790000000004</v>
      </c>
      <c r="F809" t="s">
        <v>43</v>
      </c>
      <c r="G809">
        <v>-158.19499999999999</v>
      </c>
      <c r="H809">
        <v>4.8842730000000003</v>
      </c>
      <c r="I809">
        <v>365.14490000000001</v>
      </c>
      <c r="J809">
        <v>-330.8109</v>
      </c>
      <c r="K809">
        <v>1.110244</v>
      </c>
      <c r="L809">
        <v>367.44929999999999</v>
      </c>
      <c r="M809">
        <v>0.99990570000000001</v>
      </c>
      <c r="N809">
        <v>-1.179849E-2</v>
      </c>
      <c r="O809">
        <v>7.0240479999999998E-3</v>
      </c>
      <c r="P809">
        <v>0.97597</v>
      </c>
      <c r="Q809">
        <v>0.1936803</v>
      </c>
      <c r="R809">
        <v>9.9852280000000002E-2</v>
      </c>
      <c r="S809">
        <v>3.0649109999999999</v>
      </c>
      <c r="T809">
        <v>6.6954139999999995E-2</v>
      </c>
      <c r="U809">
        <v>-4.0863040000000003E-2</v>
      </c>
      <c r="V809">
        <v>-9.2987979999999998E-2</v>
      </c>
      <c r="W809">
        <v>0.20519309999999999</v>
      </c>
      <c r="X809">
        <v>0.97429410000000005</v>
      </c>
      <c r="Y809">
        <v>2.0348729999999999E-2</v>
      </c>
      <c r="Z809">
        <v>3.384436E-4</v>
      </c>
      <c r="AA809">
        <v>0.99979289999999998</v>
      </c>
      <c r="AB809">
        <v>32</v>
      </c>
      <c r="AC809">
        <v>172.61590000000001</v>
      </c>
      <c r="AD809">
        <v>3.7740290000000001</v>
      </c>
      <c r="AE809">
        <v>-2.3043999999999798</v>
      </c>
      <c r="AF809">
        <v>3.51520988894847</v>
      </c>
      <c r="AG809">
        <v>3.7740290000000001</v>
      </c>
      <c r="AH809">
        <v>172.51300331003</v>
      </c>
      <c r="AI809">
        <v>88.747012761089493</v>
      </c>
      <c r="AJ809">
        <v>88.832674528673195</v>
      </c>
      <c r="AK809">
        <v>172.590081715325</v>
      </c>
      <c r="AL809">
        <v>78.159196626233793</v>
      </c>
      <c r="AM809">
        <v>95.451874855812406</v>
      </c>
      <c r="AN809">
        <v>0.99999998300345005</v>
      </c>
    </row>
    <row r="810" spans="1:40" x14ac:dyDescent="0.25">
      <c r="A810" t="str">
        <f>"20190304155030268"</f>
        <v>20190304155030268</v>
      </c>
      <c r="B810" t="str">
        <f>"1551685830257130"</f>
        <v>1551685830257130</v>
      </c>
      <c r="C810" t="s">
        <v>40</v>
      </c>
      <c r="D810">
        <v>5.2195450000000001</v>
      </c>
      <c r="E810">
        <v>0.54219629999999996</v>
      </c>
      <c r="F810" t="s">
        <v>43</v>
      </c>
      <c r="G810">
        <v>-158.19499999999999</v>
      </c>
      <c r="H810">
        <v>4.6981449999999896</v>
      </c>
      <c r="I810">
        <v>365.19799999999998</v>
      </c>
      <c r="J810">
        <v>-330.64049999999997</v>
      </c>
      <c r="K810">
        <v>1.1102449999999999</v>
      </c>
      <c r="L810">
        <v>367.45049999999998</v>
      </c>
      <c r="M810">
        <v>0.99990579999999996</v>
      </c>
      <c r="N810">
        <v>-1.18023E-2</v>
      </c>
      <c r="O810">
        <v>7.0241959999999999E-3</v>
      </c>
      <c r="P810">
        <v>0.97598169999999995</v>
      </c>
      <c r="Q810">
        <v>0.19365859999999999</v>
      </c>
      <c r="R810">
        <v>9.9781259999999997E-2</v>
      </c>
      <c r="S810">
        <v>3.0653079999999999</v>
      </c>
      <c r="T810">
        <v>6.3715339999999995E-2</v>
      </c>
      <c r="U810">
        <v>-3.9978029999999998E-2</v>
      </c>
      <c r="V810">
        <v>-9.2916310000000002E-2</v>
      </c>
      <c r="W810">
        <v>0.20517540000000001</v>
      </c>
      <c r="X810">
        <v>0.97430470000000002</v>
      </c>
      <c r="Y810">
        <v>2.0059150000000001E-2</v>
      </c>
      <c r="Z810">
        <v>3.1892619999999999E-4</v>
      </c>
      <c r="AA810">
        <v>0.99979870000000004</v>
      </c>
      <c r="AB810">
        <v>32</v>
      </c>
      <c r="AC810">
        <v>172.44549999999899</v>
      </c>
      <c r="AD810">
        <v>3.5878999999999901</v>
      </c>
      <c r="AE810">
        <v>-2.25249999999994</v>
      </c>
      <c r="AF810">
        <v>3.4623210930211998</v>
      </c>
      <c r="AG810">
        <v>3.5878999999999901</v>
      </c>
      <c r="AH810">
        <v>172.35082596734199</v>
      </c>
      <c r="AI810">
        <v>88.807662287994503</v>
      </c>
      <c r="AJ810">
        <v>88.849151399684004</v>
      </c>
      <c r="AK810">
        <v>172.422933235073</v>
      </c>
      <c r="AL810">
        <v>78.160233215578401</v>
      </c>
      <c r="AM810">
        <v>95.447639228471104</v>
      </c>
      <c r="AN810">
        <v>1.00000001693563</v>
      </c>
    </row>
    <row r="811" spans="1:40" x14ac:dyDescent="0.25">
      <c r="A811" t="str">
        <f>"20190304155030281"</f>
        <v>20190304155030281</v>
      </c>
      <c r="B811" t="str">
        <f>"1551685830277626"</f>
        <v>1551685830277626</v>
      </c>
      <c r="C811" t="s">
        <v>40</v>
      </c>
      <c r="D811">
        <v>5.2319050000000002</v>
      </c>
      <c r="E811">
        <v>0.54163289999999997</v>
      </c>
      <c r="F811" t="s">
        <v>43</v>
      </c>
      <c r="G811">
        <v>-158.19499999999999</v>
      </c>
      <c r="H811">
        <v>4.7558499999999997</v>
      </c>
      <c r="I811">
        <v>365.43110000000001</v>
      </c>
      <c r="J811">
        <v>-330.45460000000003</v>
      </c>
      <c r="K811">
        <v>1.1102430000000001</v>
      </c>
      <c r="L811">
        <v>367.45179999999999</v>
      </c>
      <c r="M811">
        <v>0.99990570000000001</v>
      </c>
      <c r="N811">
        <v>-1.180612E-2</v>
      </c>
      <c r="O811">
        <v>7.024466E-3</v>
      </c>
      <c r="P811">
        <v>0.97601959999999999</v>
      </c>
      <c r="Q811">
        <v>0.193519</v>
      </c>
      <c r="R811">
        <v>9.9680500000000005E-2</v>
      </c>
      <c r="S811">
        <v>3.064667</v>
      </c>
      <c r="T811">
        <v>6.4790490000000006E-2</v>
      </c>
      <c r="U811">
        <v>-3.5888669999999998E-2</v>
      </c>
      <c r="V811">
        <v>-9.2814499999999994E-2</v>
      </c>
      <c r="W811">
        <v>0.20503959999999999</v>
      </c>
      <c r="X811">
        <v>0.97434299999999996</v>
      </c>
      <c r="Y811">
        <v>1.8728189999999999E-2</v>
      </c>
      <c r="Z811">
        <v>3.1877279999999999E-4</v>
      </c>
      <c r="AA811">
        <v>0.99982459999999995</v>
      </c>
      <c r="AB811">
        <v>32</v>
      </c>
      <c r="AC811">
        <v>172.25960000000001</v>
      </c>
      <c r="AD811">
        <v>3.645607</v>
      </c>
      <c r="AE811">
        <v>-2.02069999999997</v>
      </c>
      <c r="AF811">
        <v>3.2293199120615599</v>
      </c>
      <c r="AG811">
        <v>3.645607</v>
      </c>
      <c r="AH811">
        <v>172.16405390698</v>
      </c>
      <c r="AI811">
        <v>88.787145399666102</v>
      </c>
      <c r="AJ811">
        <v>88.925416179830506</v>
      </c>
      <c r="AK811">
        <v>172.23292488713699</v>
      </c>
      <c r="AL811">
        <v>78.168183099626503</v>
      </c>
      <c r="AM811">
        <v>95.441493385140703</v>
      </c>
      <c r="AN811">
        <v>1.0000000253137</v>
      </c>
    </row>
    <row r="812" spans="1:40" x14ac:dyDescent="0.25">
      <c r="A812" t="str">
        <f>"20190304155030303"</f>
        <v>20190304155030303</v>
      </c>
      <c r="B812" t="str">
        <f>"1551685830297146"</f>
        <v>1551685830297146</v>
      </c>
      <c r="C812" t="s">
        <v>40</v>
      </c>
      <c r="D812">
        <v>5.2616579999999997</v>
      </c>
      <c r="E812">
        <v>0.54103610000000002</v>
      </c>
      <c r="F812" t="s">
        <v>43</v>
      </c>
      <c r="G812">
        <v>-158.19499999999999</v>
      </c>
      <c r="H812">
        <v>4.40794</v>
      </c>
      <c r="I812">
        <v>365.66309999999999</v>
      </c>
      <c r="J812">
        <v>-330.15440000000001</v>
      </c>
      <c r="K812">
        <v>1.1102379999999901</v>
      </c>
      <c r="L812">
        <v>367.45389999999998</v>
      </c>
      <c r="M812">
        <v>0.99990559999999995</v>
      </c>
      <c r="N812">
        <v>-1.181168E-2</v>
      </c>
      <c r="O812">
        <v>7.02514E-3</v>
      </c>
      <c r="P812">
        <v>0.97603300000000004</v>
      </c>
      <c r="Q812">
        <v>0.19326450000000001</v>
      </c>
      <c r="R812">
        <v>0.1000428</v>
      </c>
      <c r="S812">
        <v>3.0653380000000001</v>
      </c>
      <c r="T812">
        <v>5.8683630000000001E-2</v>
      </c>
      <c r="U812">
        <v>-3.1829830000000003E-2</v>
      </c>
      <c r="V812">
        <v>-9.3176250000000002E-2</v>
      </c>
      <c r="W812">
        <v>0.2047908</v>
      </c>
      <c r="X812">
        <v>0.97436080000000003</v>
      </c>
      <c r="Y812">
        <v>1.7403640000000001E-2</v>
      </c>
      <c r="Z812">
        <v>2.8121949999999999E-4</v>
      </c>
      <c r="AA812">
        <v>0.99984850000000003</v>
      </c>
      <c r="AB812">
        <v>32</v>
      </c>
      <c r="AC812">
        <v>171.95939999999999</v>
      </c>
      <c r="AD812">
        <v>3.2977019999999899</v>
      </c>
      <c r="AE812">
        <v>-1.79079999999999</v>
      </c>
      <c r="AF812">
        <v>2.99777653546733</v>
      </c>
      <c r="AG812">
        <v>3.2977019999999899</v>
      </c>
      <c r="AH812">
        <v>171.87937009097999</v>
      </c>
      <c r="AI812">
        <v>88.901016992615993</v>
      </c>
      <c r="AJ812">
        <v>89.000796137642695</v>
      </c>
      <c r="AK812">
        <v>171.93713783097999</v>
      </c>
      <c r="AL812">
        <v>78.182747366127103</v>
      </c>
      <c r="AM812">
        <v>95.462474699046794</v>
      </c>
      <c r="AN812">
        <v>1.0000000269526701</v>
      </c>
    </row>
    <row r="813" spans="1:40" x14ac:dyDescent="0.25">
      <c r="A813" t="str">
        <f>"20190304155030325"</f>
        <v>20190304155030325</v>
      </c>
      <c r="B813" t="str">
        <f>"1551685830317642"</f>
        <v>1551685830317642</v>
      </c>
      <c r="C813" t="s">
        <v>40</v>
      </c>
      <c r="D813">
        <v>5.2522859999999998</v>
      </c>
      <c r="E813">
        <v>0.54041799999999995</v>
      </c>
      <c r="F813" t="s">
        <v>43</v>
      </c>
      <c r="G813">
        <v>-158.19499999999999</v>
      </c>
      <c r="H813">
        <v>3.9798269999999998</v>
      </c>
      <c r="I813">
        <v>366.0283</v>
      </c>
      <c r="J813">
        <v>-329.83330000000001</v>
      </c>
      <c r="K813">
        <v>1.1102399999999999</v>
      </c>
      <c r="L813">
        <v>367.45620000000002</v>
      </c>
      <c r="M813">
        <v>0.9999055</v>
      </c>
      <c r="N813">
        <v>-1.181684E-2</v>
      </c>
      <c r="O813">
        <v>7.02558E-3</v>
      </c>
      <c r="P813">
        <v>0.97602060000000002</v>
      </c>
      <c r="Q813">
        <v>0.1932121</v>
      </c>
      <c r="R813">
        <v>0.1002644</v>
      </c>
      <c r="S813">
        <v>3.0661619999999998</v>
      </c>
      <c r="T813">
        <v>5.1168440000000003E-2</v>
      </c>
      <c r="U813">
        <v>-2.5421139999999998E-2</v>
      </c>
      <c r="V813">
        <v>-9.3396939999999998E-2</v>
      </c>
      <c r="W813">
        <v>0.2047437</v>
      </c>
      <c r="X813">
        <v>0.97434960000000004</v>
      </c>
      <c r="Y813">
        <v>1.531273E-2</v>
      </c>
      <c r="Z813">
        <v>2.3752389999999999E-4</v>
      </c>
      <c r="AA813">
        <v>0.99988270000000001</v>
      </c>
      <c r="AB813">
        <v>32</v>
      </c>
      <c r="AC813">
        <v>171.63829999999999</v>
      </c>
      <c r="AD813">
        <v>2.8695870000000001</v>
      </c>
      <c r="AE813">
        <v>-1.4279000000000199</v>
      </c>
      <c r="AF813">
        <v>2.6330716188799799</v>
      </c>
      <c r="AG813">
        <v>2.8695870000000001</v>
      </c>
      <c r="AH813">
        <v>171.57607555281601</v>
      </c>
      <c r="AI813">
        <v>89.041937846212207</v>
      </c>
      <c r="AJ813">
        <v>89.120786224318394</v>
      </c>
      <c r="AK813">
        <v>171.620270649497</v>
      </c>
      <c r="AL813">
        <v>78.185504778047601</v>
      </c>
      <c r="AM813">
        <v>95.475396713720201</v>
      </c>
      <c r="AN813">
        <v>1.0000000570556</v>
      </c>
    </row>
    <row r="814" spans="1:40" x14ac:dyDescent="0.25">
      <c r="A814" t="str">
        <f>"20190304155030346"</f>
        <v>20190304155030346</v>
      </c>
      <c r="B814" t="str">
        <f>"1551685830337162"</f>
        <v>1551685830337162</v>
      </c>
      <c r="C814" t="s">
        <v>40</v>
      </c>
      <c r="D814">
        <v>5.2929750000000002</v>
      </c>
      <c r="E814">
        <v>0.53969880000000003</v>
      </c>
      <c r="F814" t="s">
        <v>43</v>
      </c>
      <c r="G814">
        <v>-158.19499999999999</v>
      </c>
      <c r="H814">
        <v>3.8289800000000001</v>
      </c>
      <c r="I814">
        <v>366.34410000000003</v>
      </c>
      <c r="J814">
        <v>-329.52080000000001</v>
      </c>
      <c r="K814">
        <v>1.1102449999999999</v>
      </c>
      <c r="L814">
        <v>367.45839999999998</v>
      </c>
      <c r="M814">
        <v>0.99990559999999995</v>
      </c>
      <c r="N814">
        <v>-1.1821440000000001E-2</v>
      </c>
      <c r="O814">
        <v>7.0257269999999998E-3</v>
      </c>
      <c r="P814">
        <v>0.97597009999999995</v>
      </c>
      <c r="Q814">
        <v>0.1934128</v>
      </c>
      <c r="R814">
        <v>0.100369</v>
      </c>
      <c r="S814">
        <v>3.0661010000000002</v>
      </c>
      <c r="T814">
        <v>4.856837E-2</v>
      </c>
      <c r="U814">
        <v>-1.986694E-2</v>
      </c>
      <c r="V814">
        <v>-9.3502039999999995E-2</v>
      </c>
      <c r="W814">
        <v>0.2049482</v>
      </c>
      <c r="X814">
        <v>0.97429650000000001</v>
      </c>
      <c r="Y814">
        <v>1.3502200000000001E-2</v>
      </c>
      <c r="Z814">
        <v>2.2144950000000001E-4</v>
      </c>
      <c r="AA814">
        <v>0.99990880000000004</v>
      </c>
      <c r="AB814">
        <v>32</v>
      </c>
      <c r="AC814">
        <v>171.32579999999999</v>
      </c>
      <c r="AD814">
        <v>2.7187350000000001</v>
      </c>
      <c r="AE814">
        <v>-1.1142999999999501</v>
      </c>
      <c r="AF814">
        <v>2.3174611616491099</v>
      </c>
      <c r="AG814">
        <v>2.7187350000000001</v>
      </c>
      <c r="AH814">
        <v>171.27061430892101</v>
      </c>
      <c r="AI814">
        <v>89.090651333133593</v>
      </c>
      <c r="AJ814">
        <v>89.224778624950403</v>
      </c>
      <c r="AK814">
        <v>171.30786751340801</v>
      </c>
      <c r="AL814">
        <v>78.173533652818804</v>
      </c>
      <c r="AM814">
        <v>95.481817623147705</v>
      </c>
      <c r="AN814">
        <v>1.00000003303982</v>
      </c>
    </row>
    <row r="815" spans="1:40" x14ac:dyDescent="0.25">
      <c r="A815" t="str">
        <f>"20190304155030357"</f>
        <v>20190304155030357</v>
      </c>
      <c r="B815" t="str">
        <f>"1551685830346921"</f>
        <v>1551685830346921</v>
      </c>
      <c r="C815" t="s">
        <v>40</v>
      </c>
      <c r="D815">
        <v>5.2898750000000003</v>
      </c>
      <c r="E815">
        <v>0.53946139999999998</v>
      </c>
      <c r="F815" t="s">
        <v>43</v>
      </c>
      <c r="G815">
        <v>-158.19499999999999</v>
      </c>
      <c r="H815">
        <v>3.663122</v>
      </c>
      <c r="I815">
        <v>366.67399999999998</v>
      </c>
      <c r="J815">
        <v>-329.36860000000001</v>
      </c>
      <c r="K815">
        <v>1.1102449999999999</v>
      </c>
      <c r="L815">
        <v>367.45940000000002</v>
      </c>
      <c r="M815">
        <v>0.9999055</v>
      </c>
      <c r="N815">
        <v>-1.1823490000000001E-2</v>
      </c>
      <c r="O815">
        <v>7.0258909999999898E-3</v>
      </c>
      <c r="P815">
        <v>0.97594769999999997</v>
      </c>
      <c r="Q815">
        <v>0.1935801</v>
      </c>
      <c r="R815">
        <v>0.1002652</v>
      </c>
      <c r="S815">
        <v>3.066284</v>
      </c>
      <c r="T815">
        <v>4.5691370000000002E-2</v>
      </c>
      <c r="U815">
        <v>-1.403809E-2</v>
      </c>
      <c r="V815">
        <v>-9.3397839999999996E-2</v>
      </c>
      <c r="W815">
        <v>0.20511760000000001</v>
      </c>
      <c r="X815">
        <v>0.97427079999999999</v>
      </c>
      <c r="Y815">
        <v>1.160158E-2</v>
      </c>
      <c r="Z815">
        <v>2.055971E-4</v>
      </c>
      <c r="AA815">
        <v>0.99993270000000001</v>
      </c>
      <c r="AB815">
        <v>32</v>
      </c>
      <c r="AC815">
        <v>171.17359999999999</v>
      </c>
      <c r="AD815">
        <v>2.5528770000000001</v>
      </c>
      <c r="AE815">
        <v>-0.785399999999981</v>
      </c>
      <c r="AF815">
        <v>1.9876695374253599</v>
      </c>
      <c r="AG815">
        <v>2.5528770000000001</v>
      </c>
      <c r="AH815">
        <v>171.125793921819</v>
      </c>
      <c r="AI815">
        <v>89.145375098833895</v>
      </c>
      <c r="AJ815">
        <v>89.334524902426807</v>
      </c>
      <c r="AK815">
        <v>171.15637690877901</v>
      </c>
      <c r="AL815">
        <v>78.163616542780403</v>
      </c>
      <c r="AM815">
        <v>95.475889323691803</v>
      </c>
      <c r="AN815">
        <v>0.99999998903953202</v>
      </c>
    </row>
    <row r="816" spans="1:40" x14ac:dyDescent="0.25">
      <c r="A816" t="str">
        <f>"20190304155030368"</f>
        <v>20190304155030368</v>
      </c>
      <c r="B816" t="str">
        <f>"1551685830357657"</f>
        <v>1551685830357657</v>
      </c>
      <c r="C816" t="s">
        <v>40</v>
      </c>
      <c r="D816">
        <v>5.2883709999999997</v>
      </c>
      <c r="E816">
        <v>0.53920639999999997</v>
      </c>
      <c r="F816" t="s">
        <v>43</v>
      </c>
      <c r="G816">
        <v>-158.19499999999999</v>
      </c>
      <c r="H816">
        <v>3.552689</v>
      </c>
      <c r="I816">
        <v>366.78309999999999</v>
      </c>
      <c r="J816">
        <v>-329.21260000000001</v>
      </c>
      <c r="K816">
        <v>1.1102479999999999</v>
      </c>
      <c r="L816">
        <v>367.46050000000002</v>
      </c>
      <c r="M816">
        <v>0.99990540000000006</v>
      </c>
      <c r="N816">
        <v>-1.1825560000000001E-2</v>
      </c>
      <c r="O816">
        <v>7.0259959999999996E-3</v>
      </c>
      <c r="P816">
        <v>0.97596620000000001</v>
      </c>
      <c r="Q816">
        <v>0.1936013</v>
      </c>
      <c r="R816">
        <v>0.10004349999999999</v>
      </c>
      <c r="S816">
        <v>3.0664980000000002</v>
      </c>
      <c r="T816">
        <v>4.3756839999999998E-2</v>
      </c>
      <c r="U816">
        <v>-1.211548E-2</v>
      </c>
      <c r="V816">
        <v>-9.317578E-2</v>
      </c>
      <c r="W816">
        <v>0.20514089999999999</v>
      </c>
      <c r="X816">
        <v>0.97428720000000002</v>
      </c>
      <c r="Y816">
        <v>1.0974640000000001E-2</v>
      </c>
      <c r="Z816">
        <v>1.9673419999999999E-4</v>
      </c>
      <c r="AA816">
        <v>0.99993969999999999</v>
      </c>
      <c r="AB816">
        <v>32</v>
      </c>
      <c r="AC816">
        <v>171.01759999999999</v>
      </c>
      <c r="AD816">
        <v>2.4424410000000001</v>
      </c>
      <c r="AE816">
        <v>-0.67740000000003397</v>
      </c>
      <c r="AF816">
        <v>1.87865308246948</v>
      </c>
      <c r="AG816">
        <v>2.4424410000000001</v>
      </c>
      <c r="AH816">
        <v>170.9737455177</v>
      </c>
      <c r="AI816">
        <v>89.1816076978279</v>
      </c>
      <c r="AJ816">
        <v>89.370461465624402</v>
      </c>
      <c r="AK816">
        <v>171.00151026173401</v>
      </c>
      <c r="AL816">
        <v>78.162253054959194</v>
      </c>
      <c r="AM816">
        <v>95.462857462110605</v>
      </c>
      <c r="AN816">
        <v>1.0000000314576201</v>
      </c>
    </row>
    <row r="817" spans="1:40" x14ac:dyDescent="0.25">
      <c r="A817" t="str">
        <f>"20190304155030379"</f>
        <v>20190304155030379</v>
      </c>
      <c r="B817" t="str">
        <f>"1551685830367135"</f>
        <v>1551685830367135</v>
      </c>
      <c r="C817" t="s">
        <v>40</v>
      </c>
      <c r="D817">
        <v>5.2938099999999997</v>
      </c>
      <c r="E817">
        <v>0.53896999999999995</v>
      </c>
      <c r="F817" t="s">
        <v>43</v>
      </c>
      <c r="G817">
        <v>-158.19499999999999</v>
      </c>
      <c r="H817">
        <v>3.4181020000000002</v>
      </c>
      <c r="I817">
        <v>366.85809999999998</v>
      </c>
      <c r="J817">
        <v>-329.05220000000003</v>
      </c>
      <c r="K817">
        <v>1.110249</v>
      </c>
      <c r="L817">
        <v>367.46170000000001</v>
      </c>
      <c r="M817">
        <v>0.9999053</v>
      </c>
      <c r="N817">
        <v>-1.1827499999999999E-2</v>
      </c>
      <c r="O817">
        <v>7.0263410000000002E-3</v>
      </c>
      <c r="P817">
        <v>0.97594440000000005</v>
      </c>
      <c r="Q817">
        <v>0.19368560000000001</v>
      </c>
      <c r="R817">
        <v>0.100092</v>
      </c>
      <c r="S817">
        <v>3.0668030000000002</v>
      </c>
      <c r="T817">
        <v>4.1387559999999997E-2</v>
      </c>
      <c r="U817">
        <v>-1.0803220000000001E-2</v>
      </c>
      <c r="V817">
        <v>-9.3223769999999997E-2</v>
      </c>
      <c r="W817">
        <v>0.20522670000000001</v>
      </c>
      <c r="X817">
        <v>0.97426449999999998</v>
      </c>
      <c r="Y817">
        <v>1.0546939999999999E-2</v>
      </c>
      <c r="Z817">
        <v>1.8670700000000001E-4</v>
      </c>
      <c r="AA817">
        <v>0.99994439999999996</v>
      </c>
      <c r="AB817">
        <v>32</v>
      </c>
      <c r="AC817">
        <v>170.85720000000001</v>
      </c>
      <c r="AD817">
        <v>2.3078530000000002</v>
      </c>
      <c r="AE817">
        <v>-0.603600000000028</v>
      </c>
      <c r="AF817">
        <v>1.8038409932536199</v>
      </c>
      <c r="AG817">
        <v>2.3078530000000002</v>
      </c>
      <c r="AH817">
        <v>170.81757469918901</v>
      </c>
      <c r="AI817">
        <v>89.225988184909596</v>
      </c>
      <c r="AJ817">
        <v>89.394976573704099</v>
      </c>
      <c r="AK817">
        <v>170.84268744641</v>
      </c>
      <c r="AL817">
        <v>78.157229744264797</v>
      </c>
      <c r="AM817">
        <v>95.465780638578394</v>
      </c>
      <c r="AN817">
        <v>0.99999999282307594</v>
      </c>
    </row>
    <row r="818" spans="1:40" x14ac:dyDescent="0.25">
      <c r="A818" t="str">
        <f>"20190304155030392"</f>
        <v>20190304155030392</v>
      </c>
      <c r="B818" t="str">
        <f>"1551685830387632"</f>
        <v>1551685830387632</v>
      </c>
      <c r="C818" t="s">
        <v>40</v>
      </c>
      <c r="D818">
        <v>5.3217600000000003</v>
      </c>
      <c r="E818">
        <v>0.5383502</v>
      </c>
      <c r="F818" t="s">
        <v>43</v>
      </c>
      <c r="G818">
        <v>-158.19499999999999</v>
      </c>
      <c r="H818">
        <v>3.314406</v>
      </c>
      <c r="I818">
        <v>366.95679999999999</v>
      </c>
      <c r="J818">
        <v>-328.89240000000001</v>
      </c>
      <c r="K818">
        <v>1.11025</v>
      </c>
      <c r="L818">
        <v>367.46280000000002</v>
      </c>
      <c r="M818">
        <v>0.99990540000000006</v>
      </c>
      <c r="N818">
        <v>-1.182939E-2</v>
      </c>
      <c r="O818">
        <v>7.0263280000000001E-3</v>
      </c>
      <c r="P818">
        <v>0.9758983</v>
      </c>
      <c r="Q818">
        <v>0.19397529999999999</v>
      </c>
      <c r="R818">
        <v>9.9981970000000003E-2</v>
      </c>
      <c r="S818">
        <v>3.0670169999999999</v>
      </c>
      <c r="T818">
        <v>3.9567829999999998E-2</v>
      </c>
      <c r="U818">
        <v>-9.0637210000000003E-3</v>
      </c>
      <c r="V818">
        <v>-9.3114370000000002E-2</v>
      </c>
      <c r="W818">
        <v>0.20551749999999999</v>
      </c>
      <c r="X818">
        <v>0.97421369999999896</v>
      </c>
      <c r="Y818">
        <v>9.9797099999999993E-3</v>
      </c>
      <c r="Z818">
        <v>1.7909889999999999E-4</v>
      </c>
      <c r="AA818">
        <v>0.99995020000000001</v>
      </c>
      <c r="AB818">
        <v>32</v>
      </c>
      <c r="AC818">
        <v>170.69739999999999</v>
      </c>
      <c r="AD818">
        <v>2.2041559999999998</v>
      </c>
      <c r="AE818">
        <v>-0.50600000000002798</v>
      </c>
      <c r="AF818">
        <v>1.7051629765249301</v>
      </c>
      <c r="AG818">
        <v>2.2041559999999998</v>
      </c>
      <c r="AH818">
        <v>170.66117497617199</v>
      </c>
      <c r="AI818">
        <v>89.260080608623795</v>
      </c>
      <c r="AJ818">
        <v>89.427547647842701</v>
      </c>
      <c r="AK818">
        <v>170.68392580643501</v>
      </c>
      <c r="AL818">
        <v>78.140205695553206</v>
      </c>
      <c r="AM818">
        <v>95.459688167560898</v>
      </c>
      <c r="AN818">
        <v>1.0000000309872099</v>
      </c>
    </row>
    <row r="819" spans="1:40" x14ac:dyDescent="0.25">
      <c r="A819" t="str">
        <f>"20190304155030404"</f>
        <v>20190304155030404</v>
      </c>
      <c r="B819" t="str">
        <f>"1551685830397392"</f>
        <v>1551685830397392</v>
      </c>
      <c r="C819" t="s">
        <v>40</v>
      </c>
      <c r="D819">
        <v>5.2647839999999997</v>
      </c>
      <c r="E819">
        <v>0.53832990000000003</v>
      </c>
      <c r="F819" t="s">
        <v>43</v>
      </c>
      <c r="G819">
        <v>-158.19499999999999</v>
      </c>
      <c r="H819">
        <v>3.2537910000000001</v>
      </c>
      <c r="I819">
        <v>367.1979</v>
      </c>
      <c r="J819">
        <v>-328.69470000000001</v>
      </c>
      <c r="K819">
        <v>1.1102479999999999</v>
      </c>
      <c r="L819">
        <v>367.46420000000001</v>
      </c>
      <c r="M819">
        <v>0.99990540000000006</v>
      </c>
      <c r="N819">
        <v>-1.183157E-2</v>
      </c>
      <c r="O819">
        <v>7.0264919999999996E-3</v>
      </c>
      <c r="P819">
        <v>0.97589740000000003</v>
      </c>
      <c r="Q819">
        <v>0.19400290000000001</v>
      </c>
      <c r="R819">
        <v>9.9937929999999994E-2</v>
      </c>
      <c r="S819">
        <v>3.0669249999999999</v>
      </c>
      <c r="T819">
        <v>3.8514609999999998E-2</v>
      </c>
      <c r="U819">
        <v>-4.7607420000000001E-3</v>
      </c>
      <c r="V819">
        <v>-9.3070100000000003E-2</v>
      </c>
      <c r="W819">
        <v>0.20554739999999999</v>
      </c>
      <c r="X819">
        <v>0.97421159999999996</v>
      </c>
      <c r="Y819">
        <v>8.5770919999999997E-3</v>
      </c>
      <c r="Z819">
        <v>1.7447790000000001E-4</v>
      </c>
      <c r="AA819">
        <v>0.99996320000000005</v>
      </c>
      <c r="AB819">
        <v>32</v>
      </c>
      <c r="AC819">
        <v>170.49969999999999</v>
      </c>
      <c r="AD819">
        <v>2.1435430000000002</v>
      </c>
      <c r="AE819">
        <v>-0.26630000000000098</v>
      </c>
      <c r="AF819">
        <v>1.4641605428142299</v>
      </c>
      <c r="AG819">
        <v>2.1435430000000002</v>
      </c>
      <c r="AH819">
        <v>170.46667555496501</v>
      </c>
      <c r="AI819">
        <v>89.279595470346194</v>
      </c>
      <c r="AJ819">
        <v>89.5078911669859</v>
      </c>
      <c r="AK819">
        <v>170.486439394603</v>
      </c>
      <c r="AL819">
        <v>78.138454918626806</v>
      </c>
      <c r="AM819">
        <v>95.457119796461797</v>
      </c>
      <c r="AN819">
        <v>1.00000000936766</v>
      </c>
    </row>
    <row r="820" spans="1:40" x14ac:dyDescent="0.25">
      <c r="A820" t="str">
        <f>"20190304155030417"</f>
        <v>20190304155030417</v>
      </c>
      <c r="B820" t="str">
        <f>"1551685830407152"</f>
        <v>1551685830407152</v>
      </c>
      <c r="C820" t="s">
        <v>40</v>
      </c>
      <c r="D820">
        <v>5.2970100000000002</v>
      </c>
      <c r="E820">
        <v>0.53814580000000001</v>
      </c>
      <c r="F820" t="s">
        <v>43</v>
      </c>
      <c r="G820">
        <v>-158.19499999999999</v>
      </c>
      <c r="H820">
        <v>3.1861229999999998</v>
      </c>
      <c r="I820">
        <v>367.20800000000003</v>
      </c>
      <c r="J820">
        <v>-328.50199999999899</v>
      </c>
      <c r="K820">
        <v>1.11025</v>
      </c>
      <c r="L820">
        <v>367.46550000000002</v>
      </c>
      <c r="M820">
        <v>0.99990540000000006</v>
      </c>
      <c r="N820">
        <v>-1.1833649999999999E-2</v>
      </c>
      <c r="O820">
        <v>7.0266570000000004E-3</v>
      </c>
      <c r="P820">
        <v>0.9758599</v>
      </c>
      <c r="Q820">
        <v>0.1942729</v>
      </c>
      <c r="R820">
        <v>9.9778039999999998E-2</v>
      </c>
      <c r="S820">
        <v>3.0671390000000001</v>
      </c>
      <c r="T820">
        <v>3.734469E-2</v>
      </c>
      <c r="U820">
        <v>-4.6081539999999997E-3</v>
      </c>
      <c r="V820">
        <v>-9.2910000000000006E-2</v>
      </c>
      <c r="W820">
        <v>0.205819</v>
      </c>
      <c r="X820">
        <v>0.97416959999999997</v>
      </c>
      <c r="Y820">
        <v>8.5274859999999904E-3</v>
      </c>
      <c r="Z820">
        <v>1.701541E-4</v>
      </c>
      <c r="AA820">
        <v>0.99996359999999995</v>
      </c>
      <c r="AB820">
        <v>32</v>
      </c>
      <c r="AC820">
        <v>170.30699999999899</v>
      </c>
      <c r="AD820">
        <v>2.0758730000000001</v>
      </c>
      <c r="AE820">
        <v>-0.25749999999999301</v>
      </c>
      <c r="AF820">
        <v>1.45405015298067</v>
      </c>
      <c r="AG820">
        <v>2.0758730000000001</v>
      </c>
      <c r="AH820">
        <v>170.27568739045699</v>
      </c>
      <c r="AI820">
        <v>89.301553052728806</v>
      </c>
      <c r="AJ820">
        <v>89.510741003084604</v>
      </c>
      <c r="AK820">
        <v>170.294548435504</v>
      </c>
      <c r="AL820">
        <v>78.122554109657898</v>
      </c>
      <c r="AM820">
        <v>95.448022396275903</v>
      </c>
      <c r="AN820">
        <v>1.0000000692125699</v>
      </c>
    </row>
    <row r="821" spans="1:40" x14ac:dyDescent="0.25">
      <c r="A821" t="str">
        <f>"20190304155030431"</f>
        <v>20190304155030431</v>
      </c>
      <c r="B821" t="str">
        <f>"1551685830427648"</f>
        <v>1551685830427648</v>
      </c>
      <c r="C821" t="s">
        <v>40</v>
      </c>
      <c r="D821">
        <v>5.2880859999999998</v>
      </c>
      <c r="E821">
        <v>0.53775030000000001</v>
      </c>
      <c r="F821" t="s">
        <v>43</v>
      </c>
      <c r="G821">
        <v>-158.19499999999999</v>
      </c>
      <c r="H821">
        <v>3.1150359999999999</v>
      </c>
      <c r="I821">
        <v>367.25709999999998</v>
      </c>
      <c r="J821">
        <v>-328.32010000000002</v>
      </c>
      <c r="K821">
        <v>1.11025</v>
      </c>
      <c r="L821">
        <v>367.46679999999998</v>
      </c>
      <c r="M821">
        <v>0.9999053</v>
      </c>
      <c r="N821">
        <v>-1.183555E-2</v>
      </c>
      <c r="O821">
        <v>7.0268219999999899E-3</v>
      </c>
      <c r="P821">
        <v>0.97583169999999997</v>
      </c>
      <c r="Q821">
        <v>0.19440399999999999</v>
      </c>
      <c r="R821">
        <v>9.9797170000000004E-2</v>
      </c>
      <c r="S821">
        <v>3.0674130000000002</v>
      </c>
      <c r="T821">
        <v>3.6109919999999997E-2</v>
      </c>
      <c r="U821">
        <v>-3.7536620000000001E-3</v>
      </c>
      <c r="V821">
        <v>-9.292918E-2</v>
      </c>
      <c r="W821">
        <v>0.20595150000000001</v>
      </c>
      <c r="X821">
        <v>0.97413970000000005</v>
      </c>
      <c r="Y821">
        <v>8.2490469999999903E-3</v>
      </c>
      <c r="Z821">
        <v>1.6561599999999999E-4</v>
      </c>
      <c r="AA821">
        <v>0.99996600000000002</v>
      </c>
      <c r="AB821">
        <v>32</v>
      </c>
      <c r="AC821">
        <v>170.1251</v>
      </c>
      <c r="AD821">
        <v>2.0047860000000002</v>
      </c>
      <c r="AE821">
        <v>-0.209699999999998</v>
      </c>
      <c r="AF821">
        <v>1.40502220488727</v>
      </c>
      <c r="AG821">
        <v>2.0047860000000002</v>
      </c>
      <c r="AH821">
        <v>170.09580499521201</v>
      </c>
      <c r="AI821">
        <v>89.324753833394496</v>
      </c>
      <c r="AJ821">
        <v>89.526737231155295</v>
      </c>
      <c r="AK821">
        <v>170.11342137312701</v>
      </c>
      <c r="AL821">
        <v>78.114795428787204</v>
      </c>
      <c r="AM821">
        <v>95.449306544991202</v>
      </c>
      <c r="AN821">
        <v>1.0000000039818999</v>
      </c>
    </row>
    <row r="822" spans="1:40" x14ac:dyDescent="0.25">
      <c r="A822" t="str">
        <f>"20190304155030443"</f>
        <v>20190304155030443</v>
      </c>
      <c r="B822" t="str">
        <f>"1551685830437408"</f>
        <v>1551685830437408</v>
      </c>
      <c r="C822" t="s">
        <v>40</v>
      </c>
      <c r="D822">
        <v>5.3056199999999896</v>
      </c>
      <c r="E822">
        <v>0.53756979999999999</v>
      </c>
      <c r="F822" t="s">
        <v>43</v>
      </c>
      <c r="G822">
        <v>-158.78319999999999</v>
      </c>
      <c r="H822">
        <v>2.911762</v>
      </c>
      <c r="I822">
        <v>367.44150000000002</v>
      </c>
      <c r="J822">
        <v>-328.13619999999997</v>
      </c>
      <c r="K822">
        <v>1.110252</v>
      </c>
      <c r="L822">
        <v>367.46809999999999</v>
      </c>
      <c r="M822">
        <v>0.99990520000000005</v>
      </c>
      <c r="N822">
        <v>-1.183737E-2</v>
      </c>
      <c r="O822">
        <v>7.0271090000000001E-3</v>
      </c>
      <c r="P822">
        <v>0.97583180000000003</v>
      </c>
      <c r="Q822">
        <v>0.1943684</v>
      </c>
      <c r="R822">
        <v>9.9866280000000002E-2</v>
      </c>
      <c r="S822">
        <v>3.0678709999999998</v>
      </c>
      <c r="T822">
        <v>3.2600999999999998E-2</v>
      </c>
      <c r="U822">
        <v>-4.577637E-4</v>
      </c>
      <c r="V822">
        <v>-9.2998609999999995E-2</v>
      </c>
      <c r="W822">
        <v>0.2059174</v>
      </c>
      <c r="X822">
        <v>0.97414029999999996</v>
      </c>
      <c r="Y822">
        <v>7.1750829999999996E-3</v>
      </c>
      <c r="Z822">
        <v>1.535064E-4</v>
      </c>
      <c r="AA822">
        <v>0.99997429999999998</v>
      </c>
      <c r="AB822">
        <v>32</v>
      </c>
      <c r="AC822">
        <v>169.35299999999901</v>
      </c>
      <c r="AD822">
        <v>1.8015099999999999</v>
      </c>
      <c r="AE822">
        <v>-2.6599999999973499E-2</v>
      </c>
      <c r="AF822">
        <v>1.2166071025839</v>
      </c>
      <c r="AG822">
        <v>1.8015099999999999</v>
      </c>
      <c r="AH822">
        <v>169.32946999485699</v>
      </c>
      <c r="AI822">
        <v>89.390464271913203</v>
      </c>
      <c r="AJ822">
        <v>89.588345413951401</v>
      </c>
      <c r="AK822">
        <v>169.343423196359</v>
      </c>
      <c r="AL822">
        <v>78.116792210173998</v>
      </c>
      <c r="AM822">
        <v>95.453350001681301</v>
      </c>
      <c r="AN822">
        <v>1.00000002058439</v>
      </c>
    </row>
    <row r="823" spans="1:40" x14ac:dyDescent="0.25">
      <c r="A823" t="str">
        <f>"20190304155030459"</f>
        <v>20190304155030459</v>
      </c>
      <c r="B823" t="str">
        <f>"1551685830447169"</f>
        <v>1551685830447169</v>
      </c>
      <c r="C823" t="s">
        <v>40</v>
      </c>
      <c r="D823">
        <v>5.1027620000000002</v>
      </c>
      <c r="E823">
        <v>0.53738140000000001</v>
      </c>
      <c r="F823" t="s">
        <v>43</v>
      </c>
      <c r="G823">
        <v>-158.78319999999999</v>
      </c>
      <c r="H823">
        <v>2.8101699999999998</v>
      </c>
      <c r="I823">
        <v>367.54730000000001</v>
      </c>
      <c r="J823">
        <v>-327.90879999999999</v>
      </c>
      <c r="K823">
        <v>1.1102510000000001</v>
      </c>
      <c r="L823">
        <v>367.46969999999999</v>
      </c>
      <c r="M823">
        <v>0.9999053</v>
      </c>
      <c r="N823">
        <v>-1.183946E-2</v>
      </c>
      <c r="O823">
        <v>7.027274E-3</v>
      </c>
      <c r="P823">
        <v>0.97583299999999995</v>
      </c>
      <c r="Q823">
        <v>0.1944505</v>
      </c>
      <c r="R823">
        <v>9.9694889999999994E-2</v>
      </c>
      <c r="S823">
        <v>3.067993</v>
      </c>
      <c r="T823">
        <v>3.079724E-2</v>
      </c>
      <c r="U823">
        <v>1.4343260000000001E-3</v>
      </c>
      <c r="V823">
        <v>-9.2826450000000005E-2</v>
      </c>
      <c r="W823">
        <v>0.20600189999999999</v>
      </c>
      <c r="X823">
        <v>0.97413890000000003</v>
      </c>
      <c r="Y823">
        <v>6.5586419999999999E-3</v>
      </c>
      <c r="Z823">
        <v>1.478284E-4</v>
      </c>
      <c r="AA823">
        <v>0.99997849999999999</v>
      </c>
      <c r="AB823">
        <v>32</v>
      </c>
      <c r="AC823">
        <v>169.12559999999999</v>
      </c>
      <c r="AD823">
        <v>1.699919</v>
      </c>
      <c r="AE823">
        <v>7.7600000000018099E-2</v>
      </c>
      <c r="AF823">
        <v>1.11086482875114</v>
      </c>
      <c r="AG823">
        <v>1.699919</v>
      </c>
      <c r="AH823">
        <v>169.10488462177</v>
      </c>
      <c r="AI823">
        <v>89.424068662186997</v>
      </c>
      <c r="AJ823">
        <v>89.623624409592097</v>
      </c>
      <c r="AK823">
        <v>169.11707704491701</v>
      </c>
      <c r="AL823">
        <v>78.111845173877398</v>
      </c>
      <c r="AM823">
        <v>95.443323170061007</v>
      </c>
      <c r="AN823">
        <v>1.0000000645581999</v>
      </c>
    </row>
    <row r="824" spans="1:40" x14ac:dyDescent="0.25">
      <c r="A824" t="str">
        <f>"20190304155030472"</f>
        <v>20190304155030472</v>
      </c>
      <c r="B824" t="str">
        <f>"1551685830467664"</f>
        <v>1551685830467664</v>
      </c>
      <c r="C824" t="s">
        <v>40</v>
      </c>
      <c r="D824">
        <v>5.2975120000000002</v>
      </c>
      <c r="E824">
        <v>0.53705919999999996</v>
      </c>
      <c r="F824" t="s">
        <v>43</v>
      </c>
      <c r="G824">
        <v>-158.78319999999999</v>
      </c>
      <c r="H824">
        <v>2.9389240000000001</v>
      </c>
      <c r="I824">
        <v>367.58580000000001</v>
      </c>
      <c r="J824">
        <v>-327.72199999999998</v>
      </c>
      <c r="K824">
        <v>1.11025</v>
      </c>
      <c r="L824">
        <v>367.471</v>
      </c>
      <c r="M824">
        <v>0.99990520000000005</v>
      </c>
      <c r="N824">
        <v>-1.184108E-2</v>
      </c>
      <c r="O824">
        <v>7.0274419999999897E-3</v>
      </c>
      <c r="P824">
        <v>0.97582080000000004</v>
      </c>
      <c r="Q824">
        <v>0.1944438</v>
      </c>
      <c r="R824">
        <v>9.9827890000000002E-2</v>
      </c>
      <c r="S824">
        <v>3.0674739999999998</v>
      </c>
      <c r="T824">
        <v>3.3168669999999997E-2</v>
      </c>
      <c r="U824">
        <v>2.1057129999999999E-3</v>
      </c>
      <c r="V824">
        <v>-9.2959390000000003E-2</v>
      </c>
      <c r="W824">
        <v>0.2059967</v>
      </c>
      <c r="X824">
        <v>0.97412719999999997</v>
      </c>
      <c r="Y824">
        <v>6.3397189999999997E-3</v>
      </c>
      <c r="Z824">
        <v>1.5593510000000001E-4</v>
      </c>
      <c r="AA824">
        <v>0.99997990000000003</v>
      </c>
      <c r="AB824">
        <v>32</v>
      </c>
      <c r="AC824">
        <v>168.93879999999999</v>
      </c>
      <c r="AD824">
        <v>1.8286739999999999</v>
      </c>
      <c r="AE824">
        <v>0.114800000000002</v>
      </c>
      <c r="AF824">
        <v>1.0723680407529299</v>
      </c>
      <c r="AG824">
        <v>1.8286739999999999</v>
      </c>
      <c r="AH824">
        <v>168.91564293855001</v>
      </c>
      <c r="AI824">
        <v>89.379754909731304</v>
      </c>
      <c r="AJ824">
        <v>89.636260228382099</v>
      </c>
      <c r="AK824">
        <v>168.928944977339</v>
      </c>
      <c r="AL824">
        <v>78.112148202351506</v>
      </c>
      <c r="AM824">
        <v>95.451136897793205</v>
      </c>
      <c r="AN824">
        <v>0.99999994518994895</v>
      </c>
    </row>
    <row r="825" spans="1:40" x14ac:dyDescent="0.25">
      <c r="A825" t="str">
        <f>"20190304155030486"</f>
        <v>20190304155030486</v>
      </c>
      <c r="B825" t="str">
        <f>"1551685830477425"</f>
        <v>1551685830477425</v>
      </c>
      <c r="C825" t="s">
        <v>40</v>
      </c>
      <c r="D825">
        <v>5.3128570000000002</v>
      </c>
      <c r="E825">
        <v>0.53685839999999996</v>
      </c>
      <c r="F825" t="s">
        <v>43</v>
      </c>
      <c r="G825">
        <v>-158.78319999999999</v>
      </c>
      <c r="H825">
        <v>2.7409210000000002</v>
      </c>
      <c r="I825">
        <v>367.75</v>
      </c>
      <c r="J825">
        <v>-327.52609999999999</v>
      </c>
      <c r="K825">
        <v>1.1102479999999999</v>
      </c>
      <c r="L825">
        <v>367.47239999999999</v>
      </c>
      <c r="M825">
        <v>0.9999053</v>
      </c>
      <c r="N825">
        <v>-1.1842689999999999E-2</v>
      </c>
      <c r="O825">
        <v>7.0274319999999897E-3</v>
      </c>
      <c r="P825">
        <v>0.97583439999999999</v>
      </c>
      <c r="Q825">
        <v>0.1942644</v>
      </c>
      <c r="R825">
        <v>0.10004399999999999</v>
      </c>
      <c r="S825">
        <v>3.0679319999999999</v>
      </c>
      <c r="T825">
        <v>2.961457E-2</v>
      </c>
      <c r="U825">
        <v>5.065918E-3</v>
      </c>
      <c r="V825">
        <v>-9.3175220000000003E-2</v>
      </c>
      <c r="W825">
        <v>0.2058189</v>
      </c>
      <c r="X825">
        <v>0.97414420000000002</v>
      </c>
      <c r="Y825">
        <v>5.3751429999999998E-3</v>
      </c>
      <c r="Z825">
        <v>1.4516940000000001E-4</v>
      </c>
      <c r="AA825">
        <v>0.99998549999999997</v>
      </c>
      <c r="AB825">
        <v>32</v>
      </c>
      <c r="AC825">
        <v>168.74289999999999</v>
      </c>
      <c r="AD825">
        <v>1.63067299999999</v>
      </c>
      <c r="AE825">
        <v>0.27760000000000601</v>
      </c>
      <c r="AF825">
        <v>0.908234315018145</v>
      </c>
      <c r="AG825">
        <v>1.63067299999999</v>
      </c>
      <c r="AH825">
        <v>168.724927110983</v>
      </c>
      <c r="AI825">
        <v>89.446279693429801</v>
      </c>
      <c r="AJ825">
        <v>89.6915838617155</v>
      </c>
      <c r="AK825">
        <v>168.73525124469501</v>
      </c>
      <c r="AL825">
        <v>78.122558911296693</v>
      </c>
      <c r="AM825">
        <v>95.463621894204195</v>
      </c>
      <c r="AN825">
        <v>0.999999981806449</v>
      </c>
    </row>
    <row r="826" spans="1:40" x14ac:dyDescent="0.25">
      <c r="A826" t="str">
        <f>"20190304155030499"</f>
        <v>20190304155030499</v>
      </c>
      <c r="B826" t="str">
        <f>"1551685830496945"</f>
        <v>1551685830496945</v>
      </c>
      <c r="C826" t="s">
        <v>40</v>
      </c>
      <c r="D826">
        <v>5.1135010000000003</v>
      </c>
      <c r="E826">
        <v>0.53651009999999999</v>
      </c>
      <c r="F826" t="s">
        <v>43</v>
      </c>
      <c r="G826">
        <v>-158.78319999999999</v>
      </c>
      <c r="H826">
        <v>2.6541139999999999</v>
      </c>
      <c r="I826">
        <v>367.84339999999997</v>
      </c>
      <c r="J826">
        <v>-327.33550000000002</v>
      </c>
      <c r="K826">
        <v>1.11025</v>
      </c>
      <c r="L826">
        <v>367.47370000000001</v>
      </c>
      <c r="M826">
        <v>0.99990520000000005</v>
      </c>
      <c r="N826">
        <v>-1.1844189999999999E-2</v>
      </c>
      <c r="O826">
        <v>7.0277209999999998E-3</v>
      </c>
      <c r="P826">
        <v>0.97588490000000006</v>
      </c>
      <c r="Q826">
        <v>0.19391890000000001</v>
      </c>
      <c r="R826">
        <v>0.1002205</v>
      </c>
      <c r="S826">
        <v>3.0680540000000001</v>
      </c>
      <c r="T826">
        <v>2.807188E-2</v>
      </c>
      <c r="U826">
        <v>6.7443850000000003E-3</v>
      </c>
      <c r="V826">
        <v>-9.3351199999999995E-2</v>
      </c>
      <c r="W826">
        <v>0.20547550000000001</v>
      </c>
      <c r="X826">
        <v>0.97419990000000001</v>
      </c>
      <c r="Y826">
        <v>4.8285059999999998E-3</v>
      </c>
      <c r="Z826">
        <v>1.410305E-4</v>
      </c>
      <c r="AA826">
        <v>0.99998830000000005</v>
      </c>
      <c r="AB826">
        <v>32</v>
      </c>
      <c r="AC826">
        <v>168.5523</v>
      </c>
      <c r="AD826">
        <v>1.5438639999999999</v>
      </c>
      <c r="AE826">
        <v>0.369699999999966</v>
      </c>
      <c r="AF826">
        <v>0.814862350853095</v>
      </c>
      <c r="AG826">
        <v>1.5438639999999999</v>
      </c>
      <c r="AH826">
        <v>168.53659567129799</v>
      </c>
      <c r="AI826">
        <v>89.475168089863899</v>
      </c>
      <c r="AJ826">
        <v>89.722981174476502</v>
      </c>
      <c r="AK826">
        <v>168.54563654147799</v>
      </c>
      <c r="AL826">
        <v>78.142664661569</v>
      </c>
      <c r="AM826">
        <v>95.473567347769105</v>
      </c>
      <c r="AN826">
        <v>1.0000000364008399</v>
      </c>
    </row>
    <row r="827" spans="1:40" x14ac:dyDescent="0.25">
      <c r="A827" t="str">
        <f>"20190304155030516"</f>
        <v>20190304155030516</v>
      </c>
      <c r="B827" t="str">
        <f>"1551685830507680"</f>
        <v>1551685830507680</v>
      </c>
      <c r="C827" t="s">
        <v>40</v>
      </c>
      <c r="D827">
        <v>4.137651</v>
      </c>
      <c r="E827">
        <v>0.53637619999999997</v>
      </c>
      <c r="F827" t="s">
        <v>43</v>
      </c>
      <c r="G827">
        <v>-158.78319999999999</v>
      </c>
      <c r="H827">
        <v>2.7563559999999998</v>
      </c>
      <c r="I827">
        <v>368.02719999999999</v>
      </c>
      <c r="J827">
        <v>-327.08749999999998</v>
      </c>
      <c r="K827">
        <v>1.11025</v>
      </c>
      <c r="L827">
        <v>367.47550000000001</v>
      </c>
      <c r="M827">
        <v>0.99990520000000005</v>
      </c>
      <c r="N827">
        <v>-1.184609E-2</v>
      </c>
      <c r="O827">
        <v>7.027709E-3</v>
      </c>
      <c r="P827">
        <v>0.97590189999999999</v>
      </c>
      <c r="Q827">
        <v>0.19370660000000001</v>
      </c>
      <c r="R827">
        <v>0.1004655</v>
      </c>
      <c r="S827">
        <v>3.0671080000000002</v>
      </c>
      <c r="T827">
        <v>2.9955389999999998E-2</v>
      </c>
      <c r="U827">
        <v>1.00708E-2</v>
      </c>
      <c r="V827">
        <v>-9.3596499999999999E-2</v>
      </c>
      <c r="W827">
        <v>0.20526549999999999</v>
      </c>
      <c r="X827">
        <v>0.97422059999999999</v>
      </c>
      <c r="Y827">
        <v>3.7431750000000001E-3</v>
      </c>
      <c r="Z827">
        <v>1.479916E-4</v>
      </c>
      <c r="AA827">
        <v>0.99999300000000002</v>
      </c>
      <c r="AB827">
        <v>32</v>
      </c>
      <c r="AC827">
        <v>168.30429999999899</v>
      </c>
      <c r="AD827">
        <v>1.6461060000000001</v>
      </c>
      <c r="AE827">
        <v>0.55169999999998198</v>
      </c>
      <c r="AF827">
        <v>0.63112982121773697</v>
      </c>
      <c r="AG827">
        <v>1.6461060000000001</v>
      </c>
      <c r="AH827">
        <v>168.28792260321299</v>
      </c>
      <c r="AI827">
        <v>89.439583934365004</v>
      </c>
      <c r="AJ827">
        <v>89.785124773122504</v>
      </c>
      <c r="AK827">
        <v>168.29715649386199</v>
      </c>
      <c r="AL827">
        <v>78.154958442976607</v>
      </c>
      <c r="AM827">
        <v>95.487746717984706</v>
      </c>
      <c r="AN827">
        <v>1.00000000388343</v>
      </c>
    </row>
    <row r="828" spans="1:40" x14ac:dyDescent="0.25">
      <c r="A828" t="str">
        <f>"20190304155030536"</f>
        <v>20190304155030536</v>
      </c>
      <c r="B828" t="str">
        <f>"1551685830527199"</f>
        <v>1551685830527199</v>
      </c>
      <c r="C828" t="s">
        <v>40</v>
      </c>
      <c r="D828">
        <v>5.4212590000000001</v>
      </c>
      <c r="E828">
        <v>0.53604890000000005</v>
      </c>
      <c r="F828" t="s">
        <v>43</v>
      </c>
      <c r="G828">
        <v>-158.78319999999999</v>
      </c>
      <c r="H828">
        <v>2.812576</v>
      </c>
      <c r="I828">
        <v>368.1438</v>
      </c>
      <c r="J828">
        <v>-326.79689999999999</v>
      </c>
      <c r="K828">
        <v>1.11025</v>
      </c>
      <c r="L828">
        <v>367.47750000000002</v>
      </c>
      <c r="M828">
        <v>0.99990509999999999</v>
      </c>
      <c r="N828">
        <v>-1.184821E-2</v>
      </c>
      <c r="O828">
        <v>7.0280530000000003E-3</v>
      </c>
      <c r="P828">
        <v>0.97585949999999999</v>
      </c>
      <c r="Q828">
        <v>0.1937924</v>
      </c>
      <c r="R828">
        <v>0.10071189999999999</v>
      </c>
      <c r="S828">
        <v>3.0667110000000002</v>
      </c>
      <c r="T828">
        <v>3.102005E-2</v>
      </c>
      <c r="U828">
        <v>1.217651E-2</v>
      </c>
      <c r="V828">
        <v>-9.3842800000000004E-2</v>
      </c>
      <c r="W828">
        <v>0.2053527</v>
      </c>
      <c r="X828">
        <v>0.97417849999999995</v>
      </c>
      <c r="Y828">
        <v>3.056408E-3</v>
      </c>
      <c r="Z828">
        <v>1.5170560000000001E-4</v>
      </c>
      <c r="AA828">
        <v>0.99999530000000003</v>
      </c>
      <c r="AB828">
        <v>32</v>
      </c>
      <c r="AC828">
        <v>168.0137</v>
      </c>
      <c r="AD828">
        <v>1.70232599999999</v>
      </c>
      <c r="AE828">
        <v>0.66629999999997802</v>
      </c>
      <c r="AF828">
        <v>0.51455572350297996</v>
      </c>
      <c r="AG828">
        <v>1.70232599999999</v>
      </c>
      <c r="AH828">
        <v>167.99698699833701</v>
      </c>
      <c r="AI828">
        <v>89.419440185577002</v>
      </c>
      <c r="AJ828">
        <v>89.824510072378104</v>
      </c>
      <c r="AK828">
        <v>168.00639964573401</v>
      </c>
      <c r="AL828">
        <v>78.149853168394301</v>
      </c>
      <c r="AM828">
        <v>95.502335587861097</v>
      </c>
      <c r="AN828">
        <v>0.99999997618568903</v>
      </c>
    </row>
    <row r="829" spans="1:40" x14ac:dyDescent="0.25">
      <c r="A829" t="str">
        <f>"20190304155030548"</f>
        <v>20190304155030548</v>
      </c>
      <c r="B829" t="str">
        <f>"1551685830536960"</f>
        <v>1551685830536960</v>
      </c>
      <c r="C829" t="s">
        <v>40</v>
      </c>
      <c r="D829">
        <v>5.3148359999999997</v>
      </c>
      <c r="E829">
        <v>0.5359254</v>
      </c>
      <c r="F829" t="s">
        <v>43</v>
      </c>
      <c r="G829">
        <v>-158.78319999999999</v>
      </c>
      <c r="H829">
        <v>3.0065780000000002</v>
      </c>
      <c r="I829">
        <v>368.31869999999998</v>
      </c>
      <c r="J829">
        <v>-326.63400000000001</v>
      </c>
      <c r="K829">
        <v>1.110249</v>
      </c>
      <c r="L829">
        <v>367.47859999999997</v>
      </c>
      <c r="M829">
        <v>0.99990520000000005</v>
      </c>
      <c r="N829">
        <v>-1.184937E-2</v>
      </c>
      <c r="O829">
        <v>7.0280459999999996E-3</v>
      </c>
      <c r="P829">
        <v>0.97585889999999997</v>
      </c>
      <c r="Q829">
        <v>0.1938214</v>
      </c>
      <c r="R829">
        <v>0.100662</v>
      </c>
      <c r="S829">
        <v>3.0657960000000002</v>
      </c>
      <c r="T829">
        <v>3.4604429999999999E-2</v>
      </c>
      <c r="U829">
        <v>1.5350340000000001E-2</v>
      </c>
      <c r="V829">
        <v>-9.3792509999999996E-2</v>
      </c>
      <c r="W829">
        <v>0.2053826</v>
      </c>
      <c r="X829">
        <v>0.97417710000000002</v>
      </c>
      <c r="Y829">
        <v>2.0197940000000001E-3</v>
      </c>
      <c r="Z829">
        <v>1.6203060000000001E-4</v>
      </c>
      <c r="AA829">
        <v>0.99999800000000005</v>
      </c>
      <c r="AB829">
        <v>32</v>
      </c>
      <c r="AC829">
        <v>167.85079999999999</v>
      </c>
      <c r="AD829">
        <v>1.8963289999999999</v>
      </c>
      <c r="AE829">
        <v>0.84010000000000595</v>
      </c>
      <c r="AF829">
        <v>0.33962324826781898</v>
      </c>
      <c r="AG829">
        <v>1.8963289999999999</v>
      </c>
      <c r="AH829">
        <v>167.83113755815</v>
      </c>
      <c r="AI829">
        <v>89.352642161710804</v>
      </c>
      <c r="AJ829">
        <v>89.884056364795001</v>
      </c>
      <c r="AK829">
        <v>167.842194163714</v>
      </c>
      <c r="AL829">
        <v>78.148103417462593</v>
      </c>
      <c r="AM829">
        <v>95.499412843558403</v>
      </c>
      <c r="AN829">
        <v>1.0000000347396301</v>
      </c>
    </row>
    <row r="830" spans="1:40" x14ac:dyDescent="0.25">
      <c r="A830" t="str">
        <f>"20190304155030569"</f>
        <v>20190304155030569</v>
      </c>
      <c r="B830" t="str">
        <f>"1551685830567216"</f>
        <v>1551685830567216</v>
      </c>
      <c r="C830" t="s">
        <v>40</v>
      </c>
      <c r="D830">
        <v>5.1779799999999998</v>
      </c>
      <c r="E830">
        <v>0.53552299999999997</v>
      </c>
      <c r="F830" t="s">
        <v>43</v>
      </c>
      <c r="G830">
        <v>-158.78319999999999</v>
      </c>
      <c r="H830">
        <v>2.924096</v>
      </c>
      <c r="I830">
        <v>368.3725</v>
      </c>
      <c r="J830">
        <v>-326.32839999999999</v>
      </c>
      <c r="K830">
        <v>1.1102399999999999</v>
      </c>
      <c r="L830">
        <v>367.48079999999999</v>
      </c>
      <c r="M830">
        <v>0.99990500000000004</v>
      </c>
      <c r="N830">
        <v>-1.185143E-2</v>
      </c>
      <c r="O830">
        <v>7.0285690000000001E-3</v>
      </c>
      <c r="P830">
        <v>0.97584360000000003</v>
      </c>
      <c r="Q830">
        <v>0.1938888</v>
      </c>
      <c r="R830">
        <v>0.1006806</v>
      </c>
      <c r="S830">
        <v>3.0659480000000001</v>
      </c>
      <c r="T830">
        <v>3.313315E-2</v>
      </c>
      <c r="U830">
        <v>1.6326899999999998E-2</v>
      </c>
      <c r="V830">
        <v>-9.3811080000000005E-2</v>
      </c>
      <c r="W830">
        <v>0.2054522</v>
      </c>
      <c r="X830">
        <v>0.97416060000000004</v>
      </c>
      <c r="Y830">
        <v>1.7021390000000001E-3</v>
      </c>
      <c r="Z830">
        <v>1.5835989999999999E-4</v>
      </c>
      <c r="AA830">
        <v>0.99999850000000001</v>
      </c>
      <c r="AB830">
        <v>32</v>
      </c>
      <c r="AC830">
        <v>167.54519999999999</v>
      </c>
      <c r="AD830">
        <v>1.8138559999999999</v>
      </c>
      <c r="AE830">
        <v>0.89170000000001404</v>
      </c>
      <c r="AF830">
        <v>0.28597429965193799</v>
      </c>
      <c r="AG830">
        <v>1.8138559999999999</v>
      </c>
      <c r="AH830">
        <v>167.527694427119</v>
      </c>
      <c r="AI830">
        <v>89.379672228806697</v>
      </c>
      <c r="AJ830">
        <v>89.902194651694799</v>
      </c>
      <c r="AK830">
        <v>167.53775769943601</v>
      </c>
      <c r="AL830">
        <v>78.144028317559403</v>
      </c>
      <c r="AM830">
        <v>95.500587590613904</v>
      </c>
      <c r="AN830">
        <v>0.99999999990398303</v>
      </c>
    </row>
    <row r="831" spans="1:40" x14ac:dyDescent="0.25">
      <c r="A831" t="str">
        <f>"20190304155030579"</f>
        <v>20190304155030579</v>
      </c>
      <c r="B831" t="str">
        <f>"1551685830576976"</f>
        <v>1551685830576976</v>
      </c>
      <c r="C831" t="s">
        <v>40</v>
      </c>
      <c r="D831">
        <v>4.2541339999999996</v>
      </c>
      <c r="E831">
        <v>0.53552299999999997</v>
      </c>
      <c r="F831" t="s">
        <v>43</v>
      </c>
      <c r="G831">
        <v>-158.78319999999999</v>
      </c>
      <c r="H831">
        <v>2.8813279999999999</v>
      </c>
      <c r="I831">
        <v>368.54480000000001</v>
      </c>
      <c r="J831">
        <v>-326.17160000000001</v>
      </c>
      <c r="K831">
        <v>1.1102430000000001</v>
      </c>
      <c r="L831">
        <v>367.4819</v>
      </c>
      <c r="M831">
        <v>0.99990500000000004</v>
      </c>
      <c r="N831">
        <v>-1.185246E-2</v>
      </c>
      <c r="O831">
        <v>7.028683E-3</v>
      </c>
      <c r="P831">
        <v>0.9759004</v>
      </c>
      <c r="Q831">
        <v>0.1935315</v>
      </c>
      <c r="R831">
        <v>0.100816</v>
      </c>
      <c r="S831">
        <v>3.0657649999999999</v>
      </c>
      <c r="T831">
        <v>3.2409189999999997E-2</v>
      </c>
      <c r="U831">
        <v>1.9470210000000002E-2</v>
      </c>
      <c r="V831">
        <v>-9.3945970000000004E-2</v>
      </c>
      <c r="W831">
        <v>0.20509649999999999</v>
      </c>
      <c r="X831">
        <v>0.97422249999999999</v>
      </c>
      <c r="Y831">
        <v>6.7670789999999903E-4</v>
      </c>
      <c r="Z831">
        <v>1.5717030000000001E-4</v>
      </c>
      <c r="AA831">
        <v>0.99999979999999999</v>
      </c>
      <c r="AB831">
        <v>32</v>
      </c>
      <c r="AC831">
        <v>167.38839999999999</v>
      </c>
      <c r="AD831">
        <v>1.77108499999999</v>
      </c>
      <c r="AE831">
        <v>1.0629000000000099</v>
      </c>
      <c r="AF831">
        <v>0.11371624161902</v>
      </c>
      <c r="AG831">
        <v>1.77108499999999</v>
      </c>
      <c r="AH831">
        <v>167.37299916269799</v>
      </c>
      <c r="AI831">
        <v>89.393738025033201</v>
      </c>
      <c r="AJ831">
        <v>89.961072217520595</v>
      </c>
      <c r="AK831">
        <v>167.38240804271399</v>
      </c>
      <c r="AL831">
        <v>78.164851270555303</v>
      </c>
      <c r="AM831">
        <v>95.508100375067798</v>
      </c>
      <c r="AN831">
        <v>0.99999994954886895</v>
      </c>
    </row>
    <row r="832" spans="1:40" x14ac:dyDescent="0.25">
      <c r="A832" t="str">
        <f>"20190304155030592"</f>
        <v>20190304155030592</v>
      </c>
      <c r="B832" t="str">
        <f>"1551685830587712"</f>
        <v>1551685830587712</v>
      </c>
      <c r="C832" t="s">
        <v>40</v>
      </c>
      <c r="D832">
        <v>5.4405140000000003</v>
      </c>
      <c r="E832">
        <v>0.53580609999999995</v>
      </c>
      <c r="F832" t="s">
        <v>43</v>
      </c>
      <c r="G832">
        <v>-158.78319999999999</v>
      </c>
      <c r="H832">
        <v>2.8235109999999999</v>
      </c>
      <c r="I832">
        <v>368.54829999999998</v>
      </c>
      <c r="J832">
        <v>-326.00170000000003</v>
      </c>
      <c r="K832">
        <v>1.110242</v>
      </c>
      <c r="L832">
        <v>367.48309999999998</v>
      </c>
      <c r="M832">
        <v>0.99990500000000004</v>
      </c>
      <c r="N832">
        <v>-1.1853549999999999E-2</v>
      </c>
      <c r="O832">
        <v>7.0286760000000002E-3</v>
      </c>
      <c r="P832">
        <v>0.97585739999999999</v>
      </c>
      <c r="Q832">
        <v>0.19379399999999999</v>
      </c>
      <c r="R832">
        <v>0.10072830000000001</v>
      </c>
      <c r="S832">
        <v>3.0657960000000002</v>
      </c>
      <c r="T832">
        <v>3.1380890000000002E-2</v>
      </c>
      <c r="U832">
        <v>1.953125E-2</v>
      </c>
      <c r="V832">
        <v>-9.3858460000000005E-2</v>
      </c>
      <c r="W832">
        <v>0.20535980000000001</v>
      </c>
      <c r="X832">
        <v>0.97417549999999997</v>
      </c>
      <c r="Y832">
        <v>6.5690970000000003E-4</v>
      </c>
      <c r="Z832">
        <v>1.547222E-4</v>
      </c>
      <c r="AA832">
        <v>0.99999979999999999</v>
      </c>
      <c r="AB832">
        <v>32</v>
      </c>
      <c r="AC832">
        <v>167.21850000000001</v>
      </c>
      <c r="AD832">
        <v>1.7132689999999999</v>
      </c>
      <c r="AE832">
        <v>1.0651999999999999</v>
      </c>
      <c r="AF832">
        <v>0.110222030779884</v>
      </c>
      <c r="AG832">
        <v>1.7132689999999999</v>
      </c>
      <c r="AH832">
        <v>167.20430493047499</v>
      </c>
      <c r="AI832">
        <v>89.412936010496395</v>
      </c>
      <c r="AJ832">
        <v>89.962230301062405</v>
      </c>
      <c r="AK832">
        <v>167.21311858477401</v>
      </c>
      <c r="AL832">
        <v>78.149437572040497</v>
      </c>
      <c r="AM832">
        <v>95.503264996055705</v>
      </c>
      <c r="AN832">
        <v>0.99999998138492996</v>
      </c>
    </row>
    <row r="833" spans="1:40" x14ac:dyDescent="0.25">
      <c r="A833" t="str">
        <f>"20190304155030603"</f>
        <v>20190304155030603</v>
      </c>
      <c r="B833" t="str">
        <f>"1551685830597471"</f>
        <v>1551685830597471</v>
      </c>
      <c r="C833" t="s">
        <v>40</v>
      </c>
      <c r="D833">
        <v>5.2600179999999996</v>
      </c>
      <c r="E833">
        <v>0.53607869999999902</v>
      </c>
      <c r="F833" t="s">
        <v>43</v>
      </c>
      <c r="G833">
        <v>-158.78319999999999</v>
      </c>
      <c r="H833">
        <v>3.0366599999999999</v>
      </c>
      <c r="I833">
        <v>368.43200000000002</v>
      </c>
      <c r="J833">
        <v>-325.83710000000002</v>
      </c>
      <c r="K833">
        <v>1.110242</v>
      </c>
      <c r="L833">
        <v>367.48419999999999</v>
      </c>
      <c r="M833">
        <v>0.99990509999999999</v>
      </c>
      <c r="N833">
        <v>-1.185458E-2</v>
      </c>
      <c r="O833">
        <v>7.0288479999999999E-3</v>
      </c>
      <c r="P833">
        <v>0.97590889999999997</v>
      </c>
      <c r="Q833">
        <v>0.1936321</v>
      </c>
      <c r="R833">
        <v>0.10054100000000001</v>
      </c>
      <c r="S833">
        <v>3.0653990000000002</v>
      </c>
      <c r="T833">
        <v>3.5316109999999998E-2</v>
      </c>
      <c r="U833">
        <v>1.7395020000000001E-2</v>
      </c>
      <c r="V833">
        <v>-9.367077E-2</v>
      </c>
      <c r="W833">
        <v>0.2051992</v>
      </c>
      <c r="X833">
        <v>0.97422739999999997</v>
      </c>
      <c r="Y833">
        <v>1.3529080000000001E-3</v>
      </c>
      <c r="Z833">
        <v>1.6406950000000001E-4</v>
      </c>
      <c r="AA833">
        <v>0.99999899999999997</v>
      </c>
      <c r="AB833">
        <v>32</v>
      </c>
      <c r="AC833">
        <v>167.0539</v>
      </c>
      <c r="AD833">
        <v>1.926418</v>
      </c>
      <c r="AE833">
        <v>0.947799999999972</v>
      </c>
      <c r="AF833">
        <v>0.22647220118807501</v>
      </c>
      <c r="AG833">
        <v>1.926418</v>
      </c>
      <c r="AH833">
        <v>167.034223582972</v>
      </c>
      <c r="AI833">
        <v>89.339233458811805</v>
      </c>
      <c r="AJ833">
        <v>89.922315959714496</v>
      </c>
      <c r="AK833">
        <v>167.045485494026</v>
      </c>
      <c r="AL833">
        <v>78.158839437459804</v>
      </c>
      <c r="AM833">
        <v>95.492036599998997</v>
      </c>
      <c r="AN833">
        <v>0.99999997587189604</v>
      </c>
    </row>
    <row r="834" spans="1:40" x14ac:dyDescent="0.25">
      <c r="A834" t="str">
        <f>"20190304155030615"</f>
        <v>20190304155030615</v>
      </c>
      <c r="B834" t="str">
        <f>"1551685830607232"</f>
        <v>1551685830607232</v>
      </c>
      <c r="C834" t="s">
        <v>40</v>
      </c>
      <c r="D834">
        <v>5.4256589999999996</v>
      </c>
      <c r="E834">
        <v>0.5363637</v>
      </c>
      <c r="F834" t="s">
        <v>43</v>
      </c>
      <c r="G834">
        <v>-158.78319999999999</v>
      </c>
      <c r="H834">
        <v>3.1350889999999998</v>
      </c>
      <c r="I834">
        <v>368.28919999999999</v>
      </c>
      <c r="J834">
        <v>-325.67559999999997</v>
      </c>
      <c r="K834">
        <v>1.1102449999999999</v>
      </c>
      <c r="L834">
        <v>367.48540000000003</v>
      </c>
      <c r="M834">
        <v>0.99990509999999999</v>
      </c>
      <c r="N834">
        <v>-1.1855559999999999E-2</v>
      </c>
      <c r="O834">
        <v>7.0290219999999898E-3</v>
      </c>
      <c r="P834">
        <v>0.97585889999999997</v>
      </c>
      <c r="Q834">
        <v>0.19394929999999999</v>
      </c>
      <c r="R834">
        <v>0.1004147</v>
      </c>
      <c r="S834">
        <v>3.0651549999999999</v>
      </c>
      <c r="T834">
        <v>3.7154079999999999E-2</v>
      </c>
      <c r="U834">
        <v>1.4770510000000001E-2</v>
      </c>
      <c r="V834">
        <v>-9.3544550000000004E-2</v>
      </c>
      <c r="W834">
        <v>0.20551659999999999</v>
      </c>
      <c r="X834">
        <v>0.9741727</v>
      </c>
      <c r="Y834">
        <v>2.2087399999999998E-3</v>
      </c>
      <c r="Z834">
        <v>1.68820099999999E-4</v>
      </c>
      <c r="AA834">
        <v>0.99999760000000004</v>
      </c>
      <c r="AB834">
        <v>32</v>
      </c>
      <c r="AC834">
        <v>166.89239999999899</v>
      </c>
      <c r="AD834">
        <v>2.0248439999999999</v>
      </c>
      <c r="AE834">
        <v>0.80379999999996699</v>
      </c>
      <c r="AF834">
        <v>0.36933819553886199</v>
      </c>
      <c r="AG834">
        <v>2.0248439999999999</v>
      </c>
      <c r="AH834">
        <v>166.86936413020001</v>
      </c>
      <c r="AI834">
        <v>89.304791276209698</v>
      </c>
      <c r="AJ834">
        <v>89.873185318515596</v>
      </c>
      <c r="AK834">
        <v>166.882057421235</v>
      </c>
      <c r="AL834">
        <v>78.140258646177799</v>
      </c>
      <c r="AM834">
        <v>95.484987404758201</v>
      </c>
      <c r="AN834">
        <v>1.0000000525677699</v>
      </c>
    </row>
    <row r="835" spans="1:40" x14ac:dyDescent="0.25">
      <c r="A835" t="str">
        <f>"20190304155030624"</f>
        <v>20190304155030624</v>
      </c>
      <c r="B835" t="str">
        <f>"1551685830616992"</f>
        <v>1551685830616992</v>
      </c>
      <c r="C835" t="s">
        <v>40</v>
      </c>
      <c r="D835">
        <v>5.3834689999999998</v>
      </c>
      <c r="E835">
        <v>0.5366938</v>
      </c>
      <c r="F835" t="s">
        <v>43</v>
      </c>
      <c r="G835">
        <v>-158.78319999999999</v>
      </c>
      <c r="H835">
        <v>3.3585850000000002</v>
      </c>
      <c r="I835">
        <v>368.15179999999998</v>
      </c>
      <c r="J835">
        <v>-325.52280000000002</v>
      </c>
      <c r="K835">
        <v>1.1102459999999901</v>
      </c>
      <c r="L835">
        <v>367.4864</v>
      </c>
      <c r="M835">
        <v>0.99990500000000004</v>
      </c>
      <c r="N835">
        <v>-1.1856469999999999E-2</v>
      </c>
      <c r="O835">
        <v>7.0291950000000002E-3</v>
      </c>
      <c r="P835">
        <v>0.97585080000000002</v>
      </c>
      <c r="Q835">
        <v>0.19407240000000001</v>
      </c>
      <c r="R835">
        <v>0.10025770000000001</v>
      </c>
      <c r="S835">
        <v>3.0647890000000002</v>
      </c>
      <c r="T835">
        <v>4.1289810000000003E-2</v>
      </c>
      <c r="U835">
        <v>1.223755E-2</v>
      </c>
      <c r="V835">
        <v>-9.3387369999999997E-2</v>
      </c>
      <c r="W835">
        <v>0.20564070000000001</v>
      </c>
      <c r="X835">
        <v>0.97416159999999996</v>
      </c>
      <c r="Y835">
        <v>3.0345260000000001E-3</v>
      </c>
      <c r="Z835">
        <v>1.8048160000000001E-4</v>
      </c>
      <c r="AA835">
        <v>0.99999539999999998</v>
      </c>
      <c r="AB835">
        <v>32</v>
      </c>
      <c r="AC835">
        <v>166.7396</v>
      </c>
      <c r="AD835">
        <v>2.2483390000000001</v>
      </c>
      <c r="AE835">
        <v>0.66539999999997601</v>
      </c>
      <c r="AF835">
        <v>0.50665187734667805</v>
      </c>
      <c r="AG835">
        <v>2.2483390000000001</v>
      </c>
      <c r="AH835">
        <v>166.70984664772701</v>
      </c>
      <c r="AI835">
        <v>89.227328595030897</v>
      </c>
      <c r="AJ835">
        <v>89.825871563886196</v>
      </c>
      <c r="AK835">
        <v>166.72577693234001</v>
      </c>
      <c r="AL835">
        <v>78.132993148790206</v>
      </c>
      <c r="AM835">
        <v>95.475889229707406</v>
      </c>
      <c r="AN835">
        <v>1.00000006064328</v>
      </c>
    </row>
    <row r="836" spans="1:40" x14ac:dyDescent="0.25">
      <c r="A836" t="str">
        <f>"20190304155030637"</f>
        <v>20190304155030637</v>
      </c>
      <c r="B836" t="str">
        <f>"1551685830627728"</f>
        <v>1551685830627728</v>
      </c>
      <c r="C836" t="s">
        <v>40</v>
      </c>
      <c r="D836">
        <v>5.1362100000000002</v>
      </c>
      <c r="E836">
        <v>0.53701489999999996</v>
      </c>
      <c r="F836" t="s">
        <v>43</v>
      </c>
      <c r="G836">
        <v>-158.78319999999999</v>
      </c>
      <c r="H836">
        <v>3.397472</v>
      </c>
      <c r="I836">
        <v>367.96789999999999</v>
      </c>
      <c r="J836">
        <v>-325.35019999999997</v>
      </c>
      <c r="K836">
        <v>1.1102479999999999</v>
      </c>
      <c r="L836">
        <v>367.48759999999999</v>
      </c>
      <c r="M836">
        <v>0.99990500000000004</v>
      </c>
      <c r="N836">
        <v>-1.185748E-2</v>
      </c>
      <c r="O836">
        <v>7.0293680000000002E-3</v>
      </c>
      <c r="P836">
        <v>0.9758059</v>
      </c>
      <c r="Q836">
        <v>0.1943761</v>
      </c>
      <c r="R836">
        <v>0.1001036</v>
      </c>
      <c r="S836">
        <v>3.064972</v>
      </c>
      <c r="T836">
        <v>4.204488E-2</v>
      </c>
      <c r="U836">
        <v>8.8500980000000007E-3</v>
      </c>
      <c r="V836">
        <v>-9.3233549999999998E-2</v>
      </c>
      <c r="W836">
        <v>0.20594489999999999</v>
      </c>
      <c r="X836">
        <v>0.97411199999999998</v>
      </c>
      <c r="Y836">
        <v>4.1400669999999999E-3</v>
      </c>
      <c r="Z836">
        <v>1.8361770000000001E-4</v>
      </c>
      <c r="AA836">
        <v>0.99999139999999997</v>
      </c>
      <c r="AB836">
        <v>32</v>
      </c>
      <c r="AC836">
        <v>166.56699999999901</v>
      </c>
      <c r="AD836">
        <v>2.2872240000000001</v>
      </c>
      <c r="AE836">
        <v>0.48029999999999901</v>
      </c>
      <c r="AF836">
        <v>0.69052471440726104</v>
      </c>
      <c r="AG836">
        <v>2.2872240000000001</v>
      </c>
      <c r="AH836">
        <v>166.534859785913</v>
      </c>
      <c r="AI836">
        <v>89.213144221143196</v>
      </c>
      <c r="AJ836">
        <v>89.762428568421598</v>
      </c>
      <c r="AK836">
        <v>166.55199711177599</v>
      </c>
      <c r="AL836">
        <v>78.115181727912798</v>
      </c>
      <c r="AM836">
        <v>95.467201162349298</v>
      </c>
      <c r="AN836">
        <v>0.99999999261280603</v>
      </c>
    </row>
    <row r="837" spans="1:40" x14ac:dyDescent="0.25">
      <c r="A837" t="str">
        <f>"20190304155030649"</f>
        <v>20190304155030649</v>
      </c>
      <c r="B837" t="str">
        <f>"1551685830637488"</f>
        <v>1551685830637488</v>
      </c>
      <c r="C837" t="s">
        <v>40</v>
      </c>
      <c r="D837">
        <v>5.3383620000000001</v>
      </c>
      <c r="E837">
        <v>0.53732219999999997</v>
      </c>
      <c r="F837" t="s">
        <v>43</v>
      </c>
      <c r="G837">
        <v>-158.78319999999999</v>
      </c>
      <c r="H837">
        <v>3.5484390000000001</v>
      </c>
      <c r="I837">
        <v>367.81099999999998</v>
      </c>
      <c r="J837">
        <v>-325.18959999999998</v>
      </c>
      <c r="K837">
        <v>1.110249</v>
      </c>
      <c r="L837">
        <v>367.48880000000003</v>
      </c>
      <c r="M837">
        <v>0.99990500000000004</v>
      </c>
      <c r="N837">
        <v>-1.185841E-2</v>
      </c>
      <c r="O837">
        <v>7.0293619999999999E-3</v>
      </c>
      <c r="P837">
        <v>0.97577369999999997</v>
      </c>
      <c r="Q837">
        <v>0.19447629999999999</v>
      </c>
      <c r="R837">
        <v>0.1002251</v>
      </c>
      <c r="S837">
        <v>3.0648499999999999</v>
      </c>
      <c r="T837">
        <v>4.4864540000000001E-2</v>
      </c>
      <c r="U837">
        <v>5.9509280000000003E-3</v>
      </c>
      <c r="V837">
        <v>-9.3355560000000004E-2</v>
      </c>
      <c r="W837">
        <v>0.2060457</v>
      </c>
      <c r="X837">
        <v>0.97407900000000003</v>
      </c>
      <c r="Y837">
        <v>5.0856540000000002E-3</v>
      </c>
      <c r="Z837">
        <v>1.9331050000000001E-4</v>
      </c>
      <c r="AA837">
        <v>0.99998710000000002</v>
      </c>
      <c r="AB837">
        <v>32</v>
      </c>
      <c r="AC837">
        <v>166.40639999999999</v>
      </c>
      <c r="AD837">
        <v>2.4381900000000001</v>
      </c>
      <c r="AE837">
        <v>0.32219999999995202</v>
      </c>
      <c r="AF837">
        <v>0.84743908569931004</v>
      </c>
      <c r="AG837">
        <v>2.4381900000000001</v>
      </c>
      <c r="AH837">
        <v>166.36883694801199</v>
      </c>
      <c r="AI837">
        <v>89.160382513752495</v>
      </c>
      <c r="AJ837">
        <v>89.708152897102195</v>
      </c>
      <c r="AK837">
        <v>166.38886029693899</v>
      </c>
      <c r="AL837">
        <v>78.109279757747004</v>
      </c>
      <c r="AM837">
        <v>95.474496708382901</v>
      </c>
      <c r="AN837">
        <v>0.99999999465620104</v>
      </c>
    </row>
    <row r="838" spans="1:40" x14ac:dyDescent="0.25">
      <c r="A838" t="str">
        <f>"20190304155030659"</f>
        <v>20190304155030659</v>
      </c>
      <c r="B838" t="str">
        <f>"1551685830657007"</f>
        <v>1551685830657007</v>
      </c>
      <c r="C838" t="s">
        <v>40</v>
      </c>
      <c r="D838">
        <v>5.2673110000000003</v>
      </c>
      <c r="E838">
        <v>0.53797859999999997</v>
      </c>
      <c r="F838" t="s">
        <v>43</v>
      </c>
      <c r="G838">
        <v>-158.78319999999999</v>
      </c>
      <c r="H838">
        <v>3.5766019999999998</v>
      </c>
      <c r="I838">
        <v>367.70089999999999</v>
      </c>
      <c r="J838">
        <v>-325.024</v>
      </c>
      <c r="K838">
        <v>1.110255</v>
      </c>
      <c r="L838">
        <v>367.48989999999998</v>
      </c>
      <c r="M838">
        <v>0.99990500000000004</v>
      </c>
      <c r="N838">
        <v>-1.1859339999999999E-2</v>
      </c>
      <c r="O838">
        <v>7.0294759999999998E-3</v>
      </c>
      <c r="P838">
        <v>0.97577049999999999</v>
      </c>
      <c r="Q838">
        <v>0.19443579999999999</v>
      </c>
      <c r="R838">
        <v>0.1003338</v>
      </c>
      <c r="S838">
        <v>3.0650330000000001</v>
      </c>
      <c r="T838">
        <v>4.5429230000000001E-2</v>
      </c>
      <c r="U838">
        <v>3.90625E-3</v>
      </c>
      <c r="V838">
        <v>-9.3463640000000001E-2</v>
      </c>
      <c r="W838">
        <v>0.2060061</v>
      </c>
      <c r="X838">
        <v>0.97407699999999997</v>
      </c>
      <c r="Y838">
        <v>5.7529130000000001E-3</v>
      </c>
      <c r="Z838">
        <v>1.9606039999999999E-4</v>
      </c>
      <c r="AA838">
        <v>0.99998339999999997</v>
      </c>
      <c r="AB838">
        <v>32</v>
      </c>
      <c r="AC838">
        <v>166.24080000000001</v>
      </c>
      <c r="AD838">
        <v>2.4663469999999998</v>
      </c>
      <c r="AE838">
        <v>0.21100000000001201</v>
      </c>
      <c r="AF838">
        <v>0.95746233133785297</v>
      </c>
      <c r="AG838">
        <v>2.4663469999999998</v>
      </c>
      <c r="AH838">
        <v>166.201593409716</v>
      </c>
      <c r="AI838">
        <v>89.149836320195902</v>
      </c>
      <c r="AJ838">
        <v>89.669931300630395</v>
      </c>
      <c r="AK838">
        <v>166.22264964068199</v>
      </c>
      <c r="AL838">
        <v>78.111598280275601</v>
      </c>
      <c r="AM838">
        <v>95.480807280407205</v>
      </c>
      <c r="AN838">
        <v>0.999999983584129</v>
      </c>
    </row>
    <row r="839" spans="1:40" x14ac:dyDescent="0.25">
      <c r="A839" t="str">
        <f>"20190304155030670"</f>
        <v>20190304155030670</v>
      </c>
      <c r="B839" t="str">
        <f>"1551685830667744"</f>
        <v>1551685830667744</v>
      </c>
      <c r="C839" t="s">
        <v>40</v>
      </c>
      <c r="D839">
        <v>5.3120909999999997</v>
      </c>
      <c r="E839">
        <v>0.53831169999999995</v>
      </c>
      <c r="F839" t="s">
        <v>43</v>
      </c>
      <c r="G839">
        <v>-158.78319999999999</v>
      </c>
      <c r="H839">
        <v>3.6221830000000002</v>
      </c>
      <c r="I839">
        <v>367.43700000000001</v>
      </c>
      <c r="J839">
        <v>-324.8732</v>
      </c>
      <c r="K839">
        <v>1.1102529999999999</v>
      </c>
      <c r="L839">
        <v>367.49099999999999</v>
      </c>
      <c r="M839">
        <v>0.99990500000000004</v>
      </c>
      <c r="N839">
        <v>-1.186017E-2</v>
      </c>
      <c r="O839">
        <v>7.0294709999999998E-3</v>
      </c>
      <c r="P839">
        <v>0.97576209999999997</v>
      </c>
      <c r="Q839">
        <v>0.19460150000000001</v>
      </c>
      <c r="R839">
        <v>0.100094</v>
      </c>
      <c r="S839">
        <v>3.065369</v>
      </c>
      <c r="T839">
        <v>4.6319840000000001E-2</v>
      </c>
      <c r="U839">
        <v>-9.765625E-4</v>
      </c>
      <c r="V839">
        <v>-9.3223879999999995E-2</v>
      </c>
      <c r="W839">
        <v>0.2061722</v>
      </c>
      <c r="X839">
        <v>0.97406490000000001</v>
      </c>
      <c r="Y839">
        <v>7.3457979999999997E-3</v>
      </c>
      <c r="Z839">
        <v>2.0151270000000001E-4</v>
      </c>
      <c r="AA839">
        <v>0.999973</v>
      </c>
      <c r="AB839">
        <v>32</v>
      </c>
      <c r="AC839">
        <v>166.09</v>
      </c>
      <c r="AD839">
        <v>2.51193</v>
      </c>
      <c r="AE839">
        <v>-5.4000000000030399E-2</v>
      </c>
      <c r="AF839">
        <v>1.22132621943397</v>
      </c>
      <c r="AG839">
        <v>2.51193</v>
      </c>
      <c r="AH839">
        <v>166.047535730167</v>
      </c>
      <c r="AI839">
        <v>89.133331805735196</v>
      </c>
      <c r="AJ839">
        <v>89.578581063571406</v>
      </c>
      <c r="AK839">
        <v>166.071025624942</v>
      </c>
      <c r="AL839">
        <v>78.101873458949797</v>
      </c>
      <c r="AM839">
        <v>95.466900283014695</v>
      </c>
      <c r="AN839">
        <v>1.0000000486335501</v>
      </c>
    </row>
    <row r="840" spans="1:40" x14ac:dyDescent="0.25">
      <c r="A840" t="str">
        <f>"20190304155030681"</f>
        <v>20190304155030681</v>
      </c>
      <c r="B840" t="str">
        <f>"1551685830677504"</f>
        <v>1551685830677504</v>
      </c>
      <c r="C840" t="s">
        <v>40</v>
      </c>
      <c r="D840">
        <v>5.3542620000000003</v>
      </c>
      <c r="E840">
        <v>0.53857100000000002</v>
      </c>
      <c r="F840" t="s">
        <v>43</v>
      </c>
      <c r="G840">
        <v>-158.19499999999999</v>
      </c>
      <c r="H840">
        <v>3.6180819999999998</v>
      </c>
      <c r="I840">
        <v>367.24380000000002</v>
      </c>
      <c r="J840">
        <v>-324.71129999999999</v>
      </c>
      <c r="K840">
        <v>1.1102540000000001</v>
      </c>
      <c r="L840">
        <v>367.49209999999999</v>
      </c>
      <c r="M840">
        <v>0.99990500000000004</v>
      </c>
      <c r="N840">
        <v>-1.186105E-2</v>
      </c>
      <c r="O840">
        <v>7.0296439999999998E-3</v>
      </c>
      <c r="P840">
        <v>0.97578690000000001</v>
      </c>
      <c r="Q840">
        <v>0.19436639999999999</v>
      </c>
      <c r="R840">
        <v>0.10030749999999999</v>
      </c>
      <c r="S840">
        <v>3.0657649999999999</v>
      </c>
      <c r="T840">
        <v>4.6128870000000002E-2</v>
      </c>
      <c r="U840">
        <v>-4.5471189999999996E-3</v>
      </c>
      <c r="V840">
        <v>-9.3437129999999993E-2</v>
      </c>
      <c r="W840">
        <v>0.20593839999999999</v>
      </c>
      <c r="X840">
        <v>0.97409389999999996</v>
      </c>
      <c r="Y840">
        <v>8.5105359999999904E-3</v>
      </c>
      <c r="Z840">
        <v>2.0268700000000001E-4</v>
      </c>
      <c r="AA840">
        <v>0.99996379999999996</v>
      </c>
      <c r="AB840">
        <v>32</v>
      </c>
      <c r="AC840">
        <v>166.5163</v>
      </c>
      <c r="AD840">
        <v>2.5078279999999999</v>
      </c>
      <c r="AE840">
        <v>-0.24829999999997199</v>
      </c>
      <c r="AF840">
        <v>1.4186046893758599</v>
      </c>
      <c r="AG840">
        <v>2.5078279999999999</v>
      </c>
      <c r="AH840">
        <v>166.472680206131</v>
      </c>
      <c r="AI840">
        <v>89.136964237255398</v>
      </c>
      <c r="AJ840">
        <v>89.511763167071393</v>
      </c>
      <c r="AK840">
        <v>166.497612281844</v>
      </c>
      <c r="AL840">
        <v>78.115562686209302</v>
      </c>
      <c r="AM840">
        <v>95.479167684154206</v>
      </c>
      <c r="AN840">
        <v>1.0000000239372</v>
      </c>
    </row>
    <row r="841" spans="1:40" x14ac:dyDescent="0.25">
      <c r="A841" t="str">
        <f>"20190304155030705"</f>
        <v>20190304155030705</v>
      </c>
      <c r="B841" t="str">
        <f>"1551685830697024"</f>
        <v>1551685830697024</v>
      </c>
      <c r="C841" t="s">
        <v>40</v>
      </c>
      <c r="D841">
        <v>5.7800240000000001</v>
      </c>
      <c r="E841">
        <v>0.53899169999999996</v>
      </c>
      <c r="F841" t="s">
        <v>43</v>
      </c>
      <c r="G841">
        <v>-158.19499999999999</v>
      </c>
      <c r="H841">
        <v>3.5799460000000001</v>
      </c>
      <c r="I841">
        <v>367.17720000000003</v>
      </c>
      <c r="J841">
        <v>-324.3766</v>
      </c>
      <c r="K841">
        <v>1.11025</v>
      </c>
      <c r="L841">
        <v>367.49450000000002</v>
      </c>
      <c r="M841">
        <v>0.99990500000000004</v>
      </c>
      <c r="N841">
        <v>-1.186281E-2</v>
      </c>
      <c r="O841">
        <v>7.0298119999999999E-3</v>
      </c>
      <c r="P841">
        <v>0.97581470000000003</v>
      </c>
      <c r="Q841">
        <v>0.19419739999999999</v>
      </c>
      <c r="R841">
        <v>0.1003657</v>
      </c>
      <c r="S841">
        <v>3.065979</v>
      </c>
      <c r="T841">
        <v>4.5474769999999998E-2</v>
      </c>
      <c r="U841">
        <v>-5.7983399999999999E-3</v>
      </c>
      <c r="V841">
        <v>-9.3494830000000001E-2</v>
      </c>
      <c r="W841">
        <v>0.20577129999999999</v>
      </c>
      <c r="X841">
        <v>0.97412370000000004</v>
      </c>
      <c r="Y841">
        <v>8.9187309999999992E-3</v>
      </c>
      <c r="Z841">
        <v>2.008833E-4</v>
      </c>
      <c r="AA841">
        <v>0.99996019999999997</v>
      </c>
      <c r="AB841">
        <v>32</v>
      </c>
      <c r="AC841">
        <v>166.1816</v>
      </c>
      <c r="AD841">
        <v>2.4696959999999999</v>
      </c>
      <c r="AE841">
        <v>-0.31729999999998798</v>
      </c>
      <c r="AF841">
        <v>1.48527164445816</v>
      </c>
      <c r="AG841">
        <v>2.4696959999999999</v>
      </c>
      <c r="AH841">
        <v>166.13856888001601</v>
      </c>
      <c r="AI841">
        <v>89.148379068264006</v>
      </c>
      <c r="AJ841">
        <v>89.487791846279606</v>
      </c>
      <c r="AK841">
        <v>166.16356249096901</v>
      </c>
      <c r="AL841">
        <v>78.125346630151796</v>
      </c>
      <c r="AM841">
        <v>95.482363913983704</v>
      </c>
      <c r="AN841">
        <v>1.0000000470210499</v>
      </c>
    </row>
    <row r="842" spans="1:40" x14ac:dyDescent="0.25">
      <c r="A842" t="str">
        <f>"20190304155030718"</f>
        <v>20190304155030718</v>
      </c>
      <c r="B842" t="str">
        <f>"1551685830707760"</f>
        <v>1551685830707760</v>
      </c>
      <c r="C842" t="s">
        <v>40</v>
      </c>
      <c r="D842">
        <v>4.7822750000000003</v>
      </c>
      <c r="E842">
        <v>0.53922419999999904</v>
      </c>
      <c r="F842" t="s">
        <v>43</v>
      </c>
      <c r="G842">
        <v>-158.19499999999999</v>
      </c>
      <c r="H842">
        <v>3.7749199999999998</v>
      </c>
      <c r="I842">
        <v>366.96010000000001</v>
      </c>
      <c r="J842">
        <v>-324.18599999999998</v>
      </c>
      <c r="K842">
        <v>1.110249</v>
      </c>
      <c r="L842">
        <v>367.49579999999997</v>
      </c>
      <c r="M842">
        <v>0.99990500000000004</v>
      </c>
      <c r="N842">
        <v>-1.1863780000000001E-2</v>
      </c>
      <c r="O842">
        <v>7.0299849999999999E-3</v>
      </c>
      <c r="P842">
        <v>0.97580750000000005</v>
      </c>
      <c r="Q842">
        <v>0.19407070000000001</v>
      </c>
      <c r="R842">
        <v>0.10068000000000001</v>
      </c>
      <c r="S842">
        <v>3.0656430000000001</v>
      </c>
      <c r="T842">
        <v>4.9158220000000002E-2</v>
      </c>
      <c r="U842">
        <v>-9.8571779999999994E-3</v>
      </c>
      <c r="V842">
        <v>-9.3809030000000002E-2</v>
      </c>
      <c r="W842">
        <v>0.20564579999999999</v>
      </c>
      <c r="X842">
        <v>0.97411999999999999</v>
      </c>
      <c r="Y842">
        <v>1.0242640000000001E-2</v>
      </c>
      <c r="Z842">
        <v>2.1746959999999999E-4</v>
      </c>
      <c r="AA842">
        <v>0.99994749999999999</v>
      </c>
      <c r="AB842">
        <v>32</v>
      </c>
      <c r="AC842">
        <v>165.99100000000001</v>
      </c>
      <c r="AD842">
        <v>2.6646709999999998</v>
      </c>
      <c r="AE842">
        <v>-0.53569999999996298</v>
      </c>
      <c r="AF842">
        <v>1.7022443586315199</v>
      </c>
      <c r="AG842">
        <v>2.6646709999999998</v>
      </c>
      <c r="AH842">
        <v>165.94036869922701</v>
      </c>
      <c r="AI842">
        <v>89.080071641343906</v>
      </c>
      <c r="AJ842">
        <v>89.412270821428507</v>
      </c>
      <c r="AK842">
        <v>165.97049156832099</v>
      </c>
      <c r="AL842">
        <v>78.132694451901401</v>
      </c>
      <c r="AM842">
        <v>95.500695972589398</v>
      </c>
      <c r="AN842">
        <v>1.0000000517835801</v>
      </c>
    </row>
    <row r="843" spans="1:40" x14ac:dyDescent="0.25">
      <c r="A843" t="str">
        <f>"20190304155030732"</f>
        <v>20190304155030732</v>
      </c>
      <c r="B843" t="str">
        <f>"1551685830727280"</f>
        <v>1551685830727280</v>
      </c>
      <c r="C843" t="s">
        <v>40</v>
      </c>
      <c r="D843">
        <v>5.3452900000000003</v>
      </c>
      <c r="E843">
        <v>0.53961709999999996</v>
      </c>
      <c r="F843" t="s">
        <v>43</v>
      </c>
      <c r="G843">
        <v>-158.19499999999999</v>
      </c>
      <c r="H843">
        <v>3.850857</v>
      </c>
      <c r="I843">
        <v>366.9042</v>
      </c>
      <c r="J843">
        <v>-323.99560000000002</v>
      </c>
      <c r="K843">
        <v>1.110244</v>
      </c>
      <c r="L843">
        <v>367.49720000000002</v>
      </c>
      <c r="M843">
        <v>0.99990489999999999</v>
      </c>
      <c r="N843">
        <v>-1.186472E-2</v>
      </c>
      <c r="O843">
        <v>7.0301579999999999E-3</v>
      </c>
      <c r="P843">
        <v>0.97583399999999998</v>
      </c>
      <c r="Q843">
        <v>0.19406590000000001</v>
      </c>
      <c r="R843">
        <v>0.1004319</v>
      </c>
      <c r="S843">
        <v>3.0654599999999999</v>
      </c>
      <c r="T843">
        <v>5.0614119999999999E-2</v>
      </c>
      <c r="U843">
        <v>-1.0925290000000001E-2</v>
      </c>
      <c r="V843">
        <v>-9.3560599999999994E-2</v>
      </c>
      <c r="W843">
        <v>0.20564209999999999</v>
      </c>
      <c r="X843">
        <v>0.97414460000000003</v>
      </c>
      <c r="Y843">
        <v>1.059126E-2</v>
      </c>
      <c r="Z843">
        <v>2.240667E-4</v>
      </c>
      <c r="AA843">
        <v>0.9999439</v>
      </c>
      <c r="AB843">
        <v>32</v>
      </c>
      <c r="AC843">
        <v>165.8006</v>
      </c>
      <c r="AD843">
        <v>2.7406130000000002</v>
      </c>
      <c r="AE843">
        <v>-0.59300000000001696</v>
      </c>
      <c r="AF843">
        <v>1.7581914279608699</v>
      </c>
      <c r="AG843">
        <v>2.7406130000000002</v>
      </c>
      <c r="AH843">
        <v>165.747047054527</v>
      </c>
      <c r="AI843">
        <v>89.052758878324497</v>
      </c>
      <c r="AJ843">
        <v>89.392247572185198</v>
      </c>
      <c r="AK843">
        <v>165.779027033002</v>
      </c>
      <c r="AL843">
        <v>78.132910217216804</v>
      </c>
      <c r="AM843">
        <v>95.486080036832405</v>
      </c>
      <c r="AN843">
        <v>0.99999998043696403</v>
      </c>
    </row>
    <row r="844" spans="1:40" x14ac:dyDescent="0.25">
      <c r="A844" t="str">
        <f>"20190304155030742"</f>
        <v>20190304155030742</v>
      </c>
      <c r="B844" t="str">
        <f>"1551685830737041"</f>
        <v>1551685830737041</v>
      </c>
      <c r="C844" t="s">
        <v>40</v>
      </c>
      <c r="D844">
        <v>5.6917519999999904</v>
      </c>
      <c r="E844">
        <v>0.53979560000000004</v>
      </c>
      <c r="F844" t="s">
        <v>43</v>
      </c>
      <c r="G844">
        <v>-158.19499999999999</v>
      </c>
      <c r="H844">
        <v>3.9328620000000001</v>
      </c>
      <c r="I844">
        <v>366.7115</v>
      </c>
      <c r="J844">
        <v>-323.82839999999999</v>
      </c>
      <c r="K844">
        <v>1.1102430000000001</v>
      </c>
      <c r="L844">
        <v>367.49829999999997</v>
      </c>
      <c r="M844">
        <v>0.99990500000000004</v>
      </c>
      <c r="N844">
        <v>-1.1865529999999999E-2</v>
      </c>
      <c r="O844">
        <v>7.0303319999999898E-3</v>
      </c>
      <c r="P844">
        <v>0.9757865</v>
      </c>
      <c r="Q844">
        <v>0.19414229999999999</v>
      </c>
      <c r="R844">
        <v>0.10074660000000001</v>
      </c>
      <c r="S844">
        <v>3.065369</v>
      </c>
      <c r="T844">
        <v>5.2186969999999999E-2</v>
      </c>
      <c r="U844">
        <v>-1.452637E-2</v>
      </c>
      <c r="V844">
        <v>-9.3875849999999997E-2</v>
      </c>
      <c r="W844">
        <v>0.20571909999999999</v>
      </c>
      <c r="X844">
        <v>0.97409800000000002</v>
      </c>
      <c r="Y844">
        <v>1.176599E-2</v>
      </c>
      <c r="Z844">
        <v>2.3342980000000001E-4</v>
      </c>
      <c r="AA844">
        <v>0.99993069999999895</v>
      </c>
      <c r="AB844">
        <v>32</v>
      </c>
      <c r="AC844">
        <v>165.63339999999999</v>
      </c>
      <c r="AD844">
        <v>2.822619</v>
      </c>
      <c r="AE844">
        <v>-0.78679999999997097</v>
      </c>
      <c r="AF844">
        <v>1.9507536933260701</v>
      </c>
      <c r="AG844">
        <v>2.822619</v>
      </c>
      <c r="AH844">
        <v>165.57569082490599</v>
      </c>
      <c r="AI844">
        <v>89.023423838682803</v>
      </c>
      <c r="AJ844">
        <v>89.324992806113201</v>
      </c>
      <c r="AK844">
        <v>165.61123757202</v>
      </c>
      <c r="AL844">
        <v>78.128401909609707</v>
      </c>
      <c r="AM844">
        <v>95.504713608966597</v>
      </c>
      <c r="AN844">
        <v>0.99999996846101502</v>
      </c>
    </row>
    <row r="845" spans="1:40" x14ac:dyDescent="0.25">
      <c r="A845" t="str">
        <f>"20190304155030759"</f>
        <v>20190304155030759</v>
      </c>
      <c r="B845" t="str">
        <f>"1551685830747776"</f>
        <v>1551685830747776</v>
      </c>
      <c r="C845" t="s">
        <v>40</v>
      </c>
      <c r="D845">
        <v>5.3684820000000002</v>
      </c>
      <c r="E845">
        <v>0.53998900000000005</v>
      </c>
      <c r="F845" t="s">
        <v>43</v>
      </c>
      <c r="G845">
        <v>-158.19499999999999</v>
      </c>
      <c r="H845">
        <v>4.0352290000000002</v>
      </c>
      <c r="I845">
        <v>366.6771</v>
      </c>
      <c r="J845">
        <v>-323.59589999999997</v>
      </c>
      <c r="K845">
        <v>1.1102459999999901</v>
      </c>
      <c r="L845">
        <v>367.49990000000003</v>
      </c>
      <c r="M845">
        <v>0.99990500000000004</v>
      </c>
      <c r="N845">
        <v>-1.186663E-2</v>
      </c>
      <c r="O845">
        <v>7.0304449999999998E-3</v>
      </c>
      <c r="P845">
        <v>0.97576030000000002</v>
      </c>
      <c r="Q845">
        <v>0.19408800000000001</v>
      </c>
      <c r="R845">
        <v>0.101104</v>
      </c>
      <c r="S845">
        <v>3.0651860000000002</v>
      </c>
      <c r="T845">
        <v>5.4130909999999997E-2</v>
      </c>
      <c r="U845">
        <v>-1.5197749999999999E-2</v>
      </c>
      <c r="V845">
        <v>-9.4232720000000006E-2</v>
      </c>
      <c r="W845">
        <v>0.2056654</v>
      </c>
      <c r="X845">
        <v>0.97407489999999997</v>
      </c>
      <c r="Y845">
        <v>1.198518E-2</v>
      </c>
      <c r="Z845">
        <v>2.422689E-4</v>
      </c>
      <c r="AA845">
        <v>0.99992809999999999</v>
      </c>
      <c r="AB845">
        <v>32</v>
      </c>
      <c r="AC845">
        <v>165.40089999999901</v>
      </c>
      <c r="AD845">
        <v>2.9249830000000001</v>
      </c>
      <c r="AE845">
        <v>-0.82280000000002895</v>
      </c>
      <c r="AF845">
        <v>1.98508254680611</v>
      </c>
      <c r="AG845">
        <v>2.9249830000000001</v>
      </c>
      <c r="AH845">
        <v>165.33932121556001</v>
      </c>
      <c r="AI845">
        <v>88.986571214051096</v>
      </c>
      <c r="AJ845">
        <v>89.312133456087807</v>
      </c>
      <c r="AK845">
        <v>165.37710608875099</v>
      </c>
      <c r="AL845">
        <v>78.131546140081099</v>
      </c>
      <c r="AM845">
        <v>95.525640795654198</v>
      </c>
      <c r="AN845">
        <v>0.99999998654288402</v>
      </c>
    </row>
    <row r="846" spans="1:40" x14ac:dyDescent="0.25">
      <c r="A846" t="str">
        <f>"20190304155030770"</f>
        <v>20190304155030770</v>
      </c>
      <c r="B846" t="str">
        <f>"1551685830767298"</f>
        <v>1551685830767298</v>
      </c>
      <c r="C846" t="s">
        <v>40</v>
      </c>
      <c r="D846">
        <v>5.2667289999999998</v>
      </c>
      <c r="E846">
        <v>0.54040319999999997</v>
      </c>
      <c r="F846" t="s">
        <v>43</v>
      </c>
      <c r="G846">
        <v>-158.19499999999999</v>
      </c>
      <c r="H846">
        <v>4.1047929999999999</v>
      </c>
      <c r="I846">
        <v>366.65839999999997</v>
      </c>
      <c r="J846">
        <v>-323.44110000000001</v>
      </c>
      <c r="K846">
        <v>1.110247</v>
      </c>
      <c r="L846">
        <v>367.50099999999998</v>
      </c>
      <c r="M846">
        <v>0.99990480000000004</v>
      </c>
      <c r="N846">
        <v>-1.186735E-2</v>
      </c>
      <c r="O846">
        <v>7.0306190000000001E-3</v>
      </c>
      <c r="P846">
        <v>0.97573699999999997</v>
      </c>
      <c r="Q846">
        <v>0.19398560000000001</v>
      </c>
      <c r="R846">
        <v>0.10152310000000001</v>
      </c>
      <c r="S846">
        <v>3.0650940000000002</v>
      </c>
      <c r="T846">
        <v>5.5494429999999997E-2</v>
      </c>
      <c r="U846">
        <v>-1.5594480000000001E-2</v>
      </c>
      <c r="V846">
        <v>-9.4651890000000002E-2</v>
      </c>
      <c r="W846">
        <v>0.2055632</v>
      </c>
      <c r="X846">
        <v>0.97405580000000003</v>
      </c>
      <c r="Y846">
        <v>1.211476E-2</v>
      </c>
      <c r="Z846">
        <v>2.4847690000000001E-4</v>
      </c>
      <c r="AA846">
        <v>0.9999266</v>
      </c>
      <c r="AB846">
        <v>32</v>
      </c>
      <c r="AC846">
        <v>165.24610000000001</v>
      </c>
      <c r="AD846">
        <v>2.9945460000000002</v>
      </c>
      <c r="AE846">
        <v>-0.84260000000000401</v>
      </c>
      <c r="AF846">
        <v>2.0037854137498101</v>
      </c>
      <c r="AG846">
        <v>2.9945460000000002</v>
      </c>
      <c r="AH846">
        <v>165.18184707440801</v>
      </c>
      <c r="AI846">
        <v>88.961487358762</v>
      </c>
      <c r="AJ846">
        <v>89.304991328001606</v>
      </c>
      <c r="AK846">
        <v>165.22113988422799</v>
      </c>
      <c r="AL846">
        <v>78.137529243473907</v>
      </c>
      <c r="AM846">
        <v>95.550175205817098</v>
      </c>
      <c r="AN846">
        <v>0.99999995549422505</v>
      </c>
    </row>
    <row r="847" spans="1:40" x14ac:dyDescent="0.25">
      <c r="A847" t="str">
        <f>"20190304155030781"</f>
        <v>20190304155030781</v>
      </c>
      <c r="B847" t="str">
        <f>"1551685830777056"</f>
        <v>1551685830777056</v>
      </c>
      <c r="C847" t="s">
        <v>40</v>
      </c>
      <c r="D847">
        <v>5.9768220000000003</v>
      </c>
      <c r="E847">
        <v>0.54058869999999903</v>
      </c>
      <c r="F847" t="s">
        <v>43</v>
      </c>
      <c r="G847">
        <v>-158.19499999999999</v>
      </c>
      <c r="H847">
        <v>4.1556280000000001</v>
      </c>
      <c r="I847">
        <v>366.55509999999998</v>
      </c>
      <c r="J847">
        <v>-323.26769999999999</v>
      </c>
      <c r="K847">
        <v>1.1102479999999999</v>
      </c>
      <c r="L847">
        <v>367.50220000000002</v>
      </c>
      <c r="M847">
        <v>0.99990489999999999</v>
      </c>
      <c r="N847">
        <v>-1.1868129999999999E-2</v>
      </c>
      <c r="O847">
        <v>7.0306140000000001E-3</v>
      </c>
      <c r="P847">
        <v>0.97566929999999996</v>
      </c>
      <c r="Q847">
        <v>0.1942691</v>
      </c>
      <c r="R847">
        <v>0.1016321</v>
      </c>
      <c r="S847">
        <v>3.0651860000000002</v>
      </c>
      <c r="T847">
        <v>5.6491020000000003E-2</v>
      </c>
      <c r="U847">
        <v>-1.7547610000000002E-2</v>
      </c>
      <c r="V847">
        <v>-9.476176E-2</v>
      </c>
      <c r="W847">
        <v>0.20584649999999999</v>
      </c>
      <c r="X847">
        <v>0.97398530000000005</v>
      </c>
      <c r="Y847">
        <v>1.275157E-2</v>
      </c>
      <c r="Z847">
        <v>2.5481199999999999E-4</v>
      </c>
      <c r="AA847">
        <v>0.99991859999999999</v>
      </c>
      <c r="AB847">
        <v>32</v>
      </c>
      <c r="AC847">
        <v>165.0727</v>
      </c>
      <c r="AD847">
        <v>3.04537999999999</v>
      </c>
      <c r="AE847">
        <v>-0.94710000000003403</v>
      </c>
      <c r="AF847">
        <v>2.1070036083669299</v>
      </c>
      <c r="AG847">
        <v>3.04537999999999</v>
      </c>
      <c r="AH847">
        <v>165.00580173408801</v>
      </c>
      <c r="AI847">
        <v>88.942743876920204</v>
      </c>
      <c r="AJ847">
        <v>89.268414491386693</v>
      </c>
      <c r="AK847">
        <v>165.04735202195499</v>
      </c>
      <c r="AL847">
        <v>78.120942787046403</v>
      </c>
      <c r="AM847">
        <v>95.556977124834802</v>
      </c>
      <c r="AN847">
        <v>0.99999996866831797</v>
      </c>
    </row>
    <row r="848" spans="1:40" x14ac:dyDescent="0.25">
      <c r="A848" t="str">
        <f>"20190304155030793"</f>
        <v>20190304155030793</v>
      </c>
      <c r="B848" t="str">
        <f>"1551685830787792"</f>
        <v>1551685830787792</v>
      </c>
      <c r="C848" t="s">
        <v>40</v>
      </c>
      <c r="D848">
        <v>5.244186</v>
      </c>
      <c r="E848">
        <v>0.54079999999999995</v>
      </c>
      <c r="F848" t="s">
        <v>43</v>
      </c>
      <c r="G848">
        <v>-158.19499999999999</v>
      </c>
      <c r="H848">
        <v>4.2992650000000001</v>
      </c>
      <c r="I848">
        <v>366.4898</v>
      </c>
      <c r="J848">
        <v>-323.10789999999997</v>
      </c>
      <c r="K848">
        <v>1.11025</v>
      </c>
      <c r="L848">
        <v>367.5034</v>
      </c>
      <c r="M848">
        <v>0.99990489999999999</v>
      </c>
      <c r="N848">
        <v>-1.186884E-2</v>
      </c>
      <c r="O848">
        <v>7.030789E-3</v>
      </c>
      <c r="P848">
        <v>0.97561399999999998</v>
      </c>
      <c r="Q848">
        <v>0.1943849</v>
      </c>
      <c r="R848">
        <v>0.10194300000000001</v>
      </c>
      <c r="S848">
        <v>3.0649410000000001</v>
      </c>
      <c r="T848">
        <v>5.9212800000000003E-2</v>
      </c>
      <c r="U848">
        <v>-1.8798829999999999E-2</v>
      </c>
      <c r="V848">
        <v>-9.5072870000000004E-2</v>
      </c>
      <c r="W848">
        <v>0.2059627</v>
      </c>
      <c r="X848">
        <v>0.97393050000000003</v>
      </c>
      <c r="Y848">
        <v>1.316002E-2</v>
      </c>
      <c r="Z848">
        <v>2.6825889999999999E-4</v>
      </c>
      <c r="AA848">
        <v>0.99991339999999995</v>
      </c>
      <c r="AB848">
        <v>32</v>
      </c>
      <c r="AC848">
        <v>164.91289999999901</v>
      </c>
      <c r="AD848">
        <v>3.1890149999999999</v>
      </c>
      <c r="AE848">
        <v>-1.0135999999999901</v>
      </c>
      <c r="AF848">
        <v>2.1723120713410302</v>
      </c>
      <c r="AG848">
        <v>3.1890149999999999</v>
      </c>
      <c r="AH848">
        <v>164.84005824111</v>
      </c>
      <c r="AI848">
        <v>88.8917836232567</v>
      </c>
      <c r="AJ848">
        <v>89.244982618845896</v>
      </c>
      <c r="AK848">
        <v>164.88521327680701</v>
      </c>
      <c r="AL848">
        <v>78.114140231415305</v>
      </c>
      <c r="AM848">
        <v>95.575418064074995</v>
      </c>
      <c r="AN848">
        <v>1.0000000516157801</v>
      </c>
    </row>
    <row r="849" spans="1:40" x14ac:dyDescent="0.25">
      <c r="A849" t="str">
        <f>"20190304155030804"</f>
        <v>20190304155030804</v>
      </c>
      <c r="B849" t="str">
        <f>"1551685830797552"</f>
        <v>1551685830797552</v>
      </c>
      <c r="C849" t="s">
        <v>40</v>
      </c>
      <c r="D849">
        <v>5.2250420000000002</v>
      </c>
      <c r="E849">
        <v>0.54100969999999904</v>
      </c>
      <c r="F849" t="s">
        <v>43</v>
      </c>
      <c r="G849">
        <v>-158.19499999999999</v>
      </c>
      <c r="H849">
        <v>4.2928959999999998</v>
      </c>
      <c r="I849">
        <v>366.4477</v>
      </c>
      <c r="J849">
        <v>-322.94740000000002</v>
      </c>
      <c r="K849">
        <v>1.1102510000000001</v>
      </c>
      <c r="L849">
        <v>367.50450000000001</v>
      </c>
      <c r="M849">
        <v>0.99990480000000004</v>
      </c>
      <c r="N849">
        <v>-1.186955E-2</v>
      </c>
      <c r="O849">
        <v>7.0309630000000003E-3</v>
      </c>
      <c r="P849">
        <v>0.97555570000000003</v>
      </c>
      <c r="Q849">
        <v>0.19442480000000001</v>
      </c>
      <c r="R849">
        <v>0.1024201</v>
      </c>
      <c r="S849">
        <v>3.0652469999999998</v>
      </c>
      <c r="T849">
        <v>5.9157609999999999E-2</v>
      </c>
      <c r="U849">
        <v>-1.9622799999999999E-2</v>
      </c>
      <c r="V849">
        <v>-9.5549930000000005E-2</v>
      </c>
      <c r="W849">
        <v>0.2060023</v>
      </c>
      <c r="X849">
        <v>0.97387539999999995</v>
      </c>
      <c r="Y849">
        <v>1.342835E-2</v>
      </c>
      <c r="Z849">
        <v>2.6898960000000001E-4</v>
      </c>
      <c r="AA849">
        <v>0.99990979999999996</v>
      </c>
      <c r="AB849">
        <v>32</v>
      </c>
      <c r="AC849">
        <v>164.75239999999999</v>
      </c>
      <c r="AD849">
        <v>3.1826449999999999</v>
      </c>
      <c r="AE849">
        <v>-1.0568</v>
      </c>
      <c r="AF849">
        <v>2.2143972274133499</v>
      </c>
      <c r="AG849">
        <v>3.1826449999999999</v>
      </c>
      <c r="AH849">
        <v>164.67944453499899</v>
      </c>
      <c r="AI849">
        <v>88.892922240197393</v>
      </c>
      <c r="AJ849">
        <v>89.229606527288993</v>
      </c>
      <c r="AK849">
        <v>164.725080775918</v>
      </c>
      <c r="AL849">
        <v>78.111821164236503</v>
      </c>
      <c r="AM849">
        <v>95.603532001702106</v>
      </c>
      <c r="AN849">
        <v>1.0000000157267199</v>
      </c>
    </row>
    <row r="850" spans="1:40" x14ac:dyDescent="0.25">
      <c r="A850" t="str">
        <f>"20190304155030817"</f>
        <v>20190304155030817</v>
      </c>
      <c r="B850" t="str">
        <f>"1551685830807312"</f>
        <v>1551685830807312</v>
      </c>
      <c r="C850" t="s">
        <v>40</v>
      </c>
      <c r="D850">
        <v>5.3749669999999998</v>
      </c>
      <c r="E850">
        <v>0.54114370000000001</v>
      </c>
      <c r="F850" t="s">
        <v>43</v>
      </c>
      <c r="G850">
        <v>-158.19499999999999</v>
      </c>
      <c r="H850">
        <v>4.2738310000000004</v>
      </c>
      <c r="I850">
        <v>366.44830000000002</v>
      </c>
      <c r="J850">
        <v>-322.77089999999998</v>
      </c>
      <c r="K850">
        <v>1.1102540000000001</v>
      </c>
      <c r="L850">
        <v>367.50569999999999</v>
      </c>
      <c r="M850">
        <v>0.99990480000000004</v>
      </c>
      <c r="N850">
        <v>-1.187032E-2</v>
      </c>
      <c r="O850">
        <v>7.0309589999999998E-3</v>
      </c>
      <c r="P850">
        <v>0.97552169999999905</v>
      </c>
      <c r="Q850">
        <v>0.19449050000000001</v>
      </c>
      <c r="R850">
        <v>0.1026195</v>
      </c>
      <c r="S850">
        <v>3.0655519999999998</v>
      </c>
      <c r="T850">
        <v>5.8866380000000003E-2</v>
      </c>
      <c r="U850">
        <v>-1.9653319999999998E-2</v>
      </c>
      <c r="V850">
        <v>-9.5749630000000002E-2</v>
      </c>
      <c r="W850">
        <v>0.20606859999999999</v>
      </c>
      <c r="X850">
        <v>0.97384170000000003</v>
      </c>
      <c r="Y850">
        <v>1.34377E-2</v>
      </c>
      <c r="Z850">
        <v>2.6769229999999998E-4</v>
      </c>
      <c r="AA850">
        <v>0.99990970000000001</v>
      </c>
      <c r="AB850">
        <v>32</v>
      </c>
      <c r="AC850">
        <v>164.57589999999999</v>
      </c>
      <c r="AD850">
        <v>3.1635769999999899</v>
      </c>
      <c r="AE850">
        <v>-1.0573999999999699</v>
      </c>
      <c r="AF850">
        <v>2.2137638555958299</v>
      </c>
      <c r="AG850">
        <v>3.1635769999999899</v>
      </c>
      <c r="AH850">
        <v>164.50361350053899</v>
      </c>
      <c r="AI850">
        <v>88.898377600453699</v>
      </c>
      <c r="AJ850">
        <v>89.229003745577899</v>
      </c>
      <c r="AK850">
        <v>164.54892228324701</v>
      </c>
      <c r="AL850">
        <v>78.107938468714806</v>
      </c>
      <c r="AM850">
        <v>95.615361725700097</v>
      </c>
      <c r="AN850">
        <v>0.99999995810499198</v>
      </c>
    </row>
    <row r="851" spans="1:40" x14ac:dyDescent="0.25">
      <c r="A851" t="str">
        <f>"20190304155030829"</f>
        <v>20190304155030829</v>
      </c>
      <c r="B851" t="str">
        <f>"1551685830827808"</f>
        <v>1551685830827808</v>
      </c>
      <c r="C851" t="s">
        <v>40</v>
      </c>
      <c r="D851">
        <v>4.4527089999999996</v>
      </c>
      <c r="E851">
        <v>0.54148109999999905</v>
      </c>
      <c r="F851" t="s">
        <v>43</v>
      </c>
      <c r="G851">
        <v>-158.19499999999999</v>
      </c>
      <c r="H851">
        <v>4.3575339999999896</v>
      </c>
      <c r="I851">
        <v>366.42270000000002</v>
      </c>
      <c r="J851">
        <v>-322.58850000000001</v>
      </c>
      <c r="K851">
        <v>1.110257</v>
      </c>
      <c r="L851">
        <v>367.50700000000001</v>
      </c>
      <c r="M851">
        <v>0.99990489999999999</v>
      </c>
      <c r="N851">
        <v>-1.1871110000000001E-2</v>
      </c>
      <c r="O851">
        <v>7.0311330000000002E-3</v>
      </c>
      <c r="P851">
        <v>0.97548840000000003</v>
      </c>
      <c r="Q851">
        <v>0.19458929999999999</v>
      </c>
      <c r="R851">
        <v>0.1027508</v>
      </c>
      <c r="S851">
        <v>3.0653380000000001</v>
      </c>
      <c r="T851">
        <v>6.0484410000000002E-2</v>
      </c>
      <c r="U851">
        <v>-2.0172120000000002E-2</v>
      </c>
      <c r="V851">
        <v>-9.5880870000000007E-2</v>
      </c>
      <c r="W851">
        <v>0.2061675</v>
      </c>
      <c r="X851">
        <v>0.97380789999999995</v>
      </c>
      <c r="Y851">
        <v>1.3607319999999999E-2</v>
      </c>
      <c r="Z851">
        <v>2.7563730000000001E-4</v>
      </c>
      <c r="AA851">
        <v>0.9999074</v>
      </c>
      <c r="AB851">
        <v>32</v>
      </c>
      <c r="AC851">
        <v>164.39349999999999</v>
      </c>
      <c r="AD851">
        <v>3.2472769999999902</v>
      </c>
      <c r="AE851">
        <v>-1.0842999999999201</v>
      </c>
      <c r="AF851">
        <v>2.2393533903394598</v>
      </c>
      <c r="AG851">
        <v>3.2472769999999902</v>
      </c>
      <c r="AH851">
        <v>164.31770009829401</v>
      </c>
      <c r="AI851">
        <v>88.867962593225101</v>
      </c>
      <c r="AJ851">
        <v>89.219210373441101</v>
      </c>
      <c r="AK851">
        <v>164.36503909625799</v>
      </c>
      <c r="AL851">
        <v>78.102148106930102</v>
      </c>
      <c r="AM851">
        <v>95.623203093101097</v>
      </c>
      <c r="AN851">
        <v>1.0000000026953</v>
      </c>
    </row>
    <row r="852" spans="1:40" x14ac:dyDescent="0.25">
      <c r="A852" t="str">
        <f>"20190304155030840"</f>
        <v>20190304155030840</v>
      </c>
      <c r="B852" t="str">
        <f>"1551685830837567"</f>
        <v>1551685830837567</v>
      </c>
      <c r="C852" t="s">
        <v>40</v>
      </c>
      <c r="D852">
        <v>5.1234699999999904</v>
      </c>
      <c r="E852">
        <v>0.54169019999999901</v>
      </c>
      <c r="F852" t="s">
        <v>43</v>
      </c>
      <c r="G852">
        <v>-158.19499999999999</v>
      </c>
      <c r="H852">
        <v>4.5342750000000001</v>
      </c>
      <c r="I852">
        <v>366.30889999999999</v>
      </c>
      <c r="J852">
        <v>-322.42660000000001</v>
      </c>
      <c r="K852">
        <v>1.110257</v>
      </c>
      <c r="L852">
        <v>367.50810000000001</v>
      </c>
      <c r="M852">
        <v>0.99990480000000004</v>
      </c>
      <c r="N852">
        <v>-1.187179E-2</v>
      </c>
      <c r="O852">
        <v>7.0312480000000004E-3</v>
      </c>
      <c r="P852">
        <v>0.97540300000000002</v>
      </c>
      <c r="Q852">
        <v>0.19506490000000001</v>
      </c>
      <c r="R852">
        <v>0.10265829999999999</v>
      </c>
      <c r="S852">
        <v>3.0650019999999998</v>
      </c>
      <c r="T852">
        <v>6.3840030000000006E-2</v>
      </c>
      <c r="U852">
        <v>-2.233887E-2</v>
      </c>
      <c r="V852">
        <v>-9.5788849999999995E-2</v>
      </c>
      <c r="W852">
        <v>0.20664289999999999</v>
      </c>
      <c r="X852">
        <v>0.97371620000000003</v>
      </c>
      <c r="Y852">
        <v>1.4314459999999999E-2</v>
      </c>
      <c r="Z852">
        <v>2.9397560000000002E-4</v>
      </c>
      <c r="AA852">
        <v>0.99989749999999999</v>
      </c>
      <c r="AB852">
        <v>32</v>
      </c>
      <c r="AC852">
        <v>164.23159999999999</v>
      </c>
      <c r="AD852">
        <v>3.4240179999999998</v>
      </c>
      <c r="AE852">
        <v>-1.19920000000001</v>
      </c>
      <c r="AF852">
        <v>2.3529821386883998</v>
      </c>
      <c r="AG852">
        <v>3.4240179999999998</v>
      </c>
      <c r="AH852">
        <v>164.14776109987599</v>
      </c>
      <c r="AI852">
        <v>88.805142458285204</v>
      </c>
      <c r="AJ852">
        <v>89.178747781235302</v>
      </c>
      <c r="AK852">
        <v>164.200328557257</v>
      </c>
      <c r="AL852">
        <v>78.074310398673802</v>
      </c>
      <c r="AM852">
        <v>95.6183665373662</v>
      </c>
      <c r="AN852">
        <v>1.0000000150235799</v>
      </c>
    </row>
    <row r="853" spans="1:40" x14ac:dyDescent="0.25">
      <c r="A853" t="str">
        <f>"20190304155030853"</f>
        <v>20190304155030853</v>
      </c>
      <c r="B853" t="str">
        <f>"1551685830847329"</f>
        <v>1551685830847329</v>
      </c>
      <c r="C853" t="s">
        <v>40</v>
      </c>
      <c r="D853">
        <v>5.1218260000000004</v>
      </c>
      <c r="E853">
        <v>0.54188619999999899</v>
      </c>
      <c r="F853" t="s">
        <v>43</v>
      </c>
      <c r="G853">
        <v>-158.19499999999999</v>
      </c>
      <c r="H853">
        <v>4.6534110000000002</v>
      </c>
      <c r="I853">
        <v>366.2278</v>
      </c>
      <c r="J853">
        <v>-322.24900000000002</v>
      </c>
      <c r="K853">
        <v>1.110255</v>
      </c>
      <c r="L853">
        <v>367.50940000000003</v>
      </c>
      <c r="M853">
        <v>0.99990480000000004</v>
      </c>
      <c r="N853">
        <v>-1.1872550000000001E-2</v>
      </c>
      <c r="O853">
        <v>7.0312439999999999E-3</v>
      </c>
      <c r="P853">
        <v>0.97542819999999997</v>
      </c>
      <c r="Q853">
        <v>0.1949582</v>
      </c>
      <c r="R853">
        <v>0.1026224</v>
      </c>
      <c r="S853">
        <v>3.0649410000000001</v>
      </c>
      <c r="T853">
        <v>6.6125039999999996E-2</v>
      </c>
      <c r="U853">
        <v>-2.3895260000000001E-2</v>
      </c>
      <c r="V853">
        <v>-9.5752970000000007E-2</v>
      </c>
      <c r="W853">
        <v>0.206537</v>
      </c>
      <c r="X853">
        <v>0.9737422</v>
      </c>
      <c r="Y853">
        <v>1.4821930000000001E-2</v>
      </c>
      <c r="Z853">
        <v>3.0701399999999998E-4</v>
      </c>
      <c r="AA853">
        <v>0.9998901</v>
      </c>
      <c r="AB853">
        <v>32</v>
      </c>
      <c r="AC853">
        <v>164.054</v>
      </c>
      <c r="AD853">
        <v>3.54315599999999</v>
      </c>
      <c r="AE853">
        <v>-1.2816000000000201</v>
      </c>
      <c r="AF853">
        <v>2.43401803828985</v>
      </c>
      <c r="AG853">
        <v>3.54315599999999</v>
      </c>
      <c r="AH853">
        <v>163.96445534727101</v>
      </c>
      <c r="AI853">
        <v>88.762207697092606</v>
      </c>
      <c r="AJ853">
        <v>89.149518608634594</v>
      </c>
      <c r="AK853">
        <v>164.02079446088101</v>
      </c>
      <c r="AL853">
        <v>78.080511834826197</v>
      </c>
      <c r="AM853">
        <v>95.616126499157602</v>
      </c>
      <c r="AN853">
        <v>1.00000001784683</v>
      </c>
    </row>
    <row r="854" spans="1:40" x14ac:dyDescent="0.25">
      <c r="A854" t="str">
        <f>"20190304155030865"</f>
        <v>20190304155030865</v>
      </c>
      <c r="B854" t="str">
        <f>"1551685830857088"</f>
        <v>1551685830857088</v>
      </c>
      <c r="C854" t="s">
        <v>40</v>
      </c>
      <c r="D854">
        <v>5.9535640000000001</v>
      </c>
      <c r="E854">
        <v>0.54207269999999996</v>
      </c>
      <c r="F854" t="s">
        <v>43</v>
      </c>
      <c r="G854">
        <v>-158.19499999999999</v>
      </c>
      <c r="H854">
        <v>4.6801089999999999</v>
      </c>
      <c r="I854">
        <v>366.13560000000001</v>
      </c>
      <c r="J854">
        <v>-322.06040000000002</v>
      </c>
      <c r="K854">
        <v>1.1102510000000001</v>
      </c>
      <c r="L854">
        <v>367.51069999999999</v>
      </c>
      <c r="M854">
        <v>0.99990480000000004</v>
      </c>
      <c r="N854">
        <v>-1.187333E-2</v>
      </c>
      <c r="O854">
        <v>7.0314169999999999E-3</v>
      </c>
      <c r="P854">
        <v>0.97547729999999999</v>
      </c>
      <c r="Q854">
        <v>0.1948125</v>
      </c>
      <c r="R854">
        <v>0.10243190000000001</v>
      </c>
      <c r="S854">
        <v>3.0649410000000001</v>
      </c>
      <c r="T854">
        <v>6.6695450000000003E-2</v>
      </c>
      <c r="U854">
        <v>-2.5665279999999999E-2</v>
      </c>
      <c r="V854">
        <v>-9.5561859999999998E-2</v>
      </c>
      <c r="W854">
        <v>0.20639289999999999</v>
      </c>
      <c r="X854">
        <v>0.97379150000000003</v>
      </c>
      <c r="Y854">
        <v>1.5399360000000001E-2</v>
      </c>
      <c r="Z854">
        <v>3.1255840000000003E-4</v>
      </c>
      <c r="AA854">
        <v>0.99988140000000003</v>
      </c>
      <c r="AB854">
        <v>32</v>
      </c>
      <c r="AC854">
        <v>163.86539999999999</v>
      </c>
      <c r="AD854">
        <v>3.569858</v>
      </c>
      <c r="AE854">
        <v>-1.37509999999997</v>
      </c>
      <c r="AF854">
        <v>2.5261543439925398</v>
      </c>
      <c r="AG854">
        <v>3.569858</v>
      </c>
      <c r="AH854">
        <v>163.773957395851</v>
      </c>
      <c r="AI854">
        <v>88.751443150826901</v>
      </c>
      <c r="AJ854">
        <v>89.116303302520095</v>
      </c>
      <c r="AK854">
        <v>163.83233643883599</v>
      </c>
      <c r="AL854">
        <v>78.088949650462993</v>
      </c>
      <c r="AM854">
        <v>95.604706958993901</v>
      </c>
      <c r="AN854">
        <v>0.99999999186465904</v>
      </c>
    </row>
    <row r="855" spans="1:40" x14ac:dyDescent="0.25">
      <c r="A855" t="str">
        <f>"20190304155030876"</f>
        <v>20190304155030876</v>
      </c>
      <c r="B855" t="str">
        <f>"1551685830867824"</f>
        <v>1551685830867824</v>
      </c>
      <c r="C855" t="s">
        <v>40</v>
      </c>
      <c r="D855">
        <v>5.3239660000000004</v>
      </c>
      <c r="E855">
        <v>0.54222029999999999</v>
      </c>
      <c r="F855" t="s">
        <v>43</v>
      </c>
      <c r="G855">
        <v>-158.19499999999999</v>
      </c>
      <c r="H855">
        <v>4.7389839999999896</v>
      </c>
      <c r="I855">
        <v>366.01119999999997</v>
      </c>
      <c r="J855">
        <v>-321.90300000000002</v>
      </c>
      <c r="K855">
        <v>1.1102510000000001</v>
      </c>
      <c r="L855">
        <v>367.51179999999999</v>
      </c>
      <c r="M855">
        <v>0.99990489999999999</v>
      </c>
      <c r="N855">
        <v>-1.1873979999999999E-2</v>
      </c>
      <c r="O855">
        <v>7.0314139999999997E-3</v>
      </c>
      <c r="P855">
        <v>0.97554949999999996</v>
      </c>
      <c r="Q855">
        <v>0.19444710000000001</v>
      </c>
      <c r="R855">
        <v>0.10243969999999999</v>
      </c>
      <c r="S855">
        <v>3.0648499999999999</v>
      </c>
      <c r="T855">
        <v>6.787145E-2</v>
      </c>
      <c r="U855">
        <v>-2.8045649999999998E-2</v>
      </c>
      <c r="V855">
        <v>-9.5569340000000003E-2</v>
      </c>
      <c r="W855">
        <v>0.20602889999999999</v>
      </c>
      <c r="X855">
        <v>0.97386779999999995</v>
      </c>
      <c r="Y855">
        <v>1.617584E-2</v>
      </c>
      <c r="Z855">
        <v>3.2220110000000002E-4</v>
      </c>
      <c r="AA855">
        <v>0.99986909999999896</v>
      </c>
      <c r="AB855">
        <v>32</v>
      </c>
      <c r="AC855">
        <v>163.708</v>
      </c>
      <c r="AD855">
        <v>3.628733</v>
      </c>
      <c r="AE855">
        <v>-1.5006000000000199</v>
      </c>
      <c r="AF855">
        <v>2.6504405168780099</v>
      </c>
      <c r="AG855">
        <v>3.628733</v>
      </c>
      <c r="AH855">
        <v>163.61301970701001</v>
      </c>
      <c r="AI855">
        <v>88.729625890629293</v>
      </c>
      <c r="AJ855">
        <v>89.071921207085495</v>
      </c>
      <c r="AK855">
        <v>163.674716299632</v>
      </c>
      <c r="AL855">
        <v>78.110262883236004</v>
      </c>
      <c r="AM855">
        <v>95.604706515606793</v>
      </c>
      <c r="AN855">
        <v>0.99999994913004098</v>
      </c>
    </row>
    <row r="856" spans="1:40" x14ac:dyDescent="0.25">
      <c r="A856" t="str">
        <f>"20190304155030888"</f>
        <v>20190304155030888</v>
      </c>
      <c r="B856" t="str">
        <f>"1551685830877584"</f>
        <v>1551685830877584</v>
      </c>
      <c r="C856" t="s">
        <v>40</v>
      </c>
      <c r="D856">
        <v>5.080222</v>
      </c>
      <c r="E856">
        <v>0.54236470000000003</v>
      </c>
      <c r="F856" t="s">
        <v>43</v>
      </c>
      <c r="G856">
        <v>-158.19499999999999</v>
      </c>
      <c r="H856">
        <v>4.7540129999999996</v>
      </c>
      <c r="I856">
        <v>365.94200000000001</v>
      </c>
      <c r="J856">
        <v>-321.7448</v>
      </c>
      <c r="K856">
        <v>1.110249</v>
      </c>
      <c r="L856">
        <v>367.51280000000003</v>
      </c>
      <c r="M856">
        <v>0.99990480000000004</v>
      </c>
      <c r="N856">
        <v>-1.1874630000000001E-2</v>
      </c>
      <c r="O856">
        <v>7.0315890000000004E-3</v>
      </c>
      <c r="P856">
        <v>0.97558270000000002</v>
      </c>
      <c r="Q856">
        <v>0.19438250000000001</v>
      </c>
      <c r="R856">
        <v>0.1022446</v>
      </c>
      <c r="S856">
        <v>3.0647280000000001</v>
      </c>
      <c r="T856">
        <v>6.8215369999999997E-2</v>
      </c>
      <c r="U856">
        <v>-2.938843E-2</v>
      </c>
      <c r="V856">
        <v>-9.5373760000000002E-2</v>
      </c>
      <c r="W856">
        <v>0.20596539999999999</v>
      </c>
      <c r="X856">
        <v>0.9739004</v>
      </c>
      <c r="Y856">
        <v>1.661431E-2</v>
      </c>
      <c r="Z856">
        <v>3.2619000000000002E-4</v>
      </c>
      <c r="AA856">
        <v>0.99986189999999997</v>
      </c>
      <c r="AB856">
        <v>32</v>
      </c>
      <c r="AC856">
        <v>163.5498</v>
      </c>
      <c r="AD856">
        <v>3.643764</v>
      </c>
      <c r="AE856">
        <v>-1.5708000000000699</v>
      </c>
      <c r="AF856">
        <v>2.7195074488811901</v>
      </c>
      <c r="AG856">
        <v>3.643764</v>
      </c>
      <c r="AH856">
        <v>163.453585141313</v>
      </c>
      <c r="AI856">
        <v>88.723130787323399</v>
      </c>
      <c r="AJ856">
        <v>89.046812439551104</v>
      </c>
      <c r="AK856">
        <v>163.516810244087</v>
      </c>
      <c r="AL856">
        <v>78.113980852866106</v>
      </c>
      <c r="AM856">
        <v>95.593123405027796</v>
      </c>
      <c r="AN856">
        <v>0.99999994460692698</v>
      </c>
    </row>
    <row r="857" spans="1:40" x14ac:dyDescent="0.25">
      <c r="A857" t="str">
        <f>"20190304155030900"</f>
        <v>20190304155030900</v>
      </c>
      <c r="B857" t="str">
        <f>"1551685830897104"</f>
        <v>1551685830897104</v>
      </c>
      <c r="C857" t="s">
        <v>40</v>
      </c>
      <c r="D857">
        <v>5.2917050000000003</v>
      </c>
      <c r="E857">
        <v>0.54267169999999998</v>
      </c>
      <c r="F857" t="s">
        <v>43</v>
      </c>
      <c r="G857">
        <v>-158.19499999999999</v>
      </c>
      <c r="H857">
        <v>4.8107030000000002</v>
      </c>
      <c r="I857">
        <v>365.85160000000002</v>
      </c>
      <c r="J857">
        <v>-321.56939999999997</v>
      </c>
      <c r="K857">
        <v>1.110252</v>
      </c>
      <c r="L857">
        <v>367.51409999999998</v>
      </c>
      <c r="M857">
        <v>0.99990480000000004</v>
      </c>
      <c r="N857">
        <v>-1.187532E-2</v>
      </c>
      <c r="O857">
        <v>7.0317629999999999E-3</v>
      </c>
      <c r="P857">
        <v>0.97560309999999995</v>
      </c>
      <c r="Q857">
        <v>0.19432250000000001</v>
      </c>
      <c r="R857">
        <v>0.1021644</v>
      </c>
      <c r="S857">
        <v>3.064575</v>
      </c>
      <c r="T857">
        <v>6.9340230000000003E-2</v>
      </c>
      <c r="U857">
        <v>-3.1127930000000002E-2</v>
      </c>
      <c r="V857">
        <v>-9.5293230000000007E-2</v>
      </c>
      <c r="W857">
        <v>0.2059067</v>
      </c>
      <c r="X857">
        <v>0.97392080000000003</v>
      </c>
      <c r="Y857">
        <v>1.718219E-2</v>
      </c>
      <c r="Z857">
        <v>3.34889E-4</v>
      </c>
      <c r="AA857">
        <v>0.99985230000000003</v>
      </c>
      <c r="AB857">
        <v>32</v>
      </c>
      <c r="AC857">
        <v>163.37439999999901</v>
      </c>
      <c r="AD857">
        <v>3.7004510000000002</v>
      </c>
      <c r="AE857">
        <v>-1.6624999999999599</v>
      </c>
      <c r="AF857">
        <v>2.8099085079876098</v>
      </c>
      <c r="AG857">
        <v>3.7004510000000002</v>
      </c>
      <c r="AH857">
        <v>163.274913196124</v>
      </c>
      <c r="AI857">
        <v>88.701866957211706</v>
      </c>
      <c r="AJ857">
        <v>89.014055473761502</v>
      </c>
      <c r="AK857">
        <v>163.341012004421</v>
      </c>
      <c r="AL857">
        <v>78.117419015589604</v>
      </c>
      <c r="AM857">
        <v>95.588314374759904</v>
      </c>
      <c r="AN857">
        <v>1.00000004673068</v>
      </c>
    </row>
    <row r="858" spans="1:40" x14ac:dyDescent="0.25">
      <c r="A858" t="str">
        <f>"20190304155030916"</f>
        <v>20190304155030916</v>
      </c>
      <c r="B858" t="str">
        <f>"1551685830907840"</f>
        <v>1551685830907840</v>
      </c>
      <c r="C858" t="s">
        <v>40</v>
      </c>
      <c r="D858">
        <v>5.3667800000000003</v>
      </c>
      <c r="E858">
        <v>0.54264780000000001</v>
      </c>
      <c r="F858" t="s">
        <v>43</v>
      </c>
      <c r="G858">
        <v>-158.19499999999999</v>
      </c>
      <c r="H858">
        <v>4.7748210000000002</v>
      </c>
      <c r="I858">
        <v>365.72140000000002</v>
      </c>
      <c r="J858">
        <v>-321.3349</v>
      </c>
      <c r="K858">
        <v>1.110252</v>
      </c>
      <c r="L858">
        <v>367.51569999999998</v>
      </c>
      <c r="M858">
        <v>0.99990480000000004</v>
      </c>
      <c r="N858">
        <v>-1.187623E-2</v>
      </c>
      <c r="O858">
        <v>7.0319369999999898E-3</v>
      </c>
      <c r="P858">
        <v>0.97559300000000004</v>
      </c>
      <c r="Q858">
        <v>0.1945857</v>
      </c>
      <c r="R858">
        <v>0.10175869999999999</v>
      </c>
      <c r="S858">
        <v>3.064819</v>
      </c>
      <c r="T858">
        <v>6.8747039999999995E-2</v>
      </c>
      <c r="U858">
        <v>-3.363037E-2</v>
      </c>
      <c r="V858">
        <v>-9.4887520000000003E-2</v>
      </c>
      <c r="W858">
        <v>0.2061703</v>
      </c>
      <c r="X858">
        <v>0.97390460000000001</v>
      </c>
      <c r="Y858">
        <v>1.7997849999999999E-2</v>
      </c>
      <c r="Z858">
        <v>3.361436E-4</v>
      </c>
      <c r="AA858">
        <v>0.999838</v>
      </c>
      <c r="AB858">
        <v>32</v>
      </c>
      <c r="AC858">
        <v>163.13990000000001</v>
      </c>
      <c r="AD858">
        <v>3.6645690000000002</v>
      </c>
      <c r="AE858">
        <v>-1.79429999999996</v>
      </c>
      <c r="AF858">
        <v>2.9400426908170698</v>
      </c>
      <c r="AG858">
        <v>3.6645690000000002</v>
      </c>
      <c r="AH858">
        <v>163.04099120570999</v>
      </c>
      <c r="AI858">
        <v>88.712625102683901</v>
      </c>
      <c r="AJ858">
        <v>88.966923707727702</v>
      </c>
      <c r="AK858">
        <v>163.108668470808</v>
      </c>
      <c r="AL858">
        <v>78.101984147840497</v>
      </c>
      <c r="AM858">
        <v>95.5647638125253</v>
      </c>
      <c r="AN858">
        <v>1.0000000019774999</v>
      </c>
    </row>
    <row r="859" spans="1:40" x14ac:dyDescent="0.25">
      <c r="A859" t="str">
        <f>"20190304155030929"</f>
        <v>20190304155030929</v>
      </c>
      <c r="B859" t="str">
        <f>"1551685830917601"</f>
        <v>1551685830917601</v>
      </c>
      <c r="C859" t="s">
        <v>40</v>
      </c>
      <c r="D859">
        <v>4.9974309999999997</v>
      </c>
      <c r="E859">
        <v>0.54254740000000001</v>
      </c>
      <c r="F859" t="s">
        <v>43</v>
      </c>
      <c r="G859">
        <v>-158.19499999999999</v>
      </c>
      <c r="H859">
        <v>4.8433789999999997</v>
      </c>
      <c r="I859">
        <v>365.67360000000002</v>
      </c>
      <c r="J859">
        <v>-321.15570000000002</v>
      </c>
      <c r="K859">
        <v>1.110236</v>
      </c>
      <c r="L859">
        <v>367.517</v>
      </c>
      <c r="M859">
        <v>0.9999053</v>
      </c>
      <c r="N859">
        <v>-1.182738E-2</v>
      </c>
      <c r="O859">
        <v>7.0320499999999998E-3</v>
      </c>
      <c r="P859">
        <v>0.97564169999999995</v>
      </c>
      <c r="Q859">
        <v>0.1942255</v>
      </c>
      <c r="R859">
        <v>0.1019809</v>
      </c>
      <c r="S859">
        <v>3.0646360000000001</v>
      </c>
      <c r="T859">
        <v>7.0129629999999998E-2</v>
      </c>
      <c r="U859">
        <v>-3.4606930000000001E-2</v>
      </c>
      <c r="V859">
        <v>-9.5109460000000007E-2</v>
      </c>
      <c r="W859">
        <v>0.20576340000000001</v>
      </c>
      <c r="X859">
        <v>0.97396899999999997</v>
      </c>
      <c r="Y859">
        <v>1.8316889999999999E-2</v>
      </c>
      <c r="Z859">
        <v>3.4525529999999998E-4</v>
      </c>
      <c r="AA859">
        <v>0.99983219999999995</v>
      </c>
      <c r="AB859">
        <v>32</v>
      </c>
      <c r="AC859">
        <v>162.9607</v>
      </c>
      <c r="AD859">
        <v>3.7331430000000001</v>
      </c>
      <c r="AE859">
        <v>-1.84339999999997</v>
      </c>
      <c r="AF859">
        <v>2.9878146296247201</v>
      </c>
      <c r="AG859">
        <v>3.7331430000000001</v>
      </c>
      <c r="AH859">
        <v>162.858251375864</v>
      </c>
      <c r="AI859">
        <v>88.687079611496799</v>
      </c>
      <c r="AJ859">
        <v>88.948963504046304</v>
      </c>
      <c r="AK859">
        <v>162.928430404652</v>
      </c>
      <c r="AL859">
        <v>78.125808592831802</v>
      </c>
      <c r="AM859">
        <v>95.577331221897893</v>
      </c>
      <c r="AN859">
        <v>0.99999999956102503</v>
      </c>
    </row>
    <row r="860" spans="1:40" x14ac:dyDescent="0.25">
      <c r="A860" t="str">
        <f>"20190304155030949"</f>
        <v>20190304155030949</v>
      </c>
      <c r="B860" t="str">
        <f>"1551685830937120"</f>
        <v>1551685830937120</v>
      </c>
      <c r="C860" t="s">
        <v>40</v>
      </c>
      <c r="D860">
        <v>5.0300289999999999</v>
      </c>
      <c r="E860">
        <v>0.50766920000000004</v>
      </c>
      <c r="F860" t="s">
        <v>43</v>
      </c>
      <c r="G860">
        <v>-158.19499999999999</v>
      </c>
      <c r="H860">
        <v>4.8079429999999999</v>
      </c>
      <c r="I860">
        <v>365.77569999999997</v>
      </c>
      <c r="J860">
        <v>-320.8648</v>
      </c>
      <c r="K860">
        <v>1.110036</v>
      </c>
      <c r="L860">
        <v>367.51900000000001</v>
      </c>
      <c r="M860">
        <v>0.99991370000000002</v>
      </c>
      <c r="N860">
        <v>-1.1107880000000001E-2</v>
      </c>
      <c r="O860">
        <v>7.0321649999999999E-3</v>
      </c>
      <c r="P860">
        <v>0.9755585</v>
      </c>
      <c r="Q860">
        <v>0.19482569999999999</v>
      </c>
      <c r="R860">
        <v>0.10163030000000001</v>
      </c>
      <c r="S860">
        <v>3.0644840000000002</v>
      </c>
      <c r="T860">
        <v>6.9537160000000001E-2</v>
      </c>
      <c r="U860">
        <v>-3.2745360000000001E-2</v>
      </c>
      <c r="V860">
        <v>-9.4758999999999996E-2</v>
      </c>
      <c r="W860">
        <v>0.2056617</v>
      </c>
      <c r="X860">
        <v>0.97402469999999997</v>
      </c>
      <c r="Y860">
        <v>1.7710420000000001E-2</v>
      </c>
      <c r="Z860">
        <v>3.4017180000000001E-4</v>
      </c>
      <c r="AA860">
        <v>0.99984309999999998</v>
      </c>
      <c r="AB860">
        <v>32</v>
      </c>
      <c r="AC860">
        <v>162.66980000000001</v>
      </c>
      <c r="AD860">
        <v>3.6979069999999998</v>
      </c>
      <c r="AE860">
        <v>-1.74330000000003</v>
      </c>
      <c r="AF860">
        <v>2.8857570981901599</v>
      </c>
      <c r="AG860">
        <v>3.6979069999999998</v>
      </c>
      <c r="AH860">
        <v>162.569515848724</v>
      </c>
      <c r="AI860">
        <v>88.697144557931693</v>
      </c>
      <c r="AJ860">
        <v>88.983054487561006</v>
      </c>
      <c r="AK860">
        <v>162.637171622907</v>
      </c>
      <c r="AL860">
        <v>78.1317636446215</v>
      </c>
      <c r="AM860">
        <v>95.556592916718998</v>
      </c>
      <c r="AN860">
        <v>1.00000005956898</v>
      </c>
    </row>
    <row r="861" spans="1:40" x14ac:dyDescent="0.25">
      <c r="A861" t="str">
        <f>"20190304155030960"</f>
        <v>20190304155030960</v>
      </c>
      <c r="B861" t="str">
        <f>"1551685830957621"</f>
        <v>1551685830957621</v>
      </c>
      <c r="C861" t="s">
        <v>40</v>
      </c>
      <c r="D861">
        <v>4.898746</v>
      </c>
      <c r="E861">
        <v>0.50816749999999999</v>
      </c>
      <c r="F861" t="s">
        <v>50</v>
      </c>
      <c r="G861">
        <v>-191.4127</v>
      </c>
      <c r="H861" s="1">
        <v>-1.302181E-5</v>
      </c>
      <c r="I861">
        <v>377.81079999999997</v>
      </c>
      <c r="J861">
        <v>-320.68680000000001</v>
      </c>
      <c r="K861">
        <v>1.1098699999999999</v>
      </c>
      <c r="L861">
        <v>367.52030000000002</v>
      </c>
      <c r="M861">
        <v>0.99991819999999998</v>
      </c>
      <c r="N861">
        <v>-1.0692409999999999E-2</v>
      </c>
      <c r="O861">
        <v>7.0319509999999998E-3</v>
      </c>
      <c r="P861">
        <v>0.9755393</v>
      </c>
      <c r="Q861">
        <v>0.1949806</v>
      </c>
      <c r="R861">
        <v>0.1015175</v>
      </c>
      <c r="S861">
        <v>3.0551149999999998</v>
      </c>
      <c r="T861">
        <v>-2.619755E-2</v>
      </c>
      <c r="U861">
        <v>0.24288940000000001</v>
      </c>
      <c r="V861">
        <v>-9.4646599999999997E-2</v>
      </c>
      <c r="W861">
        <v>0.2054116</v>
      </c>
      <c r="X861">
        <v>0.97408839999999997</v>
      </c>
      <c r="Y861">
        <v>-7.2234359999999997E-2</v>
      </c>
      <c r="Z861">
        <v>7.1090559999999897E-4</v>
      </c>
      <c r="AA861">
        <v>0.99738740000000004</v>
      </c>
      <c r="AB861">
        <v>33</v>
      </c>
      <c r="AC861">
        <v>129.2741</v>
      </c>
      <c r="AD861">
        <v>-1.10988302181</v>
      </c>
      <c r="AE861">
        <v>10.2904999999999</v>
      </c>
      <c r="AF861">
        <v>-9.38045743318186</v>
      </c>
      <c r="AG861">
        <v>-1.10988302181</v>
      </c>
      <c r="AH861">
        <v>129.33379654760901</v>
      </c>
      <c r="AI861">
        <v>90.490385825155499</v>
      </c>
      <c r="AJ861">
        <v>94.148344578080199</v>
      </c>
      <c r="AK861">
        <v>129.678277870259</v>
      </c>
      <c r="AL861">
        <v>78.146405916784303</v>
      </c>
      <c r="AM861">
        <v>95.549682369847105</v>
      </c>
      <c r="AN861">
        <v>1.0000000576603301</v>
      </c>
    </row>
    <row r="862" spans="1:40" x14ac:dyDescent="0.25">
      <c r="A862" t="str">
        <f>"20190304155030973"</f>
        <v>20190304155030973</v>
      </c>
      <c r="B862" t="str">
        <f>"1551685830967381"</f>
        <v>1551685830967381</v>
      </c>
      <c r="C862" t="s">
        <v>40</v>
      </c>
      <c r="D862">
        <v>5.3073519999999998</v>
      </c>
      <c r="E862">
        <v>0.50997329999999996</v>
      </c>
      <c r="F862" t="s">
        <v>43</v>
      </c>
      <c r="G862">
        <v>-158.19499999999999</v>
      </c>
      <c r="H862">
        <v>0.1448345</v>
      </c>
      <c r="I862">
        <v>380.22089999999997</v>
      </c>
      <c r="J862">
        <v>-320.52140000000003</v>
      </c>
      <c r="K862">
        <v>1.1097030000000001</v>
      </c>
      <c r="L862">
        <v>367.5215</v>
      </c>
      <c r="M862">
        <v>0.99992119999999995</v>
      </c>
      <c r="N862">
        <v>-1.0406159999999999E-2</v>
      </c>
      <c r="O862">
        <v>7.0316290000000002E-3</v>
      </c>
      <c r="P862">
        <v>0.97550959999999998</v>
      </c>
      <c r="Q862">
        <v>0.19527120000000001</v>
      </c>
      <c r="R862">
        <v>0.1012449</v>
      </c>
      <c r="S862">
        <v>3.0540470000000002</v>
      </c>
      <c r="T862">
        <v>-1.8136260000000001E-2</v>
      </c>
      <c r="U862">
        <v>0.23870849999999999</v>
      </c>
      <c r="V862">
        <v>-9.4374639999999996E-2</v>
      </c>
      <c r="W862">
        <v>0.20542270000000001</v>
      </c>
      <c r="X862">
        <v>0.97411239999999999</v>
      </c>
      <c r="Y862">
        <v>-7.0907810000000002E-2</v>
      </c>
      <c r="Z862">
        <v>6.1111719999999996E-4</v>
      </c>
      <c r="AA862">
        <v>0.99748270000000006</v>
      </c>
      <c r="AB862">
        <v>33</v>
      </c>
      <c r="AC862">
        <v>162.32640000000001</v>
      </c>
      <c r="AD862">
        <v>-0.96486850000000002</v>
      </c>
      <c r="AE862">
        <v>12.699399999999899</v>
      </c>
      <c r="AF862">
        <v>-11.557199414564501</v>
      </c>
      <c r="AG862">
        <v>-0.96486850000000002</v>
      </c>
      <c r="AH862">
        <v>162.40598571062401</v>
      </c>
      <c r="AI862">
        <v>90.339536734517196</v>
      </c>
      <c r="AJ862">
        <v>94.070443301185904</v>
      </c>
      <c r="AK862">
        <v>162.819544355613</v>
      </c>
      <c r="AL862">
        <v>78.145755539492498</v>
      </c>
      <c r="AM862">
        <v>95.533699400195104</v>
      </c>
      <c r="AN862">
        <v>1.0000000130920801</v>
      </c>
    </row>
    <row r="863" spans="1:40" x14ac:dyDescent="0.25">
      <c r="A863" t="str">
        <f>"20190304155030983"</f>
        <v>20190304155030983</v>
      </c>
      <c r="B863" t="str">
        <f>"1551685830977140"</f>
        <v>1551685830977140</v>
      </c>
      <c r="C863" t="s">
        <v>40</v>
      </c>
      <c r="D863">
        <v>5.5289359999999999</v>
      </c>
      <c r="E863">
        <v>0.51256069999999998</v>
      </c>
      <c r="F863" t="s">
        <v>43</v>
      </c>
      <c r="G863">
        <v>-158.19499999999999</v>
      </c>
      <c r="H863">
        <v>0.45333580000000001</v>
      </c>
      <c r="I863">
        <v>379.41230000000002</v>
      </c>
      <c r="J863">
        <v>-320.34960000000001</v>
      </c>
      <c r="K863">
        <v>1.10951</v>
      </c>
      <c r="L863">
        <v>367.52260000000001</v>
      </c>
      <c r="M863">
        <v>0.99992289999999995</v>
      </c>
      <c r="N863">
        <v>-1.024505E-2</v>
      </c>
      <c r="O863">
        <v>7.0314560000000002E-3</v>
      </c>
      <c r="P863">
        <v>0.97544929999999996</v>
      </c>
      <c r="Q863">
        <v>0.19568959999999999</v>
      </c>
      <c r="R863">
        <v>0.10101839999999999</v>
      </c>
      <c r="S863">
        <v>3.0545650000000002</v>
      </c>
      <c r="T863">
        <v>-1.2349489999999999E-2</v>
      </c>
      <c r="U863">
        <v>0.22375490000000001</v>
      </c>
      <c r="V863">
        <v>-9.4148739999999995E-2</v>
      </c>
      <c r="W863">
        <v>0.20568359999999999</v>
      </c>
      <c r="X863">
        <v>0.97407920000000003</v>
      </c>
      <c r="Y863">
        <v>-6.6040269999999998E-2</v>
      </c>
      <c r="Z863">
        <v>5.156402E-4</v>
      </c>
      <c r="AA863">
        <v>0.99781679999999995</v>
      </c>
      <c r="AB863">
        <v>33</v>
      </c>
      <c r="AC863">
        <v>162.15459999999999</v>
      </c>
      <c r="AD863">
        <v>-0.65617419999999904</v>
      </c>
      <c r="AE863">
        <v>11.889699999999999</v>
      </c>
      <c r="AF863">
        <v>-10.748988312814401</v>
      </c>
      <c r="AG863">
        <v>-0.65617419999999904</v>
      </c>
      <c r="AH863">
        <v>162.231554912653</v>
      </c>
      <c r="AI863">
        <v>90.231234645471403</v>
      </c>
      <c r="AJ863">
        <v>93.790710170815103</v>
      </c>
      <c r="AK863">
        <v>162.588587310755</v>
      </c>
      <c r="AL863">
        <v>78.130480836551101</v>
      </c>
      <c r="AM863">
        <v>95.520722572902699</v>
      </c>
      <c r="AN863">
        <v>1.0000000082125899</v>
      </c>
    </row>
    <row r="864" spans="1:40" x14ac:dyDescent="0.25">
      <c r="A864" t="str">
        <f>"20190304155030994"</f>
        <v>20190304155030994</v>
      </c>
      <c r="B864" t="str">
        <f>"1551685830987877"</f>
        <v>1551685830987877</v>
      </c>
      <c r="C864" t="s">
        <v>40</v>
      </c>
      <c r="D864">
        <v>5.6999069999999996</v>
      </c>
      <c r="E864">
        <v>0.5151519</v>
      </c>
      <c r="F864" t="s">
        <v>43</v>
      </c>
      <c r="G864">
        <v>-158.19499999999999</v>
      </c>
      <c r="H864">
        <v>0.36984729999999999</v>
      </c>
      <c r="I864">
        <v>378.27190000000002</v>
      </c>
      <c r="J864">
        <v>-320.2004</v>
      </c>
      <c r="K864">
        <v>1.1093120000000001</v>
      </c>
      <c r="L864">
        <v>367.52370000000002</v>
      </c>
      <c r="M864">
        <v>0.99992270000000005</v>
      </c>
      <c r="N864">
        <v>-1.0251990000000001E-2</v>
      </c>
      <c r="O864">
        <v>7.0312400000000002E-3</v>
      </c>
      <c r="P864">
        <v>0.97544470000000005</v>
      </c>
      <c r="Q864">
        <v>0.19576540000000001</v>
      </c>
      <c r="R864">
        <v>0.1009133</v>
      </c>
      <c r="S864">
        <v>3.0572810000000001</v>
      </c>
      <c r="T864">
        <v>-1.394403E-2</v>
      </c>
      <c r="U864">
        <v>0.20266719999999999</v>
      </c>
      <c r="V864">
        <v>-9.4043489999999993E-2</v>
      </c>
      <c r="W864">
        <v>0.20576620000000001</v>
      </c>
      <c r="X864">
        <v>0.97407189999999999</v>
      </c>
      <c r="Y864">
        <v>-5.9125120000000003E-2</v>
      </c>
      <c r="Z864">
        <v>4.7808509999999998E-4</v>
      </c>
      <c r="AA864">
        <v>0.99825050000000004</v>
      </c>
      <c r="AB864">
        <v>33</v>
      </c>
      <c r="AC864">
        <v>162.00540000000001</v>
      </c>
      <c r="AD864">
        <v>-0.73946469999999997</v>
      </c>
      <c r="AE864">
        <v>10.748199999999899</v>
      </c>
      <c r="AF864">
        <v>-9.6085762281384692</v>
      </c>
      <c r="AG864">
        <v>-0.73946469999999997</v>
      </c>
      <c r="AH864">
        <v>162.07361016898801</v>
      </c>
      <c r="AI864">
        <v>90.260953359172404</v>
      </c>
      <c r="AJ864">
        <v>93.392823975894501</v>
      </c>
      <c r="AK864">
        <v>162.359867757964</v>
      </c>
      <c r="AL864">
        <v>78.125644501977305</v>
      </c>
      <c r="AM864">
        <v>95.5146300298439</v>
      </c>
      <c r="AN864">
        <v>0.99999998672171497</v>
      </c>
    </row>
    <row r="865" spans="1:40" x14ac:dyDescent="0.25">
      <c r="A865" t="str">
        <f>"20190304155031005"</f>
        <v>20190304155031005</v>
      </c>
      <c r="B865" t="str">
        <f>"1551685830997636"</f>
        <v>1551685830997636</v>
      </c>
      <c r="C865" t="s">
        <v>40</v>
      </c>
      <c r="D865">
        <v>5.2117889999999996</v>
      </c>
      <c r="E865">
        <v>0.514538099999999</v>
      </c>
      <c r="F865" t="s">
        <v>43</v>
      </c>
      <c r="G865">
        <v>-158.19499999999999</v>
      </c>
      <c r="H865">
        <v>0.17989059999999901</v>
      </c>
      <c r="I865">
        <v>377.14769999999999</v>
      </c>
      <c r="J865">
        <v>-320.0283</v>
      </c>
      <c r="K865">
        <v>1.1090599999999999</v>
      </c>
      <c r="L865">
        <v>367.5249</v>
      </c>
      <c r="M865">
        <v>0.99992190000000003</v>
      </c>
      <c r="N865">
        <v>-1.03441E-2</v>
      </c>
      <c r="O865">
        <v>7.0309379999999996E-3</v>
      </c>
      <c r="P865">
        <v>0.97546489999999997</v>
      </c>
      <c r="Q865">
        <v>0.19578860000000001</v>
      </c>
      <c r="R865">
        <v>0.1006725</v>
      </c>
      <c r="S865">
        <v>3.0602420000000001</v>
      </c>
      <c r="T865">
        <v>-1.7554879999999998E-2</v>
      </c>
      <c r="U865">
        <v>0.18179319999999999</v>
      </c>
      <c r="V865">
        <v>-9.3802940000000001E-2</v>
      </c>
      <c r="W865">
        <v>0.2058796</v>
      </c>
      <c r="X865">
        <v>0.97407109999999997</v>
      </c>
      <c r="Y865">
        <v>-5.2277579999999997E-2</v>
      </c>
      <c r="Z865">
        <v>4.5282120000000002E-4</v>
      </c>
      <c r="AA865">
        <v>0.99863250000000003</v>
      </c>
      <c r="AB865">
        <v>33</v>
      </c>
      <c r="AC865">
        <v>161.83330000000001</v>
      </c>
      <c r="AD865">
        <v>-0.92916940000000003</v>
      </c>
      <c r="AE865">
        <v>9.6227999999999803</v>
      </c>
      <c r="AF865">
        <v>-8.4843827803114191</v>
      </c>
      <c r="AG865">
        <v>-0.92916940000000003</v>
      </c>
      <c r="AH865">
        <v>161.89164243745401</v>
      </c>
      <c r="AI865">
        <v>90.328392139132603</v>
      </c>
      <c r="AJ865">
        <v>93.000000464362699</v>
      </c>
      <c r="AK865">
        <v>162.11647663958499</v>
      </c>
      <c r="AL865">
        <v>78.119004616116797</v>
      </c>
      <c r="AM865">
        <v>95.500615495080794</v>
      </c>
      <c r="AN865">
        <v>0.99999995455200497</v>
      </c>
    </row>
    <row r="866" spans="1:40" x14ac:dyDescent="0.25">
      <c r="A866" t="str">
        <f>"20190304155031017"</f>
        <v>20190304155031017</v>
      </c>
      <c r="B866" t="str">
        <f>"1551685831007396"</f>
        <v>1551685831007396</v>
      </c>
      <c r="C866" t="s">
        <v>40</v>
      </c>
      <c r="D866">
        <v>5.2324159999999997</v>
      </c>
      <c r="E866">
        <v>0.51470740000000004</v>
      </c>
      <c r="F866" t="s">
        <v>43</v>
      </c>
      <c r="G866">
        <v>-158.19499999999999</v>
      </c>
      <c r="H866">
        <v>0.57692149999999998</v>
      </c>
      <c r="I866">
        <v>377.36290000000002</v>
      </c>
      <c r="J866">
        <v>-319.86279999999999</v>
      </c>
      <c r="K866">
        <v>1.108738</v>
      </c>
      <c r="L866">
        <v>367.52609999999999</v>
      </c>
      <c r="M866">
        <v>0.999919</v>
      </c>
      <c r="N866">
        <v>-1.060816E-2</v>
      </c>
      <c r="O866">
        <v>7.0309079999999998E-3</v>
      </c>
      <c r="P866">
        <v>0.97553400000000001</v>
      </c>
      <c r="Q866">
        <v>0.19571859999999999</v>
      </c>
      <c r="R866">
        <v>0.1001389</v>
      </c>
      <c r="S866">
        <v>3.0582579999999999</v>
      </c>
      <c r="T866">
        <v>-1.0054469999999999E-2</v>
      </c>
      <c r="U866">
        <v>0.1859131</v>
      </c>
      <c r="V866">
        <v>-9.3268719999999999E-2</v>
      </c>
      <c r="W866">
        <v>0.20606720000000001</v>
      </c>
      <c r="X866">
        <v>0.97408280000000003</v>
      </c>
      <c r="Y866">
        <v>-5.3657620000000003E-2</v>
      </c>
      <c r="Z866">
        <v>4.2443089999999998E-4</v>
      </c>
      <c r="AA866">
        <v>0.99855930000000004</v>
      </c>
      <c r="AB866">
        <v>33</v>
      </c>
      <c r="AC866">
        <v>161.6678</v>
      </c>
      <c r="AD866">
        <v>-0.53181650000000003</v>
      </c>
      <c r="AE866">
        <v>9.8368000000000393</v>
      </c>
      <c r="AF866">
        <v>-8.6997276350813699</v>
      </c>
      <c r="AG866">
        <v>-0.53181650000000003</v>
      </c>
      <c r="AH866">
        <v>161.73122543814301</v>
      </c>
      <c r="AI866">
        <v>90.188131532639304</v>
      </c>
      <c r="AJ866">
        <v>93.079045159506293</v>
      </c>
      <c r="AK866">
        <v>161.965914227154</v>
      </c>
      <c r="AL866">
        <v>78.108021226977201</v>
      </c>
      <c r="AM866">
        <v>95.469413979974206</v>
      </c>
      <c r="AN866">
        <v>1.00000002315105</v>
      </c>
    </row>
    <row r="867" spans="1:40" x14ac:dyDescent="0.25">
      <c r="A867" t="str">
        <f>"20190304155031028"</f>
        <v>20190304155031028</v>
      </c>
      <c r="B867" t="str">
        <f>"1551685831017156"</f>
        <v>1551685831017156</v>
      </c>
      <c r="C867" t="s">
        <v>40</v>
      </c>
      <c r="D867">
        <v>5.2567529999999998</v>
      </c>
      <c r="E867">
        <v>0.51500369999999995</v>
      </c>
      <c r="F867" t="s">
        <v>43</v>
      </c>
      <c r="G867">
        <v>-158.19499999999999</v>
      </c>
      <c r="H867">
        <v>0.42696089999999998</v>
      </c>
      <c r="I867">
        <v>377.20639999999997</v>
      </c>
      <c r="J867">
        <v>-319.69420000000002</v>
      </c>
      <c r="K867">
        <v>1.1083809999999901</v>
      </c>
      <c r="L867">
        <v>367.52730000000003</v>
      </c>
      <c r="M867">
        <v>0.99991569999999996</v>
      </c>
      <c r="N867">
        <v>-1.092747E-2</v>
      </c>
      <c r="O867">
        <v>7.0308369999999999E-3</v>
      </c>
      <c r="P867">
        <v>0.97560939999999996</v>
      </c>
      <c r="Q867">
        <v>0.19544349999999999</v>
      </c>
      <c r="R867">
        <v>9.994285E-2</v>
      </c>
      <c r="S867">
        <v>3.059021</v>
      </c>
      <c r="T867">
        <v>-1.2898679999999999E-2</v>
      </c>
      <c r="U867">
        <v>0.18316650000000001</v>
      </c>
      <c r="V867">
        <v>-9.3072440000000006E-2</v>
      </c>
      <c r="W867">
        <v>0.20610410000000001</v>
      </c>
      <c r="X867">
        <v>0.97409369999999995</v>
      </c>
      <c r="Y867">
        <v>-5.2748749999999997E-2</v>
      </c>
      <c r="Z867">
        <v>4.4673679999999999E-4</v>
      </c>
      <c r="AA867">
        <v>0.99860769999999999</v>
      </c>
      <c r="AB867">
        <v>33</v>
      </c>
      <c r="AC867">
        <v>161.4992</v>
      </c>
      <c r="AD867">
        <v>-0.68142009999999897</v>
      </c>
      <c r="AE867">
        <v>9.6790999999999396</v>
      </c>
      <c r="AF867">
        <v>-8.5431669798545702</v>
      </c>
      <c r="AG867">
        <v>-0.68142009999999897</v>
      </c>
      <c r="AH867">
        <v>161.56039809745701</v>
      </c>
      <c r="AI867">
        <v>90.241320240907399</v>
      </c>
      <c r="AJ867">
        <v>93.026929536398796</v>
      </c>
      <c r="AK867">
        <v>161.78755288589801</v>
      </c>
      <c r="AL867">
        <v>78.105859844133604</v>
      </c>
      <c r="AM867">
        <v>95.457912706787297</v>
      </c>
      <c r="AN867">
        <v>0.99999995775202499</v>
      </c>
    </row>
    <row r="868" spans="1:40" x14ac:dyDescent="0.25">
      <c r="A868" t="str">
        <f>"20190304155031039"</f>
        <v>20190304155031039</v>
      </c>
      <c r="B868" t="str">
        <f>"1551685831037652"</f>
        <v>1551685831037652</v>
      </c>
      <c r="C868" t="s">
        <v>40</v>
      </c>
      <c r="D868">
        <v>4.7819279999999997</v>
      </c>
      <c r="E868">
        <v>0.51532599999999995</v>
      </c>
      <c r="F868" t="s">
        <v>43</v>
      </c>
      <c r="G868">
        <v>-158.19499999999999</v>
      </c>
      <c r="H868">
        <v>0.24236199999999999</v>
      </c>
      <c r="I868">
        <v>377.01929999999999</v>
      </c>
      <c r="J868">
        <v>-319.52620000000002</v>
      </c>
      <c r="K868">
        <v>1.1079399999999999</v>
      </c>
      <c r="L868">
        <v>367.52850000000001</v>
      </c>
      <c r="M868">
        <v>0.99991010000000002</v>
      </c>
      <c r="N868">
        <v>-1.1428890000000001E-2</v>
      </c>
      <c r="O868">
        <v>7.0318749999999999E-3</v>
      </c>
      <c r="P868">
        <v>0.97573569999999998</v>
      </c>
      <c r="Q868">
        <v>0.1949891</v>
      </c>
      <c r="R868">
        <v>9.9597829999999998E-2</v>
      </c>
      <c r="S868">
        <v>3.0598749999999999</v>
      </c>
      <c r="T868">
        <v>-1.6406540000000001E-2</v>
      </c>
      <c r="U868">
        <v>0.1798401</v>
      </c>
      <c r="V868">
        <v>-9.2725230000000006E-2</v>
      </c>
      <c r="W868">
        <v>0.2061395</v>
      </c>
      <c r="X868">
        <v>0.97411939999999997</v>
      </c>
      <c r="Y868">
        <v>-5.1648550000000001E-2</v>
      </c>
      <c r="Z868">
        <v>4.7639479999999999E-4</v>
      </c>
      <c r="AA868">
        <v>0.99866520000000003</v>
      </c>
      <c r="AB868">
        <v>33</v>
      </c>
      <c r="AC868">
        <v>161.3312</v>
      </c>
      <c r="AD868">
        <v>-0.86557799999999996</v>
      </c>
      <c r="AE868">
        <v>9.4907999999999806</v>
      </c>
      <c r="AF868">
        <v>-8.3557908476257907</v>
      </c>
      <c r="AG868">
        <v>-0.86557799999999996</v>
      </c>
      <c r="AH868">
        <v>161.38932353572099</v>
      </c>
      <c r="AI868">
        <v>90.306880003470795</v>
      </c>
      <c r="AJ868">
        <v>92.9637924752532</v>
      </c>
      <c r="AK868">
        <v>161.60780370168101</v>
      </c>
      <c r="AL868">
        <v>78.103787978731205</v>
      </c>
      <c r="AM868">
        <v>95.437531438009302</v>
      </c>
      <c r="AN868">
        <v>1.0000000335975801</v>
      </c>
    </row>
    <row r="869" spans="1:40" x14ac:dyDescent="0.25">
      <c r="A869" t="str">
        <f>"20190304155031053"</f>
        <v>20190304155031053</v>
      </c>
      <c r="B869" t="str">
        <f>"1551685831047413"</f>
        <v>1551685831047413</v>
      </c>
      <c r="C869" t="s">
        <v>40</v>
      </c>
      <c r="D869">
        <v>5.3411019999999896</v>
      </c>
      <c r="E869">
        <v>0.51551539999999996</v>
      </c>
      <c r="F869" t="s">
        <v>43</v>
      </c>
      <c r="G869">
        <v>-158.19499999999999</v>
      </c>
      <c r="H869">
        <v>0.74361089999999996</v>
      </c>
      <c r="I869">
        <v>376.82330000000002</v>
      </c>
      <c r="J869">
        <v>-319.34589999999997</v>
      </c>
      <c r="K869">
        <v>1.1074360000000001</v>
      </c>
      <c r="L869">
        <v>367.52969999999999</v>
      </c>
      <c r="M869">
        <v>0.99990199999999996</v>
      </c>
      <c r="N869">
        <v>-1.2112080000000001E-2</v>
      </c>
      <c r="O869">
        <v>7.0333519999999997E-3</v>
      </c>
      <c r="P869">
        <v>0.97586070000000003</v>
      </c>
      <c r="Q869">
        <v>0.19440489999999999</v>
      </c>
      <c r="R869">
        <v>9.9512050000000005E-2</v>
      </c>
      <c r="S869">
        <v>3.0579529999999999</v>
      </c>
      <c r="T869">
        <v>-6.9040059999999999E-3</v>
      </c>
      <c r="U869">
        <v>0.176178</v>
      </c>
      <c r="V869">
        <v>-9.2637159999999996E-2</v>
      </c>
      <c r="W869">
        <v>0.20622260000000001</v>
      </c>
      <c r="X869">
        <v>0.97411020000000004</v>
      </c>
      <c r="Y869">
        <v>-5.0493540000000003E-2</v>
      </c>
      <c r="Z869">
        <v>4.3227180000000002E-4</v>
      </c>
      <c r="AA869">
        <v>0.99872430000000001</v>
      </c>
      <c r="AB869">
        <v>33</v>
      </c>
      <c r="AC869">
        <v>161.15089999999901</v>
      </c>
      <c r="AD869">
        <v>-0.36382509999999901</v>
      </c>
      <c r="AE869">
        <v>9.2936000000000192</v>
      </c>
      <c r="AF869">
        <v>-8.1598145917404494</v>
      </c>
      <c r="AG869">
        <v>-0.36382509999999901</v>
      </c>
      <c r="AH869">
        <v>161.211464425483</v>
      </c>
      <c r="AI869">
        <v>90.129140666883302</v>
      </c>
      <c r="AJ869">
        <v>92.897587320746993</v>
      </c>
      <c r="AK869">
        <v>161.41824929382599</v>
      </c>
      <c r="AL869">
        <v>78.098922264760105</v>
      </c>
      <c r="AM869">
        <v>95.432448805135294</v>
      </c>
      <c r="AN869">
        <v>1.00000004295383</v>
      </c>
    </row>
    <row r="870" spans="1:40" x14ac:dyDescent="0.25">
      <c r="A870" t="str">
        <f>"20190304155031064"</f>
        <v>20190304155031064</v>
      </c>
      <c r="B870" t="str">
        <f>"1551685831057172"</f>
        <v>1551685831057172</v>
      </c>
      <c r="C870" t="s">
        <v>40</v>
      </c>
      <c r="D870">
        <v>5.2539689999999997</v>
      </c>
      <c r="E870">
        <v>0.51541300000000001</v>
      </c>
      <c r="F870" t="s">
        <v>43</v>
      </c>
      <c r="G870">
        <v>-158.19499999999999</v>
      </c>
      <c r="H870">
        <v>1.13229</v>
      </c>
      <c r="I870">
        <v>376.72739999999999</v>
      </c>
      <c r="J870">
        <v>-319.16390000000001</v>
      </c>
      <c r="K870">
        <v>1.1068800000000001</v>
      </c>
      <c r="L870">
        <v>367.53100000000001</v>
      </c>
      <c r="M870">
        <v>0.99989059999999996</v>
      </c>
      <c r="N870">
        <v>-1.3013210000000001E-2</v>
      </c>
      <c r="O870">
        <v>7.0348420000000004E-3</v>
      </c>
      <c r="P870">
        <v>0.97593980000000002</v>
      </c>
      <c r="Q870">
        <v>0.1940163</v>
      </c>
      <c r="R870">
        <v>9.9497089999999996E-2</v>
      </c>
      <c r="S870">
        <v>3.056305</v>
      </c>
      <c r="T870">
        <v>4.7302249999999998E-4</v>
      </c>
      <c r="U870">
        <v>0.1744385</v>
      </c>
      <c r="V870">
        <v>-9.2619950000000006E-2</v>
      </c>
      <c r="W870">
        <v>0.2067129</v>
      </c>
      <c r="X870">
        <v>0.97400779999999998</v>
      </c>
      <c r="Y870">
        <v>-4.9957460000000002E-2</v>
      </c>
      <c r="Z870">
        <v>4.1403680000000001E-4</v>
      </c>
      <c r="AA870">
        <v>0.99875130000000001</v>
      </c>
      <c r="AB870">
        <v>33</v>
      </c>
      <c r="AC870">
        <v>160.96889999999999</v>
      </c>
      <c r="AD870">
        <v>2.5410000000000099E-2</v>
      </c>
      <c r="AE870">
        <v>9.1963999999999793</v>
      </c>
      <c r="AF870">
        <v>-8.0636855511227807</v>
      </c>
      <c r="AG870">
        <v>2.5410000000000099E-2</v>
      </c>
      <c r="AH870">
        <v>161.02961287963899</v>
      </c>
      <c r="AI870">
        <v>89.990970208730403</v>
      </c>
      <c r="AJ870">
        <v>92.866736995612698</v>
      </c>
      <c r="AK870">
        <v>161.23138619543599</v>
      </c>
      <c r="AL870">
        <v>78.070210235459598</v>
      </c>
      <c r="AM870">
        <v>95.432013215260298</v>
      </c>
      <c r="AN870">
        <v>0.99999993631262396</v>
      </c>
    </row>
    <row r="871" spans="1:40" x14ac:dyDescent="0.25">
      <c r="A871" t="str">
        <f>"20190304155031077"</f>
        <v>20190304155031077</v>
      </c>
      <c r="B871" t="str">
        <f>"1551685831067909"</f>
        <v>1551685831067909</v>
      </c>
      <c r="C871" t="s">
        <v>40</v>
      </c>
      <c r="D871">
        <v>5.2892029999999997</v>
      </c>
      <c r="E871">
        <v>0.51569679999999996</v>
      </c>
      <c r="F871" t="s">
        <v>43</v>
      </c>
      <c r="G871">
        <v>-158.19499999999999</v>
      </c>
      <c r="H871">
        <v>1.7818480000000001</v>
      </c>
      <c r="I871">
        <v>376.77499999999998</v>
      </c>
      <c r="J871">
        <v>-318.97649999999999</v>
      </c>
      <c r="K871">
        <v>1.106247</v>
      </c>
      <c r="L871">
        <v>367.53230000000002</v>
      </c>
      <c r="M871">
        <v>0.99987499999999996</v>
      </c>
      <c r="N871">
        <v>-1.4160549999999999E-2</v>
      </c>
      <c r="O871">
        <v>7.0360290000000001E-3</v>
      </c>
      <c r="P871">
        <v>0.97617860000000001</v>
      </c>
      <c r="Q871">
        <v>0.19292809999999999</v>
      </c>
      <c r="R871">
        <v>9.9267530000000007E-2</v>
      </c>
      <c r="S871">
        <v>3.053528</v>
      </c>
      <c r="T871">
        <v>1.280558E-2</v>
      </c>
      <c r="U871">
        <v>0.17535400000000001</v>
      </c>
      <c r="V871">
        <v>-9.2387529999999995E-2</v>
      </c>
      <c r="W871">
        <v>0.2067456</v>
      </c>
      <c r="X871">
        <v>0.97402299999999997</v>
      </c>
      <c r="Y871">
        <v>-5.0307890000000001E-2</v>
      </c>
      <c r="Z871">
        <v>3.8014199999999998E-4</v>
      </c>
      <c r="AA871">
        <v>0.99873369999999995</v>
      </c>
      <c r="AB871">
        <v>33</v>
      </c>
      <c r="AC871">
        <v>160.78149999999999</v>
      </c>
      <c r="AD871">
        <v>0.67560099999999901</v>
      </c>
      <c r="AE871">
        <v>9.2426999999999495</v>
      </c>
      <c r="AF871">
        <v>-8.11095171674536</v>
      </c>
      <c r="AG871">
        <v>0.67560099999999901</v>
      </c>
      <c r="AH871">
        <v>160.839727239458</v>
      </c>
      <c r="AI871">
        <v>89.759638158560804</v>
      </c>
      <c r="AJ871">
        <v>92.886910896274202</v>
      </c>
      <c r="AK871">
        <v>161.045527205588</v>
      </c>
      <c r="AL871">
        <v>78.068296088555996</v>
      </c>
      <c r="AM871">
        <v>95.418379325513399</v>
      </c>
      <c r="AN871">
        <v>1.0000000016739301</v>
      </c>
    </row>
    <row r="872" spans="1:40" x14ac:dyDescent="0.25">
      <c r="A872" t="str">
        <f>"20190304155031089"</f>
        <v>20190304155031089</v>
      </c>
      <c r="B872" t="str">
        <f>"1551685831077669"</f>
        <v>1551685831077669</v>
      </c>
      <c r="C872" t="s">
        <v>40</v>
      </c>
      <c r="D872">
        <v>5.2858390000000002</v>
      </c>
      <c r="E872">
        <v>0.51582720000000004</v>
      </c>
      <c r="F872" t="s">
        <v>43</v>
      </c>
      <c r="G872">
        <v>-158.19499999999999</v>
      </c>
      <c r="H872">
        <v>1.8881270000000001</v>
      </c>
      <c r="I872">
        <v>376.6234</v>
      </c>
      <c r="J872">
        <v>-318.8116</v>
      </c>
      <c r="K872">
        <v>1.1056699999999999</v>
      </c>
      <c r="L872">
        <v>367.5335</v>
      </c>
      <c r="M872">
        <v>0.99985930000000001</v>
      </c>
      <c r="N872">
        <v>-1.523183E-2</v>
      </c>
      <c r="O872">
        <v>7.0368430000000001E-3</v>
      </c>
      <c r="P872">
        <v>0.97643610000000003</v>
      </c>
      <c r="Q872">
        <v>0.19166279999999999</v>
      </c>
      <c r="R872">
        <v>9.9187220000000006E-2</v>
      </c>
      <c r="S872">
        <v>3.052673</v>
      </c>
      <c r="T872">
        <v>1.48468E-2</v>
      </c>
      <c r="U872">
        <v>0.17260739999999999</v>
      </c>
      <c r="V872">
        <v>-9.2304570000000002E-2</v>
      </c>
      <c r="W872">
        <v>0.20652770000000001</v>
      </c>
      <c r="X872">
        <v>0.97407710000000003</v>
      </c>
      <c r="Y872">
        <v>-4.9427699999999998E-2</v>
      </c>
      <c r="Z872">
        <v>3.97957E-4</v>
      </c>
      <c r="AA872">
        <v>0.99877760000000004</v>
      </c>
      <c r="AB872">
        <v>33</v>
      </c>
      <c r="AC872">
        <v>160.61660000000001</v>
      </c>
      <c r="AD872">
        <v>0.78245699999999996</v>
      </c>
      <c r="AE872">
        <v>9.0899000000000001</v>
      </c>
      <c r="AF872">
        <v>-7.9591217567633503</v>
      </c>
      <c r="AG872">
        <v>0.78245699999999996</v>
      </c>
      <c r="AH872">
        <v>160.67279304215199</v>
      </c>
      <c r="AI872">
        <v>89.721320416088702</v>
      </c>
      <c r="AJ872">
        <v>92.835897864471804</v>
      </c>
      <c r="AK872">
        <v>160.871707525164</v>
      </c>
      <c r="AL872">
        <v>78.081056339786699</v>
      </c>
      <c r="AM872">
        <v>95.413243892911296</v>
      </c>
      <c r="AN872">
        <v>1.0000000106272899</v>
      </c>
    </row>
    <row r="873" spans="1:40" x14ac:dyDescent="0.25">
      <c r="A873" t="str">
        <f>"20190304155031101"</f>
        <v>20190304155031101</v>
      </c>
      <c r="B873" t="str">
        <f>"1551685831097188"</f>
        <v>1551685831097188</v>
      </c>
      <c r="C873" t="s">
        <v>40</v>
      </c>
      <c r="D873">
        <v>5.0186950000000001</v>
      </c>
      <c r="E873">
        <v>0.51576650000000002</v>
      </c>
      <c r="F873" t="s">
        <v>43</v>
      </c>
      <c r="G873">
        <v>-158.19499999999999</v>
      </c>
      <c r="H873">
        <v>2.1137709999999998</v>
      </c>
      <c r="I873">
        <v>376.55689999999998</v>
      </c>
      <c r="J873">
        <v>-318.6429</v>
      </c>
      <c r="K873">
        <v>1.1050009999999999</v>
      </c>
      <c r="L873">
        <v>367.53469999999999</v>
      </c>
      <c r="M873">
        <v>0.99984050000000002</v>
      </c>
      <c r="N873">
        <v>-1.641111E-2</v>
      </c>
      <c r="O873">
        <v>7.0371440000000004E-3</v>
      </c>
      <c r="P873">
        <v>0.97662159999999998</v>
      </c>
      <c r="Q873">
        <v>0.19072929999999999</v>
      </c>
      <c r="R873">
        <v>9.9157770000000006E-2</v>
      </c>
      <c r="S873">
        <v>3.0512079999999999</v>
      </c>
      <c r="T873">
        <v>1.91524E-2</v>
      </c>
      <c r="U873">
        <v>0.17141719999999999</v>
      </c>
      <c r="V873">
        <v>-9.2273270000000004E-2</v>
      </c>
      <c r="W873">
        <v>0.20674600000000001</v>
      </c>
      <c r="X873">
        <v>0.9740337</v>
      </c>
      <c r="Y873">
        <v>-4.9066640000000002E-2</v>
      </c>
      <c r="Z873">
        <v>4.0862519999999999E-4</v>
      </c>
      <c r="AA873">
        <v>0.9987954</v>
      </c>
      <c r="AB873">
        <v>33</v>
      </c>
      <c r="AC873">
        <v>160.4479</v>
      </c>
      <c r="AD873">
        <v>1.00876999999999</v>
      </c>
      <c r="AE873">
        <v>9.0221999999999891</v>
      </c>
      <c r="AF873">
        <v>-7.8924184180543602</v>
      </c>
      <c r="AG873">
        <v>1.00876999999999</v>
      </c>
      <c r="AH873">
        <v>160.50110069787101</v>
      </c>
      <c r="AI873">
        <v>89.640327997383295</v>
      </c>
      <c r="AJ873">
        <v>92.815172667309994</v>
      </c>
      <c r="AK873">
        <v>160.698199151784</v>
      </c>
      <c r="AL873">
        <v>78.068272120902193</v>
      </c>
      <c r="AM873">
        <v>95.411658873514099</v>
      </c>
      <c r="AN873">
        <v>0.99999995680409004</v>
      </c>
    </row>
    <row r="874" spans="1:40" x14ac:dyDescent="0.25">
      <c r="A874" t="str">
        <f>"20190304155031118"</f>
        <v>20190304155031118</v>
      </c>
      <c r="B874" t="str">
        <f>"1551685831107926"</f>
        <v>1551685831107926</v>
      </c>
      <c r="C874" t="s">
        <v>40</v>
      </c>
      <c r="D874">
        <v>5.230829</v>
      </c>
      <c r="E874">
        <v>0.51557459999999999</v>
      </c>
      <c r="F874" t="s">
        <v>43</v>
      </c>
      <c r="G874">
        <v>-158.19499999999999</v>
      </c>
      <c r="H874">
        <v>2.0808580000000001</v>
      </c>
      <c r="I874">
        <v>376.57580000000002</v>
      </c>
      <c r="J874">
        <v>-318.39299999999997</v>
      </c>
      <c r="K874">
        <v>1.1039139999999901</v>
      </c>
      <c r="L874">
        <v>367.53640000000001</v>
      </c>
      <c r="M874">
        <v>0.99981390000000003</v>
      </c>
      <c r="N874">
        <v>-1.79639999999999E-2</v>
      </c>
      <c r="O874">
        <v>7.0367939999999999E-3</v>
      </c>
      <c r="P874">
        <v>0.97692690000000004</v>
      </c>
      <c r="Q874">
        <v>0.1892566</v>
      </c>
      <c r="R874">
        <v>9.8975030000000006E-2</v>
      </c>
      <c r="S874">
        <v>3.0507200000000001</v>
      </c>
      <c r="T874">
        <v>1.8556360000000001E-2</v>
      </c>
      <c r="U874">
        <v>0.17190549999999999</v>
      </c>
      <c r="V874">
        <v>-9.2089370000000004E-2</v>
      </c>
      <c r="W874">
        <v>0.20679130000000001</v>
      </c>
      <c r="X874">
        <v>0.9740415</v>
      </c>
      <c r="Y874">
        <v>-4.9235540000000001E-2</v>
      </c>
      <c r="Z874">
        <v>4.6207829999999998E-4</v>
      </c>
      <c r="AA874">
        <v>0.99878710000000004</v>
      </c>
      <c r="AB874">
        <v>33</v>
      </c>
      <c r="AC874">
        <v>160.19799999999901</v>
      </c>
      <c r="AD874">
        <v>0.97694400000000003</v>
      </c>
      <c r="AE874">
        <v>9.0394000000000005</v>
      </c>
      <c r="AF874">
        <v>-7.9114206070786697</v>
      </c>
      <c r="AG874">
        <v>0.97694400000000003</v>
      </c>
      <c r="AH874">
        <v>160.251710278925</v>
      </c>
      <c r="AI874">
        <v>89.651136398704907</v>
      </c>
      <c r="AJ874">
        <v>92.826324183314696</v>
      </c>
      <c r="AK874">
        <v>160.44985398223901</v>
      </c>
      <c r="AL874">
        <v>78.0656194389598</v>
      </c>
      <c r="AM874">
        <v>95.400894320268705</v>
      </c>
      <c r="AN874">
        <v>0.999999968772467</v>
      </c>
    </row>
    <row r="875" spans="1:40" x14ac:dyDescent="0.25">
      <c r="A875" t="str">
        <f>"20190304155031132"</f>
        <v>20190304155031132</v>
      </c>
      <c r="B875" t="str">
        <f>"1551685831127444"</f>
        <v>1551685831127444</v>
      </c>
      <c r="C875" t="s">
        <v>40</v>
      </c>
      <c r="D875">
        <v>5.1762680000000003</v>
      </c>
      <c r="E875">
        <v>0.5154263</v>
      </c>
      <c r="F875" t="s">
        <v>43</v>
      </c>
      <c r="G875">
        <v>-158.19499999999999</v>
      </c>
      <c r="H875">
        <v>1.726696</v>
      </c>
      <c r="I875">
        <v>376.63630000000001</v>
      </c>
      <c r="J875">
        <v>-318.18599999999998</v>
      </c>
      <c r="K875">
        <v>1.1029139999999999</v>
      </c>
      <c r="L875">
        <v>367.53789999999998</v>
      </c>
      <c r="M875">
        <v>0.99979359999999995</v>
      </c>
      <c r="N875">
        <v>-1.9061060000000001E-2</v>
      </c>
      <c r="O875">
        <v>7.0362690000000004E-3</v>
      </c>
      <c r="P875">
        <v>0.97715220000000003</v>
      </c>
      <c r="Q875">
        <v>0.18816179999999999</v>
      </c>
      <c r="R875">
        <v>9.8837380000000002E-2</v>
      </c>
      <c r="S875">
        <v>3.0510250000000001</v>
      </c>
      <c r="T875">
        <v>1.186275E-2</v>
      </c>
      <c r="U875">
        <v>0.173309299999999</v>
      </c>
      <c r="V875">
        <v>-9.1950009999999999E-2</v>
      </c>
      <c r="W875">
        <v>0.20676939999999999</v>
      </c>
      <c r="X875">
        <v>0.97405929999999996</v>
      </c>
      <c r="Y875">
        <v>-4.9687889999999998E-2</v>
      </c>
      <c r="Z875">
        <v>5.3881269999999997E-4</v>
      </c>
      <c r="AA875">
        <v>0.9987646</v>
      </c>
      <c r="AB875">
        <v>32</v>
      </c>
      <c r="AC875">
        <v>159.99100000000001</v>
      </c>
      <c r="AD875">
        <v>0.62378199999999995</v>
      </c>
      <c r="AE875">
        <v>9.0984000000000194</v>
      </c>
      <c r="AF875">
        <v>-7.9721096637618398</v>
      </c>
      <c r="AG875">
        <v>0.62378199999999995</v>
      </c>
      <c r="AH875">
        <v>160.04864335816399</v>
      </c>
      <c r="AI875">
        <v>89.776970050768</v>
      </c>
      <c r="AJ875">
        <v>92.851577047356898</v>
      </c>
      <c r="AK875">
        <v>160.24828197913101</v>
      </c>
      <c r="AL875">
        <v>78.066901762021899</v>
      </c>
      <c r="AM875">
        <v>95.392671333534807</v>
      </c>
      <c r="AN875">
        <v>0.99999995451592405</v>
      </c>
    </row>
    <row r="876" spans="1:40" x14ac:dyDescent="0.25">
      <c r="A876" t="str">
        <f>"20190304155031145"</f>
        <v>20190304155031145</v>
      </c>
      <c r="B876" t="str">
        <f>"1551685831137205"</f>
        <v>1551685831137205</v>
      </c>
      <c r="C876" t="s">
        <v>40</v>
      </c>
      <c r="D876">
        <v>5.257244</v>
      </c>
      <c r="E876">
        <v>0.5154763</v>
      </c>
      <c r="F876" t="s">
        <v>43</v>
      </c>
      <c r="G876">
        <v>-158.19499999999999</v>
      </c>
      <c r="H876">
        <v>1.2606740000000001</v>
      </c>
      <c r="I876">
        <v>376.63909999999998</v>
      </c>
      <c r="J876">
        <v>-317.98660000000001</v>
      </c>
      <c r="K876">
        <v>1.10185</v>
      </c>
      <c r="L876">
        <v>367.53930000000003</v>
      </c>
      <c r="M876">
        <v>0.9997762</v>
      </c>
      <c r="N876">
        <v>-1.9947880000000001E-2</v>
      </c>
      <c r="O876">
        <v>7.0354750000000002E-3</v>
      </c>
      <c r="P876">
        <v>0.97732819999999998</v>
      </c>
      <c r="Q876">
        <v>0.1871237</v>
      </c>
      <c r="R876">
        <v>9.9066029999999999E-2</v>
      </c>
      <c r="S876">
        <v>3.0520019999999999</v>
      </c>
      <c r="T876">
        <v>3.0111069999999998E-3</v>
      </c>
      <c r="U876">
        <v>0.1736145</v>
      </c>
      <c r="V876">
        <v>-9.2178659999999996E-2</v>
      </c>
      <c r="W876">
        <v>0.20659910000000001</v>
      </c>
      <c r="X876">
        <v>0.97407390000000005</v>
      </c>
      <c r="Y876">
        <v>-4.9768710000000001E-2</v>
      </c>
      <c r="Z876">
        <v>6.1949300000000004E-4</v>
      </c>
      <c r="AA876">
        <v>0.9987606</v>
      </c>
      <c r="AB876">
        <v>33</v>
      </c>
      <c r="AC876">
        <v>159.79159999999999</v>
      </c>
      <c r="AD876">
        <v>0.15882399999999999</v>
      </c>
      <c r="AE876">
        <v>9.0997999999999593</v>
      </c>
      <c r="AF876">
        <v>-7.9751332228109399</v>
      </c>
      <c r="AG876">
        <v>0.15882399999999999</v>
      </c>
      <c r="AH876">
        <v>159.85152045140799</v>
      </c>
      <c r="AI876">
        <v>89.943143251696696</v>
      </c>
      <c r="AJ876">
        <v>92.856168738891995</v>
      </c>
      <c r="AK876">
        <v>160.05041882360501</v>
      </c>
      <c r="AL876">
        <v>78.076875459523706</v>
      </c>
      <c r="AM876">
        <v>95.405921271145303</v>
      </c>
      <c r="AN876">
        <v>1.0000000280707</v>
      </c>
    </row>
    <row r="877" spans="1:40" x14ac:dyDescent="0.25">
      <c r="A877" t="str">
        <f>"20190304155031161"</f>
        <v>20190304155031161</v>
      </c>
      <c r="B877" t="str">
        <f>"1551685831157701"</f>
        <v>1551685831157701</v>
      </c>
      <c r="C877" t="s">
        <v>40</v>
      </c>
      <c r="D877">
        <v>5.1882519999999896</v>
      </c>
      <c r="E877">
        <v>0.51535580000000003</v>
      </c>
      <c r="F877" t="s">
        <v>43</v>
      </c>
      <c r="G877">
        <v>-158.19499999999999</v>
      </c>
      <c r="H877">
        <v>0.90814729999999999</v>
      </c>
      <c r="I877">
        <v>376.65750000000003</v>
      </c>
      <c r="J877">
        <v>-317.75439999999998</v>
      </c>
      <c r="K877">
        <v>1.10049</v>
      </c>
      <c r="L877">
        <v>367.541</v>
      </c>
      <c r="M877">
        <v>0.99975879999999995</v>
      </c>
      <c r="N877">
        <v>-2.0808670000000001E-2</v>
      </c>
      <c r="O877">
        <v>7.034673E-3</v>
      </c>
      <c r="P877">
        <v>0.97763520000000004</v>
      </c>
      <c r="Q877">
        <v>0.1856853</v>
      </c>
      <c r="R877">
        <v>9.8744490000000004E-2</v>
      </c>
      <c r="S877">
        <v>3.052673</v>
      </c>
      <c r="T877">
        <v>-3.6988260000000001E-3</v>
      </c>
      <c r="U877">
        <v>0.1741943</v>
      </c>
      <c r="V877">
        <v>-9.1855039999999999E-2</v>
      </c>
      <c r="W877">
        <v>0.2060061</v>
      </c>
      <c r="X877">
        <v>0.97423009999999999</v>
      </c>
      <c r="Y877">
        <v>-4.9944700000000002E-2</v>
      </c>
      <c r="Z877">
        <v>6.8812910000000003E-4</v>
      </c>
      <c r="AA877">
        <v>0.99875179999999997</v>
      </c>
      <c r="AB877">
        <v>33</v>
      </c>
      <c r="AC877">
        <v>159.55939999999899</v>
      </c>
      <c r="AD877">
        <v>-0.19234270000000001</v>
      </c>
      <c r="AE877">
        <v>9.1165000000000305</v>
      </c>
      <c r="AF877">
        <v>-7.9935715384198103</v>
      </c>
      <c r="AG877">
        <v>-0.19234270000000001</v>
      </c>
      <c r="AH877">
        <v>159.619364500058</v>
      </c>
      <c r="AI877">
        <v>90.068955458604194</v>
      </c>
      <c r="AJ877">
        <v>92.866917918171893</v>
      </c>
      <c r="AK877">
        <v>159.81950977604799</v>
      </c>
      <c r="AL877">
        <v>78.111599379053601</v>
      </c>
      <c r="AM877">
        <v>95.386195424777497</v>
      </c>
      <c r="AN877">
        <v>1.0000000746783</v>
      </c>
    </row>
    <row r="878" spans="1:40" x14ac:dyDescent="0.25">
      <c r="A878" t="str">
        <f>"20190304155031173"</f>
        <v>20190304155031173</v>
      </c>
      <c r="B878" t="str">
        <f>"1551685831167460"</f>
        <v>1551685831167460</v>
      </c>
      <c r="C878" t="s">
        <v>40</v>
      </c>
      <c r="D878">
        <v>5.1376710000000001</v>
      </c>
      <c r="E878">
        <v>0.51520270000000001</v>
      </c>
      <c r="F878" t="s">
        <v>43</v>
      </c>
      <c r="G878">
        <v>-158.19499999999999</v>
      </c>
      <c r="H878">
        <v>0.44445610000000002</v>
      </c>
      <c r="I878">
        <v>376.642</v>
      </c>
      <c r="J878">
        <v>-317.59500000000003</v>
      </c>
      <c r="K878">
        <v>1.0995090000000001</v>
      </c>
      <c r="L878">
        <v>367.5421</v>
      </c>
      <c r="M878">
        <v>0.99974759999999996</v>
      </c>
      <c r="N878">
        <v>-2.1334410000000002E-2</v>
      </c>
      <c r="O878">
        <v>7.0344469999999897E-3</v>
      </c>
      <c r="P878">
        <v>0.97771759999999996</v>
      </c>
      <c r="Q878">
        <v>0.1853284</v>
      </c>
      <c r="R878">
        <v>9.8598389999999994E-2</v>
      </c>
      <c r="S878">
        <v>3.053436</v>
      </c>
      <c r="T878">
        <v>-1.255262E-2</v>
      </c>
      <c r="U878">
        <v>0.17416379999999901</v>
      </c>
      <c r="V878">
        <v>-9.1708860000000003E-2</v>
      </c>
      <c r="W878">
        <v>0.20616290000000001</v>
      </c>
      <c r="X878">
        <v>0.97421060000000004</v>
      </c>
      <c r="Y878">
        <v>-4.9918450000000003E-2</v>
      </c>
      <c r="Z878">
        <v>7.5660949999999995E-4</v>
      </c>
      <c r="AA878">
        <v>0.998753</v>
      </c>
      <c r="AB878">
        <v>33</v>
      </c>
      <c r="AC878">
        <v>159.4</v>
      </c>
      <c r="AD878">
        <v>-0.65505290000000005</v>
      </c>
      <c r="AE878">
        <v>9.0998999999999892</v>
      </c>
      <c r="AF878">
        <v>-7.9779942790223597</v>
      </c>
      <c r="AG878">
        <v>-0.65505290000000005</v>
      </c>
      <c r="AH878">
        <v>159.45739750904801</v>
      </c>
      <c r="AI878">
        <v>90.235076388761996</v>
      </c>
      <c r="AJ878">
        <v>92.864241917578198</v>
      </c>
      <c r="AK878">
        <v>159.65819461391999</v>
      </c>
      <c r="AL878">
        <v>78.102417116444002</v>
      </c>
      <c r="AM878">
        <v>95.377781023936393</v>
      </c>
      <c r="AN878">
        <v>0.99999997474563396</v>
      </c>
    </row>
    <row r="879" spans="1:40" x14ac:dyDescent="0.25">
      <c r="A879" t="str">
        <f>"20190304155031184"</f>
        <v>20190304155031184</v>
      </c>
      <c r="B879" t="str">
        <f>"1551685831177221"</f>
        <v>1551685831177221</v>
      </c>
      <c r="C879" t="s">
        <v>40</v>
      </c>
      <c r="D879">
        <v>5.2536269999999998</v>
      </c>
      <c r="E879">
        <v>0.51528869999999904</v>
      </c>
      <c r="F879" t="s">
        <v>43</v>
      </c>
      <c r="G879">
        <v>-158.19499999999999</v>
      </c>
      <c r="H879">
        <v>0.26269100000000001</v>
      </c>
      <c r="I879">
        <v>376.6841</v>
      </c>
      <c r="J879">
        <v>-317.41899999999998</v>
      </c>
      <c r="K879">
        <v>1.0983780000000001</v>
      </c>
      <c r="L879">
        <v>367.54329999999999</v>
      </c>
      <c r="M879">
        <v>0.99973650000000003</v>
      </c>
      <c r="N879">
        <v>-2.1850000000000001E-2</v>
      </c>
      <c r="O879">
        <v>7.0341900000000001E-3</v>
      </c>
      <c r="P879">
        <v>0.97781169999999995</v>
      </c>
      <c r="Q879">
        <v>0.1849682</v>
      </c>
      <c r="R879">
        <v>9.834184E-2</v>
      </c>
      <c r="S879">
        <v>3.053741</v>
      </c>
      <c r="T879">
        <v>-1.6029829999999998E-2</v>
      </c>
      <c r="U879">
        <v>0.1751404</v>
      </c>
      <c r="V879">
        <v>-9.1451909999999997E-2</v>
      </c>
      <c r="W879">
        <v>0.2063075</v>
      </c>
      <c r="X879">
        <v>0.97420419999999996</v>
      </c>
      <c r="Y879">
        <v>-5.0230280000000002E-2</v>
      </c>
      <c r="Z879">
        <v>7.977374E-4</v>
      </c>
      <c r="AA879">
        <v>0.99873730000000005</v>
      </c>
      <c r="AB879">
        <v>33</v>
      </c>
      <c r="AC879">
        <v>159.22399999999999</v>
      </c>
      <c r="AD879">
        <v>-0.83568699999999996</v>
      </c>
      <c r="AE879">
        <v>9.1408000000000094</v>
      </c>
      <c r="AF879">
        <v>-8.0200742057898005</v>
      </c>
      <c r="AG879">
        <v>-0.83568699999999996</v>
      </c>
      <c r="AH879">
        <v>159.27999912848901</v>
      </c>
      <c r="AI879">
        <v>90.300228015978107</v>
      </c>
      <c r="AJ879">
        <v>92.8825254510528</v>
      </c>
      <c r="AK879">
        <v>159.48397438426201</v>
      </c>
      <c r="AL879">
        <v>78.093950792622906</v>
      </c>
      <c r="AM879">
        <v>95.362836544735202</v>
      </c>
      <c r="AN879">
        <v>1.0000000298482601</v>
      </c>
    </row>
    <row r="880" spans="1:40" x14ac:dyDescent="0.25">
      <c r="A880" t="str">
        <f>"20190304155031196"</f>
        <v>20190304155031196</v>
      </c>
      <c r="B880" t="str">
        <f>"1551685831186981"</f>
        <v>1551685831186981</v>
      </c>
      <c r="C880" t="s">
        <v>40</v>
      </c>
      <c r="D880">
        <v>5.251118</v>
      </c>
      <c r="E880">
        <v>0.51534040000000003</v>
      </c>
      <c r="F880" t="s">
        <v>42</v>
      </c>
      <c r="G880">
        <v>-147.4957</v>
      </c>
      <c r="H880">
        <v>-0.05</v>
      </c>
      <c r="I880">
        <v>377.21</v>
      </c>
      <c r="J880">
        <v>-317.2482</v>
      </c>
      <c r="K880">
        <v>1.0972090000000001</v>
      </c>
      <c r="L880">
        <v>367.54450000000003</v>
      </c>
      <c r="M880">
        <v>0.99972799999999995</v>
      </c>
      <c r="N880">
        <v>-2.2239760000000001E-2</v>
      </c>
      <c r="O880">
        <v>7.0342599999999996E-3</v>
      </c>
      <c r="P880">
        <v>0.97786949999999995</v>
      </c>
      <c r="Q880">
        <v>0.18471589999999999</v>
      </c>
      <c r="R880">
        <v>9.8241389999999998E-2</v>
      </c>
      <c r="S880">
        <v>3.0545040000000001</v>
      </c>
      <c r="T880">
        <v>-2.0643000000000002E-2</v>
      </c>
      <c r="U880">
        <v>0.17376710000000001</v>
      </c>
      <c r="V880">
        <v>-9.1350410000000007E-2</v>
      </c>
      <c r="W880">
        <v>0.2064367</v>
      </c>
      <c r="X880">
        <v>0.97418629999999995</v>
      </c>
      <c r="Y880">
        <v>-4.9766879999999999E-2</v>
      </c>
      <c r="Z880">
        <v>8.3082289999999895E-4</v>
      </c>
      <c r="AA880">
        <v>0.99876050000000005</v>
      </c>
      <c r="AB880">
        <v>33</v>
      </c>
      <c r="AC880">
        <v>169.7525</v>
      </c>
      <c r="AD880">
        <v>-1.1472089999999999</v>
      </c>
      <c r="AE880">
        <v>9.66549999999995</v>
      </c>
      <c r="AF880">
        <v>-8.4704965990657595</v>
      </c>
      <c r="AG880">
        <v>-1.1472089999999999</v>
      </c>
      <c r="AH880">
        <v>169.808574096299</v>
      </c>
      <c r="AI880">
        <v>90.386597748773099</v>
      </c>
      <c r="AJ880">
        <v>92.855696588092101</v>
      </c>
      <c r="AK880">
        <v>170.023578475877</v>
      </c>
      <c r="AL880">
        <v>78.086384691598795</v>
      </c>
      <c r="AM880">
        <v>95.357016979689803</v>
      </c>
      <c r="AN880">
        <v>0.99999997781087402</v>
      </c>
    </row>
    <row r="881" spans="1:40" x14ac:dyDescent="0.25">
      <c r="A881" t="str">
        <f>"20190304155031206"</f>
        <v>20190304155031206</v>
      </c>
      <c r="B881" t="str">
        <f>"1551685831197717"</f>
        <v>1551685831197717</v>
      </c>
      <c r="C881" t="s">
        <v>40</v>
      </c>
      <c r="D881">
        <v>5.2790269999999904</v>
      </c>
      <c r="E881">
        <v>0.51517590000000002</v>
      </c>
      <c r="F881" t="s">
        <v>50</v>
      </c>
      <c r="G881">
        <v>-180</v>
      </c>
      <c r="H881">
        <v>1.5381260000000001E-2</v>
      </c>
      <c r="I881">
        <v>375.32080000000002</v>
      </c>
      <c r="J881">
        <v>-317.09179999999998</v>
      </c>
      <c r="K881">
        <v>1.096117</v>
      </c>
      <c r="L881">
        <v>367.54559999999998</v>
      </c>
      <c r="M881">
        <v>0.99972070000000002</v>
      </c>
      <c r="N881">
        <v>-2.256389E-2</v>
      </c>
      <c r="O881">
        <v>7.0344650000000002E-3</v>
      </c>
      <c r="P881">
        <v>0.97789820000000005</v>
      </c>
      <c r="Q881">
        <v>0.18469099999999999</v>
      </c>
      <c r="R881">
        <v>9.8003320000000005E-2</v>
      </c>
      <c r="S881">
        <v>3.0550540000000002</v>
      </c>
      <c r="T881">
        <v>-2.4080750000000001E-2</v>
      </c>
      <c r="U881">
        <v>0.17309569999999999</v>
      </c>
      <c r="V881">
        <v>-9.111197E-2</v>
      </c>
      <c r="W881">
        <v>0.20672789999999999</v>
      </c>
      <c r="X881">
        <v>0.97414690000000004</v>
      </c>
      <c r="Y881">
        <v>-4.9536499999999997E-2</v>
      </c>
      <c r="Z881">
        <v>8.577236E-4</v>
      </c>
      <c r="AA881">
        <v>0.99877199999999999</v>
      </c>
      <c r="AB881">
        <v>33</v>
      </c>
      <c r="AC881">
        <v>137.09179999999901</v>
      </c>
      <c r="AD881">
        <v>-1.0807357399999999</v>
      </c>
      <c r="AE881">
        <v>7.7752000000000399</v>
      </c>
      <c r="AF881">
        <v>-6.80997265578225</v>
      </c>
      <c r="AG881">
        <v>-1.0807357399999999</v>
      </c>
      <c r="AH881">
        <v>137.13461952501601</v>
      </c>
      <c r="AI881">
        <v>90.450973727210794</v>
      </c>
      <c r="AJ881">
        <v>92.842917668271696</v>
      </c>
      <c r="AK881">
        <v>137.30785698416199</v>
      </c>
      <c r="AL881">
        <v>78.069332586998797</v>
      </c>
      <c r="AM881">
        <v>95.343330146511605</v>
      </c>
      <c r="AN881">
        <v>0.99999999924765004</v>
      </c>
    </row>
    <row r="882" spans="1:40" x14ac:dyDescent="0.25">
      <c r="A882" t="str">
        <f>"20190304155031218"</f>
        <v>20190304155031218</v>
      </c>
      <c r="B882" t="str">
        <f>"1551685831207477"</f>
        <v>1551685831207477</v>
      </c>
      <c r="C882" t="s">
        <v>40</v>
      </c>
      <c r="D882">
        <v>5.2788380000000004</v>
      </c>
      <c r="E882">
        <v>0.51508989999999999</v>
      </c>
      <c r="F882" t="s">
        <v>50</v>
      </c>
      <c r="G882">
        <v>-191.00710000000001</v>
      </c>
      <c r="H882" s="1">
        <v>-1.25985E-5</v>
      </c>
      <c r="I882">
        <v>374.72129999999999</v>
      </c>
      <c r="J882">
        <v>-316.94080000000002</v>
      </c>
      <c r="K882">
        <v>1.0949880000000001</v>
      </c>
      <c r="L882">
        <v>367.54660000000001</v>
      </c>
      <c r="M882">
        <v>0.99971710000000003</v>
      </c>
      <c r="N882">
        <v>-2.2731069999999999E-2</v>
      </c>
      <c r="O882">
        <v>7.0343970000000004E-3</v>
      </c>
      <c r="P882">
        <v>0.977993</v>
      </c>
      <c r="Q882">
        <v>0.18430289999999999</v>
      </c>
      <c r="R882">
        <v>9.7787830000000006E-2</v>
      </c>
      <c r="S882">
        <v>3.0553889999999999</v>
      </c>
      <c r="T882">
        <v>-2.6562329999999999E-2</v>
      </c>
      <c r="U882">
        <v>0.17388919999999999</v>
      </c>
      <c r="V882">
        <v>-9.0895680000000006E-2</v>
      </c>
      <c r="W882">
        <v>0.20650479999999999</v>
      </c>
      <c r="X882">
        <v>0.97421440000000004</v>
      </c>
      <c r="Y882">
        <v>-4.9787970000000001E-2</v>
      </c>
      <c r="Z882">
        <v>8.8137980000000001E-4</v>
      </c>
      <c r="AA882">
        <v>0.99875939999999996</v>
      </c>
      <c r="AB882">
        <v>33</v>
      </c>
      <c r="AC882">
        <v>125.9337</v>
      </c>
      <c r="AD882">
        <v>-1.09500059849999</v>
      </c>
      <c r="AE882">
        <v>7.1746999999999703</v>
      </c>
      <c r="AF882">
        <v>-6.2879521489295698</v>
      </c>
      <c r="AG882">
        <v>-1.09500059849999</v>
      </c>
      <c r="AH882">
        <v>125.971572158077</v>
      </c>
      <c r="AI882">
        <v>90.497408455712801</v>
      </c>
      <c r="AJ882">
        <v>92.857584015567994</v>
      </c>
      <c r="AK882">
        <v>126.133161224619</v>
      </c>
      <c r="AL882">
        <v>78.082396915184404</v>
      </c>
      <c r="AM882">
        <v>95.330351595614999</v>
      </c>
      <c r="AN882">
        <v>0.99999997711653099</v>
      </c>
    </row>
    <row r="883" spans="1:40" x14ac:dyDescent="0.25">
      <c r="A883" t="str">
        <f>"20190304155031229"</f>
        <v>20190304155031229</v>
      </c>
      <c r="B883" t="str">
        <f>"1551685831217238"</f>
        <v>1551685831217238</v>
      </c>
      <c r="C883" t="s">
        <v>40</v>
      </c>
      <c r="D883">
        <v>5.1897349999999998</v>
      </c>
      <c r="E883">
        <v>0.51505540000000005</v>
      </c>
      <c r="F883" t="s">
        <v>50</v>
      </c>
      <c r="G883">
        <v>-199.06700000000001</v>
      </c>
      <c r="H883" s="1">
        <v>-9.9117280000000003E-6</v>
      </c>
      <c r="I883">
        <v>374.25139999999999</v>
      </c>
      <c r="J883">
        <v>-316.76960000000003</v>
      </c>
      <c r="K883">
        <v>1.093699</v>
      </c>
      <c r="L883">
        <v>367.54790000000003</v>
      </c>
      <c r="M883">
        <v>0.99971339999999997</v>
      </c>
      <c r="N883">
        <v>-2.2888249999999999E-2</v>
      </c>
      <c r="O883">
        <v>7.0345499999999997E-3</v>
      </c>
      <c r="P883">
        <v>0.97807370000000005</v>
      </c>
      <c r="Q883">
        <v>0.1840058</v>
      </c>
      <c r="R883">
        <v>9.7540779999999994E-2</v>
      </c>
      <c r="S883">
        <v>3.05545</v>
      </c>
      <c r="T883">
        <v>-2.8383849999999999E-2</v>
      </c>
      <c r="U883">
        <v>0.1737976</v>
      </c>
      <c r="V883">
        <v>-9.0648060000000003E-2</v>
      </c>
      <c r="W883">
        <v>0.20636299999999999</v>
      </c>
      <c r="X883">
        <v>0.97426749999999995</v>
      </c>
      <c r="Y883">
        <v>-4.9756149999999999E-2</v>
      </c>
      <c r="Z883">
        <v>8.9653149999999995E-4</v>
      </c>
      <c r="AA883">
        <v>0.99876100000000001</v>
      </c>
      <c r="AB883">
        <v>33</v>
      </c>
      <c r="AC883">
        <v>117.7026</v>
      </c>
      <c r="AD883">
        <v>-1.0937089117280001</v>
      </c>
      <c r="AE883">
        <v>6.70349999999996</v>
      </c>
      <c r="AF883">
        <v>-5.8746267620842598</v>
      </c>
      <c r="AG883">
        <v>-1.0937089117280001</v>
      </c>
      <c r="AH883">
        <v>117.736721671129</v>
      </c>
      <c r="AI883">
        <v>90.531569478467702</v>
      </c>
      <c r="AJ883">
        <v>92.856478428656104</v>
      </c>
      <c r="AK883">
        <v>117.88826518633</v>
      </c>
      <c r="AL883">
        <v>78.090700101249894</v>
      </c>
      <c r="AM883">
        <v>95.3156257667289</v>
      </c>
      <c r="AN883">
        <v>0.999999960053505</v>
      </c>
    </row>
    <row r="884" spans="1:40" x14ac:dyDescent="0.25">
      <c r="A884" t="str">
        <f>"20190304155031240"</f>
        <v>20190304155031240</v>
      </c>
      <c r="B884" t="str">
        <f>"1551685831237732"</f>
        <v>1551685831237732</v>
      </c>
      <c r="C884" t="s">
        <v>40</v>
      </c>
      <c r="D884">
        <v>5.1910629999999998</v>
      </c>
      <c r="E884">
        <v>0.51497389999999998</v>
      </c>
      <c r="F884" t="s">
        <v>50</v>
      </c>
      <c r="G884">
        <v>-209.86089999999999</v>
      </c>
      <c r="H884" s="1">
        <v>-6.1746579999999996E-6</v>
      </c>
      <c r="I884">
        <v>373.62279999999998</v>
      </c>
      <c r="J884">
        <v>-316.60169999999999</v>
      </c>
      <c r="K884">
        <v>1.0923609999999999</v>
      </c>
      <c r="L884">
        <v>367.54899999999998</v>
      </c>
      <c r="M884">
        <v>0.99971319999999997</v>
      </c>
      <c r="N884">
        <v>-2.289834E-2</v>
      </c>
      <c r="O884">
        <v>7.0346069999999896E-3</v>
      </c>
      <c r="P884">
        <v>0.97808430000000002</v>
      </c>
      <c r="Q884">
        <v>0.18408240000000001</v>
      </c>
      <c r="R884">
        <v>9.7290070000000006E-2</v>
      </c>
      <c r="S884">
        <v>3.055847</v>
      </c>
      <c r="T884">
        <v>-3.1262159999999997E-2</v>
      </c>
      <c r="U884">
        <v>0.17364499999999999</v>
      </c>
      <c r="V884">
        <v>-9.0396900000000002E-2</v>
      </c>
      <c r="W884">
        <v>0.20644979999999999</v>
      </c>
      <c r="X884">
        <v>0.97427249999999999</v>
      </c>
      <c r="Y884">
        <v>-4.9697949999999998E-2</v>
      </c>
      <c r="Z884">
        <v>9.1266640000000005E-4</v>
      </c>
      <c r="AA884">
        <v>0.99876390000000004</v>
      </c>
      <c r="AB884">
        <v>33</v>
      </c>
      <c r="AC884">
        <v>106.74079999999999</v>
      </c>
      <c r="AD884">
        <v>-1.0923671746579999</v>
      </c>
      <c r="AE884">
        <v>6.0737999999999399</v>
      </c>
      <c r="AF884">
        <v>-5.3220176547609999</v>
      </c>
      <c r="AG884">
        <v>-1.0923671746579999</v>
      </c>
      <c r="AH884">
        <v>106.769749464577</v>
      </c>
      <c r="AI884">
        <v>90.585449016187695</v>
      </c>
      <c r="AJ884">
        <v>92.853589011011394</v>
      </c>
      <c r="AK884">
        <v>106.90788810321899</v>
      </c>
      <c r="AL884">
        <v>78.085618004001205</v>
      </c>
      <c r="AM884">
        <v>95.300954648068</v>
      </c>
      <c r="AN884">
        <v>1.00000001185295</v>
      </c>
    </row>
    <row r="885" spans="1:40" x14ac:dyDescent="0.25">
      <c r="A885" t="str">
        <f>"20190304155031252"</f>
        <v>20190304155031252</v>
      </c>
      <c r="B885" t="str">
        <f>"1551685831247493"</f>
        <v>1551685831247493</v>
      </c>
      <c r="C885" t="s">
        <v>40</v>
      </c>
      <c r="D885">
        <v>5.2019279999999997</v>
      </c>
      <c r="E885">
        <v>0.51473009999999997</v>
      </c>
      <c r="F885" t="s">
        <v>41</v>
      </c>
      <c r="G885">
        <v>-217.99250000000001</v>
      </c>
      <c r="H885" s="1">
        <v>-1.7833379999999999E-6</v>
      </c>
      <c r="I885">
        <v>373.14850000000001</v>
      </c>
      <c r="J885">
        <v>-316.44040000000001</v>
      </c>
      <c r="K885">
        <v>1.091056</v>
      </c>
      <c r="L885">
        <v>367.55020000000002</v>
      </c>
      <c r="M885">
        <v>0.99971339999999997</v>
      </c>
      <c r="N885">
        <v>-2.288515E-2</v>
      </c>
      <c r="O885">
        <v>7.0352879999999998E-3</v>
      </c>
      <c r="P885">
        <v>0.97809579999999996</v>
      </c>
      <c r="Q885">
        <v>0.18426149999999999</v>
      </c>
      <c r="R885">
        <v>9.6832689999999999E-2</v>
      </c>
      <c r="S885">
        <v>3.0563349999999998</v>
      </c>
      <c r="T885">
        <v>-3.3857110000000003E-2</v>
      </c>
      <c r="U885">
        <v>0.1735535</v>
      </c>
      <c r="V885">
        <v>-8.9938859999999995E-2</v>
      </c>
      <c r="W885">
        <v>0.20661589999999999</v>
      </c>
      <c r="X885">
        <v>0.97427969999999997</v>
      </c>
      <c r="Y885">
        <v>-4.9657420000000001E-2</v>
      </c>
      <c r="Z885">
        <v>9.2665290000000001E-4</v>
      </c>
      <c r="AA885">
        <v>0.99876589999999998</v>
      </c>
      <c r="AB885">
        <v>33</v>
      </c>
      <c r="AC885">
        <v>98.447900000000004</v>
      </c>
      <c r="AD885">
        <v>-1.091057783338</v>
      </c>
      <c r="AE885">
        <v>5.5982999999999903</v>
      </c>
      <c r="AF885">
        <v>-4.9047701664928001</v>
      </c>
      <c r="AG885">
        <v>-1.091057783338</v>
      </c>
      <c r="AH885">
        <v>98.472802488233</v>
      </c>
      <c r="AI885">
        <v>90.634013217423501</v>
      </c>
      <c r="AJ885">
        <v>92.851453135447699</v>
      </c>
      <c r="AK885">
        <v>98.6009128119981</v>
      </c>
      <c r="AL885">
        <v>78.075891702477193</v>
      </c>
      <c r="AM885">
        <v>95.274207878825095</v>
      </c>
      <c r="AN885">
        <v>1.0000000312514901</v>
      </c>
    </row>
    <row r="886" spans="1:40" x14ac:dyDescent="0.25">
      <c r="A886" t="str">
        <f>"20190304155031264"</f>
        <v>20190304155031264</v>
      </c>
      <c r="B886" t="str">
        <f>"1551685831257253"</f>
        <v>1551685831257253</v>
      </c>
      <c r="C886" t="s">
        <v>40</v>
      </c>
      <c r="D886">
        <v>5.1932530000000003</v>
      </c>
      <c r="E886">
        <v>0.51473340000000001</v>
      </c>
      <c r="F886" t="s">
        <v>41</v>
      </c>
      <c r="G886">
        <v>-214.97909999999999</v>
      </c>
      <c r="H886" s="1">
        <v>-3.126882E-6</v>
      </c>
      <c r="I886">
        <v>373.33940000000001</v>
      </c>
      <c r="J886">
        <v>-316.26069999999999</v>
      </c>
      <c r="K886">
        <v>1.0895779999999999</v>
      </c>
      <c r="L886">
        <v>367.5514</v>
      </c>
      <c r="M886">
        <v>0.99971469999999996</v>
      </c>
      <c r="N886">
        <v>-2.2831690000000002E-2</v>
      </c>
      <c r="O886">
        <v>7.0363669999999904E-3</v>
      </c>
      <c r="P886">
        <v>0.97809259999999998</v>
      </c>
      <c r="Q886">
        <v>0.1842316</v>
      </c>
      <c r="R886">
        <v>9.6922270000000005E-2</v>
      </c>
      <c r="S886">
        <v>3.0560909999999999</v>
      </c>
      <c r="T886">
        <v>-3.2863499999999997E-2</v>
      </c>
      <c r="U886">
        <v>0.17437739999999999</v>
      </c>
      <c r="V886">
        <v>-9.002686E-2</v>
      </c>
      <c r="W886">
        <v>0.2065342</v>
      </c>
      <c r="X886">
        <v>0.97428890000000001</v>
      </c>
      <c r="Y886">
        <v>-4.9929630000000003E-2</v>
      </c>
      <c r="Z886">
        <v>9.2376929999999995E-4</v>
      </c>
      <c r="AA886">
        <v>0.99875230000000004</v>
      </c>
      <c r="AB886">
        <v>33</v>
      </c>
      <c r="AC886">
        <v>101.2816</v>
      </c>
      <c r="AD886">
        <v>-1.0895811268819999</v>
      </c>
      <c r="AE886">
        <v>5.78800000000001</v>
      </c>
      <c r="AF886">
        <v>-5.0744310418173404</v>
      </c>
      <c r="AG886">
        <v>-1.0895811268819999</v>
      </c>
      <c r="AH886">
        <v>101.308141967384</v>
      </c>
      <c r="AI886">
        <v>90.615427686039197</v>
      </c>
      <c r="AJ886">
        <v>92.867496053070397</v>
      </c>
      <c r="AK886">
        <v>101.441000913407</v>
      </c>
      <c r="AL886">
        <v>78.080676017479604</v>
      </c>
      <c r="AM886">
        <v>95.279289672593293</v>
      </c>
      <c r="AN886">
        <v>1.0000000359771499</v>
      </c>
    </row>
    <row r="887" spans="1:40" x14ac:dyDescent="0.25">
      <c r="A887" t="str">
        <f>"20190304155031275"</f>
        <v>20190304155031275</v>
      </c>
      <c r="B887" t="str">
        <f>"1551685831267013"</f>
        <v>1551685831267013</v>
      </c>
      <c r="C887" t="s">
        <v>40</v>
      </c>
      <c r="D887">
        <v>5.2608879999999996</v>
      </c>
      <c r="E887">
        <v>0.51479079999999999</v>
      </c>
      <c r="F887" t="s">
        <v>41</v>
      </c>
      <c r="G887">
        <v>-220.52889999999999</v>
      </c>
      <c r="H887" s="1">
        <v>-4.6988980000000004E-6</v>
      </c>
      <c r="I887">
        <v>373.01499999999999</v>
      </c>
      <c r="J887">
        <v>-316.09780000000001</v>
      </c>
      <c r="K887">
        <v>1.0881940000000001</v>
      </c>
      <c r="L887">
        <v>367.55259999999998</v>
      </c>
      <c r="M887">
        <v>0.99971869999999996</v>
      </c>
      <c r="N887">
        <v>-2.2652760000000001E-2</v>
      </c>
      <c r="O887">
        <v>7.0377549999999997E-3</v>
      </c>
      <c r="P887">
        <v>0.97807379999999999</v>
      </c>
      <c r="Q887">
        <v>0.18450269999999999</v>
      </c>
      <c r="R887">
        <v>9.6595210000000001E-2</v>
      </c>
      <c r="S887">
        <v>3.0564269999999998</v>
      </c>
      <c r="T887">
        <v>-3.4787060000000002E-2</v>
      </c>
      <c r="U887">
        <v>0.1744385</v>
      </c>
      <c r="V887">
        <v>-8.9698860000000005E-2</v>
      </c>
      <c r="W887">
        <v>0.20663029999999999</v>
      </c>
      <c r="X887">
        <v>0.97429869999999996</v>
      </c>
      <c r="Y887">
        <v>-4.9941199999999998E-2</v>
      </c>
      <c r="Z887">
        <v>9.2950650000000004E-4</v>
      </c>
      <c r="AA887">
        <v>0.99875170000000002</v>
      </c>
      <c r="AB887">
        <v>33</v>
      </c>
      <c r="AC887">
        <v>95.568899999999999</v>
      </c>
      <c r="AD887">
        <v>-1.0881986988979999</v>
      </c>
      <c r="AE887">
        <v>5.4623999999999997</v>
      </c>
      <c r="AF887">
        <v>-4.7888826937835303</v>
      </c>
      <c r="AG887">
        <v>-1.0881986988979999</v>
      </c>
      <c r="AH887">
        <v>95.5926313567969</v>
      </c>
      <c r="AI887">
        <v>90.651393495243795</v>
      </c>
      <c r="AJ887">
        <v>92.867936260141306</v>
      </c>
      <c r="AK887">
        <v>95.718695893642206</v>
      </c>
      <c r="AL887">
        <v>78.075047603441902</v>
      </c>
      <c r="AM887">
        <v>95.260110814331398</v>
      </c>
      <c r="AN887">
        <v>0.99999996159253901</v>
      </c>
    </row>
    <row r="888" spans="1:40" x14ac:dyDescent="0.25">
      <c r="A888" t="str">
        <f>"20190304155031289"</f>
        <v>20190304155031289</v>
      </c>
      <c r="B888" t="str">
        <f>"1551685831287509"</f>
        <v>1551685831287509</v>
      </c>
      <c r="C888" t="s">
        <v>40</v>
      </c>
      <c r="D888">
        <v>5.4346430000000003</v>
      </c>
      <c r="E888">
        <v>0.51504629999999996</v>
      </c>
      <c r="F888" t="s">
        <v>41</v>
      </c>
      <c r="G888">
        <v>-221.6182</v>
      </c>
      <c r="H888" s="1">
        <v>-4.3081000000000003E-6</v>
      </c>
      <c r="I888">
        <v>372.90170000000001</v>
      </c>
      <c r="J888">
        <v>-315.89530000000002</v>
      </c>
      <c r="K888">
        <v>1.086452</v>
      </c>
      <c r="L888">
        <v>367.55399999999997</v>
      </c>
      <c r="M888">
        <v>0.99972530000000004</v>
      </c>
      <c r="N888">
        <v>-2.235844E-2</v>
      </c>
      <c r="O888">
        <v>7.0390619999999996E-3</v>
      </c>
      <c r="P888">
        <v>0.97797540000000005</v>
      </c>
      <c r="Q888">
        <v>0.18502150000000001</v>
      </c>
      <c r="R888">
        <v>9.6599400000000002E-2</v>
      </c>
      <c r="S888">
        <v>3.0567929999999999</v>
      </c>
      <c r="T888">
        <v>-3.5207509999999997E-2</v>
      </c>
      <c r="U888">
        <v>0.1730652</v>
      </c>
      <c r="V888">
        <v>-8.9702299999999999E-2</v>
      </c>
      <c r="W888">
        <v>0.2068603</v>
      </c>
      <c r="X888">
        <v>0.97424960000000005</v>
      </c>
      <c r="Y888">
        <v>-4.948586E-2</v>
      </c>
      <c r="Z888">
        <v>9.1481310000000003E-4</v>
      </c>
      <c r="AA888">
        <v>0.99877439999999995</v>
      </c>
      <c r="AB888">
        <v>32</v>
      </c>
      <c r="AC888">
        <v>94.277100000000004</v>
      </c>
      <c r="AD888">
        <v>-1.0864563081</v>
      </c>
      <c r="AE888">
        <v>5.3476999999999704</v>
      </c>
      <c r="AF888">
        <v>-4.6831592526267896</v>
      </c>
      <c r="AG888">
        <v>-1.0864563081</v>
      </c>
      <c r="AH888">
        <v>94.299932095342399</v>
      </c>
      <c r="AI888">
        <v>90.659279312602806</v>
      </c>
      <c r="AJ888">
        <v>92.843109056460904</v>
      </c>
      <c r="AK888">
        <v>94.422399678683604</v>
      </c>
      <c r="AL888">
        <v>78.061578852637993</v>
      </c>
      <c r="AM888">
        <v>95.260575031375296</v>
      </c>
      <c r="AN888">
        <v>0.99999998472076901</v>
      </c>
    </row>
    <row r="889" spans="1:40" x14ac:dyDescent="0.25">
      <c r="A889" t="str">
        <f>"20190304155031302"</f>
        <v>20190304155031302</v>
      </c>
      <c r="B889" t="str">
        <f>"1551685831297270"</f>
        <v>1551685831297270</v>
      </c>
      <c r="C889" t="s">
        <v>40</v>
      </c>
      <c r="D889">
        <v>5.2639990000000001</v>
      </c>
      <c r="E889">
        <v>0.5150979</v>
      </c>
      <c r="F889" t="s">
        <v>41</v>
      </c>
      <c r="G889">
        <v>-220.65129999999999</v>
      </c>
      <c r="H889" s="1">
        <v>-4.6346459999999996E-6</v>
      </c>
      <c r="I889">
        <v>372.88760000000002</v>
      </c>
      <c r="J889">
        <v>-315.71769999999998</v>
      </c>
      <c r="K889">
        <v>1.0849359999999999</v>
      </c>
      <c r="L889">
        <v>367.55520000000001</v>
      </c>
      <c r="M889">
        <v>0.99973190000000001</v>
      </c>
      <c r="N889">
        <v>-2.2062169999999999E-2</v>
      </c>
      <c r="O889">
        <v>7.039699E-3</v>
      </c>
      <c r="P889">
        <v>0.97788759999999997</v>
      </c>
      <c r="Q889">
        <v>0.18560090000000001</v>
      </c>
      <c r="R889">
        <v>9.6377359999999995E-2</v>
      </c>
      <c r="S889">
        <v>3.0572509999999999</v>
      </c>
      <c r="T889">
        <v>-3.487432E-2</v>
      </c>
      <c r="U889">
        <v>0.17120360000000001</v>
      </c>
      <c r="V889">
        <v>-8.9480240000000003E-2</v>
      </c>
      <c r="W889">
        <v>0.20714859999999999</v>
      </c>
      <c r="X889">
        <v>0.97420879999999999</v>
      </c>
      <c r="Y889">
        <v>-4.8870900000000002E-2</v>
      </c>
      <c r="Z889">
        <v>8.9313719999999997E-4</v>
      </c>
      <c r="AA889">
        <v>0.99880469999999999</v>
      </c>
      <c r="AB889">
        <v>32</v>
      </c>
      <c r="AC889">
        <v>95.066400000000002</v>
      </c>
      <c r="AD889">
        <v>-1.084940634646</v>
      </c>
      <c r="AE889">
        <v>5.3323999999999998</v>
      </c>
      <c r="AF889">
        <v>-4.6622607605534698</v>
      </c>
      <c r="AG889">
        <v>-1.084940634646</v>
      </c>
      <c r="AH889">
        <v>95.089244866949002</v>
      </c>
      <c r="AI889">
        <v>90.652915560781395</v>
      </c>
      <c r="AJ889">
        <v>92.806985340393894</v>
      </c>
      <c r="AK889">
        <v>95.209654242344001</v>
      </c>
      <c r="AL889">
        <v>78.044695208961201</v>
      </c>
      <c r="AM889">
        <v>95.247843701149307</v>
      </c>
      <c r="AN889">
        <v>1.00000002091492</v>
      </c>
    </row>
    <row r="890" spans="1:40" x14ac:dyDescent="0.25">
      <c r="A890" t="str">
        <f>"20190304155031319"</f>
        <v>20190304155031319</v>
      </c>
      <c r="B890" t="str">
        <f>"1551685831307029"</f>
        <v>1551685831307029</v>
      </c>
      <c r="C890" t="s">
        <v>40</v>
      </c>
      <c r="D890">
        <v>5.1850449999999997</v>
      </c>
      <c r="E890">
        <v>0.51499079999999997</v>
      </c>
      <c r="F890" t="s">
        <v>41</v>
      </c>
      <c r="G890">
        <v>-219.56819999999999</v>
      </c>
      <c r="H890" s="1">
        <v>-1.0429129999999999E-6</v>
      </c>
      <c r="I890">
        <v>372.90629999999999</v>
      </c>
      <c r="J890">
        <v>-315.47000000000003</v>
      </c>
      <c r="K890">
        <v>1.082859</v>
      </c>
      <c r="L890">
        <v>367.55700000000002</v>
      </c>
      <c r="M890">
        <v>0.99974090000000004</v>
      </c>
      <c r="N890">
        <v>-2.16499E-2</v>
      </c>
      <c r="O890">
        <v>7.0401969999999998E-3</v>
      </c>
      <c r="P890">
        <v>0.9777536</v>
      </c>
      <c r="Q890">
        <v>0.1863998</v>
      </c>
      <c r="R890">
        <v>9.619337E-2</v>
      </c>
      <c r="S890">
        <v>3.057617</v>
      </c>
      <c r="T890">
        <v>-3.4501669999999998E-2</v>
      </c>
      <c r="U890">
        <v>0.17016600000000001</v>
      </c>
      <c r="V890">
        <v>-8.9296539999999994E-2</v>
      </c>
      <c r="W890">
        <v>0.20754230000000001</v>
      </c>
      <c r="X890">
        <v>0.97414179999999995</v>
      </c>
      <c r="Y890">
        <v>-4.8526189999999997E-2</v>
      </c>
      <c r="Z890">
        <v>8.7233089999999905E-4</v>
      </c>
      <c r="AA890">
        <v>0.99882159999999998</v>
      </c>
      <c r="AB890">
        <v>32</v>
      </c>
      <c r="AC890">
        <v>95.901799999999994</v>
      </c>
      <c r="AD890">
        <v>-1.082860042913</v>
      </c>
      <c r="AE890">
        <v>5.3493000000000199</v>
      </c>
      <c r="AF890">
        <v>-4.6732476025232002</v>
      </c>
      <c r="AG890">
        <v>-1.082860042913</v>
      </c>
      <c r="AH890">
        <v>95.924899196496597</v>
      </c>
      <c r="AI890">
        <v>90.645996901945907</v>
      </c>
      <c r="AJ890">
        <v>92.789117673701099</v>
      </c>
      <c r="AK890">
        <v>96.044771408364895</v>
      </c>
      <c r="AL890">
        <v>78.021636038563599</v>
      </c>
      <c r="AM890">
        <v>95.237488218180502</v>
      </c>
      <c r="AN890">
        <v>0.99999996242625</v>
      </c>
    </row>
    <row r="891" spans="1:40" x14ac:dyDescent="0.25">
      <c r="A891" t="str">
        <f>"20190304155031342"</f>
        <v>20190304155031342</v>
      </c>
      <c r="B891" t="str">
        <f>"1551685831337284"</f>
        <v>1551685831337284</v>
      </c>
      <c r="C891" t="s">
        <v>40</v>
      </c>
      <c r="D891">
        <v>5.3044529999999996</v>
      </c>
      <c r="E891">
        <v>0.51499609999999996</v>
      </c>
      <c r="F891" t="s">
        <v>41</v>
      </c>
      <c r="G891">
        <v>-212.81440000000001</v>
      </c>
      <c r="H891" s="1">
        <v>-3.9670859999999997E-6</v>
      </c>
      <c r="I891">
        <v>373.27420000000001</v>
      </c>
      <c r="J891">
        <v>-315.14670000000001</v>
      </c>
      <c r="K891">
        <v>1.0802449999999999</v>
      </c>
      <c r="L891">
        <v>367.55930000000001</v>
      </c>
      <c r="M891">
        <v>0.99975309999999995</v>
      </c>
      <c r="N891">
        <v>-2.1078019999999999E-2</v>
      </c>
      <c r="O891">
        <v>7.0398120000000003E-3</v>
      </c>
      <c r="P891">
        <v>0.97756929999999997</v>
      </c>
      <c r="Q891">
        <v>0.1873485</v>
      </c>
      <c r="R891">
        <v>9.6222450000000001E-2</v>
      </c>
      <c r="S891">
        <v>3.057617</v>
      </c>
      <c r="T891">
        <v>-3.2253270000000001E-2</v>
      </c>
      <c r="U891">
        <v>0.1702881</v>
      </c>
      <c r="V891">
        <v>-8.9327569999999995E-2</v>
      </c>
      <c r="W891">
        <v>0.20793</v>
      </c>
      <c r="X891">
        <v>0.97405629999999999</v>
      </c>
      <c r="Y891">
        <v>-4.8567319999999997E-2</v>
      </c>
      <c r="Z891">
        <v>8.4240159999999999E-4</v>
      </c>
      <c r="AA891">
        <v>0.99881949999999997</v>
      </c>
      <c r="AB891">
        <v>32</v>
      </c>
      <c r="AC891">
        <v>102.3323</v>
      </c>
      <c r="AD891">
        <v>-1.080248967086</v>
      </c>
      <c r="AE891">
        <v>5.7149000000000001</v>
      </c>
      <c r="AF891">
        <v>-4.9936433852081503</v>
      </c>
      <c r="AG891">
        <v>-1.080248967086</v>
      </c>
      <c r="AH891">
        <v>102.358632973593</v>
      </c>
      <c r="AI891">
        <v>90.603934338191806</v>
      </c>
      <c r="AJ891">
        <v>92.793003546070196</v>
      </c>
      <c r="AK891">
        <v>102.486063229652</v>
      </c>
      <c r="AL891">
        <v>77.998927372010399</v>
      </c>
      <c r="AM891">
        <v>95.239755417792594</v>
      </c>
      <c r="AN891">
        <v>0.99999998761589703</v>
      </c>
    </row>
    <row r="892" spans="1:40" x14ac:dyDescent="0.25">
      <c r="A892" t="str">
        <f>"20190304155031363"</f>
        <v>20190304155031363</v>
      </c>
      <c r="B892" t="str">
        <f>"1551685831357782"</f>
        <v>1551685831357782</v>
      </c>
      <c r="C892" t="s">
        <v>40</v>
      </c>
      <c r="D892">
        <v>5.1903389999999998</v>
      </c>
      <c r="E892">
        <v>0.51490769999999997</v>
      </c>
      <c r="F892" t="s">
        <v>50</v>
      </c>
      <c r="G892">
        <v>-201.6454</v>
      </c>
      <c r="H892" s="1">
        <v>-2.4898490000000002E-6</v>
      </c>
      <c r="I892">
        <v>373.89870000000002</v>
      </c>
      <c r="J892">
        <v>-314.84230000000002</v>
      </c>
      <c r="K892">
        <v>1.077909</v>
      </c>
      <c r="L892">
        <v>367.56139999999999</v>
      </c>
      <c r="M892">
        <v>0.99976580000000004</v>
      </c>
      <c r="N892">
        <v>-2.0468759999999999E-2</v>
      </c>
      <c r="O892">
        <v>7.0391680000000002E-3</v>
      </c>
      <c r="P892">
        <v>0.97740139999999998</v>
      </c>
      <c r="Q892">
        <v>0.18805369999999999</v>
      </c>
      <c r="R892">
        <v>9.655292E-2</v>
      </c>
      <c r="S892">
        <v>3.0575869999999998</v>
      </c>
      <c r="T892">
        <v>-2.9100540000000001E-2</v>
      </c>
      <c r="U892">
        <v>0.17077639999999999</v>
      </c>
      <c r="V892">
        <v>-8.9659879999999997E-2</v>
      </c>
      <c r="W892">
        <v>0.20803769999999999</v>
      </c>
      <c r="X892">
        <v>0.97400279999999995</v>
      </c>
      <c r="Y892">
        <v>-4.8728809999999997E-2</v>
      </c>
      <c r="Z892">
        <v>8.0794709999999997E-4</v>
      </c>
      <c r="AA892">
        <v>0.99881169999999997</v>
      </c>
      <c r="AB892">
        <v>32</v>
      </c>
      <c r="AC892">
        <v>113.1969</v>
      </c>
      <c r="AD892">
        <v>-1.0779114898489901</v>
      </c>
      <c r="AE892">
        <v>6.3373000000000204</v>
      </c>
      <c r="AF892">
        <v>-5.5396632763362996</v>
      </c>
      <c r="AG892">
        <v>-1.0779114898489901</v>
      </c>
      <c r="AH892">
        <v>113.228477868292</v>
      </c>
      <c r="AI892">
        <v>90.544775828337904</v>
      </c>
      <c r="AJ892">
        <v>92.800942396658002</v>
      </c>
      <c r="AK892">
        <v>113.369034408719</v>
      </c>
      <c r="AL892">
        <v>77.992619011847296</v>
      </c>
      <c r="AM892">
        <v>95.259426131164503</v>
      </c>
      <c r="AN892">
        <v>1.00000001655537</v>
      </c>
    </row>
    <row r="893" spans="1:40" x14ac:dyDescent="0.25">
      <c r="A893" t="str">
        <f>"20190304155031374"</f>
        <v>20190304155031374</v>
      </c>
      <c r="B893" t="str">
        <f>"1551685831367541"</f>
        <v>1551685831367541</v>
      </c>
      <c r="C893" t="s">
        <v>40</v>
      </c>
      <c r="D893">
        <v>5.239446</v>
      </c>
      <c r="E893">
        <v>0.5149087</v>
      </c>
      <c r="F893" t="s">
        <v>50</v>
      </c>
      <c r="G893">
        <v>-198.82679999999999</v>
      </c>
      <c r="H893" s="1">
        <v>-9.9715730000000007E-6</v>
      </c>
      <c r="I893">
        <v>374.09750000000003</v>
      </c>
      <c r="J893">
        <v>-314.66860000000003</v>
      </c>
      <c r="K893">
        <v>1.076654</v>
      </c>
      <c r="L893">
        <v>367.56270000000001</v>
      </c>
      <c r="M893">
        <v>0.99977329999999998</v>
      </c>
      <c r="N893">
        <v>-2.0096240000000001E-2</v>
      </c>
      <c r="O893">
        <v>7.0389270000000004E-3</v>
      </c>
      <c r="P893">
        <v>0.97736520000000005</v>
      </c>
      <c r="Q893">
        <v>0.1882885</v>
      </c>
      <c r="R893">
        <v>9.6460569999999995E-2</v>
      </c>
      <c r="S893">
        <v>3.0578310000000002</v>
      </c>
      <c r="T893">
        <v>-2.8410789999999998E-2</v>
      </c>
      <c r="U893">
        <v>0.1722717</v>
      </c>
      <c r="V893">
        <v>-8.9568110000000006E-2</v>
      </c>
      <c r="W893">
        <v>0.20790900000000001</v>
      </c>
      <c r="X893">
        <v>0.97403870000000004</v>
      </c>
      <c r="Y893">
        <v>-4.9211789999999998E-2</v>
      </c>
      <c r="Z893">
        <v>7.9941959999999999E-4</v>
      </c>
      <c r="AA893">
        <v>0.99878809999999996</v>
      </c>
      <c r="AB893">
        <v>32</v>
      </c>
      <c r="AC893">
        <v>115.84180000000001</v>
      </c>
      <c r="AD893">
        <v>-1.076663971573</v>
      </c>
      <c r="AE893">
        <v>6.5348000000000104</v>
      </c>
      <c r="AF893">
        <v>-5.7185789675554002</v>
      </c>
      <c r="AG893">
        <v>-1.076663971573</v>
      </c>
      <c r="AH893">
        <v>115.874958389106</v>
      </c>
      <c r="AI893">
        <v>90.531707179423805</v>
      </c>
      <c r="AJ893">
        <v>92.825328519899898</v>
      </c>
      <c r="AK893">
        <v>116.020977984125</v>
      </c>
      <c r="AL893">
        <v>78.000157541909601</v>
      </c>
      <c r="AM893">
        <v>95.253880504057904</v>
      </c>
      <c r="AN893">
        <v>0.99999999385383098</v>
      </c>
    </row>
    <row r="894" spans="1:40" x14ac:dyDescent="0.25">
      <c r="A894" t="str">
        <f>"20190304155031386"</f>
        <v>20190304155031386</v>
      </c>
      <c r="B894" t="str">
        <f>"1551685831377302"</f>
        <v>1551685831377302</v>
      </c>
      <c r="C894" t="s">
        <v>40</v>
      </c>
      <c r="D894">
        <v>4.6650410000000004</v>
      </c>
      <c r="E894">
        <v>0.51489010000000002</v>
      </c>
      <c r="F894" t="s">
        <v>50</v>
      </c>
      <c r="G894">
        <v>-201.64320000000001</v>
      </c>
      <c r="H894" s="1">
        <v>-2.4814710000000001E-6</v>
      </c>
      <c r="I894">
        <v>373.92529999999999</v>
      </c>
      <c r="J894">
        <v>-314.50920000000002</v>
      </c>
      <c r="K894">
        <v>1.075534</v>
      </c>
      <c r="L894">
        <v>367.56380000000001</v>
      </c>
      <c r="M894">
        <v>0.99978029999999996</v>
      </c>
      <c r="N894">
        <v>-1.9746059999999999E-2</v>
      </c>
      <c r="O894">
        <v>7.0389290000000002E-3</v>
      </c>
      <c r="P894">
        <v>0.97726060000000003</v>
      </c>
      <c r="Q894">
        <v>0.18874340000000001</v>
      </c>
      <c r="R894">
        <v>9.6631919999999996E-2</v>
      </c>
      <c r="S894">
        <v>3.0580750000000001</v>
      </c>
      <c r="T894">
        <v>-2.913058E-2</v>
      </c>
      <c r="U894">
        <v>0.17214969999999999</v>
      </c>
      <c r="V894">
        <v>-8.9740100000000003E-2</v>
      </c>
      <c r="W894">
        <v>0.20802039999999999</v>
      </c>
      <c r="X894">
        <v>0.97399910000000001</v>
      </c>
      <c r="Y894">
        <v>-4.9167429999999998E-2</v>
      </c>
      <c r="Z894">
        <v>7.9179839999999897E-4</v>
      </c>
      <c r="AA894">
        <v>0.99879030000000002</v>
      </c>
      <c r="AB894">
        <v>32</v>
      </c>
      <c r="AC894">
        <v>112.866</v>
      </c>
      <c r="AD894">
        <v>-1.075536481471</v>
      </c>
      <c r="AE894">
        <v>6.3614999999999702</v>
      </c>
      <c r="AF894">
        <v>-5.5662278369457496</v>
      </c>
      <c r="AG894">
        <v>-1.075536481471</v>
      </c>
      <c r="AH894">
        <v>112.89777013993501</v>
      </c>
      <c r="AI894">
        <v>90.545157642379195</v>
      </c>
      <c r="AJ894">
        <v>92.822582998474203</v>
      </c>
      <c r="AK894">
        <v>113.04002023011699</v>
      </c>
      <c r="AL894">
        <v>77.9936323140779</v>
      </c>
      <c r="AM894">
        <v>95.264125276398602</v>
      </c>
      <c r="AN894">
        <v>1.0000000095824899</v>
      </c>
    </row>
    <row r="895" spans="1:40" x14ac:dyDescent="0.25">
      <c r="A895" t="str">
        <f>"20190304155031396"</f>
        <v>20190304155031396</v>
      </c>
      <c r="B895" t="str">
        <f>"1551685831387061"</f>
        <v>1551685831387061</v>
      </c>
      <c r="C895" t="s">
        <v>40</v>
      </c>
      <c r="D895">
        <v>5.2980689999999999</v>
      </c>
      <c r="E895">
        <v>0.51496929999999996</v>
      </c>
      <c r="F895" t="s">
        <v>50</v>
      </c>
      <c r="G895">
        <v>-183.5325</v>
      </c>
      <c r="H895" s="1">
        <v>-7.2508729999999998E-6</v>
      </c>
      <c r="I895">
        <v>374.97089999999997</v>
      </c>
      <c r="J895">
        <v>-314.35059999999999</v>
      </c>
      <c r="K895">
        <v>1.0745009999999999</v>
      </c>
      <c r="L895">
        <v>367.56490000000002</v>
      </c>
      <c r="M895">
        <v>0.99978719999999999</v>
      </c>
      <c r="N895">
        <v>-1.9396259999999999E-2</v>
      </c>
      <c r="O895">
        <v>7.0390449999999999E-3</v>
      </c>
      <c r="P895">
        <v>0.97720620000000002</v>
      </c>
      <c r="Q895">
        <v>0.1890898</v>
      </c>
      <c r="R895">
        <v>9.6506090000000003E-2</v>
      </c>
      <c r="S895">
        <v>3.0575559999999999</v>
      </c>
      <c r="T895">
        <v>-2.510774E-2</v>
      </c>
      <c r="U895">
        <v>0.1729126</v>
      </c>
      <c r="V895">
        <v>-8.9614639999999995E-2</v>
      </c>
      <c r="W895">
        <v>0.2080246</v>
      </c>
      <c r="X895">
        <v>0.97400980000000004</v>
      </c>
      <c r="Y895">
        <v>-4.9426640000000001E-2</v>
      </c>
      <c r="Z895">
        <v>7.6126759999999905E-4</v>
      </c>
      <c r="AA895">
        <v>0.99877740000000004</v>
      </c>
      <c r="AB895">
        <v>32</v>
      </c>
      <c r="AC895">
        <v>130.81809999999999</v>
      </c>
      <c r="AD895">
        <v>-1.0745082508729999</v>
      </c>
      <c r="AE895">
        <v>7.4059999999999402</v>
      </c>
      <c r="AF895">
        <v>-6.48437271451954</v>
      </c>
      <c r="AG895">
        <v>-1.0745082508729999</v>
      </c>
      <c r="AH895">
        <v>130.85819856264601</v>
      </c>
      <c r="AI895">
        <v>90.469882389855002</v>
      </c>
      <c r="AJ895">
        <v>92.836838270314701</v>
      </c>
      <c r="AK895">
        <v>131.02316508367099</v>
      </c>
      <c r="AL895">
        <v>77.993386833497496</v>
      </c>
      <c r="AM895">
        <v>95.256749667478402</v>
      </c>
      <c r="AN895">
        <v>1.00000005420176</v>
      </c>
    </row>
    <row r="896" spans="1:40" x14ac:dyDescent="0.25">
      <c r="A896" t="str">
        <f>"20190304155031408"</f>
        <v>20190304155031408</v>
      </c>
      <c r="B896" t="str">
        <f>"1551685831397797"</f>
        <v>1551685831397797</v>
      </c>
      <c r="C896" t="s">
        <v>40</v>
      </c>
      <c r="D896">
        <v>5.2780490000000002</v>
      </c>
      <c r="E896">
        <v>0.51499200000000001</v>
      </c>
      <c r="F896" t="s">
        <v>42</v>
      </c>
      <c r="G896">
        <v>-156.62719999999999</v>
      </c>
      <c r="H896">
        <v>-0.05</v>
      </c>
      <c r="I896">
        <v>376.43520000000001</v>
      </c>
      <c r="J896">
        <v>-314.18689999999998</v>
      </c>
      <c r="K896">
        <v>1.0734549999999901</v>
      </c>
      <c r="L896">
        <v>367.56610000000001</v>
      </c>
      <c r="M896">
        <v>0.99979410000000002</v>
      </c>
      <c r="N896">
        <v>-1.9035549999999998E-2</v>
      </c>
      <c r="O896">
        <v>7.0391439999999998E-3</v>
      </c>
      <c r="P896">
        <v>0.97718919999999998</v>
      </c>
      <c r="Q896">
        <v>0.18920490000000001</v>
      </c>
      <c r="R896">
        <v>9.6450939999999999E-2</v>
      </c>
      <c r="S896">
        <v>3.0571899999999999</v>
      </c>
      <c r="T896">
        <v>-2.179646E-2</v>
      </c>
      <c r="U896">
        <v>0.17193599999999901</v>
      </c>
      <c r="V896">
        <v>-8.9559340000000001E-2</v>
      </c>
      <c r="W896">
        <v>0.20778820000000001</v>
      </c>
      <c r="X896">
        <v>0.97406530000000002</v>
      </c>
      <c r="Y896">
        <v>-4.9116380000000001E-2</v>
      </c>
      <c r="Z896">
        <v>7.2662849999999995E-4</v>
      </c>
      <c r="AA896">
        <v>0.99879280000000004</v>
      </c>
      <c r="AB896">
        <v>32</v>
      </c>
      <c r="AC896">
        <v>157.55969999999999</v>
      </c>
      <c r="AD896">
        <v>-1.1234550000000001</v>
      </c>
      <c r="AE896">
        <v>8.8690999999999995</v>
      </c>
      <c r="AF896">
        <v>-7.7592006105718498</v>
      </c>
      <c r="AG896">
        <v>-1.1234550000000001</v>
      </c>
      <c r="AH896">
        <v>157.61024933169699</v>
      </c>
      <c r="AI896">
        <v>90.407906733087998</v>
      </c>
      <c r="AJ896">
        <v>92.818413233945193</v>
      </c>
      <c r="AK896">
        <v>157.80512678507</v>
      </c>
      <c r="AL896">
        <v>78.007233598916002</v>
      </c>
      <c r="AM896">
        <v>95.253226294822795</v>
      </c>
      <c r="AN896">
        <v>1.0000000100522799</v>
      </c>
    </row>
    <row r="897" spans="1:40" x14ac:dyDescent="0.25">
      <c r="A897" t="str">
        <f>"20190304155031419"</f>
        <v>20190304155031419</v>
      </c>
      <c r="B897" t="str">
        <f>"1551685831407557"</f>
        <v>1551685831407557</v>
      </c>
      <c r="C897" t="s">
        <v>40</v>
      </c>
      <c r="D897">
        <v>5.225441</v>
      </c>
      <c r="E897">
        <v>0.51494569999999995</v>
      </c>
      <c r="F897" t="s">
        <v>43</v>
      </c>
      <c r="G897">
        <v>-158.19499999999999</v>
      </c>
      <c r="H897">
        <v>6.3568120000000006E-2</v>
      </c>
      <c r="I897">
        <v>376.31639999999999</v>
      </c>
      <c r="J897">
        <v>-314.02210000000002</v>
      </c>
      <c r="K897">
        <v>1.072492</v>
      </c>
      <c r="L897">
        <v>367.56720000000001</v>
      </c>
      <c r="M897">
        <v>0.99980069999999999</v>
      </c>
      <c r="N897">
        <v>-1.868187E-2</v>
      </c>
      <c r="O897">
        <v>7.0393510000000001E-3</v>
      </c>
      <c r="P897">
        <v>0.97707869999999997</v>
      </c>
      <c r="Q897">
        <v>0.1898222</v>
      </c>
      <c r="R897">
        <v>9.6356999999999998E-2</v>
      </c>
      <c r="S897">
        <v>3.0569459999999999</v>
      </c>
      <c r="T897">
        <v>-1.9788859999999998E-2</v>
      </c>
      <c r="U897">
        <v>0.1714783</v>
      </c>
      <c r="V897">
        <v>-8.9466270000000001E-2</v>
      </c>
      <c r="W897">
        <v>0.2080592</v>
      </c>
      <c r="X897">
        <v>0.97401599999999999</v>
      </c>
      <c r="Y897">
        <v>-4.8972210000000002E-2</v>
      </c>
      <c r="Z897">
        <v>7.0214319999999998E-4</v>
      </c>
      <c r="AA897">
        <v>0.99879989999999996</v>
      </c>
      <c r="AB897">
        <v>32</v>
      </c>
      <c r="AC897">
        <v>155.8271</v>
      </c>
      <c r="AD897">
        <v>-1.00892388</v>
      </c>
      <c r="AE897">
        <v>8.7491999999999699</v>
      </c>
      <c r="AF897">
        <v>-7.6515502779473099</v>
      </c>
      <c r="AG897">
        <v>-1.00892388</v>
      </c>
      <c r="AH897">
        <v>155.87832320823401</v>
      </c>
      <c r="AI897">
        <v>90.370396326527796</v>
      </c>
      <c r="AJ897">
        <v>92.810204311377205</v>
      </c>
      <c r="AK897">
        <v>156.069266017567</v>
      </c>
      <c r="AL897">
        <v>77.991359468665394</v>
      </c>
      <c r="AM897">
        <v>95.248061776689894</v>
      </c>
      <c r="AN897">
        <v>1.0000000062141701</v>
      </c>
    </row>
    <row r="898" spans="1:40" x14ac:dyDescent="0.25">
      <c r="A898" t="str">
        <f>"20190304155031430"</f>
        <v>20190304155031430</v>
      </c>
      <c r="B898" t="str">
        <f>"1551685831427077"</f>
        <v>1551685831427077</v>
      </c>
      <c r="C898" t="s">
        <v>40</v>
      </c>
      <c r="D898">
        <v>5.3093640000000004</v>
      </c>
      <c r="E898">
        <v>0.51482479999999997</v>
      </c>
      <c r="F898" t="s">
        <v>43</v>
      </c>
      <c r="G898">
        <v>-158.19499999999999</v>
      </c>
      <c r="H898">
        <v>0.26815990000000001</v>
      </c>
      <c r="I898">
        <v>376.31110000000001</v>
      </c>
      <c r="J898">
        <v>-313.85739999999998</v>
      </c>
      <c r="K898">
        <v>1.0715650000000001</v>
      </c>
      <c r="L898">
        <v>367.5684</v>
      </c>
      <c r="M898">
        <v>0.99980720000000001</v>
      </c>
      <c r="N898">
        <v>-1.8333269999999999E-2</v>
      </c>
      <c r="O898">
        <v>7.0395680000000004E-3</v>
      </c>
      <c r="P898">
        <v>0.97701669999999996</v>
      </c>
      <c r="Q898">
        <v>0.19011890000000001</v>
      </c>
      <c r="R898">
        <v>9.6401319999999999E-2</v>
      </c>
      <c r="S898">
        <v>3.0565190000000002</v>
      </c>
      <c r="T898">
        <v>-1.577508E-2</v>
      </c>
      <c r="U898">
        <v>0.17150879999999999</v>
      </c>
      <c r="V898">
        <v>-8.9511259999999995E-2</v>
      </c>
      <c r="W898">
        <v>0.2080148</v>
      </c>
      <c r="X898">
        <v>0.97402129999999998</v>
      </c>
      <c r="Y898">
        <v>-4.8990890000000002E-2</v>
      </c>
      <c r="Z898">
        <v>6.6848560000000001E-4</v>
      </c>
      <c r="AA898">
        <v>0.99879899999999999</v>
      </c>
      <c r="AB898">
        <v>32</v>
      </c>
      <c r="AC898">
        <v>155.66239999999999</v>
      </c>
      <c r="AD898">
        <v>-0.80340509999999898</v>
      </c>
      <c r="AE898">
        <v>8.7427000000000099</v>
      </c>
      <c r="AF898">
        <v>-7.6463000642913004</v>
      </c>
      <c r="AG898">
        <v>-0.80340509999999898</v>
      </c>
      <c r="AH898">
        <v>155.715961944447</v>
      </c>
      <c r="AI898">
        <v>90.295255013259904</v>
      </c>
      <c r="AJ898">
        <v>92.811202569900999</v>
      </c>
      <c r="AK898">
        <v>155.90565149702701</v>
      </c>
      <c r="AL898">
        <v>77.993959714780203</v>
      </c>
      <c r="AM898">
        <v>95.250657716682397</v>
      </c>
      <c r="AN898">
        <v>0.99999995776975703</v>
      </c>
    </row>
    <row r="899" spans="1:40" x14ac:dyDescent="0.25">
      <c r="A899" t="str">
        <f>"20190304155031442"</f>
        <v>20190304155031442</v>
      </c>
      <c r="B899" t="str">
        <f>"1551685831437813"</f>
        <v>1551685831437813</v>
      </c>
      <c r="C899" t="s">
        <v>40</v>
      </c>
      <c r="D899">
        <v>5.2844429999999996</v>
      </c>
      <c r="E899">
        <v>0.51481379999999999</v>
      </c>
      <c r="F899" t="s">
        <v>43</v>
      </c>
      <c r="G899">
        <v>-158.19499999999999</v>
      </c>
      <c r="H899">
        <v>0.20530889999999999</v>
      </c>
      <c r="I899">
        <v>376.33609999999999</v>
      </c>
      <c r="J899">
        <v>-313.68380000000002</v>
      </c>
      <c r="K899">
        <v>1.0706580000000001</v>
      </c>
      <c r="L899">
        <v>367.56959999999998</v>
      </c>
      <c r="M899">
        <v>0.99981379999999997</v>
      </c>
      <c r="N899">
        <v>-1.7977750000000001E-2</v>
      </c>
      <c r="O899">
        <v>7.0396679999999998E-3</v>
      </c>
      <c r="P899">
        <v>0.97693160000000001</v>
      </c>
      <c r="Q899">
        <v>0.1906767</v>
      </c>
      <c r="R899">
        <v>9.6164360000000004E-2</v>
      </c>
      <c r="S899">
        <v>3.0568849999999999</v>
      </c>
      <c r="T899">
        <v>-1.7009739999999999E-2</v>
      </c>
      <c r="U899">
        <v>0.17218020000000001</v>
      </c>
      <c r="V899">
        <v>-8.9274510000000001E-2</v>
      </c>
      <c r="W899">
        <v>0.2082243</v>
      </c>
      <c r="X899">
        <v>0.97399829999999998</v>
      </c>
      <c r="Y899">
        <v>-4.9202500000000003E-2</v>
      </c>
      <c r="Z899">
        <v>6.6679589999999996E-4</v>
      </c>
      <c r="AA899">
        <v>0.99878860000000003</v>
      </c>
      <c r="AB899">
        <v>32</v>
      </c>
      <c r="AC899">
        <v>155.4888</v>
      </c>
      <c r="AD899">
        <v>-0.86534909999999898</v>
      </c>
      <c r="AE899">
        <v>8.7665000000000006</v>
      </c>
      <c r="AF899">
        <v>-7.67127961260341</v>
      </c>
      <c r="AG899">
        <v>-0.86534909999999898</v>
      </c>
      <c r="AH899">
        <v>155.541866801266</v>
      </c>
      <c r="AI899">
        <v>90.318371839699395</v>
      </c>
      <c r="AJ899">
        <v>92.823523312898899</v>
      </c>
      <c r="AK899">
        <v>155.73332876421199</v>
      </c>
      <c r="AL899">
        <v>77.981687956815904</v>
      </c>
      <c r="AM899">
        <v>95.236970446396199</v>
      </c>
      <c r="AN899">
        <v>0.99999999282455998</v>
      </c>
    </row>
    <row r="900" spans="1:40" x14ac:dyDescent="0.25">
      <c r="A900" t="str">
        <f>"20190304155031454"</f>
        <v>20190304155031454</v>
      </c>
      <c r="B900" t="str">
        <f>"1551685831447573"</f>
        <v>1551685831447573</v>
      </c>
      <c r="C900" t="s">
        <v>40</v>
      </c>
      <c r="D900">
        <v>5.2822570000000004</v>
      </c>
      <c r="E900">
        <v>0.51469010000000004</v>
      </c>
      <c r="F900" t="s">
        <v>43</v>
      </c>
      <c r="G900">
        <v>-158.19499999999999</v>
      </c>
      <c r="H900">
        <v>0.22622200000000001</v>
      </c>
      <c r="I900">
        <v>376.291</v>
      </c>
      <c r="J900">
        <v>-313.52069999999998</v>
      </c>
      <c r="K900">
        <v>1.06986</v>
      </c>
      <c r="L900">
        <v>367.57069999999999</v>
      </c>
      <c r="M900">
        <v>0.99981949999999997</v>
      </c>
      <c r="N900">
        <v>-1.7655690000000002E-2</v>
      </c>
      <c r="O900">
        <v>7.0400030000000004E-3</v>
      </c>
      <c r="P900">
        <v>0.97679400000000005</v>
      </c>
      <c r="Q900">
        <v>0.1913463</v>
      </c>
      <c r="R900">
        <v>9.6229980000000007E-2</v>
      </c>
      <c r="S900">
        <v>3.05722</v>
      </c>
      <c r="T900">
        <v>-1.6601560000000001E-2</v>
      </c>
      <c r="U900">
        <v>0.1714783</v>
      </c>
      <c r="V900">
        <v>-8.9340989999999995E-2</v>
      </c>
      <c r="W900">
        <v>0.20857819999999999</v>
      </c>
      <c r="X900">
        <v>0.97391649999999996</v>
      </c>
      <c r="Y900">
        <v>-4.89676E-2</v>
      </c>
      <c r="Z900">
        <v>6.5153390000000002E-4</v>
      </c>
      <c r="AA900">
        <v>0.99880020000000003</v>
      </c>
      <c r="AB900">
        <v>32</v>
      </c>
      <c r="AC900">
        <v>155.32569999999899</v>
      </c>
      <c r="AD900">
        <v>-0.843638</v>
      </c>
      <c r="AE900">
        <v>8.7202999999999999</v>
      </c>
      <c r="AF900">
        <v>-7.6261958722055798</v>
      </c>
      <c r="AG900">
        <v>-0.843638</v>
      </c>
      <c r="AH900">
        <v>155.37868084694301</v>
      </c>
      <c r="AI900">
        <v>90.310713844335694</v>
      </c>
      <c r="AJ900">
        <v>92.809899493403506</v>
      </c>
      <c r="AK900">
        <v>155.56800779817399</v>
      </c>
      <c r="AL900">
        <v>77.960956024695705</v>
      </c>
      <c r="AM900">
        <v>95.241286281550202</v>
      </c>
      <c r="AN900">
        <v>1.00000001349083</v>
      </c>
    </row>
    <row r="901" spans="1:40" x14ac:dyDescent="0.25">
      <c r="A901" t="str">
        <f>"20190304155031466"</f>
        <v>20190304155031466</v>
      </c>
      <c r="B901" t="str">
        <f>"1551685831457333"</f>
        <v>1551685831457333</v>
      </c>
      <c r="C901" t="s">
        <v>40</v>
      </c>
      <c r="D901">
        <v>5.1625129999999997</v>
      </c>
      <c r="E901">
        <v>0.51458510000000002</v>
      </c>
      <c r="F901" t="s">
        <v>43</v>
      </c>
      <c r="G901">
        <v>-158.19499999999999</v>
      </c>
      <c r="H901">
        <v>0.2715883</v>
      </c>
      <c r="I901">
        <v>376.35090000000002</v>
      </c>
      <c r="J901">
        <v>-313.34539999999998</v>
      </c>
      <c r="K901">
        <v>1.069045</v>
      </c>
      <c r="L901">
        <v>367.572</v>
      </c>
      <c r="M901">
        <v>0.99982519999999997</v>
      </c>
      <c r="N901">
        <v>-1.731796E-2</v>
      </c>
      <c r="O901">
        <v>7.0401259999999998E-3</v>
      </c>
      <c r="P901">
        <v>0.97668889999999997</v>
      </c>
      <c r="Q901">
        <v>0.1919044</v>
      </c>
      <c r="R901">
        <v>9.6186380000000002E-2</v>
      </c>
      <c r="S901">
        <v>3.057312</v>
      </c>
      <c r="T901">
        <v>-1.5710829999999999E-2</v>
      </c>
      <c r="U901">
        <v>0.172821</v>
      </c>
      <c r="V901">
        <v>-8.9298020000000006E-2</v>
      </c>
      <c r="W901">
        <v>0.2088053</v>
      </c>
      <c r="X901">
        <v>0.97387179999999995</v>
      </c>
      <c r="Y901">
        <v>-4.9403330000000002E-2</v>
      </c>
      <c r="Z901">
        <v>6.4069699999999997E-4</v>
      </c>
      <c r="AA901">
        <v>0.99877870000000002</v>
      </c>
      <c r="AB901">
        <v>32</v>
      </c>
      <c r="AC901">
        <v>155.15039999999999</v>
      </c>
      <c r="AD901">
        <v>-0.79745669999999902</v>
      </c>
      <c r="AE901">
        <v>8.7789000000000694</v>
      </c>
      <c r="AF901">
        <v>-7.6860377234869404</v>
      </c>
      <c r="AG901">
        <v>-0.79745669999999902</v>
      </c>
      <c r="AH901">
        <v>155.20428056385899</v>
      </c>
      <c r="AI901">
        <v>90.294029122953901</v>
      </c>
      <c r="AJ901">
        <v>92.835089668564905</v>
      </c>
      <c r="AK901">
        <v>155.39652447342701</v>
      </c>
      <c r="AL901">
        <v>77.947651479173899</v>
      </c>
      <c r="AM901">
        <v>95.239018547768296</v>
      </c>
      <c r="AN901">
        <v>1.00000003625962</v>
      </c>
    </row>
    <row r="902" spans="1:40" x14ac:dyDescent="0.25">
      <c r="A902" t="str">
        <f>"20190304155031476"</f>
        <v>20190304155031476</v>
      </c>
      <c r="B902" t="str">
        <f>"1551685831467094"</f>
        <v>1551685831467094</v>
      </c>
      <c r="C902" t="s">
        <v>40</v>
      </c>
      <c r="D902">
        <v>5.2348059999999998</v>
      </c>
      <c r="E902">
        <v>0.51443930000000004</v>
      </c>
      <c r="F902" t="s">
        <v>43</v>
      </c>
      <c r="G902">
        <v>-158.19499999999999</v>
      </c>
      <c r="H902">
        <v>0.29382940000000002</v>
      </c>
      <c r="I902">
        <v>376.38170000000002</v>
      </c>
      <c r="J902">
        <v>-313.1979</v>
      </c>
      <c r="K902">
        <v>1.068432</v>
      </c>
      <c r="L902">
        <v>367.57299999999998</v>
      </c>
      <c r="M902">
        <v>0.99982990000000005</v>
      </c>
      <c r="N902">
        <v>-1.7052040000000001E-2</v>
      </c>
      <c r="O902">
        <v>7.0401099999999996E-3</v>
      </c>
      <c r="P902">
        <v>0.97659070000000003</v>
      </c>
      <c r="Q902">
        <v>0.19242770000000001</v>
      </c>
      <c r="R902">
        <v>9.6139600000000006E-2</v>
      </c>
      <c r="S902">
        <v>3.0575559999999999</v>
      </c>
      <c r="T902">
        <v>-1.5275479999999999E-2</v>
      </c>
      <c r="U902">
        <v>0.1736145</v>
      </c>
      <c r="V902">
        <v>-8.9252029999999996E-2</v>
      </c>
      <c r="W902">
        <v>0.2090679</v>
      </c>
      <c r="X902">
        <v>0.97381969999999995</v>
      </c>
      <c r="Y902">
        <v>-4.9657359999999998E-2</v>
      </c>
      <c r="Z902">
        <v>6.3253279999999897E-4</v>
      </c>
      <c r="AA902">
        <v>0.99876609999999999</v>
      </c>
      <c r="AB902">
        <v>32</v>
      </c>
      <c r="AC902">
        <v>155.00290000000001</v>
      </c>
      <c r="AD902">
        <v>-0.77460260000000003</v>
      </c>
      <c r="AE902">
        <v>8.8086999999999804</v>
      </c>
      <c r="AF902">
        <v>-7.7168934814368102</v>
      </c>
      <c r="AG902">
        <v>-0.77460260000000003</v>
      </c>
      <c r="AH902">
        <v>155.05722100413999</v>
      </c>
      <c r="AI902">
        <v>90.285870147087905</v>
      </c>
      <c r="AJ902">
        <v>92.849147704175195</v>
      </c>
      <c r="AK902">
        <v>155.251061960035</v>
      </c>
      <c r="AL902">
        <v>77.932266328278502</v>
      </c>
      <c r="AM902">
        <v>95.236613956925197</v>
      </c>
      <c r="AN902">
        <v>1.0000000598887999</v>
      </c>
    </row>
    <row r="903" spans="1:40" x14ac:dyDescent="0.25">
      <c r="A903" t="str">
        <f>"20190304155031487"</f>
        <v>20190304155031487</v>
      </c>
      <c r="B903" t="str">
        <f>"1551685831476854"</f>
        <v>1551685831476854</v>
      </c>
      <c r="C903" t="s">
        <v>40</v>
      </c>
      <c r="D903">
        <v>5.2807930000000001</v>
      </c>
      <c r="E903">
        <v>0.51444409999999996</v>
      </c>
      <c r="F903" t="s">
        <v>43</v>
      </c>
      <c r="G903">
        <v>-158.19499999999999</v>
      </c>
      <c r="H903">
        <v>0.36993120000000002</v>
      </c>
      <c r="I903">
        <v>376.43979999999999</v>
      </c>
      <c r="J903">
        <v>-313.041</v>
      </c>
      <c r="K903">
        <v>1.0677890000000001</v>
      </c>
      <c r="L903">
        <v>367.57409999999999</v>
      </c>
      <c r="M903">
        <v>0.99983469999999997</v>
      </c>
      <c r="N903">
        <v>-1.677143E-2</v>
      </c>
      <c r="O903">
        <v>7.0403039999999998E-3</v>
      </c>
      <c r="P903">
        <v>0.97648690000000005</v>
      </c>
      <c r="Q903">
        <v>0.19296579999999999</v>
      </c>
      <c r="R903">
        <v>9.6112660000000003E-2</v>
      </c>
      <c r="S903">
        <v>3.057404</v>
      </c>
      <c r="T903">
        <v>-1.377606E-2</v>
      </c>
      <c r="U903">
        <v>0.1748962</v>
      </c>
      <c r="V903">
        <v>-8.9225550000000001E-2</v>
      </c>
      <c r="W903">
        <v>0.20933089999999999</v>
      </c>
      <c r="X903">
        <v>0.97376560000000001</v>
      </c>
      <c r="Y903">
        <v>-5.0077709999999998E-2</v>
      </c>
      <c r="Z903">
        <v>6.1934930000000004E-4</v>
      </c>
      <c r="AA903">
        <v>0.99874510000000005</v>
      </c>
      <c r="AB903">
        <v>32</v>
      </c>
      <c r="AC903">
        <v>154.846</v>
      </c>
      <c r="AD903">
        <v>-0.69785779999999897</v>
      </c>
      <c r="AE903">
        <v>8.8657000000000004</v>
      </c>
      <c r="AF903">
        <v>-7.7750066972230201</v>
      </c>
      <c r="AG903">
        <v>-0.69785779999999897</v>
      </c>
      <c r="AH903">
        <v>154.901451387348</v>
      </c>
      <c r="AI903">
        <v>90.257801100572706</v>
      </c>
      <c r="AJ903">
        <v>92.873449703801001</v>
      </c>
      <c r="AK903">
        <v>155.09802505692301</v>
      </c>
      <c r="AL903">
        <v>77.916856251189103</v>
      </c>
      <c r="AM903">
        <v>95.235358181759807</v>
      </c>
      <c r="AN903">
        <v>1.00000003410548</v>
      </c>
    </row>
    <row r="904" spans="1:40" x14ac:dyDescent="0.25">
      <c r="A904" t="str">
        <f>"20190304155031498"</f>
        <v>20190304155031498</v>
      </c>
      <c r="B904" t="str">
        <f>"1551685831487589"</f>
        <v>1551685831487589</v>
      </c>
      <c r="C904" t="s">
        <v>40</v>
      </c>
      <c r="D904">
        <v>5.2513680000000003</v>
      </c>
      <c r="E904">
        <v>0.51443589999999995</v>
      </c>
      <c r="F904" t="s">
        <v>43</v>
      </c>
      <c r="G904">
        <v>-158.19499999999999</v>
      </c>
      <c r="H904">
        <v>0.39439299999999999</v>
      </c>
      <c r="I904">
        <v>376.41570000000002</v>
      </c>
      <c r="J904">
        <v>-312.88279999999997</v>
      </c>
      <c r="K904">
        <v>1.0672109999999999</v>
      </c>
      <c r="L904">
        <v>367.5752</v>
      </c>
      <c r="M904">
        <v>0.99983889999999997</v>
      </c>
      <c r="N904">
        <v>-1.651012E-2</v>
      </c>
      <c r="O904">
        <v>7.0405349999999997E-3</v>
      </c>
      <c r="P904">
        <v>0.97644010000000003</v>
      </c>
      <c r="Q904">
        <v>0.19309670000000001</v>
      </c>
      <c r="R904">
        <v>9.6326030000000007E-2</v>
      </c>
      <c r="S904">
        <v>3.0576780000000001</v>
      </c>
      <c r="T904">
        <v>-1.329553E-2</v>
      </c>
      <c r="U904">
        <v>0.1745911</v>
      </c>
      <c r="V904">
        <v>-8.9439240000000003E-2</v>
      </c>
      <c r="W904">
        <v>0.20920639999999999</v>
      </c>
      <c r="X904">
        <v>0.97377270000000005</v>
      </c>
      <c r="Y904">
        <v>-4.9973169999999997E-2</v>
      </c>
      <c r="Z904">
        <v>6.070378E-4</v>
      </c>
      <c r="AA904">
        <v>0.99875040000000004</v>
      </c>
      <c r="AB904">
        <v>32</v>
      </c>
      <c r="AC904">
        <v>154.68779999999899</v>
      </c>
      <c r="AD904">
        <v>-0.67281800000000003</v>
      </c>
      <c r="AE904">
        <v>8.8405000000000094</v>
      </c>
      <c r="AF904">
        <v>-7.7509013274751197</v>
      </c>
      <c r="AG904">
        <v>-0.67281800000000003</v>
      </c>
      <c r="AH904">
        <v>154.74329741603401</v>
      </c>
      <c r="AI904">
        <v>90.248806396947401</v>
      </c>
      <c r="AJ904">
        <v>92.867478627236807</v>
      </c>
      <c r="AK904">
        <v>154.93875322409301</v>
      </c>
      <c r="AL904">
        <v>77.924150474554196</v>
      </c>
      <c r="AM904">
        <v>95.247788587384306</v>
      </c>
      <c r="AN904">
        <v>0.99999998335901297</v>
      </c>
    </row>
    <row r="905" spans="1:40" x14ac:dyDescent="0.25">
      <c r="A905" t="str">
        <f>"20190304155031509"</f>
        <v>20190304155031509</v>
      </c>
      <c r="B905" t="str">
        <f>"1551685831497349"</f>
        <v>1551685831497349</v>
      </c>
      <c r="C905" t="s">
        <v>40</v>
      </c>
      <c r="D905">
        <v>5.111199</v>
      </c>
      <c r="E905">
        <v>0.5143008</v>
      </c>
      <c r="F905" t="s">
        <v>43</v>
      </c>
      <c r="G905">
        <v>-158.19499999999999</v>
      </c>
      <c r="H905">
        <v>0.35378120000000002</v>
      </c>
      <c r="I905">
        <v>376.4366</v>
      </c>
      <c r="J905">
        <v>-312.73430000000002</v>
      </c>
      <c r="K905">
        <v>1.0666850000000001</v>
      </c>
      <c r="L905">
        <v>367.57619999999997</v>
      </c>
      <c r="M905">
        <v>0.99984289999999998</v>
      </c>
      <c r="N905">
        <v>-1.6268049999999999E-2</v>
      </c>
      <c r="O905">
        <v>7.0406920000000003E-3</v>
      </c>
      <c r="P905">
        <v>0.97633119999999995</v>
      </c>
      <c r="Q905">
        <v>0.1937266</v>
      </c>
      <c r="R905">
        <v>9.6163860000000004E-2</v>
      </c>
      <c r="S905">
        <v>3.0578310000000002</v>
      </c>
      <c r="T905">
        <v>-1.410115E-2</v>
      </c>
      <c r="U905">
        <v>0.17517089999999999</v>
      </c>
      <c r="V905">
        <v>-8.9277410000000001E-2</v>
      </c>
      <c r="W905">
        <v>0.20959849999999999</v>
      </c>
      <c r="X905">
        <v>0.97370330000000005</v>
      </c>
      <c r="Y905">
        <v>-5.015878E-2</v>
      </c>
      <c r="Z905">
        <v>6.0594220000000001E-4</v>
      </c>
      <c r="AA905">
        <v>0.99874110000000005</v>
      </c>
      <c r="AB905">
        <v>32</v>
      </c>
      <c r="AC905">
        <v>154.5393</v>
      </c>
      <c r="AD905">
        <v>-0.71290379999999998</v>
      </c>
      <c r="AE905">
        <v>8.8604000000000198</v>
      </c>
      <c r="AF905">
        <v>-7.7718078865468501</v>
      </c>
      <c r="AG905">
        <v>-0.71290379999999998</v>
      </c>
      <c r="AH905">
        <v>154.594581093606</v>
      </c>
      <c r="AI905">
        <v>90.263881000600506</v>
      </c>
      <c r="AJ905">
        <v>92.877961362887106</v>
      </c>
      <c r="AK905">
        <v>154.791452390502</v>
      </c>
      <c r="AL905">
        <v>77.901176272028295</v>
      </c>
      <c r="AM905">
        <v>95.238717472274402</v>
      </c>
      <c r="AN905">
        <v>1.0000000517847201</v>
      </c>
    </row>
    <row r="906" spans="1:40" x14ac:dyDescent="0.25">
      <c r="A906" t="str">
        <f>"20190304155031523"</f>
        <v>20190304155031523</v>
      </c>
      <c r="B906" t="str">
        <f>"1551685831516868"</f>
        <v>1551685831516868</v>
      </c>
      <c r="C906" t="s">
        <v>40</v>
      </c>
      <c r="D906">
        <v>5.2302720000000003</v>
      </c>
      <c r="E906">
        <v>0.51438359999999905</v>
      </c>
      <c r="F906" t="s">
        <v>43</v>
      </c>
      <c r="G906">
        <v>-158.19499999999999</v>
      </c>
      <c r="H906">
        <v>0.40402130000000003</v>
      </c>
      <c r="I906">
        <v>376.46260000000001</v>
      </c>
      <c r="J906">
        <v>-312.53109999999998</v>
      </c>
      <c r="K906">
        <v>1.0660430000000001</v>
      </c>
      <c r="L906">
        <v>367.57769999999999</v>
      </c>
      <c r="M906">
        <v>0.99984790000000001</v>
      </c>
      <c r="N906">
        <v>-1.596069E-2</v>
      </c>
      <c r="O906">
        <v>7.0406319999999998E-3</v>
      </c>
      <c r="P906">
        <v>0.97624370000000005</v>
      </c>
      <c r="Q906">
        <v>0.1941756</v>
      </c>
      <c r="R906">
        <v>9.6146010000000004E-2</v>
      </c>
      <c r="S906">
        <v>3.058014</v>
      </c>
      <c r="T906">
        <v>-1.3110999999999999E-2</v>
      </c>
      <c r="U906">
        <v>0.17584229999999901</v>
      </c>
      <c r="V906">
        <v>-8.9260569999999997E-2</v>
      </c>
      <c r="W906">
        <v>0.20974670000000001</v>
      </c>
      <c r="X906">
        <v>0.97367289999999995</v>
      </c>
      <c r="Y906">
        <v>-5.0374250000000002E-2</v>
      </c>
      <c r="Z906">
        <v>5.924042E-4</v>
      </c>
      <c r="AA906">
        <v>0.99873020000000001</v>
      </c>
      <c r="AB906">
        <v>32</v>
      </c>
      <c r="AC906">
        <v>154.33609999999999</v>
      </c>
      <c r="AD906">
        <v>-0.66202170000000005</v>
      </c>
      <c r="AE906">
        <v>8.8849000000000107</v>
      </c>
      <c r="AF906">
        <v>-7.7977746828894698</v>
      </c>
      <c r="AG906">
        <v>-0.66202170000000005</v>
      </c>
      <c r="AH906">
        <v>154.39200562161199</v>
      </c>
      <c r="AI906">
        <v>90.245365885453793</v>
      </c>
      <c r="AJ906">
        <v>92.891343125646998</v>
      </c>
      <c r="AK906">
        <v>154.59021625769299</v>
      </c>
      <c r="AL906">
        <v>77.892491633089705</v>
      </c>
      <c r="AM906">
        <v>95.237897435776802</v>
      </c>
      <c r="AN906">
        <v>1.0000000218560099</v>
      </c>
    </row>
    <row r="907" spans="1:40" x14ac:dyDescent="0.25">
      <c r="A907" t="str">
        <f>"20190304155031536"</f>
        <v>20190304155031536</v>
      </c>
      <c r="B907" t="str">
        <f>"1551685831527605"</f>
        <v>1551685831527605</v>
      </c>
      <c r="C907" t="s">
        <v>40</v>
      </c>
      <c r="D907">
        <v>5.1809329999999996</v>
      </c>
      <c r="E907">
        <v>0.51415159999999904</v>
      </c>
      <c r="F907" t="s">
        <v>43</v>
      </c>
      <c r="G907">
        <v>-158.19499999999999</v>
      </c>
      <c r="H907">
        <v>0.62723779999999996</v>
      </c>
      <c r="I907">
        <v>376.42770000000002</v>
      </c>
      <c r="J907">
        <v>-312.33819999999997</v>
      </c>
      <c r="K907">
        <v>1.065491</v>
      </c>
      <c r="L907">
        <v>367.57889999999998</v>
      </c>
      <c r="M907">
        <v>0.99985230000000003</v>
      </c>
      <c r="N907">
        <v>-1.5686800000000001E-2</v>
      </c>
      <c r="O907">
        <v>7.0407949999999999E-3</v>
      </c>
      <c r="P907">
        <v>0.97616380000000003</v>
      </c>
      <c r="Q907">
        <v>0.1946611</v>
      </c>
      <c r="R907">
        <v>9.5978140000000003E-2</v>
      </c>
      <c r="S907">
        <v>3.0574650000000001</v>
      </c>
      <c r="T907">
        <v>-8.6911920000000004E-3</v>
      </c>
      <c r="U907">
        <v>0.17532349999999999</v>
      </c>
      <c r="V907">
        <v>-8.909338E-2</v>
      </c>
      <c r="W907">
        <v>0.20996400000000001</v>
      </c>
      <c r="X907">
        <v>0.97364130000000004</v>
      </c>
      <c r="Y907">
        <v>-5.0216450000000003E-2</v>
      </c>
      <c r="Z907">
        <v>5.5590879999999998E-4</v>
      </c>
      <c r="AA907">
        <v>0.99873820000000002</v>
      </c>
      <c r="AB907">
        <v>32</v>
      </c>
      <c r="AC907">
        <v>154.14319999999901</v>
      </c>
      <c r="AD907">
        <v>-0.43825319999999901</v>
      </c>
      <c r="AE907">
        <v>8.8488000000000397</v>
      </c>
      <c r="AF907">
        <v>-7.7630939847592302</v>
      </c>
      <c r="AG907">
        <v>-0.43825319999999901</v>
      </c>
      <c r="AH907">
        <v>154.200446213269</v>
      </c>
      <c r="AI907">
        <v>90.162633968782998</v>
      </c>
      <c r="AJ907">
        <v>92.882075388076899</v>
      </c>
      <c r="AK907">
        <v>154.396357814732</v>
      </c>
      <c r="AL907">
        <v>77.8797567781277</v>
      </c>
      <c r="AM907">
        <v>95.228309723209506</v>
      </c>
      <c r="AN907">
        <v>0.99999994636075495</v>
      </c>
    </row>
    <row r="908" spans="1:40" x14ac:dyDescent="0.25">
      <c r="A908" t="str">
        <f>"20190304155031553"</f>
        <v>20190304155031553</v>
      </c>
      <c r="B908" t="str">
        <f>"1551685831547125"</f>
        <v>1551685831547125</v>
      </c>
      <c r="C908" t="s">
        <v>40</v>
      </c>
      <c r="D908">
        <v>5.2305029999999997</v>
      </c>
      <c r="E908">
        <v>0.51405670000000003</v>
      </c>
      <c r="F908" t="s">
        <v>43</v>
      </c>
      <c r="G908">
        <v>-158.19499999999999</v>
      </c>
      <c r="H908">
        <v>0.67962270000000002</v>
      </c>
      <c r="I908">
        <v>376.5213</v>
      </c>
      <c r="J908">
        <v>-312.1046</v>
      </c>
      <c r="K908">
        <v>1.0648759999999999</v>
      </c>
      <c r="L908">
        <v>367.5806</v>
      </c>
      <c r="M908">
        <v>0.99985690000000005</v>
      </c>
      <c r="N908">
        <v>-1.537938E-2</v>
      </c>
      <c r="O908">
        <v>7.0412410000000002E-3</v>
      </c>
      <c r="P908">
        <v>0.97611230000000004</v>
      </c>
      <c r="Q908">
        <v>0.1950315</v>
      </c>
      <c r="R908">
        <v>9.5747600000000002E-2</v>
      </c>
      <c r="S908">
        <v>3.0573730000000001</v>
      </c>
      <c r="T908">
        <v>-7.6518059999999997E-3</v>
      </c>
      <c r="U908">
        <v>0.1773682</v>
      </c>
      <c r="V908">
        <v>-8.8862640000000007E-2</v>
      </c>
      <c r="W908">
        <v>0.21003440000000001</v>
      </c>
      <c r="X908">
        <v>0.97364720000000005</v>
      </c>
      <c r="Y908">
        <v>-5.0883629999999999E-2</v>
      </c>
      <c r="Z908">
        <v>5.4586199999999896E-4</v>
      </c>
      <c r="AA908">
        <v>0.99870440000000005</v>
      </c>
      <c r="AB908">
        <v>32</v>
      </c>
      <c r="AC908">
        <v>153.90960000000001</v>
      </c>
      <c r="AD908">
        <v>-0.38525329999999902</v>
      </c>
      <c r="AE908">
        <v>8.9406999999999908</v>
      </c>
      <c r="AF908">
        <v>-7.8565864362175102</v>
      </c>
      <c r="AG908">
        <v>-0.38525329999999902</v>
      </c>
      <c r="AH908">
        <v>153.967783321025</v>
      </c>
      <c r="AI908">
        <v>90.143177101053993</v>
      </c>
      <c r="AJ908">
        <v>92.921125080758699</v>
      </c>
      <c r="AK908">
        <v>154.16858522839601</v>
      </c>
      <c r="AL908">
        <v>77.8756311313509</v>
      </c>
      <c r="AM908">
        <v>95.214812422730802</v>
      </c>
      <c r="AN908">
        <v>0.999999944019483</v>
      </c>
    </row>
    <row r="909" spans="1:40" x14ac:dyDescent="0.25">
      <c r="A909" t="str">
        <f>"20190304155031565"</f>
        <v>20190304155031565</v>
      </c>
      <c r="B909" t="str">
        <f>"1551685831556885"</f>
        <v>1551685831556885</v>
      </c>
      <c r="C909" t="s">
        <v>40</v>
      </c>
      <c r="D909">
        <v>5.2353829999999997</v>
      </c>
      <c r="E909">
        <v>0.51404050000000001</v>
      </c>
      <c r="F909" t="s">
        <v>43</v>
      </c>
      <c r="G909">
        <v>-158.19499999999999</v>
      </c>
      <c r="H909">
        <v>0.72003219999999901</v>
      </c>
      <c r="I909">
        <v>376.49529999999999</v>
      </c>
      <c r="J909">
        <v>-311.92129999999997</v>
      </c>
      <c r="K909">
        <v>1.0644420000000001</v>
      </c>
      <c r="L909">
        <v>367.58179999999999</v>
      </c>
      <c r="M909">
        <v>0.99986039999999998</v>
      </c>
      <c r="N909">
        <v>-1.516112E-2</v>
      </c>
      <c r="O909">
        <v>7.0411969999999999E-3</v>
      </c>
      <c r="P909">
        <v>0.97607540000000004</v>
      </c>
      <c r="Q909">
        <v>0.19523489999999999</v>
      </c>
      <c r="R909">
        <v>9.5710219999999999E-2</v>
      </c>
      <c r="S909">
        <v>3.0574650000000001</v>
      </c>
      <c r="T909">
        <v>-6.8486930000000003E-3</v>
      </c>
      <c r="U909">
        <v>0.17709349999999999</v>
      </c>
      <c r="V909">
        <v>-8.8825689999999999E-2</v>
      </c>
      <c r="W909">
        <v>0.21002460000000001</v>
      </c>
      <c r="X909">
        <v>0.97365270000000004</v>
      </c>
      <c r="Y909">
        <v>-5.0792709999999998E-2</v>
      </c>
      <c r="Z909">
        <v>5.3314339999999995E-4</v>
      </c>
      <c r="AA909">
        <v>0.99870910000000002</v>
      </c>
      <c r="AB909">
        <v>32</v>
      </c>
      <c r="AC909">
        <v>153.72629999999899</v>
      </c>
      <c r="AD909">
        <v>-0.34440979999999999</v>
      </c>
      <c r="AE909">
        <v>8.9134999999999902</v>
      </c>
      <c r="AF909">
        <v>-7.8306983673874697</v>
      </c>
      <c r="AG909">
        <v>-0.34440979999999999</v>
      </c>
      <c r="AH909">
        <v>153.78448791272299</v>
      </c>
      <c r="AI909">
        <v>90.128151170800194</v>
      </c>
      <c r="AJ909">
        <v>92.914980581659094</v>
      </c>
      <c r="AK909">
        <v>153.98411339358901</v>
      </c>
      <c r="AL909">
        <v>77.876205612183497</v>
      </c>
      <c r="AM909">
        <v>95.212626714614998</v>
      </c>
      <c r="AN909">
        <v>0.99999995801321195</v>
      </c>
    </row>
    <row r="910" spans="1:40" x14ac:dyDescent="0.25">
      <c r="A910" t="str">
        <f>"20190304155031577"</f>
        <v>20190304155031577</v>
      </c>
      <c r="B910" t="str">
        <f>"1551685831567621"</f>
        <v>1551685831567621</v>
      </c>
      <c r="C910" t="s">
        <v>40</v>
      </c>
      <c r="D910">
        <v>5.2476120000000002</v>
      </c>
      <c r="E910">
        <v>0.51398319999999997</v>
      </c>
      <c r="F910" t="s">
        <v>43</v>
      </c>
      <c r="G910">
        <v>-158.19499999999999</v>
      </c>
      <c r="H910">
        <v>0.69181059999999905</v>
      </c>
      <c r="I910">
        <v>376.47460000000001</v>
      </c>
      <c r="J910">
        <v>-311.75569999999999</v>
      </c>
      <c r="K910">
        <v>1.0639730000000001</v>
      </c>
      <c r="L910">
        <v>367.58300000000003</v>
      </c>
      <c r="M910">
        <v>0.99986969999999997</v>
      </c>
      <c r="N910">
        <v>-1.453113E-2</v>
      </c>
      <c r="O910">
        <v>7.0413910000000001E-3</v>
      </c>
      <c r="P910">
        <v>0.97597149999999999</v>
      </c>
      <c r="Q910">
        <v>0.19582469999999999</v>
      </c>
      <c r="R910">
        <v>9.5564189999999993E-2</v>
      </c>
      <c r="S910">
        <v>3.0576780000000001</v>
      </c>
      <c r="T910">
        <v>-7.4100490000000001E-3</v>
      </c>
      <c r="U910">
        <v>0.17687990000000001</v>
      </c>
      <c r="V910">
        <v>-8.8680389999999998E-2</v>
      </c>
      <c r="W910">
        <v>0.2099994</v>
      </c>
      <c r="X910">
        <v>0.97367139999999996</v>
      </c>
      <c r="Y910">
        <v>-5.0718890000000003E-2</v>
      </c>
      <c r="Z910">
        <v>5.1543469999999997E-4</v>
      </c>
      <c r="AA910">
        <v>0.99871279999999996</v>
      </c>
      <c r="AB910">
        <v>32</v>
      </c>
      <c r="AC910">
        <v>153.5607</v>
      </c>
      <c r="AD910">
        <v>-0.3721624</v>
      </c>
      <c r="AE910">
        <v>8.8915999999999809</v>
      </c>
      <c r="AF910">
        <v>-7.8099387783643497</v>
      </c>
      <c r="AG910">
        <v>-0.3721624</v>
      </c>
      <c r="AH910">
        <v>153.61860884689901</v>
      </c>
      <c r="AI910">
        <v>90.138627668042005</v>
      </c>
      <c r="AJ910">
        <v>92.910399995052998</v>
      </c>
      <c r="AK910">
        <v>153.81745880305701</v>
      </c>
      <c r="AL910">
        <v>77.877682638287993</v>
      </c>
      <c r="AM910">
        <v>95.204047419814003</v>
      </c>
      <c r="AN910">
        <v>0.99999997737443502</v>
      </c>
    </row>
    <row r="911" spans="1:40" x14ac:dyDescent="0.25">
      <c r="A911" t="str">
        <f>"20190304155031589"</f>
        <v>20190304155031589</v>
      </c>
      <c r="B911" t="str">
        <f>"1551685831577381"</f>
        <v>1551685831577381</v>
      </c>
      <c r="C911" t="s">
        <v>40</v>
      </c>
      <c r="D911">
        <v>5.2187780000000004</v>
      </c>
      <c r="E911">
        <v>0.51395900000000005</v>
      </c>
      <c r="F911" t="s">
        <v>43</v>
      </c>
      <c r="G911">
        <v>-158.19499999999999</v>
      </c>
      <c r="H911">
        <v>0.74681900000000001</v>
      </c>
      <c r="I911">
        <v>376.46589999999998</v>
      </c>
      <c r="J911">
        <v>-311.5872</v>
      </c>
      <c r="K911">
        <v>1.063485</v>
      </c>
      <c r="L911">
        <v>367.58420000000001</v>
      </c>
      <c r="M911">
        <v>0.99988010000000005</v>
      </c>
      <c r="N911">
        <v>-1.3791380000000001E-2</v>
      </c>
      <c r="O911">
        <v>7.0416760000000002E-3</v>
      </c>
      <c r="P911">
        <v>0.97584630000000006</v>
      </c>
      <c r="Q911">
        <v>0.1965441</v>
      </c>
      <c r="R911">
        <v>9.536646E-2</v>
      </c>
      <c r="S911">
        <v>3.0577700000000001</v>
      </c>
      <c r="T911">
        <v>-6.3135619999999896E-3</v>
      </c>
      <c r="U911">
        <v>0.17687990000000001</v>
      </c>
      <c r="V911">
        <v>-8.8483149999999997E-2</v>
      </c>
      <c r="W911">
        <v>0.20999619999999999</v>
      </c>
      <c r="X911">
        <v>0.9736901</v>
      </c>
      <c r="Y911">
        <v>-5.0717129999999999E-2</v>
      </c>
      <c r="Z911">
        <v>4.8487429999999999E-4</v>
      </c>
      <c r="AA911">
        <v>0.99871299999999996</v>
      </c>
      <c r="AB911">
        <v>32</v>
      </c>
      <c r="AC911">
        <v>153.3922</v>
      </c>
      <c r="AD911">
        <v>-0.316666</v>
      </c>
      <c r="AE911">
        <v>8.8816999999999595</v>
      </c>
      <c r="AF911">
        <v>-7.8012057092542904</v>
      </c>
      <c r="AG911">
        <v>-0.316666</v>
      </c>
      <c r="AH911">
        <v>153.45029244605101</v>
      </c>
      <c r="AI911">
        <v>90.118085133647298</v>
      </c>
      <c r="AJ911">
        <v>92.910334487143999</v>
      </c>
      <c r="AK911">
        <v>153.648792184163</v>
      </c>
      <c r="AL911">
        <v>77.877870953531797</v>
      </c>
      <c r="AM911">
        <v>95.192436912873802</v>
      </c>
      <c r="AN911">
        <v>1.00000004134318</v>
      </c>
    </row>
    <row r="912" spans="1:40" x14ac:dyDescent="0.25">
      <c r="A912" t="str">
        <f>"20190304155031600"</f>
        <v>20190304155031600</v>
      </c>
      <c r="B912" t="str">
        <f>"1551685831596902"</f>
        <v>1551685831596902</v>
      </c>
      <c r="C912" t="s">
        <v>40</v>
      </c>
      <c r="D912">
        <v>5.2399750000000003</v>
      </c>
      <c r="E912">
        <v>0.51372189999999995</v>
      </c>
      <c r="F912" t="s">
        <v>43</v>
      </c>
      <c r="G912">
        <v>-158.19499999999999</v>
      </c>
      <c r="H912">
        <v>0.80488729999999997</v>
      </c>
      <c r="I912">
        <v>376.42270000000002</v>
      </c>
      <c r="J912">
        <v>-311.40879999999999</v>
      </c>
      <c r="K912">
        <v>1.0629919999999999</v>
      </c>
      <c r="L912">
        <v>367.58550000000002</v>
      </c>
      <c r="M912">
        <v>0.99989220000000001</v>
      </c>
      <c r="N912">
        <v>-1.288944E-2</v>
      </c>
      <c r="O912">
        <v>7.0418529999999998E-3</v>
      </c>
      <c r="P912">
        <v>0.97566339999999996</v>
      </c>
      <c r="Q912">
        <v>0.1975095</v>
      </c>
      <c r="R912">
        <v>9.5241969999999995E-2</v>
      </c>
      <c r="S912">
        <v>3.0581049999999999</v>
      </c>
      <c r="T912">
        <v>-5.1537750000000002E-3</v>
      </c>
      <c r="U912">
        <v>0.17620849999999999</v>
      </c>
      <c r="V912">
        <v>-8.835983E-2</v>
      </c>
      <c r="W912">
        <v>0.21008099999999999</v>
      </c>
      <c r="X912">
        <v>0.97368290000000002</v>
      </c>
      <c r="Y912">
        <v>-5.0492349999999998E-2</v>
      </c>
      <c r="Z912">
        <v>4.4704839999999999E-4</v>
      </c>
      <c r="AA912">
        <v>0.99872430000000001</v>
      </c>
      <c r="AB912">
        <v>33</v>
      </c>
      <c r="AC912">
        <v>153.21379999999999</v>
      </c>
      <c r="AD912">
        <v>-0.25810469999999902</v>
      </c>
      <c r="AE912">
        <v>8.8371999999999904</v>
      </c>
      <c r="AF912">
        <v>-7.7579602913165804</v>
      </c>
      <c r="AG912">
        <v>-0.25810469999999902</v>
      </c>
      <c r="AH912">
        <v>153.27180246506899</v>
      </c>
      <c r="AI912">
        <v>90.096360770143903</v>
      </c>
      <c r="AJ912">
        <v>92.897593448171705</v>
      </c>
      <c r="AK912">
        <v>153.468231229818</v>
      </c>
      <c r="AL912">
        <v>77.872900143543205</v>
      </c>
      <c r="AM912">
        <v>95.185277762757593</v>
      </c>
      <c r="AN912">
        <v>0.999999937935517</v>
      </c>
    </row>
    <row r="913" spans="1:40" x14ac:dyDescent="0.25">
      <c r="A913" t="str">
        <f>"20190304155031611"</f>
        <v>20190304155031611</v>
      </c>
      <c r="B913" t="str">
        <f>"1551685831607637"</f>
        <v>1551685831607637</v>
      </c>
      <c r="C913" t="s">
        <v>40</v>
      </c>
      <c r="D913">
        <v>5.1019439999999996</v>
      </c>
      <c r="E913">
        <v>0.5136115</v>
      </c>
      <c r="F913" t="s">
        <v>43</v>
      </c>
      <c r="G913">
        <v>-158.19499999999999</v>
      </c>
      <c r="H913">
        <v>0.87496379999999996</v>
      </c>
      <c r="I913">
        <v>376.49740000000003</v>
      </c>
      <c r="J913">
        <v>-311.25049999999999</v>
      </c>
      <c r="K913">
        <v>1.062586</v>
      </c>
      <c r="L913">
        <v>367.58659999999998</v>
      </c>
      <c r="M913">
        <v>0.99990210000000002</v>
      </c>
      <c r="N913">
        <v>-1.209554E-2</v>
      </c>
      <c r="O913">
        <v>7.0419769999999996E-3</v>
      </c>
      <c r="P913">
        <v>0.97554850000000004</v>
      </c>
      <c r="Q913">
        <v>0.19814470000000001</v>
      </c>
      <c r="R913">
        <v>9.5099959999999997E-2</v>
      </c>
      <c r="S913">
        <v>3.0582280000000002</v>
      </c>
      <c r="T913">
        <v>-3.7513970000000001E-3</v>
      </c>
      <c r="U913">
        <v>0.17788699999999999</v>
      </c>
      <c r="V913">
        <v>-8.8218610000000003E-2</v>
      </c>
      <c r="W913">
        <v>0.20994160000000001</v>
      </c>
      <c r="X913">
        <v>0.97372590000000003</v>
      </c>
      <c r="Y913">
        <v>-5.1036480000000002E-2</v>
      </c>
      <c r="Z913">
        <v>4.1668830000000001E-4</v>
      </c>
      <c r="AA913">
        <v>0.99869669999999999</v>
      </c>
      <c r="AB913">
        <v>33</v>
      </c>
      <c r="AC913">
        <v>153.05549999999999</v>
      </c>
      <c r="AD913">
        <v>-0.18762219999999999</v>
      </c>
      <c r="AE913">
        <v>8.9108000000000498</v>
      </c>
      <c r="AF913">
        <v>-7.8326751857654298</v>
      </c>
      <c r="AG913">
        <v>-0.18762219999999999</v>
      </c>
      <c r="AH913">
        <v>153.114229359333</v>
      </c>
      <c r="AI913">
        <v>90.070117039970299</v>
      </c>
      <c r="AJ913">
        <v>92.928456577240595</v>
      </c>
      <c r="AK913">
        <v>153.31455650054301</v>
      </c>
      <c r="AL913">
        <v>77.881070901863694</v>
      </c>
      <c r="AM913">
        <v>95.176808148594006</v>
      </c>
      <c r="AN913">
        <v>1.0000000634458399</v>
      </c>
    </row>
    <row r="914" spans="1:40" x14ac:dyDescent="0.25">
      <c r="A914" t="str">
        <f>"20190304155031622"</f>
        <v>20190304155031622</v>
      </c>
      <c r="B914" t="str">
        <f>"1551685831617398"</f>
        <v>1551685831617398</v>
      </c>
      <c r="C914" t="s">
        <v>40</v>
      </c>
      <c r="D914">
        <v>5.0998049999999999</v>
      </c>
      <c r="E914">
        <v>0.51351809999999998</v>
      </c>
      <c r="F914" t="s">
        <v>43</v>
      </c>
      <c r="G914">
        <v>-158.19499999999999</v>
      </c>
      <c r="H914">
        <v>0.92523670000000002</v>
      </c>
      <c r="I914">
        <v>376.51190000000003</v>
      </c>
      <c r="J914">
        <v>-311.08949999999999</v>
      </c>
      <c r="K914">
        <v>1.0622100000000001</v>
      </c>
      <c r="L914">
        <v>367.58769999999998</v>
      </c>
      <c r="M914">
        <v>0.99991140000000001</v>
      </c>
      <c r="N914">
        <v>-1.12978E-2</v>
      </c>
      <c r="O914">
        <v>7.0420439999999999E-3</v>
      </c>
      <c r="P914">
        <v>0.97531760000000001</v>
      </c>
      <c r="Q914">
        <v>0.1991946</v>
      </c>
      <c r="R914">
        <v>9.5275020000000002E-2</v>
      </c>
      <c r="S914">
        <v>3.0583499999999999</v>
      </c>
      <c r="T914">
        <v>-2.7427670000000001E-3</v>
      </c>
      <c r="U914">
        <v>0.17834469999999999</v>
      </c>
      <c r="V914">
        <v>-8.8395829999999995E-2</v>
      </c>
      <c r="W914">
        <v>0.21021200000000001</v>
      </c>
      <c r="X914">
        <v>0.97365139999999994</v>
      </c>
      <c r="Y914">
        <v>-5.118325E-2</v>
      </c>
      <c r="Z914">
        <v>3.8550550000000002E-4</v>
      </c>
      <c r="AA914">
        <v>0.99868920000000005</v>
      </c>
      <c r="AB914">
        <v>33</v>
      </c>
      <c r="AC914">
        <v>152.89449999999999</v>
      </c>
      <c r="AD914">
        <v>-0.13697329999999999</v>
      </c>
      <c r="AE914">
        <v>8.9242000000000399</v>
      </c>
      <c r="AF914">
        <v>-7.8472139184430896</v>
      </c>
      <c r="AG914">
        <v>-0.13697329999999999</v>
      </c>
      <c r="AH914">
        <v>152.953434699203</v>
      </c>
      <c r="AI914">
        <v>90.051242273023703</v>
      </c>
      <c r="AJ914">
        <v>92.936961678513597</v>
      </c>
      <c r="AK914">
        <v>153.15466272448199</v>
      </c>
      <c r="AL914">
        <v>77.865223460009403</v>
      </c>
      <c r="AM914">
        <v>95.187545759697898</v>
      </c>
      <c r="AN914">
        <v>0.99999997821367403</v>
      </c>
    </row>
    <row r="915" spans="1:40" x14ac:dyDescent="0.25">
      <c r="A915" t="str">
        <f>"20190304155031633"</f>
        <v>20190304155031633</v>
      </c>
      <c r="B915" t="str">
        <f>"1551685831627157"</f>
        <v>1551685831627157</v>
      </c>
      <c r="C915" t="s">
        <v>40</v>
      </c>
      <c r="D915">
        <v>5.1918189999999997</v>
      </c>
      <c r="E915">
        <v>0.51342279999999996</v>
      </c>
      <c r="F915" t="s">
        <v>43</v>
      </c>
      <c r="G915">
        <v>-158.19499999999999</v>
      </c>
      <c r="H915">
        <v>1.038708</v>
      </c>
      <c r="I915">
        <v>376.5797</v>
      </c>
      <c r="J915">
        <v>-310.92689999999999</v>
      </c>
      <c r="K915">
        <v>1.0618609999999999</v>
      </c>
      <c r="L915">
        <v>367.58890000000002</v>
      </c>
      <c r="M915">
        <v>0.99992009999999998</v>
      </c>
      <c r="N915">
        <v>-1.0508709999999999E-2</v>
      </c>
      <c r="O915">
        <v>7.0419819999999996E-3</v>
      </c>
      <c r="P915">
        <v>0.97514160000000005</v>
      </c>
      <c r="Q915">
        <v>0.19987740000000001</v>
      </c>
      <c r="R915">
        <v>9.5644759999999995E-2</v>
      </c>
      <c r="S915">
        <v>3.0584410000000002</v>
      </c>
      <c r="T915">
        <v>-4.683733E-4</v>
      </c>
      <c r="U915">
        <v>0.17987059999999999</v>
      </c>
      <c r="V915">
        <v>-8.8766659999999997E-2</v>
      </c>
      <c r="W915">
        <v>0.21012439999999999</v>
      </c>
      <c r="X915">
        <v>0.97363659999999996</v>
      </c>
      <c r="Y915">
        <v>-5.1678420000000003E-2</v>
      </c>
      <c r="Z915">
        <v>3.4859949999999898E-4</v>
      </c>
      <c r="AA915">
        <v>0.99866370000000004</v>
      </c>
      <c r="AB915">
        <v>33</v>
      </c>
      <c r="AC915">
        <v>152.7319</v>
      </c>
      <c r="AD915">
        <v>-2.3153000000000201E-2</v>
      </c>
      <c r="AE915">
        <v>8.9907999999999699</v>
      </c>
      <c r="AF915">
        <v>-7.9149823069930303</v>
      </c>
      <c r="AG915">
        <v>-2.3153000000000201E-2</v>
      </c>
      <c r="AH915">
        <v>152.791425627249</v>
      </c>
      <c r="AI915">
        <v>90.0086705966404</v>
      </c>
      <c r="AJ915">
        <v>92.965415627762695</v>
      </c>
      <c r="AK915">
        <v>152.99629808001399</v>
      </c>
      <c r="AL915">
        <v>77.870357575740499</v>
      </c>
      <c r="AM915">
        <v>95.209267340457302</v>
      </c>
      <c r="AN915">
        <v>1.00000000613123</v>
      </c>
    </row>
    <row r="916" spans="1:40" x14ac:dyDescent="0.25">
      <c r="A916" t="str">
        <f>"20190304155031644"</f>
        <v>20190304155031644</v>
      </c>
      <c r="B916" t="str">
        <f>"1551685831636919"</f>
        <v>1551685831636919</v>
      </c>
      <c r="C916" t="s">
        <v>40</v>
      </c>
      <c r="D916">
        <v>5.2114890000000003</v>
      </c>
      <c r="E916">
        <v>0.51343339999999904</v>
      </c>
      <c r="F916" t="s">
        <v>43</v>
      </c>
      <c r="G916">
        <v>-158.19499999999999</v>
      </c>
      <c r="H916">
        <v>1.1107610000000001</v>
      </c>
      <c r="I916">
        <v>376.6764</v>
      </c>
      <c r="J916">
        <v>-310.76240000000001</v>
      </c>
      <c r="K916">
        <v>1.0615349999999999</v>
      </c>
      <c r="L916">
        <v>367.59</v>
      </c>
      <c r="M916">
        <v>0.99992809999999999</v>
      </c>
      <c r="N916">
        <v>-9.7243920000000001E-3</v>
      </c>
      <c r="O916">
        <v>7.042001E-3</v>
      </c>
      <c r="P916">
        <v>0.97498149999999995</v>
      </c>
      <c r="Q916">
        <v>0.20072709999999999</v>
      </c>
      <c r="R916">
        <v>9.5500130000000003E-2</v>
      </c>
      <c r="S916">
        <v>3.0584410000000002</v>
      </c>
      <c r="T916">
        <v>9.8097320000000007E-4</v>
      </c>
      <c r="U916">
        <v>0.18197630000000001</v>
      </c>
      <c r="V916">
        <v>-8.8622909999999999E-2</v>
      </c>
      <c r="W916">
        <v>0.2102088</v>
      </c>
      <c r="X916">
        <v>0.97363149999999998</v>
      </c>
      <c r="Y916">
        <v>-5.2363720000000002E-2</v>
      </c>
      <c r="Z916">
        <v>3.1712389999999997E-4</v>
      </c>
      <c r="AA916">
        <v>0.99862799999999996</v>
      </c>
      <c r="AB916">
        <v>33</v>
      </c>
      <c r="AC916">
        <v>152.56739999999999</v>
      </c>
      <c r="AD916">
        <v>4.9225999999999902E-2</v>
      </c>
      <c r="AE916">
        <v>9.0864000000000207</v>
      </c>
      <c r="AF916">
        <v>-8.0117434556523097</v>
      </c>
      <c r="AG916">
        <v>4.9225999999999902E-2</v>
      </c>
      <c r="AH916">
        <v>152.62759032404099</v>
      </c>
      <c r="AI916">
        <v>89.981546166076399</v>
      </c>
      <c r="AJ916">
        <v>93.004818237138394</v>
      </c>
      <c r="AK916">
        <v>152.83773023871299</v>
      </c>
      <c r="AL916">
        <v>77.865411619781895</v>
      </c>
      <c r="AM916">
        <v>95.200904772166496</v>
      </c>
      <c r="AN916">
        <v>1.00000002878327</v>
      </c>
    </row>
    <row r="917" spans="1:40" x14ac:dyDescent="0.25">
      <c r="A917" t="str">
        <f>"20190304155031654"</f>
        <v>20190304155031654</v>
      </c>
      <c r="B917" t="str">
        <f>"1551685831647185"</f>
        <v>1551685831647185</v>
      </c>
      <c r="C917" t="s">
        <v>40</v>
      </c>
      <c r="D917">
        <v>5.2004429999999999</v>
      </c>
      <c r="E917">
        <v>0.51344069999999997</v>
      </c>
      <c r="F917" t="s">
        <v>43</v>
      </c>
      <c r="G917">
        <v>-158.19499999999999</v>
      </c>
      <c r="H917">
        <v>1.2010780000000001</v>
      </c>
      <c r="I917">
        <v>376.6413</v>
      </c>
      <c r="J917">
        <v>-310.60410000000002</v>
      </c>
      <c r="K917">
        <v>1.0612539999999999</v>
      </c>
      <c r="L917">
        <v>367.59120000000001</v>
      </c>
      <c r="M917">
        <v>0.99993489999999996</v>
      </c>
      <c r="N917">
        <v>-8.9933440000000003E-3</v>
      </c>
      <c r="O917">
        <v>7.0418850000000003E-3</v>
      </c>
      <c r="P917">
        <v>0.97483690000000001</v>
      </c>
      <c r="Q917">
        <v>0.20141249999999999</v>
      </c>
      <c r="R917">
        <v>9.5530519999999994E-2</v>
      </c>
      <c r="S917">
        <v>3.058624</v>
      </c>
      <c r="T917">
        <v>2.7992730000000001E-3</v>
      </c>
      <c r="U917">
        <v>0.18145749999999999</v>
      </c>
      <c r="V917">
        <v>-8.8654590000000005E-2</v>
      </c>
      <c r="W917">
        <v>0.21018129999999999</v>
      </c>
      <c r="X917">
        <v>0.97363449999999996</v>
      </c>
      <c r="Y917">
        <v>-5.2191639999999997E-2</v>
      </c>
      <c r="Z917">
        <v>2.8075510000000003E-4</v>
      </c>
      <c r="AA917">
        <v>0.998637</v>
      </c>
      <c r="AB917">
        <v>33</v>
      </c>
      <c r="AC917">
        <v>152.4091</v>
      </c>
      <c r="AD917">
        <v>0.139823999999999</v>
      </c>
      <c r="AE917">
        <v>9.0500999999999792</v>
      </c>
      <c r="AF917">
        <v>-7.9765782865169603</v>
      </c>
      <c r="AG917">
        <v>0.139823999999999</v>
      </c>
      <c r="AH917">
        <v>152.46892526087501</v>
      </c>
      <c r="AI917">
        <v>89.947527787148005</v>
      </c>
      <c r="AJ917">
        <v>92.994761056648301</v>
      </c>
      <c r="AK917">
        <v>152.677498414528</v>
      </c>
      <c r="AL917">
        <v>77.867022625538596</v>
      </c>
      <c r="AM917">
        <v>95.202737793505193</v>
      </c>
      <c r="AN917">
        <v>0.99999997739400304</v>
      </c>
    </row>
    <row r="918" spans="1:40" x14ac:dyDescent="0.25">
      <c r="A918" t="str">
        <f>"20190304155031665"</f>
        <v>20190304155031665</v>
      </c>
      <c r="B918" t="str">
        <f>"1551685831656945"</f>
        <v>1551685831656945</v>
      </c>
      <c r="C918" t="s">
        <v>40</v>
      </c>
      <c r="D918">
        <v>5.1180009999999996</v>
      </c>
      <c r="E918">
        <v>0.51338809999999901</v>
      </c>
      <c r="F918" t="s">
        <v>43</v>
      </c>
      <c r="G918">
        <v>-158.19499999999999</v>
      </c>
      <c r="H918">
        <v>1.2651600000000001</v>
      </c>
      <c r="I918">
        <v>376.64789999999999</v>
      </c>
      <c r="J918">
        <v>-310.43099999999998</v>
      </c>
      <c r="K918">
        <v>1.0609660000000001</v>
      </c>
      <c r="L918">
        <v>367.5924</v>
      </c>
      <c r="M918">
        <v>0.99994159999999999</v>
      </c>
      <c r="N918">
        <v>-8.2042219999999902E-3</v>
      </c>
      <c r="O918">
        <v>7.0415019999999998E-3</v>
      </c>
      <c r="P918">
        <v>0.97465060000000003</v>
      </c>
      <c r="Q918">
        <v>0.2021599</v>
      </c>
      <c r="R918">
        <v>9.5852400000000004E-2</v>
      </c>
      <c r="S918">
        <v>3.0587460000000002</v>
      </c>
      <c r="T918">
        <v>4.0940050000000004E-3</v>
      </c>
      <c r="U918">
        <v>0.1817627</v>
      </c>
      <c r="V918">
        <v>-8.8978130000000002E-2</v>
      </c>
      <c r="W918">
        <v>0.2101584</v>
      </c>
      <c r="X918">
        <v>0.97360990000000003</v>
      </c>
      <c r="Y918">
        <v>-5.2289040000000002E-2</v>
      </c>
      <c r="Z918">
        <v>2.4686419999999997E-4</v>
      </c>
      <c r="AA918">
        <v>0.99863199999999996</v>
      </c>
      <c r="AB918">
        <v>33</v>
      </c>
      <c r="AC918">
        <v>152.23599999999999</v>
      </c>
      <c r="AD918">
        <v>0.20419399999999999</v>
      </c>
      <c r="AE918">
        <v>9.0554999999999897</v>
      </c>
      <c r="AF918">
        <v>-7.9832550460271596</v>
      </c>
      <c r="AG918">
        <v>0.20419399999999999</v>
      </c>
      <c r="AH918">
        <v>152.295718997498</v>
      </c>
      <c r="AI918">
        <v>89.923284733902506</v>
      </c>
      <c r="AJ918">
        <v>93.000665807411295</v>
      </c>
      <c r="AK918">
        <v>152.50495100581</v>
      </c>
      <c r="AL918">
        <v>77.868364324543705</v>
      </c>
      <c r="AM918">
        <v>95.221751332423196</v>
      </c>
      <c r="AN918">
        <v>0.99999994904343203</v>
      </c>
    </row>
    <row r="919" spans="1:40" x14ac:dyDescent="0.25">
      <c r="A919" t="str">
        <f>"20190304155031676"</f>
        <v>20190304155031676</v>
      </c>
      <c r="B919" t="str">
        <f>"1551685831667680"</f>
        <v>1551685831667680</v>
      </c>
      <c r="C919" t="s">
        <v>40</v>
      </c>
      <c r="D919">
        <v>4.9733349999999996</v>
      </c>
      <c r="E919">
        <v>0.51338809999999901</v>
      </c>
      <c r="F919" t="s">
        <v>43</v>
      </c>
      <c r="G919">
        <v>-158.19499999999999</v>
      </c>
      <c r="H919">
        <v>1.3453040000000001</v>
      </c>
      <c r="I919">
        <v>376.69779999999997</v>
      </c>
      <c r="J919">
        <v>-310.27379999999999</v>
      </c>
      <c r="K919">
        <v>1.060745</v>
      </c>
      <c r="L919">
        <v>367.59350000000001</v>
      </c>
      <c r="M919">
        <v>0.99994680000000002</v>
      </c>
      <c r="N919">
        <v>-7.5391519999999899E-3</v>
      </c>
      <c r="O919">
        <v>7.040096E-3</v>
      </c>
      <c r="P919">
        <v>0.97452280000000002</v>
      </c>
      <c r="Q919">
        <v>0.20269409999999999</v>
      </c>
      <c r="R919">
        <v>9.602289E-2</v>
      </c>
      <c r="S919">
        <v>3.0588679999999999</v>
      </c>
      <c r="T919">
        <v>5.7148930000000004E-3</v>
      </c>
      <c r="U919">
        <v>0.1829529</v>
      </c>
      <c r="V919">
        <v>-8.9150759999999996E-2</v>
      </c>
      <c r="W919">
        <v>0.21004419999999999</v>
      </c>
      <c r="X919">
        <v>0.97361880000000001</v>
      </c>
      <c r="Y919">
        <v>-5.2675319999999998E-2</v>
      </c>
      <c r="Z919">
        <v>2.1575359999999999E-4</v>
      </c>
      <c r="AA919">
        <v>0.99861169999999999</v>
      </c>
      <c r="AB919">
        <v>33</v>
      </c>
      <c r="AC919">
        <v>152.0788</v>
      </c>
      <c r="AD919">
        <v>0.28455900000000001</v>
      </c>
      <c r="AE919">
        <v>9.1042999999999594</v>
      </c>
      <c r="AF919">
        <v>-8.0333665634090003</v>
      </c>
      <c r="AG919">
        <v>0.28455900000000001</v>
      </c>
      <c r="AH919">
        <v>152.13859721578299</v>
      </c>
      <c r="AI919">
        <v>89.8929835725163</v>
      </c>
      <c r="AJ919">
        <v>93.022579063184196</v>
      </c>
      <c r="AK919">
        <v>152.350808054808</v>
      </c>
      <c r="AL919">
        <v>77.875057459361699</v>
      </c>
      <c r="AM919">
        <v>95.231778533220094</v>
      </c>
      <c r="AN919">
        <v>0.99999999583782795</v>
      </c>
    </row>
    <row r="920" spans="1:40" x14ac:dyDescent="0.25">
      <c r="A920" t="str">
        <f>"20190304155031688"</f>
        <v>20190304155031688</v>
      </c>
      <c r="B920" t="str">
        <f>"1551685831677441"</f>
        <v>1551685831677441</v>
      </c>
      <c r="C920" t="s">
        <v>40</v>
      </c>
      <c r="D920">
        <v>5.189152</v>
      </c>
      <c r="E920">
        <v>0.51348389999999999</v>
      </c>
      <c r="F920" t="s">
        <v>43</v>
      </c>
      <c r="G920">
        <v>-158.19499999999999</v>
      </c>
      <c r="H920">
        <v>1.4296089999999999</v>
      </c>
      <c r="I920">
        <v>376.71249999999998</v>
      </c>
      <c r="J920">
        <v>-310.10680000000002</v>
      </c>
      <c r="K920">
        <v>1.060516</v>
      </c>
      <c r="L920">
        <v>367.59469999999999</v>
      </c>
      <c r="M920">
        <v>0.9999519</v>
      </c>
      <c r="N920">
        <v>-6.8425880000000001E-3</v>
      </c>
      <c r="O920">
        <v>7.0385780000000002E-3</v>
      </c>
      <c r="P920">
        <v>0.97437830000000003</v>
      </c>
      <c r="Q920">
        <v>0.20340430000000001</v>
      </c>
      <c r="R920">
        <v>9.5988169999999998E-2</v>
      </c>
      <c r="S920">
        <v>3.0587770000000001</v>
      </c>
      <c r="T920">
        <v>7.4207780000000003E-3</v>
      </c>
      <c r="U920">
        <v>0.18341060000000001</v>
      </c>
      <c r="V920">
        <v>-8.9118569999999994E-2</v>
      </c>
      <c r="W920">
        <v>0.21007490000000001</v>
      </c>
      <c r="X920">
        <v>0.97361509999999996</v>
      </c>
      <c r="Y920">
        <v>-5.2827560000000003E-2</v>
      </c>
      <c r="Z920">
        <v>1.820603E-4</v>
      </c>
      <c r="AA920">
        <v>0.99860360000000004</v>
      </c>
      <c r="AB920">
        <v>34</v>
      </c>
      <c r="AC920">
        <v>151.9118</v>
      </c>
      <c r="AD920">
        <v>0.36909299999999901</v>
      </c>
      <c r="AE920">
        <v>9.1177999999999795</v>
      </c>
      <c r="AF920">
        <v>-8.0482587938402901</v>
      </c>
      <c r="AG920">
        <v>0.36909299999999901</v>
      </c>
      <c r="AH920">
        <v>151.971320746994</v>
      </c>
      <c r="AI920">
        <v>89.861040648226805</v>
      </c>
      <c r="AJ920">
        <v>93.031498819848693</v>
      </c>
      <c r="AK920">
        <v>152.184733231823</v>
      </c>
      <c r="AL920">
        <v>77.873258057308107</v>
      </c>
      <c r="AM920">
        <v>95.229919717400705</v>
      </c>
      <c r="AN920">
        <v>0.99999997303843202</v>
      </c>
    </row>
    <row r="921" spans="1:40" x14ac:dyDescent="0.25">
      <c r="A921" t="str">
        <f>"20190304155031698"</f>
        <v>20190304155031698</v>
      </c>
      <c r="B921" t="str">
        <f>"1551685831696961"</f>
        <v>1551685831696961</v>
      </c>
      <c r="C921" t="s">
        <v>40</v>
      </c>
      <c r="D921">
        <v>5.2559380000000004</v>
      </c>
      <c r="E921">
        <v>0.54631869999999905</v>
      </c>
      <c r="F921" t="s">
        <v>43</v>
      </c>
      <c r="G921">
        <v>-158.19499999999999</v>
      </c>
      <c r="H921">
        <v>1.532999</v>
      </c>
      <c r="I921">
        <v>376.64100000000002</v>
      </c>
      <c r="J921">
        <v>-309.92750000000001</v>
      </c>
      <c r="K921">
        <v>1.0603279999999999</v>
      </c>
      <c r="L921">
        <v>367.59589999999997</v>
      </c>
      <c r="M921">
        <v>0.99995599999999996</v>
      </c>
      <c r="N921">
        <v>-6.2213919999999897E-3</v>
      </c>
      <c r="O921">
        <v>7.0352610000000001E-3</v>
      </c>
      <c r="P921">
        <v>0.97423389999999999</v>
      </c>
      <c r="Q921">
        <v>0.204045</v>
      </c>
      <c r="R921">
        <v>9.6094550000000001E-2</v>
      </c>
      <c r="S921">
        <v>3.0589599999999999</v>
      </c>
      <c r="T921">
        <v>9.5158819999999998E-3</v>
      </c>
      <c r="U921">
        <v>0.1821594</v>
      </c>
      <c r="V921">
        <v>-8.9228390000000005E-2</v>
      </c>
      <c r="W921">
        <v>0.2101104</v>
      </c>
      <c r="X921">
        <v>0.97359739999999995</v>
      </c>
      <c r="Y921">
        <v>-5.242028E-2</v>
      </c>
      <c r="Z921">
        <v>1.473441E-4</v>
      </c>
      <c r="AA921">
        <v>0.99862510000000004</v>
      </c>
      <c r="AB921">
        <v>34</v>
      </c>
      <c r="AC921">
        <v>151.73249999999999</v>
      </c>
      <c r="AD921">
        <v>0.47267099999999901</v>
      </c>
      <c r="AE921">
        <v>9.0450999999999908</v>
      </c>
      <c r="AF921">
        <v>-7.9773007151825199</v>
      </c>
      <c r="AG921">
        <v>0.47267099999999901</v>
      </c>
      <c r="AH921">
        <v>151.79091288444101</v>
      </c>
      <c r="AI921">
        <v>89.821829627520401</v>
      </c>
      <c r="AJ921">
        <v>93.008385339109097</v>
      </c>
      <c r="AK921">
        <v>152.00112492631999</v>
      </c>
      <c r="AL921">
        <v>77.871177852581198</v>
      </c>
      <c r="AM921">
        <v>95.236423362667196</v>
      </c>
      <c r="AN921">
        <v>0.99999999152845498</v>
      </c>
    </row>
    <row r="922" spans="1:40" x14ac:dyDescent="0.25">
      <c r="A922" t="str">
        <f>"20190304155031711"</f>
        <v>20190304155031711</v>
      </c>
      <c r="B922" t="str">
        <f>"1551685831707698"</f>
        <v>1551685831707698</v>
      </c>
      <c r="C922" t="s">
        <v>40</v>
      </c>
      <c r="D922">
        <v>5.9350350000000001</v>
      </c>
      <c r="E922">
        <v>0.54939469999999901</v>
      </c>
      <c r="F922" t="s">
        <v>43</v>
      </c>
      <c r="G922">
        <v>-168.84350000000001</v>
      </c>
      <c r="H922">
        <v>9.1449390000000008</v>
      </c>
      <c r="I922">
        <v>363.97410000000002</v>
      </c>
      <c r="J922">
        <v>-309.75170000000003</v>
      </c>
      <c r="K922">
        <v>1.0601719999999999</v>
      </c>
      <c r="L922">
        <v>367.59710000000001</v>
      </c>
      <c r="M922">
        <v>0.99995900000000004</v>
      </c>
      <c r="N922">
        <v>-5.690601E-3</v>
      </c>
      <c r="O922">
        <v>7.0316700000000003E-3</v>
      </c>
      <c r="P922">
        <v>0.97410909999999995</v>
      </c>
      <c r="Q922">
        <v>0.20467650000000001</v>
      </c>
      <c r="R922">
        <v>9.6016099999999993E-2</v>
      </c>
      <c r="S922">
        <v>3.050446</v>
      </c>
      <c r="T922">
        <v>0.17480309999999999</v>
      </c>
      <c r="U922">
        <v>-7.830811E-2</v>
      </c>
      <c r="V922">
        <v>-8.9153709999999997E-2</v>
      </c>
      <c r="W922">
        <v>0.2102251</v>
      </c>
      <c r="X922">
        <v>0.97357950000000004</v>
      </c>
      <c r="Y922">
        <v>3.2629310000000002E-2</v>
      </c>
      <c r="Z922">
        <v>1.2835780000000001E-3</v>
      </c>
      <c r="AA922">
        <v>0.99946670000000004</v>
      </c>
      <c r="AB922">
        <v>34</v>
      </c>
      <c r="AC922">
        <v>140.90819999999999</v>
      </c>
      <c r="AD922">
        <v>8.0847669999999994</v>
      </c>
      <c r="AE922">
        <v>-3.62299999999999</v>
      </c>
      <c r="AF922">
        <v>4.5986177773578802</v>
      </c>
      <c r="AG922">
        <v>8.0847669999999994</v>
      </c>
      <c r="AH922">
        <v>140.417288980808</v>
      </c>
      <c r="AI922">
        <v>86.706496901634097</v>
      </c>
      <c r="AJ922">
        <v>88.124253397721304</v>
      </c>
      <c r="AK922">
        <v>140.725000577815</v>
      </c>
      <c r="AL922">
        <v>77.864456118424499</v>
      </c>
      <c r="AM922">
        <v>95.232160715531606</v>
      </c>
      <c r="AN922">
        <v>1.00000000974851</v>
      </c>
    </row>
    <row r="923" spans="1:40" x14ac:dyDescent="0.25">
      <c r="A923" t="str">
        <f>"20190304155031724"</f>
        <v>20190304155031724</v>
      </c>
      <c r="B923" t="str">
        <f>"1551685831717456"</f>
        <v>1551685831717456</v>
      </c>
      <c r="C923" t="s">
        <v>40</v>
      </c>
      <c r="D923">
        <v>5.2823229999999999</v>
      </c>
      <c r="E923">
        <v>0.55095369999999999</v>
      </c>
      <c r="F923" t="s">
        <v>43</v>
      </c>
      <c r="G923">
        <v>-168.84350000000001</v>
      </c>
      <c r="H923">
        <v>10.200710000000001</v>
      </c>
      <c r="I923">
        <v>362.83760000000001</v>
      </c>
      <c r="J923">
        <v>-309.5496</v>
      </c>
      <c r="K923">
        <v>1.060055</v>
      </c>
      <c r="L923">
        <v>367.5985</v>
      </c>
      <c r="M923">
        <v>0.9999614</v>
      </c>
      <c r="N923">
        <v>-5.2727130000000001E-3</v>
      </c>
      <c r="O923">
        <v>7.0254260000000004E-3</v>
      </c>
      <c r="P923">
        <v>0.97403609999999896</v>
      </c>
      <c r="Q923">
        <v>0.20510229999999999</v>
      </c>
      <c r="R923">
        <v>9.5848959999999997E-2</v>
      </c>
      <c r="S923">
        <v>3.04834</v>
      </c>
      <c r="T923">
        <v>0.1977439</v>
      </c>
      <c r="U923">
        <v>-0.1029663</v>
      </c>
      <c r="V923">
        <v>-8.8991790000000001E-2</v>
      </c>
      <c r="W923">
        <v>0.21024370000000001</v>
      </c>
      <c r="X923">
        <v>0.97359030000000002</v>
      </c>
      <c r="Y923">
        <v>4.0683570000000002E-2</v>
      </c>
      <c r="Z923">
        <v>1.702535E-3</v>
      </c>
      <c r="AA923">
        <v>0.99917060000000002</v>
      </c>
      <c r="AB923">
        <v>34</v>
      </c>
      <c r="AC923">
        <v>140.70609999999999</v>
      </c>
      <c r="AD923">
        <v>9.1406550000000006</v>
      </c>
      <c r="AE923">
        <v>-4.7608999999999897</v>
      </c>
      <c r="AF923">
        <v>5.7251830076858603</v>
      </c>
      <c r="AG923">
        <v>9.1406550000000006</v>
      </c>
      <c r="AH923">
        <v>140.07870132020801</v>
      </c>
      <c r="AI923">
        <v>86.269636487574999</v>
      </c>
      <c r="AJ923">
        <v>87.659556016146496</v>
      </c>
      <c r="AK923">
        <v>140.49331606114501</v>
      </c>
      <c r="AL923">
        <v>77.863366084904399</v>
      </c>
      <c r="AM923">
        <v>95.222653104868996</v>
      </c>
      <c r="AN923">
        <v>1.0000000121655901</v>
      </c>
    </row>
    <row r="924" spans="1:40" x14ac:dyDescent="0.25">
      <c r="A924" t="str">
        <f>"20190304155031737"</f>
        <v>20190304155031737</v>
      </c>
      <c r="B924" t="str">
        <f>"1551685831727217"</f>
        <v>1551685831727217</v>
      </c>
      <c r="C924" t="s">
        <v>40</v>
      </c>
      <c r="D924">
        <v>4.7960260000000003</v>
      </c>
      <c r="E924">
        <v>0.55248549999999996</v>
      </c>
      <c r="F924" t="s">
        <v>43</v>
      </c>
      <c r="G924">
        <v>-168.84350000000001</v>
      </c>
      <c r="H924">
        <v>10.05682</v>
      </c>
      <c r="I924">
        <v>362.24770000000001</v>
      </c>
      <c r="J924">
        <v>-309.34879999999998</v>
      </c>
      <c r="K924">
        <v>1.060014</v>
      </c>
      <c r="L924">
        <v>367.59989999999999</v>
      </c>
      <c r="M924">
        <v>0.99996229999999997</v>
      </c>
      <c r="N924">
        <v>-5.115919E-3</v>
      </c>
      <c r="O924">
        <v>7.0167579999999997E-3</v>
      </c>
      <c r="P924">
        <v>0.97401780000000004</v>
      </c>
      <c r="Q924">
        <v>0.2052023</v>
      </c>
      <c r="R924">
        <v>9.5819639999999998E-2</v>
      </c>
      <c r="S924">
        <v>3.0502929999999999</v>
      </c>
      <c r="T924">
        <v>0.19503799999999999</v>
      </c>
      <c r="U924">
        <v>-0.1159973</v>
      </c>
      <c r="V924">
        <v>-8.8969129999999993E-2</v>
      </c>
      <c r="W924">
        <v>0.2101915</v>
      </c>
      <c r="X924">
        <v>0.97360360000000001</v>
      </c>
      <c r="Y924">
        <v>4.491071E-2</v>
      </c>
      <c r="Z924">
        <v>1.802695E-3</v>
      </c>
      <c r="AA924">
        <v>0.99898940000000003</v>
      </c>
      <c r="AB924">
        <v>34</v>
      </c>
      <c r="AC924">
        <v>140.50529999999901</v>
      </c>
      <c r="AD924">
        <v>8.9968059999999994</v>
      </c>
      <c r="AE924">
        <v>-5.3521999999999803</v>
      </c>
      <c r="AF924">
        <v>6.3121301444821398</v>
      </c>
      <c r="AG924">
        <v>8.9968059999999994</v>
      </c>
      <c r="AH924">
        <v>139.89155127333601</v>
      </c>
      <c r="AI924">
        <v>86.3239503717557</v>
      </c>
      <c r="AJ924">
        <v>87.416475315284302</v>
      </c>
      <c r="AK924">
        <v>140.32259840390299</v>
      </c>
      <c r="AL924">
        <v>77.866424780716301</v>
      </c>
      <c r="AM924">
        <v>95.221259678510904</v>
      </c>
      <c r="AN924">
        <v>0.99999997134908303</v>
      </c>
    </row>
    <row r="925" spans="1:40" x14ac:dyDescent="0.25">
      <c r="A925" t="str">
        <f>"20190304155031751"</f>
        <v>20190304155031751</v>
      </c>
      <c r="B925" t="str">
        <f>"1551685831747244"</f>
        <v>1551685831747244</v>
      </c>
      <c r="C925" t="s">
        <v>40</v>
      </c>
      <c r="D925">
        <v>5.261171</v>
      </c>
      <c r="E925">
        <v>0.5540503</v>
      </c>
      <c r="F925" t="s">
        <v>43</v>
      </c>
      <c r="G925">
        <v>-168.84350000000001</v>
      </c>
      <c r="H925">
        <v>9.8565930000000002</v>
      </c>
      <c r="I925">
        <v>361.7056</v>
      </c>
      <c r="J925">
        <v>-309.14359999999999</v>
      </c>
      <c r="K925">
        <v>1.060006</v>
      </c>
      <c r="L925">
        <v>367.60140000000001</v>
      </c>
      <c r="M925">
        <v>0.99996260000000003</v>
      </c>
      <c r="N925">
        <v>-5.095657E-3</v>
      </c>
      <c r="O925">
        <v>7.0043240000000001E-3</v>
      </c>
      <c r="P925">
        <v>0.97398200000000001</v>
      </c>
      <c r="Q925">
        <v>0.20535619999999999</v>
      </c>
      <c r="R925">
        <v>9.5855590000000004E-2</v>
      </c>
      <c r="S925">
        <v>3.0523989999999999</v>
      </c>
      <c r="T925">
        <v>0.19110250000000001</v>
      </c>
      <c r="U925">
        <v>-0.12805179999999999</v>
      </c>
      <c r="V925">
        <v>-8.9015220000000006E-2</v>
      </c>
      <c r="W925">
        <v>0.21032719999999999</v>
      </c>
      <c r="X925">
        <v>0.97357009999999999</v>
      </c>
      <c r="Y925">
        <v>4.8807929999999999E-2</v>
      </c>
      <c r="Z925">
        <v>1.8747340000000001E-3</v>
      </c>
      <c r="AA925">
        <v>0.99880639999999998</v>
      </c>
      <c r="AB925">
        <v>34</v>
      </c>
      <c r="AC925">
        <v>140.30009999999999</v>
      </c>
      <c r="AD925">
        <v>8.7965869999999899</v>
      </c>
      <c r="AE925">
        <v>-5.8958000000000004</v>
      </c>
      <c r="AF925">
        <v>6.85148906570649</v>
      </c>
      <c r="AG925">
        <v>8.7965869999999899</v>
      </c>
      <c r="AH925">
        <v>139.70712916406401</v>
      </c>
      <c r="AI925">
        <v>86.401470519962103</v>
      </c>
      <c r="AJ925">
        <v>87.1923612894212</v>
      </c>
      <c r="AK925">
        <v>140.15136383400099</v>
      </c>
      <c r="AL925">
        <v>77.858472193387698</v>
      </c>
      <c r="AM925">
        <v>95.224128322471202</v>
      </c>
      <c r="AN925">
        <v>0.99999999003274898</v>
      </c>
    </row>
    <row r="926" spans="1:40" x14ac:dyDescent="0.25">
      <c r="A926" t="str">
        <f>"20190304155031765"</f>
        <v>20190304155031765</v>
      </c>
      <c r="B926" t="str">
        <f>"1551685831757005"</f>
        <v>1551685831757005</v>
      </c>
      <c r="C926" t="s">
        <v>40</v>
      </c>
      <c r="D926">
        <v>5.3076549999999996</v>
      </c>
      <c r="E926">
        <v>0.5540503</v>
      </c>
      <c r="F926" t="s">
        <v>43</v>
      </c>
      <c r="G926">
        <v>-170.08879999999999</v>
      </c>
      <c r="H926">
        <v>8.5186250000000001</v>
      </c>
      <c r="I926">
        <v>361.21370000000002</v>
      </c>
      <c r="J926">
        <v>-308.91919999999999</v>
      </c>
      <c r="K926">
        <v>1.060044</v>
      </c>
      <c r="L926">
        <v>367.60289999999998</v>
      </c>
      <c r="M926">
        <v>0.99996180000000001</v>
      </c>
      <c r="N926">
        <v>-5.2595430000000002E-3</v>
      </c>
      <c r="O926">
        <v>6.9825010000000003E-3</v>
      </c>
      <c r="P926">
        <v>0.9738696</v>
      </c>
      <c r="Q926">
        <v>0.20585139999999999</v>
      </c>
      <c r="R926">
        <v>9.5935060000000003E-2</v>
      </c>
      <c r="S926">
        <v>3.059326</v>
      </c>
      <c r="T926">
        <v>0.16409789999999999</v>
      </c>
      <c r="U926">
        <v>-0.140533399999999</v>
      </c>
      <c r="V926">
        <v>-8.9112839999999999E-2</v>
      </c>
      <c r="W926">
        <v>0.21098259999999999</v>
      </c>
      <c r="X926">
        <v>0.97341940000000005</v>
      </c>
      <c r="Y926">
        <v>5.2781460000000002E-2</v>
      </c>
      <c r="Z926">
        <v>1.6855869999999999E-3</v>
      </c>
      <c r="AA926">
        <v>0.99860470000000001</v>
      </c>
      <c r="AB926">
        <v>34</v>
      </c>
      <c r="AC926">
        <v>138.8304</v>
      </c>
      <c r="AD926">
        <v>7.4585809999999997</v>
      </c>
      <c r="AE926">
        <v>-6.3891999999999598</v>
      </c>
      <c r="AF926">
        <v>7.3373080450022199</v>
      </c>
      <c r="AG926">
        <v>7.4585809999999997</v>
      </c>
      <c r="AH926">
        <v>138.38382757138299</v>
      </c>
      <c r="AI926">
        <v>86.919188918690494</v>
      </c>
      <c r="AJ926">
        <v>86.964937994283005</v>
      </c>
      <c r="AK926">
        <v>138.77878171099201</v>
      </c>
      <c r="AL926">
        <v>77.820059198100594</v>
      </c>
      <c r="AM926">
        <v>95.230630861902299</v>
      </c>
      <c r="AN926">
        <v>1.00000004202599</v>
      </c>
    </row>
    <row r="927" spans="1:40" x14ac:dyDescent="0.25">
      <c r="A927" t="str">
        <f>"20190304155031776"</f>
        <v>20190304155031776</v>
      </c>
      <c r="B927" t="str">
        <f>"1551685831767740"</f>
        <v>1551685831767740</v>
      </c>
      <c r="C927" t="s">
        <v>40</v>
      </c>
      <c r="D927">
        <v>5.2392719999999997</v>
      </c>
      <c r="E927">
        <v>0.55457000000000001</v>
      </c>
      <c r="F927" t="s">
        <v>43</v>
      </c>
      <c r="G927">
        <v>-168.84350000000001</v>
      </c>
      <c r="H927">
        <v>8.6479090000000003</v>
      </c>
      <c r="I927">
        <v>361.17680000000001</v>
      </c>
      <c r="J927">
        <v>-308.74650000000003</v>
      </c>
      <c r="K927">
        <v>1.060073</v>
      </c>
      <c r="L927">
        <v>367.60419999999999</v>
      </c>
      <c r="M927">
        <v>0.99996099999999999</v>
      </c>
      <c r="N927">
        <v>-5.4533139999999999E-3</v>
      </c>
      <c r="O927">
        <v>6.9580789999999998E-3</v>
      </c>
      <c r="P927">
        <v>0.9738426</v>
      </c>
      <c r="Q927">
        <v>0.2059735</v>
      </c>
      <c r="R927">
        <v>9.5944689999999999E-2</v>
      </c>
      <c r="S927">
        <v>3.0593569999999999</v>
      </c>
      <c r="T927">
        <v>0.1657264</v>
      </c>
      <c r="U927">
        <v>-0.14035029999999901</v>
      </c>
      <c r="V927">
        <v>-8.9142429999999995E-2</v>
      </c>
      <c r="W927">
        <v>0.21129490000000001</v>
      </c>
      <c r="X927">
        <v>0.97334889999999996</v>
      </c>
      <c r="Y927">
        <v>5.2695690000000003E-2</v>
      </c>
      <c r="Z927">
        <v>1.6959779999999999E-3</v>
      </c>
      <c r="AA927">
        <v>0.99860919999999997</v>
      </c>
      <c r="AB927">
        <v>34</v>
      </c>
      <c r="AC927">
        <v>139.90299999999999</v>
      </c>
      <c r="AD927">
        <v>7.5878360000000002</v>
      </c>
      <c r="AE927">
        <v>-6.4273999999999702</v>
      </c>
      <c r="AF927">
        <v>7.3790545093339901</v>
      </c>
      <c r="AG927">
        <v>7.5878360000000002</v>
      </c>
      <c r="AH927">
        <v>139.44556272865199</v>
      </c>
      <c r="AI927">
        <v>86.889703692971594</v>
      </c>
      <c r="AJ927">
        <v>86.970898894442598</v>
      </c>
      <c r="AK927">
        <v>139.846668409816</v>
      </c>
      <c r="AL927">
        <v>77.8017524441793</v>
      </c>
      <c r="AM927">
        <v>95.232734936644206</v>
      </c>
      <c r="AN927">
        <v>0.99999999436176201</v>
      </c>
    </row>
    <row r="928" spans="1:40" x14ac:dyDescent="0.25">
      <c r="A928" t="str">
        <f>"20190304155031788"</f>
        <v>20190304155031788</v>
      </c>
      <c r="B928" t="str">
        <f>"1551685831777502"</f>
        <v>1551685831777502</v>
      </c>
      <c r="C928" t="s">
        <v>40</v>
      </c>
      <c r="D928">
        <v>5.2718870000000004</v>
      </c>
      <c r="E928">
        <v>0.55488249999999995</v>
      </c>
      <c r="F928" t="s">
        <v>43</v>
      </c>
      <c r="G928">
        <v>-168.84350000000001</v>
      </c>
      <c r="H928">
        <v>8.7053550000000008</v>
      </c>
      <c r="I928">
        <v>361.00189999999998</v>
      </c>
      <c r="J928">
        <v>-308.57670000000002</v>
      </c>
      <c r="K928">
        <v>1.0601020000000001</v>
      </c>
      <c r="L928">
        <v>367.6053</v>
      </c>
      <c r="M928">
        <v>0.99996010000000002</v>
      </c>
      <c r="N928">
        <v>-5.6590039999999996E-3</v>
      </c>
      <c r="O928">
        <v>6.9322280000000003E-3</v>
      </c>
      <c r="P928">
        <v>0.97382809999999997</v>
      </c>
      <c r="Q928">
        <v>0.20600599999999999</v>
      </c>
      <c r="R928">
        <v>9.6023540000000004E-2</v>
      </c>
      <c r="S928">
        <v>3.059418</v>
      </c>
      <c r="T928">
        <v>0.16719000000000001</v>
      </c>
      <c r="U928">
        <v>-0.1443787</v>
      </c>
      <c r="V928">
        <v>-8.9243169999999997E-2</v>
      </c>
      <c r="W928">
        <v>0.2115293</v>
      </c>
      <c r="X928">
        <v>0.97328879999999995</v>
      </c>
      <c r="Y928">
        <v>5.3977999999999998E-2</v>
      </c>
      <c r="Z928">
        <v>1.737574E-3</v>
      </c>
      <c r="AA928">
        <v>0.9985406</v>
      </c>
      <c r="AB928">
        <v>34</v>
      </c>
      <c r="AC928">
        <v>139.73320000000001</v>
      </c>
      <c r="AD928">
        <v>7.6452530000000003</v>
      </c>
      <c r="AE928">
        <v>-6.6034000000000201</v>
      </c>
      <c r="AF928">
        <v>7.5493701476421498</v>
      </c>
      <c r="AG928">
        <v>7.6452530000000003</v>
      </c>
      <c r="AH928">
        <v>139.26809026197199</v>
      </c>
      <c r="AI928">
        <v>86.862445207674099</v>
      </c>
      <c r="AJ928">
        <v>86.897177813600706</v>
      </c>
      <c r="AK928">
        <v>139.68193816051101</v>
      </c>
      <c r="AL928">
        <v>77.788012275566103</v>
      </c>
      <c r="AM928">
        <v>95.238937256866805</v>
      </c>
      <c r="AN928">
        <v>1.00000003817778</v>
      </c>
    </row>
    <row r="929" spans="1:40" x14ac:dyDescent="0.25">
      <c r="A929" t="str">
        <f>"20190304155031809"</f>
        <v>20190304155031809</v>
      </c>
      <c r="B929" t="str">
        <f>"1551685831797021"</f>
        <v>1551685831797021</v>
      </c>
      <c r="C929" t="s">
        <v>40</v>
      </c>
      <c r="D929">
        <v>4.1800030000000001</v>
      </c>
      <c r="E929">
        <v>0.55650840000000001</v>
      </c>
      <c r="F929" t="s">
        <v>43</v>
      </c>
      <c r="G929">
        <v>-168.84350000000001</v>
      </c>
      <c r="H929">
        <v>8.7382030000000004</v>
      </c>
      <c r="I929">
        <v>360.92619999999999</v>
      </c>
      <c r="J929">
        <v>-308.25099999999998</v>
      </c>
      <c r="K929">
        <v>1.060154</v>
      </c>
      <c r="L929">
        <v>367.60750000000002</v>
      </c>
      <c r="M929">
        <v>0.99995769999999995</v>
      </c>
      <c r="N929">
        <v>-6.1201629999999996E-3</v>
      </c>
      <c r="O929">
        <v>6.8709519999999996E-3</v>
      </c>
      <c r="P929">
        <v>0.97396210000000005</v>
      </c>
      <c r="Q929">
        <v>0.20544970000000001</v>
      </c>
      <c r="R929">
        <v>9.5856209999999997E-2</v>
      </c>
      <c r="S929">
        <v>3.0594790000000001</v>
      </c>
      <c r="T929">
        <v>0.16811499999999999</v>
      </c>
      <c r="U929">
        <v>-0.14624019999999999</v>
      </c>
      <c r="V929">
        <v>-8.9127799999999993E-2</v>
      </c>
      <c r="W929">
        <v>0.2114249</v>
      </c>
      <c r="X929">
        <v>0.97332200000000002</v>
      </c>
      <c r="Y929">
        <v>5.4521E-2</v>
      </c>
      <c r="Z929">
        <v>1.7479629999999999E-3</v>
      </c>
      <c r="AA929">
        <v>0.99851109999999998</v>
      </c>
      <c r="AB929">
        <v>34</v>
      </c>
      <c r="AC929">
        <v>139.407499999999</v>
      </c>
      <c r="AD929">
        <v>7.6780489999999997</v>
      </c>
      <c r="AE929">
        <v>-6.6813000000000198</v>
      </c>
      <c r="AF929">
        <v>7.6159730889615398</v>
      </c>
      <c r="AG929">
        <v>7.6780489999999997</v>
      </c>
      <c r="AH929">
        <v>138.93781344364999</v>
      </c>
      <c r="AI929">
        <v>86.841641996181394</v>
      </c>
      <c r="AJ929">
        <v>86.862431941541303</v>
      </c>
      <c r="AK929">
        <v>139.358069328765</v>
      </c>
      <c r="AL929">
        <v>77.794131706464896</v>
      </c>
      <c r="AM929">
        <v>95.232024702361997</v>
      </c>
      <c r="AN929">
        <v>0.99999998437842397</v>
      </c>
    </row>
    <row r="930" spans="1:40" x14ac:dyDescent="0.25">
      <c r="A930" t="str">
        <f>"20190304155031821"</f>
        <v>20190304155031821</v>
      </c>
      <c r="B930" t="str">
        <f>"1551685831817517"</f>
        <v>1551685831817517</v>
      </c>
      <c r="C930" t="s">
        <v>40</v>
      </c>
      <c r="D930">
        <v>5.1974229999999997</v>
      </c>
      <c r="E930">
        <v>0.55693890000000001</v>
      </c>
      <c r="F930" t="s">
        <v>43</v>
      </c>
      <c r="G930">
        <v>-170.08879999999999</v>
      </c>
      <c r="H930">
        <v>7.9508779999999897</v>
      </c>
      <c r="I930">
        <v>360.41520000000003</v>
      </c>
      <c r="J930">
        <v>-308.06479999999999</v>
      </c>
      <c r="K930">
        <v>1.060176</v>
      </c>
      <c r="L930">
        <v>367.6087</v>
      </c>
      <c r="M930">
        <v>0.99995630000000002</v>
      </c>
      <c r="N930">
        <v>-6.4051430000000003E-3</v>
      </c>
      <c r="O930">
        <v>6.8289730000000003E-3</v>
      </c>
      <c r="P930">
        <v>0.97405960000000003</v>
      </c>
      <c r="Q930">
        <v>0.20498359999999999</v>
      </c>
      <c r="R930">
        <v>9.5862749999999997E-2</v>
      </c>
      <c r="S930">
        <v>3.06366</v>
      </c>
      <c r="T930">
        <v>0.1527994</v>
      </c>
      <c r="U930">
        <v>-0.15948490000000001</v>
      </c>
      <c r="V930">
        <v>-8.9171390000000003E-2</v>
      </c>
      <c r="W930">
        <v>0.21123800000000001</v>
      </c>
      <c r="X930">
        <v>0.97335859999999996</v>
      </c>
      <c r="Y930">
        <v>5.873105E-2</v>
      </c>
      <c r="Z930">
        <v>1.6582249999999999E-3</v>
      </c>
      <c r="AA930">
        <v>0.99827250000000001</v>
      </c>
      <c r="AB930">
        <v>34</v>
      </c>
      <c r="AC930">
        <v>137.976</v>
      </c>
      <c r="AD930">
        <v>6.8907019999999903</v>
      </c>
      <c r="AE930">
        <v>-7.19349999999997</v>
      </c>
      <c r="AF930">
        <v>8.1153998122728108</v>
      </c>
      <c r="AG930">
        <v>6.8907019999999903</v>
      </c>
      <c r="AH930">
        <v>137.581440969612</v>
      </c>
      <c r="AI930">
        <v>87.137730403440202</v>
      </c>
      <c r="AJ930">
        <v>86.624253957336506</v>
      </c>
      <c r="AK930">
        <v>137.99273309649499</v>
      </c>
      <c r="AL930">
        <v>77.805087889744698</v>
      </c>
      <c r="AM930">
        <v>95.2343735972171</v>
      </c>
      <c r="AN930">
        <v>0.99999999681624596</v>
      </c>
    </row>
    <row r="931" spans="1:40" x14ac:dyDescent="0.25">
      <c r="A931" t="str">
        <f>"20190304155031833"</f>
        <v>20190304155031833</v>
      </c>
      <c r="B931" t="str">
        <f>"1551685831827278"</f>
        <v>1551685831827278</v>
      </c>
      <c r="C931" t="s">
        <v>40</v>
      </c>
      <c r="D931">
        <v>5.1955210000000003</v>
      </c>
      <c r="E931">
        <v>0.55754939999999997</v>
      </c>
      <c r="F931" t="s">
        <v>43</v>
      </c>
      <c r="G931">
        <v>-170.08879999999999</v>
      </c>
      <c r="H931">
        <v>7.1568259999999997</v>
      </c>
      <c r="I931">
        <v>360.28250000000003</v>
      </c>
      <c r="J931">
        <v>-307.8888</v>
      </c>
      <c r="K931">
        <v>1.060195</v>
      </c>
      <c r="L931">
        <v>367.60989999999998</v>
      </c>
      <c r="M931">
        <v>0.99995469999999997</v>
      </c>
      <c r="N931">
        <v>-6.6809840000000001E-3</v>
      </c>
      <c r="O931">
        <v>6.7873330000000004E-3</v>
      </c>
      <c r="P931">
        <v>0.97418800000000005</v>
      </c>
      <c r="Q931">
        <v>0.2044176</v>
      </c>
      <c r="R931">
        <v>9.5767130000000006E-2</v>
      </c>
      <c r="S931">
        <v>3.0674130000000002</v>
      </c>
      <c r="T931">
        <v>0.13553950000000001</v>
      </c>
      <c r="U931">
        <v>-0.1628723</v>
      </c>
      <c r="V931">
        <v>-8.9111750000000003E-2</v>
      </c>
      <c r="W931">
        <v>0.21094299999999999</v>
      </c>
      <c r="X931">
        <v>0.97342810000000002</v>
      </c>
      <c r="Y931">
        <v>5.9741570000000001E-2</v>
      </c>
      <c r="Z931">
        <v>1.4633889999999901E-3</v>
      </c>
      <c r="AA931">
        <v>0.99821280000000001</v>
      </c>
      <c r="AB931">
        <v>34</v>
      </c>
      <c r="AC931">
        <v>137.80000000000001</v>
      </c>
      <c r="AD931">
        <v>6.0966310000000004</v>
      </c>
      <c r="AE931">
        <v>-7.3273999999999502</v>
      </c>
      <c r="AF931">
        <v>8.2464503669367097</v>
      </c>
      <c r="AG931">
        <v>6.0966310000000004</v>
      </c>
      <c r="AH931">
        <v>137.478747854803</v>
      </c>
      <c r="AI931">
        <v>87.465375379148298</v>
      </c>
      <c r="AJ931">
        <v>86.567314162888493</v>
      </c>
      <c r="AK931">
        <v>137.860723068353</v>
      </c>
      <c r="AL931">
        <v>77.822380567230198</v>
      </c>
      <c r="AM931">
        <v>95.230520748537501</v>
      </c>
      <c r="AN931">
        <v>1.00000005955333</v>
      </c>
    </row>
    <row r="932" spans="1:40" x14ac:dyDescent="0.25">
      <c r="A932" t="str">
        <f>"20190304155031843"</f>
        <v>20190304155031843</v>
      </c>
      <c r="B932" t="str">
        <f>"1551685831837037"</f>
        <v>1551685831837037</v>
      </c>
      <c r="C932" t="s">
        <v>40</v>
      </c>
      <c r="D932">
        <v>5.1783679999999999</v>
      </c>
      <c r="E932">
        <v>0.55764309999999995</v>
      </c>
      <c r="F932" t="s">
        <v>43</v>
      </c>
      <c r="G932">
        <v>-167.86070000000001</v>
      </c>
      <c r="H932">
        <v>6.6740880000000002</v>
      </c>
      <c r="I932">
        <v>359.93369999999999</v>
      </c>
      <c r="J932">
        <v>-307.72000000000003</v>
      </c>
      <c r="K932">
        <v>1.060211</v>
      </c>
      <c r="L932">
        <v>367.61099999999999</v>
      </c>
      <c r="M932">
        <v>0.99995310000000004</v>
      </c>
      <c r="N932">
        <v>-6.9527449999999998E-3</v>
      </c>
      <c r="O932">
        <v>6.7449429999999998E-3</v>
      </c>
      <c r="P932">
        <v>0.97432719999999995</v>
      </c>
      <c r="Q932">
        <v>0.20384559999999999</v>
      </c>
      <c r="R932">
        <v>9.5569669999999995E-2</v>
      </c>
      <c r="S932">
        <v>3.07016</v>
      </c>
      <c r="T932">
        <v>0.12308819999999999</v>
      </c>
      <c r="U932">
        <v>-0.16830439999999999</v>
      </c>
      <c r="V932">
        <v>-8.8951100000000005E-2</v>
      </c>
      <c r="W932">
        <v>0.21063860000000001</v>
      </c>
      <c r="X932">
        <v>0.9735087</v>
      </c>
      <c r="Y932">
        <v>6.1422919999999999E-2</v>
      </c>
      <c r="Z932">
        <v>1.3330529999999901E-3</v>
      </c>
      <c r="AA932">
        <v>0.99811090000000002</v>
      </c>
      <c r="AB932">
        <v>34</v>
      </c>
      <c r="AC932">
        <v>139.85929999999999</v>
      </c>
      <c r="AD932">
        <v>5.6138769999999996</v>
      </c>
      <c r="AE932">
        <v>-7.6772999999999998</v>
      </c>
      <c r="AF932">
        <v>8.6066659456473396</v>
      </c>
      <c r="AG932">
        <v>5.6138769999999996</v>
      </c>
      <c r="AH932">
        <v>139.580121623812</v>
      </c>
      <c r="AI932">
        <v>87.701180996420604</v>
      </c>
      <c r="AJ932">
        <v>86.471545656854403</v>
      </c>
      <c r="AK932">
        <v>139.95785317798101</v>
      </c>
      <c r="AL932">
        <v>77.840222208663306</v>
      </c>
      <c r="AM932">
        <v>95.220713479553496</v>
      </c>
      <c r="AN932">
        <v>1.0000000534884199</v>
      </c>
    </row>
    <row r="933" spans="1:40" x14ac:dyDescent="0.25">
      <c r="A933" t="str">
        <f>"20190304155031855"</f>
        <v>20190304155031855</v>
      </c>
      <c r="B933" t="str">
        <f>"1551685831847306"</f>
        <v>1551685831847306</v>
      </c>
      <c r="C933" t="s">
        <v>40</v>
      </c>
      <c r="D933">
        <v>5.2283540000000004</v>
      </c>
      <c r="E933">
        <v>0.55801299999999998</v>
      </c>
      <c r="F933" t="s">
        <v>43</v>
      </c>
      <c r="G933">
        <v>-158.57660000000001</v>
      </c>
      <c r="H933">
        <v>6.6740880000000002</v>
      </c>
      <c r="I933">
        <v>359.37329999999997</v>
      </c>
      <c r="J933">
        <v>-307.55130000000003</v>
      </c>
      <c r="K933">
        <v>1.0602210000000001</v>
      </c>
      <c r="L933">
        <v>367.6121</v>
      </c>
      <c r="M933">
        <v>0.99995149999999999</v>
      </c>
      <c r="N933">
        <v>-7.2272519999999896E-3</v>
      </c>
      <c r="O933">
        <v>6.698865E-3</v>
      </c>
      <c r="P933">
        <v>0.97447439999999996</v>
      </c>
      <c r="Q933">
        <v>0.2032419</v>
      </c>
      <c r="R933">
        <v>9.5354380000000002E-2</v>
      </c>
      <c r="S933">
        <v>3.0714419999999998</v>
      </c>
      <c r="T933">
        <v>0.1156132</v>
      </c>
      <c r="U933">
        <v>-0.1696472</v>
      </c>
      <c r="V933">
        <v>-8.8776129999999995E-2</v>
      </c>
      <c r="W933">
        <v>0.21030389999999999</v>
      </c>
      <c r="X933">
        <v>0.97359700000000005</v>
      </c>
      <c r="Y933">
        <v>6.1795339999999997E-2</v>
      </c>
      <c r="Z933">
        <v>1.2384309999999999E-3</v>
      </c>
      <c r="AA933">
        <v>0.99808810000000003</v>
      </c>
      <c r="AB933">
        <v>34</v>
      </c>
      <c r="AC933">
        <v>148.97470000000001</v>
      </c>
      <c r="AD933">
        <v>5.6138669999999999</v>
      </c>
      <c r="AE933">
        <v>-8.2388000000000208</v>
      </c>
      <c r="AF933">
        <v>9.2235447200594294</v>
      </c>
      <c r="AG933">
        <v>5.6138669999999999</v>
      </c>
      <c r="AH933">
        <v>148.70564172469</v>
      </c>
      <c r="AI933">
        <v>87.842165615592293</v>
      </c>
      <c r="AJ933">
        <v>86.450746356839204</v>
      </c>
      <c r="AK933">
        <v>149.09714001498699</v>
      </c>
      <c r="AL933">
        <v>77.859838158312698</v>
      </c>
      <c r="AM933">
        <v>95.210030766534899</v>
      </c>
      <c r="AN933">
        <v>1.0000000250109899</v>
      </c>
    </row>
    <row r="934" spans="1:40" x14ac:dyDescent="0.25">
      <c r="A934" t="str">
        <f>"20190304155031865"</f>
        <v>20190304155031865</v>
      </c>
      <c r="B934" t="str">
        <f>"1551685831857066"</f>
        <v>1551685831857066</v>
      </c>
      <c r="C934" t="s">
        <v>40</v>
      </c>
      <c r="D934">
        <v>5.1746489999999996</v>
      </c>
      <c r="E934">
        <v>0.55812839999999997</v>
      </c>
      <c r="F934" t="s">
        <v>43</v>
      </c>
      <c r="G934">
        <v>-158.19499999999999</v>
      </c>
      <c r="H934">
        <v>6.3414519999999897</v>
      </c>
      <c r="I934">
        <v>359.18979999999999</v>
      </c>
      <c r="J934">
        <v>-307.38</v>
      </c>
      <c r="K934">
        <v>1.0602229999999999</v>
      </c>
      <c r="L934">
        <v>367.61320000000001</v>
      </c>
      <c r="M934">
        <v>0.99994970000000005</v>
      </c>
      <c r="N934">
        <v>-7.5073369999999898E-3</v>
      </c>
      <c r="O934">
        <v>6.6498019999999998E-3</v>
      </c>
      <c r="P934">
        <v>0.97456940000000003</v>
      </c>
      <c r="Q934">
        <v>0.20280239999999999</v>
      </c>
      <c r="R934">
        <v>9.5318319999999998E-2</v>
      </c>
      <c r="S934">
        <v>3.072845</v>
      </c>
      <c r="T934">
        <v>0.1086574</v>
      </c>
      <c r="U934">
        <v>-0.17327879999999901</v>
      </c>
      <c r="V934">
        <v>-8.8783509999999996E-2</v>
      </c>
      <c r="W934">
        <v>0.2101402</v>
      </c>
      <c r="X934">
        <v>0.97363160000000004</v>
      </c>
      <c r="Y934">
        <v>6.2902159999999999E-2</v>
      </c>
      <c r="Z934">
        <v>1.1592869999999999E-3</v>
      </c>
      <c r="AA934">
        <v>0.99801899999999999</v>
      </c>
      <c r="AB934">
        <v>34</v>
      </c>
      <c r="AC934">
        <v>149.185</v>
      </c>
      <c r="AD934">
        <v>5.2812289999999997</v>
      </c>
      <c r="AE934">
        <v>-8.4234000000000098</v>
      </c>
      <c r="AF934">
        <v>9.4035453701087004</v>
      </c>
      <c r="AG934">
        <v>5.2812289999999997</v>
      </c>
      <c r="AH934">
        <v>148.93962810724599</v>
      </c>
      <c r="AI934">
        <v>87.973240153775706</v>
      </c>
      <c r="AJ934">
        <v>86.387333103558106</v>
      </c>
      <c r="AK934">
        <v>149.32960478754001</v>
      </c>
      <c r="AL934">
        <v>77.869430985679202</v>
      </c>
      <c r="AM934">
        <v>95.210277349579997</v>
      </c>
      <c r="AN934">
        <v>0.99999995391125895</v>
      </c>
    </row>
    <row r="935" spans="1:40" x14ac:dyDescent="0.25">
      <c r="A935" t="str">
        <f>"20190304155031877"</f>
        <v>20190304155031877</v>
      </c>
      <c r="B935" t="str">
        <f>"1551685831867802"</f>
        <v>1551685831867802</v>
      </c>
      <c r="C935" t="s">
        <v>40</v>
      </c>
      <c r="D935">
        <v>5.2539870000000004</v>
      </c>
      <c r="E935">
        <v>0.55842789999999998</v>
      </c>
      <c r="F935" t="s">
        <v>43</v>
      </c>
      <c r="G935">
        <v>-158.19499999999999</v>
      </c>
      <c r="H935">
        <v>5.9903430000000002</v>
      </c>
      <c r="I935">
        <v>359.15379999999999</v>
      </c>
      <c r="J935">
        <v>-307.20740000000001</v>
      </c>
      <c r="K935">
        <v>1.0602279999999999</v>
      </c>
      <c r="L935">
        <v>367.61430000000001</v>
      </c>
      <c r="M935">
        <v>0.9999479</v>
      </c>
      <c r="N935">
        <v>-7.7870709999999996E-3</v>
      </c>
      <c r="O935">
        <v>6.5964250000000004E-3</v>
      </c>
      <c r="P935">
        <v>0.97467820000000005</v>
      </c>
      <c r="Q935">
        <v>0.20234679999999999</v>
      </c>
      <c r="R935">
        <v>9.5174949999999994E-2</v>
      </c>
      <c r="S935">
        <v>3.0741580000000002</v>
      </c>
      <c r="T935">
        <v>0.1015935</v>
      </c>
      <c r="U935">
        <v>-0.17431640000000001</v>
      </c>
      <c r="V935">
        <v>-8.8688160000000002E-2</v>
      </c>
      <c r="W935">
        <v>0.20995839999999999</v>
      </c>
      <c r="X935">
        <v>0.97367950000000003</v>
      </c>
      <c r="Y935">
        <v>6.3165949999999998E-2</v>
      </c>
      <c r="Z935">
        <v>1.0655059999999999E-3</v>
      </c>
      <c r="AA935">
        <v>0.99800250000000001</v>
      </c>
      <c r="AB935">
        <v>34</v>
      </c>
      <c r="AC935">
        <v>149.01240000000001</v>
      </c>
      <c r="AD935">
        <v>4.9301149999999998</v>
      </c>
      <c r="AE935">
        <v>-8.4605000000000192</v>
      </c>
      <c r="AF935">
        <v>9.4330023496747799</v>
      </c>
      <c r="AG935">
        <v>4.9301149999999998</v>
      </c>
      <c r="AH935">
        <v>148.790998583516</v>
      </c>
      <c r="AI935">
        <v>88.106027035203098</v>
      </c>
      <c r="AJ935">
        <v>86.372436032961303</v>
      </c>
      <c r="AK935">
        <v>149.171206426449</v>
      </c>
      <c r="AL935">
        <v>77.880084921573896</v>
      </c>
      <c r="AM935">
        <v>95.204457825946903</v>
      </c>
      <c r="AN935">
        <v>0.99999994408749604</v>
      </c>
    </row>
    <row r="936" spans="1:40" x14ac:dyDescent="0.25">
      <c r="A936" t="str">
        <f>"20190304155031888"</f>
        <v>20190304155031888</v>
      </c>
      <c r="B936" t="str">
        <f>"1551685831877561"</f>
        <v>1551685831877561</v>
      </c>
      <c r="C936" t="s">
        <v>40</v>
      </c>
      <c r="D936">
        <v>5.2055319999999998</v>
      </c>
      <c r="E936">
        <v>0.55871519999999997</v>
      </c>
      <c r="F936" t="s">
        <v>43</v>
      </c>
      <c r="G936">
        <v>-158.19499999999999</v>
      </c>
      <c r="H936">
        <v>5.70608</v>
      </c>
      <c r="I936">
        <v>359.03480000000002</v>
      </c>
      <c r="J936">
        <v>-307.036</v>
      </c>
      <c r="K936">
        <v>1.0602320000000001</v>
      </c>
      <c r="L936">
        <v>367.61529999999999</v>
      </c>
      <c r="M936">
        <v>0.99994620000000001</v>
      </c>
      <c r="N936">
        <v>-8.0634369999999997E-3</v>
      </c>
      <c r="O936">
        <v>6.5421289999999998E-3</v>
      </c>
      <c r="P936">
        <v>0.97475179999999995</v>
      </c>
      <c r="Q936">
        <v>0.2020913</v>
      </c>
      <c r="R936">
        <v>9.4964930000000003E-2</v>
      </c>
      <c r="S936">
        <v>3.0753170000000001</v>
      </c>
      <c r="T936">
        <v>9.5882889999999998E-2</v>
      </c>
      <c r="U936">
        <v>-0.177063</v>
      </c>
      <c r="V936">
        <v>-8.8528159999999995E-2</v>
      </c>
      <c r="W936">
        <v>0.2099733</v>
      </c>
      <c r="X936">
        <v>0.97369090000000003</v>
      </c>
      <c r="Y936">
        <v>6.3982639999999993E-2</v>
      </c>
      <c r="Z936">
        <v>9.9459479999999996E-4</v>
      </c>
      <c r="AA936">
        <v>0.99795049999999996</v>
      </c>
      <c r="AB936">
        <v>34</v>
      </c>
      <c r="AC936">
        <v>148.84100000000001</v>
      </c>
      <c r="AD936">
        <v>4.645848</v>
      </c>
      <c r="AE936">
        <v>-8.5804999999999705</v>
      </c>
      <c r="AF936">
        <v>9.5448163944925302</v>
      </c>
      <c r="AG936">
        <v>4.645848</v>
      </c>
      <c r="AH936">
        <v>148.637342986677</v>
      </c>
      <c r="AI936">
        <v>88.213408290123198</v>
      </c>
      <c r="AJ936">
        <v>86.325769603703904</v>
      </c>
      <c r="AK936">
        <v>149.01592919477699</v>
      </c>
      <c r="AL936">
        <v>77.879212380276201</v>
      </c>
      <c r="AM936">
        <v>95.195059530532703</v>
      </c>
      <c r="AN936">
        <v>0.99999999528434202</v>
      </c>
    </row>
    <row r="937" spans="1:40" x14ac:dyDescent="0.25">
      <c r="A937" t="str">
        <f>"20190304155031900"</f>
        <v>20190304155031900</v>
      </c>
      <c r="B937" t="str">
        <f>"1551685831897081"</f>
        <v>1551685831897081</v>
      </c>
      <c r="C937" t="s">
        <v>40</v>
      </c>
      <c r="D937">
        <v>5.1272080000000004</v>
      </c>
      <c r="E937">
        <v>0.55882659999999995</v>
      </c>
      <c r="F937" t="s">
        <v>43</v>
      </c>
      <c r="G937">
        <v>-158.19499999999999</v>
      </c>
      <c r="H937">
        <v>5.3623089999999998</v>
      </c>
      <c r="I937">
        <v>358.91109999999998</v>
      </c>
      <c r="J937">
        <v>-306.8562</v>
      </c>
      <c r="K937">
        <v>1.06023</v>
      </c>
      <c r="L937">
        <v>367.61649999999997</v>
      </c>
      <c r="M937">
        <v>0.99994439999999996</v>
      </c>
      <c r="N937">
        <v>-8.3414259999999903E-3</v>
      </c>
      <c r="O937">
        <v>6.4814139999999996E-3</v>
      </c>
      <c r="P937">
        <v>0.97487650000000003</v>
      </c>
      <c r="Q937">
        <v>0.20156679999999999</v>
      </c>
      <c r="R937">
        <v>9.4800010000000004E-2</v>
      </c>
      <c r="S937">
        <v>3.076813</v>
      </c>
      <c r="T937">
        <v>8.8933470000000001E-2</v>
      </c>
      <c r="U937">
        <v>-0.1799316</v>
      </c>
      <c r="V937">
        <v>-8.8419739999999997E-2</v>
      </c>
      <c r="W937">
        <v>0.20972199999999999</v>
      </c>
      <c r="X937">
        <v>0.97375489999999998</v>
      </c>
      <c r="Y937">
        <v>6.4825859999999999E-2</v>
      </c>
      <c r="Z937">
        <v>9.0638960000000005E-4</v>
      </c>
      <c r="AA937">
        <v>0.99789620000000001</v>
      </c>
      <c r="AB937">
        <v>34</v>
      </c>
      <c r="AC937">
        <v>148.66120000000001</v>
      </c>
      <c r="AD937">
        <v>4.302079</v>
      </c>
      <c r="AE937">
        <v>-8.7053999999999903</v>
      </c>
      <c r="AF937">
        <v>9.6607224788899693</v>
      </c>
      <c r="AG937">
        <v>4.302079</v>
      </c>
      <c r="AH937">
        <v>148.477733470327</v>
      </c>
      <c r="AI937">
        <v>88.343843549401996</v>
      </c>
      <c r="AJ937">
        <v>86.277290280288796</v>
      </c>
      <c r="AK937">
        <v>148.85387055438599</v>
      </c>
      <c r="AL937">
        <v>77.893938596620004</v>
      </c>
      <c r="AM937">
        <v>95.188392749030101</v>
      </c>
      <c r="AN937">
        <v>0.99999998648983801</v>
      </c>
    </row>
    <row r="938" spans="1:40" x14ac:dyDescent="0.25">
      <c r="A938" t="str">
        <f>"20190304155031911"</f>
        <v>20190304155031911</v>
      </c>
      <c r="B938" t="str">
        <f>"1551685831907818"</f>
        <v>1551685831907818</v>
      </c>
      <c r="C938" t="s">
        <v>40</v>
      </c>
      <c r="D938">
        <v>5.1778969999999997</v>
      </c>
      <c r="E938">
        <v>0.55884619999999996</v>
      </c>
      <c r="F938" t="s">
        <v>43</v>
      </c>
      <c r="G938">
        <v>-158.19499999999999</v>
      </c>
      <c r="H938">
        <v>4.8626760000000004</v>
      </c>
      <c r="I938">
        <v>358.85289999999998</v>
      </c>
      <c r="J938">
        <v>-306.68639999999999</v>
      </c>
      <c r="K938">
        <v>1.060233</v>
      </c>
      <c r="L938">
        <v>367.61750000000001</v>
      </c>
      <c r="M938">
        <v>0.99994240000000001</v>
      </c>
      <c r="N938">
        <v>-8.5978970000000002E-3</v>
      </c>
      <c r="O938">
        <v>6.4227859999999998E-3</v>
      </c>
      <c r="P938">
        <v>0.97497959999999995</v>
      </c>
      <c r="Q938">
        <v>0.20102719999999999</v>
      </c>
      <c r="R938">
        <v>9.4884720000000006E-2</v>
      </c>
      <c r="S938">
        <v>3.0786739999999999</v>
      </c>
      <c r="T938">
        <v>7.8747869999999998E-2</v>
      </c>
      <c r="U938">
        <v>-0.18148800000000001</v>
      </c>
      <c r="V938">
        <v>-8.855905E-2</v>
      </c>
      <c r="W938">
        <v>0.20943390000000001</v>
      </c>
      <c r="X938">
        <v>0.97380420000000001</v>
      </c>
      <c r="Y938">
        <v>6.5240729999999997E-2</v>
      </c>
      <c r="Z938">
        <v>7.7205920000000003E-4</v>
      </c>
      <c r="AA938">
        <v>0.99786929999999996</v>
      </c>
      <c r="AB938">
        <v>34</v>
      </c>
      <c r="AC938">
        <v>148.4914</v>
      </c>
      <c r="AD938">
        <v>3.8024429999999998</v>
      </c>
      <c r="AE938">
        <v>-8.7646000000000299</v>
      </c>
      <c r="AF938">
        <v>9.7118367531586003</v>
      </c>
      <c r="AG938">
        <v>3.8024429999999998</v>
      </c>
      <c r="AH938">
        <v>148.335112120009</v>
      </c>
      <c r="AI938">
        <v>88.534729354203193</v>
      </c>
      <c r="AJ938">
        <v>86.254061525240203</v>
      </c>
      <c r="AK938">
        <v>148.701324249463</v>
      </c>
      <c r="AL938">
        <v>77.910819876038104</v>
      </c>
      <c r="AM938">
        <v>95.196260977642396</v>
      </c>
      <c r="AN938">
        <v>0.99999994187187402</v>
      </c>
    </row>
    <row r="939" spans="1:40" x14ac:dyDescent="0.25">
      <c r="A939" t="str">
        <f>"20190304155031922"</f>
        <v>20190304155031922</v>
      </c>
      <c r="B939" t="str">
        <f>"1551685831917578"</f>
        <v>1551685831917578</v>
      </c>
      <c r="C939" t="s">
        <v>40</v>
      </c>
      <c r="D939">
        <v>5.2112660000000002</v>
      </c>
      <c r="E939">
        <v>0.55912609999999996</v>
      </c>
      <c r="F939" t="s">
        <v>43</v>
      </c>
      <c r="G939">
        <v>-158.19499999999999</v>
      </c>
      <c r="H939">
        <v>4.6309189999999996</v>
      </c>
      <c r="I939">
        <v>358.88060000000002</v>
      </c>
      <c r="J939">
        <v>-306.50569999999999</v>
      </c>
      <c r="K939">
        <v>1.0602290000000001</v>
      </c>
      <c r="L939">
        <v>367.61860000000001</v>
      </c>
      <c r="M939">
        <v>0.99994059999999996</v>
      </c>
      <c r="N939">
        <v>-8.8577719999999999E-3</v>
      </c>
      <c r="O939">
        <v>6.3568399999999999E-3</v>
      </c>
      <c r="P939">
        <v>0.97504040000000003</v>
      </c>
      <c r="Q939">
        <v>0.20083819999999999</v>
      </c>
      <c r="R939">
        <v>9.4659380000000001E-2</v>
      </c>
      <c r="S939">
        <v>3.0793460000000001</v>
      </c>
      <c r="T939">
        <v>7.4049000000000004E-2</v>
      </c>
      <c r="U939">
        <v>-0.18118290000000001</v>
      </c>
      <c r="V939">
        <v>-8.8395760000000004E-2</v>
      </c>
      <c r="W939">
        <v>0.20949870000000001</v>
      </c>
      <c r="X939">
        <v>0.97380509999999998</v>
      </c>
      <c r="Y939">
        <v>6.5066199999999894E-2</v>
      </c>
      <c r="Z939">
        <v>7.0204459999999996E-4</v>
      </c>
      <c r="AA939">
        <v>0.99788069999999895</v>
      </c>
      <c r="AB939">
        <v>34</v>
      </c>
      <c r="AC939">
        <v>148.3107</v>
      </c>
      <c r="AD939">
        <v>3.5706899999999999</v>
      </c>
      <c r="AE939">
        <v>-8.7379999999999995</v>
      </c>
      <c r="AF939">
        <v>9.6750591146304998</v>
      </c>
      <c r="AG939">
        <v>3.5706899999999999</v>
      </c>
      <c r="AH939">
        <v>148.166568539422</v>
      </c>
      <c r="AI939">
        <v>88.622419665836404</v>
      </c>
      <c r="AJ939">
        <v>86.263973812268603</v>
      </c>
      <c r="AK939">
        <v>148.52504377610899</v>
      </c>
      <c r="AL939">
        <v>77.907022905179204</v>
      </c>
      <c r="AM939">
        <v>95.186727367481097</v>
      </c>
      <c r="AN939">
        <v>0.99999994423683702</v>
      </c>
    </row>
    <row r="940" spans="1:40" x14ac:dyDescent="0.25">
      <c r="A940" t="str">
        <f>"20190304155031938"</f>
        <v>20190304155031938</v>
      </c>
      <c r="B940" t="str">
        <f>"1551685831927340"</f>
        <v>1551685831927340</v>
      </c>
      <c r="C940" t="s">
        <v>40</v>
      </c>
      <c r="D940">
        <v>5.227525</v>
      </c>
      <c r="E940">
        <v>0.5592087</v>
      </c>
      <c r="F940" t="s">
        <v>43</v>
      </c>
      <c r="G940">
        <v>-158.19499999999999</v>
      </c>
      <c r="H940">
        <v>4.3778350000000001</v>
      </c>
      <c r="I940">
        <v>358.7484</v>
      </c>
      <c r="J940">
        <v>-306.28609999999998</v>
      </c>
      <c r="K940">
        <v>1.060216</v>
      </c>
      <c r="L940">
        <v>367.61989999999997</v>
      </c>
      <c r="M940">
        <v>0.99993840000000001</v>
      </c>
      <c r="N940">
        <v>-9.1556050000000007E-3</v>
      </c>
      <c r="O940">
        <v>6.2755830000000004E-3</v>
      </c>
      <c r="P940">
        <v>0.97514780000000001</v>
      </c>
      <c r="Q940">
        <v>0.20030719999999999</v>
      </c>
      <c r="R940">
        <v>9.4677880000000006E-2</v>
      </c>
      <c r="S940">
        <v>3.080444</v>
      </c>
      <c r="T940">
        <v>6.8909170000000006E-2</v>
      </c>
      <c r="U940">
        <v>-0.1842346</v>
      </c>
      <c r="V940">
        <v>-8.8490920000000001E-2</v>
      </c>
      <c r="W940">
        <v>0.20926</v>
      </c>
      <c r="X940">
        <v>0.97384789999999999</v>
      </c>
      <c r="Y940">
        <v>6.595181E-2</v>
      </c>
      <c r="Z940">
        <v>6.323457E-4</v>
      </c>
      <c r="AA940">
        <v>0.9978226</v>
      </c>
      <c r="AB940">
        <v>34</v>
      </c>
      <c r="AC940">
        <v>148.09109999999899</v>
      </c>
      <c r="AD940">
        <v>3.3176190000000001</v>
      </c>
      <c r="AE940">
        <v>-8.8714999999999602</v>
      </c>
      <c r="AF940">
        <v>9.7958235352658907</v>
      </c>
      <c r="AG940">
        <v>3.3176190000000001</v>
      </c>
      <c r="AH940">
        <v>147.9585163571</v>
      </c>
      <c r="AI940">
        <v>88.718298241182495</v>
      </c>
      <c r="AJ940">
        <v>86.212171818558105</v>
      </c>
      <c r="AK940">
        <v>148.319544622943</v>
      </c>
      <c r="AL940">
        <v>77.921010863895603</v>
      </c>
      <c r="AM940">
        <v>95.192053540928001</v>
      </c>
      <c r="AN940">
        <v>1.0000000614284199</v>
      </c>
    </row>
    <row r="941" spans="1:40" x14ac:dyDescent="0.25">
      <c r="A941" t="str">
        <f>"20190304155031953"</f>
        <v>20190304155031953</v>
      </c>
      <c r="B941" t="str">
        <f>"1551685831947365"</f>
        <v>1551685831947365</v>
      </c>
      <c r="C941" t="s">
        <v>40</v>
      </c>
      <c r="D941">
        <v>5.2028100000000004</v>
      </c>
      <c r="E941">
        <v>0.55933089999999996</v>
      </c>
      <c r="F941" t="s">
        <v>43</v>
      </c>
      <c r="G941">
        <v>-158.19499999999999</v>
      </c>
      <c r="H941">
        <v>4.1817630000000001</v>
      </c>
      <c r="I941">
        <v>358.73079999999999</v>
      </c>
      <c r="J941">
        <v>-306.05259999999998</v>
      </c>
      <c r="K941">
        <v>1.0602039999999999</v>
      </c>
      <c r="L941">
        <v>367.62119999999999</v>
      </c>
      <c r="M941">
        <v>0.99993620000000005</v>
      </c>
      <c r="N941">
        <v>-9.4539949999999998E-3</v>
      </c>
      <c r="O941">
        <v>6.1873550000000003E-3</v>
      </c>
      <c r="P941">
        <v>0.97526880000000005</v>
      </c>
      <c r="Q941">
        <v>0.1997941</v>
      </c>
      <c r="R941">
        <v>9.4516550000000005E-2</v>
      </c>
      <c r="S941">
        <v>3.0810240000000002</v>
      </c>
      <c r="T941">
        <v>6.4945340000000004E-2</v>
      </c>
      <c r="U941">
        <v>-0.1849365</v>
      </c>
      <c r="V941">
        <v>-8.8412519999999994E-2</v>
      </c>
      <c r="W941">
        <v>0.20903939999999999</v>
      </c>
      <c r="X941">
        <v>0.9739023</v>
      </c>
      <c r="Y941">
        <v>6.6080979999999997E-2</v>
      </c>
      <c r="Z941">
        <v>5.7182049999999996E-4</v>
      </c>
      <c r="AA941">
        <v>0.99781410000000004</v>
      </c>
      <c r="AB941">
        <v>34</v>
      </c>
      <c r="AC941">
        <v>147.85759999999999</v>
      </c>
      <c r="AD941">
        <v>3.121559</v>
      </c>
      <c r="AE941">
        <v>-8.8903999999999996</v>
      </c>
      <c r="AF941">
        <v>9.8007655258565993</v>
      </c>
      <c r="AG941">
        <v>3.121559</v>
      </c>
      <c r="AH941">
        <v>147.73414906005499</v>
      </c>
      <c r="AI941">
        <v>88.792199052016599</v>
      </c>
      <c r="AJ941">
        <v>86.204527680917707</v>
      </c>
      <c r="AK941">
        <v>148.091788881024</v>
      </c>
      <c r="AL941">
        <v>77.933935018794699</v>
      </c>
      <c r="AM941">
        <v>95.187190482671596</v>
      </c>
      <c r="AN941">
        <v>0.99999996719519901</v>
      </c>
    </row>
    <row r="942" spans="1:40" x14ac:dyDescent="0.25">
      <c r="A942" t="str">
        <f>"20190304155031966"</f>
        <v>20190304155031966</v>
      </c>
      <c r="B942" t="str">
        <f>"1551685831957125"</f>
        <v>1551685831957125</v>
      </c>
      <c r="C942" t="s">
        <v>40</v>
      </c>
      <c r="D942">
        <v>5.020448</v>
      </c>
      <c r="E942">
        <v>0.55910400000000005</v>
      </c>
      <c r="F942" t="s">
        <v>43</v>
      </c>
      <c r="G942">
        <v>-158.19499999999999</v>
      </c>
      <c r="H942">
        <v>3.948115</v>
      </c>
      <c r="I942">
        <v>358.68979999999999</v>
      </c>
      <c r="J942">
        <v>-305.82799999999997</v>
      </c>
      <c r="K942">
        <v>1.060195</v>
      </c>
      <c r="L942">
        <v>367.6225</v>
      </c>
      <c r="M942">
        <v>0.9999342</v>
      </c>
      <c r="N942">
        <v>-9.7226780000000002E-3</v>
      </c>
      <c r="O942">
        <v>6.1004240000000001E-3</v>
      </c>
      <c r="P942">
        <v>0.97539039999999999</v>
      </c>
      <c r="Q942">
        <v>0.19932</v>
      </c>
      <c r="R942">
        <v>9.4262639999999995E-2</v>
      </c>
      <c r="S942">
        <v>3.0817869999999998</v>
      </c>
      <c r="T942">
        <v>6.0194369999999997E-2</v>
      </c>
      <c r="U942">
        <v>-0.18615719999999999</v>
      </c>
      <c r="V942">
        <v>-8.8240120000000005E-2</v>
      </c>
      <c r="W942">
        <v>0.20882909999999999</v>
      </c>
      <c r="X942">
        <v>0.97396309999999997</v>
      </c>
      <c r="Y942">
        <v>6.6375290000000003E-2</v>
      </c>
      <c r="Z942">
        <v>5.0287889999999999E-4</v>
      </c>
      <c r="AA942">
        <v>0.99779459999999998</v>
      </c>
      <c r="AB942">
        <v>34</v>
      </c>
      <c r="AC942">
        <v>147.63299999999899</v>
      </c>
      <c r="AD942">
        <v>2.8879199999999998</v>
      </c>
      <c r="AE942">
        <v>-8.9327000000000094</v>
      </c>
      <c r="AF942">
        <v>9.8294526316815301</v>
      </c>
      <c r="AG942">
        <v>2.8879199999999998</v>
      </c>
      <c r="AH942">
        <v>147.519514131737</v>
      </c>
      <c r="AI942">
        <v>88.880971509530198</v>
      </c>
      <c r="AJ942">
        <v>86.187928787760896</v>
      </c>
      <c r="AK942">
        <v>147.874829739982</v>
      </c>
      <c r="AL942">
        <v>77.946256851954303</v>
      </c>
      <c r="AM942">
        <v>95.176809310489105</v>
      </c>
      <c r="AN942">
        <v>1.00000001597301</v>
      </c>
    </row>
    <row r="943" spans="1:40" x14ac:dyDescent="0.25">
      <c r="A943" t="str">
        <f>"20190304155031979"</f>
        <v>20190304155031979</v>
      </c>
      <c r="B943" t="str">
        <f>"1551685831967862"</f>
        <v>1551685831967862</v>
      </c>
      <c r="C943" t="s">
        <v>40</v>
      </c>
      <c r="D943">
        <v>5.2162620000000004</v>
      </c>
      <c r="E943">
        <v>0.55919469999999905</v>
      </c>
      <c r="F943" t="s">
        <v>43</v>
      </c>
      <c r="G943">
        <v>-158.19499999999999</v>
      </c>
      <c r="H943">
        <v>3.7112090000000002</v>
      </c>
      <c r="I943">
        <v>358.73259999999999</v>
      </c>
      <c r="J943">
        <v>-305.64609999999999</v>
      </c>
      <c r="K943">
        <v>1.060184</v>
      </c>
      <c r="L943">
        <v>367.62360000000001</v>
      </c>
      <c r="M943">
        <v>0.99993270000000001</v>
      </c>
      <c r="N943">
        <v>-9.9196579999999996E-3</v>
      </c>
      <c r="O943">
        <v>6.0239289999999999E-3</v>
      </c>
      <c r="P943">
        <v>0.97545150000000003</v>
      </c>
      <c r="Q943">
        <v>0.19902329999999999</v>
      </c>
      <c r="R943">
        <v>9.4255800000000001E-2</v>
      </c>
      <c r="S943">
        <v>3.0823360000000002</v>
      </c>
      <c r="T943">
        <v>5.5350660000000003E-2</v>
      </c>
      <c r="U943">
        <v>-0.18560789999999999</v>
      </c>
      <c r="V943">
        <v>-8.8306190000000007E-2</v>
      </c>
      <c r="W943">
        <v>0.20872560000000001</v>
      </c>
      <c r="X943">
        <v>0.97397929999999999</v>
      </c>
      <c r="Y943">
        <v>6.611293E-2</v>
      </c>
      <c r="Z943">
        <v>4.325617E-4</v>
      </c>
      <c r="AA943">
        <v>0.99781200000000003</v>
      </c>
      <c r="AB943">
        <v>34</v>
      </c>
      <c r="AC943">
        <v>147.4511</v>
      </c>
      <c r="AD943">
        <v>2.6510250000000002</v>
      </c>
      <c r="AE943">
        <v>-8.8910000000000196</v>
      </c>
      <c r="AF943">
        <v>9.7759687026262192</v>
      </c>
      <c r="AG943">
        <v>2.6510250000000002</v>
      </c>
      <c r="AH943">
        <v>147.34740625019401</v>
      </c>
      <c r="AI943">
        <v>88.971525421988204</v>
      </c>
      <c r="AJ943">
        <v>86.204194771852798</v>
      </c>
      <c r="AK943">
        <v>147.695144220401</v>
      </c>
      <c r="AL943">
        <v>77.952320615934894</v>
      </c>
      <c r="AM943">
        <v>95.180578674222104</v>
      </c>
      <c r="AN943">
        <v>1.0000000180580799</v>
      </c>
    </row>
    <row r="944" spans="1:40" x14ac:dyDescent="0.25">
      <c r="A944" t="str">
        <f>"20190304155031992"</f>
        <v>20190304155031992</v>
      </c>
      <c r="B944" t="str">
        <f>"1551685831987382"</f>
        <v>1551685831987382</v>
      </c>
      <c r="C944" t="s">
        <v>40</v>
      </c>
      <c r="D944">
        <v>5.1763219999999999</v>
      </c>
      <c r="E944">
        <v>0.55930219999999997</v>
      </c>
      <c r="F944" t="s">
        <v>43</v>
      </c>
      <c r="G944">
        <v>-158.19499999999999</v>
      </c>
      <c r="H944">
        <v>3.62948</v>
      </c>
      <c r="I944">
        <v>358.71730000000002</v>
      </c>
      <c r="J944">
        <v>-305.45760000000001</v>
      </c>
      <c r="K944">
        <v>1.0601719999999999</v>
      </c>
      <c r="L944">
        <v>367.62459999999999</v>
      </c>
      <c r="M944">
        <v>0.99993120000000002</v>
      </c>
      <c r="N944">
        <v>-1.0116730000000001E-2</v>
      </c>
      <c r="O944">
        <v>5.9423439999999996E-3</v>
      </c>
      <c r="P944">
        <v>0.97546160000000004</v>
      </c>
      <c r="Q944">
        <v>0.199018</v>
      </c>
      <c r="R944">
        <v>9.4162709999999997E-2</v>
      </c>
      <c r="S944">
        <v>3.0825200000000001</v>
      </c>
      <c r="T944">
        <v>5.3713919999999998E-2</v>
      </c>
      <c r="U944">
        <v>-0.18618770000000001</v>
      </c>
      <c r="V944">
        <v>-8.829099E-2</v>
      </c>
      <c r="W944">
        <v>0.2089126</v>
      </c>
      <c r="X944">
        <v>0.97394060000000005</v>
      </c>
      <c r="Y944">
        <v>6.6215629999999998E-2</v>
      </c>
      <c r="Z944">
        <v>4.0458250000000002E-4</v>
      </c>
      <c r="AA944">
        <v>0.99780519999999995</v>
      </c>
      <c r="AB944">
        <v>34</v>
      </c>
      <c r="AC944">
        <v>147.26259999999999</v>
      </c>
      <c r="AD944">
        <v>2.5693079999999999</v>
      </c>
      <c r="AE944">
        <v>-8.9072999999999602</v>
      </c>
      <c r="AF944">
        <v>9.7793065134966</v>
      </c>
      <c r="AG944">
        <v>2.5693079999999999</v>
      </c>
      <c r="AH944">
        <v>147.162433497649</v>
      </c>
      <c r="AI944">
        <v>89.001975695003793</v>
      </c>
      <c r="AJ944">
        <v>86.198143865823198</v>
      </c>
      <c r="AK944">
        <v>147.509382794565</v>
      </c>
      <c r="AL944">
        <v>77.941364956968101</v>
      </c>
      <c r="AM944">
        <v>95.179896498605501</v>
      </c>
      <c r="AN944">
        <v>1.00000003284114</v>
      </c>
    </row>
    <row r="945" spans="1:40" x14ac:dyDescent="0.25">
      <c r="A945" t="str">
        <f>"20190304155032002"</f>
        <v>20190304155032002</v>
      </c>
      <c r="B945" t="str">
        <f>"1551685831997141"</f>
        <v>1551685831997141</v>
      </c>
      <c r="C945" t="s">
        <v>40</v>
      </c>
      <c r="D945">
        <v>4.2990500000000003</v>
      </c>
      <c r="E945">
        <v>0.55929879999999998</v>
      </c>
      <c r="F945" t="s">
        <v>43</v>
      </c>
      <c r="G945">
        <v>-158.19499999999999</v>
      </c>
      <c r="H945">
        <v>3.4814959999999999</v>
      </c>
      <c r="I945">
        <v>358.6823</v>
      </c>
      <c r="J945">
        <v>-305.2774</v>
      </c>
      <c r="K945">
        <v>1.060163</v>
      </c>
      <c r="L945">
        <v>367.62560000000002</v>
      </c>
      <c r="M945">
        <v>0.99992979999999998</v>
      </c>
      <c r="N945">
        <v>-1.029129E-2</v>
      </c>
      <c r="O945">
        <v>5.8602029999999996E-3</v>
      </c>
      <c r="P945">
        <v>0.97553179999999995</v>
      </c>
      <c r="Q945">
        <v>0.1986358</v>
      </c>
      <c r="R945">
        <v>9.4241249999999999E-2</v>
      </c>
      <c r="S945">
        <v>3.083221</v>
      </c>
      <c r="T945">
        <v>5.0696850000000002E-2</v>
      </c>
      <c r="U945">
        <v>-0.18722530000000001</v>
      </c>
      <c r="V945">
        <v>-8.8448319999999997E-2</v>
      </c>
      <c r="W945">
        <v>0.20870179999999999</v>
      </c>
      <c r="X945">
        <v>0.97397149999999999</v>
      </c>
      <c r="Y945">
        <v>6.6455570000000005E-2</v>
      </c>
      <c r="Z945">
        <v>3.6004279999999998E-4</v>
      </c>
      <c r="AA945">
        <v>0.99778929999999999</v>
      </c>
      <c r="AB945">
        <v>34</v>
      </c>
      <c r="AC945">
        <v>147.08240000000001</v>
      </c>
      <c r="AD945">
        <v>2.4213330000000002</v>
      </c>
      <c r="AE945">
        <v>-8.9433000000000202</v>
      </c>
      <c r="AF945">
        <v>9.8024780498220405</v>
      </c>
      <c r="AG945">
        <v>2.4213330000000002</v>
      </c>
      <c r="AH945">
        <v>146.98777319618199</v>
      </c>
      <c r="AI945">
        <v>89.058341932554299</v>
      </c>
      <c r="AJ945">
        <v>86.184647171119394</v>
      </c>
      <c r="AK945">
        <v>147.33416745136299</v>
      </c>
      <c r="AL945">
        <v>77.953714922701593</v>
      </c>
      <c r="AM945">
        <v>95.188912732868701</v>
      </c>
      <c r="AN945">
        <v>1.00000001472315</v>
      </c>
    </row>
    <row r="946" spans="1:40" x14ac:dyDescent="0.25">
      <c r="A946" t="str">
        <f>"20190304155032014"</f>
        <v>20190304155032014</v>
      </c>
      <c r="B946" t="str">
        <f>"1551685832007877"</f>
        <v>1551685832007877</v>
      </c>
      <c r="C946" t="s">
        <v>40</v>
      </c>
      <c r="D946">
        <v>4.2063870000000003</v>
      </c>
      <c r="E946">
        <v>0.5593051</v>
      </c>
      <c r="F946" t="s">
        <v>43</v>
      </c>
      <c r="G946">
        <v>-158.19499999999999</v>
      </c>
      <c r="H946">
        <v>3.5151729999999999</v>
      </c>
      <c r="I946">
        <v>358.69889999999998</v>
      </c>
      <c r="J946">
        <v>-305.10000000000002</v>
      </c>
      <c r="K946">
        <v>1.0601499999999999</v>
      </c>
      <c r="L946">
        <v>367.62650000000002</v>
      </c>
      <c r="M946">
        <v>0.99992890000000001</v>
      </c>
      <c r="N946">
        <v>-1.0451709999999999E-2</v>
      </c>
      <c r="O946">
        <v>5.7762669999999999E-3</v>
      </c>
      <c r="P946">
        <v>0.97556200000000004</v>
      </c>
      <c r="Q946">
        <v>0.1985952</v>
      </c>
      <c r="R946">
        <v>9.4016219999999998E-2</v>
      </c>
      <c r="S946">
        <v>3.0828549999999999</v>
      </c>
      <c r="T946">
        <v>5.1458950000000003E-2</v>
      </c>
      <c r="U946">
        <v>-0.1871033</v>
      </c>
      <c r="V946">
        <v>-8.8303499999999993E-2</v>
      </c>
      <c r="W946">
        <v>0.20881839999999999</v>
      </c>
      <c r="X946">
        <v>0.97395960000000004</v>
      </c>
      <c r="Y946">
        <v>6.6339499999999996E-2</v>
      </c>
      <c r="Z946">
        <v>3.6273840000000001E-4</v>
      </c>
      <c r="AA946">
        <v>0.99779709999999999</v>
      </c>
      <c r="AB946">
        <v>34</v>
      </c>
      <c r="AC946">
        <v>146.905</v>
      </c>
      <c r="AD946">
        <v>2.4550230000000002</v>
      </c>
      <c r="AE946">
        <v>-8.9276000000000302</v>
      </c>
      <c r="AF946">
        <v>9.7733402850118694</v>
      </c>
      <c r="AG946">
        <v>2.4550230000000002</v>
      </c>
      <c r="AH946">
        <v>146.81012785186499</v>
      </c>
      <c r="AI946">
        <v>89.0440797343919</v>
      </c>
      <c r="AJ946">
        <v>86.191365432943996</v>
      </c>
      <c r="AK946">
        <v>147.15556040509699</v>
      </c>
      <c r="AL946">
        <v>77.946883142829094</v>
      </c>
      <c r="AM946">
        <v>95.180525933872204</v>
      </c>
      <c r="AN946">
        <v>0.999999967361484</v>
      </c>
    </row>
    <row r="947" spans="1:40" x14ac:dyDescent="0.25">
      <c r="A947" t="str">
        <f>"20190304155032028"</f>
        <v>20190304155032028</v>
      </c>
      <c r="B947" t="str">
        <f>"1551685832017638"</f>
        <v>1551685832017638</v>
      </c>
      <c r="C947" t="s">
        <v>40</v>
      </c>
      <c r="D947">
        <v>5.1703609999999998</v>
      </c>
      <c r="E947">
        <v>0.55929830000000003</v>
      </c>
      <c r="F947" t="s">
        <v>43</v>
      </c>
      <c r="G947">
        <v>-158.19499999999999</v>
      </c>
      <c r="H947">
        <v>3.6875599999999999</v>
      </c>
      <c r="I947">
        <v>358.67200000000003</v>
      </c>
      <c r="J947">
        <v>-304.88130000000001</v>
      </c>
      <c r="K947">
        <v>1.0601339999999999</v>
      </c>
      <c r="L947">
        <v>367.6277</v>
      </c>
      <c r="M947">
        <v>0.99992740000000002</v>
      </c>
      <c r="N947">
        <v>-1.063892E-2</v>
      </c>
      <c r="O947">
        <v>5.6707499999999996E-3</v>
      </c>
      <c r="P947">
        <v>0.97558549999999999</v>
      </c>
      <c r="Q947">
        <v>0.19838249999999999</v>
      </c>
      <c r="R947">
        <v>9.4220700000000004E-2</v>
      </c>
      <c r="S947">
        <v>3.0820620000000001</v>
      </c>
      <c r="T947">
        <v>5.5124760000000002E-2</v>
      </c>
      <c r="U947">
        <v>-0.18786620000000001</v>
      </c>
      <c r="V947">
        <v>-8.8608240000000005E-2</v>
      </c>
      <c r="W947">
        <v>0.20878949999999999</v>
      </c>
      <c r="X947">
        <v>0.97393819999999998</v>
      </c>
      <c r="Y947">
        <v>6.6494819999999996E-2</v>
      </c>
      <c r="Z947">
        <v>4.0158149999999998E-4</v>
      </c>
      <c r="AA947">
        <v>0.99778670000000003</v>
      </c>
      <c r="AB947">
        <v>34</v>
      </c>
      <c r="AC947">
        <v>146.68629999999999</v>
      </c>
      <c r="AD947">
        <v>2.6274259999999998</v>
      </c>
      <c r="AE947">
        <v>-8.9557000000000304</v>
      </c>
      <c r="AF947">
        <v>9.7842968515561406</v>
      </c>
      <c r="AG947">
        <v>2.6274259999999998</v>
      </c>
      <c r="AH947">
        <v>146.586297407232</v>
      </c>
      <c r="AI947">
        <v>88.975414615095701</v>
      </c>
      <c r="AJ947">
        <v>86.181303392310397</v>
      </c>
      <c r="AK947">
        <v>146.93596707350599</v>
      </c>
      <c r="AL947">
        <v>77.948577280167896</v>
      </c>
      <c r="AM947">
        <v>95.198420013258797</v>
      </c>
      <c r="AN947">
        <v>1.0000000464626899</v>
      </c>
    </row>
    <row r="948" spans="1:40" x14ac:dyDescent="0.25">
      <c r="A948" t="str">
        <f>"20190304155032044"</f>
        <v>20190304155032044</v>
      </c>
      <c r="B948" t="str">
        <f>"1551685832037157"</f>
        <v>1551685832037157</v>
      </c>
      <c r="C948" t="s">
        <v>40</v>
      </c>
      <c r="D948">
        <v>5.2824410000000004</v>
      </c>
      <c r="E948">
        <v>0.55884040000000001</v>
      </c>
      <c r="F948" t="s">
        <v>43</v>
      </c>
      <c r="G948">
        <v>-158.19499999999999</v>
      </c>
      <c r="H948">
        <v>3.5912410000000001</v>
      </c>
      <c r="I948">
        <v>358.6961</v>
      </c>
      <c r="J948">
        <v>-304.64249999999998</v>
      </c>
      <c r="K948">
        <v>1.060114</v>
      </c>
      <c r="L948">
        <v>367.62889999999999</v>
      </c>
      <c r="M948">
        <v>0.99992610000000004</v>
      </c>
      <c r="N948">
        <v>-1.0825960000000001E-2</v>
      </c>
      <c r="O948">
        <v>5.5519609999999898E-3</v>
      </c>
      <c r="P948">
        <v>0.97568829999999995</v>
      </c>
      <c r="Q948">
        <v>0.19779930000000001</v>
      </c>
      <c r="R948">
        <v>9.4382640000000004E-2</v>
      </c>
      <c r="S948">
        <v>3.0823670000000001</v>
      </c>
      <c r="T948">
        <v>5.3188800000000001E-2</v>
      </c>
      <c r="U948">
        <v>-0.18768309999999999</v>
      </c>
      <c r="V948">
        <v>-8.8882059999999999E-2</v>
      </c>
      <c r="W948">
        <v>0.2083912</v>
      </c>
      <c r="X948">
        <v>0.97399849999999999</v>
      </c>
      <c r="Y948">
        <v>6.6311990000000001E-2</v>
      </c>
      <c r="Z948">
        <v>3.6801809999999999E-4</v>
      </c>
      <c r="AA948">
        <v>0.99779890000000004</v>
      </c>
      <c r="AB948">
        <v>34</v>
      </c>
      <c r="AC948">
        <v>146.44749999999999</v>
      </c>
      <c r="AD948">
        <v>2.5311270000000001</v>
      </c>
      <c r="AE948">
        <v>-8.9327999999999808</v>
      </c>
      <c r="AF948">
        <v>9.7428810717299292</v>
      </c>
      <c r="AG948">
        <v>2.5311270000000001</v>
      </c>
      <c r="AH948">
        <v>146.35208898583701</v>
      </c>
      <c r="AI948">
        <v>89.011368783549102</v>
      </c>
      <c r="AJ948">
        <v>86.1913525601434</v>
      </c>
      <c r="AK948">
        <v>146.697867353231</v>
      </c>
      <c r="AL948">
        <v>77.971910844796795</v>
      </c>
      <c r="AM948">
        <v>95.214074873441305</v>
      </c>
      <c r="AN948">
        <v>0.99999999541476603</v>
      </c>
    </row>
    <row r="949" spans="1:40" x14ac:dyDescent="0.25">
      <c r="A949" t="str">
        <f>"20190304155032056"</f>
        <v>20190304155032056</v>
      </c>
      <c r="B949" t="str">
        <f>"1551685832047424"</f>
        <v>1551685832047424</v>
      </c>
      <c r="C949" t="s">
        <v>40</v>
      </c>
      <c r="D949">
        <v>5.164536</v>
      </c>
      <c r="E949">
        <v>0.55891880000000005</v>
      </c>
      <c r="F949" t="s">
        <v>43</v>
      </c>
      <c r="G949">
        <v>-158.19499999999999</v>
      </c>
      <c r="H949">
        <v>3.5217049999999999</v>
      </c>
      <c r="I949">
        <v>358.9153</v>
      </c>
      <c r="J949">
        <v>-304.46890000000002</v>
      </c>
      <c r="K949">
        <v>1.0601020000000001</v>
      </c>
      <c r="L949">
        <v>367.62979999999999</v>
      </c>
      <c r="M949">
        <v>0.99992510000000001</v>
      </c>
      <c r="N949">
        <v>-1.095204E-2</v>
      </c>
      <c r="O949">
        <v>5.4636149999999998E-3</v>
      </c>
      <c r="P949">
        <v>0.97571300000000005</v>
      </c>
      <c r="Q949">
        <v>0.1976223</v>
      </c>
      <c r="R949">
        <v>9.4497369999999997E-2</v>
      </c>
      <c r="S949">
        <v>3.082001</v>
      </c>
      <c r="T949">
        <v>5.1806209999999998E-2</v>
      </c>
      <c r="U949">
        <v>-0.18338009999999999</v>
      </c>
      <c r="V949">
        <v>-8.9080480000000004E-2</v>
      </c>
      <c r="W949">
        <v>0.2083381</v>
      </c>
      <c r="X949">
        <v>0.97399179999999996</v>
      </c>
      <c r="Y949">
        <v>6.484347E-2</v>
      </c>
      <c r="Z949">
        <v>3.4058189999999999E-4</v>
      </c>
      <c r="AA949">
        <v>0.99789539999999999</v>
      </c>
      <c r="AB949">
        <v>34</v>
      </c>
      <c r="AC949">
        <v>146.2739</v>
      </c>
      <c r="AD949">
        <v>2.46160299999999</v>
      </c>
      <c r="AE949">
        <v>-8.7144999999999797</v>
      </c>
      <c r="AF949">
        <v>9.5109180998066591</v>
      </c>
      <c r="AG949">
        <v>2.46160299999999</v>
      </c>
      <c r="AH949">
        <v>146.18284754994801</v>
      </c>
      <c r="AI949">
        <v>89.0373107905409</v>
      </c>
      <c r="AJ949">
        <v>86.277480484828999</v>
      </c>
      <c r="AK949">
        <v>146.512600039185</v>
      </c>
      <c r="AL949">
        <v>77.9750223286498</v>
      </c>
      <c r="AM949">
        <v>95.225686132669196</v>
      </c>
      <c r="AN949">
        <v>1.0000000611479301</v>
      </c>
    </row>
    <row r="950" spans="1:40" x14ac:dyDescent="0.25">
      <c r="A950" t="str">
        <f>"20190304155032069"</f>
        <v>20190304155032069</v>
      </c>
      <c r="B950" t="str">
        <f>"1551685832057185"</f>
        <v>1551685832057185</v>
      </c>
      <c r="C950" t="s">
        <v>40</v>
      </c>
      <c r="D950">
        <v>5.1609170000000004</v>
      </c>
      <c r="E950">
        <v>0.55894960000000005</v>
      </c>
      <c r="F950" t="s">
        <v>43</v>
      </c>
      <c r="G950">
        <v>-158.19499999999999</v>
      </c>
      <c r="H950">
        <v>3.6328100000000001</v>
      </c>
      <c r="I950">
        <v>358.91640000000001</v>
      </c>
      <c r="J950">
        <v>-304.26799999999997</v>
      </c>
      <c r="K950">
        <v>1.060084</v>
      </c>
      <c r="L950">
        <v>367.63080000000002</v>
      </c>
      <c r="M950">
        <v>0.99992409999999998</v>
      </c>
      <c r="N950">
        <v>-1.109218E-2</v>
      </c>
      <c r="O950">
        <v>5.3597819999999996E-3</v>
      </c>
      <c r="P950">
        <v>0.97578200000000004</v>
      </c>
      <c r="Q950">
        <v>0.1972052</v>
      </c>
      <c r="R950">
        <v>9.4655379999999997E-2</v>
      </c>
      <c r="S950">
        <v>3.0814819999999998</v>
      </c>
      <c r="T950">
        <v>5.4199810000000001E-2</v>
      </c>
      <c r="U950">
        <v>-0.18356320000000001</v>
      </c>
      <c r="V950">
        <v>-8.933576E-2</v>
      </c>
      <c r="W950">
        <v>0.20805960000000001</v>
      </c>
      <c r="X950">
        <v>0.97402789999999995</v>
      </c>
      <c r="Y950">
        <v>6.4808290000000005E-2</v>
      </c>
      <c r="Z950">
        <v>3.632083E-4</v>
      </c>
      <c r="AA950">
        <v>0.9978977</v>
      </c>
      <c r="AB950">
        <v>34</v>
      </c>
      <c r="AC950">
        <v>146.07299999999901</v>
      </c>
      <c r="AD950">
        <v>2.5727259999999901</v>
      </c>
      <c r="AE950">
        <v>-8.7144000000000101</v>
      </c>
      <c r="AF950">
        <v>9.4943077036864505</v>
      </c>
      <c r="AG950">
        <v>2.5727259999999901</v>
      </c>
      <c r="AH950">
        <v>145.97906875547</v>
      </c>
      <c r="AI950">
        <v>88.992455576074207</v>
      </c>
      <c r="AJ950">
        <v>86.278790649353496</v>
      </c>
      <c r="AK950">
        <v>146.310113500597</v>
      </c>
      <c r="AL950">
        <v>77.991336115087805</v>
      </c>
      <c r="AM950">
        <v>95.240385090727202</v>
      </c>
      <c r="AN950">
        <v>1.00000001257267</v>
      </c>
    </row>
    <row r="951" spans="1:40" x14ac:dyDescent="0.25">
      <c r="A951" t="str">
        <f>"20190304155032081"</f>
        <v>20190304155032081</v>
      </c>
      <c r="B951" t="str">
        <f>"1551685832077680"</f>
        <v>1551685832077680</v>
      </c>
      <c r="C951" t="s">
        <v>40</v>
      </c>
      <c r="D951">
        <v>5.153105</v>
      </c>
      <c r="E951">
        <v>0.55882869999999996</v>
      </c>
      <c r="F951" t="s">
        <v>43</v>
      </c>
      <c r="G951">
        <v>-158.19499999999999</v>
      </c>
      <c r="H951">
        <v>3.7210580000000002</v>
      </c>
      <c r="I951">
        <v>358.92489999999998</v>
      </c>
      <c r="J951">
        <v>-304.06990000000002</v>
      </c>
      <c r="K951">
        <v>1.0600689999999999</v>
      </c>
      <c r="L951">
        <v>367.6318</v>
      </c>
      <c r="M951">
        <v>0.99992349999999997</v>
      </c>
      <c r="N951">
        <v>-1.1217070000000001E-2</v>
      </c>
      <c r="O951">
        <v>5.2517129999999999E-3</v>
      </c>
      <c r="P951">
        <v>0.97581980000000001</v>
      </c>
      <c r="Q951">
        <v>0.1969301</v>
      </c>
      <c r="R951">
        <v>9.4840369999999993E-2</v>
      </c>
      <c r="S951">
        <v>3.0809329999999999</v>
      </c>
      <c r="T951">
        <v>5.612636E-2</v>
      </c>
      <c r="U951">
        <v>-0.18362429999999999</v>
      </c>
      <c r="V951">
        <v>-8.9622480000000004E-2</v>
      </c>
      <c r="W951">
        <v>0.2079085</v>
      </c>
      <c r="X951">
        <v>0.97403379999999995</v>
      </c>
      <c r="Y951">
        <v>6.4730200000000002E-2</v>
      </c>
      <c r="Z951">
        <v>3.800791E-4</v>
      </c>
      <c r="AA951">
        <v>0.99790279999999998</v>
      </c>
      <c r="AB951">
        <v>34</v>
      </c>
      <c r="AC951">
        <v>145.8749</v>
      </c>
      <c r="AD951">
        <v>2.6609889999999998</v>
      </c>
      <c r="AE951">
        <v>-8.7069000000000099</v>
      </c>
      <c r="AF951">
        <v>9.4697811325111498</v>
      </c>
      <c r="AG951">
        <v>2.6609889999999998</v>
      </c>
      <c r="AH951">
        <v>145.77882259911499</v>
      </c>
      <c r="AI951">
        <v>88.956460578318598</v>
      </c>
      <c r="AJ951">
        <v>86.283292598698694</v>
      </c>
      <c r="AK951">
        <v>146.110310161672</v>
      </c>
      <c r="AL951">
        <v>78.000186763592296</v>
      </c>
      <c r="AM951">
        <v>95.257078170411901</v>
      </c>
      <c r="AN951">
        <v>0.99999998841801996</v>
      </c>
    </row>
    <row r="952" spans="1:40" x14ac:dyDescent="0.25">
      <c r="A952" t="str">
        <f>"20190304155032095"</f>
        <v>20190304155032095</v>
      </c>
      <c r="B952" t="str">
        <f>"1551685832087441"</f>
        <v>1551685832087441</v>
      </c>
      <c r="C952" t="s">
        <v>40</v>
      </c>
      <c r="D952">
        <v>5.239579</v>
      </c>
      <c r="E952">
        <v>0.55887549999999997</v>
      </c>
      <c r="F952" t="s">
        <v>43</v>
      </c>
      <c r="G952">
        <v>-158.19499999999999</v>
      </c>
      <c r="H952">
        <v>3.5605020000000001</v>
      </c>
      <c r="I952">
        <v>359.00240000000002</v>
      </c>
      <c r="J952">
        <v>-303.87560000000002</v>
      </c>
      <c r="K952">
        <v>1.0600540000000001</v>
      </c>
      <c r="L952">
        <v>367.63260000000002</v>
      </c>
      <c r="M952">
        <v>0.99992259999999999</v>
      </c>
      <c r="N952">
        <v>-1.1331630000000001E-2</v>
      </c>
      <c r="O952">
        <v>5.1410739999999998E-3</v>
      </c>
      <c r="P952">
        <v>0.97585710000000003</v>
      </c>
      <c r="Q952">
        <v>0.19673399999999999</v>
      </c>
      <c r="R952">
        <v>9.4863089999999997E-2</v>
      </c>
      <c r="S952">
        <v>3.0813600000000001</v>
      </c>
      <c r="T952">
        <v>5.2819249999999998E-2</v>
      </c>
      <c r="U952">
        <v>-0.18228150000000001</v>
      </c>
      <c r="V952">
        <v>-8.9748540000000002E-2</v>
      </c>
      <c r="W952">
        <v>0.20782639999999999</v>
      </c>
      <c r="X952">
        <v>0.97403969999999995</v>
      </c>
      <c r="Y952">
        <v>6.4179349999999996E-2</v>
      </c>
      <c r="Z952">
        <v>3.3182339999999902E-4</v>
      </c>
      <c r="AA952">
        <v>0.99793829999999994</v>
      </c>
      <c r="AB952">
        <v>34</v>
      </c>
      <c r="AC952">
        <v>145.6806</v>
      </c>
      <c r="AD952">
        <v>2.500448</v>
      </c>
      <c r="AE952">
        <v>-8.6302000000000003</v>
      </c>
      <c r="AF952">
        <v>9.3763361473712994</v>
      </c>
      <c r="AG952">
        <v>2.500448</v>
      </c>
      <c r="AH952">
        <v>145.591561955678</v>
      </c>
      <c r="AI952">
        <v>89.018109710459299</v>
      </c>
      <c r="AJ952">
        <v>86.315146300757903</v>
      </c>
      <c r="AK952">
        <v>145.91460116260899</v>
      </c>
      <c r="AL952">
        <v>78.004995628253099</v>
      </c>
      <c r="AM952">
        <v>95.264399375037797</v>
      </c>
      <c r="AN952">
        <v>0.99999997507258997</v>
      </c>
    </row>
    <row r="953" spans="1:40" x14ac:dyDescent="0.25">
      <c r="A953" t="str">
        <f>"20190304155032105"</f>
        <v>20190304155032105</v>
      </c>
      <c r="B953" t="str">
        <f>"1551685832097200"</f>
        <v>1551685832097200</v>
      </c>
      <c r="C953" t="s">
        <v>40</v>
      </c>
      <c r="D953">
        <v>4.397913</v>
      </c>
      <c r="E953">
        <v>0.55893549999999903</v>
      </c>
      <c r="F953" t="s">
        <v>43</v>
      </c>
      <c r="G953">
        <v>-158.19499999999999</v>
      </c>
      <c r="H953">
        <v>3.4928170000000001</v>
      </c>
      <c r="I953">
        <v>358.9966</v>
      </c>
      <c r="J953">
        <v>-303.69549999999998</v>
      </c>
      <c r="K953">
        <v>1.0600449999999999</v>
      </c>
      <c r="L953">
        <v>367.63350000000003</v>
      </c>
      <c r="M953">
        <v>0.99992210000000004</v>
      </c>
      <c r="N953">
        <v>-1.143219E-2</v>
      </c>
      <c r="O953">
        <v>5.0348090000000003E-3</v>
      </c>
      <c r="P953">
        <v>0.97587500000000005</v>
      </c>
      <c r="Q953">
        <v>0.19663729999999999</v>
      </c>
      <c r="R953">
        <v>9.4878619999999997E-2</v>
      </c>
      <c r="S953">
        <v>3.081604</v>
      </c>
      <c r="T953">
        <v>5.146241E-2</v>
      </c>
      <c r="U953">
        <v>-0.18267820000000001</v>
      </c>
      <c r="V953">
        <v>-8.9864139999999995E-2</v>
      </c>
      <c r="W953">
        <v>0.20782919999999999</v>
      </c>
      <c r="X953">
        <v>0.97402849999999996</v>
      </c>
      <c r="Y953">
        <v>6.419714E-2</v>
      </c>
      <c r="Z953">
        <v>3.0974179999999999E-4</v>
      </c>
      <c r="AA953">
        <v>0.99793719999999997</v>
      </c>
      <c r="AB953">
        <v>34</v>
      </c>
      <c r="AC953">
        <v>145.50049999999999</v>
      </c>
      <c r="AD953">
        <v>2.4327719999999902</v>
      </c>
      <c r="AE953">
        <v>-8.6369000000000202</v>
      </c>
      <c r="AF953">
        <v>9.3667961466783698</v>
      </c>
      <c r="AG953">
        <v>2.4327719999999902</v>
      </c>
      <c r="AH953">
        <v>145.41465832902301</v>
      </c>
      <c r="AI953">
        <v>89.043518924184298</v>
      </c>
      <c r="AJ953">
        <v>86.314419249943299</v>
      </c>
      <c r="AK953">
        <v>145.73633077103301</v>
      </c>
      <c r="AL953">
        <v>78.004832280612206</v>
      </c>
      <c r="AM953">
        <v>95.271202246997802</v>
      </c>
      <c r="AN953">
        <v>1.00000002942141</v>
      </c>
    </row>
    <row r="954" spans="1:40" x14ac:dyDescent="0.25">
      <c r="A954" t="str">
        <f>"20190304155032116"</f>
        <v>20190304155032116</v>
      </c>
      <c r="B954" t="str">
        <f>"1551685832107936"</f>
        <v>1551685832107936</v>
      </c>
      <c r="C954" t="s">
        <v>40</v>
      </c>
      <c r="D954">
        <v>4.4030659999999999</v>
      </c>
      <c r="E954">
        <v>0.55898179999999997</v>
      </c>
      <c r="F954" t="s">
        <v>43</v>
      </c>
      <c r="G954">
        <v>-158.19499999999999</v>
      </c>
      <c r="H954">
        <v>3.5983499999999999</v>
      </c>
      <c r="I954">
        <v>358.97379999999998</v>
      </c>
      <c r="J954">
        <v>-303.53059999999999</v>
      </c>
      <c r="K954">
        <v>1.0600320000000001</v>
      </c>
      <c r="L954">
        <v>367.63420000000002</v>
      </c>
      <c r="M954">
        <v>0.99992159999999997</v>
      </c>
      <c r="N954">
        <v>-1.1514669999999999E-2</v>
      </c>
      <c r="O954">
        <v>4.9299670000000004E-3</v>
      </c>
      <c r="P954">
        <v>0.97591640000000002</v>
      </c>
      <c r="Q954">
        <v>0.19652210000000001</v>
      </c>
      <c r="R954">
        <v>9.4690759999999999E-2</v>
      </c>
      <c r="S954">
        <v>3.0811769999999998</v>
      </c>
      <c r="T954">
        <v>5.3753969999999998E-2</v>
      </c>
      <c r="U954">
        <v>-0.18338009999999999</v>
      </c>
      <c r="V954">
        <v>-8.9775140000000003E-2</v>
      </c>
      <c r="W954">
        <v>0.2077966</v>
      </c>
      <c r="X954">
        <v>0.97404369999999996</v>
      </c>
      <c r="Y954">
        <v>6.4326640000000004E-2</v>
      </c>
      <c r="Z954">
        <v>3.3251869999999998E-4</v>
      </c>
      <c r="AA954">
        <v>0.99792890000000001</v>
      </c>
      <c r="AB954">
        <v>34</v>
      </c>
      <c r="AC954">
        <v>145.3356</v>
      </c>
      <c r="AD954">
        <v>2.5383179999999999</v>
      </c>
      <c r="AE954">
        <v>-8.6604000000000294</v>
      </c>
      <c r="AF954">
        <v>9.3739926548501202</v>
      </c>
      <c r="AG954">
        <v>2.5383179999999999</v>
      </c>
      <c r="AH954">
        <v>145.24698679662501</v>
      </c>
      <c r="AI954">
        <v>89.000886272497397</v>
      </c>
      <c r="AJ954">
        <v>86.307349352397296</v>
      </c>
      <c r="AK954">
        <v>145.571295144549</v>
      </c>
      <c r="AL954">
        <v>78.006742257391593</v>
      </c>
      <c r="AM954">
        <v>95.265929382943796</v>
      </c>
      <c r="AN954">
        <v>1.0000000661216299</v>
      </c>
    </row>
    <row r="955" spans="1:40" x14ac:dyDescent="0.25">
      <c r="A955" t="str">
        <f>"20190304155032134"</f>
        <v>20190304155032134</v>
      </c>
      <c r="B955" t="str">
        <f>"1551685832127460"</f>
        <v>1551685832127460</v>
      </c>
      <c r="C955" t="s">
        <v>40</v>
      </c>
      <c r="D955">
        <v>5.677575</v>
      </c>
      <c r="E955">
        <v>0.558971</v>
      </c>
      <c r="F955" t="s">
        <v>43</v>
      </c>
      <c r="G955">
        <v>-158.19499999999999</v>
      </c>
      <c r="H955">
        <v>3.6985100000000002</v>
      </c>
      <c r="I955">
        <v>358.94540000000001</v>
      </c>
      <c r="J955">
        <v>-303.2724</v>
      </c>
      <c r="K955">
        <v>1.060019</v>
      </c>
      <c r="L955">
        <v>367.6352</v>
      </c>
      <c r="M955">
        <v>0.99992099999999995</v>
      </c>
      <c r="N955">
        <v>-1.1636219999999999E-2</v>
      </c>
      <c r="O955">
        <v>4.7588480000000004E-3</v>
      </c>
      <c r="P955">
        <v>0.97596300000000002</v>
      </c>
      <c r="Q955">
        <v>0.1963298</v>
      </c>
      <c r="R955">
        <v>9.460913E-2</v>
      </c>
      <c r="S955">
        <v>3.0806269999999998</v>
      </c>
      <c r="T955">
        <v>5.592871E-2</v>
      </c>
      <c r="U955">
        <v>-0.18417359999999999</v>
      </c>
      <c r="V955">
        <v>-8.9855019999999994E-2</v>
      </c>
      <c r="W955">
        <v>0.2077252</v>
      </c>
      <c r="X955">
        <v>0.97405149999999996</v>
      </c>
      <c r="Y955">
        <v>6.4422010000000002E-2</v>
      </c>
      <c r="Z955">
        <v>3.5068149999999999E-4</v>
      </c>
      <c r="AA955">
        <v>0.99792270000000005</v>
      </c>
      <c r="AB955">
        <v>34</v>
      </c>
      <c r="AC955">
        <v>145.07740000000001</v>
      </c>
      <c r="AD955">
        <v>2.6384910000000001</v>
      </c>
      <c r="AE955">
        <v>-8.6897999999999893</v>
      </c>
      <c r="AF955">
        <v>9.3770591510279395</v>
      </c>
      <c r="AG955">
        <v>2.6384910000000001</v>
      </c>
      <c r="AH955">
        <v>144.986616579311</v>
      </c>
      <c r="AI955">
        <v>88.959609955543897</v>
      </c>
      <c r="AJ955">
        <v>86.299529633371193</v>
      </c>
      <c r="AK955">
        <v>145.313488225268</v>
      </c>
      <c r="AL955">
        <v>78.010923676402101</v>
      </c>
      <c r="AM955">
        <v>95.270546550031696</v>
      </c>
      <c r="AN955">
        <v>1.00000000399324</v>
      </c>
    </row>
    <row r="956" spans="1:40" x14ac:dyDescent="0.25">
      <c r="A956" t="str">
        <f>"20190304155032148"</f>
        <v>20190304155032148</v>
      </c>
      <c r="B956" t="str">
        <f>"1551685832137215"</f>
        <v>1551685832137215</v>
      </c>
      <c r="C956" t="s">
        <v>40</v>
      </c>
      <c r="D956">
        <v>5.1796340000000001</v>
      </c>
      <c r="E956">
        <v>0.55895329999999999</v>
      </c>
      <c r="F956" t="s">
        <v>43</v>
      </c>
      <c r="G956">
        <v>-158.19499999999999</v>
      </c>
      <c r="H956">
        <v>3.7412580000000002</v>
      </c>
      <c r="I956">
        <v>358.96809999999999</v>
      </c>
      <c r="J956">
        <v>-303.06580000000002</v>
      </c>
      <c r="K956">
        <v>1.0600099999999999</v>
      </c>
      <c r="L956">
        <v>367.63600000000002</v>
      </c>
      <c r="M956">
        <v>0.9999207</v>
      </c>
      <c r="N956">
        <v>-1.172601E-2</v>
      </c>
      <c r="O956">
        <v>4.6150690000000003E-3</v>
      </c>
      <c r="P956">
        <v>0.97604860000000004</v>
      </c>
      <c r="Q956">
        <v>0.19596649999999999</v>
      </c>
      <c r="R956">
        <v>9.44802E-2</v>
      </c>
      <c r="S956">
        <v>3.080292</v>
      </c>
      <c r="T956">
        <v>5.6930069999999999E-2</v>
      </c>
      <c r="U956">
        <v>-0.18402099999999999</v>
      </c>
      <c r="V956">
        <v>-8.9861739999999996E-2</v>
      </c>
      <c r="W956">
        <v>0.20745230000000001</v>
      </c>
      <c r="X956">
        <v>0.97410909999999995</v>
      </c>
      <c r="Y956">
        <v>6.4235550000000002E-2</v>
      </c>
      <c r="Z956">
        <v>3.5532549999999998E-4</v>
      </c>
      <c r="AA956">
        <v>0.99793469999999995</v>
      </c>
      <c r="AB956">
        <v>34</v>
      </c>
      <c r="AC956">
        <v>144.8708</v>
      </c>
      <c r="AD956">
        <v>2.6812480000000001</v>
      </c>
      <c r="AE956">
        <v>-8.6678999999999693</v>
      </c>
      <c r="AF956">
        <v>9.3332567015752605</v>
      </c>
      <c r="AG956">
        <v>2.6812480000000001</v>
      </c>
      <c r="AH956">
        <v>144.77983519360001</v>
      </c>
      <c r="AI956">
        <v>88.941230160877794</v>
      </c>
      <c r="AJ956">
        <v>86.311521652782602</v>
      </c>
      <c r="AK956">
        <v>145.10513240468501</v>
      </c>
      <c r="AL956">
        <v>78.026908619621096</v>
      </c>
      <c r="AM956">
        <v>95.270628578796604</v>
      </c>
      <c r="AN956">
        <v>1.0000000638969599</v>
      </c>
    </row>
    <row r="957" spans="1:40" x14ac:dyDescent="0.25">
      <c r="A957" t="str">
        <f>"20190304155032160"</f>
        <v>20190304155032160</v>
      </c>
      <c r="B957" t="str">
        <f>"1551685832157244"</f>
        <v>1551685832157244</v>
      </c>
      <c r="C957" t="s">
        <v>40</v>
      </c>
      <c r="D957">
        <v>5.2733759999999998</v>
      </c>
      <c r="E957">
        <v>0.55851600000000001</v>
      </c>
      <c r="F957" t="s">
        <v>43</v>
      </c>
      <c r="G957">
        <v>-158.19499999999999</v>
      </c>
      <c r="H957">
        <v>3.6206049999999999</v>
      </c>
      <c r="I957">
        <v>358.95319999999998</v>
      </c>
      <c r="J957">
        <v>-302.87079999999997</v>
      </c>
      <c r="K957">
        <v>1.060001</v>
      </c>
      <c r="L957">
        <v>367.63679999999999</v>
      </c>
      <c r="M957">
        <v>0.99992040000000004</v>
      </c>
      <c r="N957">
        <v>-1.1800969999999999E-2</v>
      </c>
      <c r="O957">
        <v>4.4712149999999997E-3</v>
      </c>
      <c r="P957">
        <v>0.97608070000000002</v>
      </c>
      <c r="Q957">
        <v>0.19585710000000001</v>
      </c>
      <c r="R957">
        <v>9.4375730000000005E-2</v>
      </c>
      <c r="S957">
        <v>3.0805359999999999</v>
      </c>
      <c r="T957">
        <v>5.4450390000000001E-2</v>
      </c>
      <c r="U957">
        <v>-0.1846313</v>
      </c>
      <c r="V957">
        <v>-8.9894000000000002E-2</v>
      </c>
      <c r="W957">
        <v>0.2074174</v>
      </c>
      <c r="X957">
        <v>0.97411349999999997</v>
      </c>
      <c r="Y957">
        <v>6.4285129999999996E-2</v>
      </c>
      <c r="Z957">
        <v>3.1957760000000002E-4</v>
      </c>
      <c r="AA957">
        <v>0.99793149999999997</v>
      </c>
      <c r="AB957">
        <v>34</v>
      </c>
      <c r="AC957">
        <v>144.67579999999899</v>
      </c>
      <c r="AD957">
        <v>2.5606040000000001</v>
      </c>
      <c r="AE957">
        <v>-8.6836000000000109</v>
      </c>
      <c r="AF957">
        <v>9.3275234505717606</v>
      </c>
      <c r="AG957">
        <v>2.5606040000000001</v>
      </c>
      <c r="AH957">
        <v>144.59039412145401</v>
      </c>
      <c r="AI957">
        <v>88.987538279834595</v>
      </c>
      <c r="AJ957">
        <v>86.308964859969393</v>
      </c>
      <c r="AK957">
        <v>144.91356547529699</v>
      </c>
      <c r="AL957">
        <v>78.028952048279606</v>
      </c>
      <c r="AM957">
        <v>95.272486369773603</v>
      </c>
      <c r="AN957">
        <v>1.0000000099705</v>
      </c>
    </row>
    <row r="958" spans="1:40" x14ac:dyDescent="0.25">
      <c r="A958" t="str">
        <f>"20190304155032173"</f>
        <v>20190304155032173</v>
      </c>
      <c r="B958" t="str">
        <f>"1551685832167980"</f>
        <v>1551685832167980</v>
      </c>
      <c r="C958" t="s">
        <v>40</v>
      </c>
      <c r="D958">
        <v>4.5957330000000001</v>
      </c>
      <c r="E958">
        <v>0.55851600000000001</v>
      </c>
      <c r="F958" t="s">
        <v>43</v>
      </c>
      <c r="G958">
        <v>-158.19499999999999</v>
      </c>
      <c r="H958">
        <v>3.5630229999999998</v>
      </c>
      <c r="I958">
        <v>359.11290000000002</v>
      </c>
      <c r="J958">
        <v>-302.67840000000001</v>
      </c>
      <c r="K958">
        <v>1.0599959999999999</v>
      </c>
      <c r="L958">
        <v>367.63749999999999</v>
      </c>
      <c r="M958">
        <v>0.99992029999999998</v>
      </c>
      <c r="N958">
        <v>-1.187095E-2</v>
      </c>
      <c r="O958">
        <v>4.3271589999999997E-3</v>
      </c>
      <c r="P958">
        <v>0.97612019999999999</v>
      </c>
      <c r="Q958">
        <v>0.1958281</v>
      </c>
      <c r="R958">
        <v>9.4025719999999993E-2</v>
      </c>
      <c r="S958">
        <v>3.0803829999999999</v>
      </c>
      <c r="T958">
        <v>5.3295250000000002E-2</v>
      </c>
      <c r="U958">
        <v>-0.18148800000000001</v>
      </c>
      <c r="V958">
        <v>-8.9681869999999997E-2</v>
      </c>
      <c r="W958">
        <v>0.2074579</v>
      </c>
      <c r="X958">
        <v>0.9741244</v>
      </c>
      <c r="Y958">
        <v>6.313001E-2</v>
      </c>
      <c r="Z958">
        <v>2.966698E-4</v>
      </c>
      <c r="AA958">
        <v>0.99800529999999998</v>
      </c>
      <c r="AB958">
        <v>34</v>
      </c>
      <c r="AC958">
        <v>144.48339999999999</v>
      </c>
      <c r="AD958">
        <v>2.5030269999999999</v>
      </c>
      <c r="AE958">
        <v>-8.5245999999999604</v>
      </c>
      <c r="AF958">
        <v>9.1470311172127001</v>
      </c>
      <c r="AG958">
        <v>2.5030269999999999</v>
      </c>
      <c r="AH958">
        <v>144.401969630661</v>
      </c>
      <c r="AI958">
        <v>89.008934917206204</v>
      </c>
      <c r="AJ958">
        <v>86.375485747613197</v>
      </c>
      <c r="AK958">
        <v>144.713033813946</v>
      </c>
      <c r="AL958">
        <v>78.026579637130297</v>
      </c>
      <c r="AM958">
        <v>95.2600558117948</v>
      </c>
      <c r="AN958">
        <v>0.99999998237723298</v>
      </c>
    </row>
    <row r="959" spans="1:40" x14ac:dyDescent="0.25">
      <c r="A959" t="str">
        <f>"20190304155032188"</f>
        <v>20190304155032188</v>
      </c>
      <c r="B959" t="str">
        <f>"1551685832177740"</f>
        <v>1551685832177740</v>
      </c>
      <c r="C959" t="s">
        <v>40</v>
      </c>
      <c r="D959">
        <v>5.1280859999999997</v>
      </c>
      <c r="E959">
        <v>0.55776099999999995</v>
      </c>
      <c r="F959" t="s">
        <v>43</v>
      </c>
      <c r="G959">
        <v>-158.19499999999999</v>
      </c>
      <c r="H959">
        <v>3.5594999999999999</v>
      </c>
      <c r="I959">
        <v>359.06459999999998</v>
      </c>
      <c r="J959">
        <v>-302.43830000000003</v>
      </c>
      <c r="K959">
        <v>1.0599889999999901</v>
      </c>
      <c r="L959">
        <v>367.63830000000002</v>
      </c>
      <c r="M959">
        <v>0.99992009999999998</v>
      </c>
      <c r="N959">
        <v>-1.1951170000000001E-2</v>
      </c>
      <c r="O959">
        <v>4.1428530000000002E-3</v>
      </c>
      <c r="P959">
        <v>0.97618470000000002</v>
      </c>
      <c r="Q959">
        <v>0.1956551</v>
      </c>
      <c r="R959">
        <v>9.3716190000000005E-2</v>
      </c>
      <c r="S959">
        <v>3.080292</v>
      </c>
      <c r="T959">
        <v>5.3289650000000001E-2</v>
      </c>
      <c r="U959">
        <v>-0.18276980000000001</v>
      </c>
      <c r="V959">
        <v>-8.9548039999999995E-2</v>
      </c>
      <c r="W959">
        <v>0.2073651</v>
      </c>
      <c r="X959">
        <v>0.97415649999999998</v>
      </c>
      <c r="Y959">
        <v>6.3361749999999994E-2</v>
      </c>
      <c r="Z959">
        <v>2.8965300000000001E-4</v>
      </c>
      <c r="AA959">
        <v>0.99799059999999995</v>
      </c>
      <c r="AB959">
        <v>34</v>
      </c>
      <c r="AC959">
        <v>144.2433</v>
      </c>
      <c r="AD959">
        <v>2.499511</v>
      </c>
      <c r="AE959">
        <v>-8.5737000000000201</v>
      </c>
      <c r="AF959">
        <v>9.1685044441975201</v>
      </c>
      <c r="AG959">
        <v>2.499511</v>
      </c>
      <c r="AH959">
        <v>144.16340363718299</v>
      </c>
      <c r="AI959">
        <v>89.008705273663594</v>
      </c>
      <c r="AJ959">
        <v>86.361003837854994</v>
      </c>
      <c r="AK959">
        <v>144.47628171170399</v>
      </c>
      <c r="AL959">
        <v>78.032015233181994</v>
      </c>
      <c r="AM959">
        <v>95.252078193076898</v>
      </c>
      <c r="AN959">
        <v>1.0000000113290499</v>
      </c>
    </row>
    <row r="960" spans="1:40" x14ac:dyDescent="0.25">
      <c r="A960" t="str">
        <f>"20190304155032200"</f>
        <v>20190304155032200</v>
      </c>
      <c r="B960" t="str">
        <f>"1551685832197260"</f>
        <v>1551685832197260</v>
      </c>
      <c r="C960" t="s">
        <v>40</v>
      </c>
      <c r="D960">
        <v>5.2383160000000002</v>
      </c>
      <c r="E960">
        <v>0.55686329999999995</v>
      </c>
      <c r="F960" t="s">
        <v>43</v>
      </c>
      <c r="G960">
        <v>-158.19499999999999</v>
      </c>
      <c r="H960">
        <v>3.4553539999999998</v>
      </c>
      <c r="I960">
        <v>359.32740000000001</v>
      </c>
      <c r="J960">
        <v>-302.25990000000002</v>
      </c>
      <c r="K960">
        <v>1.059976</v>
      </c>
      <c r="L960">
        <v>367.63889999999998</v>
      </c>
      <c r="M960">
        <v>0.99992000000000003</v>
      </c>
      <c r="N960">
        <v>-1.200408E-2</v>
      </c>
      <c r="O960">
        <v>4.0031620000000002E-3</v>
      </c>
      <c r="P960">
        <v>0.97615960000000002</v>
      </c>
      <c r="Q960">
        <v>0.1958665</v>
      </c>
      <c r="R960">
        <v>9.3536939999999999E-2</v>
      </c>
      <c r="S960">
        <v>3.0799560000000001</v>
      </c>
      <c r="T960">
        <v>5.1148890000000002E-2</v>
      </c>
      <c r="U960">
        <v>-0.1774597</v>
      </c>
      <c r="V960">
        <v>-8.9502979999999996E-2</v>
      </c>
      <c r="W960">
        <v>0.2076287</v>
      </c>
      <c r="X960">
        <v>0.97410450000000004</v>
      </c>
      <c r="Y960">
        <v>6.1514600000000003E-2</v>
      </c>
      <c r="Z960">
        <v>2.5522160000000002E-4</v>
      </c>
      <c r="AA960">
        <v>0.9981061</v>
      </c>
      <c r="AB960">
        <v>34</v>
      </c>
      <c r="AC960">
        <v>144.06489999999999</v>
      </c>
      <c r="AD960">
        <v>2.395378</v>
      </c>
      <c r="AE960">
        <v>-8.3114999999999597</v>
      </c>
      <c r="AF960">
        <v>8.8857416454089808</v>
      </c>
      <c r="AG960">
        <v>2.395378</v>
      </c>
      <c r="AH960">
        <v>143.99079522475199</v>
      </c>
      <c r="AI960">
        <v>89.048745582469607</v>
      </c>
      <c r="AJ960">
        <v>86.468727757699398</v>
      </c>
      <c r="AK960">
        <v>144.284591519012</v>
      </c>
      <c r="AL960">
        <v>78.016576131983598</v>
      </c>
      <c r="AM960">
        <v>95.249728811841393</v>
      </c>
      <c r="AN960">
        <v>1.00000001870641</v>
      </c>
    </row>
    <row r="961" spans="1:40" x14ac:dyDescent="0.25">
      <c r="A961" t="str">
        <f>"20190304155032211"</f>
        <v>20190304155032211</v>
      </c>
      <c r="B961" t="str">
        <f>"1551685832207998"</f>
        <v>1551685832207998</v>
      </c>
      <c r="C961" t="s">
        <v>40</v>
      </c>
      <c r="D961">
        <v>5.0989180000000003</v>
      </c>
      <c r="E961">
        <v>0.55640659999999997</v>
      </c>
      <c r="F961" t="s">
        <v>43</v>
      </c>
      <c r="G961">
        <v>-158.19499999999999</v>
      </c>
      <c r="H961">
        <v>3.455003</v>
      </c>
      <c r="I961">
        <v>359.6422</v>
      </c>
      <c r="J961">
        <v>-302.08589999999998</v>
      </c>
      <c r="K961">
        <v>1.0599719999999999</v>
      </c>
      <c r="L961">
        <v>367.6395</v>
      </c>
      <c r="M961">
        <v>0.99992000000000003</v>
      </c>
      <c r="N961">
        <v>-1.2053299999999999E-2</v>
      </c>
      <c r="O961">
        <v>3.8663629999999998E-3</v>
      </c>
      <c r="P961">
        <v>0.97613329999999998</v>
      </c>
      <c r="Q961">
        <v>0.19607569999999999</v>
      </c>
      <c r="R961">
        <v>9.3372300000000005E-2</v>
      </c>
      <c r="S961">
        <v>3.0793759999999999</v>
      </c>
      <c r="T961">
        <v>5.1195379999999999E-2</v>
      </c>
      <c r="U961">
        <v>-0.170929</v>
      </c>
      <c r="V961">
        <v>-8.9470099999999997E-2</v>
      </c>
      <c r="W961">
        <v>0.20788609999999999</v>
      </c>
      <c r="X961">
        <v>0.97405260000000005</v>
      </c>
      <c r="Y961">
        <v>5.9278810000000001E-2</v>
      </c>
      <c r="Z961">
        <v>2.4559089999999999E-4</v>
      </c>
      <c r="AA961">
        <v>0.99824139999999995</v>
      </c>
      <c r="AB961">
        <v>34</v>
      </c>
      <c r="AC961">
        <v>143.89089999999999</v>
      </c>
      <c r="AD961">
        <v>2.3950309999999999</v>
      </c>
      <c r="AE961">
        <v>-7.9972999999999903</v>
      </c>
      <c r="AF961">
        <v>8.5512532039502496</v>
      </c>
      <c r="AG961">
        <v>2.3950309999999999</v>
      </c>
      <c r="AH961">
        <v>143.81917946825101</v>
      </c>
      <c r="AI961">
        <v>89.047619185708001</v>
      </c>
      <c r="AJ961">
        <v>86.597292740891703</v>
      </c>
      <c r="AK961">
        <v>144.09308272006001</v>
      </c>
      <c r="AL961">
        <v>78.001498979821093</v>
      </c>
      <c r="AM961">
        <v>95.248089085654996</v>
      </c>
      <c r="AN961">
        <v>0.99999999846698995</v>
      </c>
    </row>
    <row r="962" spans="1:40" x14ac:dyDescent="0.25">
      <c r="A962" t="str">
        <f>"20190304155032223"</f>
        <v>20190304155032223</v>
      </c>
      <c r="B962" t="str">
        <f>"1551685832217756"</f>
        <v>1551685832217756</v>
      </c>
      <c r="C962" t="s">
        <v>40</v>
      </c>
      <c r="D962">
        <v>5.1565570000000003</v>
      </c>
      <c r="E962">
        <v>0.55608269999999904</v>
      </c>
      <c r="F962" t="s">
        <v>43</v>
      </c>
      <c r="G962">
        <v>-158.19499999999999</v>
      </c>
      <c r="H962">
        <v>3.4804840000000001</v>
      </c>
      <c r="I962">
        <v>359.79989999999998</v>
      </c>
      <c r="J962">
        <v>-301.90469999999999</v>
      </c>
      <c r="K962">
        <v>1.059968</v>
      </c>
      <c r="L962">
        <v>367.64</v>
      </c>
      <c r="M962">
        <v>0.99991989999999997</v>
      </c>
      <c r="N962">
        <v>-1.210047E-2</v>
      </c>
      <c r="O962">
        <v>3.7221350000000001E-3</v>
      </c>
      <c r="P962">
        <v>0.97618280000000002</v>
      </c>
      <c r="Q962">
        <v>0.19594</v>
      </c>
      <c r="R962">
        <v>9.3138910000000005E-2</v>
      </c>
      <c r="S962">
        <v>3.0790410000000001</v>
      </c>
      <c r="T962">
        <v>5.1797030000000001E-2</v>
      </c>
      <c r="U962">
        <v>-0.16775509999999999</v>
      </c>
      <c r="V962">
        <v>-8.9376129999999998E-2</v>
      </c>
      <c r="W962">
        <v>0.2077975</v>
      </c>
      <c r="X962">
        <v>0.9740801</v>
      </c>
      <c r="Y962">
        <v>5.811492E-2</v>
      </c>
      <c r="Z962">
        <v>2.4409940000000001E-4</v>
      </c>
      <c r="AA962">
        <v>0.99830989999999997</v>
      </c>
      <c r="AB962">
        <v>34</v>
      </c>
      <c r="AC962">
        <v>143.7097</v>
      </c>
      <c r="AD962">
        <v>2.4205160000000001</v>
      </c>
      <c r="AE962">
        <v>-7.8400999999999996</v>
      </c>
      <c r="AF962">
        <v>8.3726235500764101</v>
      </c>
      <c r="AG962">
        <v>2.4205160000000001</v>
      </c>
      <c r="AH962">
        <v>143.638892335029</v>
      </c>
      <c r="AI962">
        <v>89.036213058467496</v>
      </c>
      <c r="AJ962">
        <v>86.664038637929906</v>
      </c>
      <c r="AK962">
        <v>143.90306151729899</v>
      </c>
      <c r="AL962">
        <v>78.006688339105807</v>
      </c>
      <c r="AM962">
        <v>95.242460590991101</v>
      </c>
      <c r="AN962">
        <v>0.999999967418017</v>
      </c>
    </row>
    <row r="963" spans="1:40" x14ac:dyDescent="0.25">
      <c r="A963" t="str">
        <f>"20190304155032235"</f>
        <v>20190304155032235</v>
      </c>
      <c r="B963" t="str">
        <f>"1551685832227517"</f>
        <v>1551685832227517</v>
      </c>
      <c r="C963" t="s">
        <v>40</v>
      </c>
      <c r="D963">
        <v>5.2095909999999996</v>
      </c>
      <c r="E963">
        <v>0.55586040000000003</v>
      </c>
      <c r="F963" t="s">
        <v>43</v>
      </c>
      <c r="G963">
        <v>-158.19499999999999</v>
      </c>
      <c r="H963">
        <v>3.4059740000000001</v>
      </c>
      <c r="I963">
        <v>359.88119999999998</v>
      </c>
      <c r="J963">
        <v>-301.72879999999998</v>
      </c>
      <c r="K963">
        <v>1.059965</v>
      </c>
      <c r="L963">
        <v>367.64060000000001</v>
      </c>
      <c r="M963">
        <v>0.99992000000000003</v>
      </c>
      <c r="N963">
        <v>-1.2142480000000001E-2</v>
      </c>
      <c r="O963">
        <v>3.5815270000000001E-3</v>
      </c>
      <c r="P963">
        <v>0.97622070000000005</v>
      </c>
      <c r="Q963">
        <v>0.1957351</v>
      </c>
      <c r="R963">
        <v>9.3172000000000005E-2</v>
      </c>
      <c r="S963">
        <v>3.0789179999999998</v>
      </c>
      <c r="T963">
        <v>5.0264000000000003E-2</v>
      </c>
      <c r="U963">
        <v>-0.16622919999999999</v>
      </c>
      <c r="V963">
        <v>-8.9544659999999998E-2</v>
      </c>
      <c r="W963">
        <v>0.20763470000000001</v>
      </c>
      <c r="X963">
        <v>0.97409939999999995</v>
      </c>
      <c r="Y963">
        <v>5.7483819999999998E-2</v>
      </c>
      <c r="Z963">
        <v>2.2145119999999999E-4</v>
      </c>
      <c r="AA963">
        <v>0.99834639999999997</v>
      </c>
      <c r="AB963">
        <v>34</v>
      </c>
      <c r="AC963">
        <v>143.53380000000001</v>
      </c>
      <c r="AD963">
        <v>2.346009</v>
      </c>
      <c r="AE963">
        <v>-7.7594000000000198</v>
      </c>
      <c r="AF963">
        <v>8.2712550318230296</v>
      </c>
      <c r="AG963">
        <v>2.346009</v>
      </c>
      <c r="AH963">
        <v>143.46687161526799</v>
      </c>
      <c r="AI963">
        <v>89.064720240011496</v>
      </c>
      <c r="AJ963">
        <v>86.700395151933094</v>
      </c>
      <c r="AK963">
        <v>143.72425219531101</v>
      </c>
      <c r="AL963">
        <v>78.016224810717702</v>
      </c>
      <c r="AM963">
        <v>95.252187195813505</v>
      </c>
      <c r="AN963">
        <v>1.0000000279294801</v>
      </c>
    </row>
    <row r="964" spans="1:40" x14ac:dyDescent="0.25">
      <c r="A964" t="str">
        <f>"20190304155032246"</f>
        <v>20190304155032246</v>
      </c>
      <c r="B964" t="str">
        <f>"1551685832237277"</f>
        <v>1551685832237277</v>
      </c>
      <c r="C964" t="s">
        <v>40</v>
      </c>
      <c r="D964">
        <v>5.168431</v>
      </c>
      <c r="E964">
        <v>0.55561619999999901</v>
      </c>
      <c r="F964" t="s">
        <v>43</v>
      </c>
      <c r="G964">
        <v>-158.19499999999999</v>
      </c>
      <c r="H964">
        <v>3.299277</v>
      </c>
      <c r="I964">
        <v>359.98840000000001</v>
      </c>
      <c r="J964">
        <v>-301.55040000000002</v>
      </c>
      <c r="K964">
        <v>1.059966</v>
      </c>
      <c r="L964">
        <v>367.64109999999999</v>
      </c>
      <c r="M964">
        <v>0.99992000000000003</v>
      </c>
      <c r="N964">
        <v>-1.218312E-2</v>
      </c>
      <c r="O964">
        <v>3.4386659999999999E-3</v>
      </c>
      <c r="P964">
        <v>0.97626659999999998</v>
      </c>
      <c r="Q964">
        <v>0.1955422</v>
      </c>
      <c r="R964">
        <v>9.3097520000000003E-2</v>
      </c>
      <c r="S964">
        <v>3.0791019999999998</v>
      </c>
      <c r="T964">
        <v>4.8039789999999999E-2</v>
      </c>
      <c r="U964">
        <v>-0.1641541</v>
      </c>
      <c r="V964">
        <v>-8.9608939999999998E-2</v>
      </c>
      <c r="W964">
        <v>0.20748169999999999</v>
      </c>
      <c r="X964">
        <v>0.97412600000000005</v>
      </c>
      <c r="Y964">
        <v>5.6667639999999998E-2</v>
      </c>
      <c r="Z964">
        <v>1.9173359999999999E-4</v>
      </c>
      <c r="AA964">
        <v>0.99839310000000003</v>
      </c>
      <c r="AB964">
        <v>34</v>
      </c>
      <c r="AC964">
        <v>143.3554</v>
      </c>
      <c r="AD964">
        <v>2.2393109999999998</v>
      </c>
      <c r="AE964">
        <v>-7.6526999999999799</v>
      </c>
      <c r="AF964">
        <v>8.1436611562796806</v>
      </c>
      <c r="AG964">
        <v>2.2393109999999998</v>
      </c>
      <c r="AH964">
        <v>143.29337019210001</v>
      </c>
      <c r="AI964">
        <v>89.106127695333598</v>
      </c>
      <c r="AJ964">
        <v>86.747260305591894</v>
      </c>
      <c r="AK964">
        <v>143.542062378222</v>
      </c>
      <c r="AL964">
        <v>78.025185162934093</v>
      </c>
      <c r="AM964">
        <v>95.255793673868396</v>
      </c>
      <c r="AN964">
        <v>0.99999994091940503</v>
      </c>
    </row>
    <row r="965" spans="1:40" x14ac:dyDescent="0.25">
      <c r="A965" t="str">
        <f>"20190304155032257"</f>
        <v>20190304155032257</v>
      </c>
      <c r="B965" t="str">
        <f>"1551685832247546"</f>
        <v>1551685832247546</v>
      </c>
      <c r="C965" t="s">
        <v>40</v>
      </c>
      <c r="D965">
        <v>5.1774279999999999</v>
      </c>
      <c r="E965">
        <v>0.55522260000000001</v>
      </c>
      <c r="F965" t="s">
        <v>43</v>
      </c>
      <c r="G965">
        <v>-158.19499999999999</v>
      </c>
      <c r="H965">
        <v>3.201311</v>
      </c>
      <c r="I965">
        <v>360.06</v>
      </c>
      <c r="J965">
        <v>-301.39179999999999</v>
      </c>
      <c r="K965">
        <v>1.059966</v>
      </c>
      <c r="L965">
        <v>367.64139999999998</v>
      </c>
      <c r="M965">
        <v>0.99992000000000003</v>
      </c>
      <c r="N965">
        <v>-1.2215E-2</v>
      </c>
      <c r="O965">
        <v>3.3112530000000001E-3</v>
      </c>
      <c r="P965">
        <v>0.97625510000000004</v>
      </c>
      <c r="Q965">
        <v>0.19564899999999999</v>
      </c>
      <c r="R965">
        <v>9.2993320000000004E-2</v>
      </c>
      <c r="S965">
        <v>3.079285</v>
      </c>
      <c r="T965">
        <v>4.59981E-2</v>
      </c>
      <c r="U965">
        <v>-0.16284179999999901</v>
      </c>
      <c r="V965">
        <v>-8.9628550000000001E-2</v>
      </c>
      <c r="W965">
        <v>0.20761979999999999</v>
      </c>
      <c r="X965">
        <v>0.97409480000000004</v>
      </c>
      <c r="Y965">
        <v>5.6113450000000002E-2</v>
      </c>
      <c r="Z965">
        <v>1.6566709999999999E-4</v>
      </c>
      <c r="AA965">
        <v>0.99842439999999999</v>
      </c>
      <c r="AB965">
        <v>34</v>
      </c>
      <c r="AC965">
        <v>143.1968</v>
      </c>
      <c r="AD965">
        <v>2.1413449999999998</v>
      </c>
      <c r="AE965">
        <v>-7.5813999999999702</v>
      </c>
      <c r="AF965">
        <v>8.0537586694966201</v>
      </c>
      <c r="AG965">
        <v>2.1413449999999998</v>
      </c>
      <c r="AH965">
        <v>143.13899006654501</v>
      </c>
      <c r="AI965">
        <v>89.144278036182399</v>
      </c>
      <c r="AJ965">
        <v>86.7796310631811</v>
      </c>
      <c r="AK965">
        <v>143.38137558408999</v>
      </c>
      <c r="AL965">
        <v>78.017096817863603</v>
      </c>
      <c r="AM965">
        <v>95.257104842056094</v>
      </c>
      <c r="AN965">
        <v>0.99999996885708997</v>
      </c>
    </row>
    <row r="966" spans="1:40" x14ac:dyDescent="0.25">
      <c r="A966" t="str">
        <f>"20190304155032269"</f>
        <v>20190304155032269</v>
      </c>
      <c r="B966" t="str">
        <f>"1551685832257304"</f>
        <v>1551685832257304</v>
      </c>
      <c r="C966" t="s">
        <v>40</v>
      </c>
      <c r="D966">
        <v>5.321434</v>
      </c>
      <c r="E966">
        <v>0.55483369999999999</v>
      </c>
      <c r="F966" t="s">
        <v>43</v>
      </c>
      <c r="G966">
        <v>-158.19499999999999</v>
      </c>
      <c r="H966">
        <v>3.1024219999999998</v>
      </c>
      <c r="I966">
        <v>360.19099999999997</v>
      </c>
      <c r="J966">
        <v>-301.20429999999999</v>
      </c>
      <c r="K966">
        <v>1.059968</v>
      </c>
      <c r="L966">
        <v>367.64190000000002</v>
      </c>
      <c r="M966">
        <v>0.99992000000000003</v>
      </c>
      <c r="N966">
        <v>-1.225158E-2</v>
      </c>
      <c r="O966">
        <v>3.1605029999999998E-3</v>
      </c>
      <c r="P966">
        <v>0.97633000000000003</v>
      </c>
      <c r="Q966">
        <v>0.19534879999999999</v>
      </c>
      <c r="R966">
        <v>9.2835139999999997E-2</v>
      </c>
      <c r="S966">
        <v>3.0793759999999999</v>
      </c>
      <c r="T966">
        <v>4.392385E-2</v>
      </c>
      <c r="U966">
        <v>-0.16021729999999901</v>
      </c>
      <c r="V966">
        <v>-8.9616489999999993E-2</v>
      </c>
      <c r="W966">
        <v>0.20735619999999999</v>
      </c>
      <c r="X966">
        <v>0.97415209999999997</v>
      </c>
      <c r="Y966">
        <v>5.5113179999999998E-2</v>
      </c>
      <c r="Z966">
        <v>1.3866439999999999E-4</v>
      </c>
      <c r="AA966">
        <v>0.99848009999999998</v>
      </c>
      <c r="AB966">
        <v>34</v>
      </c>
      <c r="AC966">
        <v>143.0093</v>
      </c>
      <c r="AD966">
        <v>2.0424540000000002</v>
      </c>
      <c r="AE966">
        <v>-7.4509000000000398</v>
      </c>
      <c r="AF966">
        <v>7.90127071157809</v>
      </c>
      <c r="AG966">
        <v>2.0424540000000002</v>
      </c>
      <c r="AH966">
        <v>142.95595484927901</v>
      </c>
      <c r="AI966">
        <v>89.182701187688806</v>
      </c>
      <c r="AJ966">
        <v>86.836442929692893</v>
      </c>
      <c r="AK966">
        <v>143.188710183691</v>
      </c>
      <c r="AL966">
        <v>78.032536496900903</v>
      </c>
      <c r="AM966">
        <v>95.256093981392894</v>
      </c>
      <c r="AN966">
        <v>1.0000000114463801</v>
      </c>
    </row>
    <row r="967" spans="1:40" x14ac:dyDescent="0.25">
      <c r="A967" t="str">
        <f>"20190304155032283"</f>
        <v>20190304155032283</v>
      </c>
      <c r="B967" t="str">
        <f>"1551685832277800"</f>
        <v>1551685832277800</v>
      </c>
      <c r="C967" t="s">
        <v>40</v>
      </c>
      <c r="D967">
        <v>5.1603029999999999</v>
      </c>
      <c r="E967">
        <v>0.55422309999999997</v>
      </c>
      <c r="F967" t="s">
        <v>43</v>
      </c>
      <c r="G967">
        <v>-158.19499999999999</v>
      </c>
      <c r="H967">
        <v>3.0793080000000002</v>
      </c>
      <c r="I967">
        <v>360.33089999999999</v>
      </c>
      <c r="J967">
        <v>-300.98719999999997</v>
      </c>
      <c r="K967">
        <v>1.0599700000000001</v>
      </c>
      <c r="L967">
        <v>367.64240000000001</v>
      </c>
      <c r="M967">
        <v>0.99992009999999998</v>
      </c>
      <c r="N967">
        <v>-1.2289599999999999E-2</v>
      </c>
      <c r="O967">
        <v>2.9865569999999999E-3</v>
      </c>
      <c r="P967">
        <v>0.97639229999999999</v>
      </c>
      <c r="Q967">
        <v>0.19507559999999999</v>
      </c>
      <c r="R967">
        <v>9.2757740000000005E-2</v>
      </c>
      <c r="S967">
        <v>3.0790410000000001</v>
      </c>
      <c r="T967">
        <v>4.3478969999999999E-2</v>
      </c>
      <c r="U967">
        <v>-0.15740970000000001</v>
      </c>
      <c r="V967">
        <v>-8.9708860000000001E-2</v>
      </c>
      <c r="W967">
        <v>0.20712069999999999</v>
      </c>
      <c r="X967">
        <v>0.97419370000000005</v>
      </c>
      <c r="Y967">
        <v>5.4037229999999999E-2</v>
      </c>
      <c r="Z967">
        <v>1.2780229999999999E-4</v>
      </c>
      <c r="AA967">
        <v>0.99853890000000001</v>
      </c>
      <c r="AB967">
        <v>34</v>
      </c>
      <c r="AC967">
        <v>142.79219999999901</v>
      </c>
      <c r="AD967">
        <v>2.0193379999999999</v>
      </c>
      <c r="AE967">
        <v>-7.3115000000000201</v>
      </c>
      <c r="AF967">
        <v>7.7364134439977503</v>
      </c>
      <c r="AG967">
        <v>2.0193379999999999</v>
      </c>
      <c r="AH967">
        <v>142.74125299880299</v>
      </c>
      <c r="AI967">
        <v>89.190687362217901</v>
      </c>
      <c r="AJ967">
        <v>86.897669304714697</v>
      </c>
      <c r="AK967">
        <v>142.96501364530701</v>
      </c>
      <c r="AL967">
        <v>78.046329120906805</v>
      </c>
      <c r="AM967">
        <v>95.2612577665667</v>
      </c>
      <c r="AN967">
        <v>1.00000001452533</v>
      </c>
    </row>
    <row r="968" spans="1:40" x14ac:dyDescent="0.25">
      <c r="A968" t="str">
        <f>"20190304155032302"</f>
        <v>20190304155032302</v>
      </c>
      <c r="B968" t="str">
        <f>"1551685832297321"</f>
        <v>1551685832297321</v>
      </c>
      <c r="C968" t="s">
        <v>40</v>
      </c>
      <c r="D968">
        <v>5.2081019999999896</v>
      </c>
      <c r="E968">
        <v>0.55361459999999996</v>
      </c>
      <c r="F968" t="s">
        <v>43</v>
      </c>
      <c r="G968">
        <v>-158.19499999999999</v>
      </c>
      <c r="H968">
        <v>3.0202040000000001</v>
      </c>
      <c r="I968">
        <v>360.55099999999999</v>
      </c>
      <c r="J968">
        <v>-300.7199</v>
      </c>
      <c r="K968">
        <v>1.059976</v>
      </c>
      <c r="L968">
        <v>367.6429</v>
      </c>
      <c r="M968">
        <v>0.99992020000000004</v>
      </c>
      <c r="N968">
        <v>-1.2331699999999999E-2</v>
      </c>
      <c r="O968">
        <v>2.7722990000000002E-3</v>
      </c>
      <c r="P968">
        <v>0.97645190000000004</v>
      </c>
      <c r="Q968">
        <v>0.19472709999999999</v>
      </c>
      <c r="R968">
        <v>9.2860860000000003E-2</v>
      </c>
      <c r="S968">
        <v>3.0786129999999998</v>
      </c>
      <c r="T968">
        <v>4.2264700000000002E-2</v>
      </c>
      <c r="U968">
        <v>-0.1528931</v>
      </c>
      <c r="V968">
        <v>-9.0020929999999999E-2</v>
      </c>
      <c r="W968">
        <v>0.20681459999999999</v>
      </c>
      <c r="X968">
        <v>0.97422989999999998</v>
      </c>
      <c r="Y968">
        <v>5.2369319999999997E-2</v>
      </c>
      <c r="Z968">
        <v>1.083224E-4</v>
      </c>
      <c r="AA968">
        <v>0.99862779999999995</v>
      </c>
      <c r="AB968">
        <v>34</v>
      </c>
      <c r="AC968">
        <v>142.5249</v>
      </c>
      <c r="AD968">
        <v>1.9602279999999901</v>
      </c>
      <c r="AE968">
        <v>-7.0919000000000096</v>
      </c>
      <c r="AF968">
        <v>7.4856119062910897</v>
      </c>
      <c r="AG968">
        <v>1.9602279999999901</v>
      </c>
      <c r="AH968">
        <v>142.47780517330401</v>
      </c>
      <c r="AI968">
        <v>89.212852520772699</v>
      </c>
      <c r="AJ968">
        <v>86.992514081776207</v>
      </c>
      <c r="AK968">
        <v>142.68777749487001</v>
      </c>
      <c r="AL968">
        <v>78.064254993700501</v>
      </c>
      <c r="AM968">
        <v>95.279261784493102</v>
      </c>
      <c r="AN968">
        <v>0.99999997233261695</v>
      </c>
    </row>
    <row r="969" spans="1:40" x14ac:dyDescent="0.25">
      <c r="A969" t="str">
        <f>"20190304155032324"</f>
        <v>20190304155032324</v>
      </c>
      <c r="B969" t="str">
        <f>"1551685832317816"</f>
        <v>1551685832317816</v>
      </c>
      <c r="C969" t="s">
        <v>40</v>
      </c>
      <c r="D969">
        <v>5.2830380000000003</v>
      </c>
      <c r="E969">
        <v>0.55307430000000002</v>
      </c>
      <c r="F969" t="s">
        <v>43</v>
      </c>
      <c r="G969">
        <v>-158.19499999999999</v>
      </c>
      <c r="H969">
        <v>2.9218310000000001</v>
      </c>
      <c r="I969">
        <v>360.77069999999998</v>
      </c>
      <c r="J969">
        <v>-300.37729999999999</v>
      </c>
      <c r="K969">
        <v>1.0599769999999999</v>
      </c>
      <c r="L969">
        <v>367.64359999999999</v>
      </c>
      <c r="M969">
        <v>0.99992029999999998</v>
      </c>
      <c r="N969">
        <v>-1.2379299999999999E-2</v>
      </c>
      <c r="O969">
        <v>2.498756E-3</v>
      </c>
      <c r="P969">
        <v>0.97649339999999996</v>
      </c>
      <c r="Q969">
        <v>0.1944486</v>
      </c>
      <c r="R969">
        <v>9.3007019999999996E-2</v>
      </c>
      <c r="S969">
        <v>3.0784609999999999</v>
      </c>
      <c r="T969">
        <v>4.0216920000000003E-2</v>
      </c>
      <c r="U969">
        <v>-0.1484375</v>
      </c>
      <c r="V969">
        <v>-9.0433780000000005E-2</v>
      </c>
      <c r="W969">
        <v>0.20658319999999999</v>
      </c>
      <c r="X969">
        <v>0.97424080000000002</v>
      </c>
      <c r="Y969">
        <v>5.0657010000000002E-2</v>
      </c>
      <c r="Z969" s="1">
        <v>8.0477619999999998E-5</v>
      </c>
      <c r="AA969">
        <v>0.9987161</v>
      </c>
      <c r="AB969">
        <v>34</v>
      </c>
      <c r="AC969">
        <v>142.1823</v>
      </c>
      <c r="AD969">
        <v>1.8618539999999999</v>
      </c>
      <c r="AE969">
        <v>-6.8729000000000102</v>
      </c>
      <c r="AF969">
        <v>7.2269482737883797</v>
      </c>
      <c r="AG969">
        <v>1.8618539999999999</v>
      </c>
      <c r="AH969">
        <v>142.14036437410101</v>
      </c>
      <c r="AI969">
        <v>89.250510698712901</v>
      </c>
      <c r="AJ969">
        <v>87.0893744101853</v>
      </c>
      <c r="AK969">
        <v>142.336146027886</v>
      </c>
      <c r="AL969">
        <v>78.077806350832304</v>
      </c>
      <c r="AM969">
        <v>95.303276565764804</v>
      </c>
      <c r="AN969">
        <v>1.00000001173598</v>
      </c>
    </row>
    <row r="970" spans="1:40" x14ac:dyDescent="0.25">
      <c r="A970" t="str">
        <f>"20190304155032347"</f>
        <v>20190304155032347</v>
      </c>
      <c r="B970" t="str">
        <f>"1551685832337336"</f>
        <v>1551685832337336</v>
      </c>
      <c r="C970" t="s">
        <v>40</v>
      </c>
      <c r="D970">
        <v>5.2041959999999996</v>
      </c>
      <c r="E970">
        <v>0.55247950000000001</v>
      </c>
      <c r="F970" t="s">
        <v>43</v>
      </c>
      <c r="G970">
        <v>-158.19499999999999</v>
      </c>
      <c r="H970">
        <v>2.7377400000000001</v>
      </c>
      <c r="I970">
        <v>361.01659999999998</v>
      </c>
      <c r="J970">
        <v>-300.01850000000002</v>
      </c>
      <c r="K970">
        <v>1.059987</v>
      </c>
      <c r="L970">
        <v>367.64409999999998</v>
      </c>
      <c r="M970">
        <v>0.99992040000000004</v>
      </c>
      <c r="N970">
        <v>-1.2421929999999999E-2</v>
      </c>
      <c r="O970">
        <v>2.2130320000000002E-3</v>
      </c>
      <c r="P970">
        <v>0.97645320000000002</v>
      </c>
      <c r="Q970">
        <v>0.19469520000000001</v>
      </c>
      <c r="R970">
        <v>9.2915369999999997E-2</v>
      </c>
      <c r="S970">
        <v>3.0786440000000002</v>
      </c>
      <c r="T970">
        <v>3.6330099999999997E-2</v>
      </c>
      <c r="U970">
        <v>-0.1434937</v>
      </c>
      <c r="V970">
        <v>-9.0621409999999999E-2</v>
      </c>
      <c r="W970">
        <v>0.20687059999999999</v>
      </c>
      <c r="X970">
        <v>0.97416230000000004</v>
      </c>
      <c r="Y970">
        <v>4.8769050000000001E-2</v>
      </c>
      <c r="Z970" s="1">
        <v>3.8084170000000002E-5</v>
      </c>
      <c r="AA970">
        <v>0.99881010000000003</v>
      </c>
      <c r="AB970">
        <v>34</v>
      </c>
      <c r="AC970">
        <v>141.8235</v>
      </c>
      <c r="AD970">
        <v>1.6777529999999901</v>
      </c>
      <c r="AE970">
        <v>-6.6274999999999897</v>
      </c>
      <c r="AF970">
        <v>6.9403987659370197</v>
      </c>
      <c r="AG970">
        <v>1.6777529999999901</v>
      </c>
      <c r="AH970">
        <v>141.788685169861</v>
      </c>
      <c r="AI970">
        <v>89.322874451217999</v>
      </c>
      <c r="AJ970">
        <v>87.197671878266704</v>
      </c>
      <c r="AK970">
        <v>141.968359969245</v>
      </c>
      <c r="AL970">
        <v>78.060975067413096</v>
      </c>
      <c r="AM970">
        <v>95.314642533747502</v>
      </c>
      <c r="AN970">
        <v>0.99999993591801695</v>
      </c>
    </row>
    <row r="971" spans="1:40" x14ac:dyDescent="0.25">
      <c r="A971" t="str">
        <f>"20190304155032370"</f>
        <v>20190304155032370</v>
      </c>
      <c r="B971" t="str">
        <f>"1551685832357363"</f>
        <v>1551685832357363</v>
      </c>
      <c r="C971" t="s">
        <v>40</v>
      </c>
      <c r="D971">
        <v>5.1768850000000004</v>
      </c>
      <c r="E971">
        <v>0.55205950000000004</v>
      </c>
      <c r="F971" t="s">
        <v>43</v>
      </c>
      <c r="G971">
        <v>-158.19499999999999</v>
      </c>
      <c r="H971">
        <v>2.5836009999999998</v>
      </c>
      <c r="I971">
        <v>361.25650000000002</v>
      </c>
      <c r="J971">
        <v>-299.68939999999998</v>
      </c>
      <c r="K971">
        <v>1.059993</v>
      </c>
      <c r="L971">
        <v>367.64460000000003</v>
      </c>
      <c r="M971">
        <v>0.99992060000000005</v>
      </c>
      <c r="N971">
        <v>-1.245515E-2</v>
      </c>
      <c r="O971">
        <v>1.9506219999999999E-3</v>
      </c>
      <c r="P971">
        <v>0.97656080000000001</v>
      </c>
      <c r="Q971">
        <v>0.19416949999999999</v>
      </c>
      <c r="R971">
        <v>9.2884729999999999E-2</v>
      </c>
      <c r="S971">
        <v>3.0789179999999998</v>
      </c>
      <c r="T971">
        <v>3.3078789999999997E-2</v>
      </c>
      <c r="U971">
        <v>-0.13867189999999999</v>
      </c>
      <c r="V971">
        <v>-9.0847049999999999E-2</v>
      </c>
      <c r="W971">
        <v>0.2063789</v>
      </c>
      <c r="X971">
        <v>0.97424569999999999</v>
      </c>
      <c r="Y971">
        <v>4.6942169999999998E-2</v>
      </c>
      <c r="Z971" s="1">
        <v>4.7638900000000004E-6</v>
      </c>
      <c r="AA971">
        <v>0.99889760000000005</v>
      </c>
      <c r="AB971">
        <v>34</v>
      </c>
      <c r="AC971">
        <v>141.49439999999899</v>
      </c>
      <c r="AD971">
        <v>1.5236080000000001</v>
      </c>
      <c r="AE971">
        <v>-6.3880999999999997</v>
      </c>
      <c r="AF971">
        <v>6.6633402878083396</v>
      </c>
      <c r="AG971">
        <v>1.5236080000000001</v>
      </c>
      <c r="AH971">
        <v>141.46529960461601</v>
      </c>
      <c r="AI971">
        <v>89.383620815535195</v>
      </c>
      <c r="AJ971">
        <v>87.303230481560604</v>
      </c>
      <c r="AK971">
        <v>141.63033741876299</v>
      </c>
      <c r="AL971">
        <v>78.089770269320198</v>
      </c>
      <c r="AM971">
        <v>95.327346048610593</v>
      </c>
      <c r="AN971">
        <v>1.0000000604136901</v>
      </c>
    </row>
    <row r="972" spans="1:40" x14ac:dyDescent="0.25">
      <c r="A972" t="str">
        <f>"20190304155032381"</f>
        <v>20190304155032381</v>
      </c>
      <c r="B972" t="str">
        <f>"1551685832377860"</f>
        <v>1551685832377860</v>
      </c>
      <c r="C972" t="s">
        <v>40</v>
      </c>
      <c r="D972">
        <v>5.2015419999999999</v>
      </c>
      <c r="E972">
        <v>0.55159080000000005</v>
      </c>
      <c r="F972" t="s">
        <v>43</v>
      </c>
      <c r="G972">
        <v>-158.19499999999999</v>
      </c>
      <c r="H972">
        <v>2.4273120000000001</v>
      </c>
      <c r="I972">
        <v>361.42469999999997</v>
      </c>
      <c r="J972">
        <v>-299.49250000000001</v>
      </c>
      <c r="K972">
        <v>1.0599940000000001</v>
      </c>
      <c r="L972">
        <v>367.64479999999998</v>
      </c>
      <c r="M972">
        <v>0.9999207</v>
      </c>
      <c r="N972">
        <v>-1.2472560000000001E-2</v>
      </c>
      <c r="O972">
        <v>1.7940499999999999E-3</v>
      </c>
      <c r="P972">
        <v>0.97658840000000002</v>
      </c>
      <c r="Q972">
        <v>0.19407279999999999</v>
      </c>
      <c r="R972">
        <v>9.2796000000000003E-2</v>
      </c>
      <c r="S972">
        <v>3.0789179999999998</v>
      </c>
      <c r="T972">
        <v>2.9754760000000002E-2</v>
      </c>
      <c r="U972">
        <v>-0.13534549999999901</v>
      </c>
      <c r="V972">
        <v>-9.0910870000000005E-2</v>
      </c>
      <c r="W972">
        <v>0.20629910000000001</v>
      </c>
      <c r="X972">
        <v>0.97425660000000003</v>
      </c>
      <c r="Y972">
        <v>4.570892E-2</v>
      </c>
      <c r="Z972" s="1">
        <v>-2.4751590000000001E-5</v>
      </c>
      <c r="AA972">
        <v>0.99895480000000003</v>
      </c>
      <c r="AB972">
        <v>34</v>
      </c>
      <c r="AC972">
        <v>141.29750000000001</v>
      </c>
      <c r="AD972">
        <v>1.36731799999999</v>
      </c>
      <c r="AE972">
        <v>-6.2201000000000004</v>
      </c>
      <c r="AF972">
        <v>6.4729994924818604</v>
      </c>
      <c r="AG972">
        <v>1.36731799999999</v>
      </c>
      <c r="AH972">
        <v>141.27290906231701</v>
      </c>
      <c r="AI972">
        <v>89.446057936614196</v>
      </c>
      <c r="AJ972">
        <v>87.376592986007594</v>
      </c>
      <c r="AK972">
        <v>141.427734606309</v>
      </c>
      <c r="AL972">
        <v>78.094442464189598</v>
      </c>
      <c r="AM972">
        <v>95.331007650811699</v>
      </c>
      <c r="AN972">
        <v>1.00000001379426</v>
      </c>
    </row>
    <row r="973" spans="1:40" x14ac:dyDescent="0.25">
      <c r="A973" t="str">
        <f>"20190304155032393"</f>
        <v>20190304155032393</v>
      </c>
      <c r="B973" t="str">
        <f>"1551685832387619"</f>
        <v>1551685832387619</v>
      </c>
      <c r="C973" t="s">
        <v>40</v>
      </c>
      <c r="D973">
        <v>5.0270519999999896</v>
      </c>
      <c r="E973">
        <v>0.55115269999999905</v>
      </c>
      <c r="F973" t="s">
        <v>43</v>
      </c>
      <c r="G973">
        <v>-158.19499999999999</v>
      </c>
      <c r="H973">
        <v>2.2994460000000001</v>
      </c>
      <c r="I973">
        <v>361.59070000000003</v>
      </c>
      <c r="J973">
        <v>-299.32499999999999</v>
      </c>
      <c r="K973">
        <v>1.0599970000000001</v>
      </c>
      <c r="L973">
        <v>367.64499999999998</v>
      </c>
      <c r="M973">
        <v>0.99992080000000005</v>
      </c>
      <c r="N973">
        <v>-1.248647E-2</v>
      </c>
      <c r="O973">
        <v>1.6608650000000001E-3</v>
      </c>
      <c r="P973">
        <v>0.97661229999999999</v>
      </c>
      <c r="Q973">
        <v>0.1939853</v>
      </c>
      <c r="R973">
        <v>9.2728530000000003E-2</v>
      </c>
      <c r="S973">
        <v>3.0790709999999999</v>
      </c>
      <c r="T973">
        <v>2.7011279999999999E-2</v>
      </c>
      <c r="U973">
        <v>-0.1319275</v>
      </c>
      <c r="V973">
        <v>-9.0973170000000006E-2</v>
      </c>
      <c r="W973">
        <v>0.20622489999999999</v>
      </c>
      <c r="X973">
        <v>0.97426650000000004</v>
      </c>
      <c r="Y973">
        <v>4.4467010000000001E-2</v>
      </c>
      <c r="Z973" s="1">
        <v>-4.7510930000000002E-5</v>
      </c>
      <c r="AA973">
        <v>0.99901090000000003</v>
      </c>
      <c r="AB973">
        <v>34</v>
      </c>
      <c r="AC973">
        <v>141.13</v>
      </c>
      <c r="AD973">
        <v>1.239449</v>
      </c>
      <c r="AE973">
        <v>-6.0542999999999498</v>
      </c>
      <c r="AF973">
        <v>6.2882236537164697</v>
      </c>
      <c r="AG973">
        <v>1.239449</v>
      </c>
      <c r="AH973">
        <v>141.10888554197899</v>
      </c>
      <c r="AI973">
        <v>89.497246629882596</v>
      </c>
      <c r="AJ973">
        <v>87.448421020056003</v>
      </c>
      <c r="AK973">
        <v>141.25436478014501</v>
      </c>
      <c r="AL973">
        <v>78.098787312810998</v>
      </c>
      <c r="AM973">
        <v>95.334585954171601</v>
      </c>
      <c r="AN973">
        <v>1.0000000200310499</v>
      </c>
    </row>
    <row r="974" spans="1:40" x14ac:dyDescent="0.25">
      <c r="A974" t="str">
        <f>"20190304155032403"</f>
        <v>20190304155032403</v>
      </c>
      <c r="B974" t="str">
        <f>"1551685832397380"</f>
        <v>1551685832397380</v>
      </c>
      <c r="C974" t="s">
        <v>40</v>
      </c>
      <c r="D974">
        <v>5.25847</v>
      </c>
      <c r="E974">
        <v>0.55095629999999995</v>
      </c>
      <c r="F974" t="s">
        <v>43</v>
      </c>
      <c r="G974">
        <v>-158.19499999999999</v>
      </c>
      <c r="H974">
        <v>2.1653069999999999</v>
      </c>
      <c r="I974">
        <v>361.75779999999997</v>
      </c>
      <c r="J974">
        <v>-299.16199999999998</v>
      </c>
      <c r="K974">
        <v>1.0599940000000001</v>
      </c>
      <c r="L974">
        <v>367.64510000000001</v>
      </c>
      <c r="M974">
        <v>0.99992080000000005</v>
      </c>
      <c r="N974">
        <v>-1.249902E-2</v>
      </c>
      <c r="O974">
        <v>1.531445E-3</v>
      </c>
      <c r="P974">
        <v>0.97667179999999998</v>
      </c>
      <c r="Q974">
        <v>0.1937818</v>
      </c>
      <c r="R974">
        <v>9.2526209999999998E-2</v>
      </c>
      <c r="S974">
        <v>3.079224</v>
      </c>
      <c r="T974">
        <v>2.4117949999999999E-2</v>
      </c>
      <c r="U974">
        <v>-0.12844849999999999</v>
      </c>
      <c r="V974">
        <v>-9.0897930000000002E-2</v>
      </c>
      <c r="W974">
        <v>0.20603450000000001</v>
      </c>
      <c r="X974">
        <v>0.97431380000000001</v>
      </c>
      <c r="Y974">
        <v>4.3208990000000003E-2</v>
      </c>
      <c r="Z974" s="1">
        <v>-6.9897129999999994E-5</v>
      </c>
      <c r="AA974">
        <v>0.99906609999999996</v>
      </c>
      <c r="AB974">
        <v>34</v>
      </c>
      <c r="AC974">
        <v>140.96700000000001</v>
      </c>
      <c r="AD974">
        <v>1.10531299999999</v>
      </c>
      <c r="AE974">
        <v>-5.8873000000000397</v>
      </c>
      <c r="AF974">
        <v>6.1028185989713997</v>
      </c>
      <c r="AG974">
        <v>1.10531299999999</v>
      </c>
      <c r="AH974">
        <v>140.949167385642</v>
      </c>
      <c r="AI974">
        <v>89.551120469554206</v>
      </c>
      <c r="AJ974">
        <v>87.520755229727897</v>
      </c>
      <c r="AK974">
        <v>141.085555243567</v>
      </c>
      <c r="AL974">
        <v>78.109935785115994</v>
      </c>
      <c r="AM974">
        <v>95.329942094702304</v>
      </c>
      <c r="AN974">
        <v>1.0000000148694801</v>
      </c>
    </row>
    <row r="975" spans="1:40" x14ac:dyDescent="0.25">
      <c r="A975" t="str">
        <f>"20190304155032413"</f>
        <v>20190304155032413</v>
      </c>
      <c r="B975" t="str">
        <f>"1551685832407139"</f>
        <v>1551685832407139</v>
      </c>
      <c r="C975" t="s">
        <v>40</v>
      </c>
      <c r="D975">
        <v>5.2564190000000002</v>
      </c>
      <c r="E975">
        <v>0.55074009999999995</v>
      </c>
      <c r="F975" t="s">
        <v>43</v>
      </c>
      <c r="G975">
        <v>-158.19499999999999</v>
      </c>
      <c r="H975">
        <v>2.0477500000000002</v>
      </c>
      <c r="I975">
        <v>361.79860000000002</v>
      </c>
      <c r="J975">
        <v>-299.0027</v>
      </c>
      <c r="K975">
        <v>1.059998</v>
      </c>
      <c r="L975">
        <v>367.64519999999999</v>
      </c>
      <c r="M975">
        <v>0.99992080000000005</v>
      </c>
      <c r="N975">
        <v>-1.251035E-2</v>
      </c>
      <c r="O975">
        <v>1.404834E-3</v>
      </c>
      <c r="P975">
        <v>0.9766918</v>
      </c>
      <c r="Q975">
        <v>0.1937256</v>
      </c>
      <c r="R975">
        <v>9.2433039999999994E-2</v>
      </c>
      <c r="S975">
        <v>3.079437</v>
      </c>
      <c r="T975">
        <v>2.1579500000000001E-2</v>
      </c>
      <c r="U975">
        <v>-0.1277161</v>
      </c>
      <c r="V975">
        <v>-9.0928090000000003E-2</v>
      </c>
      <c r="W975">
        <v>0.20598929999999999</v>
      </c>
      <c r="X975">
        <v>0.97432050000000003</v>
      </c>
      <c r="Y975">
        <v>4.2842470000000001E-2</v>
      </c>
      <c r="Z975" s="1">
        <v>-9.0657239999999999E-5</v>
      </c>
      <c r="AA975">
        <v>0.99908189999999997</v>
      </c>
      <c r="AB975">
        <v>34</v>
      </c>
      <c r="AC975">
        <v>140.80770000000001</v>
      </c>
      <c r="AD975">
        <v>0.98775199999999996</v>
      </c>
      <c r="AE975">
        <v>-5.8465999999999596</v>
      </c>
      <c r="AF975">
        <v>6.0441242345011901</v>
      </c>
      <c r="AG975">
        <v>0.98775199999999996</v>
      </c>
      <c r="AH975">
        <v>140.79243058075201</v>
      </c>
      <c r="AI975">
        <v>89.598408683663493</v>
      </c>
      <c r="AJ975">
        <v>87.541840097183993</v>
      </c>
      <c r="AK975">
        <v>140.92556759016901</v>
      </c>
      <c r="AL975">
        <v>78.112581818854594</v>
      </c>
      <c r="AM975">
        <v>95.331663930862703</v>
      </c>
      <c r="AN975">
        <v>0.999999972992893</v>
      </c>
    </row>
    <row r="976" spans="1:40" x14ac:dyDescent="0.25">
      <c r="A976" t="str">
        <f>"20190304155032425"</f>
        <v>20190304155032425</v>
      </c>
      <c r="B976" t="str">
        <f>"1551685832417876"</f>
        <v>1551685832417876</v>
      </c>
      <c r="C976" t="s">
        <v>40</v>
      </c>
      <c r="D976">
        <v>5.2240799999999998</v>
      </c>
      <c r="E976">
        <v>0.55050919999999903</v>
      </c>
      <c r="F976" t="s">
        <v>43</v>
      </c>
      <c r="G976">
        <v>-158.19499999999999</v>
      </c>
      <c r="H976">
        <v>1.957492</v>
      </c>
      <c r="I976">
        <v>361.8698</v>
      </c>
      <c r="J976">
        <v>-298.8159</v>
      </c>
      <c r="K976">
        <v>1.06</v>
      </c>
      <c r="L976">
        <v>367.64530000000002</v>
      </c>
      <c r="M976">
        <v>0.99992080000000005</v>
      </c>
      <c r="N976">
        <v>-1.25229E-2</v>
      </c>
      <c r="O976">
        <v>1.2563419999999999E-3</v>
      </c>
      <c r="P976">
        <v>0.97672769999999998</v>
      </c>
      <c r="Q976">
        <v>0.19377059999999999</v>
      </c>
      <c r="R976">
        <v>9.1959289999999999E-2</v>
      </c>
      <c r="S976">
        <v>3.07959</v>
      </c>
      <c r="T976">
        <v>1.9630910000000001E-2</v>
      </c>
      <c r="U976">
        <v>-0.12631229999999999</v>
      </c>
      <c r="V976">
        <v>-9.059942E-2</v>
      </c>
      <c r="W976">
        <v>0.2060466</v>
      </c>
      <c r="X976">
        <v>0.97433899999999996</v>
      </c>
      <c r="Y976">
        <v>4.2237450000000003E-2</v>
      </c>
      <c r="Z976">
        <v>-1.06291E-4</v>
      </c>
      <c r="AA976">
        <v>0.99910759999999998</v>
      </c>
      <c r="AB976">
        <v>34</v>
      </c>
      <c r="AC976">
        <v>140.62090000000001</v>
      </c>
      <c r="AD976">
        <v>0.89749199999999896</v>
      </c>
      <c r="AE976">
        <v>-5.7755000000000196</v>
      </c>
      <c r="AF976">
        <v>5.9519351974931096</v>
      </c>
      <c r="AG976">
        <v>0.89749199999999896</v>
      </c>
      <c r="AH976">
        <v>140.60781450171001</v>
      </c>
      <c r="AI976">
        <v>89.634616333211298</v>
      </c>
      <c r="AJ976">
        <v>87.576114082991595</v>
      </c>
      <c r="AK976">
        <v>140.736592695121</v>
      </c>
      <c r="AL976">
        <v>78.109226782608602</v>
      </c>
      <c r="AM976">
        <v>95.312402191776897</v>
      </c>
      <c r="AN976">
        <v>0.999999971598447</v>
      </c>
    </row>
    <row r="977" spans="1:40" x14ac:dyDescent="0.25">
      <c r="A977" t="str">
        <f>"20190304155032437"</f>
        <v>20190304155032437</v>
      </c>
      <c r="B977" t="str">
        <f>"1551685832427635"</f>
        <v>1551685832427635</v>
      </c>
      <c r="C977" t="s">
        <v>40</v>
      </c>
      <c r="D977">
        <v>5.1595129999999996</v>
      </c>
      <c r="E977">
        <v>0.55011299999999996</v>
      </c>
      <c r="F977" t="s">
        <v>43</v>
      </c>
      <c r="G977">
        <v>-158.19499999999999</v>
      </c>
      <c r="H977">
        <v>1.8938109999999999</v>
      </c>
      <c r="I977">
        <v>361.87650000000002</v>
      </c>
      <c r="J977">
        <v>-298.6481</v>
      </c>
      <c r="K977">
        <v>1.060001</v>
      </c>
      <c r="L977">
        <v>367.64530000000002</v>
      </c>
      <c r="M977">
        <v>0.99992080000000005</v>
      </c>
      <c r="N977">
        <v>-1.253291E-2</v>
      </c>
      <c r="O977">
        <v>1.1231839999999999E-3</v>
      </c>
      <c r="P977">
        <v>0.97675230000000002</v>
      </c>
      <c r="Q977">
        <v>0.1937585</v>
      </c>
      <c r="R977">
        <v>9.1720049999999997E-2</v>
      </c>
      <c r="S977">
        <v>3.079742</v>
      </c>
      <c r="T977">
        <v>1.826322E-2</v>
      </c>
      <c r="U977">
        <v>-0.12634280000000001</v>
      </c>
      <c r="V977">
        <v>-9.0490290000000001E-2</v>
      </c>
      <c r="W977">
        <v>0.2060448</v>
      </c>
      <c r="X977">
        <v>0.97434960000000004</v>
      </c>
      <c r="Y977">
        <v>4.2112280000000002E-2</v>
      </c>
      <c r="Z977">
        <v>-1.18473E-4</v>
      </c>
      <c r="AA977">
        <v>0.99911289999999997</v>
      </c>
      <c r="AB977">
        <v>34</v>
      </c>
      <c r="AC977">
        <v>140.45310000000001</v>
      </c>
      <c r="AD977">
        <v>0.83381000000000005</v>
      </c>
      <c r="AE977">
        <v>-5.7687999999999899</v>
      </c>
      <c r="AF977">
        <v>5.9263549207979702</v>
      </c>
      <c r="AG977">
        <v>0.83381000000000005</v>
      </c>
      <c r="AH977">
        <v>140.441590227218</v>
      </c>
      <c r="AI977">
        <v>89.6601380258723</v>
      </c>
      <c r="AJ977">
        <v>87.5836659640797</v>
      </c>
      <c r="AK977">
        <v>140.56904775701199</v>
      </c>
      <c r="AL977">
        <v>78.109333093498194</v>
      </c>
      <c r="AM977">
        <v>95.305982377350801</v>
      </c>
      <c r="AN977">
        <v>1.00000004760574</v>
      </c>
    </row>
    <row r="978" spans="1:40" x14ac:dyDescent="0.25">
      <c r="A978" t="str">
        <f>"20190304155032449"</f>
        <v>20190304155032449</v>
      </c>
      <c r="B978" t="str">
        <f>"1551685832447663"</f>
        <v>1551685832447663</v>
      </c>
      <c r="C978" t="s">
        <v>40</v>
      </c>
      <c r="D978">
        <v>5.2846089999999997</v>
      </c>
      <c r="E978">
        <v>0.54968229999999996</v>
      </c>
      <c r="F978" t="s">
        <v>43</v>
      </c>
      <c r="G978">
        <v>-158.19499999999999</v>
      </c>
      <c r="H978">
        <v>1.8808339999999999</v>
      </c>
      <c r="I978">
        <v>361.9846</v>
      </c>
      <c r="J978">
        <v>-298.46190000000001</v>
      </c>
      <c r="K978">
        <v>1.0600039999999999</v>
      </c>
      <c r="L978">
        <v>367.6454</v>
      </c>
      <c r="M978">
        <v>0.9999209</v>
      </c>
      <c r="N978">
        <v>-1.254361E-2</v>
      </c>
      <c r="O978">
        <v>9.7500250000000005E-4</v>
      </c>
      <c r="P978">
        <v>0.97675440000000002</v>
      </c>
      <c r="Q978">
        <v>0.19388730000000001</v>
      </c>
      <c r="R978">
        <v>9.1425400000000004E-2</v>
      </c>
      <c r="S978">
        <v>3.0794980000000001</v>
      </c>
      <c r="T978">
        <v>1.7999049999999999E-2</v>
      </c>
      <c r="U978">
        <v>-0.124115</v>
      </c>
      <c r="V978">
        <v>-9.0339840000000005E-2</v>
      </c>
      <c r="W978">
        <v>0.20618339999999999</v>
      </c>
      <c r="X978">
        <v>0.97433420000000004</v>
      </c>
      <c r="Y978">
        <v>4.1245860000000002E-2</v>
      </c>
      <c r="Z978">
        <v>-1.203901E-4</v>
      </c>
      <c r="AA978">
        <v>0.99914899999999995</v>
      </c>
      <c r="AB978">
        <v>34</v>
      </c>
      <c r="AC978">
        <v>140.26689999999999</v>
      </c>
      <c r="AD978">
        <v>0.82082999999999995</v>
      </c>
      <c r="AE978">
        <v>-5.6607999999999903</v>
      </c>
      <c r="AF978">
        <v>5.7973704330667699</v>
      </c>
      <c r="AG978">
        <v>0.82082999999999995</v>
      </c>
      <c r="AH978">
        <v>140.256518328515</v>
      </c>
      <c r="AI978">
        <v>89.664975035954996</v>
      </c>
      <c r="AJ978">
        <v>87.633080534165302</v>
      </c>
      <c r="AK978">
        <v>140.37868142799999</v>
      </c>
      <c r="AL978">
        <v>78.101217155906099</v>
      </c>
      <c r="AM978">
        <v>95.297294077335906</v>
      </c>
      <c r="AN978">
        <v>1.00000000720821</v>
      </c>
    </row>
    <row r="979" spans="1:40" x14ac:dyDescent="0.25">
      <c r="A979" t="str">
        <f>"20190304155032460"</f>
        <v>20190304155032460</v>
      </c>
      <c r="B979" t="str">
        <f>"1551685832457424"</f>
        <v>1551685832457424</v>
      </c>
      <c r="C979" t="s">
        <v>40</v>
      </c>
      <c r="D979">
        <v>5.214378</v>
      </c>
      <c r="E979">
        <v>0.54944440000000005</v>
      </c>
      <c r="F979" t="s">
        <v>43</v>
      </c>
      <c r="G979">
        <v>-158.19499999999999</v>
      </c>
      <c r="H979">
        <v>1.7673380000000001</v>
      </c>
      <c r="I979">
        <v>362.12299999999999</v>
      </c>
      <c r="J979">
        <v>-298.28660000000002</v>
      </c>
      <c r="K979">
        <v>1.0600069999999999</v>
      </c>
      <c r="L979">
        <v>367.6454</v>
      </c>
      <c r="M979">
        <v>0.9999209</v>
      </c>
      <c r="N979">
        <v>-1.2552560000000001E-2</v>
      </c>
      <c r="O979">
        <v>8.3559399999999897E-4</v>
      </c>
      <c r="P979">
        <v>0.97677990000000003</v>
      </c>
      <c r="Q979">
        <v>0.19389799999999999</v>
      </c>
      <c r="R979">
        <v>9.1130520000000007E-2</v>
      </c>
      <c r="S979">
        <v>3.0796510000000001</v>
      </c>
      <c r="T979">
        <v>1.55319E-2</v>
      </c>
      <c r="U979">
        <v>-0.1212463</v>
      </c>
      <c r="V979">
        <v>-9.0181499999999998E-2</v>
      </c>
      <c r="W979">
        <v>0.206203</v>
      </c>
      <c r="X979">
        <v>0.97434469999999995</v>
      </c>
      <c r="Y979">
        <v>4.0175309999999999E-2</v>
      </c>
      <c r="Z979">
        <v>-1.36289E-4</v>
      </c>
      <c r="AA979">
        <v>0.99919270000000004</v>
      </c>
      <c r="AB979">
        <v>34</v>
      </c>
      <c r="AC979">
        <v>140.0916</v>
      </c>
      <c r="AD979">
        <v>0.70733100000000004</v>
      </c>
      <c r="AE979">
        <v>-5.5223999999999398</v>
      </c>
      <c r="AF979">
        <v>5.6393234511640999</v>
      </c>
      <c r="AG979">
        <v>0.70733100000000004</v>
      </c>
      <c r="AH979">
        <v>140.08337063066801</v>
      </c>
      <c r="AI979">
        <v>89.710929729632696</v>
      </c>
      <c r="AJ979">
        <v>87.694693842637605</v>
      </c>
      <c r="AK979">
        <v>140.198619869738</v>
      </c>
      <c r="AL979">
        <v>78.100069256379101</v>
      </c>
      <c r="AM979">
        <v>95.288005448205993</v>
      </c>
      <c r="AN979">
        <v>0.99999998728466899</v>
      </c>
    </row>
    <row r="980" spans="1:40" x14ac:dyDescent="0.25">
      <c r="A980" t="str">
        <f>"20190304155032473"</f>
        <v>20190304155032473</v>
      </c>
      <c r="B980" t="str">
        <f>"1551685832467183"</f>
        <v>1551685832467183</v>
      </c>
      <c r="C980" t="s">
        <v>40</v>
      </c>
      <c r="D980">
        <v>5.2352420000000004</v>
      </c>
      <c r="E980">
        <v>0.54926090000000005</v>
      </c>
      <c r="F980" t="s">
        <v>43</v>
      </c>
      <c r="G980">
        <v>-158.19499999999999</v>
      </c>
      <c r="H980">
        <v>1.706758</v>
      </c>
      <c r="I980">
        <v>362.18</v>
      </c>
      <c r="J980">
        <v>-298.11579999999998</v>
      </c>
      <c r="K980">
        <v>1.0600080000000001</v>
      </c>
      <c r="L980">
        <v>367.6454</v>
      </c>
      <c r="M980">
        <v>0.9999209</v>
      </c>
      <c r="N980">
        <v>-1.256086E-2</v>
      </c>
      <c r="O980">
        <v>6.9958710000000003E-4</v>
      </c>
      <c r="P980">
        <v>0.97679150000000003</v>
      </c>
      <c r="Q980">
        <v>0.193962</v>
      </c>
      <c r="R980">
        <v>9.086872E-2</v>
      </c>
      <c r="S980">
        <v>3.0796510000000001</v>
      </c>
      <c r="T980">
        <v>1.4219519999999999E-2</v>
      </c>
      <c r="U980">
        <v>-0.120147699999999</v>
      </c>
      <c r="V980">
        <v>-9.0052339999999995E-2</v>
      </c>
      <c r="W980">
        <v>0.20627480000000001</v>
      </c>
      <c r="X980">
        <v>0.97434149999999997</v>
      </c>
      <c r="Y980">
        <v>3.968348E-2</v>
      </c>
      <c r="Z980">
        <v>-1.4573949999999999E-4</v>
      </c>
      <c r="AA980">
        <v>0.99921230000000005</v>
      </c>
      <c r="AB980">
        <v>34</v>
      </c>
      <c r="AC980">
        <v>139.92080000000001</v>
      </c>
      <c r="AD980">
        <v>0.64675000000000005</v>
      </c>
      <c r="AE980">
        <v>-5.4653999999999803</v>
      </c>
      <c r="AF980">
        <v>5.5631744909092102</v>
      </c>
      <c r="AG980">
        <v>0.64675000000000005</v>
      </c>
      <c r="AH980">
        <v>139.913957184504</v>
      </c>
      <c r="AI980">
        <v>89.735362180404394</v>
      </c>
      <c r="AJ980">
        <v>87.723039155264004</v>
      </c>
      <c r="AK980">
        <v>140.026006909453</v>
      </c>
      <c r="AL980">
        <v>78.095865646234401</v>
      </c>
      <c r="AM980">
        <v>95.280491933998306</v>
      </c>
      <c r="AN980">
        <v>1.00000003783838</v>
      </c>
    </row>
    <row r="981" spans="1:40" x14ac:dyDescent="0.25">
      <c r="A981" t="str">
        <f>"20190304155032484"</f>
        <v>20190304155032484</v>
      </c>
      <c r="B981" t="str">
        <f>"1551685832476944"</f>
        <v>1551685832476944</v>
      </c>
      <c r="C981" t="s">
        <v>40</v>
      </c>
      <c r="D981">
        <v>5.1398840000000003</v>
      </c>
      <c r="E981">
        <v>0.54888859999999995</v>
      </c>
      <c r="F981" t="s">
        <v>43</v>
      </c>
      <c r="G981">
        <v>-158.19499999999999</v>
      </c>
      <c r="H981">
        <v>1.643834</v>
      </c>
      <c r="I981">
        <v>362.2133</v>
      </c>
      <c r="J981">
        <v>-297.92720000000003</v>
      </c>
      <c r="K981">
        <v>1.060014</v>
      </c>
      <c r="L981">
        <v>367.6454</v>
      </c>
      <c r="M981">
        <v>0.99992080000000005</v>
      </c>
      <c r="N981">
        <v>-1.256934E-2</v>
      </c>
      <c r="O981">
        <v>5.4951279999999999E-4</v>
      </c>
      <c r="P981">
        <v>0.97687710000000005</v>
      </c>
      <c r="Q981">
        <v>0.1936697</v>
      </c>
      <c r="R981">
        <v>9.0570960000000006E-2</v>
      </c>
      <c r="S981">
        <v>3.0798649999999999</v>
      </c>
      <c r="T981">
        <v>1.2852789999999999E-2</v>
      </c>
      <c r="U981">
        <v>-0.1195679</v>
      </c>
      <c r="V981">
        <v>-8.9901699999999904E-2</v>
      </c>
      <c r="W981">
        <v>0.2059916</v>
      </c>
      <c r="X981">
        <v>0.97441529999999998</v>
      </c>
      <c r="Y981">
        <v>3.9342969999999998E-2</v>
      </c>
      <c r="Z981">
        <v>-1.5610029999999999E-4</v>
      </c>
      <c r="AA981">
        <v>0.99922569999999999</v>
      </c>
      <c r="AB981">
        <v>34</v>
      </c>
      <c r="AC981">
        <v>139.73220000000001</v>
      </c>
      <c r="AD981">
        <v>0.58382000000000001</v>
      </c>
      <c r="AE981">
        <v>-5.4320999999999904</v>
      </c>
      <c r="AF981">
        <v>5.5087938615538201</v>
      </c>
      <c r="AG981">
        <v>0.58382000000000001</v>
      </c>
      <c r="AH981">
        <v>139.72675815204099</v>
      </c>
      <c r="AI981">
        <v>89.760788403277999</v>
      </c>
      <c r="AJ981">
        <v>87.7422559601697</v>
      </c>
      <c r="AK981">
        <v>139.83652812938499</v>
      </c>
      <c r="AL981">
        <v>78.112447668012905</v>
      </c>
      <c r="AM981">
        <v>95.271311492396705</v>
      </c>
      <c r="AN981">
        <v>1.0000000159037601</v>
      </c>
    </row>
    <row r="982" spans="1:40" x14ac:dyDescent="0.25">
      <c r="A982" t="str">
        <f>"20190304155032495"</f>
        <v>20190304155032495</v>
      </c>
      <c r="B982" t="str">
        <f>"1551685832487679"</f>
        <v>1551685832487679</v>
      </c>
      <c r="C982" t="s">
        <v>40</v>
      </c>
      <c r="D982">
        <v>5.2751999999999999</v>
      </c>
      <c r="E982">
        <v>0.54870949999999996</v>
      </c>
      <c r="F982" t="s">
        <v>43</v>
      </c>
      <c r="G982">
        <v>-158.19499999999999</v>
      </c>
      <c r="H982">
        <v>1.598892</v>
      </c>
      <c r="I982">
        <v>362.30180000000001</v>
      </c>
      <c r="J982">
        <v>-297.7713</v>
      </c>
      <c r="K982">
        <v>1.0600160000000001</v>
      </c>
      <c r="L982">
        <v>367.64530000000002</v>
      </c>
      <c r="M982">
        <v>0.9999209</v>
      </c>
      <c r="N982">
        <v>-1.2575660000000001E-2</v>
      </c>
      <c r="O982">
        <v>4.2526020000000002E-4</v>
      </c>
      <c r="P982">
        <v>0.97682749999999996</v>
      </c>
      <c r="Q982">
        <v>0.19397400000000001</v>
      </c>
      <c r="R982">
        <v>9.0456110000000006E-2</v>
      </c>
      <c r="S982">
        <v>3.0795590000000002</v>
      </c>
      <c r="T982">
        <v>1.187825E-2</v>
      </c>
      <c r="U982">
        <v>-0.11776730000000001</v>
      </c>
      <c r="V982">
        <v>-8.9907319999999999E-2</v>
      </c>
      <c r="W982">
        <v>0.2063014</v>
      </c>
      <c r="X982">
        <v>0.97434920000000003</v>
      </c>
      <c r="Y982">
        <v>3.8639270000000003E-2</v>
      </c>
      <c r="Z982">
        <v>-1.615768E-4</v>
      </c>
      <c r="AA982">
        <v>0.99925319999999995</v>
      </c>
      <c r="AB982">
        <v>34</v>
      </c>
      <c r="AC982">
        <v>139.5763</v>
      </c>
      <c r="AD982">
        <v>0.53887599999999902</v>
      </c>
      <c r="AE982">
        <v>-5.3434999999999997</v>
      </c>
      <c r="AF982">
        <v>5.4027800373632404</v>
      </c>
      <c r="AG982">
        <v>0.53887599999999902</v>
      </c>
      <c r="AH982">
        <v>139.57193743760601</v>
      </c>
      <c r="AI982">
        <v>89.778952262278196</v>
      </c>
      <c r="AJ982">
        <v>87.783207560212702</v>
      </c>
      <c r="AK982">
        <v>139.677507636565</v>
      </c>
      <c r="AL982">
        <v>78.094307362709301</v>
      </c>
      <c r="AM982">
        <v>95.271994773652494</v>
      </c>
      <c r="AN982">
        <v>0.99999997868609003</v>
      </c>
    </row>
    <row r="983" spans="1:40" x14ac:dyDescent="0.25">
      <c r="A983" t="str">
        <f>"20190304155032505"</f>
        <v>20190304155032505</v>
      </c>
      <c r="B983" t="str">
        <f>"1551685832497439"</f>
        <v>1551685832497439</v>
      </c>
      <c r="C983" t="s">
        <v>40</v>
      </c>
      <c r="D983">
        <v>5.1784929999999996</v>
      </c>
      <c r="E983">
        <v>0.54854700000000001</v>
      </c>
      <c r="F983" t="s">
        <v>43</v>
      </c>
      <c r="G983">
        <v>-158.19499999999999</v>
      </c>
      <c r="H983">
        <v>1.6524719999999999</v>
      </c>
      <c r="I983">
        <v>362.36689999999999</v>
      </c>
      <c r="J983">
        <v>-297.5992</v>
      </c>
      <c r="K983">
        <v>1.06002</v>
      </c>
      <c r="L983">
        <v>367.64530000000002</v>
      </c>
      <c r="M983">
        <v>0.99992080000000005</v>
      </c>
      <c r="N983">
        <v>-1.2582319999999999E-2</v>
      </c>
      <c r="O983">
        <v>2.8854839999999999E-4</v>
      </c>
      <c r="P983">
        <v>0.97682020000000003</v>
      </c>
      <c r="Q983">
        <v>0.1941011</v>
      </c>
      <c r="R983">
        <v>9.0260889999999996E-2</v>
      </c>
      <c r="S983">
        <v>3.0793759999999999</v>
      </c>
      <c r="T983">
        <v>1.307285E-2</v>
      </c>
      <c r="U983">
        <v>-0.11645510000000001</v>
      </c>
      <c r="V983">
        <v>-8.9846209999999996E-2</v>
      </c>
      <c r="W983">
        <v>0.20643439999999999</v>
      </c>
      <c r="X983">
        <v>0.97432669999999999</v>
      </c>
      <c r="Y983">
        <v>3.8079729999999999E-2</v>
      </c>
      <c r="Z983">
        <v>-1.5400430000000001E-4</v>
      </c>
      <c r="AA983">
        <v>0.99927469999999996</v>
      </c>
      <c r="AB983">
        <v>34</v>
      </c>
      <c r="AC983">
        <v>139.4042</v>
      </c>
      <c r="AD983">
        <v>0.59245199999999998</v>
      </c>
      <c r="AE983">
        <v>-5.2784000000000297</v>
      </c>
      <c r="AF983">
        <v>5.3185319001554898</v>
      </c>
      <c r="AG983">
        <v>0.59245199999999998</v>
      </c>
      <c r="AH983">
        <v>139.40015682513899</v>
      </c>
      <c r="AI983">
        <v>89.756670889586701</v>
      </c>
      <c r="AJ983">
        <v>87.815054823382397</v>
      </c>
      <c r="AK983">
        <v>139.502836902404</v>
      </c>
      <c r="AL983">
        <v>78.086519769793995</v>
      </c>
      <c r="AM983">
        <v>95.268552548814597</v>
      </c>
      <c r="AN983">
        <v>1.0000000106438001</v>
      </c>
    </row>
    <row r="984" spans="1:40" x14ac:dyDescent="0.25">
      <c r="A984" t="str">
        <f>"20190304155032516"</f>
        <v>20190304155032516</v>
      </c>
      <c r="B984" t="str">
        <f>"1551685832507200"</f>
        <v>1551685832507200</v>
      </c>
      <c r="C984" t="s">
        <v>40</v>
      </c>
      <c r="D984">
        <v>5.2798150000000001</v>
      </c>
      <c r="E984">
        <v>0.54839269999999996</v>
      </c>
      <c r="F984" t="s">
        <v>43</v>
      </c>
      <c r="G984">
        <v>-158.19499999999999</v>
      </c>
      <c r="H984">
        <v>1.690331</v>
      </c>
      <c r="I984">
        <v>362.38130000000001</v>
      </c>
      <c r="J984">
        <v>-297.43579999999997</v>
      </c>
      <c r="K984">
        <v>1.060019</v>
      </c>
      <c r="L984">
        <v>367.64510000000001</v>
      </c>
      <c r="M984">
        <v>0.9999207</v>
      </c>
      <c r="N984">
        <v>-1.2587849999999999E-2</v>
      </c>
      <c r="O984">
        <v>1.58579E-4</v>
      </c>
      <c r="P984">
        <v>0.97677290000000005</v>
      </c>
      <c r="Q984">
        <v>0.1944468</v>
      </c>
      <c r="R984">
        <v>9.0028910000000004E-2</v>
      </c>
      <c r="S984">
        <v>3.0791629999999999</v>
      </c>
      <c r="T984">
        <v>1.3924239999999999E-2</v>
      </c>
      <c r="U984">
        <v>-0.116272</v>
      </c>
      <c r="V984">
        <v>-8.9740920000000002E-2</v>
      </c>
      <c r="W984">
        <v>0.20678479999999999</v>
      </c>
      <c r="X984">
        <v>0.97426210000000002</v>
      </c>
      <c r="Y984">
        <v>3.7893160000000002E-2</v>
      </c>
      <c r="Z984">
        <v>-1.502295E-4</v>
      </c>
      <c r="AA984">
        <v>0.9992818</v>
      </c>
      <c r="AB984">
        <v>34</v>
      </c>
      <c r="AC984">
        <v>139.24079999999901</v>
      </c>
      <c r="AD984">
        <v>0.63031199999999998</v>
      </c>
      <c r="AE984">
        <v>-5.2637999999999998</v>
      </c>
      <c r="AF984">
        <v>5.2857741915236698</v>
      </c>
      <c r="AG984">
        <v>0.63031199999999998</v>
      </c>
      <c r="AH984">
        <v>139.237114320247</v>
      </c>
      <c r="AI984">
        <v>89.740816400818701</v>
      </c>
      <c r="AJ984">
        <v>87.825959011486802</v>
      </c>
      <c r="AK984">
        <v>139.33883416424399</v>
      </c>
      <c r="AL984">
        <v>78.066000622942198</v>
      </c>
      <c r="AM984">
        <v>95.262760035089997</v>
      </c>
      <c r="AN984">
        <v>1.00000001286494</v>
      </c>
    </row>
    <row r="985" spans="1:40" x14ac:dyDescent="0.25">
      <c r="A985" t="str">
        <f>"20190304155032529"</f>
        <v>20190304155032529</v>
      </c>
      <c r="B985" t="str">
        <f>"1551685832527696"</f>
        <v>1551685832527696</v>
      </c>
      <c r="C985" t="s">
        <v>40</v>
      </c>
      <c r="D985">
        <v>5.1656399999999998</v>
      </c>
      <c r="E985">
        <v>0.54794549999999997</v>
      </c>
      <c r="F985" t="s">
        <v>43</v>
      </c>
      <c r="G985">
        <v>-158.19499999999999</v>
      </c>
      <c r="H985">
        <v>1.655324</v>
      </c>
      <c r="I985">
        <v>362.42219999999998</v>
      </c>
      <c r="J985">
        <v>-297.24689999999998</v>
      </c>
      <c r="K985">
        <v>1.0600229999999999</v>
      </c>
      <c r="L985">
        <v>367.64499999999998</v>
      </c>
      <c r="M985">
        <v>0.99992080000000005</v>
      </c>
      <c r="N985">
        <v>-1.2594009999999999E-2</v>
      </c>
      <c r="O985" s="1">
        <v>7.9829729999999906E-6</v>
      </c>
      <c r="P985">
        <v>0.97679450000000001</v>
      </c>
      <c r="Q985">
        <v>0.1943763</v>
      </c>
      <c r="R985">
        <v>8.9948249999999993E-2</v>
      </c>
      <c r="S985">
        <v>3.0793759999999999</v>
      </c>
      <c r="T985">
        <v>1.3167379999999999E-2</v>
      </c>
      <c r="U985">
        <v>-0.115509</v>
      </c>
      <c r="V985">
        <v>-8.9807670000000006E-2</v>
      </c>
      <c r="W985">
        <v>0.2067204</v>
      </c>
      <c r="X985">
        <v>0.97426959999999996</v>
      </c>
      <c r="Y985">
        <v>3.7492810000000001E-2</v>
      </c>
      <c r="Z985">
        <v>-1.5591699999999999E-4</v>
      </c>
      <c r="AA985">
        <v>0.99929690000000004</v>
      </c>
      <c r="AB985">
        <v>34</v>
      </c>
      <c r="AC985">
        <v>139.05189999999999</v>
      </c>
      <c r="AD985">
        <v>0.59530099999999997</v>
      </c>
      <c r="AE985">
        <v>-5.2228000000000003</v>
      </c>
      <c r="AF985">
        <v>5.2238145271805196</v>
      </c>
      <c r="AG985">
        <v>0.59530099999999997</v>
      </c>
      <c r="AH985">
        <v>139.04931336807101</v>
      </c>
      <c r="AI985">
        <v>89.754878452702698</v>
      </c>
      <c r="AJ985">
        <v>87.848519856954297</v>
      </c>
      <c r="AK985">
        <v>139.14867649254501</v>
      </c>
      <c r="AL985">
        <v>78.069771770448895</v>
      </c>
      <c r="AM985">
        <v>95.266612197588898</v>
      </c>
      <c r="AN985">
        <v>0.99999999742557399</v>
      </c>
    </row>
    <row r="986" spans="1:40" x14ac:dyDescent="0.25">
      <c r="A986" t="str">
        <f>"20190304155032542"</f>
        <v>20190304155032542</v>
      </c>
      <c r="B986" t="str">
        <f>"1551685832537457"</f>
        <v>1551685832537457</v>
      </c>
      <c r="C986" t="s">
        <v>40</v>
      </c>
      <c r="D986">
        <v>5.2210779999999897</v>
      </c>
      <c r="E986">
        <v>0.54773249999999996</v>
      </c>
      <c r="F986" t="s">
        <v>43</v>
      </c>
      <c r="G986">
        <v>-158.19499999999999</v>
      </c>
      <c r="H986">
        <v>1.511789</v>
      </c>
      <c r="I986">
        <v>362.59620000000001</v>
      </c>
      <c r="J986">
        <v>-297.04469999999998</v>
      </c>
      <c r="K986">
        <v>1.0600290000000001</v>
      </c>
      <c r="L986">
        <v>367.64479999999998</v>
      </c>
      <c r="M986">
        <v>0.9999207</v>
      </c>
      <c r="N986">
        <v>-1.2599880000000001E-2</v>
      </c>
      <c r="O986">
        <v>-1.5292269999999999E-4</v>
      </c>
      <c r="P986">
        <v>0.97684530000000003</v>
      </c>
      <c r="Q986">
        <v>0.19431309999999999</v>
      </c>
      <c r="R986">
        <v>8.9530579999999998E-2</v>
      </c>
      <c r="S986">
        <v>3.0795590000000002</v>
      </c>
      <c r="T986">
        <v>1.0007139999999999E-2</v>
      </c>
      <c r="U986">
        <v>-0.1118164</v>
      </c>
      <c r="V986">
        <v>-8.9547230000000005E-2</v>
      </c>
      <c r="W986">
        <v>0.2066635</v>
      </c>
      <c r="X986">
        <v>0.97430559999999999</v>
      </c>
      <c r="Y986">
        <v>3.613305E-2</v>
      </c>
      <c r="Z986">
        <v>-1.7145290000000001E-4</v>
      </c>
      <c r="AA986">
        <v>0.99934699999999999</v>
      </c>
      <c r="AB986">
        <v>34</v>
      </c>
      <c r="AC986">
        <v>138.84969999999899</v>
      </c>
      <c r="AD986">
        <v>0.45175999999999999</v>
      </c>
      <c r="AE986">
        <v>-5.0485999999999596</v>
      </c>
      <c r="AF986">
        <v>5.0273118381627899</v>
      </c>
      <c r="AG986">
        <v>0.45175999999999999</v>
      </c>
      <c r="AH986">
        <v>138.84900258917699</v>
      </c>
      <c r="AI986">
        <v>89.813704815288304</v>
      </c>
      <c r="AJ986">
        <v>87.926395048931695</v>
      </c>
      <c r="AK986">
        <v>138.94071927057601</v>
      </c>
      <c r="AL986">
        <v>78.073103344616001</v>
      </c>
      <c r="AM986">
        <v>95.251231715969794</v>
      </c>
      <c r="AN986">
        <v>0.99999995541214004</v>
      </c>
    </row>
    <row r="987" spans="1:40" x14ac:dyDescent="0.25">
      <c r="A987" t="str">
        <f>"20190304155032558"</f>
        <v>20190304155032558</v>
      </c>
      <c r="B987" t="str">
        <f>"1551685832547264"</f>
        <v>1551685832547264</v>
      </c>
      <c r="C987" t="s">
        <v>40</v>
      </c>
      <c r="D987">
        <v>5.3447690000000003</v>
      </c>
      <c r="E987">
        <v>0.54757089999999997</v>
      </c>
      <c r="F987" t="s">
        <v>43</v>
      </c>
      <c r="G987">
        <v>-158.19499999999999</v>
      </c>
      <c r="H987">
        <v>1.4447219999999901</v>
      </c>
      <c r="I987">
        <v>362.62810000000002</v>
      </c>
      <c r="J987">
        <v>-296.80720000000002</v>
      </c>
      <c r="K987">
        <v>1.0600320000000001</v>
      </c>
      <c r="L987">
        <v>367.64460000000003</v>
      </c>
      <c r="M987">
        <v>0.99992049999999999</v>
      </c>
      <c r="N987">
        <v>-1.260615E-2</v>
      </c>
      <c r="O987">
        <v>-3.417839E-4</v>
      </c>
      <c r="P987">
        <v>0.97691260000000002</v>
      </c>
      <c r="Q987">
        <v>0.19402269999999999</v>
      </c>
      <c r="R987">
        <v>8.9426000000000005E-2</v>
      </c>
      <c r="S987">
        <v>3.0795590000000002</v>
      </c>
      <c r="T987">
        <v>8.5340739999999991E-3</v>
      </c>
      <c r="U987">
        <v>-0.11126709999999999</v>
      </c>
      <c r="V987">
        <v>-8.9626570000000003E-2</v>
      </c>
      <c r="W987">
        <v>0.2063798</v>
      </c>
      <c r="X987">
        <v>0.97435850000000002</v>
      </c>
      <c r="Y987">
        <v>3.5766230000000003E-2</v>
      </c>
      <c r="Z987">
        <v>-1.8123090000000001E-4</v>
      </c>
      <c r="AA987">
        <v>0.99936009999999997</v>
      </c>
      <c r="AB987">
        <v>34</v>
      </c>
      <c r="AC987">
        <v>138.6122</v>
      </c>
      <c r="AD987">
        <v>0.38468999999999998</v>
      </c>
      <c r="AE987">
        <v>-5.0164999999999997</v>
      </c>
      <c r="AF987">
        <v>4.9690823016059902</v>
      </c>
      <c r="AG987">
        <v>0.38468999999999998</v>
      </c>
      <c r="AH987">
        <v>138.61284036045299</v>
      </c>
      <c r="AI987">
        <v>89.841090423333597</v>
      </c>
      <c r="AJ987">
        <v>87.946903219239005</v>
      </c>
      <c r="AK987">
        <v>138.70241266145601</v>
      </c>
      <c r="AL987">
        <v>78.089717022304797</v>
      </c>
      <c r="AM987">
        <v>95.2555745757914</v>
      </c>
      <c r="AN987">
        <v>1.0000000152101201</v>
      </c>
    </row>
    <row r="988" spans="1:40" x14ac:dyDescent="0.25">
      <c r="A988" t="str">
        <f>"20190304155032572"</f>
        <v>20190304155032572</v>
      </c>
      <c r="B988" t="str">
        <f>"1551685832567759"</f>
        <v>1551685832567759</v>
      </c>
      <c r="C988" t="s">
        <v>40</v>
      </c>
      <c r="D988">
        <v>5.226172</v>
      </c>
      <c r="E988">
        <v>0.54721649999999999</v>
      </c>
      <c r="F988" t="s">
        <v>43</v>
      </c>
      <c r="G988">
        <v>-158.19499999999999</v>
      </c>
      <c r="H988">
        <v>1.3537429999999999</v>
      </c>
      <c r="I988">
        <v>362.67509999999999</v>
      </c>
      <c r="J988">
        <v>-296.59960000000001</v>
      </c>
      <c r="K988">
        <v>1.0600350000000001</v>
      </c>
      <c r="L988">
        <v>367.64429999999999</v>
      </c>
      <c r="M988">
        <v>0.99992029999999998</v>
      </c>
      <c r="N988">
        <v>-1.261115E-2</v>
      </c>
      <c r="O988">
        <v>-5.0703390000000003E-4</v>
      </c>
      <c r="P988">
        <v>0.9769523</v>
      </c>
      <c r="Q988">
        <v>0.19380159999999999</v>
      </c>
      <c r="R988">
        <v>8.94707E-2</v>
      </c>
      <c r="S988">
        <v>3.0797119999999998</v>
      </c>
      <c r="T988">
        <v>6.5276619999999896E-3</v>
      </c>
      <c r="U988">
        <v>-0.1104126</v>
      </c>
      <c r="V988">
        <v>-8.9833330000000003E-2</v>
      </c>
      <c r="W988">
        <v>0.20616380000000001</v>
      </c>
      <c r="X988">
        <v>0.97438519999999895</v>
      </c>
      <c r="Y988">
        <v>3.5322279999999998E-2</v>
      </c>
      <c r="Z988">
        <v>-1.928512E-4</v>
      </c>
      <c r="AA988">
        <v>0.99937589999999998</v>
      </c>
      <c r="AB988">
        <v>34</v>
      </c>
      <c r="AC988">
        <v>138.40459999999999</v>
      </c>
      <c r="AD988">
        <v>0.29370799999999903</v>
      </c>
      <c r="AE988">
        <v>-4.9691999999999998</v>
      </c>
      <c r="AF988">
        <v>4.8989959193695798</v>
      </c>
      <c r="AG988">
        <v>0.29370799999999903</v>
      </c>
      <c r="AH988">
        <v>138.40647947681899</v>
      </c>
      <c r="AI988">
        <v>89.878490718948001</v>
      </c>
      <c r="AJ988">
        <v>87.972821381207595</v>
      </c>
      <c r="AK988">
        <v>138.493465501353</v>
      </c>
      <c r="AL988">
        <v>78.102365070609693</v>
      </c>
      <c r="AM988">
        <v>95.267487030784494</v>
      </c>
      <c r="AN988">
        <v>1.0000000287941799</v>
      </c>
    </row>
    <row r="989" spans="1:40" x14ac:dyDescent="0.25">
      <c r="A989" t="str">
        <f>"20190304155032592"</f>
        <v>20190304155032592</v>
      </c>
      <c r="B989" t="str">
        <f>"1551685832587280"</f>
        <v>1551685832587280</v>
      </c>
      <c r="C989" t="s">
        <v>40</v>
      </c>
      <c r="D989">
        <v>5.257155</v>
      </c>
      <c r="E989">
        <v>0.5468094</v>
      </c>
      <c r="F989" t="s">
        <v>43</v>
      </c>
      <c r="G989">
        <v>-158.19499999999999</v>
      </c>
      <c r="H989">
        <v>1.202698</v>
      </c>
      <c r="I989">
        <v>362.80200000000002</v>
      </c>
      <c r="J989">
        <v>-296.3064</v>
      </c>
      <c r="K989">
        <v>1.0600309999999999</v>
      </c>
      <c r="L989">
        <v>367.64389999999997</v>
      </c>
      <c r="M989">
        <v>0.99992020000000004</v>
      </c>
      <c r="N989">
        <v>-1.261662E-2</v>
      </c>
      <c r="O989">
        <v>-7.4094999999999999E-4</v>
      </c>
      <c r="P989">
        <v>0.97704170000000001</v>
      </c>
      <c r="Q989">
        <v>0.19339529999999999</v>
      </c>
      <c r="R989">
        <v>8.9373949999999994E-2</v>
      </c>
      <c r="S989">
        <v>3.0799560000000001</v>
      </c>
      <c r="T989">
        <v>3.1766889999999999E-3</v>
      </c>
      <c r="U989">
        <v>-0.1077576</v>
      </c>
      <c r="V989">
        <v>-8.9965110000000001E-2</v>
      </c>
      <c r="W989">
        <v>0.20576439999999999</v>
      </c>
      <c r="X989">
        <v>0.97445740000000003</v>
      </c>
      <c r="Y989">
        <v>3.4225039999999998E-2</v>
      </c>
      <c r="Z989">
        <v>-2.0844139999999999E-4</v>
      </c>
      <c r="AA989">
        <v>0.99941409999999997</v>
      </c>
      <c r="AB989">
        <v>34</v>
      </c>
      <c r="AC989">
        <v>138.1114</v>
      </c>
      <c r="AD989">
        <v>0.14266699999999999</v>
      </c>
      <c r="AE989">
        <v>-4.8419000000000096</v>
      </c>
      <c r="AF989">
        <v>4.7395518388932096</v>
      </c>
      <c r="AG989">
        <v>0.14266699999999999</v>
      </c>
      <c r="AH989">
        <v>138.11480277745599</v>
      </c>
      <c r="AI989">
        <v>89.940850616893201</v>
      </c>
      <c r="AJ989">
        <v>88.034607493582399</v>
      </c>
      <c r="AK989">
        <v>138.196173795666</v>
      </c>
      <c r="AL989">
        <v>78.125749650369698</v>
      </c>
      <c r="AM989">
        <v>95.274781904909503</v>
      </c>
      <c r="AN989">
        <v>0.99999996686971504</v>
      </c>
    </row>
    <row r="990" spans="1:40" x14ac:dyDescent="0.25">
      <c r="A990" t="str">
        <f>"20190304155032602"</f>
        <v>20190304155032602</v>
      </c>
      <c r="B990" t="str">
        <f>"1551685832597040"</f>
        <v>1551685832597040</v>
      </c>
      <c r="C990" t="s">
        <v>40</v>
      </c>
      <c r="D990">
        <v>5.8960489999999997</v>
      </c>
      <c r="E990">
        <v>0.5468094</v>
      </c>
      <c r="F990" t="s">
        <v>43</v>
      </c>
      <c r="G990">
        <v>-158.19499999999999</v>
      </c>
      <c r="H990">
        <v>1.04844</v>
      </c>
      <c r="I990">
        <v>362.93389999999999</v>
      </c>
      <c r="J990">
        <v>-296.12970000000001</v>
      </c>
      <c r="K990">
        <v>1.06003</v>
      </c>
      <c r="L990">
        <v>367.64359999999999</v>
      </c>
      <c r="M990">
        <v>0.99992000000000003</v>
      </c>
      <c r="N990">
        <v>-1.261747E-2</v>
      </c>
      <c r="O990">
        <v>-8.8257560000000001E-4</v>
      </c>
      <c r="P990">
        <v>0.97711490000000001</v>
      </c>
      <c r="Q990">
        <v>0.19317309999999999</v>
      </c>
      <c r="R990">
        <v>8.9054579999999994E-2</v>
      </c>
      <c r="S990">
        <v>3.080139</v>
      </c>
      <c r="T990">
        <v>-2.5653839999999998E-4</v>
      </c>
      <c r="U990">
        <v>-0.1050415</v>
      </c>
      <c r="V990">
        <v>-8.9784420000000004E-2</v>
      </c>
      <c r="W990">
        <v>0.20554320000000001</v>
      </c>
      <c r="X990">
        <v>0.97452079999999996</v>
      </c>
      <c r="Y990">
        <v>3.3200929999999997E-2</v>
      </c>
      <c r="Z990">
        <v>-2.21967E-4</v>
      </c>
      <c r="AA990">
        <v>0.99944869999999997</v>
      </c>
      <c r="AB990">
        <v>34</v>
      </c>
      <c r="AC990">
        <v>137.93469999999999</v>
      </c>
      <c r="AD990">
        <v>-1.1589999999999901E-2</v>
      </c>
      <c r="AE990">
        <v>-4.70969999999999</v>
      </c>
      <c r="AF990">
        <v>4.5879506400750802</v>
      </c>
      <c r="AG990">
        <v>-1.1589999999999901E-2</v>
      </c>
      <c r="AH990">
        <v>137.938802294525</v>
      </c>
      <c r="AI990">
        <v>90.004811489296401</v>
      </c>
      <c r="AJ990">
        <v>88.095000592271603</v>
      </c>
      <c r="AK990">
        <v>138.01508107396</v>
      </c>
      <c r="AL990">
        <v>78.138700931863795</v>
      </c>
      <c r="AM990">
        <v>95.263906818647101</v>
      </c>
      <c r="AN990">
        <v>1.0000000193867999</v>
      </c>
    </row>
    <row r="991" spans="1:40" x14ac:dyDescent="0.25">
      <c r="A991" t="str">
        <f>"20190304155032613"</f>
        <v>20190304155032613</v>
      </c>
      <c r="B991" t="str">
        <f>"1551685832607776"</f>
        <v>1551685832607776</v>
      </c>
      <c r="C991" t="s">
        <v>40</v>
      </c>
      <c r="D991">
        <v>5.2598630000000002</v>
      </c>
      <c r="E991">
        <v>0.54631700000000005</v>
      </c>
      <c r="F991" t="s">
        <v>43</v>
      </c>
      <c r="G991">
        <v>-158.19499999999999</v>
      </c>
      <c r="H991">
        <v>1.0128360000000001</v>
      </c>
      <c r="I991">
        <v>362.90949999999998</v>
      </c>
      <c r="J991">
        <v>-295.964</v>
      </c>
      <c r="K991">
        <v>1.06003</v>
      </c>
      <c r="L991">
        <v>367.64330000000001</v>
      </c>
      <c r="M991">
        <v>0.99992000000000003</v>
      </c>
      <c r="N991">
        <v>-1.261701E-2</v>
      </c>
      <c r="O991">
        <v>-1.016323E-3</v>
      </c>
      <c r="P991">
        <v>0.97717299999999996</v>
      </c>
      <c r="Q991">
        <v>0.1929138</v>
      </c>
      <c r="R991">
        <v>8.8979459999999996E-2</v>
      </c>
      <c r="S991">
        <v>3.0801090000000002</v>
      </c>
      <c r="T991">
        <v>-1.0519030000000001E-3</v>
      </c>
      <c r="U991">
        <v>-0.105712899999999</v>
      </c>
      <c r="V991">
        <v>-8.9840550000000005E-2</v>
      </c>
      <c r="W991">
        <v>0.2052842</v>
      </c>
      <c r="X991">
        <v>0.97457020000000005</v>
      </c>
      <c r="Y991">
        <v>3.3285139999999998E-2</v>
      </c>
      <c r="Z991">
        <v>-2.282048E-4</v>
      </c>
      <c r="AA991">
        <v>0.9994459</v>
      </c>
      <c r="AB991">
        <v>34</v>
      </c>
      <c r="AC991">
        <v>137.76900000000001</v>
      </c>
      <c r="AD991">
        <v>-4.7193999999999903E-2</v>
      </c>
      <c r="AE991">
        <v>-4.7338000000000298</v>
      </c>
      <c r="AF991">
        <v>4.5937680830057204</v>
      </c>
      <c r="AG991">
        <v>-4.7193999999999903E-2</v>
      </c>
      <c r="AH991">
        <v>137.77372414104599</v>
      </c>
      <c r="AI991">
        <v>90.019615605896604</v>
      </c>
      <c r="AJ991">
        <v>88.090303129749003</v>
      </c>
      <c r="AK991">
        <v>137.85029559695201</v>
      </c>
      <c r="AL991">
        <v>78.153863663507593</v>
      </c>
      <c r="AM991">
        <v>95.266913634429997</v>
      </c>
      <c r="AN991">
        <v>1.00000000096099</v>
      </c>
    </row>
    <row r="992" spans="1:40" x14ac:dyDescent="0.25">
      <c r="A992" t="str">
        <f>"20190304155032624"</f>
        <v>20190304155032624</v>
      </c>
      <c r="B992" t="str">
        <f>"1551685832617536"</f>
        <v>1551685832617536</v>
      </c>
      <c r="C992" t="s">
        <v>40</v>
      </c>
      <c r="D992">
        <v>5.3061059999999998</v>
      </c>
      <c r="E992">
        <v>0.54583409999999999</v>
      </c>
      <c r="F992" t="s">
        <v>43</v>
      </c>
      <c r="G992">
        <v>-158.19499999999999</v>
      </c>
      <c r="H992">
        <v>0.9106765</v>
      </c>
      <c r="I992">
        <v>363.08260000000001</v>
      </c>
      <c r="J992">
        <v>-295.79480000000001</v>
      </c>
      <c r="K992">
        <v>1.0600259999999999</v>
      </c>
      <c r="L992">
        <v>367.64299999999997</v>
      </c>
      <c r="M992">
        <v>0.99991969999999997</v>
      </c>
      <c r="N992">
        <v>-1.261552E-2</v>
      </c>
      <c r="O992">
        <v>-1.1532809999999999E-3</v>
      </c>
      <c r="P992">
        <v>0.97719409999999896</v>
      </c>
      <c r="Q992">
        <v>0.19272520000000001</v>
      </c>
      <c r="R992">
        <v>8.9155949999999998E-2</v>
      </c>
      <c r="S992">
        <v>3.079987</v>
      </c>
      <c r="T992">
        <v>-3.3370259999999999E-3</v>
      </c>
      <c r="U992">
        <v>-0.1019592</v>
      </c>
      <c r="V992">
        <v>-9.0150900000000006E-2</v>
      </c>
      <c r="W992">
        <v>0.2050951</v>
      </c>
      <c r="X992">
        <v>0.97458140000000004</v>
      </c>
      <c r="Y992">
        <v>3.1932740000000001E-2</v>
      </c>
      <c r="Z992">
        <v>-2.3207889999999999E-4</v>
      </c>
      <c r="AA992">
        <v>0.99948999999999999</v>
      </c>
      <c r="AB992">
        <v>34</v>
      </c>
      <c r="AC992">
        <v>137.59979999999999</v>
      </c>
      <c r="AD992">
        <v>-0.1493495</v>
      </c>
      <c r="AE992">
        <v>-4.5604000000000102</v>
      </c>
      <c r="AF992">
        <v>4.4016879135890896</v>
      </c>
      <c r="AG992">
        <v>-0.1493495</v>
      </c>
      <c r="AH992">
        <v>137.60480638859801</v>
      </c>
      <c r="AI992">
        <v>90.062154210525307</v>
      </c>
      <c r="AJ992">
        <v>88.1678534270645</v>
      </c>
      <c r="AK992">
        <v>137.67526975824501</v>
      </c>
      <c r="AL992">
        <v>78.164934373147503</v>
      </c>
      <c r="AM992">
        <v>95.284944699370399</v>
      </c>
      <c r="AN992">
        <v>1.0000000450203801</v>
      </c>
    </row>
    <row r="993" spans="1:40" x14ac:dyDescent="0.25">
      <c r="A993" t="str">
        <f>"20190304155032637"</f>
        <v>20190304155032637</v>
      </c>
      <c r="B993" t="str">
        <f>"1551685832627295"</f>
        <v>1551685832627295</v>
      </c>
      <c r="C993" t="s">
        <v>40</v>
      </c>
      <c r="D993">
        <v>5.2294269999999896</v>
      </c>
      <c r="E993">
        <v>0.54545889999999997</v>
      </c>
      <c r="F993" t="s">
        <v>43</v>
      </c>
      <c r="G993">
        <v>-158.19499999999999</v>
      </c>
      <c r="H993">
        <v>0.83408259999999901</v>
      </c>
      <c r="I993">
        <v>363.28149999999999</v>
      </c>
      <c r="J993">
        <v>-295.61470000000003</v>
      </c>
      <c r="K993">
        <v>1.0600270000000001</v>
      </c>
      <c r="L993">
        <v>367.64260000000002</v>
      </c>
      <c r="M993">
        <v>0.99991949999999996</v>
      </c>
      <c r="N993">
        <v>-1.261321E-2</v>
      </c>
      <c r="O993">
        <v>-1.2997600000000001E-3</v>
      </c>
      <c r="P993">
        <v>0.97725309999999999</v>
      </c>
      <c r="Q993">
        <v>0.19243179999999999</v>
      </c>
      <c r="R993">
        <v>8.9141819999999997E-2</v>
      </c>
      <c r="S993">
        <v>3.0799560000000001</v>
      </c>
      <c r="T993">
        <v>-5.0554279999999998E-3</v>
      </c>
      <c r="U993">
        <v>-9.7625729999999994E-2</v>
      </c>
      <c r="V993">
        <v>-9.0280219999999994E-2</v>
      </c>
      <c r="W993">
        <v>0.2047997</v>
      </c>
      <c r="X993">
        <v>0.97463149999999998</v>
      </c>
      <c r="Y993">
        <v>3.0381700000000001E-2</v>
      </c>
      <c r="Z993">
        <v>-2.308481E-4</v>
      </c>
      <c r="AA993">
        <v>0.99953840000000005</v>
      </c>
      <c r="AB993">
        <v>34</v>
      </c>
      <c r="AC993">
        <v>137.41970000000001</v>
      </c>
      <c r="AD993">
        <v>-0.22594439999999999</v>
      </c>
      <c r="AE993">
        <v>-4.36110000000002</v>
      </c>
      <c r="AF993">
        <v>4.1824581624570403</v>
      </c>
      <c r="AG993">
        <v>-0.22594439999999999</v>
      </c>
      <c r="AH993">
        <v>137.424881603329</v>
      </c>
      <c r="AI993">
        <v>90.094158040154596</v>
      </c>
      <c r="AJ993">
        <v>88.256769441697202</v>
      </c>
      <c r="AK993">
        <v>137.488698047664</v>
      </c>
      <c r="AL993">
        <v>78.182226044683105</v>
      </c>
      <c r="AM993">
        <v>95.292212336492796</v>
      </c>
      <c r="AN993">
        <v>0.99999999801779405</v>
      </c>
    </row>
    <row r="994" spans="1:40" x14ac:dyDescent="0.25">
      <c r="A994" t="str">
        <f>"20190304155032648"</f>
        <v>20190304155032648</v>
      </c>
      <c r="B994" t="str">
        <f>"1551685832637056"</f>
        <v>1551685832637056</v>
      </c>
      <c r="C994" t="s">
        <v>40</v>
      </c>
      <c r="D994">
        <v>5.291455</v>
      </c>
      <c r="E994">
        <v>0.5450064</v>
      </c>
      <c r="F994" t="s">
        <v>43</v>
      </c>
      <c r="G994">
        <v>-158.19499999999999</v>
      </c>
      <c r="H994">
        <v>0.74450349999999998</v>
      </c>
      <c r="I994">
        <v>363.416</v>
      </c>
      <c r="J994">
        <v>-295.44060000000002</v>
      </c>
      <c r="K994">
        <v>1.0600270000000001</v>
      </c>
      <c r="L994">
        <v>367.64229999999998</v>
      </c>
      <c r="M994">
        <v>0.99991949999999996</v>
      </c>
      <c r="N994">
        <v>-1.261076E-2</v>
      </c>
      <c r="O994">
        <v>-1.4413479999999901E-3</v>
      </c>
      <c r="P994">
        <v>0.9772961</v>
      </c>
      <c r="Q994">
        <v>0.19221679999999999</v>
      </c>
      <c r="R994">
        <v>8.9135539999999999E-2</v>
      </c>
      <c r="S994">
        <v>3.0798649999999999</v>
      </c>
      <c r="T994">
        <v>-7.0695879999999999E-3</v>
      </c>
      <c r="U994">
        <v>-9.4726560000000001E-2</v>
      </c>
      <c r="V994">
        <v>-9.0413149999999998E-2</v>
      </c>
      <c r="W994">
        <v>0.20458219999999999</v>
      </c>
      <c r="X994">
        <v>0.97466489999999995</v>
      </c>
      <c r="Y994">
        <v>2.9300960000000001E-2</v>
      </c>
      <c r="Z994">
        <v>-2.3329270000000001E-4</v>
      </c>
      <c r="AA994">
        <v>0.99957059999999998</v>
      </c>
      <c r="AB994">
        <v>34</v>
      </c>
      <c r="AC994">
        <v>137.2456</v>
      </c>
      <c r="AD994">
        <v>-0.31552350000000001</v>
      </c>
      <c r="AE994">
        <v>-4.2262999999999797</v>
      </c>
      <c r="AF994">
        <v>4.0284399468504501</v>
      </c>
      <c r="AG994">
        <v>-0.31552350000000001</v>
      </c>
      <c r="AH994">
        <v>137.250824748208</v>
      </c>
      <c r="AI994">
        <v>90.131659326474306</v>
      </c>
      <c r="AJ994">
        <v>88.318797998527401</v>
      </c>
      <c r="AK994">
        <v>137.31029377853599</v>
      </c>
      <c r="AL994">
        <v>78.194957955076504</v>
      </c>
      <c r="AM994">
        <v>95.299779744272499</v>
      </c>
      <c r="AN994">
        <v>1.00000004077088</v>
      </c>
    </row>
    <row r="995" spans="1:40" x14ac:dyDescent="0.25">
      <c r="A995" t="str">
        <f>"20190304155032659"</f>
        <v>20190304155032659</v>
      </c>
      <c r="B995" t="str">
        <f>"1551685832647791"</f>
        <v>1551685832647791</v>
      </c>
      <c r="C995" t="s">
        <v>40</v>
      </c>
      <c r="D995">
        <v>5.2345689999999996</v>
      </c>
      <c r="E995">
        <v>0.54456680000000002</v>
      </c>
      <c r="F995" t="s">
        <v>43</v>
      </c>
      <c r="G995">
        <v>-158.19499999999999</v>
      </c>
      <c r="H995">
        <v>0.66966769999999998</v>
      </c>
      <c r="I995">
        <v>363.58269999999999</v>
      </c>
      <c r="J995">
        <v>-295.26530000000002</v>
      </c>
      <c r="K995">
        <v>1.0600270000000001</v>
      </c>
      <c r="L995">
        <v>367.64179999999999</v>
      </c>
      <c r="M995">
        <v>0.99991940000000001</v>
      </c>
      <c r="N995">
        <v>-1.260811E-2</v>
      </c>
      <c r="O995">
        <v>-1.5832839999999999E-3</v>
      </c>
      <c r="P995">
        <v>0.97733899999999996</v>
      </c>
      <c r="Q995">
        <v>0.1920231</v>
      </c>
      <c r="R995">
        <v>8.9083590000000004E-2</v>
      </c>
      <c r="S995">
        <v>3.0797119999999998</v>
      </c>
      <c r="T995">
        <v>-8.7574719999999901E-3</v>
      </c>
      <c r="U995">
        <v>-9.1094969999999997E-2</v>
      </c>
      <c r="V995">
        <v>-9.0500590000000006E-2</v>
      </c>
      <c r="W995">
        <v>0.20438619999999999</v>
      </c>
      <c r="X995">
        <v>0.97469790000000001</v>
      </c>
      <c r="Y995">
        <v>2.798283E-2</v>
      </c>
      <c r="Z995">
        <v>-2.3168780000000001E-4</v>
      </c>
      <c r="AA995">
        <v>0.99960839999999995</v>
      </c>
      <c r="AB995">
        <v>34</v>
      </c>
      <c r="AC995">
        <v>137.0703</v>
      </c>
      <c r="AD995">
        <v>-0.39035930000000002</v>
      </c>
      <c r="AE995">
        <v>-4.0590999999999999</v>
      </c>
      <c r="AF995">
        <v>3.8420253443660699</v>
      </c>
      <c r="AG995">
        <v>-0.39035930000000002</v>
      </c>
      <c r="AH995">
        <v>137.07544462481701</v>
      </c>
      <c r="AI995">
        <v>90.163100691695206</v>
      </c>
      <c r="AJ995">
        <v>88.394502971489004</v>
      </c>
      <c r="AK995">
        <v>137.129832852742</v>
      </c>
      <c r="AL995">
        <v>78.206430282220893</v>
      </c>
      <c r="AM995">
        <v>95.304697437246105</v>
      </c>
      <c r="AN995">
        <v>1.00000003590259</v>
      </c>
    </row>
    <row r="996" spans="1:40" x14ac:dyDescent="0.25">
      <c r="A996" t="str">
        <f>"20190304155032671"</f>
        <v>20190304155032671</v>
      </c>
      <c r="B996" t="str">
        <f>"1551685832667311"</f>
        <v>1551685832667311</v>
      </c>
      <c r="C996" t="s">
        <v>40</v>
      </c>
      <c r="D996">
        <v>5.2098399999999998</v>
      </c>
      <c r="E996">
        <v>0.54374480000000003</v>
      </c>
      <c r="F996" t="s">
        <v>43</v>
      </c>
      <c r="G996">
        <v>-158.19499999999999</v>
      </c>
      <c r="H996">
        <v>0.58298870000000003</v>
      </c>
      <c r="I996">
        <v>363.74770000000001</v>
      </c>
      <c r="J996">
        <v>-295.09789999999998</v>
      </c>
      <c r="K996">
        <v>1.060025</v>
      </c>
      <c r="L996">
        <v>367.64139999999998</v>
      </c>
      <c r="M996">
        <v>0.99991909999999895</v>
      </c>
      <c r="N996">
        <v>-1.260556E-2</v>
      </c>
      <c r="O996">
        <v>-1.7178320000000001E-3</v>
      </c>
      <c r="P996">
        <v>0.97740079999999996</v>
      </c>
      <c r="Q996">
        <v>0.1917229</v>
      </c>
      <c r="R996">
        <v>8.9050850000000001E-2</v>
      </c>
      <c r="S996">
        <v>3.0796510000000001</v>
      </c>
      <c r="T996">
        <v>-1.071596E-2</v>
      </c>
      <c r="U996">
        <v>-8.7493899999999999E-2</v>
      </c>
      <c r="V996">
        <v>-9.060029E-2</v>
      </c>
      <c r="W996">
        <v>0.20408419999999999</v>
      </c>
      <c r="X996">
        <v>0.9747519</v>
      </c>
      <c r="Y996">
        <v>2.6680880000000001E-2</v>
      </c>
      <c r="Z996">
        <v>-2.3029149999999999E-4</v>
      </c>
      <c r="AA996">
        <v>0.99964399999999998</v>
      </c>
      <c r="AB996">
        <v>34</v>
      </c>
      <c r="AC996">
        <v>136.90289999999999</v>
      </c>
      <c r="AD996">
        <v>-0.47703630000000002</v>
      </c>
      <c r="AE996">
        <v>-3.89369999999996</v>
      </c>
      <c r="AF996">
        <v>3.65845500754414</v>
      </c>
      <c r="AG996">
        <v>-0.47703630000000002</v>
      </c>
      <c r="AH996">
        <v>136.90772628335</v>
      </c>
      <c r="AI996">
        <v>90.199567282471705</v>
      </c>
      <c r="AJ996">
        <v>88.469303627778103</v>
      </c>
      <c r="AK996">
        <v>136.95742905279201</v>
      </c>
      <c r="AL996">
        <v>78.224105991190598</v>
      </c>
      <c r="AM996">
        <v>95.310215452085799</v>
      </c>
      <c r="AN996">
        <v>1.00000001989566</v>
      </c>
    </row>
    <row r="997" spans="1:40" x14ac:dyDescent="0.25">
      <c r="A997" t="str">
        <f>"20190304155032682"</f>
        <v>20190304155032682</v>
      </c>
      <c r="B997" t="str">
        <f>"1551685832677072"</f>
        <v>1551685832677072</v>
      </c>
      <c r="C997" t="s">
        <v>40</v>
      </c>
      <c r="D997">
        <v>5.2684870000000004</v>
      </c>
      <c r="E997">
        <v>0.54335230000000001</v>
      </c>
      <c r="F997" t="s">
        <v>43</v>
      </c>
      <c r="G997">
        <v>-158.19499999999999</v>
      </c>
      <c r="H997">
        <v>0.46265980000000001</v>
      </c>
      <c r="I997">
        <v>364.04610000000002</v>
      </c>
      <c r="J997">
        <v>-294.9153</v>
      </c>
      <c r="K997">
        <v>1.060025</v>
      </c>
      <c r="L997">
        <v>367.64100000000002</v>
      </c>
      <c r="M997">
        <v>0.9999188</v>
      </c>
      <c r="N997">
        <v>-1.260272E-2</v>
      </c>
      <c r="O997">
        <v>-1.863223E-3</v>
      </c>
      <c r="P997">
        <v>0.97749070000000005</v>
      </c>
      <c r="Q997">
        <v>0.19138350000000001</v>
      </c>
      <c r="R997">
        <v>8.8795059999999995E-2</v>
      </c>
      <c r="S997">
        <v>3.0793759999999999</v>
      </c>
      <c r="T997">
        <v>-1.3434649999999999E-2</v>
      </c>
      <c r="U997">
        <v>-8.0871579999999998E-2</v>
      </c>
      <c r="V997">
        <v>-9.0487419999999999E-2</v>
      </c>
      <c r="W997">
        <v>0.2037429</v>
      </c>
      <c r="X997">
        <v>0.97483370000000003</v>
      </c>
      <c r="Y997">
        <v>2.4389660000000001E-2</v>
      </c>
      <c r="Z997">
        <v>-2.2226909999999999E-4</v>
      </c>
      <c r="AA997">
        <v>0.99970250000000005</v>
      </c>
      <c r="AB997">
        <v>34</v>
      </c>
      <c r="AC997">
        <v>136.72030000000001</v>
      </c>
      <c r="AD997">
        <v>-0.59736519999999904</v>
      </c>
      <c r="AE997">
        <v>-3.5948999999999298</v>
      </c>
      <c r="AF997">
        <v>3.3400693881006598</v>
      </c>
      <c r="AG997">
        <v>-0.59736519999999904</v>
      </c>
      <c r="AH997">
        <v>136.724152967354</v>
      </c>
      <c r="AI997">
        <v>90.250256286339507</v>
      </c>
      <c r="AJ997">
        <v>88.600585052635296</v>
      </c>
      <c r="AK997">
        <v>136.76624917478699</v>
      </c>
      <c r="AL997">
        <v>78.244079809694995</v>
      </c>
      <c r="AM997">
        <v>95.303195224581501</v>
      </c>
      <c r="AN997">
        <v>0.99999994256717595</v>
      </c>
    </row>
    <row r="998" spans="1:40" x14ac:dyDescent="0.25">
      <c r="A998" t="str">
        <f>"20190304155032693"</f>
        <v>20190304155032693</v>
      </c>
      <c r="B998" t="str">
        <f>"1551685832687808"</f>
        <v>1551685832687808</v>
      </c>
      <c r="C998" t="s">
        <v>40</v>
      </c>
      <c r="D998">
        <v>5.2962319999999998</v>
      </c>
      <c r="E998">
        <v>0.54297510000000004</v>
      </c>
      <c r="F998" t="s">
        <v>43</v>
      </c>
      <c r="G998">
        <v>-158.19499999999999</v>
      </c>
      <c r="H998">
        <v>0.35652260000000002</v>
      </c>
      <c r="I998">
        <v>364.13839999999999</v>
      </c>
      <c r="J998">
        <v>-294.74630000000002</v>
      </c>
      <c r="K998">
        <v>1.060025</v>
      </c>
      <c r="L998">
        <v>367.64049999999997</v>
      </c>
      <c r="M998">
        <v>0.99991870000000005</v>
      </c>
      <c r="N998">
        <v>-1.260008E-2</v>
      </c>
      <c r="O998">
        <v>-1.9966960000000001E-3</v>
      </c>
      <c r="P998">
        <v>0.97755899999999996</v>
      </c>
      <c r="Q998">
        <v>0.19113740000000001</v>
      </c>
      <c r="R998">
        <v>8.8572349999999994E-2</v>
      </c>
      <c r="S998">
        <v>3.0793149999999998</v>
      </c>
      <c r="T998">
        <v>-1.5842800000000001E-2</v>
      </c>
      <c r="U998">
        <v>-7.8887940000000004E-2</v>
      </c>
      <c r="V998">
        <v>-9.0395519999999993E-2</v>
      </c>
      <c r="W998">
        <v>0.20349410000000001</v>
      </c>
      <c r="X998">
        <v>0.97489420000000004</v>
      </c>
      <c r="Y998">
        <v>2.361299E-2</v>
      </c>
      <c r="Z998">
        <v>-2.244142E-4</v>
      </c>
      <c r="AA998">
        <v>0.99972119999999998</v>
      </c>
      <c r="AB998">
        <v>34</v>
      </c>
      <c r="AC998">
        <v>136.5513</v>
      </c>
      <c r="AD998">
        <v>-0.70350239999999997</v>
      </c>
      <c r="AE998">
        <v>-3.50209999999998</v>
      </c>
      <c r="AF998">
        <v>3.2293343007709399</v>
      </c>
      <c r="AG998">
        <v>-0.70350239999999997</v>
      </c>
      <c r="AH998">
        <v>136.554398846033</v>
      </c>
      <c r="AI998">
        <v>90.295091889340895</v>
      </c>
      <c r="AJ998">
        <v>88.645281687298706</v>
      </c>
      <c r="AK998">
        <v>136.59438992819</v>
      </c>
      <c r="AL998">
        <v>78.258640121019397</v>
      </c>
      <c r="AM998">
        <v>95.297513001551494</v>
      </c>
      <c r="AN998">
        <v>0.99999994998225905</v>
      </c>
    </row>
    <row r="999" spans="1:40" x14ac:dyDescent="0.25">
      <c r="A999" t="str">
        <f>"20190304155032704"</f>
        <v>20190304155032704</v>
      </c>
      <c r="B999" t="str">
        <f>"1551685832697568"</f>
        <v>1551685832697568</v>
      </c>
      <c r="C999" t="s">
        <v>40</v>
      </c>
      <c r="D999">
        <v>5.3107569999999997</v>
      </c>
      <c r="E999">
        <v>0.54258779999999995</v>
      </c>
      <c r="F999" t="s">
        <v>43</v>
      </c>
      <c r="G999">
        <v>-158.19499999999999</v>
      </c>
      <c r="H999">
        <v>0.2575884</v>
      </c>
      <c r="I999">
        <v>364.25869999999998</v>
      </c>
      <c r="J999">
        <v>-294.57420000000002</v>
      </c>
      <c r="K999">
        <v>1.060033</v>
      </c>
      <c r="L999">
        <v>367.64</v>
      </c>
      <c r="M999">
        <v>0.99991850000000004</v>
      </c>
      <c r="N999">
        <v>-1.259737E-2</v>
      </c>
      <c r="O999">
        <v>-2.1313590000000002E-3</v>
      </c>
      <c r="P999">
        <v>0.97763330000000004</v>
      </c>
      <c r="Q999">
        <v>0.19090770000000001</v>
      </c>
      <c r="R999">
        <v>8.8247099999999995E-2</v>
      </c>
      <c r="S999">
        <v>3.0793149999999998</v>
      </c>
      <c r="T999">
        <v>-1.809347E-2</v>
      </c>
      <c r="U999">
        <v>-7.6263429999999993E-2</v>
      </c>
      <c r="V999">
        <v>-9.0203320000000003E-2</v>
      </c>
      <c r="W999">
        <v>0.20326250000000001</v>
      </c>
      <c r="X999">
        <v>0.97496039999999995</v>
      </c>
      <c r="Y999">
        <v>2.262666E-2</v>
      </c>
      <c r="Z999">
        <v>-2.2333929999999999E-4</v>
      </c>
      <c r="AA999">
        <v>0.99974390000000002</v>
      </c>
      <c r="AB999">
        <v>34</v>
      </c>
      <c r="AC999">
        <v>136.3792</v>
      </c>
      <c r="AD999">
        <v>-0.80244459999999995</v>
      </c>
      <c r="AE999">
        <v>-3.3813</v>
      </c>
      <c r="AF999">
        <v>3.0904893232556501</v>
      </c>
      <c r="AG999">
        <v>-0.80244459999999995</v>
      </c>
      <c r="AH999">
        <v>136.38137882509699</v>
      </c>
      <c r="AI999">
        <v>90.337028112267106</v>
      </c>
      <c r="AJ999">
        <v>88.701863138369504</v>
      </c>
      <c r="AK999">
        <v>136.418750660706</v>
      </c>
      <c r="AL999">
        <v>78.272194055927002</v>
      </c>
      <c r="AM999">
        <v>95.285956340038695</v>
      </c>
      <c r="AN999">
        <v>1.00000003220671</v>
      </c>
    </row>
    <row r="1000" spans="1:40" x14ac:dyDescent="0.25">
      <c r="A1000" t="str">
        <f>"20190304155032715"</f>
        <v>20190304155032715</v>
      </c>
      <c r="B1000" t="str">
        <f>"1551685832707328"</f>
        <v>1551685832707328</v>
      </c>
      <c r="C1000" t="s">
        <v>40</v>
      </c>
      <c r="D1000">
        <v>5.2444129999999998</v>
      </c>
      <c r="E1000">
        <v>0.54219249999999997</v>
      </c>
      <c r="F1000" t="s">
        <v>43</v>
      </c>
      <c r="G1000">
        <v>-158.19499999999999</v>
      </c>
      <c r="H1000">
        <v>0.17611170000000001</v>
      </c>
      <c r="I1000">
        <v>364.36239999999998</v>
      </c>
      <c r="J1000">
        <v>-294.42140000000001</v>
      </c>
      <c r="K1000">
        <v>1.060033</v>
      </c>
      <c r="L1000">
        <v>367.63959999999997</v>
      </c>
      <c r="M1000">
        <v>0.99991819999999998</v>
      </c>
      <c r="N1000">
        <v>-1.259499E-2</v>
      </c>
      <c r="O1000">
        <v>-2.2490969999999998E-3</v>
      </c>
      <c r="P1000">
        <v>0.97770610000000002</v>
      </c>
      <c r="Q1000">
        <v>0.19071979999999999</v>
      </c>
      <c r="R1000">
        <v>8.7845850000000003E-2</v>
      </c>
      <c r="S1000">
        <v>3.079224</v>
      </c>
      <c r="T1000">
        <v>-1.9955520000000001E-2</v>
      </c>
      <c r="U1000">
        <v>-7.4005130000000002E-2</v>
      </c>
      <c r="V1000">
        <v>-8.9918209999999998E-2</v>
      </c>
      <c r="W1000">
        <v>0.203073</v>
      </c>
      <c r="X1000">
        <v>0.97502619999999895</v>
      </c>
      <c r="Y1000">
        <v>2.1776770000000001E-2</v>
      </c>
      <c r="Z1000">
        <v>-2.2147350000000001E-4</v>
      </c>
      <c r="AA1000">
        <v>0.99976279999999995</v>
      </c>
      <c r="AB1000">
        <v>34</v>
      </c>
      <c r="AC1000">
        <v>136.22640000000001</v>
      </c>
      <c r="AD1000">
        <v>-0.88392130000000002</v>
      </c>
      <c r="AE1000">
        <v>-3.2771999999999899</v>
      </c>
      <c r="AF1000">
        <v>2.97065603423848</v>
      </c>
      <c r="AG1000">
        <v>-0.88392130000000002</v>
      </c>
      <c r="AH1000">
        <v>136.22769455738299</v>
      </c>
      <c r="AI1000">
        <v>90.371673415340297</v>
      </c>
      <c r="AJ1000">
        <v>88.750774706408805</v>
      </c>
      <c r="AK1000">
        <v>136.26294756300399</v>
      </c>
      <c r="AL1000">
        <v>78.283282602053305</v>
      </c>
      <c r="AM1000">
        <v>95.268989356943194</v>
      </c>
      <c r="AN1000">
        <v>1.0000000092525201</v>
      </c>
    </row>
    <row r="1001" spans="1:40" x14ac:dyDescent="0.25">
      <c r="A1001" t="str">
        <f>"20190304155032726"</f>
        <v>20190304155032726</v>
      </c>
      <c r="B1001" t="str">
        <f>"1551685832717088"</f>
        <v>1551685832717088</v>
      </c>
      <c r="C1001" t="s">
        <v>40</v>
      </c>
      <c r="D1001">
        <v>5.3302620000000003</v>
      </c>
      <c r="E1001">
        <v>0.54182859999999999</v>
      </c>
      <c r="F1001" t="s">
        <v>43</v>
      </c>
      <c r="G1001">
        <v>-158.19499999999999</v>
      </c>
      <c r="H1001">
        <v>9.6777920000000003E-2</v>
      </c>
      <c r="I1001">
        <v>364.4425</v>
      </c>
      <c r="J1001">
        <v>-294.2346</v>
      </c>
      <c r="K1001">
        <v>1.06003799999999</v>
      </c>
      <c r="L1001">
        <v>367.63900000000001</v>
      </c>
      <c r="M1001">
        <v>0.99991779999999997</v>
      </c>
      <c r="N1001">
        <v>-1.259209E-2</v>
      </c>
      <c r="O1001">
        <v>-2.3920959999999998E-3</v>
      </c>
      <c r="P1001">
        <v>0.97771609999999998</v>
      </c>
      <c r="Q1001">
        <v>0.19083990000000001</v>
      </c>
      <c r="R1001">
        <v>8.7474200000000002E-2</v>
      </c>
      <c r="S1001">
        <v>3.0791629999999999</v>
      </c>
      <c r="T1001">
        <v>-2.177072E-2</v>
      </c>
      <c r="U1001">
        <v>-7.2265629999999997E-2</v>
      </c>
      <c r="V1001">
        <v>-8.9686790000000002E-2</v>
      </c>
      <c r="W1001">
        <v>0.20318919999999999</v>
      </c>
      <c r="X1001">
        <v>0.97502330000000004</v>
      </c>
      <c r="Y1001">
        <v>2.106966E-2</v>
      </c>
      <c r="Z1001">
        <v>-2.2036620000000001E-4</v>
      </c>
      <c r="AA1001">
        <v>0.99977800000000006</v>
      </c>
      <c r="AB1001">
        <v>34</v>
      </c>
      <c r="AC1001">
        <v>136.03960000000001</v>
      </c>
      <c r="AD1001">
        <v>-0.96326007999999996</v>
      </c>
      <c r="AE1001">
        <v>-3.1965000000000101</v>
      </c>
      <c r="AF1001">
        <v>2.8709013913919299</v>
      </c>
      <c r="AG1001">
        <v>-0.96326007999999996</v>
      </c>
      <c r="AH1001">
        <v>136.040040815645</v>
      </c>
      <c r="AI1001">
        <v>90.405597716490206</v>
      </c>
      <c r="AJ1001">
        <v>88.791046224678595</v>
      </c>
      <c r="AK1001">
        <v>136.07373975129499</v>
      </c>
      <c r="AL1001">
        <v>78.2764830035361</v>
      </c>
      <c r="AM1001">
        <v>95.255520281313196</v>
      </c>
      <c r="AN1001">
        <v>1.0000000034200101</v>
      </c>
    </row>
    <row r="1002" spans="1:40" x14ac:dyDescent="0.25">
      <c r="A1002" t="str">
        <f>"20190304155032738"</f>
        <v>20190304155032738</v>
      </c>
      <c r="B1002" t="str">
        <f>"1551685832727824"</f>
        <v>1551685832727824</v>
      </c>
      <c r="C1002" t="s">
        <v>40</v>
      </c>
      <c r="D1002">
        <v>5.3337389999999996</v>
      </c>
      <c r="E1002">
        <v>0.54142230000000002</v>
      </c>
      <c r="F1002" t="s">
        <v>43</v>
      </c>
      <c r="G1002">
        <v>-158.19499999999999</v>
      </c>
      <c r="H1002">
        <v>7.1667670000000003E-2</v>
      </c>
      <c r="I1002">
        <v>364.52300000000002</v>
      </c>
      <c r="J1002">
        <v>-294.0693</v>
      </c>
      <c r="K1002">
        <v>1.060041</v>
      </c>
      <c r="L1002">
        <v>367.63850000000002</v>
      </c>
      <c r="M1002">
        <v>0.99991759999999996</v>
      </c>
      <c r="N1002">
        <v>-1.2589609999999999E-2</v>
      </c>
      <c r="O1002">
        <v>-2.514947E-3</v>
      </c>
      <c r="P1002">
        <v>0.97777939999999997</v>
      </c>
      <c r="Q1002">
        <v>0.19069739999999999</v>
      </c>
      <c r="R1002">
        <v>8.7074440000000003E-2</v>
      </c>
      <c r="S1002">
        <v>3.0790410000000001</v>
      </c>
      <c r="T1002">
        <v>-2.236819E-2</v>
      </c>
      <c r="U1002">
        <v>-7.0526119999999998E-2</v>
      </c>
      <c r="V1002">
        <v>-8.9408719999999997E-2</v>
      </c>
      <c r="W1002">
        <v>0.20304449999999999</v>
      </c>
      <c r="X1002">
        <v>0.97507900000000003</v>
      </c>
      <c r="Y1002">
        <v>2.0383229999999999E-2</v>
      </c>
      <c r="Z1002">
        <v>-2.157553E-4</v>
      </c>
      <c r="AA1002">
        <v>0.99979220000000002</v>
      </c>
      <c r="AB1002">
        <v>34</v>
      </c>
      <c r="AC1002">
        <v>135.87430000000001</v>
      </c>
      <c r="AD1002">
        <v>-0.98837333000000005</v>
      </c>
      <c r="AE1002">
        <v>-3.1154999999999902</v>
      </c>
      <c r="AF1002">
        <v>2.7735997196612501</v>
      </c>
      <c r="AG1002">
        <v>-0.98837333000000005</v>
      </c>
      <c r="AH1002">
        <v>135.874520336355</v>
      </c>
      <c r="AI1002">
        <v>90.416684653716402</v>
      </c>
      <c r="AJ1002">
        <v>88.830586556209497</v>
      </c>
      <c r="AK1002">
        <v>135.90642006130199</v>
      </c>
      <c r="AL1002">
        <v>78.284950429155401</v>
      </c>
      <c r="AM1002">
        <v>95.2390189689078</v>
      </c>
      <c r="AN1002">
        <v>1.0000000222166401</v>
      </c>
    </row>
    <row r="1003" spans="1:40" x14ac:dyDescent="0.25">
      <c r="A1003" t="str">
        <f>"20190304155032752"</f>
        <v>20190304155032752</v>
      </c>
      <c r="B1003" t="str">
        <f>"1551685832747852"</f>
        <v>1551685832747852</v>
      </c>
      <c r="C1003" t="s">
        <v>40</v>
      </c>
      <c r="D1003">
        <v>5.2585410000000001</v>
      </c>
      <c r="E1003">
        <v>0.54074049999999996</v>
      </c>
      <c r="F1003" t="s">
        <v>42</v>
      </c>
      <c r="G1003">
        <v>-152.90129999999999</v>
      </c>
      <c r="H1003">
        <v>-0.05</v>
      </c>
      <c r="I1003">
        <v>364.50990000000002</v>
      </c>
      <c r="J1003">
        <v>-293.8657</v>
      </c>
      <c r="K1003">
        <v>1.0600449999999999</v>
      </c>
      <c r="L1003">
        <v>367.63780000000003</v>
      </c>
      <c r="M1003">
        <v>0.99991730000000001</v>
      </c>
      <c r="N1003">
        <v>-1.258661E-2</v>
      </c>
      <c r="O1003">
        <v>-2.6646030000000002E-3</v>
      </c>
      <c r="P1003">
        <v>0.97779450000000001</v>
      </c>
      <c r="Q1003">
        <v>0.19083049999999999</v>
      </c>
      <c r="R1003">
        <v>8.661518E-2</v>
      </c>
      <c r="S1003">
        <v>3.0789789999999999</v>
      </c>
      <c r="T1003">
        <v>-2.4210809999999999E-2</v>
      </c>
      <c r="U1003">
        <v>-6.8237300000000001E-2</v>
      </c>
      <c r="V1003">
        <v>-8.9097079999999995E-2</v>
      </c>
      <c r="W1003">
        <v>0.20317379999999999</v>
      </c>
      <c r="X1003">
        <v>0.97508050000000002</v>
      </c>
      <c r="Y1003">
        <v>1.9491100000000001E-2</v>
      </c>
      <c r="Z1003">
        <v>-2.1189620000000001E-4</v>
      </c>
      <c r="AA1003">
        <v>0.99980999999999998</v>
      </c>
      <c r="AB1003">
        <v>34</v>
      </c>
      <c r="AC1003">
        <v>140.96440000000001</v>
      </c>
      <c r="AD1003">
        <v>-1.1100449999999999</v>
      </c>
      <c r="AE1003">
        <v>-3.1279000000000101</v>
      </c>
      <c r="AF1003">
        <v>2.7520744264222499</v>
      </c>
      <c r="AG1003">
        <v>-1.1100449999999999</v>
      </c>
      <c r="AH1003">
        <v>140.96349790428701</v>
      </c>
      <c r="AI1003">
        <v>90.451091687424807</v>
      </c>
      <c r="AJ1003">
        <v>88.881538678998794</v>
      </c>
      <c r="AK1003">
        <v>140.99472988364701</v>
      </c>
      <c r="AL1003">
        <v>78.277383307373299</v>
      </c>
      <c r="AM1003">
        <v>95.220851123624399</v>
      </c>
      <c r="AN1003">
        <v>0.999999932075605</v>
      </c>
    </row>
    <row r="1004" spans="1:40" x14ac:dyDescent="0.25">
      <c r="A1004" t="str">
        <f>"20190304155032766"</f>
        <v>20190304155032766</v>
      </c>
      <c r="B1004" t="str">
        <f>"1551685832757610"</f>
        <v>1551685832757610</v>
      </c>
      <c r="C1004" t="s">
        <v>40</v>
      </c>
      <c r="D1004">
        <v>5.2507440000000001</v>
      </c>
      <c r="E1004">
        <v>0.54038719999999996</v>
      </c>
      <c r="F1004" t="s">
        <v>50</v>
      </c>
      <c r="G1004">
        <v>-178.4256</v>
      </c>
      <c r="H1004">
        <v>7.9987950000000002E-2</v>
      </c>
      <c r="I1004">
        <v>365.21550000000002</v>
      </c>
      <c r="J1004">
        <v>-293.63940000000002</v>
      </c>
      <c r="K1004">
        <v>1.0600430000000001</v>
      </c>
      <c r="L1004">
        <v>367.63709999999998</v>
      </c>
      <c r="M1004">
        <v>0.9999169</v>
      </c>
      <c r="N1004">
        <v>-1.258343E-2</v>
      </c>
      <c r="O1004">
        <v>-2.8263979999999999E-3</v>
      </c>
      <c r="P1004">
        <v>0.97784919999999997</v>
      </c>
      <c r="Q1004">
        <v>0.19068260000000001</v>
      </c>
      <c r="R1004">
        <v>8.6320399999999894E-2</v>
      </c>
      <c r="S1004">
        <v>3.0789490000000002</v>
      </c>
      <c r="T1004">
        <v>-2.61395E-2</v>
      </c>
      <c r="U1004">
        <v>-6.4605709999999997E-2</v>
      </c>
      <c r="V1004">
        <v>-8.8962289999999999E-2</v>
      </c>
      <c r="W1004">
        <v>0.20302210000000001</v>
      </c>
      <c r="X1004">
        <v>0.97512449999999995</v>
      </c>
      <c r="Y1004">
        <v>1.8150739999999999E-2</v>
      </c>
      <c r="Z1004">
        <v>-2.0283089999999999E-4</v>
      </c>
      <c r="AA1004">
        <v>0.99983529999999998</v>
      </c>
      <c r="AB1004">
        <v>34</v>
      </c>
      <c r="AC1004">
        <v>115.21380000000001</v>
      </c>
      <c r="AD1004">
        <v>-0.98005505000000004</v>
      </c>
      <c r="AE1004">
        <v>-2.42159999999995</v>
      </c>
      <c r="AF1004">
        <v>2.09577292926758</v>
      </c>
      <c r="AG1004">
        <v>-0.98005505000000004</v>
      </c>
      <c r="AH1004">
        <v>115.211851757614</v>
      </c>
      <c r="AI1004">
        <v>90.487296882553196</v>
      </c>
      <c r="AJ1004">
        <v>88.9578702205132</v>
      </c>
      <c r="AK1004">
        <v>115.23507954390701</v>
      </c>
      <c r="AL1004">
        <v>78.286261203286301</v>
      </c>
      <c r="AM1004">
        <v>95.212762411346702</v>
      </c>
      <c r="AN1004">
        <v>1.0000000263153499</v>
      </c>
    </row>
    <row r="1005" spans="1:40" x14ac:dyDescent="0.25">
      <c r="A1005" t="str">
        <f>"20190304155032782"</f>
        <v>20190304155032782</v>
      </c>
      <c r="B1005" t="str">
        <f>"1551685832777130"</f>
        <v>1551685832777130</v>
      </c>
      <c r="C1005" t="s">
        <v>40</v>
      </c>
      <c r="D1005">
        <v>5.2753519999999998</v>
      </c>
      <c r="E1005">
        <v>0.53965810000000003</v>
      </c>
      <c r="F1005" t="s">
        <v>50</v>
      </c>
      <c r="G1005">
        <v>-180</v>
      </c>
      <c r="H1005">
        <v>3.9866829999999999E-2</v>
      </c>
      <c r="I1005">
        <v>365.32909999999998</v>
      </c>
      <c r="J1005">
        <v>-293.4171</v>
      </c>
      <c r="K1005">
        <v>1.0600480000000001</v>
      </c>
      <c r="L1005">
        <v>367.63619999999997</v>
      </c>
      <c r="M1005">
        <v>0.99991640000000004</v>
      </c>
      <c r="N1005">
        <v>-1.258047E-2</v>
      </c>
      <c r="O1005">
        <v>-2.9783940000000001E-3</v>
      </c>
      <c r="P1005">
        <v>0.97792789999999996</v>
      </c>
      <c r="Q1005">
        <v>0.190411</v>
      </c>
      <c r="R1005">
        <v>8.6029140000000004E-2</v>
      </c>
      <c r="S1005">
        <v>3.0788570000000002</v>
      </c>
      <c r="T1005">
        <v>-2.763987E-2</v>
      </c>
      <c r="U1005">
        <v>-6.2530520000000006E-2</v>
      </c>
      <c r="V1005">
        <v>-8.8823330000000006E-2</v>
      </c>
      <c r="W1005">
        <v>0.2027475</v>
      </c>
      <c r="X1005">
        <v>0.97519429999999996</v>
      </c>
      <c r="Y1005">
        <v>1.7325699999999999E-2</v>
      </c>
      <c r="Z1005">
        <v>-1.974965E-4</v>
      </c>
      <c r="AA1005">
        <v>0.99984989999999996</v>
      </c>
      <c r="AB1005">
        <v>34</v>
      </c>
      <c r="AC1005">
        <v>113.4171</v>
      </c>
      <c r="AD1005">
        <v>-1.0201811700000001</v>
      </c>
      <c r="AE1005">
        <v>-2.3070999999999899</v>
      </c>
      <c r="AF1005">
        <v>1.96910295890641</v>
      </c>
      <c r="AG1005">
        <v>-1.0201811700000001</v>
      </c>
      <c r="AH1005">
        <v>113.41429640750501</v>
      </c>
      <c r="AI1005">
        <v>90.515293870293107</v>
      </c>
      <c r="AJ1005">
        <v>89.005328619911893</v>
      </c>
      <c r="AK1005">
        <v>113.435976505216</v>
      </c>
      <c r="AL1005">
        <v>78.302328804521693</v>
      </c>
      <c r="AM1005">
        <v>95.204294295716096</v>
      </c>
      <c r="AN1005">
        <v>1.0000000277305101</v>
      </c>
    </row>
    <row r="1006" spans="1:40" x14ac:dyDescent="0.25">
      <c r="A1006" t="str">
        <f>"20190304155032793"</f>
        <v>20190304155032793</v>
      </c>
      <c r="B1006" t="str">
        <f>"1551685832787867"</f>
        <v>1551685832787867</v>
      </c>
      <c r="C1006" t="s">
        <v>40</v>
      </c>
      <c r="D1006">
        <v>5.2699680000000004</v>
      </c>
      <c r="E1006">
        <v>0.53930069999999997</v>
      </c>
      <c r="F1006" t="s">
        <v>50</v>
      </c>
      <c r="G1006">
        <v>-179.988</v>
      </c>
      <c r="H1006">
        <v>6.2008290000000001E-2</v>
      </c>
      <c r="I1006">
        <v>365.5018</v>
      </c>
      <c r="J1006">
        <v>-293.22770000000003</v>
      </c>
      <c r="K1006">
        <v>1.0600510000000001</v>
      </c>
      <c r="L1006">
        <v>367.63549999999998</v>
      </c>
      <c r="M1006">
        <v>0.99991620000000003</v>
      </c>
      <c r="N1006">
        <v>-1.257812E-2</v>
      </c>
      <c r="O1006">
        <v>-3.102605E-3</v>
      </c>
      <c r="P1006">
        <v>0.97797579999999995</v>
      </c>
      <c r="Q1006">
        <v>0.19029570000000001</v>
      </c>
      <c r="R1006">
        <v>8.5739480000000007E-2</v>
      </c>
      <c r="S1006">
        <v>3.0780940000000001</v>
      </c>
      <c r="T1006">
        <v>-2.708352E-2</v>
      </c>
      <c r="U1006">
        <v>-5.7922359999999999E-2</v>
      </c>
      <c r="V1006">
        <v>-8.8658150000000005E-2</v>
      </c>
      <c r="W1006">
        <v>0.2026289</v>
      </c>
      <c r="X1006">
        <v>0.97523400000000005</v>
      </c>
      <c r="Y1006">
        <v>1.5710430000000001E-2</v>
      </c>
      <c r="Z1006">
        <v>-1.796577E-4</v>
      </c>
      <c r="AA1006">
        <v>0.9998766</v>
      </c>
      <c r="AB1006">
        <v>34</v>
      </c>
      <c r="AC1006">
        <v>113.2397</v>
      </c>
      <c r="AD1006">
        <v>-0.99804271</v>
      </c>
      <c r="AE1006">
        <v>-2.13369999999997</v>
      </c>
      <c r="AF1006">
        <v>1.7821855277348599</v>
      </c>
      <c r="AG1006">
        <v>-0.99804271</v>
      </c>
      <c r="AH1006">
        <v>113.236982474987</v>
      </c>
      <c r="AI1006">
        <v>90.504915203302403</v>
      </c>
      <c r="AJ1006">
        <v>89.098322147206005</v>
      </c>
      <c r="AK1006">
        <v>113.255403732213</v>
      </c>
      <c r="AL1006">
        <v>78.3092683459911</v>
      </c>
      <c r="AM1006">
        <v>95.194458836932796</v>
      </c>
      <c r="AN1006">
        <v>1.0000000467163099</v>
      </c>
    </row>
    <row r="1007" spans="1:40" x14ac:dyDescent="0.25">
      <c r="A1007" t="str">
        <f>"20190304155032805"</f>
        <v>20190304155032805</v>
      </c>
      <c r="B1007" t="str">
        <f>"1551685832797627"</f>
        <v>1551685832797627</v>
      </c>
      <c r="C1007" t="s">
        <v>40</v>
      </c>
      <c r="D1007">
        <v>5.2308599999999998</v>
      </c>
      <c r="E1007">
        <v>0.53895369999999998</v>
      </c>
      <c r="F1007" t="s">
        <v>50</v>
      </c>
      <c r="G1007">
        <v>-179.99369999999999</v>
      </c>
      <c r="H1007">
        <v>5.6339760000000003E-2</v>
      </c>
      <c r="I1007">
        <v>365.57859999999999</v>
      </c>
      <c r="J1007">
        <v>-293.0514</v>
      </c>
      <c r="K1007">
        <v>1.0600590000000001</v>
      </c>
      <c r="L1007">
        <v>367.63490000000002</v>
      </c>
      <c r="M1007">
        <v>0.99991580000000002</v>
      </c>
      <c r="N1007">
        <v>-1.257606E-2</v>
      </c>
      <c r="O1007">
        <v>-3.2128539999999998E-3</v>
      </c>
      <c r="P1007">
        <v>0.97797000000000001</v>
      </c>
      <c r="Q1007">
        <v>0.19027359999999999</v>
      </c>
      <c r="R1007">
        <v>8.5853529999999997E-2</v>
      </c>
      <c r="S1007">
        <v>3.0777589999999999</v>
      </c>
      <c r="T1007">
        <v>-2.7281400000000001E-2</v>
      </c>
      <c r="U1007">
        <v>-5.5908199999999998E-2</v>
      </c>
      <c r="V1007">
        <v>-8.8883699999999996E-2</v>
      </c>
      <c r="W1007">
        <v>0.20260320000000001</v>
      </c>
      <c r="X1007">
        <v>0.97521880000000005</v>
      </c>
      <c r="Y1007">
        <v>1.494817E-2</v>
      </c>
      <c r="Z1007">
        <v>-1.7218259999999999E-4</v>
      </c>
      <c r="AA1007">
        <v>0.9998882</v>
      </c>
      <c r="AB1007">
        <v>34</v>
      </c>
      <c r="AC1007">
        <v>113.0577</v>
      </c>
      <c r="AD1007">
        <v>-1.0037192399999999</v>
      </c>
      <c r="AE1007">
        <v>-2.0563000000000198</v>
      </c>
      <c r="AF1007">
        <v>1.69288940395226</v>
      </c>
      <c r="AG1007">
        <v>-1.0037192399999999</v>
      </c>
      <c r="AH1007">
        <v>113.05481572198499</v>
      </c>
      <c r="AI1007">
        <v>90.508610970617696</v>
      </c>
      <c r="AJ1007">
        <v>89.142113771370305</v>
      </c>
      <c r="AK1007">
        <v>113.071944728915</v>
      </c>
      <c r="AL1007">
        <v>78.310771937139805</v>
      </c>
      <c r="AM1007">
        <v>95.207681908678794</v>
      </c>
      <c r="AN1007">
        <v>1.0000000383246801</v>
      </c>
    </row>
    <row r="1008" spans="1:40" x14ac:dyDescent="0.25">
      <c r="A1008" t="str">
        <f>"20190304155032817"</f>
        <v>20190304155032817</v>
      </c>
      <c r="B1008" t="str">
        <f>"1551685832807387"</f>
        <v>1551685832807387</v>
      </c>
      <c r="C1008" t="s">
        <v>40</v>
      </c>
      <c r="D1008">
        <v>5.2868690000000003</v>
      </c>
      <c r="E1008">
        <v>0.53860869999999905</v>
      </c>
      <c r="F1008" t="s">
        <v>50</v>
      </c>
      <c r="G1008">
        <v>-180</v>
      </c>
      <c r="H1008">
        <v>1.4953579999999999E-2</v>
      </c>
      <c r="I1008">
        <v>365.69670000000002</v>
      </c>
      <c r="J1008">
        <v>-292.87119999999999</v>
      </c>
      <c r="K1008">
        <v>1.0600700000000001</v>
      </c>
      <c r="L1008">
        <v>367.63420000000002</v>
      </c>
      <c r="M1008">
        <v>0.99991549999999996</v>
      </c>
      <c r="N1008">
        <v>-1.257402E-2</v>
      </c>
      <c r="O1008">
        <v>-3.3148399999999999E-3</v>
      </c>
      <c r="P1008">
        <v>0.97798909999999994</v>
      </c>
      <c r="Q1008">
        <v>0.19020599999999999</v>
      </c>
      <c r="R1008">
        <v>8.5784830000000006E-2</v>
      </c>
      <c r="S1008">
        <v>3.0777589999999999</v>
      </c>
      <c r="T1008">
        <v>-2.8452399999999999E-2</v>
      </c>
      <c r="U1008">
        <v>-5.2764890000000002E-2</v>
      </c>
      <c r="V1008">
        <v>-8.891992E-2</v>
      </c>
      <c r="W1008">
        <v>0.2025313</v>
      </c>
      <c r="X1008">
        <v>0.97523040000000005</v>
      </c>
      <c r="Y1008">
        <v>1.382533E-2</v>
      </c>
      <c r="Z1008">
        <v>-1.618716E-4</v>
      </c>
      <c r="AA1008">
        <v>0.99990440000000003</v>
      </c>
      <c r="AB1008">
        <v>34</v>
      </c>
      <c r="AC1008">
        <v>112.8712</v>
      </c>
      <c r="AD1008">
        <v>-1.04511642</v>
      </c>
      <c r="AE1008">
        <v>-1.9375</v>
      </c>
      <c r="AF1008">
        <v>1.5631758417511601</v>
      </c>
      <c r="AG1008">
        <v>-1.04511642</v>
      </c>
      <c r="AH1008">
        <v>112.867328847369</v>
      </c>
      <c r="AI1008">
        <v>90.530475094834102</v>
      </c>
      <c r="AJ1008">
        <v>89.206522795796801</v>
      </c>
      <c r="AK1008">
        <v>112.882991226242</v>
      </c>
      <c r="AL1008">
        <v>78.314978338318497</v>
      </c>
      <c r="AM1008">
        <v>95.209730729881201</v>
      </c>
      <c r="AN1008">
        <v>1.0000000063683201</v>
      </c>
    </row>
    <row r="1009" spans="1:40" x14ac:dyDescent="0.25">
      <c r="A1009" t="str">
        <f>"20190304155032836"</f>
        <v>20190304155032836</v>
      </c>
      <c r="B1009" t="str">
        <f>"1551685832826906"</f>
        <v>1551685832826906</v>
      </c>
      <c r="C1009" t="s">
        <v>40</v>
      </c>
      <c r="D1009">
        <v>5.2532199999999998</v>
      </c>
      <c r="E1009">
        <v>0.53794739999999996</v>
      </c>
      <c r="F1009" t="s">
        <v>50</v>
      </c>
      <c r="G1009">
        <v>-182.28190000000001</v>
      </c>
      <c r="H1009" s="1">
        <v>-8.1171549999999994E-6</v>
      </c>
      <c r="I1009">
        <v>365.82810000000001</v>
      </c>
      <c r="J1009">
        <v>-292.57479999999998</v>
      </c>
      <c r="K1009">
        <v>1.060095</v>
      </c>
      <c r="L1009">
        <v>367.63299999999998</v>
      </c>
      <c r="M1009">
        <v>0.99991490000000005</v>
      </c>
      <c r="N1009">
        <v>-1.257083E-2</v>
      </c>
      <c r="O1009">
        <v>-3.4664919999999998E-3</v>
      </c>
      <c r="P1009">
        <v>0.97795509999999997</v>
      </c>
      <c r="Q1009">
        <v>0.19039059999999999</v>
      </c>
      <c r="R1009">
        <v>8.5762749999999999E-2</v>
      </c>
      <c r="S1009">
        <v>3.0776669999999999</v>
      </c>
      <c r="T1009">
        <v>-2.9501679999999999E-2</v>
      </c>
      <c r="U1009">
        <v>-5.026245E-2</v>
      </c>
      <c r="V1009">
        <v>-8.9055629999999997E-2</v>
      </c>
      <c r="W1009">
        <v>0.20270830000000001</v>
      </c>
      <c r="X1009">
        <v>0.97518119999999997</v>
      </c>
      <c r="Y1009">
        <v>1.286142E-2</v>
      </c>
      <c r="Z1009">
        <v>-1.528403E-4</v>
      </c>
      <c r="AA1009">
        <v>0.99991730000000001</v>
      </c>
      <c r="AB1009">
        <v>34</v>
      </c>
      <c r="AC1009">
        <v>110.29289999999899</v>
      </c>
      <c r="AD1009">
        <v>-1.0601031171549999</v>
      </c>
      <c r="AE1009">
        <v>-1.8049000000000299</v>
      </c>
      <c r="AF1009">
        <v>1.4223980841394801</v>
      </c>
      <c r="AG1009">
        <v>-1.0601031171549999</v>
      </c>
      <c r="AH1009">
        <v>110.288308139268</v>
      </c>
      <c r="AI1009">
        <v>90.550670461065295</v>
      </c>
      <c r="AJ1009">
        <v>89.2610922208017</v>
      </c>
      <c r="AK1009">
        <v>110.30257452639501</v>
      </c>
      <c r="AL1009">
        <v>78.304621699326702</v>
      </c>
      <c r="AM1009">
        <v>95.217899781336797</v>
      </c>
      <c r="AN1009">
        <v>0.99999996647851197</v>
      </c>
    </row>
    <row r="1010" spans="1:40" x14ac:dyDescent="0.25">
      <c r="A1010" t="str">
        <f>"20190304155032849"</f>
        <v>20190304155032849</v>
      </c>
      <c r="B1010" t="str">
        <f>"1551685832837643"</f>
        <v>1551685832837643</v>
      </c>
      <c r="C1010" t="s">
        <v>40</v>
      </c>
      <c r="D1010">
        <v>5.9540410000000001</v>
      </c>
      <c r="E1010">
        <v>0.53785119999999997</v>
      </c>
      <c r="F1010" t="s">
        <v>50</v>
      </c>
      <c r="G1010">
        <v>-187.64830000000001</v>
      </c>
      <c r="H1010" s="1">
        <v>-7.7863479999999999E-6</v>
      </c>
      <c r="I1010">
        <v>366.09840000000003</v>
      </c>
      <c r="J1010">
        <v>-292.3886</v>
      </c>
      <c r="K1010">
        <v>1.060114</v>
      </c>
      <c r="L1010">
        <v>367.63220000000001</v>
      </c>
      <c r="M1010">
        <v>0.99991479999999999</v>
      </c>
      <c r="N1010">
        <v>-1.2568960000000001E-2</v>
      </c>
      <c r="O1010">
        <v>-3.5514869999999999E-3</v>
      </c>
      <c r="P1010">
        <v>0.97800580000000004</v>
      </c>
      <c r="Q1010">
        <v>0.1901526</v>
      </c>
      <c r="R1010">
        <v>8.5714360000000003E-2</v>
      </c>
      <c r="S1010">
        <v>3.0776059999999998</v>
      </c>
      <c r="T1010">
        <v>-3.109396E-2</v>
      </c>
      <c r="U1010">
        <v>-4.501343E-2</v>
      </c>
      <c r="V1010">
        <v>-8.9097389999999999E-2</v>
      </c>
      <c r="W1010">
        <v>0.20246600000000001</v>
      </c>
      <c r="X1010">
        <v>0.97522779999999998</v>
      </c>
      <c r="Y1010">
        <v>1.107182E-2</v>
      </c>
      <c r="Z1010">
        <v>-1.342774E-4</v>
      </c>
      <c r="AA1010">
        <v>0.99993869999999896</v>
      </c>
      <c r="AB1010">
        <v>34</v>
      </c>
      <c r="AC1010">
        <v>104.7403</v>
      </c>
      <c r="AD1010">
        <v>-1.0601217863479999</v>
      </c>
      <c r="AE1010">
        <v>-1.5337999999999801</v>
      </c>
      <c r="AF1010">
        <v>1.1616581837695501</v>
      </c>
      <c r="AG1010">
        <v>-1.0601217863479999</v>
      </c>
      <c r="AH1010">
        <v>104.734360005036</v>
      </c>
      <c r="AI1010">
        <v>90.579892734525401</v>
      </c>
      <c r="AJ1010">
        <v>89.364531544162702</v>
      </c>
      <c r="AK1010">
        <v>104.74616686830301</v>
      </c>
      <c r="AL1010">
        <v>78.318799350631707</v>
      </c>
      <c r="AM1010">
        <v>95.220084976621806</v>
      </c>
      <c r="AN1010">
        <v>1.00000004397682</v>
      </c>
    </row>
    <row r="1011" spans="1:40" x14ac:dyDescent="0.25">
      <c r="A1011" t="str">
        <f>"20190304155032860"</f>
        <v>20190304155032860</v>
      </c>
      <c r="B1011" t="str">
        <f>"1551685832857669"</f>
        <v>1551685832857669</v>
      </c>
      <c r="C1011" t="s">
        <v>40</v>
      </c>
      <c r="D1011">
        <v>5.2533459999999996</v>
      </c>
      <c r="E1011">
        <v>0.53723730000000003</v>
      </c>
      <c r="F1011" t="s">
        <v>50</v>
      </c>
      <c r="G1011">
        <v>-193.92949999999999</v>
      </c>
      <c r="H1011" s="1">
        <v>-7.2040479999999996E-6</v>
      </c>
      <c r="I1011">
        <v>366.20589999999999</v>
      </c>
      <c r="J1011">
        <v>-292.20929999999998</v>
      </c>
      <c r="K1011">
        <v>1.060128</v>
      </c>
      <c r="L1011">
        <v>367.63150000000002</v>
      </c>
      <c r="M1011">
        <v>0.99991450000000004</v>
      </c>
      <c r="N1011">
        <v>-1.256731E-2</v>
      </c>
      <c r="O1011">
        <v>-3.6195530000000002E-3</v>
      </c>
      <c r="P1011">
        <v>0.97797409999999996</v>
      </c>
      <c r="Q1011">
        <v>0.1903495</v>
      </c>
      <c r="R1011">
        <v>8.5638030000000004E-2</v>
      </c>
      <c r="S1011">
        <v>3.07782</v>
      </c>
      <c r="T1011">
        <v>-3.3139229999999999E-2</v>
      </c>
      <c r="U1011">
        <v>-4.4586180000000003E-2</v>
      </c>
      <c r="V1011">
        <v>-8.9094720000000002E-2</v>
      </c>
      <c r="W1011">
        <v>0.2026579</v>
      </c>
      <c r="X1011">
        <v>0.9751881</v>
      </c>
      <c r="Y1011">
        <v>1.086385E-2</v>
      </c>
      <c r="Z1011">
        <v>-1.332761E-4</v>
      </c>
      <c r="AA1011">
        <v>0.99994099999999997</v>
      </c>
      <c r="AB1011">
        <v>34</v>
      </c>
      <c r="AC1011">
        <v>98.279799999999994</v>
      </c>
      <c r="AD1011">
        <v>-1.0601352040480001</v>
      </c>
      <c r="AE1011">
        <v>-1.42560000000003</v>
      </c>
      <c r="AF1011">
        <v>1.0697091860477801</v>
      </c>
      <c r="AG1011">
        <v>-1.0601352040480001</v>
      </c>
      <c r="AH1011">
        <v>98.272884177324102</v>
      </c>
      <c r="AI1011">
        <v>90.618027237276706</v>
      </c>
      <c r="AJ1011">
        <v>89.376354915124494</v>
      </c>
      <c r="AK1011">
        <v>98.284423633266201</v>
      </c>
      <c r="AL1011">
        <v>78.307570559819595</v>
      </c>
      <c r="AM1011">
        <v>95.220140739256195</v>
      </c>
      <c r="AN1011">
        <v>0.99999996197294805</v>
      </c>
    </row>
    <row r="1012" spans="1:40" x14ac:dyDescent="0.25">
      <c r="A1012" t="str">
        <f>"20190304155032872"</f>
        <v>20190304155032872</v>
      </c>
      <c r="B1012" t="str">
        <f>"1551685832867429"</f>
        <v>1551685832867429</v>
      </c>
      <c r="C1012" t="s">
        <v>40</v>
      </c>
      <c r="D1012">
        <v>5.2661509999999998</v>
      </c>
      <c r="E1012">
        <v>0.53689619999999905</v>
      </c>
      <c r="F1012" t="s">
        <v>50</v>
      </c>
      <c r="G1012">
        <v>-196.5128</v>
      </c>
      <c r="H1012" s="1">
        <v>-8.1165509999999903E-6</v>
      </c>
      <c r="I1012">
        <v>366.39229999999998</v>
      </c>
      <c r="J1012">
        <v>-292.04469999999998</v>
      </c>
      <c r="K1012">
        <v>1.06014599999999</v>
      </c>
      <c r="L1012">
        <v>367.63080000000002</v>
      </c>
      <c r="M1012">
        <v>0.99991439999999998</v>
      </c>
      <c r="N1012">
        <v>-1.256584E-2</v>
      </c>
      <c r="O1012">
        <v>-3.676908E-3</v>
      </c>
      <c r="P1012">
        <v>0.97798929999999995</v>
      </c>
      <c r="Q1012">
        <v>0.1902124</v>
      </c>
      <c r="R1012">
        <v>8.5768570000000002E-2</v>
      </c>
      <c r="S1012">
        <v>3.0776979999999998</v>
      </c>
      <c r="T1012">
        <v>-3.4095050000000002E-2</v>
      </c>
      <c r="U1012">
        <v>-3.9855960000000003E-2</v>
      </c>
      <c r="V1012">
        <v>-8.9287569999999997E-2</v>
      </c>
      <c r="W1012">
        <v>0.20251640000000001</v>
      </c>
      <c r="X1012">
        <v>0.97519990000000001</v>
      </c>
      <c r="Y1012">
        <v>9.2706509999999995E-3</v>
      </c>
      <c r="Z1012">
        <v>-1.1507619999999999E-4</v>
      </c>
      <c r="AA1012">
        <v>0.99995699999999998</v>
      </c>
      <c r="AB1012">
        <v>34</v>
      </c>
      <c r="AC1012">
        <v>95.531899999999894</v>
      </c>
      <c r="AD1012">
        <v>-1.06015411655099</v>
      </c>
      <c r="AE1012">
        <v>-1.2385000000000399</v>
      </c>
      <c r="AF1012">
        <v>0.88709269488769804</v>
      </c>
      <c r="AG1012">
        <v>-1.06015411655099</v>
      </c>
      <c r="AH1012">
        <v>95.524046333958495</v>
      </c>
      <c r="AI1012">
        <v>90.635831985378303</v>
      </c>
      <c r="AJ1012">
        <v>89.467932857013906</v>
      </c>
      <c r="AK1012">
        <v>95.534047795602305</v>
      </c>
      <c r="AL1012">
        <v>78.315850079179498</v>
      </c>
      <c r="AM1012">
        <v>95.231314421175497</v>
      </c>
      <c r="AN1012">
        <v>1.0000000036927299</v>
      </c>
    </row>
    <row r="1013" spans="1:40" x14ac:dyDescent="0.25">
      <c r="A1013" t="str">
        <f>"20190304155032884"</f>
        <v>20190304155032884</v>
      </c>
      <c r="B1013" t="str">
        <f>"1551685832877189"</f>
        <v>1551685832877189</v>
      </c>
      <c r="C1013" t="s">
        <v>40</v>
      </c>
      <c r="D1013">
        <v>5.2969900000000001</v>
      </c>
      <c r="E1013">
        <v>0.53656599999999999</v>
      </c>
      <c r="F1013" t="s">
        <v>50</v>
      </c>
      <c r="G1013">
        <v>-199.23159999999999</v>
      </c>
      <c r="H1013" s="1">
        <v>-9.0887360000000001E-6</v>
      </c>
      <c r="I1013">
        <v>366.50619999999998</v>
      </c>
      <c r="J1013">
        <v>-291.86270000000002</v>
      </c>
      <c r="K1013">
        <v>1.0601579999999999</v>
      </c>
      <c r="L1013">
        <v>367.63010000000003</v>
      </c>
      <c r="M1013">
        <v>0.99991410000000003</v>
      </c>
      <c r="N1013">
        <v>-1.25643E-2</v>
      </c>
      <c r="O1013">
        <v>-3.7301819999999999E-3</v>
      </c>
      <c r="P1013">
        <v>0.97796819999999896</v>
      </c>
      <c r="Q1013">
        <v>0.1902963</v>
      </c>
      <c r="R1013">
        <v>8.5822079999999995E-2</v>
      </c>
      <c r="S1013">
        <v>3.0776370000000002</v>
      </c>
      <c r="T1013">
        <v>-3.515422E-2</v>
      </c>
      <c r="U1013">
        <v>-3.7292480000000003E-2</v>
      </c>
      <c r="V1013">
        <v>-8.9400930000000003E-2</v>
      </c>
      <c r="W1013">
        <v>0.20259530000000001</v>
      </c>
      <c r="X1013">
        <v>0.97517310000000001</v>
      </c>
      <c r="Y1013">
        <v>8.3849230000000007E-3</v>
      </c>
      <c r="Z1013">
        <v>-1.0483110000000001E-4</v>
      </c>
      <c r="AA1013">
        <v>0.99996479999999999</v>
      </c>
      <c r="AB1013">
        <v>34</v>
      </c>
      <c r="AC1013">
        <v>92.631100000000004</v>
      </c>
      <c r="AD1013">
        <v>-1.060167088736</v>
      </c>
      <c r="AE1013">
        <v>-1.1239000000000401</v>
      </c>
      <c r="AF1013">
        <v>0.77823211372621404</v>
      </c>
      <c r="AG1013">
        <v>-1.060167088736</v>
      </c>
      <c r="AH1013">
        <v>92.622517382222298</v>
      </c>
      <c r="AI1013">
        <v>90.655761743789796</v>
      </c>
      <c r="AJ1013">
        <v>89.518601225572496</v>
      </c>
      <c r="AK1013">
        <v>92.631853731310699</v>
      </c>
      <c r="AL1013">
        <v>78.311233449323197</v>
      </c>
      <c r="AM1013">
        <v>95.238062356657906</v>
      </c>
      <c r="AN1013">
        <v>0.99999997841528199</v>
      </c>
    </row>
    <row r="1014" spans="1:40" x14ac:dyDescent="0.25">
      <c r="A1014" t="str">
        <f>"20190304155032894"</f>
        <v>20190304155032894</v>
      </c>
      <c r="B1014" t="str">
        <f>"1551685832886949"</f>
        <v>1551685832886949</v>
      </c>
      <c r="C1014" t="s">
        <v>40</v>
      </c>
      <c r="D1014">
        <v>5.3003220000000004</v>
      </c>
      <c r="E1014">
        <v>0.53628290000000001</v>
      </c>
      <c r="F1014" t="s">
        <v>50</v>
      </c>
      <c r="G1014">
        <v>-200.8518</v>
      </c>
      <c r="H1014" s="1">
        <v>-1.2964669999999999E-6</v>
      </c>
      <c r="I1014">
        <v>366.61840000000001</v>
      </c>
      <c r="J1014">
        <v>-291.70530000000002</v>
      </c>
      <c r="K1014">
        <v>1.060168</v>
      </c>
      <c r="L1014">
        <v>367.62950000000001</v>
      </c>
      <c r="M1014">
        <v>0.99991410000000003</v>
      </c>
      <c r="N1014">
        <v>-1.256442E-2</v>
      </c>
      <c r="O1014">
        <v>-3.7676540000000001E-3</v>
      </c>
      <c r="P1014">
        <v>0.97797520000000004</v>
      </c>
      <c r="Q1014">
        <v>0.1902423</v>
      </c>
      <c r="R1014">
        <v>8.586307E-2</v>
      </c>
      <c r="S1014">
        <v>3.0775450000000002</v>
      </c>
      <c r="T1014">
        <v>-3.5849449999999998E-2</v>
      </c>
      <c r="U1014">
        <v>-3.4210209999999998E-2</v>
      </c>
      <c r="V1014">
        <v>-8.9484770000000005E-2</v>
      </c>
      <c r="W1014">
        <v>0.20253879999999999</v>
      </c>
      <c r="X1014">
        <v>0.97517719999999997</v>
      </c>
      <c r="Y1014">
        <v>7.3465509999999998E-3</v>
      </c>
      <c r="Z1014" s="1">
        <v>-9.2399310000000002E-5</v>
      </c>
      <c r="AA1014">
        <v>0.999973</v>
      </c>
      <c r="AB1014">
        <v>34</v>
      </c>
      <c r="AC1014">
        <v>90.853499999999997</v>
      </c>
      <c r="AD1014">
        <v>-1.060169296467</v>
      </c>
      <c r="AE1014">
        <v>-1.0110999999999899</v>
      </c>
      <c r="AF1014">
        <v>0.66867025486793197</v>
      </c>
      <c r="AG1014">
        <v>-1.060169296467</v>
      </c>
      <c r="AH1014">
        <v>90.8442965004906</v>
      </c>
      <c r="AI1014">
        <v>90.6686035999533</v>
      </c>
      <c r="AJ1014">
        <v>89.578275212751706</v>
      </c>
      <c r="AK1014">
        <v>90.852943185765696</v>
      </c>
      <c r="AL1014">
        <v>78.314539811358898</v>
      </c>
      <c r="AM1014">
        <v>95.242925316762694</v>
      </c>
      <c r="AN1014">
        <v>1.0000000304836101</v>
      </c>
    </row>
    <row r="1015" spans="1:40" x14ac:dyDescent="0.25">
      <c r="A1015" t="str">
        <f>"20190304155032905"</f>
        <v>20190304155032905</v>
      </c>
      <c r="B1015" t="str">
        <f>"1551685832897687"</f>
        <v>1551685832897687</v>
      </c>
      <c r="C1015" t="s">
        <v>40</v>
      </c>
      <c r="D1015">
        <v>5.3135029999999999</v>
      </c>
      <c r="E1015">
        <v>0.53599619999999903</v>
      </c>
      <c r="F1015" t="s">
        <v>50</v>
      </c>
      <c r="G1015">
        <v>-203.29480000000001</v>
      </c>
      <c r="H1015" s="1">
        <v>-2.7169970000000001E-6</v>
      </c>
      <c r="I1015">
        <v>366.71420000000001</v>
      </c>
      <c r="J1015">
        <v>-291.53039999999999</v>
      </c>
      <c r="K1015">
        <v>1.0601830000000001</v>
      </c>
      <c r="L1015">
        <v>367.62880000000001</v>
      </c>
      <c r="M1015">
        <v>0.99991379999999996</v>
      </c>
      <c r="N1015">
        <v>-1.25655E-2</v>
      </c>
      <c r="O1015">
        <v>-3.8034470000000002E-3</v>
      </c>
      <c r="P1015">
        <v>0.97801039999999995</v>
      </c>
      <c r="Q1015">
        <v>0.1899962</v>
      </c>
      <c r="R1015">
        <v>8.6007920000000002E-2</v>
      </c>
      <c r="S1015">
        <v>3.0775450000000002</v>
      </c>
      <c r="T1015">
        <v>-3.6904220000000001E-2</v>
      </c>
      <c r="U1015">
        <v>-3.1860350000000003E-2</v>
      </c>
      <c r="V1015">
        <v>-8.9671760000000003E-2</v>
      </c>
      <c r="W1015">
        <v>0.2022909</v>
      </c>
      <c r="X1015">
        <v>0.97521139999999995</v>
      </c>
      <c r="Y1015">
        <v>6.5473850000000002E-3</v>
      </c>
      <c r="Z1015" s="1">
        <v>-8.2582740000000001E-5</v>
      </c>
      <c r="AA1015">
        <v>0.99997849999999999</v>
      </c>
      <c r="AB1015">
        <v>34</v>
      </c>
      <c r="AC1015">
        <v>88.235599999999906</v>
      </c>
      <c r="AD1015">
        <v>-1.0601857169969999</v>
      </c>
      <c r="AE1015">
        <v>-0.91460000000000696</v>
      </c>
      <c r="AF1015">
        <v>0.57888388793798795</v>
      </c>
      <c r="AG1015">
        <v>-1.0601857169969999</v>
      </c>
      <c r="AH1015">
        <v>88.225704832102906</v>
      </c>
      <c r="AI1015">
        <v>90.688460763724507</v>
      </c>
      <c r="AJ1015">
        <v>89.624065030640296</v>
      </c>
      <c r="AK1015">
        <v>88.233973578387506</v>
      </c>
      <c r="AL1015">
        <v>78.329042758007304</v>
      </c>
      <c r="AM1015">
        <v>95.253636624453605</v>
      </c>
      <c r="AN1015">
        <v>0.99999995372713202</v>
      </c>
    </row>
    <row r="1016" spans="1:40" x14ac:dyDescent="0.25">
      <c r="A1016" t="str">
        <f>"20190304155032916"</f>
        <v>20190304155032916</v>
      </c>
      <c r="B1016" t="str">
        <f>"1551685832907445"</f>
        <v>1551685832907445</v>
      </c>
      <c r="C1016" t="s">
        <v>40</v>
      </c>
      <c r="D1016">
        <v>5.2726220000000001</v>
      </c>
      <c r="E1016">
        <v>0.53567929999999997</v>
      </c>
      <c r="F1016" t="s">
        <v>50</v>
      </c>
      <c r="G1016">
        <v>-206.17140000000001</v>
      </c>
      <c r="H1016" s="1">
        <v>-4.1233360000000001E-6</v>
      </c>
      <c r="I1016">
        <v>366.80770000000001</v>
      </c>
      <c r="J1016">
        <v>-291.37</v>
      </c>
      <c r="K1016">
        <v>1.0601959999999999</v>
      </c>
      <c r="L1016">
        <v>367.62810000000002</v>
      </c>
      <c r="M1016">
        <v>0.99991370000000002</v>
      </c>
      <c r="N1016">
        <v>-1.2568050000000001E-2</v>
      </c>
      <c r="O1016">
        <v>-3.8247239999999998E-3</v>
      </c>
      <c r="P1016">
        <v>0.97797230000000002</v>
      </c>
      <c r="Q1016">
        <v>0.19012090000000001</v>
      </c>
      <c r="R1016">
        <v>8.6164240000000003E-2</v>
      </c>
      <c r="S1016">
        <v>3.0774840000000001</v>
      </c>
      <c r="T1016">
        <v>-3.8223390000000003E-2</v>
      </c>
      <c r="U1016">
        <v>-2.9602050000000001E-2</v>
      </c>
      <c r="V1016">
        <v>-8.985493E-2</v>
      </c>
      <c r="W1016">
        <v>0.20241500000000001</v>
      </c>
      <c r="X1016">
        <v>0.97516879999999995</v>
      </c>
      <c r="Y1016">
        <v>5.7926490000000004E-3</v>
      </c>
      <c r="Z1016" s="1">
        <v>-7.2946679999999996E-5</v>
      </c>
      <c r="AA1016">
        <v>0.99998319999999996</v>
      </c>
      <c r="AB1016">
        <v>34</v>
      </c>
      <c r="AC1016">
        <v>85.198599999999999</v>
      </c>
      <c r="AD1016">
        <v>-1.0602001233360001</v>
      </c>
      <c r="AE1016">
        <v>-0.82040000000000601</v>
      </c>
      <c r="AF1016">
        <v>0.49443057260697898</v>
      </c>
      <c r="AG1016">
        <v>-1.0602001233360001</v>
      </c>
      <c r="AH1016">
        <v>85.187924672072</v>
      </c>
      <c r="AI1016">
        <v>90.713021638209099</v>
      </c>
      <c r="AJ1016">
        <v>89.667459125341196</v>
      </c>
      <c r="AK1016">
        <v>85.195956452329796</v>
      </c>
      <c r="AL1016">
        <v>78.321782277268497</v>
      </c>
      <c r="AM1016">
        <v>95.264536526344401</v>
      </c>
      <c r="AN1016">
        <v>0.99999996458187101</v>
      </c>
    </row>
    <row r="1017" spans="1:40" x14ac:dyDescent="0.25">
      <c r="A1017" t="str">
        <f>"20190304155032926"</f>
        <v>20190304155032926</v>
      </c>
      <c r="B1017" t="str">
        <f>"1551685832917205"</f>
        <v>1551685832917205</v>
      </c>
      <c r="C1017" t="s">
        <v>40</v>
      </c>
      <c r="D1017">
        <v>6.0293519999999896</v>
      </c>
      <c r="E1017">
        <v>0.53563509999999903</v>
      </c>
      <c r="F1017" t="s">
        <v>50</v>
      </c>
      <c r="G1017">
        <v>-206.1446</v>
      </c>
      <c r="H1017" s="1">
        <v>-4.0931010000000001E-6</v>
      </c>
      <c r="I1017">
        <v>366.88780000000003</v>
      </c>
      <c r="J1017">
        <v>-291.2</v>
      </c>
      <c r="K1017">
        <v>1.0602129999999901</v>
      </c>
      <c r="L1017">
        <v>367.62740000000002</v>
      </c>
      <c r="M1017">
        <v>0.99991350000000001</v>
      </c>
      <c r="N1017">
        <v>-1.257112E-2</v>
      </c>
      <c r="O1017">
        <v>-3.8444439999999998E-3</v>
      </c>
      <c r="P1017">
        <v>0.97799700000000001</v>
      </c>
      <c r="Q1017">
        <v>0.18989159999999999</v>
      </c>
      <c r="R1017">
        <v>8.6386290000000004E-2</v>
      </c>
      <c r="S1017">
        <v>3.0773619999999999</v>
      </c>
      <c r="T1017">
        <v>-3.8282280000000002E-2</v>
      </c>
      <c r="U1017">
        <v>-2.6733400000000001E-2</v>
      </c>
      <c r="V1017">
        <v>-9.0102459999999995E-2</v>
      </c>
      <c r="W1017">
        <v>0.20218620000000001</v>
      </c>
      <c r="X1017">
        <v>0.97519339999999999</v>
      </c>
      <c r="Y1017">
        <v>4.8413670000000001E-3</v>
      </c>
      <c r="Z1017" s="1">
        <v>-6.1054869999999995E-5</v>
      </c>
      <c r="AA1017">
        <v>0.99998830000000005</v>
      </c>
      <c r="AB1017">
        <v>34</v>
      </c>
      <c r="AC1017">
        <v>85.055399999999906</v>
      </c>
      <c r="AD1017">
        <v>-1.06021709310099</v>
      </c>
      <c r="AE1017">
        <v>-0.73959999999999504</v>
      </c>
      <c r="AF1017">
        <v>0.41251385105827998</v>
      </c>
      <c r="AG1017">
        <v>-1.06021709310099</v>
      </c>
      <c r="AH1017">
        <v>85.044402007914599</v>
      </c>
      <c r="AI1017">
        <v>90.714239881594906</v>
      </c>
      <c r="AJ1017">
        <v>89.722084972827602</v>
      </c>
      <c r="AK1017">
        <v>85.052010798367405</v>
      </c>
      <c r="AL1017">
        <v>78.335168039431395</v>
      </c>
      <c r="AM1017">
        <v>95.278824896518501</v>
      </c>
      <c r="AN1017">
        <v>0.999999940086024</v>
      </c>
    </row>
    <row r="1018" spans="1:40" x14ac:dyDescent="0.25">
      <c r="A1018" t="str">
        <f>"20190304155032939"</f>
        <v>20190304155032939</v>
      </c>
      <c r="B1018" t="str">
        <f>"1551685832926964"</f>
        <v>1551685832926964</v>
      </c>
      <c r="C1018" t="s">
        <v>40</v>
      </c>
      <c r="D1018">
        <v>5.2462280000000003</v>
      </c>
      <c r="E1018">
        <v>0.53534910000000002</v>
      </c>
      <c r="F1018" t="s">
        <v>50</v>
      </c>
      <c r="G1018">
        <v>-209.9091</v>
      </c>
      <c r="H1018" s="1">
        <v>-5.6711819999999999E-6</v>
      </c>
      <c r="I1018">
        <v>366.94959999999998</v>
      </c>
      <c r="J1018">
        <v>-291.02190000000002</v>
      </c>
      <c r="K1018">
        <v>1.0602279999999999</v>
      </c>
      <c r="L1018">
        <v>367.62670000000003</v>
      </c>
      <c r="M1018">
        <v>0.99991359999999996</v>
      </c>
      <c r="N1018">
        <v>-1.257494E-2</v>
      </c>
      <c r="O1018">
        <v>-3.8541560000000001E-3</v>
      </c>
      <c r="P1018">
        <v>0.97800640000000005</v>
      </c>
      <c r="Q1018">
        <v>0.18988350000000001</v>
      </c>
      <c r="R1018">
        <v>8.630235E-2</v>
      </c>
      <c r="S1018">
        <v>3.0775760000000001</v>
      </c>
      <c r="T1018">
        <v>-4.0138600000000003E-2</v>
      </c>
      <c r="U1018">
        <v>-2.5665279999999999E-2</v>
      </c>
      <c r="V1018">
        <v>-9.0034710000000004E-2</v>
      </c>
      <c r="W1018">
        <v>0.20217869999999999</v>
      </c>
      <c r="X1018">
        <v>0.97520119999999999</v>
      </c>
      <c r="Y1018">
        <v>4.4840230000000002E-3</v>
      </c>
      <c r="Z1018" s="1">
        <v>-5.5639690000000001E-5</v>
      </c>
      <c r="AA1018">
        <v>0.99998989999999999</v>
      </c>
      <c r="AB1018">
        <v>34</v>
      </c>
      <c r="AC1018">
        <v>81.112799999999993</v>
      </c>
      <c r="AD1018">
        <v>-1.060233671182</v>
      </c>
      <c r="AE1018">
        <v>-0.67710000000005199</v>
      </c>
      <c r="AF1018">
        <v>0.36438664259792197</v>
      </c>
      <c r="AG1018">
        <v>-1.060233671182</v>
      </c>
      <c r="AH1018">
        <v>81.100951879407305</v>
      </c>
      <c r="AI1018">
        <v>90.7489781555485</v>
      </c>
      <c r="AJ1018">
        <v>89.742571748389196</v>
      </c>
      <c r="AK1018">
        <v>81.108700327454002</v>
      </c>
      <c r="AL1018">
        <v>78.335606677891207</v>
      </c>
      <c r="AM1018">
        <v>95.274836079658002</v>
      </c>
      <c r="AN1018">
        <v>0.99999992810995397</v>
      </c>
    </row>
    <row r="1019" spans="1:40" x14ac:dyDescent="0.25">
      <c r="A1019" t="str">
        <f>"20190304155032952"</f>
        <v>20190304155032952</v>
      </c>
      <c r="B1019" t="str">
        <f>"1551685832946991"</f>
        <v>1551685832946991</v>
      </c>
      <c r="C1019" t="s">
        <v>40</v>
      </c>
      <c r="D1019">
        <v>5.2522180000000001</v>
      </c>
      <c r="E1019">
        <v>0.53492580000000001</v>
      </c>
      <c r="F1019" t="s">
        <v>41</v>
      </c>
      <c r="G1019">
        <v>-211.32679999999999</v>
      </c>
      <c r="H1019" s="1">
        <v>-4.1669279999999998E-6</v>
      </c>
      <c r="I1019">
        <v>367.0016</v>
      </c>
      <c r="J1019">
        <v>-290.827</v>
      </c>
      <c r="K1019">
        <v>1.060246</v>
      </c>
      <c r="L1019">
        <v>367.6259</v>
      </c>
      <c r="M1019">
        <v>0.99991339999999995</v>
      </c>
      <c r="N1019">
        <v>-1.2579119999999999E-2</v>
      </c>
      <c r="O1019">
        <v>-3.8618390000000002E-3</v>
      </c>
      <c r="P1019">
        <v>0.97799029999999998</v>
      </c>
      <c r="Q1019">
        <v>0.18986720000000001</v>
      </c>
      <c r="R1019">
        <v>8.6519429999999994E-2</v>
      </c>
      <c r="S1019">
        <v>3.0775450000000002</v>
      </c>
      <c r="T1019">
        <v>-4.0942430000000002E-2</v>
      </c>
      <c r="U1019">
        <v>-2.4139399999999998E-2</v>
      </c>
      <c r="V1019">
        <v>-9.0265650000000003E-2</v>
      </c>
      <c r="W1019">
        <v>0.2021638</v>
      </c>
      <c r="X1019">
        <v>0.97518300000000002</v>
      </c>
      <c r="Y1019">
        <v>3.9807109999999996E-3</v>
      </c>
      <c r="Z1019" s="1">
        <v>-4.872464E-5</v>
      </c>
      <c r="AA1019">
        <v>0.99999210000000005</v>
      </c>
      <c r="AB1019">
        <v>34</v>
      </c>
      <c r="AC1019">
        <v>79.500200000000007</v>
      </c>
      <c r="AD1019">
        <v>-1.060250166928</v>
      </c>
      <c r="AE1019">
        <v>-0.62430000000000496</v>
      </c>
      <c r="AF1019">
        <v>0.31719765747447798</v>
      </c>
      <c r="AG1019">
        <v>-1.060250166928</v>
      </c>
      <c r="AH1019">
        <v>79.487881308915206</v>
      </c>
      <c r="AI1019">
        <v>90.764189118104596</v>
      </c>
      <c r="AJ1019">
        <v>89.771361492129202</v>
      </c>
      <c r="AK1019">
        <v>79.495584907280005</v>
      </c>
      <c r="AL1019">
        <v>78.336479076801794</v>
      </c>
      <c r="AM1019">
        <v>95.288387614812706</v>
      </c>
      <c r="AN1019">
        <v>0.99999998654468103</v>
      </c>
    </row>
    <row r="1020" spans="1:40" x14ac:dyDescent="0.25">
      <c r="A1020" t="str">
        <f>"20190304155032965"</f>
        <v>20190304155032965</v>
      </c>
      <c r="B1020" t="str">
        <f>"1551685832957727"</f>
        <v>1551685832957727</v>
      </c>
      <c r="C1020" t="s">
        <v>40</v>
      </c>
      <c r="D1020">
        <v>5.24512</v>
      </c>
      <c r="E1020">
        <v>0.53501540000000003</v>
      </c>
      <c r="F1020" t="s">
        <v>41</v>
      </c>
      <c r="G1020">
        <v>-213.15379999999999</v>
      </c>
      <c r="H1020" s="1">
        <v>-3.3602399999999999E-6</v>
      </c>
      <c r="I1020">
        <v>367.13060000000002</v>
      </c>
      <c r="J1020">
        <v>-290.61610000000002</v>
      </c>
      <c r="K1020">
        <v>1.060254</v>
      </c>
      <c r="L1020">
        <v>367.62509999999997</v>
      </c>
      <c r="M1020">
        <v>0.9999133</v>
      </c>
      <c r="N1020">
        <v>-1.258361E-2</v>
      </c>
      <c r="O1020">
        <v>-3.8645250000000002E-3</v>
      </c>
      <c r="P1020">
        <v>0.97795390000000004</v>
      </c>
      <c r="Q1020">
        <v>0.189975</v>
      </c>
      <c r="R1020">
        <v>8.6693859999999998E-2</v>
      </c>
      <c r="S1020">
        <v>3.077423</v>
      </c>
      <c r="T1020">
        <v>-4.2007210000000003E-2</v>
      </c>
      <c r="U1020">
        <v>-1.9622799999999999E-2</v>
      </c>
      <c r="V1020">
        <v>-9.0449100000000004E-2</v>
      </c>
      <c r="W1020">
        <v>0.20227220000000001</v>
      </c>
      <c r="X1020">
        <v>0.9751436</v>
      </c>
      <c r="Y1020">
        <v>2.5109970000000001E-3</v>
      </c>
      <c r="Z1020" s="1">
        <v>-2.8820829999999999E-5</v>
      </c>
      <c r="AA1020">
        <v>0.99999680000000002</v>
      </c>
      <c r="AB1020">
        <v>34</v>
      </c>
      <c r="AC1020">
        <v>77.462299999999999</v>
      </c>
      <c r="AD1020">
        <v>-1.0602573602399901</v>
      </c>
      <c r="AE1020">
        <v>-0.49449999999995897</v>
      </c>
      <c r="AF1020">
        <v>0.195081045574998</v>
      </c>
      <c r="AG1020">
        <v>-1.0602573602399901</v>
      </c>
      <c r="AH1020">
        <v>77.449123527713596</v>
      </c>
      <c r="AI1020">
        <v>90.784312100782699</v>
      </c>
      <c r="AJ1020">
        <v>89.855682073246598</v>
      </c>
      <c r="AK1020">
        <v>77.456626169071697</v>
      </c>
      <c r="AL1020">
        <v>78.330138082531406</v>
      </c>
      <c r="AM1020">
        <v>95.299287151551098</v>
      </c>
      <c r="AN1020">
        <v>1.0000000616022999</v>
      </c>
    </row>
    <row r="1021" spans="1:40" x14ac:dyDescent="0.25">
      <c r="A1021" t="str">
        <f>"20190304155032983"</f>
        <v>20190304155032983</v>
      </c>
      <c r="B1021" t="str">
        <f>"1551685832977248"</f>
        <v>1551685832977248</v>
      </c>
      <c r="C1021" t="s">
        <v>40</v>
      </c>
      <c r="D1021">
        <v>5.1431610000000001</v>
      </c>
      <c r="E1021">
        <v>0.53507689999999997</v>
      </c>
      <c r="F1021" t="s">
        <v>41</v>
      </c>
      <c r="G1021">
        <v>-213.5401</v>
      </c>
      <c r="H1021" s="1">
        <v>-3.194951E-6</v>
      </c>
      <c r="I1021">
        <v>367.12830000000002</v>
      </c>
      <c r="J1021">
        <v>-290.36169999999998</v>
      </c>
      <c r="K1021">
        <v>1.0602659999999999</v>
      </c>
      <c r="L1021">
        <v>367.6241</v>
      </c>
      <c r="M1021">
        <v>0.9999133</v>
      </c>
      <c r="N1021">
        <v>-1.2588790000000001E-2</v>
      </c>
      <c r="O1021">
        <v>-3.8612799999999999E-3</v>
      </c>
      <c r="P1021">
        <v>0.97794449999999999</v>
      </c>
      <c r="Q1021">
        <v>0.19005130000000001</v>
      </c>
      <c r="R1021">
        <v>8.6633009999999996E-2</v>
      </c>
      <c r="S1021">
        <v>3.0776059999999998</v>
      </c>
      <c r="T1021">
        <v>-4.233551E-2</v>
      </c>
      <c r="U1021">
        <v>-1.9836429999999999E-2</v>
      </c>
      <c r="V1021">
        <v>-9.0390880000000007E-2</v>
      </c>
      <c r="W1021">
        <v>0.20235110000000001</v>
      </c>
      <c r="X1021">
        <v>0.97513260000000002</v>
      </c>
      <c r="Y1021">
        <v>2.583255E-3</v>
      </c>
      <c r="Z1021" s="1">
        <v>-2.9526839999999999E-5</v>
      </c>
      <c r="AA1021">
        <v>0.99999669999999896</v>
      </c>
      <c r="AB1021">
        <v>34</v>
      </c>
      <c r="AC1021">
        <v>76.821599999999904</v>
      </c>
      <c r="AD1021">
        <v>-1.0602691949509999</v>
      </c>
      <c r="AE1021">
        <v>-0.49579999999997398</v>
      </c>
      <c r="AF1021">
        <v>0.19910516212717699</v>
      </c>
      <c r="AG1021">
        <v>-1.0602691949509999</v>
      </c>
      <c r="AH1021">
        <v>76.808311412457996</v>
      </c>
      <c r="AI1021">
        <v>90.790863470938405</v>
      </c>
      <c r="AJ1021">
        <v>89.851476230800699</v>
      </c>
      <c r="AK1021">
        <v>76.815887130622102</v>
      </c>
      <c r="AL1021">
        <v>78.325521654529894</v>
      </c>
      <c r="AM1021">
        <v>95.295954924365702</v>
      </c>
      <c r="AN1021">
        <v>1.0000000332205701</v>
      </c>
    </row>
    <row r="1022" spans="1:40" x14ac:dyDescent="0.25">
      <c r="A1022" t="str">
        <f>"20190304155032996"</f>
        <v>20190304155032996</v>
      </c>
      <c r="B1022" t="str">
        <f>"1551685832987007"</f>
        <v>1551685832987007</v>
      </c>
      <c r="C1022" t="s">
        <v>40</v>
      </c>
      <c r="D1022">
        <v>5.1515550000000001</v>
      </c>
      <c r="E1022">
        <v>0.53506580000000004</v>
      </c>
      <c r="F1022" t="s">
        <v>41</v>
      </c>
      <c r="G1022">
        <v>-211.9641</v>
      </c>
      <c r="H1022" s="1">
        <v>-3.8763380000000003E-6</v>
      </c>
      <c r="I1022">
        <v>367.0985</v>
      </c>
      <c r="J1022">
        <v>-290.15039999999999</v>
      </c>
      <c r="K1022">
        <v>1.0602750000000001</v>
      </c>
      <c r="L1022">
        <v>367.62329999999997</v>
      </c>
      <c r="M1022">
        <v>0.99991350000000001</v>
      </c>
      <c r="N1022">
        <v>-1.259294E-2</v>
      </c>
      <c r="O1022">
        <v>-3.8579650000000001E-3</v>
      </c>
      <c r="P1022">
        <v>0.97793529999999995</v>
      </c>
      <c r="Q1022">
        <v>0.19002540000000001</v>
      </c>
      <c r="R1022">
        <v>8.6794880000000005E-2</v>
      </c>
      <c r="S1022">
        <v>3.0775760000000001</v>
      </c>
      <c r="T1022">
        <v>-4.162192E-2</v>
      </c>
      <c r="U1022">
        <v>-2.062988E-2</v>
      </c>
      <c r="V1022">
        <v>-9.0553610000000007E-2</v>
      </c>
      <c r="W1022">
        <v>0.2023277</v>
      </c>
      <c r="X1022">
        <v>0.9751223</v>
      </c>
      <c r="Y1022">
        <v>2.8444059999999998E-3</v>
      </c>
      <c r="Z1022" s="1">
        <v>-3.3557029999999999E-5</v>
      </c>
      <c r="AA1022">
        <v>0.99999590000000005</v>
      </c>
      <c r="AB1022">
        <v>34</v>
      </c>
      <c r="AC1022">
        <v>78.186299999999903</v>
      </c>
      <c r="AD1022">
        <v>-1.060278876338</v>
      </c>
      <c r="AE1022">
        <v>-0.52479999999996996</v>
      </c>
      <c r="AF1022">
        <v>0.223091211825311</v>
      </c>
      <c r="AG1022">
        <v>-1.060278876338</v>
      </c>
      <c r="AH1022">
        <v>78.173367526813706</v>
      </c>
      <c r="AI1022">
        <v>90.777061735614197</v>
      </c>
      <c r="AJ1022">
        <v>89.836489707575794</v>
      </c>
      <c r="AK1022">
        <v>78.180875867866206</v>
      </c>
      <c r="AL1022">
        <v>78.326890030705599</v>
      </c>
      <c r="AM1022">
        <v>95.305490553562095</v>
      </c>
      <c r="AN1022">
        <v>0.999999977214305</v>
      </c>
    </row>
    <row r="1023" spans="1:40" x14ac:dyDescent="0.25">
      <c r="A1023" t="str">
        <f>"20190304155033009"</f>
        <v>20190304155033009</v>
      </c>
      <c r="B1023" t="str">
        <f>"1551685833007504"</f>
        <v>1551685833007504</v>
      </c>
      <c r="C1023" t="s">
        <v>40</v>
      </c>
      <c r="D1023">
        <v>5.1805279999999998</v>
      </c>
      <c r="E1023">
        <v>0.53506279999999995</v>
      </c>
      <c r="F1023" t="s">
        <v>41</v>
      </c>
      <c r="G1023">
        <v>-210.67140000000001</v>
      </c>
      <c r="H1023" s="1">
        <v>-4.4306350000000003E-6</v>
      </c>
      <c r="I1023">
        <v>367.09989999999999</v>
      </c>
      <c r="J1023">
        <v>-289.95600000000002</v>
      </c>
      <c r="K1023">
        <v>1.0602830000000001</v>
      </c>
      <c r="L1023">
        <v>367.6225</v>
      </c>
      <c r="M1023">
        <v>0.99991319999999995</v>
      </c>
      <c r="N1023">
        <v>-1.2596639999999999E-2</v>
      </c>
      <c r="O1023">
        <v>-3.8545540000000001E-3</v>
      </c>
      <c r="P1023">
        <v>0.97791729999999999</v>
      </c>
      <c r="Q1023">
        <v>0.19005730000000001</v>
      </c>
      <c r="R1023">
        <v>8.6924870000000001E-2</v>
      </c>
      <c r="S1023">
        <v>3.0774539999999999</v>
      </c>
      <c r="T1023">
        <v>-4.105437E-2</v>
      </c>
      <c r="U1023">
        <v>-2.0263670000000001E-2</v>
      </c>
      <c r="V1023">
        <v>-9.0683150000000004E-2</v>
      </c>
      <c r="W1023">
        <v>0.20236129999999999</v>
      </c>
      <c r="X1023">
        <v>0.97510330000000001</v>
      </c>
      <c r="Y1023">
        <v>2.7291199999999998E-3</v>
      </c>
      <c r="Z1023" s="1">
        <v>-3.2531820000000001E-5</v>
      </c>
      <c r="AA1023">
        <v>0.99999629999999995</v>
      </c>
      <c r="AB1023">
        <v>34</v>
      </c>
      <c r="AC1023">
        <v>79.284599999999898</v>
      </c>
      <c r="AD1023">
        <v>-1.0602874306350001</v>
      </c>
      <c r="AE1023">
        <v>-0.52260000000001094</v>
      </c>
      <c r="AF1023">
        <v>0.216926293049227</v>
      </c>
      <c r="AG1023">
        <v>-1.0602874306350001</v>
      </c>
      <c r="AH1023">
        <v>79.271848944186303</v>
      </c>
      <c r="AI1023">
        <v>90.766301605319399</v>
      </c>
      <c r="AJ1023">
        <v>89.843211301380407</v>
      </c>
      <c r="AK1023">
        <v>79.279236256929593</v>
      </c>
      <c r="AL1023">
        <v>78.324924351066301</v>
      </c>
      <c r="AM1023">
        <v>95.313139766940694</v>
      </c>
      <c r="AN1023">
        <v>0.99999998755125097</v>
      </c>
    </row>
    <row r="1024" spans="1:40" x14ac:dyDescent="0.25">
      <c r="A1024" t="str">
        <f>"20190304155033022"</f>
        <v>20190304155033022</v>
      </c>
      <c r="B1024" t="str">
        <f>"1551685833017264"</f>
        <v>1551685833017264</v>
      </c>
      <c r="C1024" t="s">
        <v>40</v>
      </c>
      <c r="D1024">
        <v>5.1808730000000001</v>
      </c>
      <c r="E1024">
        <v>0.53510389999999997</v>
      </c>
      <c r="F1024" t="s">
        <v>50</v>
      </c>
      <c r="G1024">
        <v>-209.74</v>
      </c>
      <c r="H1024" s="1">
        <v>-5.5915949999999996E-6</v>
      </c>
      <c r="I1024">
        <v>367.0967</v>
      </c>
      <c r="J1024">
        <v>-289.76519999999999</v>
      </c>
      <c r="K1024">
        <v>1.060287</v>
      </c>
      <c r="L1024">
        <v>367.62180000000001</v>
      </c>
      <c r="M1024">
        <v>0.9999133</v>
      </c>
      <c r="N1024">
        <v>-1.260009E-2</v>
      </c>
      <c r="O1024">
        <v>-3.85177E-3</v>
      </c>
      <c r="P1024">
        <v>0.97790060000000001</v>
      </c>
      <c r="Q1024">
        <v>0.19006480000000001</v>
      </c>
      <c r="R1024">
        <v>8.7098170000000003E-2</v>
      </c>
      <c r="S1024">
        <v>3.0774539999999999</v>
      </c>
      <c r="T1024">
        <v>-4.067755E-2</v>
      </c>
      <c r="U1024">
        <v>-2.0172120000000002E-2</v>
      </c>
      <c r="V1024">
        <v>-9.0855459999999999E-2</v>
      </c>
      <c r="W1024">
        <v>0.20237069999999999</v>
      </c>
      <c r="X1024">
        <v>0.97508530000000004</v>
      </c>
      <c r="Y1024">
        <v>2.7021670000000001E-3</v>
      </c>
      <c r="Z1024" s="1">
        <v>-3.2508410000000003E-5</v>
      </c>
      <c r="AA1024">
        <v>0.99999640000000001</v>
      </c>
      <c r="AB1024">
        <v>34</v>
      </c>
      <c r="AC1024">
        <v>80.025199999999899</v>
      </c>
      <c r="AD1024">
        <v>-1.0602925915949999</v>
      </c>
      <c r="AE1024">
        <v>-0.525100000000008</v>
      </c>
      <c r="AF1024">
        <v>0.21679494357385901</v>
      </c>
      <c r="AG1024">
        <v>-1.0602925915949999</v>
      </c>
      <c r="AH1024">
        <v>80.012583486258606</v>
      </c>
      <c r="AI1024">
        <v>90.759211980369003</v>
      </c>
      <c r="AJ1024">
        <v>89.844756857629505</v>
      </c>
      <c r="AK1024">
        <v>80.019902127988502</v>
      </c>
      <c r="AL1024">
        <v>78.324374285522595</v>
      </c>
      <c r="AM1024">
        <v>95.323275196869702</v>
      </c>
      <c r="AN1024">
        <v>0.999999978553195</v>
      </c>
    </row>
    <row r="1025" spans="1:40" x14ac:dyDescent="0.25">
      <c r="A1025" t="str">
        <f>"20190304155033037"</f>
        <v>20190304155033037</v>
      </c>
      <c r="B1025" t="str">
        <f>"1551685833027024"</f>
        <v>1551685833027024</v>
      </c>
      <c r="C1025" t="s">
        <v>40</v>
      </c>
      <c r="D1025">
        <v>5.0178440000000002</v>
      </c>
      <c r="E1025">
        <v>0.5350625</v>
      </c>
      <c r="F1025" t="s">
        <v>50</v>
      </c>
      <c r="G1025">
        <v>-209.17349999999999</v>
      </c>
      <c r="H1025" s="1">
        <v>-5.4015709999999999E-6</v>
      </c>
      <c r="I1025">
        <v>367.09910000000002</v>
      </c>
      <c r="J1025">
        <v>-289.52980000000002</v>
      </c>
      <c r="K1025">
        <v>1.060295</v>
      </c>
      <c r="L1025">
        <v>367.62090000000001</v>
      </c>
      <c r="M1025">
        <v>0.99991319999999995</v>
      </c>
      <c r="N1025">
        <v>-1.260405E-2</v>
      </c>
      <c r="O1025">
        <v>-3.8487650000000001E-3</v>
      </c>
      <c r="P1025">
        <v>0.97787460000000004</v>
      </c>
      <c r="Q1025">
        <v>0.19018099999999999</v>
      </c>
      <c r="R1025">
        <v>8.7136099999999994E-2</v>
      </c>
      <c r="S1025">
        <v>3.077423</v>
      </c>
      <c r="T1025">
        <v>-4.048765E-2</v>
      </c>
      <c r="U1025">
        <v>-1.9958500000000001E-2</v>
      </c>
      <c r="V1025">
        <v>-9.0892230000000004E-2</v>
      </c>
      <c r="W1025">
        <v>0.20249020000000001</v>
      </c>
      <c r="X1025">
        <v>0.97505710000000001</v>
      </c>
      <c r="Y1025">
        <v>2.6358380000000002E-3</v>
      </c>
      <c r="Z1025" s="1">
        <v>-3.1830330000000001E-5</v>
      </c>
      <c r="AA1025">
        <v>0.99999649999999995</v>
      </c>
      <c r="AB1025">
        <v>34</v>
      </c>
      <c r="AC1025">
        <v>80.356300000000005</v>
      </c>
      <c r="AD1025">
        <v>-1.060300401571</v>
      </c>
      <c r="AE1025">
        <v>-0.52179999999998405</v>
      </c>
      <c r="AF1025">
        <v>0.212462073980758</v>
      </c>
      <c r="AG1025">
        <v>-1.060300401571</v>
      </c>
      <c r="AH1025">
        <v>80.343725317960406</v>
      </c>
      <c r="AI1025">
        <v>90.756088903669607</v>
      </c>
      <c r="AJ1025">
        <v>89.848486590306095</v>
      </c>
      <c r="AK1025">
        <v>80.351002327552393</v>
      </c>
      <c r="AL1025">
        <v>78.317383103233396</v>
      </c>
      <c r="AM1025">
        <v>95.325570321999706</v>
      </c>
      <c r="AN1025">
        <v>1.0000000134154099</v>
      </c>
    </row>
    <row r="1026" spans="1:40" x14ac:dyDescent="0.25">
      <c r="A1026" t="str">
        <f>"20190304155033049"</f>
        <v>20190304155033049</v>
      </c>
      <c r="B1026" t="str">
        <f>"1551685833037760"</f>
        <v>1551685833037760</v>
      </c>
      <c r="C1026" t="s">
        <v>40</v>
      </c>
      <c r="D1026">
        <v>5.4255199999999997</v>
      </c>
      <c r="E1026">
        <v>0.53504589999999996</v>
      </c>
      <c r="F1026" t="s">
        <v>50</v>
      </c>
      <c r="G1026">
        <v>-208.07839999999999</v>
      </c>
      <c r="H1026" s="1">
        <v>-4.9441629999999996E-6</v>
      </c>
      <c r="I1026">
        <v>367.11200000000002</v>
      </c>
      <c r="J1026">
        <v>-289.35160000000002</v>
      </c>
      <c r="K1026">
        <v>1.060297</v>
      </c>
      <c r="L1026">
        <v>367.62020000000001</v>
      </c>
      <c r="M1026">
        <v>0.9999133</v>
      </c>
      <c r="N1026">
        <v>-1.2606910000000001E-2</v>
      </c>
      <c r="O1026">
        <v>-3.8464950000000001E-3</v>
      </c>
      <c r="P1026">
        <v>0.97788439999999999</v>
      </c>
      <c r="Q1026">
        <v>0.19011400000000001</v>
      </c>
      <c r="R1026">
        <v>8.7172749999999993E-2</v>
      </c>
      <c r="S1026">
        <v>3.0773929999999998</v>
      </c>
      <c r="T1026">
        <v>-4.0060159999999997E-2</v>
      </c>
      <c r="U1026">
        <v>-1.9226070000000001E-2</v>
      </c>
      <c r="V1026">
        <v>-9.0926939999999998E-2</v>
      </c>
      <c r="W1026">
        <v>0.20242579999999999</v>
      </c>
      <c r="X1026">
        <v>0.97506720000000002</v>
      </c>
      <c r="Y1026">
        <v>2.4002289999999998E-3</v>
      </c>
      <c r="Z1026" s="1">
        <v>-2.9178359999999999E-5</v>
      </c>
      <c r="AA1026">
        <v>0.99999709999999997</v>
      </c>
      <c r="AB1026">
        <v>34</v>
      </c>
      <c r="AC1026">
        <v>81.273200000000003</v>
      </c>
      <c r="AD1026">
        <v>-1.0603019441629999</v>
      </c>
      <c r="AE1026">
        <v>-0.50820000000004395</v>
      </c>
      <c r="AF1026">
        <v>0.19552121263448199</v>
      </c>
      <c r="AG1026">
        <v>-1.0603019441629999</v>
      </c>
      <c r="AH1026">
        <v>81.260723417900905</v>
      </c>
      <c r="AI1026">
        <v>90.747559222851393</v>
      </c>
      <c r="AJ1026">
        <v>89.862141041824103</v>
      </c>
      <c r="AK1026">
        <v>81.267875813004807</v>
      </c>
      <c r="AL1026">
        <v>78.321150569641901</v>
      </c>
      <c r="AM1026">
        <v>95.327537488131199</v>
      </c>
      <c r="AN1026">
        <v>0.99999997871962099</v>
      </c>
    </row>
    <row r="1027" spans="1:40" x14ac:dyDescent="0.25">
      <c r="A1027" t="str">
        <f>"20190304155033060"</f>
        <v>20190304155033060</v>
      </c>
      <c r="B1027" t="str">
        <f>"1551685833057786"</f>
        <v>1551685833057786</v>
      </c>
      <c r="C1027" t="s">
        <v>40</v>
      </c>
      <c r="D1027">
        <v>6.1885399999999997</v>
      </c>
      <c r="E1027">
        <v>0.53502720000000004</v>
      </c>
      <c r="F1027" t="s">
        <v>50</v>
      </c>
      <c r="G1027">
        <v>-208.02969999999999</v>
      </c>
      <c r="H1027" s="1">
        <v>-4.9212980000000002E-6</v>
      </c>
      <c r="I1027">
        <v>367.11290000000002</v>
      </c>
      <c r="J1027">
        <v>-289.17869999999999</v>
      </c>
      <c r="K1027">
        <v>1.0603</v>
      </c>
      <c r="L1027">
        <v>367.61950000000002</v>
      </c>
      <c r="M1027">
        <v>0.99991319999999995</v>
      </c>
      <c r="N1027">
        <v>-1.2609499999999999E-2</v>
      </c>
      <c r="O1027">
        <v>-3.8441230000000001E-3</v>
      </c>
      <c r="P1027">
        <v>0.97787060000000003</v>
      </c>
      <c r="Q1027">
        <v>0.19012190000000001</v>
      </c>
      <c r="R1027">
        <v>8.7308860000000002E-2</v>
      </c>
      <c r="S1027">
        <v>3.0773619999999999</v>
      </c>
      <c r="T1027">
        <v>-4.0123699999999998E-2</v>
      </c>
      <c r="U1027">
        <v>-1.919556E-2</v>
      </c>
      <c r="V1027">
        <v>-9.1061589999999998E-2</v>
      </c>
      <c r="W1027">
        <v>0.20243610000000001</v>
      </c>
      <c r="X1027">
        <v>0.97505249999999999</v>
      </c>
      <c r="Y1027">
        <v>2.3927459999999998E-3</v>
      </c>
      <c r="Z1027" s="1">
        <v>-2.9041529999999998E-5</v>
      </c>
      <c r="AA1027">
        <v>0.99999709999999997</v>
      </c>
      <c r="AB1027">
        <v>34</v>
      </c>
      <c r="AC1027">
        <v>81.149000000000001</v>
      </c>
      <c r="AD1027">
        <v>-1.060304921298</v>
      </c>
      <c r="AE1027">
        <v>-0.50659999999999095</v>
      </c>
      <c r="AF1027">
        <v>0.19459152489186499</v>
      </c>
      <c r="AG1027">
        <v>-1.060304921298</v>
      </c>
      <c r="AH1027">
        <v>81.136496481553394</v>
      </c>
      <c r="AI1027">
        <v>90.7487057859245</v>
      </c>
      <c r="AJ1027">
        <v>89.862586478191901</v>
      </c>
      <c r="AK1027">
        <v>81.143657630703402</v>
      </c>
      <c r="AL1027">
        <v>78.320547994530699</v>
      </c>
      <c r="AM1027">
        <v>95.335461298937204</v>
      </c>
      <c r="AN1027">
        <v>0.99999998275639301</v>
      </c>
    </row>
    <row r="1028" spans="1:40" x14ac:dyDescent="0.25">
      <c r="A1028" t="str">
        <f>"20190304155033083"</f>
        <v>20190304155033083</v>
      </c>
      <c r="B1028" t="str">
        <f>"1551685833077306"</f>
        <v>1551685833077306</v>
      </c>
      <c r="C1028" t="s">
        <v>40</v>
      </c>
      <c r="D1028">
        <v>5.4879199999999999</v>
      </c>
      <c r="E1028">
        <v>0.53513820000000001</v>
      </c>
      <c r="F1028" t="s">
        <v>50</v>
      </c>
      <c r="G1028">
        <v>-204.83920000000001</v>
      </c>
      <c r="H1028" s="1">
        <v>-3.4324890000000001E-6</v>
      </c>
      <c r="I1028">
        <v>367.0976</v>
      </c>
      <c r="J1028">
        <v>-288.84789999999998</v>
      </c>
      <c r="K1028">
        <v>1.0603009999999999</v>
      </c>
      <c r="L1028">
        <v>367.61829999999998</v>
      </c>
      <c r="M1028">
        <v>0.9999131</v>
      </c>
      <c r="N1028">
        <v>-1.261409E-2</v>
      </c>
      <c r="O1028">
        <v>-3.84046E-3</v>
      </c>
      <c r="P1028">
        <v>0.97781070000000003</v>
      </c>
      <c r="Q1028">
        <v>0.1901283</v>
      </c>
      <c r="R1028">
        <v>8.7962620000000005E-2</v>
      </c>
      <c r="S1028">
        <v>3.0770870000000001</v>
      </c>
      <c r="T1028">
        <v>-3.8684730000000001E-2</v>
      </c>
      <c r="U1028">
        <v>-1.9042969999999999E-2</v>
      </c>
      <c r="V1028">
        <v>-9.1710899999999998E-2</v>
      </c>
      <c r="W1028">
        <v>0.20244590000000001</v>
      </c>
      <c r="X1028">
        <v>0.97498969999999896</v>
      </c>
      <c r="Y1028">
        <v>2.3474070000000001E-3</v>
      </c>
      <c r="Z1028" s="1">
        <v>-2.9728499999999998E-5</v>
      </c>
      <c r="AA1028">
        <v>0.99999729999999998</v>
      </c>
      <c r="AB1028">
        <v>34</v>
      </c>
      <c r="AC1028">
        <v>84.008699999999905</v>
      </c>
      <c r="AD1028">
        <v>-1.0603044324890001</v>
      </c>
      <c r="AE1028">
        <v>-0.52069999999997596</v>
      </c>
      <c r="AF1028">
        <v>0.19800690708011001</v>
      </c>
      <c r="AG1028">
        <v>-1.0603044324890001</v>
      </c>
      <c r="AH1028">
        <v>83.996700194733407</v>
      </c>
      <c r="AI1028">
        <v>90.723213812043795</v>
      </c>
      <c r="AJ1028">
        <v>89.864935895702402</v>
      </c>
      <c r="AK1028">
        <v>84.003625492169903</v>
      </c>
      <c r="AL1028">
        <v>78.319975697044498</v>
      </c>
      <c r="AM1028">
        <v>95.373627712345794</v>
      </c>
      <c r="AN1028">
        <v>1.0000000733558501</v>
      </c>
    </row>
    <row r="1029" spans="1:40" x14ac:dyDescent="0.25">
      <c r="A1029" t="str">
        <f>"20190304155033094"</f>
        <v>20190304155033094</v>
      </c>
      <c r="B1029" t="str">
        <f>"1551685833087065"</f>
        <v>1551685833087065</v>
      </c>
      <c r="C1029" t="s">
        <v>40</v>
      </c>
      <c r="D1029">
        <v>5.3260870000000002</v>
      </c>
      <c r="E1029">
        <v>0.53521969999999996</v>
      </c>
      <c r="F1029" t="s">
        <v>50</v>
      </c>
      <c r="G1029">
        <v>-205.0121</v>
      </c>
      <c r="H1029" s="1">
        <v>-3.512888E-6</v>
      </c>
      <c r="I1029">
        <v>367.12520000000001</v>
      </c>
      <c r="J1029">
        <v>-288.66910000000001</v>
      </c>
      <c r="K1029">
        <v>1.0603020000000001</v>
      </c>
      <c r="L1029">
        <v>367.61759999999998</v>
      </c>
      <c r="M1029">
        <v>0.99991300000000005</v>
      </c>
      <c r="N1029">
        <v>-1.261632E-2</v>
      </c>
      <c r="O1029">
        <v>-3.8391670000000001E-3</v>
      </c>
      <c r="P1029">
        <v>0.9778038</v>
      </c>
      <c r="Q1029">
        <v>0.1899979</v>
      </c>
      <c r="R1029">
        <v>8.8320910000000002E-2</v>
      </c>
      <c r="S1029">
        <v>3.0772710000000001</v>
      </c>
      <c r="T1029">
        <v>-3.8919450000000001E-2</v>
      </c>
      <c r="U1029">
        <v>-1.8096919999999999E-2</v>
      </c>
      <c r="V1029">
        <v>-9.2068109999999995E-2</v>
      </c>
      <c r="W1029">
        <v>0.20231750000000001</v>
      </c>
      <c r="X1029">
        <v>0.97498260000000003</v>
      </c>
      <c r="Y1029">
        <v>2.0409590000000002E-3</v>
      </c>
      <c r="Z1029" s="1">
        <v>-2.5667129999999999E-5</v>
      </c>
      <c r="AA1029">
        <v>0.9999979</v>
      </c>
      <c r="AB1029">
        <v>34</v>
      </c>
      <c r="AC1029">
        <v>83.656999999999996</v>
      </c>
      <c r="AD1029">
        <v>-1.0603055128879999</v>
      </c>
      <c r="AE1029">
        <v>-0.49239999999997502</v>
      </c>
      <c r="AF1029">
        <v>0.171170103857296</v>
      </c>
      <c r="AG1029">
        <v>-1.0603055128879999</v>
      </c>
      <c r="AH1029">
        <v>83.644837579265001</v>
      </c>
      <c r="AI1029">
        <v>90.726257014561497</v>
      </c>
      <c r="AJ1029">
        <v>89.882750554324701</v>
      </c>
      <c r="AK1029">
        <v>83.651732801220206</v>
      </c>
      <c r="AL1029">
        <v>78.327486928709504</v>
      </c>
      <c r="AM1029">
        <v>95.394473580971507</v>
      </c>
      <c r="AN1029">
        <v>0.99999998899399101</v>
      </c>
    </row>
    <row r="1030" spans="1:40" x14ac:dyDescent="0.25">
      <c r="A1030" t="str">
        <f>"20190304155033105"</f>
        <v>20190304155033105</v>
      </c>
      <c r="B1030" t="str">
        <f>"1551685833097802"</f>
        <v>1551685833097802</v>
      </c>
      <c r="C1030" t="s">
        <v>40</v>
      </c>
      <c r="D1030">
        <v>5.2852209999999999</v>
      </c>
      <c r="E1030">
        <v>0.53529119999999997</v>
      </c>
      <c r="F1030" t="s">
        <v>50</v>
      </c>
      <c r="G1030">
        <v>-205.4486</v>
      </c>
      <c r="H1030" s="1">
        <v>-3.7139160000000002E-6</v>
      </c>
      <c r="I1030">
        <v>367.13560000000001</v>
      </c>
      <c r="J1030">
        <v>-288.50470000000001</v>
      </c>
      <c r="K1030">
        <v>1.0603020000000001</v>
      </c>
      <c r="L1030">
        <v>367.61689999999999</v>
      </c>
      <c r="M1030">
        <v>0.99991300000000005</v>
      </c>
      <c r="N1030">
        <v>-1.2618249999999999E-2</v>
      </c>
      <c r="O1030">
        <v>-3.8383499999999999E-3</v>
      </c>
      <c r="P1030">
        <v>0.97776320000000005</v>
      </c>
      <c r="Q1030">
        <v>0.19010969999999999</v>
      </c>
      <c r="R1030">
        <v>8.8530979999999995E-2</v>
      </c>
      <c r="S1030">
        <v>3.0773619999999999</v>
      </c>
      <c r="T1030">
        <v>-3.9208409999999999E-2</v>
      </c>
      <c r="U1030">
        <v>-1.7822270000000001E-2</v>
      </c>
      <c r="V1030">
        <v>-9.2276499999999997E-2</v>
      </c>
      <c r="W1030">
        <v>0.2024309</v>
      </c>
      <c r="X1030">
        <v>0.97493929999999995</v>
      </c>
      <c r="Y1030">
        <v>1.9523640000000001E-3</v>
      </c>
      <c r="Z1030" s="1">
        <v>-2.428967E-5</v>
      </c>
      <c r="AA1030">
        <v>0.9999981</v>
      </c>
      <c r="AB1030">
        <v>34</v>
      </c>
      <c r="AC1030">
        <v>83.056100000000001</v>
      </c>
      <c r="AD1030">
        <v>-1.0603057139159999</v>
      </c>
      <c r="AE1030">
        <v>-0.48129999999997602</v>
      </c>
      <c r="AF1030">
        <v>0.16244620997034201</v>
      </c>
      <c r="AG1030">
        <v>-1.0603057139159999</v>
      </c>
      <c r="AH1030">
        <v>83.043802064017896</v>
      </c>
      <c r="AI1030">
        <v>90.7315130537947</v>
      </c>
      <c r="AJ1030">
        <v>89.887920951038893</v>
      </c>
      <c r="AK1030">
        <v>83.050729667028705</v>
      </c>
      <c r="AL1030">
        <v>78.320851609117696</v>
      </c>
      <c r="AM1030">
        <v>95.406850039375698</v>
      </c>
      <c r="AN1030">
        <v>0.99999993020577205</v>
      </c>
    </row>
    <row r="1031" spans="1:40" x14ac:dyDescent="0.25">
      <c r="A1031" t="str">
        <f>"20190304155033116"</f>
        <v>20190304155033116</v>
      </c>
      <c r="B1031" t="str">
        <f>"1551685833107562"</f>
        <v>1551685833107562</v>
      </c>
      <c r="C1031" t="s">
        <v>40</v>
      </c>
      <c r="D1031">
        <v>5.1274360000000003</v>
      </c>
      <c r="E1031">
        <v>0.53530759999999999</v>
      </c>
      <c r="F1031" t="s">
        <v>50</v>
      </c>
      <c r="G1031">
        <v>-204.3777</v>
      </c>
      <c r="H1031" s="1">
        <v>-3.19143E-6</v>
      </c>
      <c r="I1031">
        <v>367.13720000000001</v>
      </c>
      <c r="J1031">
        <v>-288.33449999999999</v>
      </c>
      <c r="K1031">
        <v>1.0603009999999999</v>
      </c>
      <c r="L1031">
        <v>367.61630000000002</v>
      </c>
      <c r="M1031">
        <v>0.99991300000000005</v>
      </c>
      <c r="N1031">
        <v>-1.2620060000000001E-2</v>
      </c>
      <c r="O1031">
        <v>-3.8381270000000002E-3</v>
      </c>
      <c r="P1031">
        <v>0.97768999999999995</v>
      </c>
      <c r="Q1031">
        <v>0.19031339999999999</v>
      </c>
      <c r="R1031">
        <v>8.889946E-2</v>
      </c>
      <c r="S1031">
        <v>3.0773929999999998</v>
      </c>
      <c r="T1031">
        <v>-3.8786290000000001E-2</v>
      </c>
      <c r="U1031">
        <v>-1.7547610000000002E-2</v>
      </c>
      <c r="V1031">
        <v>-9.2644389999999993E-2</v>
      </c>
      <c r="W1031">
        <v>0.20263590000000001</v>
      </c>
      <c r="X1031">
        <v>0.97486189999999995</v>
      </c>
      <c r="Y1031">
        <v>1.8633009999999999E-3</v>
      </c>
      <c r="Z1031" s="1">
        <v>-2.3567999999999999E-5</v>
      </c>
      <c r="AA1031">
        <v>0.99999830000000001</v>
      </c>
      <c r="AB1031">
        <v>34</v>
      </c>
      <c r="AC1031">
        <v>83.956799999999902</v>
      </c>
      <c r="AD1031">
        <v>-1.06030419143</v>
      </c>
      <c r="AE1031">
        <v>-0.47910000000001601</v>
      </c>
      <c r="AF1031">
        <v>0.156808937116303</v>
      </c>
      <c r="AG1031">
        <v>-1.06030419143</v>
      </c>
      <c r="AH1031">
        <v>83.944632120556804</v>
      </c>
      <c r="AI1031">
        <v>90.723662933419703</v>
      </c>
      <c r="AJ1031">
        <v>89.892971359698905</v>
      </c>
      <c r="AK1031">
        <v>83.951474649804297</v>
      </c>
      <c r="AL1031">
        <v>78.308858314312502</v>
      </c>
      <c r="AM1031">
        <v>95.428706091115899</v>
      </c>
      <c r="AN1031">
        <v>1.00000000751944</v>
      </c>
    </row>
    <row r="1032" spans="1:40" x14ac:dyDescent="0.25">
      <c r="A1032" t="str">
        <f>"20190304155033128"</f>
        <v>20190304155033128</v>
      </c>
      <c r="B1032" t="str">
        <f>"1551685833117323"</f>
        <v>1551685833117323</v>
      </c>
      <c r="C1032" t="s">
        <v>40</v>
      </c>
      <c r="D1032">
        <v>5.199471</v>
      </c>
      <c r="E1032">
        <v>0.53533799999999998</v>
      </c>
      <c r="F1032" t="s">
        <v>50</v>
      </c>
      <c r="G1032">
        <v>-201.99680000000001</v>
      </c>
      <c r="H1032" s="1">
        <v>-1.8301259999999999E-6</v>
      </c>
      <c r="I1032">
        <v>367.15989999999999</v>
      </c>
      <c r="J1032">
        <v>-288.1678</v>
      </c>
      <c r="K1032">
        <v>1.060298</v>
      </c>
      <c r="L1032">
        <v>367.6157</v>
      </c>
      <c r="M1032">
        <v>0.99991300000000005</v>
      </c>
      <c r="N1032">
        <v>-1.2621749999999999E-2</v>
      </c>
      <c r="O1032">
        <v>-3.8380229999999999E-3</v>
      </c>
      <c r="P1032">
        <v>0.97773869999999896</v>
      </c>
      <c r="Q1032">
        <v>0.18997130000000001</v>
      </c>
      <c r="R1032">
        <v>8.9097839999999998E-2</v>
      </c>
      <c r="S1032">
        <v>3.0772710000000001</v>
      </c>
      <c r="T1032">
        <v>-3.7791610000000003E-2</v>
      </c>
      <c r="U1032">
        <v>-1.6265870000000002E-2</v>
      </c>
      <c r="V1032">
        <v>-9.2843510000000004E-2</v>
      </c>
      <c r="W1032">
        <v>0.20229549999999999</v>
      </c>
      <c r="X1032">
        <v>0.97491369999999999</v>
      </c>
      <c r="Y1032">
        <v>1.447203E-3</v>
      </c>
      <c r="Z1032" s="1">
        <v>-1.9332690000000001E-5</v>
      </c>
      <c r="AA1032">
        <v>0.99999890000000002</v>
      </c>
      <c r="AB1032">
        <v>34</v>
      </c>
      <c r="AC1032">
        <v>86.170999999999907</v>
      </c>
      <c r="AD1032">
        <v>-1.060299830126</v>
      </c>
      <c r="AE1032">
        <v>-0.45580000000000997</v>
      </c>
      <c r="AF1032">
        <v>0.12502509457219901</v>
      </c>
      <c r="AG1032">
        <v>-1.060299830126</v>
      </c>
      <c r="AH1032">
        <v>86.159070343333994</v>
      </c>
      <c r="AI1032">
        <v>90.705063025521397</v>
      </c>
      <c r="AJ1032">
        <v>89.916858373753001</v>
      </c>
      <c r="AK1032">
        <v>86.165684987886095</v>
      </c>
      <c r="AL1032">
        <v>78.328774826633193</v>
      </c>
      <c r="AM1032">
        <v>95.440016720648003</v>
      </c>
      <c r="AN1032">
        <v>1.0000000545585199</v>
      </c>
    </row>
    <row r="1033" spans="1:40" x14ac:dyDescent="0.25">
      <c r="A1033" t="str">
        <f>"20190304155033138"</f>
        <v>20190304155033138</v>
      </c>
      <c r="B1033" t="str">
        <f>"1551685833127083"</f>
        <v>1551685833127083</v>
      </c>
      <c r="C1033" t="s">
        <v>40</v>
      </c>
      <c r="D1033">
        <v>5.2752359999999996</v>
      </c>
      <c r="E1033">
        <v>0.53540509999999997</v>
      </c>
      <c r="F1033" t="s">
        <v>50</v>
      </c>
      <c r="G1033">
        <v>-203.52</v>
      </c>
      <c r="H1033" s="1">
        <v>-2.7279320000000002E-6</v>
      </c>
      <c r="I1033">
        <v>367.17410000000001</v>
      </c>
      <c r="J1033">
        <v>-287.99579999999997</v>
      </c>
      <c r="K1033">
        <v>1.060295</v>
      </c>
      <c r="L1033">
        <v>367.61500000000001</v>
      </c>
      <c r="M1033">
        <v>0.99991300000000005</v>
      </c>
      <c r="N1033">
        <v>-1.2620849999999999E-2</v>
      </c>
      <c r="O1033">
        <v>-3.8383800000000002E-3</v>
      </c>
      <c r="P1033">
        <v>0.97774360000000005</v>
      </c>
      <c r="Q1033">
        <v>0.1898416</v>
      </c>
      <c r="R1033">
        <v>8.9320399999999994E-2</v>
      </c>
      <c r="S1033">
        <v>3.0773009999999998</v>
      </c>
      <c r="T1033">
        <v>-3.8546320000000002E-2</v>
      </c>
      <c r="U1033">
        <v>-1.6052250000000001E-2</v>
      </c>
      <c r="V1033">
        <v>-9.3065949999999995E-2</v>
      </c>
      <c r="W1033">
        <v>0.20216519999999999</v>
      </c>
      <c r="X1033">
        <v>0.97491939999999999</v>
      </c>
      <c r="Y1033">
        <v>0</v>
      </c>
      <c r="Z1033">
        <v>0</v>
      </c>
      <c r="AA1033">
        <v>1</v>
      </c>
      <c r="AB1033">
        <v>34</v>
      </c>
      <c r="AC1033">
        <v>84.475799999999893</v>
      </c>
      <c r="AD1033">
        <v>-1.0602977279320001</v>
      </c>
      <c r="AE1033">
        <v>-0.44089999999999901</v>
      </c>
      <c r="AF1033">
        <v>0.11660233828993501</v>
      </c>
      <c r="AG1033">
        <v>-1.0602977279320001</v>
      </c>
      <c r="AH1033">
        <v>84.463564043967196</v>
      </c>
      <c r="AI1033">
        <v>90.719213507099397</v>
      </c>
      <c r="AJ1033">
        <v>89.920902963343906</v>
      </c>
      <c r="AK1033">
        <v>84.470299386153997</v>
      </c>
      <c r="AL1033">
        <v>78.336396595187296</v>
      </c>
      <c r="AM1033">
        <v>95.452940079077194</v>
      </c>
      <c r="AN1033">
        <v>0.99999993781839902</v>
      </c>
    </row>
    <row r="1034" spans="1:40" x14ac:dyDescent="0.25">
      <c r="A1034" t="str">
        <f>"20190304155033150"</f>
        <v>20190304155033150</v>
      </c>
      <c r="B1034" t="str">
        <f>"1551685833147109"</f>
        <v>1551685833147109</v>
      </c>
      <c r="C1034" t="s">
        <v>40</v>
      </c>
      <c r="D1034">
        <v>4.8608799999999999</v>
      </c>
      <c r="E1034">
        <v>0.53531719999999905</v>
      </c>
      <c r="F1034" t="s">
        <v>50</v>
      </c>
      <c r="G1034">
        <v>-203.9966</v>
      </c>
      <c r="H1034" s="1">
        <v>-2.9890329999999999E-6</v>
      </c>
      <c r="I1034">
        <v>367.18520000000001</v>
      </c>
      <c r="J1034">
        <v>-287.8304</v>
      </c>
      <c r="K1034">
        <v>1.060292</v>
      </c>
      <c r="L1034">
        <v>367.61430000000001</v>
      </c>
      <c r="M1034">
        <v>0.99991300000000005</v>
      </c>
      <c r="N1034">
        <v>-1.261952E-2</v>
      </c>
      <c r="O1034">
        <v>-3.8388530000000001E-3</v>
      </c>
      <c r="P1034">
        <v>0.97777329999999996</v>
      </c>
      <c r="Q1034">
        <v>0.1894615</v>
      </c>
      <c r="R1034">
        <v>8.979943E-2</v>
      </c>
      <c r="S1034">
        <v>3.0772710000000001</v>
      </c>
      <c r="T1034">
        <v>-3.8843509999999998E-2</v>
      </c>
      <c r="U1034">
        <v>-1.5747069999999998E-2</v>
      </c>
      <c r="V1034">
        <v>-9.3545760000000006E-2</v>
      </c>
      <c r="W1034">
        <v>0.20178460000000001</v>
      </c>
      <c r="X1034">
        <v>0.97495240000000005</v>
      </c>
      <c r="Y1034">
        <v>0</v>
      </c>
      <c r="Z1034">
        <v>0</v>
      </c>
      <c r="AA1034">
        <v>1</v>
      </c>
      <c r="AB1034">
        <v>34</v>
      </c>
      <c r="AC1034">
        <v>83.833799999999997</v>
      </c>
      <c r="AD1034">
        <v>-1.060294989033</v>
      </c>
      <c r="AE1034">
        <v>-0.42910000000000498</v>
      </c>
      <c r="AF1034">
        <v>0.10722842178397</v>
      </c>
      <c r="AG1034">
        <v>-1.060294989033</v>
      </c>
      <c r="AH1034">
        <v>83.821421723547402</v>
      </c>
      <c r="AI1034">
        <v>90.724720925448096</v>
      </c>
      <c r="AJ1034">
        <v>89.926704504237804</v>
      </c>
      <c r="AK1034">
        <v>83.828196110586703</v>
      </c>
      <c r="AL1034">
        <v>78.358663080111697</v>
      </c>
      <c r="AM1034">
        <v>95.480698067764806</v>
      </c>
      <c r="AN1034">
        <v>1.0000000081384399</v>
      </c>
    </row>
    <row r="1035" spans="1:40" x14ac:dyDescent="0.25">
      <c r="A1035" t="str">
        <f>"20190304155033161"</f>
        <v>20190304155033161</v>
      </c>
      <c r="B1035" t="str">
        <f>"1551685833157845"</f>
        <v>1551685833157845</v>
      </c>
      <c r="C1035" t="s">
        <v>40</v>
      </c>
      <c r="D1035">
        <v>6.2675159999999996</v>
      </c>
      <c r="E1035">
        <v>0.53531709999999999</v>
      </c>
      <c r="F1035" t="s">
        <v>50</v>
      </c>
      <c r="G1035">
        <v>-204.17439999999999</v>
      </c>
      <c r="H1035" s="1">
        <v>-3.0650220000000001E-6</v>
      </c>
      <c r="I1035">
        <v>367.24599999999998</v>
      </c>
      <c r="J1035">
        <v>-287.65370000000001</v>
      </c>
      <c r="K1035">
        <v>1.060287</v>
      </c>
      <c r="L1035">
        <v>367.61369999999999</v>
      </c>
      <c r="M1035">
        <v>0.99991300000000005</v>
      </c>
      <c r="N1035">
        <v>-1.261639E-2</v>
      </c>
      <c r="O1035">
        <v>-3.8391969999999999E-3</v>
      </c>
      <c r="P1035">
        <v>0.9778462</v>
      </c>
      <c r="Q1035">
        <v>0.18900620000000001</v>
      </c>
      <c r="R1035">
        <v>8.9964429999999998E-2</v>
      </c>
      <c r="S1035">
        <v>3.077026</v>
      </c>
      <c r="T1035">
        <v>-3.8999680000000002E-2</v>
      </c>
      <c r="U1035">
        <v>-1.3549800000000001E-2</v>
      </c>
      <c r="V1035">
        <v>-9.3710970000000005E-2</v>
      </c>
      <c r="W1035">
        <v>0.2013269</v>
      </c>
      <c r="X1035">
        <v>0.97503110000000004</v>
      </c>
      <c r="Y1035">
        <v>0</v>
      </c>
      <c r="Z1035">
        <v>0</v>
      </c>
      <c r="AA1035">
        <v>1</v>
      </c>
      <c r="AB1035">
        <v>34</v>
      </c>
      <c r="AC1035">
        <v>83.479299999999995</v>
      </c>
      <c r="AD1035">
        <v>-1.060290065022</v>
      </c>
      <c r="AE1035">
        <v>-0.36770000000001302</v>
      </c>
      <c r="AF1035">
        <v>4.7170679280479098E-2</v>
      </c>
      <c r="AG1035">
        <v>-1.060290065022</v>
      </c>
      <c r="AH1035">
        <v>83.466631779502507</v>
      </c>
      <c r="AI1035">
        <v>90.727798251233494</v>
      </c>
      <c r="AJ1035">
        <v>89.967619628416998</v>
      </c>
      <c r="AK1035">
        <v>83.473379353600095</v>
      </c>
      <c r="AL1035">
        <v>78.385436224153807</v>
      </c>
      <c r="AM1035">
        <v>95.489877922478897</v>
      </c>
      <c r="AN1035">
        <v>0.99999995626457905</v>
      </c>
    </row>
    <row r="1036" spans="1:40" x14ac:dyDescent="0.25">
      <c r="A1036" t="str">
        <f>"20190304155033175"</f>
        <v>20190304155033175</v>
      </c>
      <c r="B1036" t="str">
        <f>"1551685833167604"</f>
        <v>1551685833167604</v>
      </c>
      <c r="C1036" t="s">
        <v>40</v>
      </c>
      <c r="D1036">
        <v>5.5363340000000001</v>
      </c>
      <c r="E1036">
        <v>0.53529589999999905</v>
      </c>
      <c r="F1036" t="s">
        <v>50</v>
      </c>
      <c r="G1036">
        <v>-206.16149999999999</v>
      </c>
      <c r="H1036" s="1">
        <v>-4.0172210000000002E-6</v>
      </c>
      <c r="I1036">
        <v>367.26530000000002</v>
      </c>
      <c r="J1036">
        <v>-287.45049999999998</v>
      </c>
      <c r="K1036">
        <v>1.0602860000000001</v>
      </c>
      <c r="L1036">
        <v>367.61290000000002</v>
      </c>
      <c r="M1036">
        <v>0.99991319999999995</v>
      </c>
      <c r="N1036">
        <v>-1.261232E-2</v>
      </c>
      <c r="O1036">
        <v>-3.8395349999999998E-3</v>
      </c>
      <c r="P1036">
        <v>0.97790759999999999</v>
      </c>
      <c r="Q1036">
        <v>0.18867490000000001</v>
      </c>
      <c r="R1036">
        <v>8.9991130000000003E-2</v>
      </c>
      <c r="S1036">
        <v>3.0769039999999999</v>
      </c>
      <c r="T1036">
        <v>-4.003346E-2</v>
      </c>
      <c r="U1036">
        <v>-1.3153079999999999E-2</v>
      </c>
      <c r="V1036">
        <v>-9.3737529999999999E-2</v>
      </c>
      <c r="W1036">
        <v>0.2009929</v>
      </c>
      <c r="X1036">
        <v>0.97509749999999995</v>
      </c>
      <c r="Y1036">
        <v>0</v>
      </c>
      <c r="Z1036">
        <v>0</v>
      </c>
      <c r="AA1036">
        <v>1</v>
      </c>
      <c r="AB1036">
        <v>34</v>
      </c>
      <c r="AC1036">
        <v>81.288999999999902</v>
      </c>
      <c r="AD1036">
        <v>-1.0602900172209999</v>
      </c>
      <c r="AE1036">
        <v>-0.34759999999999902</v>
      </c>
      <c r="AF1036">
        <v>3.5454652431933797E-2</v>
      </c>
      <c r="AG1036">
        <v>-1.0602900172209999</v>
      </c>
      <c r="AH1036">
        <v>81.275908075765301</v>
      </c>
      <c r="AI1036">
        <v>90.7474132589617</v>
      </c>
      <c r="AJ1036">
        <v>89.975006101221197</v>
      </c>
      <c r="AK1036">
        <v>81.282831554352597</v>
      </c>
      <c r="AL1036">
        <v>78.404972907989801</v>
      </c>
      <c r="AM1036">
        <v>95.491052722289396</v>
      </c>
      <c r="AN1036">
        <v>1.00000000244358</v>
      </c>
    </row>
    <row r="1037" spans="1:40" x14ac:dyDescent="0.25">
      <c r="A1037" t="str">
        <f>"20190304155033189"</f>
        <v>20190304155033189</v>
      </c>
      <c r="B1037" t="str">
        <f>"1551685833177364"</f>
        <v>1551685833177364</v>
      </c>
      <c r="C1037" t="s">
        <v>40</v>
      </c>
      <c r="D1037">
        <v>4.7862679999999997</v>
      </c>
      <c r="E1037">
        <v>0.535211199999999</v>
      </c>
      <c r="F1037" t="s">
        <v>50</v>
      </c>
      <c r="G1037">
        <v>-207.70169999999999</v>
      </c>
      <c r="H1037" s="1">
        <v>-4.7318199999999999E-6</v>
      </c>
      <c r="I1037">
        <v>367.27839999999998</v>
      </c>
      <c r="J1037">
        <v>-287.2552</v>
      </c>
      <c r="K1037">
        <v>1.0602830000000001</v>
      </c>
      <c r="L1037">
        <v>367.61219999999997</v>
      </c>
      <c r="M1037">
        <v>0.9999131</v>
      </c>
      <c r="N1037">
        <v>-1.2608060000000001E-2</v>
      </c>
      <c r="O1037">
        <v>-3.83987E-3</v>
      </c>
      <c r="P1037">
        <v>0.97789380000000004</v>
      </c>
      <c r="Q1037">
        <v>0.18864690000000001</v>
      </c>
      <c r="R1037">
        <v>9.0200059999999999E-2</v>
      </c>
      <c r="S1037">
        <v>3.0768740000000001</v>
      </c>
      <c r="T1037">
        <v>-4.0908220000000002E-2</v>
      </c>
      <c r="U1037">
        <v>-1.2908940000000001E-2</v>
      </c>
      <c r="V1037">
        <v>-9.3946450000000001E-2</v>
      </c>
      <c r="W1037">
        <v>0.20096069999999999</v>
      </c>
      <c r="X1037">
        <v>0.97508399999999995</v>
      </c>
      <c r="Y1037">
        <v>0</v>
      </c>
      <c r="Z1037">
        <v>0</v>
      </c>
      <c r="AA1037">
        <v>1</v>
      </c>
      <c r="AB1037">
        <v>34</v>
      </c>
      <c r="AC1037">
        <v>79.5535</v>
      </c>
      <c r="AD1037">
        <v>-1.0602877318199999</v>
      </c>
      <c r="AE1037">
        <v>-0.33379999999999599</v>
      </c>
      <c r="AF1037">
        <v>2.8293119440179201E-2</v>
      </c>
      <c r="AG1037">
        <v>-1.0602877318199999</v>
      </c>
      <c r="AH1037">
        <v>79.540066400438306</v>
      </c>
      <c r="AI1037">
        <v>90.763720890179002</v>
      </c>
      <c r="AJ1037">
        <v>89.979619375012206</v>
      </c>
      <c r="AK1037">
        <v>79.547138060152704</v>
      </c>
      <c r="AL1037">
        <v>78.406855910791705</v>
      </c>
      <c r="AM1037">
        <v>95.503291727415601</v>
      </c>
      <c r="AN1037">
        <v>0.99999997273404495</v>
      </c>
    </row>
    <row r="1038" spans="1:40" x14ac:dyDescent="0.25">
      <c r="A1038" t="str">
        <f>"20190304155033201"</f>
        <v>20190304155033201</v>
      </c>
      <c r="B1038" t="str">
        <f>"1551685833197860"</f>
        <v>1551685833197860</v>
      </c>
      <c r="C1038" t="s">
        <v>40</v>
      </c>
      <c r="D1038">
        <v>5.2418559999999896</v>
      </c>
      <c r="E1038">
        <v>0.53517360000000003</v>
      </c>
      <c r="F1038" t="s">
        <v>50</v>
      </c>
      <c r="G1038">
        <v>-206.9435</v>
      </c>
      <c r="H1038" s="1">
        <v>-4.3722430000000004E-6</v>
      </c>
      <c r="I1038">
        <v>367.30709999999999</v>
      </c>
      <c r="J1038">
        <v>-287.04919999999998</v>
      </c>
      <c r="K1038">
        <v>1.060287</v>
      </c>
      <c r="L1038">
        <v>367.6114</v>
      </c>
      <c r="M1038">
        <v>0.9999133</v>
      </c>
      <c r="N1038">
        <v>-1.260356E-2</v>
      </c>
      <c r="O1038">
        <v>-3.8398439999999998E-3</v>
      </c>
      <c r="P1038">
        <v>0.97792389999999996</v>
      </c>
      <c r="Q1038">
        <v>0.18854589999999999</v>
      </c>
      <c r="R1038">
        <v>9.0085020000000002E-2</v>
      </c>
      <c r="S1038">
        <v>3.076721</v>
      </c>
      <c r="T1038">
        <v>-4.0619370000000002E-2</v>
      </c>
      <c r="U1038">
        <v>-1.1688230000000001E-2</v>
      </c>
      <c r="V1038">
        <v>-9.3831819999999996E-2</v>
      </c>
      <c r="W1038">
        <v>0.20085510000000001</v>
      </c>
      <c r="X1038">
        <v>0.97511680000000001</v>
      </c>
      <c r="Y1038">
        <v>0</v>
      </c>
      <c r="Z1038">
        <v>0</v>
      </c>
      <c r="AA1038">
        <v>1</v>
      </c>
      <c r="AB1038">
        <v>34</v>
      </c>
      <c r="AC1038">
        <v>80.105699999999899</v>
      </c>
      <c r="AD1038">
        <v>-1.0602913722430001</v>
      </c>
      <c r="AE1038">
        <v>-0.30430000000001101</v>
      </c>
      <c r="AF1038">
        <v>-3.3194561437566101E-3</v>
      </c>
      <c r="AG1038">
        <v>-1.0602913722430001</v>
      </c>
      <c r="AH1038">
        <v>80.092246285774607</v>
      </c>
      <c r="AI1038">
        <v>90.758458838433299</v>
      </c>
      <c r="AJ1038">
        <v>90.002374647185306</v>
      </c>
      <c r="AK1038">
        <v>80.099264315685303</v>
      </c>
      <c r="AL1038">
        <v>78.413032338282704</v>
      </c>
      <c r="AM1038">
        <v>95.496434204874106</v>
      </c>
      <c r="AN1038">
        <v>0.99999997764138104</v>
      </c>
    </row>
    <row r="1039" spans="1:40" x14ac:dyDescent="0.25">
      <c r="A1039" t="str">
        <f>"20190304155033217"</f>
        <v>20190304155033217</v>
      </c>
      <c r="B1039" t="str">
        <f>"1551685833207620"</f>
        <v>1551685833207620</v>
      </c>
      <c r="C1039" t="s">
        <v>40</v>
      </c>
      <c r="D1039">
        <v>5.4597670000000003</v>
      </c>
      <c r="E1039">
        <v>0.53513299999999997</v>
      </c>
      <c r="F1039" t="s">
        <v>50</v>
      </c>
      <c r="G1039">
        <v>-206.42750000000001</v>
      </c>
      <c r="H1039" s="1">
        <v>-4.1321309999999996E-6</v>
      </c>
      <c r="I1039">
        <v>367.30590000000001</v>
      </c>
      <c r="J1039">
        <v>-286.82080000000002</v>
      </c>
      <c r="K1039">
        <v>1.0602860000000001</v>
      </c>
      <c r="L1039">
        <v>367.6105</v>
      </c>
      <c r="M1039">
        <v>0.9999133</v>
      </c>
      <c r="N1039">
        <v>-1.2596670000000001E-2</v>
      </c>
      <c r="O1039">
        <v>-3.8398009999999999E-3</v>
      </c>
      <c r="P1039">
        <v>0.97799919999999996</v>
      </c>
      <c r="Q1039">
        <v>0.188334</v>
      </c>
      <c r="R1039">
        <v>8.9710440000000002E-2</v>
      </c>
      <c r="S1039">
        <v>3.0765989999999999</v>
      </c>
      <c r="T1039">
        <v>-4.0461660000000003E-2</v>
      </c>
      <c r="U1039">
        <v>-1.165771E-2</v>
      </c>
      <c r="V1039">
        <v>-9.3457589999999993E-2</v>
      </c>
      <c r="W1039">
        <v>0.20063839999999999</v>
      </c>
      <c r="X1039">
        <v>0.97519739999999999</v>
      </c>
      <c r="Y1039">
        <v>0</v>
      </c>
      <c r="Z1039">
        <v>0</v>
      </c>
      <c r="AA1039">
        <v>1</v>
      </c>
      <c r="AB1039">
        <v>34</v>
      </c>
      <c r="AC1039">
        <v>80.393299999999996</v>
      </c>
      <c r="AD1039">
        <v>-1.0602901321310001</v>
      </c>
      <c r="AE1039">
        <v>-0.30459999999999299</v>
      </c>
      <c r="AF1039">
        <v>-4.1202927717053899E-3</v>
      </c>
      <c r="AG1039">
        <v>-1.0602901321310001</v>
      </c>
      <c r="AH1039">
        <v>80.379895528993799</v>
      </c>
      <c r="AI1039">
        <v>90.755744032346598</v>
      </c>
      <c r="AJ1039">
        <v>90.002936995431696</v>
      </c>
      <c r="AK1039">
        <v>80.386888466920198</v>
      </c>
      <c r="AL1039">
        <v>78.4257069370408</v>
      </c>
      <c r="AM1039">
        <v>95.474196461591106</v>
      </c>
      <c r="AN1039">
        <v>1.00000002882496</v>
      </c>
    </row>
    <row r="1040" spans="1:40" x14ac:dyDescent="0.25">
      <c r="A1040" t="str">
        <f>"20190304155033229"</f>
        <v>20190304155033229</v>
      </c>
      <c r="B1040" t="str">
        <f>"1551685833217381"</f>
        <v>1551685833217381</v>
      </c>
      <c r="C1040" t="s">
        <v>40</v>
      </c>
      <c r="D1040">
        <v>5.1834989999999896</v>
      </c>
      <c r="E1040">
        <v>0.53513199999999905</v>
      </c>
      <c r="F1040" t="s">
        <v>50</v>
      </c>
      <c r="G1040">
        <v>-205.56700000000001</v>
      </c>
      <c r="H1040" s="1">
        <v>-3.7391950000000002E-6</v>
      </c>
      <c r="I1040">
        <v>367.2704</v>
      </c>
      <c r="J1040">
        <v>-286.64600000000002</v>
      </c>
      <c r="K1040">
        <v>1.0602799999999999</v>
      </c>
      <c r="L1040">
        <v>367.60989999999998</v>
      </c>
      <c r="M1040">
        <v>0.99991350000000001</v>
      </c>
      <c r="N1040">
        <v>-1.259036E-2</v>
      </c>
      <c r="O1040">
        <v>-3.8398799999999999E-3</v>
      </c>
      <c r="P1040">
        <v>0.97801519999999997</v>
      </c>
      <c r="Q1040">
        <v>0.18832650000000001</v>
      </c>
      <c r="R1040">
        <v>8.9553339999999995E-2</v>
      </c>
      <c r="S1040">
        <v>3.0763850000000001</v>
      </c>
      <c r="T1040">
        <v>-4.014409E-2</v>
      </c>
      <c r="U1040">
        <v>-1.287842E-2</v>
      </c>
      <c r="V1040">
        <v>-9.3300649999999999E-2</v>
      </c>
      <c r="W1040">
        <v>0.20062479999999999</v>
      </c>
      <c r="X1040">
        <v>0.97521519999999995</v>
      </c>
      <c r="Y1040">
        <v>0</v>
      </c>
      <c r="Z1040">
        <v>0</v>
      </c>
      <c r="AA1040">
        <v>1</v>
      </c>
      <c r="AB1040">
        <v>34</v>
      </c>
      <c r="AC1040">
        <v>81.078999999999894</v>
      </c>
      <c r="AD1040">
        <v>-1.060283739195</v>
      </c>
      <c r="AE1040">
        <v>-0.33949999999998598</v>
      </c>
      <c r="AF1040">
        <v>2.81344180560518E-2</v>
      </c>
      <c r="AG1040">
        <v>-1.060283739195</v>
      </c>
      <c r="AH1040">
        <v>81.065842887770799</v>
      </c>
      <c r="AI1040">
        <v>90.7493453933768</v>
      </c>
      <c r="AJ1040">
        <v>89.980115134913405</v>
      </c>
      <c r="AK1040">
        <v>81.072781352669907</v>
      </c>
      <c r="AL1040">
        <v>78.426502041165193</v>
      </c>
      <c r="AM1040">
        <v>95.464960393257201</v>
      </c>
      <c r="AN1040">
        <v>1.00000000398825</v>
      </c>
    </row>
    <row r="1041" spans="1:40" x14ac:dyDescent="0.25">
      <c r="A1041" t="str">
        <f>"20190304155033239"</f>
        <v>20190304155033239</v>
      </c>
      <c r="B1041" t="str">
        <f>"1551685833227140"</f>
        <v>1551685833227140</v>
      </c>
      <c r="C1041" t="s">
        <v>40</v>
      </c>
      <c r="D1041">
        <v>5.0921789999999998</v>
      </c>
      <c r="E1041">
        <v>0.53516940000000002</v>
      </c>
      <c r="F1041" t="s">
        <v>50</v>
      </c>
      <c r="G1041">
        <v>-205.70480000000001</v>
      </c>
      <c r="H1041" s="1">
        <v>-3.8046399999999998E-6</v>
      </c>
      <c r="I1041">
        <v>367.26459999999997</v>
      </c>
      <c r="J1041">
        <v>-286.47410000000002</v>
      </c>
      <c r="K1041">
        <v>1.0602769999999999</v>
      </c>
      <c r="L1041">
        <v>367.60919999999999</v>
      </c>
      <c r="M1041">
        <v>0.99991359999999996</v>
      </c>
      <c r="N1041">
        <v>-1.258256E-2</v>
      </c>
      <c r="O1041">
        <v>-3.8398289999999999E-3</v>
      </c>
      <c r="P1041">
        <v>0.97797109999999998</v>
      </c>
      <c r="Q1041">
        <v>0.1885886</v>
      </c>
      <c r="R1041">
        <v>8.9482709999999993E-2</v>
      </c>
      <c r="S1041">
        <v>3.076355</v>
      </c>
      <c r="T1041">
        <v>-4.0298460000000001E-2</v>
      </c>
      <c r="U1041">
        <v>-1.312256E-2</v>
      </c>
      <c r="V1041">
        <v>-9.3229699999999999E-2</v>
      </c>
      <c r="W1041">
        <v>0.2008781</v>
      </c>
      <c r="X1041">
        <v>0.97516979999999998</v>
      </c>
      <c r="Y1041">
        <v>0</v>
      </c>
      <c r="Z1041">
        <v>0</v>
      </c>
      <c r="AA1041">
        <v>1</v>
      </c>
      <c r="AB1041">
        <v>34</v>
      </c>
      <c r="AC1041">
        <v>80.769300000000001</v>
      </c>
      <c r="AD1041">
        <v>-1.0602808046400001</v>
      </c>
      <c r="AE1041">
        <v>-0.34460000000001401</v>
      </c>
      <c r="AF1041">
        <v>3.4426714740072001E-2</v>
      </c>
      <c r="AG1041">
        <v>-1.0602808046400001</v>
      </c>
      <c r="AH1041">
        <v>80.756111698867301</v>
      </c>
      <c r="AI1041">
        <v>90.752216990917802</v>
      </c>
      <c r="AJ1041">
        <v>89.975574537999407</v>
      </c>
      <c r="AK1041">
        <v>80.763079171755805</v>
      </c>
      <c r="AL1041">
        <v>78.411686950846999</v>
      </c>
      <c r="AM1041">
        <v>95.461082420639897</v>
      </c>
      <c r="AN1041">
        <v>0.99999996342686903</v>
      </c>
    </row>
    <row r="1042" spans="1:40" x14ac:dyDescent="0.25">
      <c r="A1042" t="str">
        <f>"20190304155033251"</f>
        <v>20190304155033251</v>
      </c>
      <c r="B1042" t="str">
        <f>"1551685833247636"</f>
        <v>1551685833247636</v>
      </c>
      <c r="C1042" t="s">
        <v>40</v>
      </c>
      <c r="D1042">
        <v>5.0909639999999996</v>
      </c>
      <c r="E1042">
        <v>0.53524169999999904</v>
      </c>
      <c r="F1042" t="s">
        <v>50</v>
      </c>
      <c r="G1042">
        <v>-203.77340000000001</v>
      </c>
      <c r="H1042" s="1">
        <v>-2.8617059999999998E-6</v>
      </c>
      <c r="I1042">
        <v>367.23509999999999</v>
      </c>
      <c r="J1042">
        <v>-286.303</v>
      </c>
      <c r="K1042">
        <v>1.0602769999999999</v>
      </c>
      <c r="L1042">
        <v>367.60849999999999</v>
      </c>
      <c r="M1042">
        <v>0.99991359999999996</v>
      </c>
      <c r="N1042">
        <v>-1.257466E-2</v>
      </c>
      <c r="O1042">
        <v>-3.8397790000000002E-3</v>
      </c>
      <c r="P1042">
        <v>0.97801539999999998</v>
      </c>
      <c r="Q1042">
        <v>0.18842349999999999</v>
      </c>
      <c r="R1042">
        <v>8.9346369999999994E-2</v>
      </c>
      <c r="S1042">
        <v>3.0764770000000001</v>
      </c>
      <c r="T1042">
        <v>-3.9442539999999998E-2</v>
      </c>
      <c r="U1042">
        <v>-1.3916019999999999E-2</v>
      </c>
      <c r="V1042">
        <v>-9.3093540000000002E-2</v>
      </c>
      <c r="W1042">
        <v>0.2007061</v>
      </c>
      <c r="X1042">
        <v>0.97521820000000004</v>
      </c>
      <c r="Y1042">
        <v>0</v>
      </c>
      <c r="Z1042">
        <v>0</v>
      </c>
      <c r="AA1042">
        <v>1</v>
      </c>
      <c r="AB1042">
        <v>34</v>
      </c>
      <c r="AC1042">
        <v>82.529599999999903</v>
      </c>
      <c r="AD1042">
        <v>-1.0602798617059901</v>
      </c>
      <c r="AE1042">
        <v>-0.37340000000000301</v>
      </c>
      <c r="AF1042">
        <v>5.6467456604558403E-2</v>
      </c>
      <c r="AG1042">
        <v>-1.0602798617059901</v>
      </c>
      <c r="AH1042">
        <v>82.516806075455094</v>
      </c>
      <c r="AI1042">
        <v>90.736167659121094</v>
      </c>
      <c r="AJ1042">
        <v>89.960791666665997</v>
      </c>
      <c r="AK1042">
        <v>82.523637019056906</v>
      </c>
      <c r="AL1042">
        <v>78.421746448306095</v>
      </c>
      <c r="AM1042">
        <v>95.452885730034097</v>
      </c>
      <c r="AN1042">
        <v>0.99999994168908901</v>
      </c>
    </row>
    <row r="1043" spans="1:40" x14ac:dyDescent="0.25">
      <c r="A1043" t="str">
        <f>"20190304155033262"</f>
        <v>20190304155033262</v>
      </c>
      <c r="B1043" t="str">
        <f>"1551685833257397"</f>
        <v>1551685833257397</v>
      </c>
      <c r="C1043" t="s">
        <v>40</v>
      </c>
      <c r="D1043">
        <v>4.9580650000000004</v>
      </c>
      <c r="E1043">
        <v>0.53525489999999998</v>
      </c>
      <c r="F1043" t="s">
        <v>50</v>
      </c>
      <c r="G1043">
        <v>-203.36179999999999</v>
      </c>
      <c r="H1043" s="1">
        <v>-2.627561E-6</v>
      </c>
      <c r="I1043">
        <v>367.19959999999998</v>
      </c>
      <c r="J1043">
        <v>-286.1266</v>
      </c>
      <c r="K1043">
        <v>1.0602799999999999</v>
      </c>
      <c r="L1043">
        <v>367.6078</v>
      </c>
      <c r="M1043">
        <v>0.99991379999999996</v>
      </c>
      <c r="N1043">
        <v>-1.256617E-2</v>
      </c>
      <c r="O1043">
        <v>-3.8398429999999999E-3</v>
      </c>
      <c r="P1043">
        <v>0.97804340000000001</v>
      </c>
      <c r="Q1043">
        <v>0.18834429999999999</v>
      </c>
      <c r="R1043">
        <v>8.9206140000000003E-2</v>
      </c>
      <c r="S1043">
        <v>3.0763850000000001</v>
      </c>
      <c r="T1043">
        <v>-3.9327029999999999E-2</v>
      </c>
      <c r="U1043">
        <v>-1.516724E-2</v>
      </c>
      <c r="V1043">
        <v>-9.295341E-2</v>
      </c>
      <c r="W1043">
        <v>0.20061880000000001</v>
      </c>
      <c r="X1043">
        <v>0.97524960000000005</v>
      </c>
      <c r="Y1043">
        <v>0</v>
      </c>
      <c r="Z1043">
        <v>0</v>
      </c>
      <c r="AA1043">
        <v>1</v>
      </c>
      <c r="AB1043">
        <v>34</v>
      </c>
      <c r="AC1043">
        <v>82.764799999999994</v>
      </c>
      <c r="AD1043">
        <v>-1.06028262756099</v>
      </c>
      <c r="AE1043">
        <v>-0.40820000000002199</v>
      </c>
      <c r="AF1043">
        <v>9.0353270605547403E-2</v>
      </c>
      <c r="AG1043">
        <v>-1.06028262756099</v>
      </c>
      <c r="AH1043">
        <v>82.752176632580998</v>
      </c>
      <c r="AI1043">
        <v>90.734075668929407</v>
      </c>
      <c r="AJ1043">
        <v>89.9374414157503</v>
      </c>
      <c r="AK1043">
        <v>82.759018242084693</v>
      </c>
      <c r="AL1043">
        <v>78.426853030437996</v>
      </c>
      <c r="AM1043">
        <v>95.444552830438298</v>
      </c>
      <c r="AN1043">
        <v>1.0000000108221101</v>
      </c>
    </row>
    <row r="1044" spans="1:40" x14ac:dyDescent="0.25">
      <c r="A1044" t="str">
        <f>"20190304155033273"</f>
        <v>20190304155033273</v>
      </c>
      <c r="B1044" t="str">
        <f>"1551685833267156"</f>
        <v>1551685833267156</v>
      </c>
      <c r="C1044" t="s">
        <v>40</v>
      </c>
      <c r="D1044">
        <v>4.9411310000000004</v>
      </c>
      <c r="E1044">
        <v>0.53525219999999996</v>
      </c>
      <c r="F1044" t="s">
        <v>50</v>
      </c>
      <c r="G1044">
        <v>-203.0478</v>
      </c>
      <c r="H1044" s="1">
        <v>-2.4455199999999998E-6</v>
      </c>
      <c r="I1044">
        <v>367.18509999999998</v>
      </c>
      <c r="J1044">
        <v>-285.96910000000003</v>
      </c>
      <c r="K1044">
        <v>1.060279</v>
      </c>
      <c r="L1044">
        <v>367.60730000000001</v>
      </c>
      <c r="M1044">
        <v>0.99991379999999996</v>
      </c>
      <c r="N1044">
        <v>-1.255876E-2</v>
      </c>
      <c r="O1044">
        <v>-3.8397959999999999E-3</v>
      </c>
      <c r="P1044">
        <v>0.97804270000000004</v>
      </c>
      <c r="Q1044">
        <v>0.18838099999999999</v>
      </c>
      <c r="R1044">
        <v>8.9135210000000006E-2</v>
      </c>
      <c r="S1044">
        <v>3.076355</v>
      </c>
      <c r="T1044">
        <v>-3.9261579999999997E-2</v>
      </c>
      <c r="U1044">
        <v>-1.5655519999999999E-2</v>
      </c>
      <c r="V1044">
        <v>-9.2882610000000004E-2</v>
      </c>
      <c r="W1044">
        <v>0.2006482</v>
      </c>
      <c r="X1044">
        <v>0.97525030000000001</v>
      </c>
      <c r="Y1044">
        <v>0</v>
      </c>
      <c r="Z1044">
        <v>0</v>
      </c>
      <c r="AA1044">
        <v>1</v>
      </c>
      <c r="AB1044">
        <v>34</v>
      </c>
      <c r="AC1044">
        <v>82.921300000000002</v>
      </c>
      <c r="AD1044">
        <v>-1.06028144552</v>
      </c>
      <c r="AE1044">
        <v>-0.42220000000003199</v>
      </c>
      <c r="AF1044">
        <v>0.103753947261417</v>
      </c>
      <c r="AG1044">
        <v>-1.06028144552</v>
      </c>
      <c r="AH1044">
        <v>82.908754902213602</v>
      </c>
      <c r="AI1044">
        <v>90.732688519567503</v>
      </c>
      <c r="AJ1044">
        <v>89.928298764229595</v>
      </c>
      <c r="AK1044">
        <v>82.915599262506802</v>
      </c>
      <c r="AL1044">
        <v>78.425133603443598</v>
      </c>
      <c r="AM1044">
        <v>95.440426876963897</v>
      </c>
      <c r="AN1044">
        <v>1.0000000135268701</v>
      </c>
    </row>
    <row r="1045" spans="1:40" x14ac:dyDescent="0.25">
      <c r="A1045" t="str">
        <f>"20190304155033285"</f>
        <v>20190304155033285</v>
      </c>
      <c r="B1045" t="str">
        <f>"1551685833277893"</f>
        <v>1551685833277893</v>
      </c>
      <c r="C1045" t="s">
        <v>40</v>
      </c>
      <c r="D1045">
        <v>4.9936749999999996</v>
      </c>
      <c r="E1045">
        <v>0.53529919999999998</v>
      </c>
      <c r="F1045" t="s">
        <v>50</v>
      </c>
      <c r="G1045">
        <v>-201.9213</v>
      </c>
      <c r="H1045" s="1">
        <v>-1.7799840000000001E-6</v>
      </c>
      <c r="I1045">
        <v>367.18040000000002</v>
      </c>
      <c r="J1045">
        <v>-285.77980000000002</v>
      </c>
      <c r="K1045">
        <v>1.0602769999999999</v>
      </c>
      <c r="L1045">
        <v>367.60649999999998</v>
      </c>
      <c r="M1045">
        <v>0.99991399999999997</v>
      </c>
      <c r="N1045">
        <v>-1.255004E-2</v>
      </c>
      <c r="O1045">
        <v>-3.8399789999999999E-3</v>
      </c>
      <c r="P1045">
        <v>0.97804570000000002</v>
      </c>
      <c r="Q1045">
        <v>0.18836339999999999</v>
      </c>
      <c r="R1045">
        <v>8.9141559999999995E-2</v>
      </c>
      <c r="S1045">
        <v>3.0762939999999999</v>
      </c>
      <c r="T1045">
        <v>-3.880811E-2</v>
      </c>
      <c r="U1045">
        <v>-1.5625E-2</v>
      </c>
      <c r="V1045">
        <v>-9.2889639999999996E-2</v>
      </c>
      <c r="W1045">
        <v>0.2006221</v>
      </c>
      <c r="X1045">
        <v>0.97525499999999998</v>
      </c>
      <c r="Y1045">
        <v>0</v>
      </c>
      <c r="Z1045">
        <v>0</v>
      </c>
      <c r="AA1045">
        <v>1</v>
      </c>
      <c r="AB1045">
        <v>34</v>
      </c>
      <c r="AC1045">
        <v>83.858500000000006</v>
      </c>
      <c r="AD1045">
        <v>-1.0602787799840001</v>
      </c>
      <c r="AE1045">
        <v>-0.42609999999996201</v>
      </c>
      <c r="AF1045">
        <v>0.104040026412575</v>
      </c>
      <c r="AG1045">
        <v>-1.0602787799840001</v>
      </c>
      <c r="AH1045">
        <v>83.846114495358293</v>
      </c>
      <c r="AI1045">
        <v>90.724496477572799</v>
      </c>
      <c r="AJ1045">
        <v>89.928904858736104</v>
      </c>
      <c r="AK1045">
        <v>83.852882665935297</v>
      </c>
      <c r="AL1045">
        <v>78.426660063397605</v>
      </c>
      <c r="AM1045">
        <v>95.440810111912398</v>
      </c>
      <c r="AN1045">
        <v>1.00000001362636</v>
      </c>
    </row>
    <row r="1046" spans="1:40" x14ac:dyDescent="0.25">
      <c r="A1046" t="str">
        <f>"20190304155033299"</f>
        <v>20190304155033299</v>
      </c>
      <c r="B1046" t="str">
        <f>"1551685833287722"</f>
        <v>1551685833287722</v>
      </c>
      <c r="C1046" t="s">
        <v>40</v>
      </c>
      <c r="D1046">
        <v>5.0364370000000003</v>
      </c>
      <c r="E1046">
        <v>0.53535710000000003</v>
      </c>
      <c r="F1046" t="s">
        <v>50</v>
      </c>
      <c r="G1046">
        <v>-201.85249999999999</v>
      </c>
      <c r="H1046" s="1">
        <v>-1.74039E-6</v>
      </c>
      <c r="I1046">
        <v>367.17610000000002</v>
      </c>
      <c r="J1046">
        <v>-285.58370000000002</v>
      </c>
      <c r="K1046">
        <v>1.0602750000000001</v>
      </c>
      <c r="L1046">
        <v>367.60579999999999</v>
      </c>
      <c r="M1046">
        <v>0.99991410000000003</v>
      </c>
      <c r="N1046">
        <v>-1.2541480000000001E-2</v>
      </c>
      <c r="O1046">
        <v>-3.8399250000000001E-3</v>
      </c>
      <c r="P1046">
        <v>0.97810929999999996</v>
      </c>
      <c r="Q1046">
        <v>0.18809129999999999</v>
      </c>
      <c r="R1046">
        <v>8.9017959999999993E-2</v>
      </c>
      <c r="S1046">
        <v>3.076263</v>
      </c>
      <c r="T1046">
        <v>-3.8863300000000003E-2</v>
      </c>
      <c r="U1046">
        <v>-1.5777590000000001E-2</v>
      </c>
      <c r="V1046">
        <v>-9.2766230000000005E-2</v>
      </c>
      <c r="W1046">
        <v>0.2003422</v>
      </c>
      <c r="X1046">
        <v>0.97532430000000003</v>
      </c>
      <c r="Y1046">
        <v>0</v>
      </c>
      <c r="Z1046">
        <v>0</v>
      </c>
      <c r="AA1046">
        <v>1</v>
      </c>
      <c r="AB1046">
        <v>34</v>
      </c>
      <c r="AC1046">
        <v>83.731200000000001</v>
      </c>
      <c r="AD1046">
        <v>-1.06027674039</v>
      </c>
      <c r="AE1046">
        <v>-0.429699999999968</v>
      </c>
      <c r="AF1046">
        <v>0.10813271487689601</v>
      </c>
      <c r="AG1046">
        <v>-1.06027674039</v>
      </c>
      <c r="AH1046">
        <v>83.718808937820995</v>
      </c>
      <c r="AI1046">
        <v>90.725596610617004</v>
      </c>
      <c r="AJ1046">
        <v>89.925995784901204</v>
      </c>
      <c r="AK1046">
        <v>83.7255925593699</v>
      </c>
      <c r="AL1046">
        <v>78.4430296906054</v>
      </c>
      <c r="AM1046">
        <v>95.433241161757394</v>
      </c>
      <c r="AN1046">
        <v>1.00000003034987</v>
      </c>
    </row>
    <row r="1047" spans="1:40" x14ac:dyDescent="0.25">
      <c r="A1047" t="str">
        <f>"20190304155033314"</f>
        <v>20190304155033314</v>
      </c>
      <c r="B1047" t="str">
        <f>"1551685833307173"</f>
        <v>1551685833307173</v>
      </c>
      <c r="C1047" t="s">
        <v>40</v>
      </c>
      <c r="D1047">
        <v>4.7812349999999997</v>
      </c>
      <c r="E1047">
        <v>0.53538629999999998</v>
      </c>
      <c r="F1047" t="s">
        <v>50</v>
      </c>
      <c r="G1047">
        <v>-203.1748</v>
      </c>
      <c r="H1047" s="1">
        <v>-2.5288240000000001E-6</v>
      </c>
      <c r="I1047">
        <v>367.15449999999998</v>
      </c>
      <c r="J1047">
        <v>-285.35570000000001</v>
      </c>
      <c r="K1047">
        <v>1.0602739999999999</v>
      </c>
      <c r="L1047">
        <v>367.60489999999999</v>
      </c>
      <c r="M1047">
        <v>0.99991410000000003</v>
      </c>
      <c r="N1047">
        <v>-1.2531860000000001E-2</v>
      </c>
      <c r="O1047">
        <v>-3.8396260000000001E-3</v>
      </c>
      <c r="P1047">
        <v>0.97811060000000005</v>
      </c>
      <c r="Q1047">
        <v>0.18815029999999999</v>
      </c>
      <c r="R1047">
        <v>8.8879130000000001E-2</v>
      </c>
      <c r="S1047">
        <v>3.0762939999999999</v>
      </c>
      <c r="T1047">
        <v>-3.9579749999999997E-2</v>
      </c>
      <c r="U1047">
        <v>-1.6845699999999901E-2</v>
      </c>
      <c r="V1047">
        <v>-9.2626669999999994E-2</v>
      </c>
      <c r="W1047">
        <v>0.2003926</v>
      </c>
      <c r="X1047">
        <v>0.97532719999999995</v>
      </c>
      <c r="Y1047">
        <v>1.6357139999999999E-3</v>
      </c>
      <c r="Z1047" s="1">
        <v>-1.9493820000000001E-5</v>
      </c>
      <c r="AA1047">
        <v>0.99999870000000002</v>
      </c>
      <c r="AB1047">
        <v>34</v>
      </c>
      <c r="AC1047">
        <v>82.180899999999994</v>
      </c>
      <c r="AD1047">
        <v>-1.0602765288239999</v>
      </c>
      <c r="AE1047">
        <v>-0.45040000000000102</v>
      </c>
      <c r="AF1047">
        <v>0.13480553970734199</v>
      </c>
      <c r="AG1047">
        <v>-1.0602765288239999</v>
      </c>
      <c r="AH1047">
        <v>82.168346709902494</v>
      </c>
      <c r="AI1047">
        <v>90.739286106382593</v>
      </c>
      <c r="AJ1047">
        <v>89.906000523805304</v>
      </c>
      <c r="AK1047">
        <v>82.175297747497495</v>
      </c>
      <c r="AL1047">
        <v>78.440082096647103</v>
      </c>
      <c r="AM1047">
        <v>95.425100017852102</v>
      </c>
      <c r="AN1047">
        <v>1.00000002059494</v>
      </c>
    </row>
    <row r="1048" spans="1:40" x14ac:dyDescent="0.25">
      <c r="A1048" t="str">
        <f>"20190304155033329"</f>
        <v>20190304155033329</v>
      </c>
      <c r="B1048" t="str">
        <f>"1551685833317908"</f>
        <v>1551685833317908</v>
      </c>
      <c r="C1048" t="s">
        <v>40</v>
      </c>
      <c r="D1048">
        <v>4.999994</v>
      </c>
      <c r="E1048">
        <v>0.53543379999999996</v>
      </c>
      <c r="F1048" t="s">
        <v>50</v>
      </c>
      <c r="G1048">
        <v>-202.92269999999999</v>
      </c>
      <c r="H1048" s="1">
        <v>-2.3812129999999999E-6</v>
      </c>
      <c r="I1048">
        <v>367.14859999999999</v>
      </c>
      <c r="J1048">
        <v>-285.13069999999999</v>
      </c>
      <c r="K1048">
        <v>1.0602750000000001</v>
      </c>
      <c r="L1048">
        <v>367.60399999999998</v>
      </c>
      <c r="M1048">
        <v>0.99991430000000003</v>
      </c>
      <c r="N1048">
        <v>-1.2522790000000001E-2</v>
      </c>
      <c r="O1048">
        <v>-3.8395690000000001E-3</v>
      </c>
      <c r="P1048">
        <v>0.9781128</v>
      </c>
      <c r="Q1048">
        <v>0.18803410000000001</v>
      </c>
      <c r="R1048">
        <v>8.909984E-2</v>
      </c>
      <c r="S1048">
        <v>3.0762939999999999</v>
      </c>
      <c r="T1048">
        <v>-3.9568190000000003E-2</v>
      </c>
      <c r="U1048">
        <v>-1.7028809999999998E-2</v>
      </c>
      <c r="V1048">
        <v>-9.2847700000000005E-2</v>
      </c>
      <c r="W1048">
        <v>0.200267</v>
      </c>
      <c r="X1048">
        <v>0.97533199999999998</v>
      </c>
      <c r="Y1048">
        <v>1.695282E-3</v>
      </c>
      <c r="Z1048" s="1">
        <v>-2.0219060000000002E-5</v>
      </c>
      <c r="AA1048">
        <v>0.99999859999999896</v>
      </c>
      <c r="AB1048">
        <v>34</v>
      </c>
      <c r="AC1048">
        <v>82.207999999999998</v>
      </c>
      <c r="AD1048">
        <v>-1.060277381213</v>
      </c>
      <c r="AE1048">
        <v>-0.45540000000005398</v>
      </c>
      <c r="AF1048">
        <v>0.13970538992946799</v>
      </c>
      <c r="AG1048">
        <v>-1.060277381213</v>
      </c>
      <c r="AH1048">
        <v>82.195470192601206</v>
      </c>
      <c r="AI1048">
        <v>90.739042699396407</v>
      </c>
      <c r="AJ1048">
        <v>89.902616026267793</v>
      </c>
      <c r="AK1048">
        <v>82.202427129032401</v>
      </c>
      <c r="AL1048">
        <v>78.447427554637898</v>
      </c>
      <c r="AM1048">
        <v>95.4379415265673</v>
      </c>
      <c r="AN1048">
        <v>1.0000000384541401</v>
      </c>
    </row>
    <row r="1049" spans="1:40" x14ac:dyDescent="0.25">
      <c r="A1049" t="str">
        <f>"20190304155033343"</f>
        <v>20190304155033343</v>
      </c>
      <c r="B1049" t="str">
        <f>"1551685833337428"</f>
        <v>1551685833337428</v>
      </c>
      <c r="C1049" t="s">
        <v>40</v>
      </c>
      <c r="D1049">
        <v>5.0711269999999997</v>
      </c>
      <c r="E1049">
        <v>0.53548769999999901</v>
      </c>
      <c r="F1049" t="s">
        <v>50</v>
      </c>
      <c r="G1049">
        <v>-202.95750000000001</v>
      </c>
      <c r="H1049" s="1">
        <v>-2.4027349999999998E-6</v>
      </c>
      <c r="I1049">
        <v>367.14510000000001</v>
      </c>
      <c r="J1049">
        <v>-284.91879999999998</v>
      </c>
      <c r="K1049">
        <v>1.0602739999999999</v>
      </c>
      <c r="L1049">
        <v>367.60320000000002</v>
      </c>
      <c r="M1049">
        <v>0.99991450000000004</v>
      </c>
      <c r="N1049">
        <v>-1.2514829999999999E-2</v>
      </c>
      <c r="O1049">
        <v>-3.8394000000000002E-3</v>
      </c>
      <c r="P1049">
        <v>0.97816709999999996</v>
      </c>
      <c r="Q1049">
        <v>0.18770110000000001</v>
      </c>
      <c r="R1049">
        <v>8.9208250000000003E-2</v>
      </c>
      <c r="S1049">
        <v>3.076355</v>
      </c>
      <c r="T1049">
        <v>-3.9694069999999998E-2</v>
      </c>
      <c r="U1049">
        <v>-1.7181399999999999E-2</v>
      </c>
      <c r="V1049">
        <v>-9.2956129999999998E-2</v>
      </c>
      <c r="W1049">
        <v>0.19992689999999999</v>
      </c>
      <c r="X1049">
        <v>0.97539140000000002</v>
      </c>
      <c r="Y1049">
        <v>1.744932E-3</v>
      </c>
      <c r="Z1049" s="1">
        <v>-2.069116E-5</v>
      </c>
      <c r="AA1049">
        <v>0.99999850000000001</v>
      </c>
      <c r="AB1049">
        <v>34</v>
      </c>
      <c r="AC1049">
        <v>81.961299999999895</v>
      </c>
      <c r="AD1049">
        <v>-1.060276402735</v>
      </c>
      <c r="AE1049">
        <v>-0.45810000000000101</v>
      </c>
      <c r="AF1049">
        <v>0.143365828884368</v>
      </c>
      <c r="AG1049">
        <v>-1.060276402735</v>
      </c>
      <c r="AH1049">
        <v>81.948741245280999</v>
      </c>
      <c r="AI1049">
        <v>90.741266792658806</v>
      </c>
      <c r="AJ1049">
        <v>89.8997635788362</v>
      </c>
      <c r="AK1049">
        <v>81.955725434511905</v>
      </c>
      <c r="AL1049">
        <v>78.467315567650402</v>
      </c>
      <c r="AM1049">
        <v>95.443924408308405</v>
      </c>
      <c r="AN1049">
        <v>0.99999999532107298</v>
      </c>
    </row>
    <row r="1050" spans="1:40" x14ac:dyDescent="0.25">
      <c r="A1050" t="str">
        <f>"20190304155033354"</f>
        <v>20190304155033354</v>
      </c>
      <c r="B1050" t="str">
        <f>"1551685833347188"</f>
        <v>1551685833347188</v>
      </c>
      <c r="C1050" t="s">
        <v>40</v>
      </c>
      <c r="D1050">
        <v>5.0695949999999996</v>
      </c>
      <c r="E1050">
        <v>0.53548629999999997</v>
      </c>
      <c r="F1050" t="s">
        <v>50</v>
      </c>
      <c r="G1050">
        <v>-204.77330000000001</v>
      </c>
      <c r="H1050" s="1">
        <v>-3.3874899999999999E-6</v>
      </c>
      <c r="I1050">
        <v>367.1508</v>
      </c>
      <c r="J1050">
        <v>-284.73599999999999</v>
      </c>
      <c r="K1050">
        <v>1.060273</v>
      </c>
      <c r="L1050">
        <v>367.60250000000002</v>
      </c>
      <c r="M1050">
        <v>0.99991450000000004</v>
      </c>
      <c r="N1050">
        <v>-1.250831E-2</v>
      </c>
      <c r="O1050">
        <v>-3.8393590000000001E-3</v>
      </c>
      <c r="P1050">
        <v>0.97820660000000004</v>
      </c>
      <c r="Q1050">
        <v>0.18741940000000001</v>
      </c>
      <c r="R1050">
        <v>8.9365100000000003E-2</v>
      </c>
      <c r="S1050">
        <v>3.0763850000000001</v>
      </c>
      <c r="T1050">
        <v>-4.0698770000000002E-2</v>
      </c>
      <c r="U1050">
        <v>-1.7364500000000001E-2</v>
      </c>
      <c r="V1050">
        <v>-9.3113310000000005E-2</v>
      </c>
      <c r="W1050">
        <v>0.19964000000000001</v>
      </c>
      <c r="X1050">
        <v>0.97543519999999995</v>
      </c>
      <c r="Y1050">
        <v>1.8044140000000001E-3</v>
      </c>
      <c r="Z1050" s="1">
        <v>-2.0457540000000001E-5</v>
      </c>
      <c r="AA1050">
        <v>0.99999839999999995</v>
      </c>
      <c r="AB1050">
        <v>34</v>
      </c>
      <c r="AC1050">
        <v>79.962699999999899</v>
      </c>
      <c r="AD1050">
        <v>-1.0602763874900001</v>
      </c>
      <c r="AE1050">
        <v>-0.45170000000001598</v>
      </c>
      <c r="AF1050">
        <v>0.14464174064367799</v>
      </c>
      <c r="AG1050">
        <v>-1.0602763874900001</v>
      </c>
      <c r="AH1050">
        <v>79.949788765884605</v>
      </c>
      <c r="AI1050">
        <v>90.7597981509047</v>
      </c>
      <c r="AJ1050">
        <v>89.896343037716505</v>
      </c>
      <c r="AK1050">
        <v>79.956949860287693</v>
      </c>
      <c r="AL1050">
        <v>78.484092269143304</v>
      </c>
      <c r="AM1050">
        <v>95.452830743921893</v>
      </c>
      <c r="AN1050">
        <v>1.00000002374909</v>
      </c>
    </row>
    <row r="1051" spans="1:40" x14ac:dyDescent="0.25">
      <c r="A1051" t="str">
        <f>"20190304155033367"</f>
        <v>20190304155033367</v>
      </c>
      <c r="B1051" t="str">
        <f>"1551685833357926"</f>
        <v>1551685833357926</v>
      </c>
      <c r="C1051" t="s">
        <v>40</v>
      </c>
      <c r="D1051">
        <v>4.969614</v>
      </c>
      <c r="E1051">
        <v>0.53553439999999997</v>
      </c>
      <c r="F1051" t="s">
        <v>50</v>
      </c>
      <c r="G1051">
        <v>-206.6173</v>
      </c>
      <c r="H1051" s="1">
        <v>-4.2494520000000001E-6</v>
      </c>
      <c r="I1051">
        <v>367.1755</v>
      </c>
      <c r="J1051">
        <v>-284.54410000000001</v>
      </c>
      <c r="K1051">
        <v>1.0602739999999999</v>
      </c>
      <c r="L1051">
        <v>367.60169999999999</v>
      </c>
      <c r="M1051">
        <v>0.99991450000000004</v>
      </c>
      <c r="N1051">
        <v>-1.2501719999999999E-2</v>
      </c>
      <c r="O1051">
        <v>-3.8393170000000001E-3</v>
      </c>
      <c r="P1051">
        <v>0.97828159999999997</v>
      </c>
      <c r="Q1051">
        <v>0.186972</v>
      </c>
      <c r="R1051">
        <v>8.9480649999999995E-2</v>
      </c>
      <c r="S1051">
        <v>3.076416</v>
      </c>
      <c r="T1051">
        <v>-4.175508E-2</v>
      </c>
      <c r="U1051">
        <v>-1.6815190000000001E-2</v>
      </c>
      <c r="V1051">
        <v>-9.3228599999999995E-2</v>
      </c>
      <c r="W1051">
        <v>0.19918669999999999</v>
      </c>
      <c r="X1051">
        <v>0.97551679999999996</v>
      </c>
      <c r="Y1051">
        <v>1.6258689999999901E-3</v>
      </c>
      <c r="Z1051" s="1">
        <v>-1.7090490000000001E-5</v>
      </c>
      <c r="AA1051">
        <v>0.99999870000000002</v>
      </c>
      <c r="AB1051">
        <v>34</v>
      </c>
      <c r="AC1051">
        <v>77.9268</v>
      </c>
      <c r="AD1051">
        <v>-1.060278249452</v>
      </c>
      <c r="AE1051">
        <v>-0.42619999999999397</v>
      </c>
      <c r="AF1051">
        <v>0.12696428974918</v>
      </c>
      <c r="AG1051">
        <v>-1.060278249452</v>
      </c>
      <c r="AH1051">
        <v>77.913438693156294</v>
      </c>
      <c r="AI1051">
        <v>90.779655468332194</v>
      </c>
      <c r="AJ1051">
        <v>89.906633417360496</v>
      </c>
      <c r="AK1051">
        <v>77.9207561493686</v>
      </c>
      <c r="AL1051">
        <v>78.510596152708203</v>
      </c>
      <c r="AM1051">
        <v>95.459087580149003</v>
      </c>
      <c r="AN1051">
        <v>0.99999997019854403</v>
      </c>
    </row>
    <row r="1052" spans="1:40" x14ac:dyDescent="0.25">
      <c r="A1052" t="str">
        <f>"20190304155033381"</f>
        <v>20190304155033381</v>
      </c>
      <c r="B1052" t="str">
        <f>"1551685833377445"</f>
        <v>1551685833377445</v>
      </c>
      <c r="C1052" t="s">
        <v>40</v>
      </c>
      <c r="D1052">
        <v>4.853383</v>
      </c>
      <c r="E1052">
        <v>0.53559919999999905</v>
      </c>
      <c r="F1052" t="s">
        <v>50</v>
      </c>
      <c r="G1052">
        <v>-208.57740000000001</v>
      </c>
      <c r="H1052" s="1">
        <v>-5.1599170000000002E-6</v>
      </c>
      <c r="I1052">
        <v>367.18729999999999</v>
      </c>
      <c r="J1052">
        <v>-284.33789999999999</v>
      </c>
      <c r="K1052">
        <v>1.0602720000000001</v>
      </c>
      <c r="L1052">
        <v>367.601</v>
      </c>
      <c r="M1052">
        <v>0.99991459999999999</v>
      </c>
      <c r="N1052">
        <v>-1.2495279999999999E-2</v>
      </c>
      <c r="O1052">
        <v>-3.839276E-3</v>
      </c>
      <c r="P1052">
        <v>0.97832209999999997</v>
      </c>
      <c r="Q1052">
        <v>0.18677550000000001</v>
      </c>
      <c r="R1052">
        <v>8.9447799999999994E-2</v>
      </c>
      <c r="S1052">
        <v>3.076355</v>
      </c>
      <c r="T1052">
        <v>-4.2937160000000002E-2</v>
      </c>
      <c r="U1052">
        <v>-1.6784670000000002E-2</v>
      </c>
      <c r="V1052">
        <v>-9.3196219999999996E-2</v>
      </c>
      <c r="W1052">
        <v>0.19898440000000001</v>
      </c>
      <c r="X1052">
        <v>0.97556120000000002</v>
      </c>
      <c r="Y1052">
        <v>1.6160910000000001E-3</v>
      </c>
      <c r="Z1052" s="1">
        <v>-1.576773E-5</v>
      </c>
      <c r="AA1052">
        <v>0.99999870000000002</v>
      </c>
      <c r="AB1052">
        <v>34</v>
      </c>
      <c r="AC1052">
        <v>75.760499999999894</v>
      </c>
      <c r="AD1052">
        <v>-1.06027715991699</v>
      </c>
      <c r="AE1052">
        <v>-0.41370000000000501</v>
      </c>
      <c r="AF1052">
        <v>0.12278473500418199</v>
      </c>
      <c r="AG1052">
        <v>-1.06027715991699</v>
      </c>
      <c r="AH1052">
        <v>75.746694428908597</v>
      </c>
      <c r="AI1052">
        <v>90.801953931651596</v>
      </c>
      <c r="AJ1052">
        <v>89.907124119466403</v>
      </c>
      <c r="AK1052">
        <v>75.754214276523498</v>
      </c>
      <c r="AL1052">
        <v>78.522424095777197</v>
      </c>
      <c r="AM1052">
        <v>95.456956116907094</v>
      </c>
      <c r="AN1052">
        <v>0.99999999090554403</v>
      </c>
    </row>
    <row r="1053" spans="1:40" x14ac:dyDescent="0.25">
      <c r="A1053" t="str">
        <f>"20190304155033395"</f>
        <v>20190304155033395</v>
      </c>
      <c r="B1053" t="str">
        <f>"1551685833387204"</f>
        <v>1551685833387204</v>
      </c>
      <c r="C1053" t="s">
        <v>40</v>
      </c>
      <c r="D1053">
        <v>4.8896169999999897</v>
      </c>
      <c r="E1053">
        <v>0.53564119999999904</v>
      </c>
      <c r="F1053" t="s">
        <v>50</v>
      </c>
      <c r="G1053">
        <v>-208.4639</v>
      </c>
      <c r="H1053" s="1">
        <v>-5.1101429999999997E-6</v>
      </c>
      <c r="I1053">
        <v>367.17349999999999</v>
      </c>
      <c r="J1053">
        <v>-284.11419999999998</v>
      </c>
      <c r="K1053">
        <v>1.0602659999999999</v>
      </c>
      <c r="L1053">
        <v>367.6001</v>
      </c>
      <c r="M1053">
        <v>0.99991479999999999</v>
      </c>
      <c r="N1053">
        <v>-1.248869E-2</v>
      </c>
      <c r="O1053">
        <v>-3.8393540000000001E-3</v>
      </c>
      <c r="P1053">
        <v>0.97842640000000003</v>
      </c>
      <c r="Q1053">
        <v>0.18621570000000001</v>
      </c>
      <c r="R1053">
        <v>8.9475550000000001E-2</v>
      </c>
      <c r="S1053">
        <v>3.076263</v>
      </c>
      <c r="T1053">
        <v>-4.29883E-2</v>
      </c>
      <c r="U1053">
        <v>-1.7333979999999999E-2</v>
      </c>
      <c r="V1053">
        <v>-9.3224319999999999E-2</v>
      </c>
      <c r="W1053">
        <v>0.1984194</v>
      </c>
      <c r="X1053">
        <v>0.97567360000000003</v>
      </c>
      <c r="Y1053">
        <v>1.7947029999999999E-3</v>
      </c>
      <c r="Z1053" s="1">
        <v>-1.8048699999999999E-5</v>
      </c>
      <c r="AA1053">
        <v>0.99999839999999995</v>
      </c>
      <c r="AB1053">
        <v>34</v>
      </c>
      <c r="AC1053">
        <v>75.650299999999902</v>
      </c>
      <c r="AD1053">
        <v>-1.060271110143</v>
      </c>
      <c r="AE1053">
        <v>-0.42660000000000697</v>
      </c>
      <c r="AF1053">
        <v>0.136099232919077</v>
      </c>
      <c r="AG1053">
        <v>-1.060271110143</v>
      </c>
      <c r="AH1053">
        <v>75.636523368492107</v>
      </c>
      <c r="AI1053">
        <v>90.803117066326394</v>
      </c>
      <c r="AJ1053">
        <v>89.896902939506305</v>
      </c>
      <c r="AK1053">
        <v>75.644076867264801</v>
      </c>
      <c r="AL1053">
        <v>78.555454985539896</v>
      </c>
      <c r="AM1053">
        <v>95.457966485575497</v>
      </c>
      <c r="AN1053">
        <v>1.00000000293639</v>
      </c>
    </row>
    <row r="1054" spans="1:40" x14ac:dyDescent="0.25">
      <c r="A1054" t="str">
        <f>"20190304155033410"</f>
        <v>20190304155033410</v>
      </c>
      <c r="B1054" t="str">
        <f>"1551685833407700"</f>
        <v>1551685833407700</v>
      </c>
      <c r="C1054" t="s">
        <v>40</v>
      </c>
      <c r="D1054">
        <v>4.8662640000000001</v>
      </c>
      <c r="E1054">
        <v>0.53564820000000002</v>
      </c>
      <c r="F1054" t="s">
        <v>41</v>
      </c>
      <c r="G1054">
        <v>-210.90219999999999</v>
      </c>
      <c r="H1054" s="1">
        <v>-4.316719E-6</v>
      </c>
      <c r="I1054">
        <v>367.18389999999999</v>
      </c>
      <c r="J1054">
        <v>-283.9024</v>
      </c>
      <c r="K1054">
        <v>1.060265</v>
      </c>
      <c r="L1054">
        <v>367.59930000000003</v>
      </c>
      <c r="M1054">
        <v>0.99991470000000005</v>
      </c>
      <c r="N1054">
        <v>-1.248281E-2</v>
      </c>
      <c r="O1054">
        <v>-3.8391979999999998E-3</v>
      </c>
      <c r="P1054">
        <v>0.97850530000000002</v>
      </c>
      <c r="Q1054">
        <v>0.18573799999999999</v>
      </c>
      <c r="R1054">
        <v>8.9604950000000003E-2</v>
      </c>
      <c r="S1054">
        <v>3.0762330000000002</v>
      </c>
      <c r="T1054">
        <v>-4.455054E-2</v>
      </c>
      <c r="U1054">
        <v>-1.748657E-2</v>
      </c>
      <c r="V1054">
        <v>-9.3354110000000004E-2</v>
      </c>
      <c r="W1054">
        <v>0.1979371</v>
      </c>
      <c r="X1054">
        <v>0.97575909999999999</v>
      </c>
      <c r="Y1054">
        <v>1.8444900000000001E-3</v>
      </c>
      <c r="Z1054" s="1">
        <v>-1.7198219999999999E-5</v>
      </c>
      <c r="AA1054">
        <v>0.99999830000000001</v>
      </c>
      <c r="AB1054">
        <v>34</v>
      </c>
      <c r="AC1054">
        <v>73.000200000000007</v>
      </c>
      <c r="AD1054">
        <v>-1.060269316719</v>
      </c>
      <c r="AE1054">
        <v>-0.41540000000003302</v>
      </c>
      <c r="AF1054">
        <v>0.13508437840408699</v>
      </c>
      <c r="AG1054">
        <v>-1.060269316719</v>
      </c>
      <c r="AH1054">
        <v>72.985860812756798</v>
      </c>
      <c r="AI1054">
        <v>90.832278737861301</v>
      </c>
      <c r="AJ1054">
        <v>89.893955406748205</v>
      </c>
      <c r="AK1054">
        <v>72.993686695442193</v>
      </c>
      <c r="AL1054">
        <v>78.583647344922596</v>
      </c>
      <c r="AM1054">
        <v>95.465043255412198</v>
      </c>
      <c r="AN1054">
        <v>0.999999953321554</v>
      </c>
    </row>
    <row r="1055" spans="1:40" x14ac:dyDescent="0.25">
      <c r="A1055" t="str">
        <f>"20190304155033424"</f>
        <v>20190304155033424</v>
      </c>
      <c r="B1055" t="str">
        <f>"1551685833417461"</f>
        <v>1551685833417461</v>
      </c>
      <c r="C1055" t="s">
        <v>40</v>
      </c>
      <c r="D1055">
        <v>5.0125929999999999</v>
      </c>
      <c r="E1055">
        <v>0.53565879999999999</v>
      </c>
      <c r="F1055" t="s">
        <v>41</v>
      </c>
      <c r="G1055">
        <v>-212.5829</v>
      </c>
      <c r="H1055" s="1">
        <v>-3.5908009999999998E-6</v>
      </c>
      <c r="I1055">
        <v>367.21159999999998</v>
      </c>
      <c r="J1055">
        <v>-283.69319999999999</v>
      </c>
      <c r="K1055">
        <v>1.06026</v>
      </c>
      <c r="L1055">
        <v>367.5985</v>
      </c>
      <c r="M1055">
        <v>0.99991479999999999</v>
      </c>
      <c r="N1055">
        <v>-1.2477459999999999E-2</v>
      </c>
      <c r="O1055">
        <v>-3.8390450000000001E-3</v>
      </c>
      <c r="P1055">
        <v>0.97851659999999996</v>
      </c>
      <c r="Q1055">
        <v>0.1855801</v>
      </c>
      <c r="R1055">
        <v>8.9806810000000001E-2</v>
      </c>
      <c r="S1055">
        <v>3.076111</v>
      </c>
      <c r="T1055">
        <v>-4.573083E-2</v>
      </c>
      <c r="U1055">
        <v>-1.672363E-2</v>
      </c>
      <c r="V1055">
        <v>-9.3555440000000004E-2</v>
      </c>
      <c r="W1055">
        <v>0.19777439999999999</v>
      </c>
      <c r="X1055">
        <v>0.97577290000000005</v>
      </c>
      <c r="Y1055">
        <v>1.5968950000000001E-3</v>
      </c>
      <c r="Z1055" s="1">
        <v>-1.266713E-5</v>
      </c>
      <c r="AA1055">
        <v>0.99999870000000002</v>
      </c>
      <c r="AB1055">
        <v>34</v>
      </c>
      <c r="AC1055">
        <v>71.110299999999995</v>
      </c>
      <c r="AD1055">
        <v>-1.0602635908010001</v>
      </c>
      <c r="AE1055">
        <v>-0.386900000000025</v>
      </c>
      <c r="AF1055">
        <v>0.113854947228994</v>
      </c>
      <c r="AG1055">
        <v>-1.0602635908010001</v>
      </c>
      <c r="AH1055">
        <v>71.095456440508897</v>
      </c>
      <c r="AI1055">
        <v>90.854401266857906</v>
      </c>
      <c r="AJ1055">
        <v>89.908244454668804</v>
      </c>
      <c r="AK1055">
        <v>71.1034531391781</v>
      </c>
      <c r="AL1055">
        <v>78.593158407834807</v>
      </c>
      <c r="AM1055">
        <v>95.476680745663401</v>
      </c>
      <c r="AN1055">
        <v>1.00000004301168</v>
      </c>
    </row>
    <row r="1056" spans="1:40" x14ac:dyDescent="0.25">
      <c r="A1056" t="str">
        <f>"20190304155033436"</f>
        <v>20190304155033436</v>
      </c>
      <c r="B1056" t="str">
        <f>"1551685833427220"</f>
        <v>1551685833427220</v>
      </c>
      <c r="C1056" t="s">
        <v>40</v>
      </c>
      <c r="D1056">
        <v>4.9892649999999996</v>
      </c>
      <c r="E1056">
        <v>0.53569040000000001</v>
      </c>
      <c r="F1056" t="s">
        <v>41</v>
      </c>
      <c r="G1056">
        <v>-212.0121</v>
      </c>
      <c r="H1056" s="1">
        <v>-3.8339060000000004E-6</v>
      </c>
      <c r="I1056">
        <v>367.22149999999999</v>
      </c>
      <c r="J1056">
        <v>-283.51850000000002</v>
      </c>
      <c r="K1056">
        <v>1.060262</v>
      </c>
      <c r="L1056">
        <v>367.59780000000001</v>
      </c>
      <c r="M1056">
        <v>0.99991490000000005</v>
      </c>
      <c r="N1056">
        <v>-1.2471599999999999E-2</v>
      </c>
      <c r="O1056">
        <v>-3.8391269999999999E-3</v>
      </c>
      <c r="P1056">
        <v>0.97861430000000005</v>
      </c>
      <c r="Q1056">
        <v>0.1851534</v>
      </c>
      <c r="R1056">
        <v>8.9623700000000001E-2</v>
      </c>
      <c r="S1056">
        <v>3.0759889999999999</v>
      </c>
      <c r="T1056">
        <v>-4.5498129999999998E-2</v>
      </c>
      <c r="U1056">
        <v>-1.6174319999999999E-2</v>
      </c>
      <c r="V1056">
        <v>-9.3372960000000005E-2</v>
      </c>
      <c r="W1056">
        <v>0.19734289999999999</v>
      </c>
      <c r="X1056">
        <v>0.97587769999999996</v>
      </c>
      <c r="Y1056">
        <v>1.418489E-3</v>
      </c>
      <c r="Z1056" s="1">
        <v>-1.043589E-5</v>
      </c>
      <c r="AA1056">
        <v>0.99999899999999997</v>
      </c>
      <c r="AB1056">
        <v>34</v>
      </c>
      <c r="AC1056">
        <v>71.506399999999999</v>
      </c>
      <c r="AD1056">
        <v>-1.060265833906</v>
      </c>
      <c r="AE1056">
        <v>-0.37630000000001401</v>
      </c>
      <c r="AF1056">
        <v>0.101731369566307</v>
      </c>
      <c r="AG1056">
        <v>-1.060265833906</v>
      </c>
      <c r="AH1056">
        <v>71.491600257150907</v>
      </c>
      <c r="AI1056">
        <v>90.849669646118301</v>
      </c>
      <c r="AJ1056">
        <v>89.918469104550994</v>
      </c>
      <c r="AK1056">
        <v>71.499534405745294</v>
      </c>
      <c r="AL1056">
        <v>78.618378190371004</v>
      </c>
      <c r="AM1056">
        <v>95.465479784366906</v>
      </c>
      <c r="AN1056">
        <v>1.0000000075984301</v>
      </c>
    </row>
    <row r="1057" spans="1:40" x14ac:dyDescent="0.25">
      <c r="A1057" t="str">
        <f>"20190304155033451"</f>
        <v>20190304155033451</v>
      </c>
      <c r="B1057" t="str">
        <f>"1551685833447717"</f>
        <v>1551685833447717</v>
      </c>
      <c r="C1057" t="s">
        <v>40</v>
      </c>
      <c r="D1057">
        <v>5.1147429999999998</v>
      </c>
      <c r="E1057">
        <v>0.53542819999999902</v>
      </c>
      <c r="F1057" t="s">
        <v>41</v>
      </c>
      <c r="G1057">
        <v>-213.75790000000001</v>
      </c>
      <c r="H1057" s="1">
        <v>-3.0869940000000001E-6</v>
      </c>
      <c r="I1057">
        <v>367.21019999999999</v>
      </c>
      <c r="J1057">
        <v>-283.28809999999999</v>
      </c>
      <c r="K1057">
        <v>1.060262</v>
      </c>
      <c r="L1057">
        <v>367.59690000000001</v>
      </c>
      <c r="M1057">
        <v>0.99991509999999995</v>
      </c>
      <c r="N1057">
        <v>-1.2462600000000001E-2</v>
      </c>
      <c r="O1057">
        <v>-3.8390709999999999E-3</v>
      </c>
      <c r="P1057">
        <v>0.97860709999999995</v>
      </c>
      <c r="Q1057">
        <v>0.18524209999999999</v>
      </c>
      <c r="R1057">
        <v>8.9519500000000002E-2</v>
      </c>
      <c r="S1057">
        <v>3.075958</v>
      </c>
      <c r="T1057">
        <v>-4.6750310000000003E-2</v>
      </c>
      <c r="U1057">
        <v>-1.7089839999999999E-2</v>
      </c>
      <c r="V1057">
        <v>-9.3268599999999993E-2</v>
      </c>
      <c r="W1057">
        <v>0.19742290000000001</v>
      </c>
      <c r="X1057">
        <v>0.9758715</v>
      </c>
      <c r="Y1057">
        <v>1.716158E-3</v>
      </c>
      <c r="Z1057" s="1">
        <v>-1.323782E-5</v>
      </c>
      <c r="AA1057">
        <v>0.99999850000000001</v>
      </c>
      <c r="AB1057">
        <v>34</v>
      </c>
      <c r="AC1057">
        <v>69.530199999999894</v>
      </c>
      <c r="AD1057">
        <v>-1.060265086994</v>
      </c>
      <c r="AE1057">
        <v>-0.38670000000001797</v>
      </c>
      <c r="AF1057">
        <v>0.11971724140225699</v>
      </c>
      <c r="AG1057">
        <v>-1.060265086994</v>
      </c>
      <c r="AH1057">
        <v>69.515008282708095</v>
      </c>
      <c r="AI1057">
        <v>90.873824459183197</v>
      </c>
      <c r="AJ1057">
        <v>89.901326547238597</v>
      </c>
      <c r="AK1057">
        <v>69.523196638370706</v>
      </c>
      <c r="AL1057">
        <v>78.613702555990699</v>
      </c>
      <c r="AM1057">
        <v>95.459442593706001</v>
      </c>
      <c r="AN1057">
        <v>1.0000000088513099</v>
      </c>
    </row>
    <row r="1058" spans="1:40" x14ac:dyDescent="0.25">
      <c r="A1058" t="str">
        <f>"20190304155033462"</f>
        <v>20190304155033462</v>
      </c>
      <c r="B1058" t="str">
        <f>"1551685833457476"</f>
        <v>1551685833457476</v>
      </c>
      <c r="C1058" t="s">
        <v>40</v>
      </c>
      <c r="D1058">
        <v>5.3703029999999998</v>
      </c>
      <c r="E1058">
        <v>0.53542819999999902</v>
      </c>
      <c r="F1058" t="s">
        <v>41</v>
      </c>
      <c r="G1058">
        <v>-212.91499999999999</v>
      </c>
      <c r="H1058" s="1">
        <v>-3.44156E-6</v>
      </c>
      <c r="I1058">
        <v>367.24979999999999</v>
      </c>
      <c r="J1058">
        <v>-283.11669999999998</v>
      </c>
      <c r="K1058">
        <v>1.0602590000000001</v>
      </c>
      <c r="L1058">
        <v>367.59629999999999</v>
      </c>
      <c r="M1058">
        <v>0.9999152</v>
      </c>
      <c r="N1058">
        <v>-1.2454750000000001E-2</v>
      </c>
      <c r="O1058">
        <v>-3.8390220000000001E-3</v>
      </c>
      <c r="P1058">
        <v>0.97863449999999996</v>
      </c>
      <c r="Q1058">
        <v>0.1850958</v>
      </c>
      <c r="R1058">
        <v>8.9523489999999997E-2</v>
      </c>
      <c r="S1058">
        <v>3.075745</v>
      </c>
      <c r="T1058">
        <v>-4.6340230000000003E-2</v>
      </c>
      <c r="U1058">
        <v>-1.516724E-2</v>
      </c>
      <c r="V1058">
        <v>-9.3272480000000005E-2</v>
      </c>
      <c r="W1058">
        <v>0.1972691</v>
      </c>
      <c r="X1058">
        <v>0.97590220000000005</v>
      </c>
      <c r="Y1058">
        <v>1.0916579999999999E-3</v>
      </c>
      <c r="Z1058" s="1">
        <v>-5.0014799999999998E-6</v>
      </c>
      <c r="AA1058">
        <v>0.99999939999999998</v>
      </c>
      <c r="AB1058">
        <v>34</v>
      </c>
      <c r="AC1058">
        <v>70.201699999999903</v>
      </c>
      <c r="AD1058">
        <v>-1.0602624415599999</v>
      </c>
      <c r="AE1058">
        <v>-0.34649999999999098</v>
      </c>
      <c r="AF1058">
        <v>7.6953153094207194E-2</v>
      </c>
      <c r="AG1058">
        <v>-1.0602624415599999</v>
      </c>
      <c r="AH1058">
        <v>70.186503542211597</v>
      </c>
      <c r="AI1058">
        <v>90.865464201198293</v>
      </c>
      <c r="AJ1058">
        <v>89.937180385070306</v>
      </c>
      <c r="AK1058">
        <v>70.194553618593801</v>
      </c>
      <c r="AL1058">
        <v>78.622691074588502</v>
      </c>
      <c r="AM1058">
        <v>95.459497622875205</v>
      </c>
      <c r="AN1058">
        <v>0.99999997865249901</v>
      </c>
    </row>
    <row r="1059" spans="1:40" x14ac:dyDescent="0.25">
      <c r="A1059" t="str">
        <f>"20190304155033474"</f>
        <v>20190304155033474</v>
      </c>
      <c r="B1059" t="str">
        <f>"1551685833467237"</f>
        <v>1551685833467237</v>
      </c>
      <c r="C1059" t="s">
        <v>40</v>
      </c>
      <c r="D1059">
        <v>5.0013310000000004</v>
      </c>
      <c r="E1059">
        <v>0.47898600000000002</v>
      </c>
      <c r="F1059" t="s">
        <v>41</v>
      </c>
      <c r="G1059">
        <v>-213.4511</v>
      </c>
      <c r="H1059" s="1">
        <v>-3.2110799999999999E-6</v>
      </c>
      <c r="I1059">
        <v>367.2527</v>
      </c>
      <c r="J1059">
        <v>-282.94029999999998</v>
      </c>
      <c r="K1059">
        <v>1.060257</v>
      </c>
      <c r="L1059">
        <v>367.59559999999999</v>
      </c>
      <c r="M1059">
        <v>0.99991529999999995</v>
      </c>
      <c r="N1059">
        <v>-1.24466E-2</v>
      </c>
      <c r="O1059">
        <v>-3.8390910000000002E-3</v>
      </c>
      <c r="P1059">
        <v>0.97863929999999999</v>
      </c>
      <c r="Q1059">
        <v>0.1851477</v>
      </c>
      <c r="R1059">
        <v>8.9362860000000002E-2</v>
      </c>
      <c r="S1059">
        <v>3.075745</v>
      </c>
      <c r="T1059">
        <v>-4.6810629999999999E-2</v>
      </c>
      <c r="U1059">
        <v>-1.516724E-2</v>
      </c>
      <c r="V1059">
        <v>-9.3112020000000004E-2</v>
      </c>
      <c r="W1059">
        <v>0.19731309999999999</v>
      </c>
      <c r="X1059">
        <v>0.97590860000000001</v>
      </c>
      <c r="Y1059">
        <v>1.0915880000000001E-3</v>
      </c>
      <c r="Z1059" s="1">
        <v>-4.4609989999999999E-6</v>
      </c>
      <c r="AA1059">
        <v>0.99999939999999998</v>
      </c>
      <c r="AB1059">
        <v>34</v>
      </c>
      <c r="AC1059">
        <v>69.489199999999897</v>
      </c>
      <c r="AD1059">
        <v>-1.0602602110799999</v>
      </c>
      <c r="AE1059">
        <v>-0.34289999999998599</v>
      </c>
      <c r="AF1059">
        <v>7.60837668187581E-2</v>
      </c>
      <c r="AG1059">
        <v>-1.0602602110799999</v>
      </c>
      <c r="AH1059">
        <v>69.473830970647398</v>
      </c>
      <c r="AI1059">
        <v>90.874339048621593</v>
      </c>
      <c r="AJ1059">
        <v>89.937252963820697</v>
      </c>
      <c r="AK1059">
        <v>69.481962624790995</v>
      </c>
      <c r="AL1059">
        <v>78.620119204469006</v>
      </c>
      <c r="AM1059">
        <v>95.450126528098394</v>
      </c>
      <c r="AN1059">
        <v>0.99999995162702304</v>
      </c>
    </row>
    <row r="1060" spans="1:40" x14ac:dyDescent="0.25">
      <c r="A1060" t="str">
        <f>"20190304155033484"</f>
        <v>20190304155033484</v>
      </c>
      <c r="B1060" t="str">
        <f>"1551685833477973"</f>
        <v>1551685833477973</v>
      </c>
      <c r="C1060" t="s">
        <v>40</v>
      </c>
      <c r="D1060">
        <v>5.119243</v>
      </c>
      <c r="E1060">
        <v>0.47763909999999998</v>
      </c>
      <c r="F1060" t="s">
        <v>41</v>
      </c>
      <c r="G1060">
        <v>-258.17809999999997</v>
      </c>
      <c r="H1060" s="1">
        <v>-1.1608890000000001E-6</v>
      </c>
      <c r="I1060">
        <v>371.10829999999999</v>
      </c>
      <c r="J1060">
        <v>-282.76780000000002</v>
      </c>
      <c r="K1060">
        <v>1.060257</v>
      </c>
      <c r="L1060">
        <v>367.5949</v>
      </c>
      <c r="M1060">
        <v>0.99991540000000001</v>
      </c>
      <c r="N1060">
        <v>-1.2438569999999999E-2</v>
      </c>
      <c r="O1060">
        <v>-3.8389219999999998E-3</v>
      </c>
      <c r="P1060">
        <v>0.97864510000000005</v>
      </c>
      <c r="Q1060">
        <v>0.1852425</v>
      </c>
      <c r="R1060">
        <v>8.9102340000000002E-2</v>
      </c>
      <c r="S1060">
        <v>3.050659</v>
      </c>
      <c r="T1060">
        <v>-0.13062169999999901</v>
      </c>
      <c r="U1060">
        <v>0.43276979999999998</v>
      </c>
      <c r="V1060">
        <v>-9.2851619999999996E-2</v>
      </c>
      <c r="W1060">
        <v>0.19740050000000001</v>
      </c>
      <c r="X1060">
        <v>0.9759158</v>
      </c>
      <c r="Y1060">
        <v>-0.14408550000000001</v>
      </c>
      <c r="Z1060">
        <v>4.0850670000000004E-3</v>
      </c>
      <c r="AA1060">
        <v>0.98955680000000001</v>
      </c>
      <c r="AB1060">
        <v>34</v>
      </c>
      <c r="AC1060">
        <v>24.589700000000001</v>
      </c>
      <c r="AD1060">
        <v>-1.060258160889</v>
      </c>
      <c r="AE1060">
        <v>3.5133999999999901</v>
      </c>
      <c r="AF1060">
        <v>-3.6012180458653398</v>
      </c>
      <c r="AG1060">
        <v>-1.060258160889</v>
      </c>
      <c r="AH1060">
        <v>24.531334840943501</v>
      </c>
      <c r="AI1060">
        <v>92.448604571363205</v>
      </c>
      <c r="AJ1060">
        <v>98.351411368600907</v>
      </c>
      <c r="AK1060">
        <v>24.816915760426099</v>
      </c>
      <c r="AL1060">
        <v>78.615011813038095</v>
      </c>
      <c r="AM1060">
        <v>95.434936070441793</v>
      </c>
      <c r="AN1060">
        <v>1.00000001471325</v>
      </c>
    </row>
    <row r="1061" spans="1:40" x14ac:dyDescent="0.25">
      <c r="A1061" t="str">
        <f>"20190304155033496"</f>
        <v>20190304155033496</v>
      </c>
      <c r="B1061" t="str">
        <f>"1551685833487733"</f>
        <v>1551685833487733</v>
      </c>
      <c r="C1061" t="s">
        <v>40</v>
      </c>
      <c r="D1061">
        <v>4.9845319999999997</v>
      </c>
      <c r="E1061">
        <v>0.47663830000000001</v>
      </c>
      <c r="F1061" t="s">
        <v>41</v>
      </c>
      <c r="G1061">
        <v>-258.12459999999999</v>
      </c>
      <c r="H1061" s="1">
        <v>-1.200317E-6</v>
      </c>
      <c r="I1061">
        <v>371.17020000000002</v>
      </c>
      <c r="J1061">
        <v>-282.59589999999997</v>
      </c>
      <c r="K1061">
        <v>1.06026</v>
      </c>
      <c r="L1061">
        <v>367.59429999999998</v>
      </c>
      <c r="M1061">
        <v>0.99991549999999996</v>
      </c>
      <c r="N1061">
        <v>-1.2429020000000001E-2</v>
      </c>
      <c r="O1061">
        <v>-3.8388630000000001E-3</v>
      </c>
      <c r="P1061">
        <v>0.9786338</v>
      </c>
      <c r="Q1061">
        <v>0.18525269999999999</v>
      </c>
      <c r="R1061">
        <v>8.920496E-2</v>
      </c>
      <c r="S1061">
        <v>3.0500180000000001</v>
      </c>
      <c r="T1061">
        <v>-0.131224799999999</v>
      </c>
      <c r="U1061">
        <v>0.44250489999999998</v>
      </c>
      <c r="V1061">
        <v>-9.2953980000000005E-2</v>
      </c>
      <c r="W1061">
        <v>0.19740099999999999</v>
      </c>
      <c r="X1061">
        <v>0.97590600000000005</v>
      </c>
      <c r="Y1061">
        <v>-0.14720339999999901</v>
      </c>
      <c r="Z1061">
        <v>4.1856590000000004E-3</v>
      </c>
      <c r="AA1061">
        <v>0.98909740000000002</v>
      </c>
      <c r="AB1061">
        <v>34</v>
      </c>
      <c r="AC1061">
        <v>24.4712999999999</v>
      </c>
      <c r="AD1061">
        <v>-1.060261200317</v>
      </c>
      <c r="AE1061">
        <v>3.5759000000000398</v>
      </c>
      <c r="AF1061">
        <v>-3.6630902516582999</v>
      </c>
      <c r="AG1061">
        <v>-1.060261200317</v>
      </c>
      <c r="AH1061">
        <v>24.412521991250799</v>
      </c>
      <c r="AI1061">
        <v>92.459354842872301</v>
      </c>
      <c r="AJ1061">
        <v>98.533547431532497</v>
      </c>
      <c r="AK1061">
        <v>24.708573693719998</v>
      </c>
      <c r="AL1061">
        <v>78.614983101274802</v>
      </c>
      <c r="AM1061">
        <v>95.440945940065703</v>
      </c>
      <c r="AN1061">
        <v>1.0000000590174101</v>
      </c>
    </row>
    <row r="1062" spans="1:40" x14ac:dyDescent="0.25">
      <c r="A1062" t="str">
        <f>"20190304155033508"</f>
        <v>20190304155033508</v>
      </c>
      <c r="B1062" t="str">
        <f>"1551685833497492"</f>
        <v>1551685833497492</v>
      </c>
      <c r="C1062" t="s">
        <v>40</v>
      </c>
      <c r="D1062">
        <v>4.974615</v>
      </c>
      <c r="E1062">
        <v>0.47579759999999999</v>
      </c>
      <c r="F1062" t="s">
        <v>41</v>
      </c>
      <c r="G1062">
        <v>-257.57769999999999</v>
      </c>
      <c r="H1062" s="1">
        <v>-1.4679439999999999E-6</v>
      </c>
      <c r="I1062">
        <v>371.29419999999999</v>
      </c>
      <c r="J1062">
        <v>-282.42439999999999</v>
      </c>
      <c r="K1062">
        <v>1.06026</v>
      </c>
      <c r="L1062">
        <v>367.59359999999998</v>
      </c>
      <c r="M1062">
        <v>0.99991549999999996</v>
      </c>
      <c r="N1062">
        <v>-1.2419049999999999E-2</v>
      </c>
      <c r="O1062">
        <v>-3.838681E-3</v>
      </c>
      <c r="P1062">
        <v>0.97864790000000002</v>
      </c>
      <c r="Q1062">
        <v>0.18523519999999999</v>
      </c>
      <c r="R1062">
        <v>8.9085269999999994E-2</v>
      </c>
      <c r="S1062">
        <v>3.0488590000000002</v>
      </c>
      <c r="T1062">
        <v>-0.12920870000000001</v>
      </c>
      <c r="U1062">
        <v>0.4508972</v>
      </c>
      <c r="V1062">
        <v>-9.2833970000000002E-2</v>
      </c>
      <c r="W1062">
        <v>0.1973743</v>
      </c>
      <c r="X1062">
        <v>0.97592279999999998</v>
      </c>
      <c r="Y1062">
        <v>-0.14992320000000001</v>
      </c>
      <c r="Z1062">
        <v>4.2091409999999996E-3</v>
      </c>
      <c r="AA1062">
        <v>0.98868869999999998</v>
      </c>
      <c r="AB1062">
        <v>34</v>
      </c>
      <c r="AC1062">
        <v>24.846699999999998</v>
      </c>
      <c r="AD1062">
        <v>-1.0602614679439999</v>
      </c>
      <c r="AE1062">
        <v>3.7006000000000001</v>
      </c>
      <c r="AF1062">
        <v>-3.7892085669756899</v>
      </c>
      <c r="AG1062">
        <v>-1.0602614679439999</v>
      </c>
      <c r="AH1062">
        <v>24.7881529036651</v>
      </c>
      <c r="AI1062">
        <v>92.421124220432205</v>
      </c>
      <c r="AJ1062">
        <v>98.691164757223504</v>
      </c>
      <c r="AK1062">
        <v>25.098501555270701</v>
      </c>
      <c r="AL1062">
        <v>78.616543334105302</v>
      </c>
      <c r="AM1062">
        <v>95.433870394967201</v>
      </c>
      <c r="AN1062">
        <v>1.00000003592314</v>
      </c>
    </row>
    <row r="1063" spans="1:40" x14ac:dyDescent="0.25">
      <c r="A1063" t="str">
        <f>"20190304155033520"</f>
        <v>20190304155033520</v>
      </c>
      <c r="B1063" t="str">
        <f>"1551685833517988"</f>
        <v>1551685833517988</v>
      </c>
      <c r="C1063" t="s">
        <v>40</v>
      </c>
      <c r="D1063">
        <v>4.9776899999999999</v>
      </c>
      <c r="E1063">
        <v>0.47488530000000001</v>
      </c>
      <c r="F1063" t="s">
        <v>41</v>
      </c>
      <c r="G1063">
        <v>-257.72089999999997</v>
      </c>
      <c r="H1063" s="1">
        <v>-1.407373E-6</v>
      </c>
      <c r="I1063">
        <v>371.29750000000001</v>
      </c>
      <c r="J1063">
        <v>-282.23129999999998</v>
      </c>
      <c r="K1063">
        <v>1.0602549999999999</v>
      </c>
      <c r="L1063">
        <v>367.59289999999999</v>
      </c>
      <c r="M1063">
        <v>0.99991569999999996</v>
      </c>
      <c r="N1063">
        <v>-1.240633E-2</v>
      </c>
      <c r="O1063">
        <v>-3.838602E-3</v>
      </c>
      <c r="P1063">
        <v>0.97856209999999999</v>
      </c>
      <c r="Q1063">
        <v>0.18580250000000001</v>
      </c>
      <c r="R1063">
        <v>8.8848209999999997E-2</v>
      </c>
      <c r="S1063">
        <v>3.0486149999999999</v>
      </c>
      <c r="T1063">
        <v>-0.13084419999999999</v>
      </c>
      <c r="U1063">
        <v>0.45709230000000001</v>
      </c>
      <c r="V1063">
        <v>-9.2596780000000004E-2</v>
      </c>
      <c r="W1063">
        <v>0.19792770000000001</v>
      </c>
      <c r="X1063">
        <v>0.97583319999999996</v>
      </c>
      <c r="Y1063">
        <v>-0.15189359999999999</v>
      </c>
      <c r="Z1063">
        <v>4.3044700000000003E-3</v>
      </c>
      <c r="AA1063">
        <v>0.98838749999999997</v>
      </c>
      <c r="AB1063">
        <v>34</v>
      </c>
      <c r="AC1063">
        <v>24.510400000000001</v>
      </c>
      <c r="AD1063">
        <v>-1.0602564073730001</v>
      </c>
      <c r="AE1063">
        <v>3.7046000000000201</v>
      </c>
      <c r="AF1063">
        <v>-3.7917289790761699</v>
      </c>
      <c r="AG1063">
        <v>-1.0602564073730001</v>
      </c>
      <c r="AH1063">
        <v>24.4512663868305</v>
      </c>
      <c r="AI1063">
        <v>92.453615544696902</v>
      </c>
      <c r="AJ1063">
        <v>98.814812247383699</v>
      </c>
      <c r="AK1063">
        <v>24.766222566630699</v>
      </c>
      <c r="AL1063">
        <v>78.584197175686199</v>
      </c>
      <c r="AM1063">
        <v>95.420564387437906</v>
      </c>
      <c r="AN1063">
        <v>0.99999998615794905</v>
      </c>
    </row>
    <row r="1064" spans="1:40" x14ac:dyDescent="0.25">
      <c r="A1064" t="str">
        <f>"20190304155033533"</f>
        <v>20190304155033533</v>
      </c>
      <c r="B1064" t="str">
        <f>"1551685833527749"</f>
        <v>1551685833527749</v>
      </c>
      <c r="C1064" t="s">
        <v>40</v>
      </c>
      <c r="D1064">
        <v>4.9827500000000002</v>
      </c>
      <c r="E1064">
        <v>0.47434369999999998</v>
      </c>
      <c r="F1064" t="s">
        <v>41</v>
      </c>
      <c r="G1064">
        <v>-256.94510000000002</v>
      </c>
      <c r="H1064" s="1">
        <v>-1.778023E-6</v>
      </c>
      <c r="I1064">
        <v>371.43970000000002</v>
      </c>
      <c r="J1064">
        <v>-282.04360000000003</v>
      </c>
      <c r="K1064">
        <v>1.0602549999999999</v>
      </c>
      <c r="L1064">
        <v>367.59210000000002</v>
      </c>
      <c r="M1064">
        <v>0.99991589999999997</v>
      </c>
      <c r="N1064">
        <v>-1.2392749999999999E-2</v>
      </c>
      <c r="O1064">
        <v>-3.838518E-3</v>
      </c>
      <c r="P1064">
        <v>0.97857110000000003</v>
      </c>
      <c r="Q1064">
        <v>0.1857395</v>
      </c>
      <c r="R1064">
        <v>8.8879689999999997E-2</v>
      </c>
      <c r="S1064">
        <v>3.047882</v>
      </c>
      <c r="T1064">
        <v>-0.1277982</v>
      </c>
      <c r="U1064">
        <v>0.46368409999999899</v>
      </c>
      <c r="V1064">
        <v>-9.2628009999999997E-2</v>
      </c>
      <c r="W1064">
        <v>0.19785150000000001</v>
      </c>
      <c r="X1064">
        <v>0.97584570000000004</v>
      </c>
      <c r="Y1064">
        <v>-0.15402289999999999</v>
      </c>
      <c r="Z1064">
        <v>4.2823499999999999E-3</v>
      </c>
      <c r="AA1064">
        <v>0.98805799999999999</v>
      </c>
      <c r="AB1064">
        <v>34</v>
      </c>
      <c r="AC1064">
        <v>25.098500000000001</v>
      </c>
      <c r="AD1064">
        <v>-1.0602567780229999</v>
      </c>
      <c r="AE1064">
        <v>3.8475999999999999</v>
      </c>
      <c r="AF1064">
        <v>-3.93705557122526</v>
      </c>
      <c r="AG1064">
        <v>-1.0602567780229999</v>
      </c>
      <c r="AH1064">
        <v>25.0398861616424</v>
      </c>
      <c r="AI1064">
        <v>92.395219266781297</v>
      </c>
      <c r="AJ1064">
        <v>98.935539154186799</v>
      </c>
      <c r="AK1064">
        <v>25.369675796002401</v>
      </c>
      <c r="AL1064">
        <v>78.588651323704696</v>
      </c>
      <c r="AM1064">
        <v>95.422312636246701</v>
      </c>
      <c r="AN1064">
        <v>0.99999999724864996</v>
      </c>
    </row>
    <row r="1065" spans="1:40" x14ac:dyDescent="0.25">
      <c r="A1065" t="str">
        <f>"20190304155033545"</f>
        <v>20190304155033545</v>
      </c>
      <c r="B1065" t="str">
        <f>"1551685833537508"</f>
        <v>1551685833537508</v>
      </c>
      <c r="C1065" t="s">
        <v>40</v>
      </c>
      <c r="D1065">
        <v>4.9893470000000004</v>
      </c>
      <c r="E1065">
        <v>0.47388770000000002</v>
      </c>
      <c r="F1065" t="s">
        <v>41</v>
      </c>
      <c r="G1065">
        <v>-257.00970000000001</v>
      </c>
      <c r="H1065" s="1">
        <v>-1.7497979999999999E-6</v>
      </c>
      <c r="I1065">
        <v>371.43770000000001</v>
      </c>
      <c r="J1065">
        <v>-281.86040000000003</v>
      </c>
      <c r="K1065">
        <v>1.0602529999999999</v>
      </c>
      <c r="L1065">
        <v>367.59140000000002</v>
      </c>
      <c r="M1065">
        <v>0.99991600000000003</v>
      </c>
      <c r="N1065">
        <v>-1.237809E-2</v>
      </c>
      <c r="O1065">
        <v>-3.8381890000000001E-3</v>
      </c>
      <c r="P1065">
        <v>0.97854359999999996</v>
      </c>
      <c r="Q1065">
        <v>0.1859208</v>
      </c>
      <c r="R1065">
        <v>8.8803859999999998E-2</v>
      </c>
      <c r="S1065">
        <v>3.0476679999999998</v>
      </c>
      <c r="T1065">
        <v>-0.12907660000000001</v>
      </c>
      <c r="U1065">
        <v>0.46817019999999998</v>
      </c>
      <c r="V1065">
        <v>-9.2551800000000004E-2</v>
      </c>
      <c r="W1065">
        <v>0.198018</v>
      </c>
      <c r="X1065">
        <v>0.9758192</v>
      </c>
      <c r="Y1065">
        <v>-0.15544920000000001</v>
      </c>
      <c r="Z1065">
        <v>4.3538120000000003E-3</v>
      </c>
      <c r="AA1065">
        <v>0.98783430000000005</v>
      </c>
      <c r="AB1065">
        <v>34</v>
      </c>
      <c r="AC1065">
        <v>24.8507</v>
      </c>
      <c r="AD1065">
        <v>-1.0602547497979999</v>
      </c>
      <c r="AE1065">
        <v>3.8462999999999798</v>
      </c>
      <c r="AF1065">
        <v>-3.9346659447593502</v>
      </c>
      <c r="AG1065">
        <v>-1.0602547497979999</v>
      </c>
      <c r="AH1065">
        <v>24.791680435908599</v>
      </c>
      <c r="AI1065">
        <v>92.418616134346294</v>
      </c>
      <c r="AJ1065">
        <v>99.018146981302294</v>
      </c>
      <c r="AK1065">
        <v>25.124353823880401</v>
      </c>
      <c r="AL1065">
        <v>78.578919491225903</v>
      </c>
      <c r="AM1065">
        <v>95.418024223528306</v>
      </c>
      <c r="AN1065">
        <v>1.0000000375479301</v>
      </c>
    </row>
    <row r="1066" spans="1:40" x14ac:dyDescent="0.25">
      <c r="A1066" t="str">
        <f>"20190304155033556"</f>
        <v>20190304155033556</v>
      </c>
      <c r="B1066" t="str">
        <f>"1551685833547269"</f>
        <v>1551685833547269</v>
      </c>
      <c r="C1066" t="s">
        <v>40</v>
      </c>
      <c r="D1066">
        <v>4.9801320000000002</v>
      </c>
      <c r="E1066">
        <v>0.47373599999999999</v>
      </c>
      <c r="F1066" t="s">
        <v>41</v>
      </c>
      <c r="G1066">
        <v>-256.36900000000003</v>
      </c>
      <c r="H1066" s="1">
        <v>-2.0506520000000001E-6</v>
      </c>
      <c r="I1066">
        <v>371.53559999999999</v>
      </c>
      <c r="J1066">
        <v>-281.69600000000003</v>
      </c>
      <c r="K1066">
        <v>1.060249</v>
      </c>
      <c r="L1066">
        <v>367.5908</v>
      </c>
      <c r="M1066">
        <v>0.99991629999999998</v>
      </c>
      <c r="N1066">
        <v>-1.236406E-2</v>
      </c>
      <c r="O1066">
        <v>-3.8383409999999999E-3</v>
      </c>
      <c r="P1066">
        <v>0.97855289999999995</v>
      </c>
      <c r="Q1066">
        <v>0.1858687</v>
      </c>
      <c r="R1066">
        <v>8.880979E-2</v>
      </c>
      <c r="S1066">
        <v>3.0471189999999999</v>
      </c>
      <c r="T1066">
        <v>-0.1267374</v>
      </c>
      <c r="U1066">
        <v>0.4714661</v>
      </c>
      <c r="V1066">
        <v>-9.2557700000000007E-2</v>
      </c>
      <c r="W1066">
        <v>0.19795299999999999</v>
      </c>
      <c r="X1066">
        <v>0.97583180000000003</v>
      </c>
      <c r="Y1066">
        <v>-0.1565242</v>
      </c>
      <c r="Z1066">
        <v>4.3199079999999999E-3</v>
      </c>
      <c r="AA1066">
        <v>0.98766469999999995</v>
      </c>
      <c r="AB1066">
        <v>34</v>
      </c>
      <c r="AC1066">
        <v>25.326999999999899</v>
      </c>
      <c r="AD1066">
        <v>-1.060251050652</v>
      </c>
      <c r="AE1066">
        <v>3.9447999999999799</v>
      </c>
      <c r="AF1066">
        <v>-4.03508814483272</v>
      </c>
      <c r="AG1066">
        <v>-1.060251050652</v>
      </c>
      <c r="AH1066">
        <v>25.268437467015001</v>
      </c>
      <c r="AI1066">
        <v>92.372666294702498</v>
      </c>
      <c r="AJ1066">
        <v>99.072894428439596</v>
      </c>
      <c r="AK1066">
        <v>25.610544716023199</v>
      </c>
      <c r="AL1066">
        <v>78.582718607609806</v>
      </c>
      <c r="AM1066">
        <v>95.418298010770002</v>
      </c>
      <c r="AN1066">
        <v>1.0000000099647599</v>
      </c>
    </row>
    <row r="1067" spans="1:40" x14ac:dyDescent="0.25">
      <c r="A1067" t="str">
        <f>"20190304155033567"</f>
        <v>20190304155033567</v>
      </c>
      <c r="B1067" t="str">
        <f>"1551685833557029"</f>
        <v>1551685833557029</v>
      </c>
      <c r="C1067" t="s">
        <v>40</v>
      </c>
      <c r="D1067">
        <v>4.9705519999999996</v>
      </c>
      <c r="E1067">
        <v>0.47335949999999999</v>
      </c>
      <c r="F1067" t="s">
        <v>41</v>
      </c>
      <c r="G1067">
        <v>-255.89500000000001</v>
      </c>
      <c r="H1067" s="1">
        <v>-2.2698799999999999E-6</v>
      </c>
      <c r="I1067">
        <v>371.5951</v>
      </c>
      <c r="J1067">
        <v>-281.52350000000001</v>
      </c>
      <c r="K1067">
        <v>1.0602389999999999</v>
      </c>
      <c r="L1067">
        <v>367.59010000000001</v>
      </c>
      <c r="M1067">
        <v>0.99991649999999999</v>
      </c>
      <c r="N1067">
        <v>-1.234911E-2</v>
      </c>
      <c r="O1067">
        <v>-3.8382490000000002E-3</v>
      </c>
      <c r="P1067">
        <v>0.97859929999999995</v>
      </c>
      <c r="Q1067">
        <v>0.18574489999999999</v>
      </c>
      <c r="R1067">
        <v>8.8557090000000005E-2</v>
      </c>
      <c r="S1067">
        <v>3.0466609999999998</v>
      </c>
      <c r="T1067">
        <v>-0.1251968</v>
      </c>
      <c r="U1067">
        <v>0.47283940000000002</v>
      </c>
      <c r="V1067">
        <v>-9.2305319999999996E-2</v>
      </c>
      <c r="W1067">
        <v>0.19781509999999999</v>
      </c>
      <c r="X1067">
        <v>0.97588370000000002</v>
      </c>
      <c r="Y1067">
        <v>-0.1569845</v>
      </c>
      <c r="Z1067">
        <v>4.2902390000000004E-3</v>
      </c>
      <c r="AA1067">
        <v>0.98759169999999996</v>
      </c>
      <c r="AB1067">
        <v>34</v>
      </c>
      <c r="AC1067">
        <v>25.628499999999999</v>
      </c>
      <c r="AD1067">
        <v>-1.0602412698799999</v>
      </c>
      <c r="AE1067">
        <v>4.0049999999999901</v>
      </c>
      <c r="AF1067">
        <v>-4.0965027387584998</v>
      </c>
      <c r="AG1067">
        <v>-1.0602412698799999</v>
      </c>
      <c r="AH1067">
        <v>25.570219023650001</v>
      </c>
      <c r="AI1067">
        <v>92.344484865899403</v>
      </c>
      <c r="AJ1067">
        <v>99.101785370635696</v>
      </c>
      <c r="AK1067">
        <v>25.917977296780801</v>
      </c>
      <c r="AL1067">
        <v>78.590779445794794</v>
      </c>
      <c r="AM1067">
        <v>95.403325658993396</v>
      </c>
      <c r="AN1067">
        <v>1.000000040907</v>
      </c>
    </row>
    <row r="1068" spans="1:40" x14ac:dyDescent="0.25">
      <c r="A1068" t="str">
        <f>"20190304155033581"</f>
        <v>20190304155033581</v>
      </c>
      <c r="B1068" t="str">
        <f>"1551685833577525"</f>
        <v>1551685833577525</v>
      </c>
      <c r="C1068" t="s">
        <v>40</v>
      </c>
      <c r="D1068">
        <v>4.9811420000000002</v>
      </c>
      <c r="E1068">
        <v>0.47298200000000001</v>
      </c>
      <c r="F1068" t="s">
        <v>41</v>
      </c>
      <c r="G1068">
        <v>-256.16770000000002</v>
      </c>
      <c r="H1068" s="1">
        <v>-2.1399419999999999E-6</v>
      </c>
      <c r="I1068">
        <v>371.54649999999998</v>
      </c>
      <c r="J1068">
        <v>-281.31760000000003</v>
      </c>
      <c r="K1068">
        <v>1.0602339999999999</v>
      </c>
      <c r="L1068">
        <v>367.58940000000001</v>
      </c>
      <c r="M1068">
        <v>0.99991660000000004</v>
      </c>
      <c r="N1068">
        <v>-1.233156E-2</v>
      </c>
      <c r="O1068">
        <v>-3.8379019999999998E-3</v>
      </c>
      <c r="P1068">
        <v>0.97855639999999999</v>
      </c>
      <c r="Q1068">
        <v>0.1859809</v>
      </c>
      <c r="R1068">
        <v>8.8536309999999993E-2</v>
      </c>
      <c r="S1068">
        <v>3.0467529999999998</v>
      </c>
      <c r="T1068">
        <v>-0.12739829999999999</v>
      </c>
      <c r="U1068">
        <v>0.47540280000000001</v>
      </c>
      <c r="V1068">
        <v>-9.2284420000000006E-2</v>
      </c>
      <c r="W1068">
        <v>0.1980334</v>
      </c>
      <c r="X1068">
        <v>0.97584130000000002</v>
      </c>
      <c r="Y1068">
        <v>-0.1577848</v>
      </c>
      <c r="Z1068">
        <v>4.3693209999999998E-3</v>
      </c>
      <c r="AA1068">
        <v>0.9874638</v>
      </c>
      <c r="AB1068">
        <v>34</v>
      </c>
      <c r="AC1068">
        <v>25.149899999999999</v>
      </c>
      <c r="AD1068">
        <v>-1.0602361399419999</v>
      </c>
      <c r="AE1068">
        <v>3.9570999999999601</v>
      </c>
      <c r="AF1068">
        <v>-4.0465832487538496</v>
      </c>
      <c r="AG1068">
        <v>-1.0602361399419999</v>
      </c>
      <c r="AH1068">
        <v>25.091012494777001</v>
      </c>
      <c r="AI1068">
        <v>92.388798453827306</v>
      </c>
      <c r="AJ1068">
        <v>99.161558617364193</v>
      </c>
      <c r="AK1068">
        <v>25.437331712948801</v>
      </c>
      <c r="AL1068">
        <v>78.578018206526195</v>
      </c>
      <c r="AM1068">
        <v>95.402342794357693</v>
      </c>
      <c r="AN1068">
        <v>0.99999994223799105</v>
      </c>
    </row>
    <row r="1069" spans="1:40" x14ac:dyDescent="0.25">
      <c r="A1069" t="str">
        <f>"20190304155033598"</f>
        <v>20190304155033598</v>
      </c>
      <c r="B1069" t="str">
        <f>"1551685833587285"</f>
        <v>1551685833587285</v>
      </c>
      <c r="C1069" t="s">
        <v>40</v>
      </c>
      <c r="D1069">
        <v>4.965903</v>
      </c>
      <c r="E1069">
        <v>0.47270780000000001</v>
      </c>
      <c r="F1069" t="s">
        <v>41</v>
      </c>
      <c r="G1069">
        <v>-255.48050000000001</v>
      </c>
      <c r="H1069" s="1">
        <v>-2.4614109999999999E-6</v>
      </c>
      <c r="I1069">
        <v>371.64670000000001</v>
      </c>
      <c r="J1069">
        <v>-281.08</v>
      </c>
      <c r="K1069">
        <v>1.0603640000000001</v>
      </c>
      <c r="L1069">
        <v>367.58839999999998</v>
      </c>
      <c r="M1069">
        <v>0.99991079999999999</v>
      </c>
      <c r="N1069">
        <v>-1.27974E-2</v>
      </c>
      <c r="O1069">
        <v>-3.8382020000000002E-3</v>
      </c>
      <c r="P1069">
        <v>0.97870239999999997</v>
      </c>
      <c r="Q1069">
        <v>0.18512419999999999</v>
      </c>
      <c r="R1069">
        <v>8.8717039999999997E-2</v>
      </c>
      <c r="S1069">
        <v>3.0462039999999999</v>
      </c>
      <c r="T1069">
        <v>-0.1250018</v>
      </c>
      <c r="U1069">
        <v>0.47836299999999998</v>
      </c>
      <c r="V1069">
        <v>-9.2465599999999995E-2</v>
      </c>
      <c r="W1069">
        <v>0.1976328</v>
      </c>
      <c r="X1069">
        <v>0.97590540000000003</v>
      </c>
      <c r="Y1069">
        <v>-0.15875210000000001</v>
      </c>
      <c r="Z1069">
        <v>4.366315E-3</v>
      </c>
      <c r="AA1069">
        <v>0.98730879999999999</v>
      </c>
      <c r="AB1069">
        <v>34</v>
      </c>
      <c r="AC1069">
        <v>25.5994999999999</v>
      </c>
      <c r="AD1069">
        <v>-1.06036646141099</v>
      </c>
      <c r="AE1069">
        <v>4.0583000000000302</v>
      </c>
      <c r="AF1069">
        <v>-4.1495891617488398</v>
      </c>
      <c r="AG1069">
        <v>-1.06036646141099</v>
      </c>
      <c r="AH1069">
        <v>25.540986429512799</v>
      </c>
      <c r="AI1069">
        <v>92.346608244197995</v>
      </c>
      <c r="AJ1069">
        <v>99.228091586883593</v>
      </c>
      <c r="AK1069">
        <v>25.897595545462199</v>
      </c>
      <c r="AL1069">
        <v>78.601434126992501</v>
      </c>
      <c r="AM1069">
        <v>95.412532741388802</v>
      </c>
      <c r="AN1069">
        <v>0.99999998028417902</v>
      </c>
    </row>
    <row r="1070" spans="1:40" x14ac:dyDescent="0.25">
      <c r="A1070" t="str">
        <f>"20190304155033609"</f>
        <v>20190304155033609</v>
      </c>
      <c r="B1070" t="str">
        <f>"1551685833607780"</f>
        <v>1551685833607780</v>
      </c>
      <c r="C1070" t="s">
        <v>40</v>
      </c>
      <c r="D1070">
        <v>4.9992169999999998</v>
      </c>
      <c r="E1070">
        <v>0.47235270000000001</v>
      </c>
      <c r="F1070" t="s">
        <v>41</v>
      </c>
      <c r="G1070">
        <v>-256.34739999999999</v>
      </c>
      <c r="H1070" s="1">
        <v>-2.049047E-6</v>
      </c>
      <c r="I1070">
        <v>371.49470000000002</v>
      </c>
      <c r="J1070">
        <v>-280.89550000000003</v>
      </c>
      <c r="K1070">
        <v>1.060568</v>
      </c>
      <c r="L1070">
        <v>367.58769999999998</v>
      </c>
      <c r="M1070">
        <v>0.99990259999999997</v>
      </c>
      <c r="N1070">
        <v>-1.3425799999999899E-2</v>
      </c>
      <c r="O1070">
        <v>-3.838026E-3</v>
      </c>
      <c r="P1070">
        <v>0.97882100000000005</v>
      </c>
      <c r="Q1070">
        <v>0.18448310000000001</v>
      </c>
      <c r="R1070">
        <v>8.8745379999999999E-2</v>
      </c>
      <c r="S1070">
        <v>3.0463559999999998</v>
      </c>
      <c r="T1070">
        <v>-0.130607</v>
      </c>
      <c r="U1070">
        <v>0.48114010000000001</v>
      </c>
      <c r="V1070">
        <v>-9.2494489999999999E-2</v>
      </c>
      <c r="W1070">
        <v>0.19760659999999999</v>
      </c>
      <c r="X1070">
        <v>0.975908</v>
      </c>
      <c r="Y1070">
        <v>-0.15960550000000001</v>
      </c>
      <c r="Z1070">
        <v>4.58977E-3</v>
      </c>
      <c r="AA1070">
        <v>0.9871702</v>
      </c>
      <c r="AB1070">
        <v>34</v>
      </c>
      <c r="AC1070">
        <v>24.548100000000002</v>
      </c>
      <c r="AD1070">
        <v>-1.060570049047</v>
      </c>
      <c r="AE1070">
        <v>3.9070000000000298</v>
      </c>
      <c r="AF1070">
        <v>-3.9939252048396501</v>
      </c>
      <c r="AG1070">
        <v>-1.060570049047</v>
      </c>
      <c r="AH1070">
        <v>24.488342828989602</v>
      </c>
      <c r="AI1070">
        <v>92.447584437479406</v>
      </c>
      <c r="AJ1070">
        <v>99.263094608913093</v>
      </c>
      <c r="AK1070">
        <v>24.834556204629799</v>
      </c>
      <c r="AL1070">
        <v>78.602965840022193</v>
      </c>
      <c r="AM1070">
        <v>95.414199449638602</v>
      </c>
      <c r="AN1070">
        <v>1.00000001175396</v>
      </c>
    </row>
    <row r="1071" spans="1:40" x14ac:dyDescent="0.25">
      <c r="A1071" t="str">
        <f>"20190304155033621"</f>
        <v>20190304155033621</v>
      </c>
      <c r="B1071" t="str">
        <f>"1551685833617540"</f>
        <v>1551685833617540</v>
      </c>
      <c r="C1071" t="s">
        <v>40</v>
      </c>
      <c r="D1071">
        <v>5.0163849999999996</v>
      </c>
      <c r="E1071">
        <v>0.47209980000000001</v>
      </c>
      <c r="F1071" t="s">
        <v>41</v>
      </c>
      <c r="G1071">
        <v>-256.54750000000001</v>
      </c>
      <c r="H1071" s="1">
        <v>-1.953408E-6</v>
      </c>
      <c r="I1071">
        <v>371.45780000000002</v>
      </c>
      <c r="J1071">
        <v>-280.72329999999999</v>
      </c>
      <c r="K1071">
        <v>1.060929</v>
      </c>
      <c r="L1071">
        <v>367.58710000000002</v>
      </c>
      <c r="M1071">
        <v>0.99989289999999997</v>
      </c>
      <c r="N1071">
        <v>-1.413416E-2</v>
      </c>
      <c r="O1071">
        <v>-3.8383720000000001E-3</v>
      </c>
      <c r="P1071">
        <v>0.97894199999999998</v>
      </c>
      <c r="Q1071">
        <v>0.18373110000000001</v>
      </c>
      <c r="R1071">
        <v>8.8970560000000004E-2</v>
      </c>
      <c r="S1071">
        <v>3.0460210000000001</v>
      </c>
      <c r="T1071">
        <v>-0.13268050000000001</v>
      </c>
      <c r="U1071">
        <v>0.48416140000000002</v>
      </c>
      <c r="V1071">
        <v>-9.2720369999999996E-2</v>
      </c>
      <c r="W1071">
        <v>0.19754769999999999</v>
      </c>
      <c r="X1071">
        <v>0.97589840000000005</v>
      </c>
      <c r="Y1071">
        <v>-0.16056879999999901</v>
      </c>
      <c r="Z1071">
        <v>4.7284290000000001E-3</v>
      </c>
      <c r="AA1071">
        <v>0.98701329999999998</v>
      </c>
      <c r="AB1071">
        <v>33</v>
      </c>
      <c r="AC1071">
        <v>24.175799999999899</v>
      </c>
      <c r="AD1071">
        <v>-1.060930953408</v>
      </c>
      <c r="AE1071">
        <v>3.8706999999999998</v>
      </c>
      <c r="AF1071">
        <v>-3.9560482825763899</v>
      </c>
      <c r="AG1071">
        <v>-1.060930953408</v>
      </c>
      <c r="AH1071">
        <v>24.115482198957299</v>
      </c>
      <c r="AI1071">
        <v>92.485849093044806</v>
      </c>
      <c r="AJ1071">
        <v>99.3161652106579</v>
      </c>
      <c r="AK1071">
        <v>24.4608334729257</v>
      </c>
      <c r="AL1071">
        <v>78.606407410139596</v>
      </c>
      <c r="AM1071">
        <v>95.4273956348746</v>
      </c>
      <c r="AN1071">
        <v>0.99999992395538995</v>
      </c>
    </row>
    <row r="1072" spans="1:40" x14ac:dyDescent="0.25">
      <c r="A1072" t="str">
        <f>"20190304155033633"</f>
        <v>20190304155033633</v>
      </c>
      <c r="B1072" t="str">
        <f>"1551685833627300"</f>
        <v>1551685833627300</v>
      </c>
      <c r="C1072" t="s">
        <v>40</v>
      </c>
      <c r="D1072">
        <v>5.0087739999999998</v>
      </c>
      <c r="E1072">
        <v>0.47187370000000001</v>
      </c>
      <c r="F1072" t="s">
        <v>41</v>
      </c>
      <c r="G1072">
        <v>-257.00970000000001</v>
      </c>
      <c r="H1072" s="1">
        <v>-1.7333289999999999E-6</v>
      </c>
      <c r="I1072">
        <v>371.3759</v>
      </c>
      <c r="J1072">
        <v>-280.54730000000001</v>
      </c>
      <c r="K1072">
        <v>1.0612919999999999</v>
      </c>
      <c r="L1072">
        <v>367.58640000000003</v>
      </c>
      <c r="M1072">
        <v>0.99988829999999995</v>
      </c>
      <c r="N1072">
        <v>-1.4444899999999899E-2</v>
      </c>
      <c r="O1072">
        <v>-3.8385659999999999E-3</v>
      </c>
      <c r="P1072">
        <v>0.97897049999999997</v>
      </c>
      <c r="Q1072">
        <v>0.1835242</v>
      </c>
      <c r="R1072">
        <v>8.9083140000000005E-2</v>
      </c>
      <c r="S1072">
        <v>3.045868</v>
      </c>
      <c r="T1072">
        <v>-0.13627</v>
      </c>
      <c r="U1072">
        <v>0.48666379999999998</v>
      </c>
      <c r="V1072">
        <v>-9.2833460000000007E-2</v>
      </c>
      <c r="W1072">
        <v>0.19764490000000001</v>
      </c>
      <c r="X1072">
        <v>0.97586799999999996</v>
      </c>
      <c r="Y1072">
        <v>-0.16135579999999999</v>
      </c>
      <c r="Z1072">
        <v>4.8740149999999998E-3</v>
      </c>
      <c r="AA1072">
        <v>0.98688430000000005</v>
      </c>
      <c r="AB1072">
        <v>33</v>
      </c>
      <c r="AC1072">
        <v>23.537600000000001</v>
      </c>
      <c r="AD1072">
        <v>-1.061293733329</v>
      </c>
      <c r="AE1072">
        <v>3.7894999999999701</v>
      </c>
      <c r="AF1072">
        <v>-3.8721587598182698</v>
      </c>
      <c r="AG1072">
        <v>-1.061293733329</v>
      </c>
      <c r="AH1072">
        <v>23.476356196837099</v>
      </c>
      <c r="AI1072">
        <v>92.553943365865507</v>
      </c>
      <c r="AJ1072">
        <v>99.365963750850995</v>
      </c>
      <c r="AK1072">
        <v>23.817205086458198</v>
      </c>
      <c r="AL1072">
        <v>78.600726612819102</v>
      </c>
      <c r="AM1072">
        <v>95.434144033232101</v>
      </c>
      <c r="AN1072">
        <v>0.99999995560778898</v>
      </c>
    </row>
    <row r="1073" spans="1:40" x14ac:dyDescent="0.25">
      <c r="A1073" t="str">
        <f>"20190304155033644"</f>
        <v>20190304155033644</v>
      </c>
      <c r="B1073" t="str">
        <f>"1551685833637061"</f>
        <v>1551685833637061</v>
      </c>
      <c r="C1073" t="s">
        <v>40</v>
      </c>
      <c r="D1073">
        <v>4.9777269999999998</v>
      </c>
      <c r="E1073">
        <v>0.47175470000000003</v>
      </c>
      <c r="F1073" t="s">
        <v>41</v>
      </c>
      <c r="G1073">
        <v>-257.10649999999998</v>
      </c>
      <c r="H1073" s="1">
        <v>-1.6844980000000001E-6</v>
      </c>
      <c r="I1073">
        <v>371.3485</v>
      </c>
      <c r="J1073">
        <v>-280.37349999999998</v>
      </c>
      <c r="K1073">
        <v>1.0616380000000001</v>
      </c>
      <c r="L1073">
        <v>367.58580000000001</v>
      </c>
      <c r="M1073">
        <v>0.99989019999999995</v>
      </c>
      <c r="N1073">
        <v>-1.431589E-2</v>
      </c>
      <c r="O1073">
        <v>-3.838836E-3</v>
      </c>
      <c r="P1073">
        <v>0.97896899999999998</v>
      </c>
      <c r="Q1073">
        <v>0.18359619999999999</v>
      </c>
      <c r="R1073">
        <v>8.8951710000000003E-2</v>
      </c>
      <c r="S1073">
        <v>3.0458069999999999</v>
      </c>
      <c r="T1073">
        <v>-0.13789989999999999</v>
      </c>
      <c r="U1073">
        <v>0.4888306</v>
      </c>
      <c r="V1073">
        <v>-9.2701859999999997E-2</v>
      </c>
      <c r="W1073">
        <v>0.19759119999999999</v>
      </c>
      <c r="X1073">
        <v>0.97589139999999996</v>
      </c>
      <c r="Y1073">
        <v>-0.16203870000000001</v>
      </c>
      <c r="Z1073">
        <v>4.9291279999999996E-3</v>
      </c>
      <c r="AA1073">
        <v>0.98677210000000004</v>
      </c>
      <c r="AB1073">
        <v>33</v>
      </c>
      <c r="AC1073">
        <v>23.266999999999999</v>
      </c>
      <c r="AD1073">
        <v>-1.0616396844979901</v>
      </c>
      <c r="AE1073">
        <v>3.7626999999999899</v>
      </c>
      <c r="AF1073">
        <v>-3.8442001040520899</v>
      </c>
      <c r="AG1073">
        <v>-1.0616396844979901</v>
      </c>
      <c r="AH1073">
        <v>23.205301331872501</v>
      </c>
      <c r="AI1073">
        <v>92.584276444042601</v>
      </c>
      <c r="AJ1073">
        <v>99.406217926173895</v>
      </c>
      <c r="AK1073">
        <v>23.5455083436884</v>
      </c>
      <c r="AL1073">
        <v>78.603865470320002</v>
      </c>
      <c r="AM1073">
        <v>95.426357308404604</v>
      </c>
      <c r="AN1073">
        <v>0.99999997087942905</v>
      </c>
    </row>
    <row r="1074" spans="1:40" x14ac:dyDescent="0.25">
      <c r="A1074" t="str">
        <f>"20190304155033655"</f>
        <v>20190304155033655</v>
      </c>
      <c r="B1074" t="str">
        <f>"1551685833647796"</f>
        <v>1551685833647796</v>
      </c>
      <c r="C1074" t="s">
        <v>40</v>
      </c>
      <c r="D1074">
        <v>5.0197699999999896</v>
      </c>
      <c r="E1074">
        <v>0.47162660000000001</v>
      </c>
      <c r="F1074" t="s">
        <v>41</v>
      </c>
      <c r="G1074">
        <v>-257.0059</v>
      </c>
      <c r="H1074" s="1">
        <v>-1.725375E-6</v>
      </c>
      <c r="I1074">
        <v>371.3399</v>
      </c>
      <c r="J1074">
        <v>-280.2183</v>
      </c>
      <c r="K1074">
        <v>1.0619459999999901</v>
      </c>
      <c r="L1074">
        <v>367.58519999999999</v>
      </c>
      <c r="M1074">
        <v>0.9998996</v>
      </c>
      <c r="N1074">
        <v>-1.364518E-2</v>
      </c>
      <c r="O1074">
        <v>-3.8386869999999999E-3</v>
      </c>
      <c r="P1074">
        <v>0.97884230000000005</v>
      </c>
      <c r="Q1074">
        <v>0.1841777</v>
      </c>
      <c r="R1074">
        <v>8.9145119999999994E-2</v>
      </c>
      <c r="S1074">
        <v>3.0459290000000001</v>
      </c>
      <c r="T1074">
        <v>-0.13838259999999999</v>
      </c>
      <c r="U1074">
        <v>0.48934939999999999</v>
      </c>
      <c r="V1074">
        <v>-9.2894550000000006E-2</v>
      </c>
      <c r="W1074">
        <v>0.197516</v>
      </c>
      <c r="X1074">
        <v>0.97588830000000004</v>
      </c>
      <c r="Y1074">
        <v>-0.16219700000000001</v>
      </c>
      <c r="Z1074">
        <v>4.8947599999999997E-3</v>
      </c>
      <c r="AA1074">
        <v>0.98674629999999997</v>
      </c>
      <c r="AB1074">
        <v>33</v>
      </c>
      <c r="AC1074">
        <v>23.212399999999999</v>
      </c>
      <c r="AD1074">
        <v>-1.06194772537499</v>
      </c>
      <c r="AE1074">
        <v>3.7547000000000099</v>
      </c>
      <c r="AF1074">
        <v>-3.8359618551549501</v>
      </c>
      <c r="AG1074">
        <v>-1.06194772537499</v>
      </c>
      <c r="AH1074">
        <v>23.150596067379801</v>
      </c>
      <c r="AI1074">
        <v>92.591110558595602</v>
      </c>
      <c r="AJ1074">
        <v>99.408203372918095</v>
      </c>
      <c r="AK1074">
        <v>23.490262548567099</v>
      </c>
      <c r="AL1074">
        <v>78.608260734521707</v>
      </c>
      <c r="AM1074">
        <v>95.437586164922706</v>
      </c>
      <c r="AN1074">
        <v>0.999999970876295</v>
      </c>
    </row>
    <row r="1075" spans="1:40" x14ac:dyDescent="0.25">
      <c r="A1075" t="str">
        <f>"20190304155033666"</f>
        <v>20190304155033666</v>
      </c>
      <c r="B1075" t="str">
        <f>"1551685833657557"</f>
        <v>1551685833657557</v>
      </c>
      <c r="C1075" t="s">
        <v>40</v>
      </c>
      <c r="D1075">
        <v>5.2375720000000001</v>
      </c>
      <c r="E1075">
        <v>0.47181479999999998</v>
      </c>
      <c r="F1075" t="s">
        <v>41</v>
      </c>
      <c r="G1075">
        <v>-256.63350000000003</v>
      </c>
      <c r="H1075" s="1">
        <v>-1.897523E-6</v>
      </c>
      <c r="I1075">
        <v>371.38650000000001</v>
      </c>
      <c r="J1075">
        <v>-280.04849999999999</v>
      </c>
      <c r="K1075">
        <v>1.0622830000000001</v>
      </c>
      <c r="L1075">
        <v>367.58449999999999</v>
      </c>
      <c r="M1075">
        <v>0.99991169999999996</v>
      </c>
      <c r="N1075">
        <v>-1.272353E-2</v>
      </c>
      <c r="O1075">
        <v>-3.8383430000000001E-3</v>
      </c>
      <c r="P1075">
        <v>0.97869099999999998</v>
      </c>
      <c r="Q1075">
        <v>0.1849295</v>
      </c>
      <c r="R1075">
        <v>8.9247460000000001E-2</v>
      </c>
      <c r="S1075">
        <v>3.0459290000000001</v>
      </c>
      <c r="T1075">
        <v>-0.1371481</v>
      </c>
      <c r="U1075">
        <v>0.49093629999999999</v>
      </c>
      <c r="V1075">
        <v>-9.2995599999999998E-2</v>
      </c>
      <c r="W1075">
        <v>0.1973664</v>
      </c>
      <c r="X1075">
        <v>0.97590900000000003</v>
      </c>
      <c r="Y1075">
        <v>-0.16270370000000001</v>
      </c>
      <c r="Z1075">
        <v>4.8032760000000004E-3</v>
      </c>
      <c r="AA1075">
        <v>0.98666330000000002</v>
      </c>
      <c r="AB1075">
        <v>33</v>
      </c>
      <c r="AC1075">
        <v>23.4149999999999</v>
      </c>
      <c r="AD1075">
        <v>-1.0622848975229999</v>
      </c>
      <c r="AE1075">
        <v>3.80200000000002</v>
      </c>
      <c r="AF1075">
        <v>-3.8840651276464699</v>
      </c>
      <c r="AG1075">
        <v>-1.0622848975229999</v>
      </c>
      <c r="AH1075">
        <v>23.353401024267999</v>
      </c>
      <c r="AI1075">
        <v>92.569196270267298</v>
      </c>
      <c r="AJ1075">
        <v>99.442822252049993</v>
      </c>
      <c r="AK1075">
        <v>23.698011530919299</v>
      </c>
      <c r="AL1075">
        <v>78.617004948848404</v>
      </c>
      <c r="AM1075">
        <v>95.443350853016597</v>
      </c>
      <c r="AN1075">
        <v>1.0000000268746501</v>
      </c>
    </row>
    <row r="1076" spans="1:40" x14ac:dyDescent="0.25">
      <c r="A1076" t="str">
        <f>"20190304155033678"</f>
        <v>20190304155033678</v>
      </c>
      <c r="B1076" t="str">
        <f>"1551685833667317"</f>
        <v>1551685833667317</v>
      </c>
      <c r="C1076" t="s">
        <v>40</v>
      </c>
      <c r="D1076">
        <v>5.0049979999999996</v>
      </c>
      <c r="E1076">
        <v>0.4717462</v>
      </c>
      <c r="F1076" t="s">
        <v>41</v>
      </c>
      <c r="G1076">
        <v>-256.13630000000001</v>
      </c>
      <c r="H1076" s="1">
        <v>-2.1223220000000002E-6</v>
      </c>
      <c r="I1076">
        <v>371.42959999999999</v>
      </c>
      <c r="J1076">
        <v>-279.88470000000001</v>
      </c>
      <c r="K1076">
        <v>1.0627409999999999</v>
      </c>
      <c r="L1076">
        <v>367.5838</v>
      </c>
      <c r="M1076">
        <v>0.99992440000000005</v>
      </c>
      <c r="N1076">
        <v>-1.167531E-2</v>
      </c>
      <c r="O1076">
        <v>-3.8380340000000002E-3</v>
      </c>
      <c r="P1076">
        <v>0.97848650000000004</v>
      </c>
      <c r="Q1076">
        <v>0.18613650000000001</v>
      </c>
      <c r="R1076">
        <v>8.8979600000000006E-2</v>
      </c>
      <c r="S1076">
        <v>3.0462340000000001</v>
      </c>
      <c r="T1076">
        <v>-0.1353261</v>
      </c>
      <c r="U1076">
        <v>0.48983759999999998</v>
      </c>
      <c r="V1076">
        <v>-9.2726890000000006E-2</v>
      </c>
      <c r="W1076">
        <v>0.19754769999999999</v>
      </c>
      <c r="X1076">
        <v>0.97589780000000004</v>
      </c>
      <c r="Y1076">
        <v>-0.16234999999999999</v>
      </c>
      <c r="Z1076">
        <v>4.6606180000000001E-3</v>
      </c>
      <c r="AA1076">
        <v>0.98672219999999999</v>
      </c>
      <c r="AB1076">
        <v>33</v>
      </c>
      <c r="AC1076">
        <v>23.7484</v>
      </c>
      <c r="AD1076">
        <v>-1.0627431223220001</v>
      </c>
      <c r="AE1076">
        <v>3.8457999999999899</v>
      </c>
      <c r="AF1076">
        <v>-3.92925751674237</v>
      </c>
      <c r="AG1076">
        <v>-1.0627431223220001</v>
      </c>
      <c r="AH1076">
        <v>23.687240539467901</v>
      </c>
      <c r="AI1076">
        <v>92.534304072955194</v>
      </c>
      <c r="AJ1076">
        <v>99.418504627346195</v>
      </c>
      <c r="AK1076">
        <v>24.034430551846501</v>
      </c>
      <c r="AL1076">
        <v>78.606407629738996</v>
      </c>
      <c r="AM1076">
        <v>95.427778321690198</v>
      </c>
      <c r="AN1076">
        <v>0.99999994297459904</v>
      </c>
    </row>
    <row r="1077" spans="1:40" x14ac:dyDescent="0.25">
      <c r="A1077" t="str">
        <f>"20190304155033688"</f>
        <v>20190304155033688</v>
      </c>
      <c r="B1077" t="str">
        <f>"1551685833677077"</f>
        <v>1551685833677077</v>
      </c>
      <c r="C1077" t="s">
        <v>40</v>
      </c>
      <c r="D1077">
        <v>5.0089519999999998</v>
      </c>
      <c r="E1077">
        <v>0.4715799</v>
      </c>
      <c r="F1077" t="s">
        <v>41</v>
      </c>
      <c r="G1077">
        <v>-255.1405</v>
      </c>
      <c r="H1077" s="1">
        <v>-2.5836379999999999E-6</v>
      </c>
      <c r="I1077">
        <v>371.55790000000002</v>
      </c>
      <c r="J1077">
        <v>-279.7226</v>
      </c>
      <c r="K1077">
        <v>1.0632219999999999</v>
      </c>
      <c r="L1077">
        <v>367.58319999999998</v>
      </c>
      <c r="M1077">
        <v>0.99993620000000005</v>
      </c>
      <c r="N1077">
        <v>-1.063622E-2</v>
      </c>
      <c r="O1077">
        <v>-3.8378430000000001E-3</v>
      </c>
      <c r="P1077">
        <v>0.97833499999999995</v>
      </c>
      <c r="Q1077">
        <v>0.18692800000000001</v>
      </c>
      <c r="R1077">
        <v>8.8989199999999893E-2</v>
      </c>
      <c r="S1077">
        <v>3.0463559999999998</v>
      </c>
      <c r="T1077">
        <v>-0.13083800000000001</v>
      </c>
      <c r="U1077">
        <v>0.48925780000000002</v>
      </c>
      <c r="V1077">
        <v>-9.2735810000000002E-2</v>
      </c>
      <c r="W1077">
        <v>0.19732330000000001</v>
      </c>
      <c r="X1077">
        <v>0.97594239999999999</v>
      </c>
      <c r="Y1077">
        <v>-0.16217590000000001</v>
      </c>
      <c r="Z1077">
        <v>4.4505600000000001E-3</v>
      </c>
      <c r="AA1077">
        <v>0.98675179999999996</v>
      </c>
      <c r="AB1077">
        <v>33</v>
      </c>
      <c r="AC1077">
        <v>24.582100000000001</v>
      </c>
      <c r="AD1077">
        <v>-1.0632245836380001</v>
      </c>
      <c r="AE1077">
        <v>3.9747000000000399</v>
      </c>
      <c r="AF1077">
        <v>-4.0616136762808797</v>
      </c>
      <c r="AG1077">
        <v>-1.0632245836380001</v>
      </c>
      <c r="AH1077">
        <v>24.521958516304</v>
      </c>
      <c r="AI1077">
        <v>92.449350188772797</v>
      </c>
      <c r="AJ1077">
        <v>99.404616002062099</v>
      </c>
      <c r="AK1077">
        <v>24.878778138122801</v>
      </c>
      <c r="AL1077">
        <v>78.619523528677405</v>
      </c>
      <c r="AM1077">
        <v>95.428050747802601</v>
      </c>
      <c r="AN1077">
        <v>0.99999999164850295</v>
      </c>
    </row>
    <row r="1078" spans="1:40" x14ac:dyDescent="0.25">
      <c r="A1078" t="str">
        <f>"20190304155033700"</f>
        <v>20190304155033700</v>
      </c>
      <c r="B1078" t="str">
        <f>"1551685833697573"</f>
        <v>1551685833697573</v>
      </c>
      <c r="C1078" t="s">
        <v>40</v>
      </c>
      <c r="D1078">
        <v>4.9866390000000003</v>
      </c>
      <c r="E1078">
        <v>0.47138790000000003</v>
      </c>
      <c r="F1078" t="s">
        <v>41</v>
      </c>
      <c r="G1078">
        <v>-254.5729</v>
      </c>
      <c r="H1078" s="1">
        <v>-2.8482399999999999E-6</v>
      </c>
      <c r="I1078">
        <v>371.63720000000001</v>
      </c>
      <c r="J1078">
        <v>-279.54239999999999</v>
      </c>
      <c r="K1078">
        <v>1.063922</v>
      </c>
      <c r="L1078">
        <v>367.58260000000001</v>
      </c>
      <c r="M1078">
        <v>0.99994700000000003</v>
      </c>
      <c r="N1078">
        <v>-9.5629280000000001E-3</v>
      </c>
      <c r="O1078">
        <v>-3.83731E-3</v>
      </c>
      <c r="P1078">
        <v>0.97821400000000003</v>
      </c>
      <c r="Q1078">
        <v>0.18752269999999999</v>
      </c>
      <c r="R1078">
        <v>8.9067690000000005E-2</v>
      </c>
      <c r="S1078">
        <v>3.0463870000000002</v>
      </c>
      <c r="T1078">
        <v>-0.12878789999999901</v>
      </c>
      <c r="U1078">
        <v>0.4910583</v>
      </c>
      <c r="V1078">
        <v>-9.2812870000000006E-2</v>
      </c>
      <c r="W1078">
        <v>0.1968694</v>
      </c>
      <c r="X1078">
        <v>0.97602670000000002</v>
      </c>
      <c r="Y1078">
        <v>-0.16275039999999999</v>
      </c>
      <c r="Z1078">
        <v>4.3249200000000003E-3</v>
      </c>
      <c r="AA1078">
        <v>0.98665780000000003</v>
      </c>
      <c r="AB1078">
        <v>34</v>
      </c>
      <c r="AC1078">
        <v>24.969499999999901</v>
      </c>
      <c r="AD1078">
        <v>-1.0639248482400001</v>
      </c>
      <c r="AE1078">
        <v>4.05459999999999</v>
      </c>
      <c r="AF1078">
        <v>-4.14306163859509</v>
      </c>
      <c r="AG1078">
        <v>-1.0639248482400001</v>
      </c>
      <c r="AH1078">
        <v>24.9096943408661</v>
      </c>
      <c r="AI1078">
        <v>92.412586837394201</v>
      </c>
      <c r="AJ1078">
        <v>99.443177324204598</v>
      </c>
      <c r="AK1078">
        <v>25.274290652346199</v>
      </c>
      <c r="AL1078">
        <v>78.646050002301493</v>
      </c>
      <c r="AM1078">
        <v>95.4320678777909</v>
      </c>
      <c r="AN1078">
        <v>0.99999995430344202</v>
      </c>
    </row>
    <row r="1079" spans="1:40" x14ac:dyDescent="0.25">
      <c r="A1079" t="str">
        <f>"20190304155033711"</f>
        <v>20190304155033711</v>
      </c>
      <c r="B1079" t="str">
        <f>"1551685833707333"</f>
        <v>1551685833707333</v>
      </c>
      <c r="C1079" t="s">
        <v>40</v>
      </c>
      <c r="D1079">
        <v>4.9985039999999996</v>
      </c>
      <c r="E1079">
        <v>0.47131289999999998</v>
      </c>
      <c r="F1079" t="s">
        <v>41</v>
      </c>
      <c r="G1079">
        <v>-254.18029999999999</v>
      </c>
      <c r="H1079" s="1">
        <v>-3.0289380000000001E-6</v>
      </c>
      <c r="I1079">
        <v>371.68340000000001</v>
      </c>
      <c r="J1079">
        <v>-279.3843</v>
      </c>
      <c r="K1079">
        <v>1.06457</v>
      </c>
      <c r="L1079">
        <v>367.58190000000002</v>
      </c>
      <c r="M1079">
        <v>0.99995529999999999</v>
      </c>
      <c r="N1079">
        <v>-8.6469819999999992E-3</v>
      </c>
      <c r="O1079">
        <v>-3.8368320000000001E-3</v>
      </c>
      <c r="P1079">
        <v>0.97805880000000001</v>
      </c>
      <c r="Q1079">
        <v>0.18830810000000001</v>
      </c>
      <c r="R1079">
        <v>8.9113739999999997E-2</v>
      </c>
      <c r="S1079">
        <v>3.0464479999999998</v>
      </c>
      <c r="T1079">
        <v>-0.1277963</v>
      </c>
      <c r="U1079">
        <v>0.49258420000000003</v>
      </c>
      <c r="V1079">
        <v>-9.2858239999999995E-2</v>
      </c>
      <c r="W1079">
        <v>0.19675909999999999</v>
      </c>
      <c r="X1079">
        <v>0.97604469999999999</v>
      </c>
      <c r="Y1079">
        <v>-0.163233399999999</v>
      </c>
      <c r="Z1079">
        <v>4.2377839999999996E-3</v>
      </c>
      <c r="AA1079">
        <v>0.98657839999999997</v>
      </c>
      <c r="AB1079">
        <v>34</v>
      </c>
      <c r="AC1079">
        <v>25.204000000000001</v>
      </c>
      <c r="AD1079">
        <v>-1.064573028938</v>
      </c>
      <c r="AE1079">
        <v>4.1014999999999802</v>
      </c>
      <c r="AF1079">
        <v>-4.1908929765587999</v>
      </c>
      <c r="AG1079">
        <v>-1.064573028938</v>
      </c>
      <c r="AH1079">
        <v>25.144375085381601</v>
      </c>
      <c r="AI1079">
        <v>92.391414631801496</v>
      </c>
      <c r="AJ1079">
        <v>99.462685356730006</v>
      </c>
      <c r="AK1079">
        <v>25.513457196335999</v>
      </c>
      <c r="AL1079">
        <v>78.652496629447199</v>
      </c>
      <c r="AM1079">
        <v>95.4346077318026</v>
      </c>
      <c r="AN1079">
        <v>1.0000000262833899</v>
      </c>
    </row>
    <row r="1080" spans="1:40" x14ac:dyDescent="0.25">
      <c r="A1080" t="str">
        <f>"20190304155033722"</f>
        <v>20190304155033722</v>
      </c>
      <c r="B1080" t="str">
        <f>"1551685833717093"</f>
        <v>1551685833717093</v>
      </c>
      <c r="C1080" t="s">
        <v>40</v>
      </c>
      <c r="D1080">
        <v>5.0155789999999998</v>
      </c>
      <c r="E1080">
        <v>0.47125600000000001</v>
      </c>
      <c r="F1080" t="s">
        <v>41</v>
      </c>
      <c r="G1080">
        <v>-253.5864</v>
      </c>
      <c r="H1080" s="1">
        <v>-3.30317E-6</v>
      </c>
      <c r="I1080">
        <v>371.75639999999999</v>
      </c>
      <c r="J1080">
        <v>-279.20359999999999</v>
      </c>
      <c r="K1080">
        <v>1.0653870000000001</v>
      </c>
      <c r="L1080">
        <v>367.5813</v>
      </c>
      <c r="M1080">
        <v>0.99996339999999995</v>
      </c>
      <c r="N1080">
        <v>-7.6551149999999997E-3</v>
      </c>
      <c r="O1080">
        <v>-3.8364800000000002E-3</v>
      </c>
      <c r="P1080">
        <v>0.97789079999999995</v>
      </c>
      <c r="Q1080">
        <v>0.18920020000000001</v>
      </c>
      <c r="R1080">
        <v>8.9066740000000005E-2</v>
      </c>
      <c r="S1080">
        <v>3.04657</v>
      </c>
      <c r="T1080">
        <v>-0.12571869999999999</v>
      </c>
      <c r="U1080">
        <v>0.492981</v>
      </c>
      <c r="V1080">
        <v>-9.2810370000000003E-2</v>
      </c>
      <c r="W1080">
        <v>0.196682</v>
      </c>
      <c r="X1080">
        <v>0.97606479999999995</v>
      </c>
      <c r="Y1080">
        <v>-0.16336010000000001</v>
      </c>
      <c r="Z1080">
        <v>4.1051050000000004E-3</v>
      </c>
      <c r="AA1080">
        <v>0.98655800000000005</v>
      </c>
      <c r="AB1080">
        <v>34</v>
      </c>
      <c r="AC1080">
        <v>25.6172</v>
      </c>
      <c r="AD1080">
        <v>-1.0653903031700001</v>
      </c>
      <c r="AE1080">
        <v>4.17509999999998</v>
      </c>
      <c r="AF1080">
        <v>-4.2661640512288397</v>
      </c>
      <c r="AG1080">
        <v>-1.0653903031700001</v>
      </c>
      <c r="AH1080">
        <v>25.557931285194801</v>
      </c>
      <c r="AI1080">
        <v>92.3544721576245</v>
      </c>
      <c r="AJ1080">
        <v>99.476518769412095</v>
      </c>
      <c r="AK1080">
        <v>25.933435248513199</v>
      </c>
      <c r="AL1080">
        <v>78.657002261059006</v>
      </c>
      <c r="AM1080">
        <v>95.431711672094806</v>
      </c>
      <c r="AN1080">
        <v>1.00000003385128</v>
      </c>
    </row>
    <row r="1081" spans="1:40" x14ac:dyDescent="0.25">
      <c r="A1081" t="str">
        <f>"20190304155033734"</f>
        <v>20190304155033734</v>
      </c>
      <c r="B1081" t="str">
        <f>"1551685833727828"</f>
        <v>1551685833727828</v>
      </c>
      <c r="C1081" t="s">
        <v>40</v>
      </c>
      <c r="D1081">
        <v>4.9661869999999997</v>
      </c>
      <c r="E1081">
        <v>0.47121030000000003</v>
      </c>
      <c r="F1081" t="s">
        <v>41</v>
      </c>
      <c r="G1081">
        <v>-252.70920000000001</v>
      </c>
      <c r="H1081" s="1">
        <v>-3.7093429999999999E-6</v>
      </c>
      <c r="I1081">
        <v>371.86869999999999</v>
      </c>
      <c r="J1081">
        <v>-279.03379999999999</v>
      </c>
      <c r="K1081">
        <v>1.0661879999999999</v>
      </c>
      <c r="L1081">
        <v>367.5806</v>
      </c>
      <c r="M1081">
        <v>0.99996989999999997</v>
      </c>
      <c r="N1081">
        <v>-6.7477459999999998E-3</v>
      </c>
      <c r="O1081">
        <v>-3.8359470000000001E-3</v>
      </c>
      <c r="P1081">
        <v>0.97769170000000005</v>
      </c>
      <c r="Q1081">
        <v>0.1901312</v>
      </c>
      <c r="R1081">
        <v>8.9271639999999999E-2</v>
      </c>
      <c r="S1081">
        <v>3.0466310000000001</v>
      </c>
      <c r="T1081">
        <v>-0.1225103</v>
      </c>
      <c r="U1081">
        <v>0.49301149999999999</v>
      </c>
      <c r="V1081">
        <v>-9.3013869999999998E-2</v>
      </c>
      <c r="W1081">
        <v>0.19672539999999999</v>
      </c>
      <c r="X1081">
        <v>0.97603669999999998</v>
      </c>
      <c r="Y1081">
        <v>-0.16337660000000001</v>
      </c>
      <c r="Z1081">
        <v>3.9448399999999998E-3</v>
      </c>
      <c r="AA1081">
        <v>0.98655590000000004</v>
      </c>
      <c r="AB1081">
        <v>34</v>
      </c>
      <c r="AC1081">
        <v>26.324599999999901</v>
      </c>
      <c r="AD1081">
        <v>-1.066191709343</v>
      </c>
      <c r="AE1081">
        <v>4.2880999999999796</v>
      </c>
      <c r="AF1081">
        <v>-4.3820480550539997</v>
      </c>
      <c r="AG1081">
        <v>-1.066191709343</v>
      </c>
      <c r="AH1081">
        <v>26.265984278407402</v>
      </c>
      <c r="AI1081">
        <v>92.292825326488</v>
      </c>
      <c r="AJ1081">
        <v>99.471626629466897</v>
      </c>
      <c r="AK1081">
        <v>26.650347840720901</v>
      </c>
      <c r="AL1081">
        <v>78.654466276331405</v>
      </c>
      <c r="AM1081">
        <v>95.443705791626797</v>
      </c>
      <c r="AN1081">
        <v>1.00000005138221</v>
      </c>
    </row>
    <row r="1082" spans="1:40" x14ac:dyDescent="0.25">
      <c r="A1082" t="str">
        <f>"20190304155033745"</f>
        <v>20190304155033745</v>
      </c>
      <c r="B1082" t="str">
        <f>"1551685833737589"</f>
        <v>1551685833737589</v>
      </c>
      <c r="C1082" t="s">
        <v>40</v>
      </c>
      <c r="D1082">
        <v>4.9828479999999997</v>
      </c>
      <c r="E1082">
        <v>0.47116400000000003</v>
      </c>
      <c r="F1082" t="s">
        <v>41</v>
      </c>
      <c r="G1082">
        <v>-251.83869999999999</v>
      </c>
      <c r="H1082" s="1">
        <v>-4.0720080000000004E-6</v>
      </c>
      <c r="I1082">
        <v>371.99369999999999</v>
      </c>
      <c r="J1082">
        <v>-278.86329999999998</v>
      </c>
      <c r="K1082">
        <v>1.067008</v>
      </c>
      <c r="L1082">
        <v>367.57990000000001</v>
      </c>
      <c r="M1082">
        <v>0.99997550000000002</v>
      </c>
      <c r="N1082">
        <v>-5.8515590000000001E-3</v>
      </c>
      <c r="O1082">
        <v>-3.8358590000000001E-3</v>
      </c>
      <c r="P1082">
        <v>0.9775007</v>
      </c>
      <c r="Q1082">
        <v>0.1911079</v>
      </c>
      <c r="R1082">
        <v>8.9276720000000004E-2</v>
      </c>
      <c r="S1082">
        <v>3.0465089999999999</v>
      </c>
      <c r="T1082">
        <v>-0.11943910000000001</v>
      </c>
      <c r="U1082">
        <v>0.49438480000000001</v>
      </c>
      <c r="V1082">
        <v>-9.3017989999999995E-2</v>
      </c>
      <c r="W1082">
        <v>0.1968259</v>
      </c>
      <c r="X1082">
        <v>0.97601599999999999</v>
      </c>
      <c r="Y1082">
        <v>-0.16382539999999901</v>
      </c>
      <c r="Z1082">
        <v>3.7990530000000002E-3</v>
      </c>
      <c r="AA1082">
        <v>0.98648199999999997</v>
      </c>
      <c r="AB1082">
        <v>34</v>
      </c>
      <c r="AC1082">
        <v>27.0245999999999</v>
      </c>
      <c r="AD1082">
        <v>-1.0670120720080001</v>
      </c>
      <c r="AE1082">
        <v>4.4137999999999797</v>
      </c>
      <c r="AF1082">
        <v>-4.5105829761102001</v>
      </c>
      <c r="AG1082">
        <v>-1.0670120720080001</v>
      </c>
      <c r="AH1082">
        <v>26.966524117601399</v>
      </c>
      <c r="AI1082">
        <v>92.234882872188905</v>
      </c>
      <c r="AJ1082">
        <v>99.495730869199406</v>
      </c>
      <c r="AK1082">
        <v>27.361968067581799</v>
      </c>
      <c r="AL1082">
        <v>78.648592711438098</v>
      </c>
      <c r="AM1082">
        <v>95.444060234283</v>
      </c>
      <c r="AN1082">
        <v>1.0000000068152199</v>
      </c>
    </row>
    <row r="1083" spans="1:40" x14ac:dyDescent="0.25">
      <c r="A1083" t="str">
        <f>"20190304155033756"</f>
        <v>20190304155033756</v>
      </c>
      <c r="B1083" t="str">
        <f>"1551685833747349"</f>
        <v>1551685833747349</v>
      </c>
      <c r="C1083" t="s">
        <v>40</v>
      </c>
      <c r="D1083">
        <v>4.979069</v>
      </c>
      <c r="E1083">
        <v>0.471107</v>
      </c>
      <c r="F1083" t="s">
        <v>41</v>
      </c>
      <c r="G1083">
        <v>-250.8502</v>
      </c>
      <c r="H1083" s="1">
        <v>-4.4315839999999996E-6</v>
      </c>
      <c r="I1083">
        <v>372.12430000000001</v>
      </c>
      <c r="J1083">
        <v>-278.70490000000001</v>
      </c>
      <c r="K1083">
        <v>1.06778</v>
      </c>
      <c r="L1083">
        <v>367.57929999999999</v>
      </c>
      <c r="M1083">
        <v>0.99997999999999998</v>
      </c>
      <c r="N1083">
        <v>-5.0531700000000001E-3</v>
      </c>
      <c r="O1083">
        <v>-3.8358189999999999E-3</v>
      </c>
      <c r="P1083">
        <v>0.97729580000000005</v>
      </c>
      <c r="Q1083">
        <v>0.19213040000000001</v>
      </c>
      <c r="R1083">
        <v>8.9324819999999999E-2</v>
      </c>
      <c r="S1083">
        <v>3.0466000000000002</v>
      </c>
      <c r="T1083">
        <v>-0.1160438</v>
      </c>
      <c r="U1083">
        <v>0.49423220000000001</v>
      </c>
      <c r="V1083">
        <v>-9.3065040000000002E-2</v>
      </c>
      <c r="W1083">
        <v>0.1970681</v>
      </c>
      <c r="X1083">
        <v>0.97596260000000001</v>
      </c>
      <c r="Y1083">
        <v>-0.1637825</v>
      </c>
      <c r="Z1083">
        <v>3.6403799999999999E-3</v>
      </c>
      <c r="AA1083">
        <v>0.98648979999999997</v>
      </c>
      <c r="AB1083">
        <v>34</v>
      </c>
      <c r="AC1083">
        <v>27.854700000000001</v>
      </c>
      <c r="AD1083">
        <v>-1.0677844315839999</v>
      </c>
      <c r="AE1083">
        <v>4.5450000000000097</v>
      </c>
      <c r="AF1083">
        <v>-4.6451644456867598</v>
      </c>
      <c r="AG1083">
        <v>-1.0677844315839999</v>
      </c>
      <c r="AH1083">
        <v>27.797272238772099</v>
      </c>
      <c r="AI1083">
        <v>92.169779387945098</v>
      </c>
      <c r="AJ1083">
        <v>99.486959409164598</v>
      </c>
      <c r="AK1083">
        <v>28.2029441767382</v>
      </c>
      <c r="AL1083">
        <v>78.634437993485307</v>
      </c>
      <c r="AM1083">
        <v>95.447093601533197</v>
      </c>
      <c r="AN1083">
        <v>0.99999996715328499</v>
      </c>
    </row>
    <row r="1084" spans="1:40" x14ac:dyDescent="0.25">
      <c r="A1084" t="str">
        <f>"20190304155033767"</f>
        <v>20190304155033767</v>
      </c>
      <c r="B1084" t="str">
        <f>"1551685833757108"</f>
        <v>1551685833757108</v>
      </c>
      <c r="C1084" t="s">
        <v>40</v>
      </c>
      <c r="D1084">
        <v>5.1449829999999999</v>
      </c>
      <c r="E1084">
        <v>0.47120430000000002</v>
      </c>
      <c r="F1084" t="s">
        <v>41</v>
      </c>
      <c r="G1084">
        <v>-249.98099999999999</v>
      </c>
      <c r="H1084" s="1">
        <v>-4.7489800000000001E-6</v>
      </c>
      <c r="I1084">
        <v>372.24619999999999</v>
      </c>
      <c r="J1084">
        <v>-278.53460000000001</v>
      </c>
      <c r="K1084">
        <v>1.0686180000000001</v>
      </c>
      <c r="L1084">
        <v>367.57859999999999</v>
      </c>
      <c r="M1084">
        <v>0.99998399999999998</v>
      </c>
      <c r="N1084">
        <v>-4.210765E-3</v>
      </c>
      <c r="O1084">
        <v>-3.8358849999999998E-3</v>
      </c>
      <c r="P1084">
        <v>0.97716890000000001</v>
      </c>
      <c r="Q1084">
        <v>0.19277430000000001</v>
      </c>
      <c r="R1084">
        <v>8.9327290000000004E-2</v>
      </c>
      <c r="S1084">
        <v>3.0467529999999998</v>
      </c>
      <c r="T1084">
        <v>-0.1132601</v>
      </c>
      <c r="U1084">
        <v>0.49502560000000001</v>
      </c>
      <c r="V1084">
        <v>-9.3067059999999993E-2</v>
      </c>
      <c r="W1084">
        <v>0.19688910000000001</v>
      </c>
      <c r="X1084">
        <v>0.97599860000000005</v>
      </c>
      <c r="Y1084">
        <v>-0.16403329999999999</v>
      </c>
      <c r="Z1084">
        <v>3.5013269999999998E-3</v>
      </c>
      <c r="AA1084">
        <v>0.98644860000000001</v>
      </c>
      <c r="AB1084">
        <v>34</v>
      </c>
      <c r="AC1084">
        <v>28.553599999999999</v>
      </c>
      <c r="AD1084">
        <v>-1.06862274897999</v>
      </c>
      <c r="AE1084">
        <v>4.6675999999999904</v>
      </c>
      <c r="AF1084">
        <v>-4.7705869535597003</v>
      </c>
      <c r="AG1084">
        <v>-1.06862274897999</v>
      </c>
      <c r="AH1084">
        <v>28.496610653129899</v>
      </c>
      <c r="AI1084">
        <v>92.118136453043405</v>
      </c>
      <c r="AJ1084">
        <v>99.503696073968896</v>
      </c>
      <c r="AK1084">
        <v>28.912925711127698</v>
      </c>
      <c r="AL1084">
        <v>78.644899628332794</v>
      </c>
      <c r="AM1084">
        <v>95.447011407374404</v>
      </c>
      <c r="AN1084">
        <v>1.0000000312788999</v>
      </c>
    </row>
    <row r="1085" spans="1:40" x14ac:dyDescent="0.25">
      <c r="A1085" t="str">
        <f>"20190304155033779"</f>
        <v>20190304155033779</v>
      </c>
      <c r="B1085" t="str">
        <f>"1551685833777605"</f>
        <v>1551685833777605</v>
      </c>
      <c r="C1085" t="s">
        <v>40</v>
      </c>
      <c r="D1085">
        <v>4.9678240000000002</v>
      </c>
      <c r="E1085">
        <v>0.4709893</v>
      </c>
      <c r="F1085" t="s">
        <v>41</v>
      </c>
      <c r="G1085">
        <v>-249.65260000000001</v>
      </c>
      <c r="H1085" s="1">
        <v>-8.4913999999999999E-7</v>
      </c>
      <c r="I1085">
        <v>372.2638</v>
      </c>
      <c r="J1085">
        <v>-278.3546</v>
      </c>
      <c r="K1085">
        <v>1.0696030000000001</v>
      </c>
      <c r="L1085">
        <v>367.57799999999997</v>
      </c>
      <c r="M1085">
        <v>0.99998560000000003</v>
      </c>
      <c r="N1085">
        <v>-3.7874190000000002E-3</v>
      </c>
      <c r="O1085">
        <v>-3.8357479999999999E-3</v>
      </c>
      <c r="P1085">
        <v>0.97699939999999996</v>
      </c>
      <c r="Q1085">
        <v>0.1935413</v>
      </c>
      <c r="R1085">
        <v>8.9521740000000002E-2</v>
      </c>
      <c r="S1085">
        <v>3.0471499999999998</v>
      </c>
      <c r="T1085">
        <v>-0.1127427</v>
      </c>
      <c r="U1085">
        <v>0.49429319999999999</v>
      </c>
      <c r="V1085">
        <v>-9.3261350000000007E-2</v>
      </c>
      <c r="W1085">
        <v>0.19724249999999999</v>
      </c>
      <c r="X1085">
        <v>0.97590869999999996</v>
      </c>
      <c r="Y1085">
        <v>-0.1637844</v>
      </c>
      <c r="Z1085">
        <v>3.4480999999999999E-3</v>
      </c>
      <c r="AA1085">
        <v>0.98649010000000004</v>
      </c>
      <c r="AB1085">
        <v>34</v>
      </c>
      <c r="AC1085">
        <v>28.702000000000002</v>
      </c>
      <c r="AD1085">
        <v>-1.06960384914</v>
      </c>
      <c r="AE1085">
        <v>4.6857999999999702</v>
      </c>
      <c r="AF1085">
        <v>-4.7893813989285903</v>
      </c>
      <c r="AG1085">
        <v>-1.06960384914</v>
      </c>
      <c r="AH1085">
        <v>28.645067305728901</v>
      </c>
      <c r="AI1085">
        <v>92.109174241994907</v>
      </c>
      <c r="AJ1085">
        <v>99.491907791776597</v>
      </c>
      <c r="AK1085">
        <v>29.0623830325085</v>
      </c>
      <c r="AL1085">
        <v>78.624246359599994</v>
      </c>
      <c r="AM1085">
        <v>95.458813949677307</v>
      </c>
      <c r="AN1085">
        <v>1.0000000369728801</v>
      </c>
    </row>
    <row r="1086" spans="1:40" x14ac:dyDescent="0.25">
      <c r="A1086" t="str">
        <f>"20190304155033793"</f>
        <v>20190304155033793</v>
      </c>
      <c r="B1086" t="str">
        <f>"1551685833787365"</f>
        <v>1551685833787365</v>
      </c>
      <c r="C1086" t="s">
        <v>40</v>
      </c>
      <c r="D1086">
        <v>5.0107499999999998</v>
      </c>
      <c r="E1086">
        <v>0.47099039999999998</v>
      </c>
      <c r="F1086" t="s">
        <v>41</v>
      </c>
      <c r="G1086">
        <v>-249.15950000000001</v>
      </c>
      <c r="H1086" s="1">
        <v>-1.1009319999999999E-6</v>
      </c>
      <c r="I1086">
        <v>372.33409999999998</v>
      </c>
      <c r="J1086">
        <v>-278.16730000000001</v>
      </c>
      <c r="K1086">
        <v>1.0707390000000001</v>
      </c>
      <c r="L1086">
        <v>367.5772</v>
      </c>
      <c r="M1086">
        <v>0.9999865</v>
      </c>
      <c r="N1086">
        <v>-3.545229E-3</v>
      </c>
      <c r="O1086">
        <v>-3.8357780000000002E-3</v>
      </c>
      <c r="P1086">
        <v>0.97692670000000004</v>
      </c>
      <c r="Q1086">
        <v>0.1938725</v>
      </c>
      <c r="R1086">
        <v>8.959889E-2</v>
      </c>
      <c r="S1086">
        <v>3.0473020000000002</v>
      </c>
      <c r="T1086">
        <v>-0.1116422</v>
      </c>
      <c r="U1086">
        <v>0.49642940000000002</v>
      </c>
      <c r="V1086">
        <v>-9.3337710000000004E-2</v>
      </c>
      <c r="W1086">
        <v>0.1973374</v>
      </c>
      <c r="X1086">
        <v>0.97588220000000003</v>
      </c>
      <c r="Y1086">
        <v>-0.16445279999999901</v>
      </c>
      <c r="Z1086">
        <v>3.4113659999999999E-3</v>
      </c>
      <c r="AA1086">
        <v>0.98637900000000001</v>
      </c>
      <c r="AB1086">
        <v>34</v>
      </c>
      <c r="AC1086">
        <v>29.0078</v>
      </c>
      <c r="AD1086">
        <v>-1.0707401009319999</v>
      </c>
      <c r="AE1086">
        <v>4.7568999999999697</v>
      </c>
      <c r="AF1086">
        <v>-4.8616825636978804</v>
      </c>
      <c r="AG1086">
        <v>-1.0707401009319999</v>
      </c>
      <c r="AH1086">
        <v>28.9509272367461</v>
      </c>
      <c r="AI1086">
        <v>92.088877432203503</v>
      </c>
      <c r="AJ1086">
        <v>99.532645314386002</v>
      </c>
      <c r="AK1086">
        <v>29.3758170878918</v>
      </c>
      <c r="AL1086">
        <v>78.618699815021799</v>
      </c>
      <c r="AM1086">
        <v>95.463403912016602</v>
      </c>
      <c r="AN1086">
        <v>1.00000002291182</v>
      </c>
    </row>
    <row r="1087" spans="1:40" x14ac:dyDescent="0.25">
      <c r="A1087" t="str">
        <f>"20190304155033806"</f>
        <v>20190304155033806</v>
      </c>
      <c r="B1087" t="str">
        <f>"1551685833797126"</f>
        <v>1551685833797126</v>
      </c>
      <c r="C1087" t="s">
        <v>40</v>
      </c>
      <c r="D1087">
        <v>4.9308180000000004</v>
      </c>
      <c r="E1087">
        <v>0.47093040000000003</v>
      </c>
      <c r="F1087" t="s">
        <v>41</v>
      </c>
      <c r="G1087">
        <v>-248.51240000000001</v>
      </c>
      <c r="H1087" s="1">
        <v>-1.426207E-6</v>
      </c>
      <c r="I1087">
        <v>372.40699999999998</v>
      </c>
      <c r="J1087">
        <v>-277.95460000000003</v>
      </c>
      <c r="K1087">
        <v>1.072227</v>
      </c>
      <c r="L1087">
        <v>367.57639999999998</v>
      </c>
      <c r="M1087">
        <v>0.99998620000000005</v>
      </c>
      <c r="N1087">
        <v>-3.625067E-3</v>
      </c>
      <c r="O1087">
        <v>-3.8355640000000001E-3</v>
      </c>
      <c r="P1087">
        <v>0.97690730000000003</v>
      </c>
      <c r="Q1087">
        <v>0.1938008</v>
      </c>
      <c r="R1087">
        <v>8.9964520000000006E-2</v>
      </c>
      <c r="S1087">
        <v>3.04718</v>
      </c>
      <c r="T1087">
        <v>-0.1100237</v>
      </c>
      <c r="U1087">
        <v>0.49627690000000002</v>
      </c>
      <c r="V1087">
        <v>-9.3703339999999996E-2</v>
      </c>
      <c r="W1087">
        <v>0.19734350000000001</v>
      </c>
      <c r="X1087">
        <v>0.97584590000000004</v>
      </c>
      <c r="Y1087">
        <v>-0.1644139</v>
      </c>
      <c r="Z1087">
        <v>3.3716589999999999E-3</v>
      </c>
      <c r="AA1087">
        <v>0.98638570000000003</v>
      </c>
      <c r="AB1087">
        <v>33</v>
      </c>
      <c r="AC1087">
        <v>29.4422</v>
      </c>
      <c r="AD1087">
        <v>-1.0722284262070001</v>
      </c>
      <c r="AE1087">
        <v>4.8305999999999996</v>
      </c>
      <c r="AF1087">
        <v>-4.9371163004383396</v>
      </c>
      <c r="AG1087">
        <v>-1.0722284262070001</v>
      </c>
      <c r="AH1087">
        <v>29.385503552402</v>
      </c>
      <c r="AI1087">
        <v>92.060842257361003</v>
      </c>
      <c r="AJ1087">
        <v>99.537302684639499</v>
      </c>
      <c r="AK1087">
        <v>29.816649882075101</v>
      </c>
      <c r="AL1087">
        <v>78.618342997972505</v>
      </c>
      <c r="AM1087">
        <v>95.484878125748594</v>
      </c>
      <c r="AN1087">
        <v>0.99999999673310702</v>
      </c>
    </row>
    <row r="1088" spans="1:40" x14ac:dyDescent="0.25">
      <c r="A1088" t="str">
        <f>"20190304155033820"</f>
        <v>20190304155033820</v>
      </c>
      <c r="B1088" t="str">
        <f>"1551685833817620"</f>
        <v>1551685833817620</v>
      </c>
      <c r="C1088" t="s">
        <v>40</v>
      </c>
      <c r="D1088">
        <v>4.960877</v>
      </c>
      <c r="E1088">
        <v>0.47082560000000001</v>
      </c>
      <c r="F1088" t="s">
        <v>41</v>
      </c>
      <c r="G1088">
        <v>-248.41919999999999</v>
      </c>
      <c r="H1088" s="1">
        <v>-1.469023E-6</v>
      </c>
      <c r="I1088">
        <v>372.40230000000003</v>
      </c>
      <c r="J1088">
        <v>-277.7527</v>
      </c>
      <c r="K1088">
        <v>1.073806</v>
      </c>
      <c r="L1088">
        <v>367.57569999999998</v>
      </c>
      <c r="M1088">
        <v>0.99998560000000003</v>
      </c>
      <c r="N1088">
        <v>-3.7511189999999998E-3</v>
      </c>
      <c r="O1088">
        <v>-3.8354399999999999E-3</v>
      </c>
      <c r="P1088">
        <v>0.97696859999999996</v>
      </c>
      <c r="Q1088">
        <v>0.19349330000000001</v>
      </c>
      <c r="R1088">
        <v>8.9959849999999994E-2</v>
      </c>
      <c r="S1088">
        <v>3.0469970000000002</v>
      </c>
      <c r="T1088">
        <v>-0.1106157</v>
      </c>
      <c r="U1088">
        <v>0.49786380000000002</v>
      </c>
      <c r="V1088">
        <v>-9.3698970000000006E-2</v>
      </c>
      <c r="W1088">
        <v>0.19715930000000001</v>
      </c>
      <c r="X1088">
        <v>0.97588350000000001</v>
      </c>
      <c r="Y1088">
        <v>-0.1649216</v>
      </c>
      <c r="Z1088">
        <v>3.4083809999999998E-3</v>
      </c>
      <c r="AA1088">
        <v>0.98630079999999998</v>
      </c>
      <c r="AB1088">
        <v>33</v>
      </c>
      <c r="AC1088">
        <v>29.333500000000001</v>
      </c>
      <c r="AD1088">
        <v>-1.0738074690229999</v>
      </c>
      <c r="AE1088">
        <v>4.82660000000004</v>
      </c>
      <c r="AF1088">
        <v>-4.93263637256337</v>
      </c>
      <c r="AG1088">
        <v>-1.0738074690229999</v>
      </c>
      <c r="AH1088">
        <v>29.276573719598101</v>
      </c>
      <c r="AI1088">
        <v>92.071387128654806</v>
      </c>
      <c r="AJ1088">
        <v>99.563607626889095</v>
      </c>
      <c r="AK1088">
        <v>29.708613781587399</v>
      </c>
      <c r="AL1088">
        <v>78.629107805063995</v>
      </c>
      <c r="AM1088">
        <v>95.484413860124207</v>
      </c>
      <c r="AN1088">
        <v>0.99999994606389897</v>
      </c>
    </row>
    <row r="1089" spans="1:40" x14ac:dyDescent="0.25">
      <c r="A1089" t="str">
        <f>"20190304155033833"</f>
        <v>20190304155033833</v>
      </c>
      <c r="B1089" t="str">
        <f>"1551685833827381"</f>
        <v>1551685833827381</v>
      </c>
      <c r="C1089" t="s">
        <v>40</v>
      </c>
      <c r="D1089">
        <v>4.9366770000000004</v>
      </c>
      <c r="E1089">
        <v>0.4707402</v>
      </c>
      <c r="F1089" t="s">
        <v>41</v>
      </c>
      <c r="G1089">
        <v>-248.4581</v>
      </c>
      <c r="H1089" s="1">
        <v>-1.4429110000000001E-6</v>
      </c>
      <c r="I1089">
        <v>372.37329999999997</v>
      </c>
      <c r="J1089">
        <v>-277.56659999999999</v>
      </c>
      <c r="K1089">
        <v>1.075299</v>
      </c>
      <c r="L1089">
        <v>367.57499999999999</v>
      </c>
      <c r="M1089">
        <v>0.99998549999999997</v>
      </c>
      <c r="N1089">
        <v>-3.7941810000000002E-3</v>
      </c>
      <c r="O1089">
        <v>-3.8355220000000001E-3</v>
      </c>
      <c r="P1089">
        <v>0.97698859999999998</v>
      </c>
      <c r="Q1089">
        <v>0.19327269999999999</v>
      </c>
      <c r="R1089">
        <v>9.0216199999999996E-2</v>
      </c>
      <c r="S1089">
        <v>3.0469059999999999</v>
      </c>
      <c r="T1089">
        <v>-0.1116858</v>
      </c>
      <c r="U1089">
        <v>0.49899290000000002</v>
      </c>
      <c r="V1089">
        <v>-9.3955540000000004E-2</v>
      </c>
      <c r="W1089">
        <v>0.19698070000000001</v>
      </c>
      <c r="X1089">
        <v>0.97589499999999996</v>
      </c>
      <c r="Y1089">
        <v>-0.16527979999999901</v>
      </c>
      <c r="Z1089">
        <v>3.4490860000000001E-3</v>
      </c>
      <c r="AA1089">
        <v>0.98624069999999997</v>
      </c>
      <c r="AB1089">
        <v>33</v>
      </c>
      <c r="AC1089">
        <v>29.1084999999999</v>
      </c>
      <c r="AD1089">
        <v>-1.075300442911</v>
      </c>
      <c r="AE1089">
        <v>4.7982999999999798</v>
      </c>
      <c r="AF1089">
        <v>-4.9033974076314699</v>
      </c>
      <c r="AG1089">
        <v>-1.075300442911</v>
      </c>
      <c r="AH1089">
        <v>29.0512858105165</v>
      </c>
      <c r="AI1089">
        <v>92.090233173012805</v>
      </c>
      <c r="AJ1089">
        <v>99.580326967079699</v>
      </c>
      <c r="AK1089">
        <v>29.481804293903199</v>
      </c>
      <c r="AL1089">
        <v>78.639546664466906</v>
      </c>
      <c r="AM1089">
        <v>95.499275139988796</v>
      </c>
      <c r="AN1089">
        <v>1.0000000453470801</v>
      </c>
    </row>
    <row r="1090" spans="1:40" x14ac:dyDescent="0.25">
      <c r="A1090" t="str">
        <f>"20190304155033843"</f>
        <v>20190304155033843</v>
      </c>
      <c r="B1090" t="str">
        <f>"1551685833837141"</f>
        <v>1551685833837141</v>
      </c>
      <c r="C1090" t="s">
        <v>40</v>
      </c>
      <c r="D1090">
        <v>4.9697430000000002</v>
      </c>
      <c r="E1090">
        <v>0.47065620000000002</v>
      </c>
      <c r="F1090" t="s">
        <v>41</v>
      </c>
      <c r="G1090">
        <v>-248.47970000000001</v>
      </c>
      <c r="H1090" s="1">
        <v>-1.4272920000000001E-6</v>
      </c>
      <c r="I1090">
        <v>372.35300000000001</v>
      </c>
      <c r="J1090">
        <v>-277.4008</v>
      </c>
      <c r="K1090">
        <v>1.0766629999999999</v>
      </c>
      <c r="L1090">
        <v>367.57429999999999</v>
      </c>
      <c r="M1090">
        <v>0.99998580000000004</v>
      </c>
      <c r="N1090">
        <v>-3.7440149999999998E-3</v>
      </c>
      <c r="O1090">
        <v>-3.835785E-3</v>
      </c>
      <c r="P1090">
        <v>0.97703640000000003</v>
      </c>
      <c r="Q1090">
        <v>0.19299520000000001</v>
      </c>
      <c r="R1090">
        <v>9.0294319999999997E-2</v>
      </c>
      <c r="S1090">
        <v>3.0467529999999998</v>
      </c>
      <c r="T1090">
        <v>-0.1126341</v>
      </c>
      <c r="U1090">
        <v>0.5004883</v>
      </c>
      <c r="V1090">
        <v>-9.403396E-2</v>
      </c>
      <c r="W1090">
        <v>0.19665440000000001</v>
      </c>
      <c r="X1090">
        <v>0.97595319999999997</v>
      </c>
      <c r="Y1090">
        <v>-0.16575709999999999</v>
      </c>
      <c r="Z1090">
        <v>3.4815279999999998E-3</v>
      </c>
      <c r="AA1090">
        <v>0.9861605</v>
      </c>
      <c r="AB1090">
        <v>33</v>
      </c>
      <c r="AC1090">
        <v>28.921099999999999</v>
      </c>
      <c r="AD1090">
        <v>-1.0766644272919901</v>
      </c>
      <c r="AE1090">
        <v>4.7787000000000104</v>
      </c>
      <c r="AF1090">
        <v>-4.8830132193625397</v>
      </c>
      <c r="AG1090">
        <v>-1.0766644272919901</v>
      </c>
      <c r="AH1090">
        <v>28.8636181261665</v>
      </c>
      <c r="AI1090">
        <v>92.106342400904794</v>
      </c>
      <c r="AJ1090">
        <v>99.602118248908099</v>
      </c>
      <c r="AK1090">
        <v>29.2935398291608</v>
      </c>
      <c r="AL1090">
        <v>78.6586146613583</v>
      </c>
      <c r="AM1090">
        <v>95.503510737430105</v>
      </c>
      <c r="AN1090">
        <v>0.99999999363143999</v>
      </c>
    </row>
    <row r="1091" spans="1:40" x14ac:dyDescent="0.25">
      <c r="A1091" t="str">
        <f>"20190304155033855"</f>
        <v>20190304155033855</v>
      </c>
      <c r="B1091" t="str">
        <f>"1551685833847878"</f>
        <v>1551685833847878</v>
      </c>
      <c r="C1091" t="s">
        <v>40</v>
      </c>
      <c r="D1091">
        <v>4.9441569999999997</v>
      </c>
      <c r="E1091">
        <v>0.47058559999999999</v>
      </c>
      <c r="F1091" t="s">
        <v>41</v>
      </c>
      <c r="G1091">
        <v>-248.60730000000001</v>
      </c>
      <c r="H1091" s="1">
        <v>-1.354947E-6</v>
      </c>
      <c r="I1091">
        <v>372.30770000000001</v>
      </c>
      <c r="J1091">
        <v>-277.23320000000001</v>
      </c>
      <c r="K1091">
        <v>1.0780860000000001</v>
      </c>
      <c r="L1091">
        <v>367.57369999999997</v>
      </c>
      <c r="M1091">
        <v>0.99998600000000004</v>
      </c>
      <c r="N1091">
        <v>-3.6895180000000001E-3</v>
      </c>
      <c r="O1091">
        <v>-3.8356829999999999E-3</v>
      </c>
      <c r="P1091">
        <v>0.97703890000000004</v>
      </c>
      <c r="Q1091">
        <v>0.19298080000000001</v>
      </c>
      <c r="R1091">
        <v>9.0299619999999997E-2</v>
      </c>
      <c r="S1091">
        <v>3.0467219999999999</v>
      </c>
      <c r="T1091">
        <v>-0.113925</v>
      </c>
      <c r="U1091">
        <v>0.50085449999999998</v>
      </c>
      <c r="V1091">
        <v>-9.4038960000000005E-2</v>
      </c>
      <c r="W1091">
        <v>0.19658700000000001</v>
      </c>
      <c r="X1091">
        <v>0.97596629999999995</v>
      </c>
      <c r="Y1091">
        <v>-0.1658713</v>
      </c>
      <c r="Z1091">
        <v>3.515982E-3</v>
      </c>
      <c r="AA1091">
        <v>0.98614109999999999</v>
      </c>
      <c r="AB1091">
        <v>33</v>
      </c>
      <c r="AC1091">
        <v>28.625900000000001</v>
      </c>
      <c r="AD1091">
        <v>-1.078087354947</v>
      </c>
      <c r="AE1091">
        <v>4.7340000000000302</v>
      </c>
      <c r="AF1091">
        <v>-4.83708764054954</v>
      </c>
      <c r="AG1091">
        <v>-1.078087354947</v>
      </c>
      <c r="AH1091">
        <v>28.568089722161499</v>
      </c>
      <c r="AI1091">
        <v>92.130871982627198</v>
      </c>
      <c r="AJ1091">
        <v>99.610054748647798</v>
      </c>
      <c r="AK1091">
        <v>28.9947484824532</v>
      </c>
      <c r="AL1091">
        <v>78.662553314921894</v>
      </c>
      <c r="AM1091">
        <v>95.503728153143001</v>
      </c>
      <c r="AN1091">
        <v>0.99999999665128503</v>
      </c>
    </row>
    <row r="1092" spans="1:40" x14ac:dyDescent="0.25">
      <c r="A1092" t="str">
        <f>"20190304155033866"</f>
        <v>20190304155033866</v>
      </c>
      <c r="B1092" t="str">
        <f>"1551685833857637"</f>
        <v>1551685833857637</v>
      </c>
      <c r="C1092" t="s">
        <v>40</v>
      </c>
      <c r="D1092">
        <v>4.9231249999999998</v>
      </c>
      <c r="E1092">
        <v>0.47052519999999998</v>
      </c>
      <c r="F1092" t="s">
        <v>41</v>
      </c>
      <c r="G1092">
        <v>-248.46600000000001</v>
      </c>
      <c r="H1092" s="1">
        <v>-1.4221209999999899E-6</v>
      </c>
      <c r="I1092">
        <v>372.3091</v>
      </c>
      <c r="J1092">
        <v>-277.06229999999999</v>
      </c>
      <c r="K1092">
        <v>1.0795549999999901</v>
      </c>
      <c r="L1092">
        <v>367.57299999999998</v>
      </c>
      <c r="M1092">
        <v>0.99998629999999999</v>
      </c>
      <c r="N1092">
        <v>-3.6321880000000002E-3</v>
      </c>
      <c r="O1092">
        <v>-3.8355780000000001E-3</v>
      </c>
      <c r="P1092">
        <v>0.97702469999999997</v>
      </c>
      <c r="Q1092">
        <v>0.1928503</v>
      </c>
      <c r="R1092">
        <v>9.072993E-2</v>
      </c>
      <c r="S1092">
        <v>3.0467219999999999</v>
      </c>
      <c r="T1092">
        <v>-0.1141795</v>
      </c>
      <c r="U1092">
        <v>0.50152589999999997</v>
      </c>
      <c r="V1092">
        <v>-9.4469319999999996E-2</v>
      </c>
      <c r="W1092">
        <v>0.19640050000000001</v>
      </c>
      <c r="X1092">
        <v>0.97596229999999995</v>
      </c>
      <c r="Y1092">
        <v>-0.16608229999999999</v>
      </c>
      <c r="Z1092">
        <v>3.5228619999999999E-3</v>
      </c>
      <c r="AA1092">
        <v>0.98610560000000003</v>
      </c>
      <c r="AB1092">
        <v>33</v>
      </c>
      <c r="AC1092">
        <v>28.596299999999999</v>
      </c>
      <c r="AD1092">
        <v>-1.0795564221209999</v>
      </c>
      <c r="AE1092">
        <v>4.7360999999999596</v>
      </c>
      <c r="AF1092">
        <v>-4.8390367971826098</v>
      </c>
      <c r="AG1092">
        <v>-1.0795564221209999</v>
      </c>
      <c r="AH1092">
        <v>28.5383373124983</v>
      </c>
      <c r="AI1092">
        <v>92.135909391847704</v>
      </c>
      <c r="AJ1092">
        <v>99.623690450487899</v>
      </c>
      <c r="AK1092">
        <v>28.965814605409701</v>
      </c>
      <c r="AL1092">
        <v>78.673451588177997</v>
      </c>
      <c r="AM1092">
        <v>95.528782232171096</v>
      </c>
      <c r="AN1092">
        <v>1.0000000099213999</v>
      </c>
    </row>
    <row r="1093" spans="1:40" x14ac:dyDescent="0.25">
      <c r="A1093" t="str">
        <f>"20190304155033878"</f>
        <v>20190304155033878</v>
      </c>
      <c r="B1093" t="str">
        <f>"1551685833867397"</f>
        <v>1551685833867397</v>
      </c>
      <c r="C1093" t="s">
        <v>40</v>
      </c>
      <c r="D1093">
        <v>4.9551220000000002</v>
      </c>
      <c r="E1093">
        <v>0.47048440000000002</v>
      </c>
      <c r="F1093" t="s">
        <v>41</v>
      </c>
      <c r="G1093">
        <v>-248.40430000000001</v>
      </c>
      <c r="H1093" s="1">
        <v>-1.4500009999999999E-6</v>
      </c>
      <c r="I1093">
        <v>372.30439999999999</v>
      </c>
      <c r="J1093">
        <v>-276.89409999999998</v>
      </c>
      <c r="K1093">
        <v>1.0810439999999999</v>
      </c>
      <c r="L1093">
        <v>367.57240000000002</v>
      </c>
      <c r="M1093">
        <v>0.99998589999999998</v>
      </c>
      <c r="N1093">
        <v>-3.662551E-3</v>
      </c>
      <c r="O1093">
        <v>-3.8352759999999999E-3</v>
      </c>
      <c r="P1093">
        <v>0.97704610000000003</v>
      </c>
      <c r="Q1093">
        <v>0.192717</v>
      </c>
      <c r="R1093">
        <v>9.0781269999999997E-2</v>
      </c>
      <c r="S1093">
        <v>3.0464479999999998</v>
      </c>
      <c r="T1093">
        <v>-0.1147608</v>
      </c>
      <c r="U1093">
        <v>0.50296019999999997</v>
      </c>
      <c r="V1093">
        <v>-9.4520199999999999E-2</v>
      </c>
      <c r="W1093">
        <v>0.1962962</v>
      </c>
      <c r="X1093">
        <v>0.97597829999999997</v>
      </c>
      <c r="Y1093">
        <v>-0.16654649999999999</v>
      </c>
      <c r="Z1093">
        <v>3.551439E-3</v>
      </c>
      <c r="AA1093">
        <v>0.98602719999999999</v>
      </c>
      <c r="AB1093">
        <v>33</v>
      </c>
      <c r="AC1093">
        <v>28.489799999999899</v>
      </c>
      <c r="AD1093">
        <v>-1.0810454500010001</v>
      </c>
      <c r="AE1093">
        <v>4.73199999999997</v>
      </c>
      <c r="AF1093">
        <v>-4.8344582900758803</v>
      </c>
      <c r="AG1093">
        <v>-1.0810454500010001</v>
      </c>
      <c r="AH1093">
        <v>28.431604348952401</v>
      </c>
      <c r="AI1093">
        <v>92.146706197539004</v>
      </c>
      <c r="AJ1093">
        <v>99.650171473886601</v>
      </c>
      <c r="AK1093">
        <v>28.859951006174999</v>
      </c>
      <c r="AL1093">
        <v>78.679545534830694</v>
      </c>
      <c r="AM1093">
        <v>95.531651376722394</v>
      </c>
      <c r="AN1093">
        <v>0.99999995420668397</v>
      </c>
    </row>
    <row r="1094" spans="1:40" x14ac:dyDescent="0.25">
      <c r="A1094" t="str">
        <f>"20190304155033889"</f>
        <v>20190304155033889</v>
      </c>
      <c r="B1094" t="str">
        <f>"1551685833886917"</f>
        <v>1551685833886917</v>
      </c>
      <c r="C1094" t="s">
        <v>40</v>
      </c>
      <c r="D1094">
        <v>4.9515770000000003</v>
      </c>
      <c r="E1094">
        <v>0.47038079999999999</v>
      </c>
      <c r="F1094" t="s">
        <v>41</v>
      </c>
      <c r="G1094">
        <v>-248.30170000000001</v>
      </c>
      <c r="H1094" s="1">
        <v>-1.4954149999999999E-6</v>
      </c>
      <c r="I1094">
        <v>372.2928</v>
      </c>
      <c r="J1094">
        <v>-276.71469999999999</v>
      </c>
      <c r="K1094">
        <v>1.0826420000000001</v>
      </c>
      <c r="L1094">
        <v>367.57170000000002</v>
      </c>
      <c r="M1094">
        <v>0.99998580000000004</v>
      </c>
      <c r="N1094">
        <v>-3.7246200000000001E-3</v>
      </c>
      <c r="O1094">
        <v>-3.835153E-3</v>
      </c>
      <c r="P1094">
        <v>0.97714500000000004</v>
      </c>
      <c r="Q1094">
        <v>0.1922644</v>
      </c>
      <c r="R1094">
        <v>9.0675839999999994E-2</v>
      </c>
      <c r="S1094">
        <v>3.046478</v>
      </c>
      <c r="T1094">
        <v>-0.1151838</v>
      </c>
      <c r="U1094">
        <v>0.50296019999999997</v>
      </c>
      <c r="V1094">
        <v>-9.4415109999999997E-2</v>
      </c>
      <c r="W1094">
        <v>0.19590489999999999</v>
      </c>
      <c r="X1094">
        <v>0.97606709999999997</v>
      </c>
      <c r="Y1094">
        <v>-0.16654369999999999</v>
      </c>
      <c r="Z1094">
        <v>3.568318E-3</v>
      </c>
      <c r="AA1094">
        <v>0.9860276</v>
      </c>
      <c r="AB1094">
        <v>34</v>
      </c>
      <c r="AC1094">
        <v>28.412999999999901</v>
      </c>
      <c r="AD1094">
        <v>-1.0826434954149999</v>
      </c>
      <c r="AE1094">
        <v>4.7210999999999697</v>
      </c>
      <c r="AF1094">
        <v>-4.8232195416557797</v>
      </c>
      <c r="AG1094">
        <v>-1.0826434954149999</v>
      </c>
      <c r="AH1094">
        <v>28.354622770652298</v>
      </c>
      <c r="AI1094">
        <v>92.1556846542382</v>
      </c>
      <c r="AJ1094">
        <v>99.653806735900801</v>
      </c>
      <c r="AK1094">
        <v>28.782289626629201</v>
      </c>
      <c r="AL1094">
        <v>78.702409405995894</v>
      </c>
      <c r="AM1094">
        <v>95.525039638975997</v>
      </c>
      <c r="AN1094">
        <v>0.99999996327136498</v>
      </c>
    </row>
    <row r="1095" spans="1:40" x14ac:dyDescent="0.25">
      <c r="A1095" t="str">
        <f>"20190304155033901"</f>
        <v>20190304155033901</v>
      </c>
      <c r="B1095" t="str">
        <f>"1551685833897652"</f>
        <v>1551685833897652</v>
      </c>
      <c r="C1095" t="s">
        <v>40</v>
      </c>
      <c r="D1095">
        <v>4.9634159999999996</v>
      </c>
      <c r="E1095">
        <v>0.4703503</v>
      </c>
      <c r="F1095" t="s">
        <v>41</v>
      </c>
      <c r="G1095">
        <v>-248.44040000000001</v>
      </c>
      <c r="H1095" s="1">
        <v>-1.4176889999999999E-6</v>
      </c>
      <c r="I1095">
        <v>372.24709999999999</v>
      </c>
      <c r="J1095">
        <v>-276.5385</v>
      </c>
      <c r="K1095">
        <v>1.0842149999999999</v>
      </c>
      <c r="L1095">
        <v>367.57100000000003</v>
      </c>
      <c r="M1095">
        <v>0.99998520000000002</v>
      </c>
      <c r="N1095">
        <v>-3.8766819999999998E-3</v>
      </c>
      <c r="O1095">
        <v>-3.8347279999999999E-3</v>
      </c>
      <c r="P1095">
        <v>0.97722390000000003</v>
      </c>
      <c r="Q1095">
        <v>0.1917962</v>
      </c>
      <c r="R1095">
        <v>9.0818049999999997E-2</v>
      </c>
      <c r="S1095">
        <v>3.0464169999999999</v>
      </c>
      <c r="T1095">
        <v>-0.1166497</v>
      </c>
      <c r="U1095">
        <v>0.50375369999999997</v>
      </c>
      <c r="V1095">
        <v>-9.4557160000000001E-2</v>
      </c>
      <c r="W1095">
        <v>0.1955855</v>
      </c>
      <c r="X1095">
        <v>0.97611740000000002</v>
      </c>
      <c r="Y1095">
        <v>-0.16679260000000001</v>
      </c>
      <c r="Z1095">
        <v>3.62729E-3</v>
      </c>
      <c r="AA1095">
        <v>0.98598529999999995</v>
      </c>
      <c r="AB1095">
        <v>34</v>
      </c>
      <c r="AC1095">
        <v>28.098099999999899</v>
      </c>
      <c r="AD1095">
        <v>-1.0842164176889999</v>
      </c>
      <c r="AE1095">
        <v>4.6761000000000204</v>
      </c>
      <c r="AF1095">
        <v>-4.7768941467436301</v>
      </c>
      <c r="AG1095">
        <v>-1.0842164176889999</v>
      </c>
      <c r="AH1095">
        <v>28.039337833836498</v>
      </c>
      <c r="AI1095">
        <v>92.182970739711806</v>
      </c>
      <c r="AJ1095">
        <v>99.668314747317297</v>
      </c>
      <c r="AK1095">
        <v>28.463989690301599</v>
      </c>
      <c r="AL1095">
        <v>78.7210706643191</v>
      </c>
      <c r="AM1095">
        <v>95.533017289525702</v>
      </c>
      <c r="AN1095">
        <v>0.99999996145013703</v>
      </c>
    </row>
    <row r="1096" spans="1:40" x14ac:dyDescent="0.25">
      <c r="A1096" t="str">
        <f>"20190304155033915"</f>
        <v>20190304155033915</v>
      </c>
      <c r="B1096" t="str">
        <f>"1551685833907412"</f>
        <v>1551685833907412</v>
      </c>
      <c r="C1096" t="s">
        <v>40</v>
      </c>
      <c r="D1096">
        <v>4.9754769999999997</v>
      </c>
      <c r="E1096">
        <v>0.47031509999999999</v>
      </c>
      <c r="F1096" t="s">
        <v>41</v>
      </c>
      <c r="G1096">
        <v>-248.45529999999999</v>
      </c>
      <c r="H1096" s="1">
        <v>-1.4038229999999901E-6</v>
      </c>
      <c r="I1096">
        <v>372.22140000000002</v>
      </c>
      <c r="J1096">
        <v>-276.34379999999999</v>
      </c>
      <c r="K1096">
        <v>1.0859350000000001</v>
      </c>
      <c r="L1096">
        <v>367.57029999999997</v>
      </c>
      <c r="M1096">
        <v>0.9999844</v>
      </c>
      <c r="N1096">
        <v>-4.0925010000000001E-3</v>
      </c>
      <c r="O1096">
        <v>-3.8344450000000001E-3</v>
      </c>
      <c r="P1096">
        <v>0.97725139999999999</v>
      </c>
      <c r="Q1096">
        <v>0.19154299999999999</v>
      </c>
      <c r="R1096">
        <v>9.1057540000000006E-2</v>
      </c>
      <c r="S1096">
        <v>3.0461119999999999</v>
      </c>
      <c r="T1096">
        <v>-0.1176025</v>
      </c>
      <c r="U1096">
        <v>0.50442500000000001</v>
      </c>
      <c r="V1096">
        <v>-9.4796729999999996E-2</v>
      </c>
      <c r="W1096">
        <v>0.19554340000000001</v>
      </c>
      <c r="X1096">
        <v>0.97610269999999999</v>
      </c>
      <c r="Y1096">
        <v>-0.16701679999999999</v>
      </c>
      <c r="Z1096">
        <v>3.6766920000000001E-3</v>
      </c>
      <c r="AA1096">
        <v>0.98594720000000002</v>
      </c>
      <c r="AB1096">
        <v>34</v>
      </c>
      <c r="AC1096">
        <v>27.888500000000001</v>
      </c>
      <c r="AD1096">
        <v>-1.0859364038229999</v>
      </c>
      <c r="AE1096">
        <v>4.6511000000000404</v>
      </c>
      <c r="AF1096">
        <v>-4.7509950516485597</v>
      </c>
      <c r="AG1096">
        <v>-1.0859364038229999</v>
      </c>
      <c r="AH1096">
        <v>27.829407150128802</v>
      </c>
      <c r="AI1096">
        <v>92.202778244568407</v>
      </c>
      <c r="AJ1096">
        <v>99.688052082827497</v>
      </c>
      <c r="AK1096">
        <v>28.252913375111898</v>
      </c>
      <c r="AL1096">
        <v>78.723531449124096</v>
      </c>
      <c r="AM1096">
        <v>95.547031436306796</v>
      </c>
      <c r="AN1096">
        <v>1.0000000611247599</v>
      </c>
    </row>
    <row r="1097" spans="1:40" x14ac:dyDescent="0.25">
      <c r="A1097" t="str">
        <f>"20190304155033925"</f>
        <v>20190304155033925</v>
      </c>
      <c r="B1097" t="str">
        <f>"1551685833917173"</f>
        <v>1551685833917173</v>
      </c>
      <c r="C1097" t="s">
        <v>40</v>
      </c>
      <c r="D1097">
        <v>4.9511079999999996</v>
      </c>
      <c r="E1097">
        <v>0.47026299999999999</v>
      </c>
      <c r="F1097" t="s">
        <v>41</v>
      </c>
      <c r="G1097">
        <v>-248.3955</v>
      </c>
      <c r="H1097" s="1">
        <v>-1.428263E-6</v>
      </c>
      <c r="I1097">
        <v>372.20710000000003</v>
      </c>
      <c r="J1097">
        <v>-276.16160000000002</v>
      </c>
      <c r="K1097">
        <v>1.087526</v>
      </c>
      <c r="L1097">
        <v>367.56950000000001</v>
      </c>
      <c r="M1097">
        <v>0.99998330000000002</v>
      </c>
      <c r="N1097">
        <v>-4.3333E-3</v>
      </c>
      <c r="O1097">
        <v>-3.8343589999999999E-3</v>
      </c>
      <c r="P1097">
        <v>0.97734710000000002</v>
      </c>
      <c r="Q1097">
        <v>0.19092039999999999</v>
      </c>
      <c r="R1097">
        <v>9.1335860000000005E-2</v>
      </c>
      <c r="S1097">
        <v>3.0458980000000002</v>
      </c>
      <c r="T1097">
        <v>-0.1183492</v>
      </c>
      <c r="U1097">
        <v>0.50534060000000003</v>
      </c>
      <c r="V1097">
        <v>-9.5075119999999999E-2</v>
      </c>
      <c r="W1097">
        <v>0.19515569999999999</v>
      </c>
      <c r="X1097">
        <v>0.9761531</v>
      </c>
      <c r="Y1097">
        <v>-0.16731370000000001</v>
      </c>
      <c r="Z1097">
        <v>3.7238050000000002E-3</v>
      </c>
      <c r="AA1097">
        <v>0.98589669999999896</v>
      </c>
      <c r="AB1097">
        <v>34</v>
      </c>
      <c r="AC1097">
        <v>27.766100000000002</v>
      </c>
      <c r="AD1097">
        <v>-1.0875274282629901</v>
      </c>
      <c r="AE1097">
        <v>4.6376000000000097</v>
      </c>
      <c r="AF1097">
        <v>-4.7369623975687496</v>
      </c>
      <c r="AG1097">
        <v>-1.0875274282629901</v>
      </c>
      <c r="AH1097">
        <v>27.706762411557602</v>
      </c>
      <c r="AI1097">
        <v>92.215666032762599</v>
      </c>
      <c r="AJ1097">
        <v>99.701926370891201</v>
      </c>
      <c r="AK1097">
        <v>28.1298100241311</v>
      </c>
      <c r="AL1097">
        <v>78.746180137762593</v>
      </c>
      <c r="AM1097">
        <v>95.562933951187205</v>
      </c>
      <c r="AN1097">
        <v>0.99999995016255605</v>
      </c>
    </row>
    <row r="1098" spans="1:40" x14ac:dyDescent="0.25">
      <c r="A1098" t="str">
        <f>"20190304155033937"</f>
        <v>20190304155033937</v>
      </c>
      <c r="B1098" t="str">
        <f>"1551685833927909"</f>
        <v>1551685833927909</v>
      </c>
      <c r="C1098" t="s">
        <v>40</v>
      </c>
      <c r="D1098">
        <v>4.9693239999999896</v>
      </c>
      <c r="E1098">
        <v>0.4702403</v>
      </c>
      <c r="F1098" t="s">
        <v>41</v>
      </c>
      <c r="G1098">
        <v>-248.62799999999999</v>
      </c>
      <c r="H1098" s="1">
        <v>-1.3034920000000001E-6</v>
      </c>
      <c r="I1098">
        <v>372.15120000000002</v>
      </c>
      <c r="J1098">
        <v>-275.99970000000002</v>
      </c>
      <c r="K1098">
        <v>1.0888789999999999</v>
      </c>
      <c r="L1098">
        <v>367.56889999999999</v>
      </c>
      <c r="M1098">
        <v>0.99998220000000004</v>
      </c>
      <c r="N1098">
        <v>-4.5883729999999998E-3</v>
      </c>
      <c r="O1098">
        <v>-3.8339759999999998E-3</v>
      </c>
      <c r="P1098">
        <v>0.97741789999999995</v>
      </c>
      <c r="Q1098">
        <v>0.1904064</v>
      </c>
      <c r="R1098">
        <v>9.1651029999999994E-2</v>
      </c>
      <c r="S1098">
        <v>3.0456850000000002</v>
      </c>
      <c r="T1098">
        <v>-0.1202992</v>
      </c>
      <c r="U1098">
        <v>0.50680539999999996</v>
      </c>
      <c r="V1098">
        <v>-9.5390669999999997E-2</v>
      </c>
      <c r="W1098">
        <v>0.19489139999999999</v>
      </c>
      <c r="X1098">
        <v>0.97617520000000002</v>
      </c>
      <c r="Y1098">
        <v>-0.16778029999999999</v>
      </c>
      <c r="Z1098">
        <v>3.8102359999999998E-3</v>
      </c>
      <c r="AA1098">
        <v>0.9858171</v>
      </c>
      <c r="AB1098">
        <v>34</v>
      </c>
      <c r="AC1098">
        <v>27.371700000000001</v>
      </c>
      <c r="AD1098">
        <v>-1.088880303492</v>
      </c>
      <c r="AE1098">
        <v>4.5823000000000302</v>
      </c>
      <c r="AF1098">
        <v>-4.6800054397184496</v>
      </c>
      <c r="AG1098">
        <v>-1.088880303492</v>
      </c>
      <c r="AH1098">
        <v>27.311886186172998</v>
      </c>
      <c r="AI1098">
        <v>92.250316337130798</v>
      </c>
      <c r="AJ1098">
        <v>99.723437009107897</v>
      </c>
      <c r="AK1098">
        <v>27.731340362081198</v>
      </c>
      <c r="AL1098">
        <v>78.761620780547403</v>
      </c>
      <c r="AM1098">
        <v>95.581155131147597</v>
      </c>
      <c r="AN1098">
        <v>1.0000000294060201</v>
      </c>
    </row>
    <row r="1099" spans="1:40" x14ac:dyDescent="0.25">
      <c r="A1099" t="str">
        <f>"20190304155033948"</f>
        <v>20190304155033948</v>
      </c>
      <c r="B1099" t="str">
        <f>"1551685833937669"</f>
        <v>1551685833937669</v>
      </c>
      <c r="C1099" t="s">
        <v>40</v>
      </c>
      <c r="D1099">
        <v>4.9742290000000002</v>
      </c>
      <c r="E1099">
        <v>0.47019909999999998</v>
      </c>
      <c r="F1099" t="s">
        <v>41</v>
      </c>
      <c r="G1099">
        <v>-248.6908</v>
      </c>
      <c r="H1099" s="1">
        <v>-1.2666850000000001E-6</v>
      </c>
      <c r="I1099">
        <v>372.12439999999998</v>
      </c>
      <c r="J1099">
        <v>-275.82569999999998</v>
      </c>
      <c r="K1099">
        <v>1.090314</v>
      </c>
      <c r="L1099">
        <v>367.56830000000002</v>
      </c>
      <c r="M1099">
        <v>0.99998089999999995</v>
      </c>
      <c r="N1099">
        <v>-4.8699090000000004E-3</v>
      </c>
      <c r="O1099">
        <v>-3.83381E-3</v>
      </c>
      <c r="P1099">
        <v>0.97753500000000004</v>
      </c>
      <c r="Q1099">
        <v>0.18986239999999999</v>
      </c>
      <c r="R1099">
        <v>9.1530520000000004E-2</v>
      </c>
      <c r="S1099">
        <v>3.0453190000000001</v>
      </c>
      <c r="T1099">
        <v>-0.1214252</v>
      </c>
      <c r="U1099">
        <v>0.50799559999999999</v>
      </c>
      <c r="V1099">
        <v>-9.5270629999999995E-2</v>
      </c>
      <c r="W1099">
        <v>0.19462299999999999</v>
      </c>
      <c r="X1099">
        <v>0.97624049999999996</v>
      </c>
      <c r="Y1099">
        <v>-0.16817029999999999</v>
      </c>
      <c r="Z1099">
        <v>3.8741140000000001E-3</v>
      </c>
      <c r="AA1099">
        <v>0.98575040000000003</v>
      </c>
      <c r="AB1099">
        <v>34</v>
      </c>
      <c r="AC1099">
        <v>27.134899999999899</v>
      </c>
      <c r="AD1099">
        <v>-1.090315266685</v>
      </c>
      <c r="AE1099">
        <v>4.5560999999999501</v>
      </c>
      <c r="AF1099">
        <v>-4.65279166602771</v>
      </c>
      <c r="AG1099">
        <v>-1.090315266685</v>
      </c>
      <c r="AH1099">
        <v>27.0747186247334</v>
      </c>
      <c r="AI1099">
        <v>92.272808672304905</v>
      </c>
      <c r="AJ1099">
        <v>99.751036252851407</v>
      </c>
      <c r="AK1099">
        <v>27.493229098756402</v>
      </c>
      <c r="AL1099">
        <v>78.777299527156003</v>
      </c>
      <c r="AM1099">
        <v>95.573805539387706</v>
      </c>
      <c r="AN1099">
        <v>1.0000000594549201</v>
      </c>
    </row>
    <row r="1100" spans="1:40" x14ac:dyDescent="0.25">
      <c r="A1100" t="str">
        <f>"20190304155033961"</f>
        <v>20190304155033961</v>
      </c>
      <c r="B1100" t="str">
        <f>"1551685833957189"</f>
        <v>1551685833957189</v>
      </c>
      <c r="C1100" t="s">
        <v>40</v>
      </c>
      <c r="D1100">
        <v>4.9703749999999998</v>
      </c>
      <c r="E1100">
        <v>0.47008680000000003</v>
      </c>
      <c r="F1100" t="s">
        <v>41</v>
      </c>
      <c r="G1100">
        <v>-248.85599999999999</v>
      </c>
      <c r="H1100" s="1">
        <v>-1.172731E-6</v>
      </c>
      <c r="I1100">
        <v>372.06479999999999</v>
      </c>
      <c r="J1100">
        <v>-275.64350000000002</v>
      </c>
      <c r="K1100">
        <v>1.0917289999999999</v>
      </c>
      <c r="L1100">
        <v>367.56760000000003</v>
      </c>
      <c r="M1100">
        <v>0.99997930000000002</v>
      </c>
      <c r="N1100">
        <v>-5.1889680000000004E-3</v>
      </c>
      <c r="O1100">
        <v>-3.8336609999999999E-3</v>
      </c>
      <c r="P1100">
        <v>0.97759059999999998</v>
      </c>
      <c r="Q1100">
        <v>0.18933179999999999</v>
      </c>
      <c r="R1100">
        <v>9.2035279999999997E-2</v>
      </c>
      <c r="S1100">
        <v>3.0452880000000002</v>
      </c>
      <c r="T1100">
        <v>-0.1231129</v>
      </c>
      <c r="U1100">
        <v>0.50772090000000003</v>
      </c>
      <c r="V1100">
        <v>-9.577484E-2</v>
      </c>
      <c r="W1100">
        <v>0.1944041</v>
      </c>
      <c r="X1100">
        <v>0.97623470000000001</v>
      </c>
      <c r="Y1100">
        <v>-0.16808039999999999</v>
      </c>
      <c r="Z1100">
        <v>3.9462789999999996E-3</v>
      </c>
      <c r="AA1100">
        <v>0.98576540000000001</v>
      </c>
      <c r="AB1100">
        <v>34</v>
      </c>
      <c r="AC1100">
        <v>26.787500000000001</v>
      </c>
      <c r="AD1100">
        <v>-1.091730172731</v>
      </c>
      <c r="AE1100">
        <v>4.4971999999999603</v>
      </c>
      <c r="AF1100">
        <v>-4.5924436292785202</v>
      </c>
      <c r="AG1100">
        <v>-1.091730172731</v>
      </c>
      <c r="AH1100">
        <v>26.7268860869784</v>
      </c>
      <c r="AI1100">
        <v>92.305348924098098</v>
      </c>
      <c r="AJ1100">
        <v>99.749843118051004</v>
      </c>
      <c r="AK1100">
        <v>27.140538925461101</v>
      </c>
      <c r="AL1100">
        <v>78.7900849103453</v>
      </c>
      <c r="AM1100">
        <v>95.603150183916796</v>
      </c>
      <c r="AN1100">
        <v>0.99999998177896199</v>
      </c>
    </row>
    <row r="1101" spans="1:40" x14ac:dyDescent="0.25">
      <c r="A1101" t="str">
        <f>"20190304155033972"</f>
        <v>20190304155033972</v>
      </c>
      <c r="B1101" t="str">
        <f>"1551685833966949"</f>
        <v>1551685833966949</v>
      </c>
      <c r="C1101" t="s">
        <v>40</v>
      </c>
      <c r="D1101">
        <v>4.9768520000000001</v>
      </c>
      <c r="E1101">
        <v>0.47005940000000002</v>
      </c>
      <c r="F1101" t="s">
        <v>41</v>
      </c>
      <c r="G1101">
        <v>-249.05690000000001</v>
      </c>
      <c r="H1101" s="1">
        <v>-1.066658E-6</v>
      </c>
      <c r="I1101">
        <v>372.02300000000002</v>
      </c>
      <c r="J1101">
        <v>-275.47300000000001</v>
      </c>
      <c r="K1101">
        <v>1.093011</v>
      </c>
      <c r="L1101">
        <v>367.56689999999998</v>
      </c>
      <c r="M1101">
        <v>0.99997760000000002</v>
      </c>
      <c r="N1101">
        <v>-5.4915169999999996E-3</v>
      </c>
      <c r="O1101">
        <v>-3.8336360000000001E-3</v>
      </c>
      <c r="P1101">
        <v>0.97767250000000006</v>
      </c>
      <c r="Q1101">
        <v>0.18890000000000001</v>
      </c>
      <c r="R1101">
        <v>9.2051250000000001E-2</v>
      </c>
      <c r="S1101">
        <v>3.0449519999999999</v>
      </c>
      <c r="T1101">
        <v>-0.12503529999999999</v>
      </c>
      <c r="U1101">
        <v>0.51028439999999997</v>
      </c>
      <c r="V1101">
        <v>-9.5791440000000005E-2</v>
      </c>
      <c r="W1101">
        <v>0.19426750000000001</v>
      </c>
      <c r="X1101">
        <v>0.97626029999999997</v>
      </c>
      <c r="Y1101">
        <v>-0.16889889999999999</v>
      </c>
      <c r="Z1101">
        <v>4.0448940000000003E-3</v>
      </c>
      <c r="AA1101">
        <v>0.98562510000000003</v>
      </c>
      <c r="AB1101">
        <v>34</v>
      </c>
      <c r="AC1101">
        <v>26.4161</v>
      </c>
      <c r="AD1101">
        <v>-1.0930120666580001</v>
      </c>
      <c r="AE1101">
        <v>4.4561000000000401</v>
      </c>
      <c r="AF1101">
        <v>-4.5497646562333802</v>
      </c>
      <c r="AG1101">
        <v>-1.0930120666580001</v>
      </c>
      <c r="AH1101">
        <v>26.354950393143401</v>
      </c>
      <c r="AI1101">
        <v>92.340274447601701</v>
      </c>
      <c r="AJ1101">
        <v>99.794668036856805</v>
      </c>
      <c r="AK1101">
        <v>26.767114973975399</v>
      </c>
      <c r="AL1101">
        <v>78.798064032426495</v>
      </c>
      <c r="AM1101">
        <v>95.603969139610001</v>
      </c>
      <c r="AN1101">
        <v>1.0000000174448</v>
      </c>
    </row>
    <row r="1102" spans="1:40" x14ac:dyDescent="0.25">
      <c r="A1102" t="str">
        <f>"20190304155033988"</f>
        <v>20190304155033988</v>
      </c>
      <c r="B1102" t="str">
        <f>"1551685833977685"</f>
        <v>1551685833977685</v>
      </c>
      <c r="C1102" t="s">
        <v>40</v>
      </c>
      <c r="D1102">
        <v>4.9897839999999896</v>
      </c>
      <c r="E1102">
        <v>0.47003840000000002</v>
      </c>
      <c r="F1102" t="s">
        <v>41</v>
      </c>
      <c r="G1102">
        <v>-249.15180000000001</v>
      </c>
      <c r="H1102" s="1">
        <v>-1.0104539999999999E-6</v>
      </c>
      <c r="I1102">
        <v>371.98039999999997</v>
      </c>
      <c r="J1102">
        <v>-275.2398</v>
      </c>
      <c r="K1102">
        <v>1.094679</v>
      </c>
      <c r="L1102">
        <v>367.56599999999997</v>
      </c>
      <c r="M1102">
        <v>0.99997519999999995</v>
      </c>
      <c r="N1102">
        <v>-5.9127320000000004E-3</v>
      </c>
      <c r="O1102">
        <v>-3.8334089999999999E-3</v>
      </c>
      <c r="P1102">
        <v>0.9777766</v>
      </c>
      <c r="Q1102">
        <v>0.1883639</v>
      </c>
      <c r="R1102">
        <v>9.2043970000000003E-2</v>
      </c>
      <c r="S1102">
        <v>3.0448300000000001</v>
      </c>
      <c r="T1102">
        <v>-0.12643950000000001</v>
      </c>
      <c r="U1102">
        <v>0.51055909999999904</v>
      </c>
      <c r="V1102">
        <v>-9.5784530000000007E-2</v>
      </c>
      <c r="W1102">
        <v>0.19414310000000001</v>
      </c>
      <c r="X1102">
        <v>0.97628570000000003</v>
      </c>
      <c r="Y1102">
        <v>-0.16898669999999999</v>
      </c>
      <c r="Z1102">
        <v>4.121698E-3</v>
      </c>
      <c r="AA1102">
        <v>0.98560970000000003</v>
      </c>
      <c r="AB1102">
        <v>34</v>
      </c>
      <c r="AC1102">
        <v>26.087999999999901</v>
      </c>
      <c r="AD1102">
        <v>-1.094680010454</v>
      </c>
      <c r="AE1102">
        <v>4.4143999999999997</v>
      </c>
      <c r="AF1102">
        <v>-4.5066611453822496</v>
      </c>
      <c r="AG1102">
        <v>-1.094680010454</v>
      </c>
      <c r="AH1102">
        <v>26.0263360387064</v>
      </c>
      <c r="AI1102">
        <v>92.3731936189549</v>
      </c>
      <c r="AJ1102">
        <v>99.823795552177202</v>
      </c>
      <c r="AK1102">
        <v>26.436310003558699</v>
      </c>
      <c r="AL1102">
        <v>78.805329695276697</v>
      </c>
      <c r="AM1102">
        <v>95.603422605218</v>
      </c>
      <c r="AN1102">
        <v>0.99999999374471005</v>
      </c>
    </row>
    <row r="1103" spans="1:40" x14ac:dyDescent="0.25">
      <c r="A1103" t="str">
        <f>"20190304155034001"</f>
        <v>20190304155034001</v>
      </c>
      <c r="B1103" t="str">
        <f>"1551685833997205"</f>
        <v>1551685833997205</v>
      </c>
      <c r="C1103" t="s">
        <v>40</v>
      </c>
      <c r="D1103">
        <v>4.992775</v>
      </c>
      <c r="E1103">
        <v>0.46999419999999997</v>
      </c>
      <c r="F1103" t="s">
        <v>41</v>
      </c>
      <c r="G1103">
        <v>-249.22900000000001</v>
      </c>
      <c r="H1103" s="1">
        <v>-9.5921579999999999E-7</v>
      </c>
      <c r="I1103">
        <v>371.92489999999998</v>
      </c>
      <c r="J1103">
        <v>-275.03649999999999</v>
      </c>
      <c r="K1103">
        <v>1.0960049999999999</v>
      </c>
      <c r="L1103">
        <v>367.5652</v>
      </c>
      <c r="M1103">
        <v>0.99997309999999995</v>
      </c>
      <c r="N1103">
        <v>-6.2772419999999997E-3</v>
      </c>
      <c r="O1103">
        <v>-3.8334490000000001E-3</v>
      </c>
      <c r="P1103">
        <v>0.97788120000000001</v>
      </c>
      <c r="Q1103">
        <v>0.18798329999999999</v>
      </c>
      <c r="R1103">
        <v>9.1709520000000003E-2</v>
      </c>
      <c r="S1103">
        <v>3.0448300000000001</v>
      </c>
      <c r="T1103">
        <v>-0.12814339999999999</v>
      </c>
      <c r="U1103">
        <v>0.51025390000000004</v>
      </c>
      <c r="V1103">
        <v>-9.5450270000000004E-2</v>
      </c>
      <c r="W1103">
        <v>0.19411929999999999</v>
      </c>
      <c r="X1103">
        <v>0.97632319999999995</v>
      </c>
      <c r="Y1103">
        <v>-0.16888529999999999</v>
      </c>
      <c r="Z1103">
        <v>4.1979599999999997E-3</v>
      </c>
      <c r="AA1103">
        <v>0.98562680000000003</v>
      </c>
      <c r="AB1103">
        <v>34</v>
      </c>
      <c r="AC1103">
        <v>25.807499999999902</v>
      </c>
      <c r="AD1103">
        <v>-1.09600595921579</v>
      </c>
      <c r="AE1103">
        <v>4.3596999999999699</v>
      </c>
      <c r="AF1103">
        <v>-4.4507970197600297</v>
      </c>
      <c r="AG1103">
        <v>-1.09600595921579</v>
      </c>
      <c r="AH1103">
        <v>25.745451880710299</v>
      </c>
      <c r="AI1103">
        <v>92.402070817717004</v>
      </c>
      <c r="AJ1103">
        <v>99.808179827008502</v>
      </c>
      <c r="AK1103">
        <v>26.1503176981793</v>
      </c>
      <c r="AL1103">
        <v>78.806720120797607</v>
      </c>
      <c r="AM1103">
        <v>95.583778977037596</v>
      </c>
      <c r="AN1103">
        <v>1.0000000237669</v>
      </c>
    </row>
    <row r="1104" spans="1:40" x14ac:dyDescent="0.25">
      <c r="A1104" t="str">
        <f>"20190304155034014"</f>
        <v>20190304155034014</v>
      </c>
      <c r="B1104" t="str">
        <f>"1551685834007942"</f>
        <v>1551685834007942</v>
      </c>
      <c r="C1104" t="s">
        <v>40</v>
      </c>
      <c r="D1104">
        <v>4.9812709999999996</v>
      </c>
      <c r="E1104">
        <v>0.46995389999999998</v>
      </c>
      <c r="F1104" t="s">
        <v>41</v>
      </c>
      <c r="G1104">
        <v>-249.26660000000001</v>
      </c>
      <c r="H1104" s="1">
        <v>-9.2924740000000003E-7</v>
      </c>
      <c r="I1104">
        <v>371.87920000000003</v>
      </c>
      <c r="J1104">
        <v>-274.84559999999999</v>
      </c>
      <c r="K1104">
        <v>1.0971839999999999</v>
      </c>
      <c r="L1104">
        <v>367.56450000000001</v>
      </c>
      <c r="M1104">
        <v>0.9999709</v>
      </c>
      <c r="N1104">
        <v>-6.6136729999999996E-3</v>
      </c>
      <c r="O1104">
        <v>-3.833342E-3</v>
      </c>
      <c r="P1104">
        <v>0.97791450000000002</v>
      </c>
      <c r="Q1104">
        <v>0.18777720000000001</v>
      </c>
      <c r="R1104">
        <v>9.1778719999999994E-2</v>
      </c>
      <c r="S1104">
        <v>3.0449220000000001</v>
      </c>
      <c r="T1104">
        <v>-0.12950229999999999</v>
      </c>
      <c r="U1104">
        <v>0.5097351</v>
      </c>
      <c r="V1104">
        <v>-9.5519599999999996E-2</v>
      </c>
      <c r="W1104">
        <v>0.19424179999999999</v>
      </c>
      <c r="X1104">
        <v>0.97629200000000005</v>
      </c>
      <c r="Y1104">
        <v>-0.16871269999999999</v>
      </c>
      <c r="Z1104">
        <v>4.2600909999999997E-3</v>
      </c>
      <c r="AA1104">
        <v>0.98565610000000003</v>
      </c>
      <c r="AB1104">
        <v>34</v>
      </c>
      <c r="AC1104">
        <v>25.578999999999901</v>
      </c>
      <c r="AD1104">
        <v>-1.0971849292474001</v>
      </c>
      <c r="AE1104">
        <v>4.31470000000001</v>
      </c>
      <c r="AF1104">
        <v>-4.4048432644577202</v>
      </c>
      <c r="AG1104">
        <v>-1.0971849292474001</v>
      </c>
      <c r="AH1104">
        <v>25.516622990294199</v>
      </c>
      <c r="AI1104">
        <v>92.426292423940296</v>
      </c>
      <c r="AJ1104">
        <v>99.794237513854995</v>
      </c>
      <c r="AK1104">
        <v>25.9172627370681</v>
      </c>
      <c r="AL1104">
        <v>78.799564590478894</v>
      </c>
      <c r="AM1104">
        <v>95.587986521371406</v>
      </c>
      <c r="AN1104">
        <v>0.99999997005769903</v>
      </c>
    </row>
    <row r="1105" spans="1:40" x14ac:dyDescent="0.25">
      <c r="A1105" t="str">
        <f>"20190304155034032"</f>
        <v>20190304155034032</v>
      </c>
      <c r="B1105" t="str">
        <f>"1551685834027461"</f>
        <v>1551685834027461</v>
      </c>
      <c r="C1105" t="s">
        <v>40</v>
      </c>
      <c r="D1105">
        <v>4.9867410000000003</v>
      </c>
      <c r="E1105">
        <v>0.46983639999999999</v>
      </c>
      <c r="F1105" t="s">
        <v>41</v>
      </c>
      <c r="G1105">
        <v>-249.25239999999999</v>
      </c>
      <c r="H1105" s="1">
        <v>-9.2918210000000001E-7</v>
      </c>
      <c r="I1105">
        <v>371.8537</v>
      </c>
      <c r="J1105">
        <v>-274.57499999999999</v>
      </c>
      <c r="K1105">
        <v>1.098727</v>
      </c>
      <c r="L1105">
        <v>367.5634</v>
      </c>
      <c r="M1105">
        <v>0.99996770000000001</v>
      </c>
      <c r="N1105">
        <v>-7.0767490000000002E-3</v>
      </c>
      <c r="O1105">
        <v>-3.8330220000000002E-3</v>
      </c>
      <c r="P1105">
        <v>0.97796159999999999</v>
      </c>
      <c r="Q1105">
        <v>0.18767600000000001</v>
      </c>
      <c r="R1105">
        <v>9.1481960000000001E-2</v>
      </c>
      <c r="S1105">
        <v>3.0449519999999999</v>
      </c>
      <c r="T1105">
        <v>-0.13053799999999999</v>
      </c>
      <c r="U1105">
        <v>0.51031490000000002</v>
      </c>
      <c r="V1105">
        <v>-9.5223279999999993E-2</v>
      </c>
      <c r="W1105">
        <v>0.19459309999999999</v>
      </c>
      <c r="X1105">
        <v>0.97625099999999998</v>
      </c>
      <c r="Y1105">
        <v>-0.16888889999999901</v>
      </c>
      <c r="Z1105">
        <v>4.3317210000000002E-3</v>
      </c>
      <c r="AA1105">
        <v>0.98562559999999999</v>
      </c>
      <c r="AB1105">
        <v>34</v>
      </c>
      <c r="AC1105">
        <v>25.322599999999898</v>
      </c>
      <c r="AD1105">
        <v>-1.0987279291820999</v>
      </c>
      <c r="AE1105">
        <v>4.2903000000000002</v>
      </c>
      <c r="AF1105">
        <v>-4.3793184322829104</v>
      </c>
      <c r="AG1105">
        <v>-1.0987279291820999</v>
      </c>
      <c r="AH1105">
        <v>25.2597411018995</v>
      </c>
      <c r="AI1105">
        <v>92.454072790214099</v>
      </c>
      <c r="AJ1105">
        <v>99.835685254634697</v>
      </c>
      <c r="AK1105">
        <v>25.660088727997199</v>
      </c>
      <c r="AL1105">
        <v>78.779045174487905</v>
      </c>
      <c r="AM1105">
        <v>95.570993218401398</v>
      </c>
      <c r="AN1105">
        <v>0.99999998131128398</v>
      </c>
    </row>
    <row r="1106" spans="1:40" x14ac:dyDescent="0.25">
      <c r="A1106" t="str">
        <f>"20190304155034044"</f>
        <v>20190304155034044</v>
      </c>
      <c r="B1106" t="str">
        <f>"1551685834037221"</f>
        <v>1551685834037221</v>
      </c>
      <c r="C1106" t="s">
        <v>40</v>
      </c>
      <c r="D1106">
        <v>4.981179</v>
      </c>
      <c r="E1106">
        <v>0.46983170000000002</v>
      </c>
      <c r="F1106" t="s">
        <v>41</v>
      </c>
      <c r="G1106">
        <v>-249.2139</v>
      </c>
      <c r="H1106" s="1">
        <v>-9.3686260000000005E-7</v>
      </c>
      <c r="I1106">
        <v>371.81420000000003</v>
      </c>
      <c r="J1106">
        <v>-274.38869999999997</v>
      </c>
      <c r="K1106">
        <v>1.099707</v>
      </c>
      <c r="L1106">
        <v>367.56270000000001</v>
      </c>
      <c r="M1106">
        <v>0.9999654</v>
      </c>
      <c r="N1106">
        <v>-7.3830279999999998E-3</v>
      </c>
      <c r="O1106">
        <v>-3.8329380000000001E-3</v>
      </c>
      <c r="P1106">
        <v>0.97802359999999999</v>
      </c>
      <c r="Q1106">
        <v>0.1873466</v>
      </c>
      <c r="R1106">
        <v>9.1493900000000003E-2</v>
      </c>
      <c r="S1106">
        <v>3.0451969999999999</v>
      </c>
      <c r="T1106">
        <v>-0.1319283</v>
      </c>
      <c r="U1106">
        <v>0.51040649999999999</v>
      </c>
      <c r="V1106">
        <v>-9.5235020000000004E-2</v>
      </c>
      <c r="W1106">
        <v>0.19456309999999999</v>
      </c>
      <c r="X1106">
        <v>0.97625580000000001</v>
      </c>
      <c r="Y1106">
        <v>-0.1689002</v>
      </c>
      <c r="Z1106">
        <v>4.3965690000000003E-3</v>
      </c>
      <c r="AA1106">
        <v>0.98562340000000004</v>
      </c>
      <c r="AB1106">
        <v>34</v>
      </c>
      <c r="AC1106">
        <v>25.174799999999902</v>
      </c>
      <c r="AD1106">
        <v>-1.0997079368625999</v>
      </c>
      <c r="AE1106">
        <v>4.2515000000000196</v>
      </c>
      <c r="AF1106">
        <v>-4.3399130843981499</v>
      </c>
      <c r="AG1106">
        <v>-1.0997079368625999</v>
      </c>
      <c r="AH1106">
        <v>25.111729552169699</v>
      </c>
      <c r="AI1106">
        <v>92.470945610393102</v>
      </c>
      <c r="AJ1106">
        <v>99.805237924763205</v>
      </c>
      <c r="AK1106">
        <v>25.507707937559601</v>
      </c>
      <c r="AL1106">
        <v>78.780797161971407</v>
      </c>
      <c r="AM1106">
        <v>95.571648517848999</v>
      </c>
      <c r="AN1106">
        <v>0.99999994797482294</v>
      </c>
    </row>
    <row r="1107" spans="1:40" x14ac:dyDescent="0.25">
      <c r="A1107" t="str">
        <f>"20190304155034054"</f>
        <v>20190304155034054</v>
      </c>
      <c r="B1107" t="str">
        <f>"1551685834046982"</f>
        <v>1551685834046982</v>
      </c>
      <c r="C1107" t="s">
        <v>40</v>
      </c>
      <c r="D1107">
        <v>5.0047750000000004</v>
      </c>
      <c r="E1107">
        <v>0.46983449999999999</v>
      </c>
      <c r="F1107" t="s">
        <v>41</v>
      </c>
      <c r="G1107">
        <v>-249.26599999999999</v>
      </c>
      <c r="H1107" s="1">
        <v>-9.0047050000000003E-7</v>
      </c>
      <c r="I1107">
        <v>371.77</v>
      </c>
      <c r="J1107">
        <v>-274.23009999999999</v>
      </c>
      <c r="K1107">
        <v>1.100474</v>
      </c>
      <c r="L1107">
        <v>367.56209999999999</v>
      </c>
      <c r="M1107">
        <v>0.99996359999999995</v>
      </c>
      <c r="N1107">
        <v>-7.6340009999999996E-3</v>
      </c>
      <c r="O1107">
        <v>-3.8330460000000001E-3</v>
      </c>
      <c r="P1107">
        <v>0.97801289999999996</v>
      </c>
      <c r="Q1107">
        <v>0.1873435</v>
      </c>
      <c r="R1107">
        <v>9.1617439999999994E-2</v>
      </c>
      <c r="S1107">
        <v>3.0452270000000001</v>
      </c>
      <c r="T1107">
        <v>-0.13330020000000001</v>
      </c>
      <c r="U1107">
        <v>0.50997919999999997</v>
      </c>
      <c r="V1107">
        <v>-9.5358849999999995E-2</v>
      </c>
      <c r="W1107">
        <v>0.19480500000000001</v>
      </c>
      <c r="X1107">
        <v>0.97619549999999999</v>
      </c>
      <c r="Y1107">
        <v>-0.16875989999999999</v>
      </c>
      <c r="Z1107">
        <v>4.4528320000000003E-3</v>
      </c>
      <c r="AA1107">
        <v>0.9856471</v>
      </c>
      <c r="AB1107">
        <v>34</v>
      </c>
      <c r="AC1107">
        <v>24.964099999999998</v>
      </c>
      <c r="AD1107">
        <v>-1.1004749004704999</v>
      </c>
      <c r="AE1107">
        <v>4.2078999999999898</v>
      </c>
      <c r="AF1107">
        <v>-4.2954438979097898</v>
      </c>
      <c r="AG1107">
        <v>-1.1004749004704999</v>
      </c>
      <c r="AH1107">
        <v>24.900735545551498</v>
      </c>
      <c r="AI1107">
        <v>92.493726569111601</v>
      </c>
      <c r="AJ1107">
        <v>99.787353411019595</v>
      </c>
      <c r="AK1107">
        <v>25.292459627251599</v>
      </c>
      <c r="AL1107">
        <v>78.766667266480297</v>
      </c>
      <c r="AM1107">
        <v>95.579189852974906</v>
      </c>
      <c r="AN1107">
        <v>0.99999997625928505</v>
      </c>
    </row>
    <row r="1108" spans="1:40" x14ac:dyDescent="0.25">
      <c r="A1108" t="str">
        <f>"20190304155034066"</f>
        <v>20190304155034066</v>
      </c>
      <c r="B1108" t="str">
        <f>"1551685834057717"</f>
        <v>1551685834057717</v>
      </c>
      <c r="C1108" t="s">
        <v>40</v>
      </c>
      <c r="D1108">
        <v>5.0528040000000001</v>
      </c>
      <c r="E1108">
        <v>0.46979029999999999</v>
      </c>
      <c r="F1108" t="s">
        <v>41</v>
      </c>
      <c r="G1108">
        <v>-249.1199</v>
      </c>
      <c r="H1108" s="1">
        <v>-9.695385000000001E-7</v>
      </c>
      <c r="I1108">
        <v>371.76990000000001</v>
      </c>
      <c r="J1108">
        <v>-274.04770000000002</v>
      </c>
      <c r="K1108">
        <v>1.101318</v>
      </c>
      <c r="L1108">
        <v>367.56139999999999</v>
      </c>
      <c r="M1108">
        <v>0.99996130000000005</v>
      </c>
      <c r="N1108">
        <v>-7.9175080000000002E-3</v>
      </c>
      <c r="O1108">
        <v>-3.8329560000000002E-3</v>
      </c>
      <c r="P1108">
        <v>0.97805770000000003</v>
      </c>
      <c r="Q1108">
        <v>0.18717039999999999</v>
      </c>
      <c r="R1108">
        <v>9.1490779999999994E-2</v>
      </c>
      <c r="S1108">
        <v>3.045166</v>
      </c>
      <c r="T1108">
        <v>-0.13345670000000001</v>
      </c>
      <c r="U1108">
        <v>0.51028439999999997</v>
      </c>
      <c r="V1108">
        <v>-9.5232079999999997E-2</v>
      </c>
      <c r="W1108">
        <v>0.1949092</v>
      </c>
      <c r="X1108">
        <v>0.97618709999999997</v>
      </c>
      <c r="Y1108">
        <v>-0.1688576</v>
      </c>
      <c r="Z1108">
        <v>4.482916E-3</v>
      </c>
      <c r="AA1108">
        <v>0.98563029999999996</v>
      </c>
      <c r="AB1108">
        <v>34</v>
      </c>
      <c r="AC1108">
        <v>24.927800000000001</v>
      </c>
      <c r="AD1108">
        <v>-1.1013189695384999</v>
      </c>
      <c r="AE1108">
        <v>4.2085000000000097</v>
      </c>
      <c r="AF1108">
        <v>-4.2958664985167498</v>
      </c>
      <c r="AG1108">
        <v>-1.1013189695384999</v>
      </c>
      <c r="AH1108">
        <v>24.864297643857601</v>
      </c>
      <c r="AI1108">
        <v>92.499176606190204</v>
      </c>
      <c r="AJ1108">
        <v>99.802364090443803</v>
      </c>
      <c r="AK1108">
        <v>25.2566955433225</v>
      </c>
      <c r="AL1108">
        <v>78.760580637832305</v>
      </c>
      <c r="AM1108">
        <v>95.571867227932501</v>
      </c>
      <c r="AN1108">
        <v>0.999999999756088</v>
      </c>
    </row>
    <row r="1109" spans="1:40" x14ac:dyDescent="0.25">
      <c r="A1109" t="str">
        <f>"20190304155034078"</f>
        <v>20190304155034078</v>
      </c>
      <c r="B1109" t="str">
        <f>"1551685834067477"</f>
        <v>1551685834067477</v>
      </c>
      <c r="C1109" t="s">
        <v>40</v>
      </c>
      <c r="D1109">
        <v>4.986567</v>
      </c>
      <c r="E1109">
        <v>0.46973860000000001</v>
      </c>
      <c r="F1109" t="s">
        <v>41</v>
      </c>
      <c r="G1109">
        <v>-249.0385</v>
      </c>
      <c r="H1109" s="1">
        <v>-1.0038189999999999E-6</v>
      </c>
      <c r="I1109">
        <v>371.75420000000003</v>
      </c>
      <c r="J1109">
        <v>-273.88249999999999</v>
      </c>
      <c r="K1109">
        <v>1.1020000000000001</v>
      </c>
      <c r="L1109">
        <v>367.56079999999997</v>
      </c>
      <c r="M1109">
        <v>0.99995940000000005</v>
      </c>
      <c r="N1109">
        <v>-8.1587299999999995E-3</v>
      </c>
      <c r="O1109">
        <v>-3.8330920000000002E-3</v>
      </c>
      <c r="P1109">
        <v>0.97809449999999998</v>
      </c>
      <c r="Q1109">
        <v>0.1870329</v>
      </c>
      <c r="R1109">
        <v>9.1379459999999996E-2</v>
      </c>
      <c r="S1109">
        <v>3.0451969999999999</v>
      </c>
      <c r="T1109">
        <v>-0.1341002</v>
      </c>
      <c r="U1109">
        <v>0.5105286</v>
      </c>
      <c r="V1109">
        <v>-9.5121280000000002E-2</v>
      </c>
      <c r="W1109">
        <v>0.1950075</v>
      </c>
      <c r="X1109">
        <v>0.97617830000000005</v>
      </c>
      <c r="Y1109">
        <v>-0.16893039999999901</v>
      </c>
      <c r="Z1109">
        <v>4.5228539999999998E-3</v>
      </c>
      <c r="AA1109">
        <v>0.98561759999999998</v>
      </c>
      <c r="AB1109">
        <v>34</v>
      </c>
      <c r="AC1109">
        <v>24.843999999999902</v>
      </c>
      <c r="AD1109">
        <v>-1.102001003819</v>
      </c>
      <c r="AE1109">
        <v>4.1934000000000502</v>
      </c>
      <c r="AF1109">
        <v>-4.2804131532890501</v>
      </c>
      <c r="AG1109">
        <v>-1.102001003819</v>
      </c>
      <c r="AH1109">
        <v>24.780337814698601</v>
      </c>
      <c r="AI1109">
        <v>92.509200469806999</v>
      </c>
      <c r="AJ1109">
        <v>99.800237048605098</v>
      </c>
      <c r="AK1109">
        <v>25.171441857506899</v>
      </c>
      <c r="AL1109">
        <v>78.754838599286103</v>
      </c>
      <c r="AM1109">
        <v>95.565475087848</v>
      </c>
      <c r="AN1109">
        <v>1.0000000281779799</v>
      </c>
    </row>
    <row r="1110" spans="1:40" x14ac:dyDescent="0.25">
      <c r="A1110" t="str">
        <f>"20190304155034098"</f>
        <v>20190304155034098</v>
      </c>
      <c r="B1110" t="str">
        <f>"1551685834087000"</f>
        <v>1551685834087000</v>
      </c>
      <c r="C1110" t="s">
        <v>40</v>
      </c>
      <c r="D1110">
        <v>4.987711</v>
      </c>
      <c r="E1110">
        <v>0.46963630000000001</v>
      </c>
      <c r="F1110" t="s">
        <v>41</v>
      </c>
      <c r="G1110">
        <v>-248.93199999999999</v>
      </c>
      <c r="H1110" s="1">
        <v>-1.0519860000000001E-6</v>
      </c>
      <c r="I1110">
        <v>371.74599999999998</v>
      </c>
      <c r="J1110">
        <v>-273.57409999999999</v>
      </c>
      <c r="K1110">
        <v>1.103181</v>
      </c>
      <c r="L1110">
        <v>367.55959999999999</v>
      </c>
      <c r="M1110">
        <v>0.99995590000000001</v>
      </c>
      <c r="N1110">
        <v>-8.5897630000000003E-3</v>
      </c>
      <c r="O1110">
        <v>-3.8329900000000001E-3</v>
      </c>
      <c r="P1110">
        <v>0.97829259999999996</v>
      </c>
      <c r="Q1110">
        <v>0.18611220000000001</v>
      </c>
      <c r="R1110">
        <v>9.1137179999999998E-2</v>
      </c>
      <c r="S1110">
        <v>3.0451969999999999</v>
      </c>
      <c r="T1110">
        <v>-0.1344987</v>
      </c>
      <c r="U1110">
        <v>0.51080320000000001</v>
      </c>
      <c r="V1110">
        <v>-9.4879480000000002E-2</v>
      </c>
      <c r="W1110">
        <v>0.19450890000000001</v>
      </c>
      <c r="X1110">
        <v>0.97630130000000004</v>
      </c>
      <c r="Y1110">
        <v>-0.169014</v>
      </c>
      <c r="Z1110">
        <v>4.5715299999999999E-3</v>
      </c>
      <c r="AA1110">
        <v>0.98560300000000001</v>
      </c>
      <c r="AB1110">
        <v>34</v>
      </c>
      <c r="AC1110">
        <v>24.6420999999999</v>
      </c>
      <c r="AD1110">
        <v>-1.1031820519859901</v>
      </c>
      <c r="AE1110">
        <v>4.1863999999999901</v>
      </c>
      <c r="AF1110">
        <v>-4.2725029400409502</v>
      </c>
      <c r="AG1110">
        <v>-1.1031820519859901</v>
      </c>
      <c r="AH1110">
        <v>24.577994799899699</v>
      </c>
      <c r="AI1110">
        <v>92.532070875617805</v>
      </c>
      <c r="AJ1110">
        <v>99.861437666997006</v>
      </c>
      <c r="AK1110">
        <v>24.9709655479394</v>
      </c>
      <c r="AL1110">
        <v>78.783963987829296</v>
      </c>
      <c r="AM1110">
        <v>95.550721007402501</v>
      </c>
      <c r="AN1110">
        <v>1.0000000281429799</v>
      </c>
    </row>
    <row r="1111" spans="1:40" x14ac:dyDescent="0.25">
      <c r="A1111" t="str">
        <f>"20190304155034110"</f>
        <v>20190304155034110</v>
      </c>
      <c r="B1111" t="str">
        <f>"1551685834107859"</f>
        <v>1551685834107859</v>
      </c>
      <c r="C1111" t="s">
        <v>40</v>
      </c>
      <c r="D1111">
        <v>5.0185810000000002</v>
      </c>
      <c r="E1111">
        <v>0.46954269999999998</v>
      </c>
      <c r="F1111" t="s">
        <v>41</v>
      </c>
      <c r="G1111">
        <v>-249.04339999999999</v>
      </c>
      <c r="H1111" s="1">
        <v>-9.8268590000000002E-7</v>
      </c>
      <c r="I1111">
        <v>371.68329999999997</v>
      </c>
      <c r="J1111">
        <v>-273.38959999999997</v>
      </c>
      <c r="K1111">
        <v>1.1038220000000001</v>
      </c>
      <c r="L1111">
        <v>367.55880000000002</v>
      </c>
      <c r="M1111">
        <v>0.99995369999999995</v>
      </c>
      <c r="N1111">
        <v>-8.8330939999999997E-3</v>
      </c>
      <c r="O1111">
        <v>-3.8329779999999999E-3</v>
      </c>
      <c r="P1111">
        <v>0.97837479999999999</v>
      </c>
      <c r="Q1111">
        <v>0.1856941</v>
      </c>
      <c r="R1111">
        <v>9.110799E-2</v>
      </c>
      <c r="S1111">
        <v>3.0449220000000001</v>
      </c>
      <c r="T1111">
        <v>-0.13693440000000001</v>
      </c>
      <c r="U1111">
        <v>0.51187130000000003</v>
      </c>
      <c r="V1111">
        <v>-9.4850790000000004E-2</v>
      </c>
      <c r="W1111">
        <v>0.19432930000000001</v>
      </c>
      <c r="X1111">
        <v>0.97633979999999998</v>
      </c>
      <c r="Y1111">
        <v>-0.1693569</v>
      </c>
      <c r="Z1111">
        <v>4.670843E-3</v>
      </c>
      <c r="AA1111">
        <v>0.98554370000000002</v>
      </c>
      <c r="AB1111">
        <v>34</v>
      </c>
      <c r="AC1111">
        <v>24.3461999999999</v>
      </c>
      <c r="AD1111">
        <v>-1.1038229826858901</v>
      </c>
      <c r="AE1111">
        <v>4.1244999999999497</v>
      </c>
      <c r="AF1111">
        <v>-4.20938042847619</v>
      </c>
      <c r="AG1111">
        <v>-1.1038229826858901</v>
      </c>
      <c r="AH1111">
        <v>24.281690745342399</v>
      </c>
      <c r="AI1111">
        <v>92.564621692800202</v>
      </c>
      <c r="AJ1111">
        <v>99.834833138918995</v>
      </c>
      <c r="AK1111">
        <v>24.668559224672901</v>
      </c>
      <c r="AL1111">
        <v>78.794453904352693</v>
      </c>
      <c r="AM1111">
        <v>95.548835587746794</v>
      </c>
      <c r="AN1111">
        <v>0.99999997713307598</v>
      </c>
    </row>
    <row r="1112" spans="1:40" x14ac:dyDescent="0.25">
      <c r="A1112" t="str">
        <f>"20190304155034120"</f>
        <v>20190304155034120</v>
      </c>
      <c r="B1112" t="str">
        <f>"1551685834117852"</f>
        <v>1551685834117852</v>
      </c>
      <c r="C1112" t="s">
        <v>40</v>
      </c>
      <c r="D1112">
        <v>5.088762</v>
      </c>
      <c r="E1112">
        <v>0.46951709999999902</v>
      </c>
      <c r="F1112" t="s">
        <v>41</v>
      </c>
      <c r="G1112">
        <v>-249.09350000000001</v>
      </c>
      <c r="H1112" s="1">
        <v>-9.4912460000000003E-7</v>
      </c>
      <c r="I1112">
        <v>371.6463</v>
      </c>
      <c r="J1112">
        <v>-273.23160000000001</v>
      </c>
      <c r="K1112">
        <v>1.1043160000000001</v>
      </c>
      <c r="L1112">
        <v>367.55829999999997</v>
      </c>
      <c r="M1112">
        <v>0.99995199999999995</v>
      </c>
      <c r="N1112">
        <v>-9.0283589999999997E-3</v>
      </c>
      <c r="O1112">
        <v>-3.8327779999999998E-3</v>
      </c>
      <c r="P1112">
        <v>0.97838579999999997</v>
      </c>
      <c r="Q1112">
        <v>0.18560470000000001</v>
      </c>
      <c r="R1112">
        <v>9.1172719999999999E-2</v>
      </c>
      <c r="S1112">
        <v>3.0448</v>
      </c>
      <c r="T1112">
        <v>-0.1383318</v>
      </c>
      <c r="U1112">
        <v>0.51223750000000001</v>
      </c>
      <c r="V1112">
        <v>-9.491542E-2</v>
      </c>
      <c r="W1112">
        <v>0.19443079999999999</v>
      </c>
      <c r="X1112">
        <v>0.9763134</v>
      </c>
      <c r="Y1112">
        <v>-0.16947379999999901</v>
      </c>
      <c r="Z1112">
        <v>4.7303340000000001E-3</v>
      </c>
      <c r="AA1112">
        <v>0.98552329999999999</v>
      </c>
      <c r="AB1112">
        <v>34</v>
      </c>
      <c r="AC1112">
        <v>24.138100000000001</v>
      </c>
      <c r="AD1112">
        <v>-1.1043169491246001</v>
      </c>
      <c r="AE1112">
        <v>4.0880000000000196</v>
      </c>
      <c r="AF1112">
        <v>-4.1720009479274998</v>
      </c>
      <c r="AG1112">
        <v>-1.1043169491246001</v>
      </c>
      <c r="AH1112">
        <v>24.0732718122992</v>
      </c>
      <c r="AI1112">
        <v>92.587973952630193</v>
      </c>
      <c r="AJ1112">
        <v>99.831947667440701</v>
      </c>
      <c r="AK1112">
        <v>24.457054679222299</v>
      </c>
      <c r="AL1112">
        <v>78.788526288495802</v>
      </c>
      <c r="AM1112">
        <v>95.552742072686698</v>
      </c>
      <c r="AN1112">
        <v>1.0000000639809801</v>
      </c>
    </row>
    <row r="1113" spans="1:40" x14ac:dyDescent="0.25">
      <c r="A1113" t="str">
        <f>"20190304155034132"</f>
        <v>20190304155034132</v>
      </c>
      <c r="B1113" t="str">
        <f>"1551685834127736"</f>
        <v>1551685834127736</v>
      </c>
      <c r="C1113" t="s">
        <v>40</v>
      </c>
      <c r="D1113">
        <v>5.3218120000000004</v>
      </c>
      <c r="E1113">
        <v>0.46951709999999902</v>
      </c>
      <c r="F1113" t="s">
        <v>41</v>
      </c>
      <c r="G1113">
        <v>-248.93029999999999</v>
      </c>
      <c r="H1113" s="1">
        <v>-1.027341E-6</v>
      </c>
      <c r="I1113">
        <v>371.65030000000002</v>
      </c>
      <c r="J1113">
        <v>-273.06479999999999</v>
      </c>
      <c r="K1113">
        <v>1.1048089999999999</v>
      </c>
      <c r="L1113">
        <v>367.55759999999998</v>
      </c>
      <c r="M1113">
        <v>0.99995020000000001</v>
      </c>
      <c r="N1113">
        <v>-9.2269780000000003E-3</v>
      </c>
      <c r="O1113">
        <v>-3.8324930000000002E-3</v>
      </c>
      <c r="P1113">
        <v>0.97849299999999995</v>
      </c>
      <c r="Q1113">
        <v>0.1851313</v>
      </c>
      <c r="R1113">
        <v>9.0984190000000006E-2</v>
      </c>
      <c r="S1113">
        <v>3.0447389999999999</v>
      </c>
      <c r="T1113">
        <v>-0.13836119999999999</v>
      </c>
      <c r="U1113">
        <v>0.51269529999999996</v>
      </c>
      <c r="V1113">
        <v>-9.4726640000000001E-2</v>
      </c>
      <c r="W1113">
        <v>0.19415199999999999</v>
      </c>
      <c r="X1113">
        <v>0.97638709999999995</v>
      </c>
      <c r="Y1113">
        <v>-0.16961979999999999</v>
      </c>
      <c r="Z1113">
        <v>4.7513909999999998E-3</v>
      </c>
      <c r="AA1113">
        <v>0.98549810000000004</v>
      </c>
      <c r="AB1113">
        <v>34</v>
      </c>
      <c r="AC1113">
        <v>24.134499999999999</v>
      </c>
      <c r="AD1113">
        <v>-1.104810027341</v>
      </c>
      <c r="AE1113">
        <v>4.09270000000003</v>
      </c>
      <c r="AF1113">
        <v>-4.1766614129144299</v>
      </c>
      <c r="AG1113">
        <v>-1.104810027341</v>
      </c>
      <c r="AH1113">
        <v>24.069607628927699</v>
      </c>
      <c r="AI1113">
        <v>92.589425746480202</v>
      </c>
      <c r="AJ1113">
        <v>99.844185132146606</v>
      </c>
      <c r="AK1113">
        <v>24.454265827564299</v>
      </c>
      <c r="AL1113">
        <v>78.804809401130498</v>
      </c>
      <c r="AM1113">
        <v>95.541351180905295</v>
      </c>
      <c r="AN1113">
        <v>0.99999995223804805</v>
      </c>
    </row>
    <row r="1114" spans="1:40" x14ac:dyDescent="0.25">
      <c r="A1114" t="str">
        <f>"20190304155034143"</f>
        <v>20190304155034143</v>
      </c>
      <c r="B1114" t="str">
        <f>"1551685834137795"</f>
        <v>1551685834137795</v>
      </c>
      <c r="C1114" t="s">
        <v>40</v>
      </c>
      <c r="D1114">
        <v>5.3721579999999998</v>
      </c>
      <c r="E1114">
        <v>0.4606749</v>
      </c>
      <c r="F1114" t="s">
        <v>41</v>
      </c>
      <c r="G1114">
        <v>-249.01410000000001</v>
      </c>
      <c r="H1114" s="1">
        <v>-9.7429520000000009E-7</v>
      </c>
      <c r="I1114">
        <v>371.59989999999999</v>
      </c>
      <c r="J1114">
        <v>-272.88679999999999</v>
      </c>
      <c r="K1114">
        <v>1.105291</v>
      </c>
      <c r="L1114">
        <v>367.55689999999998</v>
      </c>
      <c r="M1114">
        <v>0.99994819999999995</v>
      </c>
      <c r="N1114">
        <v>-9.4278139999999996E-3</v>
      </c>
      <c r="O1114">
        <v>-3.832238E-3</v>
      </c>
      <c r="P1114">
        <v>0.97851790000000005</v>
      </c>
      <c r="Q1114">
        <v>0.18495590000000001</v>
      </c>
      <c r="R1114">
        <v>9.1071849999999996E-2</v>
      </c>
      <c r="S1114">
        <v>3.0448300000000001</v>
      </c>
      <c r="T1114">
        <v>-0.13986960000000001</v>
      </c>
      <c r="U1114">
        <v>0.51174929999999996</v>
      </c>
      <c r="V1114">
        <v>-9.4814229999999999E-2</v>
      </c>
      <c r="W1114">
        <v>0.19417300000000001</v>
      </c>
      <c r="X1114">
        <v>0.97637439999999998</v>
      </c>
      <c r="Y1114">
        <v>-0.1693124</v>
      </c>
      <c r="Z1114">
        <v>4.8028259999999996E-3</v>
      </c>
      <c r="AA1114">
        <v>0.98555079999999995</v>
      </c>
      <c r="AB1114">
        <v>34</v>
      </c>
      <c r="AC1114">
        <v>23.872699999999899</v>
      </c>
      <c r="AD1114">
        <v>-1.1052919742951901</v>
      </c>
      <c r="AE1114">
        <v>4.0430000000000001</v>
      </c>
      <c r="AF1114">
        <v>-4.1258624970351798</v>
      </c>
      <c r="AG1114">
        <v>-1.1052919742951901</v>
      </c>
      <c r="AH1114">
        <v>23.807418769748399</v>
      </c>
      <c r="AI1114">
        <v>92.619141872133795</v>
      </c>
      <c r="AJ1114">
        <v>99.831795839977403</v>
      </c>
      <c r="AK1114">
        <v>24.187550520279</v>
      </c>
      <c r="AL1114">
        <v>78.803582601743599</v>
      </c>
      <c r="AM1114">
        <v>95.5465148090844</v>
      </c>
      <c r="AN1114">
        <v>0.99999993055742398</v>
      </c>
    </row>
    <row r="1115" spans="1:40" x14ac:dyDescent="0.25">
      <c r="A1115" t="str">
        <f>"20190304155034155"</f>
        <v>20190304155034155</v>
      </c>
      <c r="B1115" t="str">
        <f>"1551685834147567"</f>
        <v>1551685834147567</v>
      </c>
      <c r="C1115" t="s">
        <v>40</v>
      </c>
      <c r="D1115">
        <v>5.2983180000000001</v>
      </c>
      <c r="E1115">
        <v>0.46111269999999999</v>
      </c>
      <c r="F1115" t="s">
        <v>41</v>
      </c>
      <c r="G1115">
        <v>-250.8049</v>
      </c>
      <c r="H1115" s="1">
        <v>-4.3871769999999997E-6</v>
      </c>
      <c r="I1115">
        <v>371.78699999999998</v>
      </c>
      <c r="J1115">
        <v>-272.7208</v>
      </c>
      <c r="K1115">
        <v>1.105701</v>
      </c>
      <c r="L1115">
        <v>367.55630000000002</v>
      </c>
      <c r="M1115">
        <v>0.99994660000000002</v>
      </c>
      <c r="N1115">
        <v>-9.6037669999999992E-3</v>
      </c>
      <c r="O1115">
        <v>-3.8322410000000001E-3</v>
      </c>
      <c r="P1115">
        <v>0.97862950000000004</v>
      </c>
      <c r="Q1115">
        <v>0.18446309999999999</v>
      </c>
      <c r="R1115">
        <v>9.0871389999999996E-2</v>
      </c>
      <c r="S1115">
        <v>3.0404049999999998</v>
      </c>
      <c r="T1115">
        <v>-0.15218480000000001</v>
      </c>
      <c r="U1115">
        <v>0.58242799999999995</v>
      </c>
      <c r="V1115">
        <v>-9.4614539999999997E-2</v>
      </c>
      <c r="W1115">
        <v>0.1938531</v>
      </c>
      <c r="X1115">
        <v>0.97645740000000003</v>
      </c>
      <c r="Y1115">
        <v>-0.19162409999999999</v>
      </c>
      <c r="Z1115">
        <v>5.8323619999999998E-3</v>
      </c>
      <c r="AA1115">
        <v>0.98145110000000002</v>
      </c>
      <c r="AB1115">
        <v>34</v>
      </c>
      <c r="AC1115">
        <v>21.915899999999901</v>
      </c>
      <c r="AD1115">
        <v>-1.105705387177</v>
      </c>
      <c r="AE1115">
        <v>4.2306999999999499</v>
      </c>
      <c r="AF1115">
        <v>-4.3040976567131901</v>
      </c>
      <c r="AG1115">
        <v>-1.105705387177</v>
      </c>
      <c r="AH1115">
        <v>21.845915890032401</v>
      </c>
      <c r="AI1115">
        <v>92.842926486909604</v>
      </c>
      <c r="AJ1115">
        <v>101.14570298899901</v>
      </c>
      <c r="AK1115">
        <v>22.293314740435701</v>
      </c>
      <c r="AL1115">
        <v>78.822267264641695</v>
      </c>
      <c r="AM1115">
        <v>95.534438255241795</v>
      </c>
      <c r="AN1115">
        <v>0.99999999478688995</v>
      </c>
    </row>
    <row r="1116" spans="1:40" x14ac:dyDescent="0.25">
      <c r="A1116" t="str">
        <f>"20190304155034166"</f>
        <v>20190304155034166</v>
      </c>
      <c r="B1116" t="str">
        <f>"1551685834157419"</f>
        <v>1551685834157419</v>
      </c>
      <c r="C1116" t="s">
        <v>40</v>
      </c>
      <c r="D1116">
        <v>5.4248190000000003</v>
      </c>
      <c r="E1116">
        <v>0.46079560000000003</v>
      </c>
      <c r="F1116" t="s">
        <v>41</v>
      </c>
      <c r="G1116">
        <v>-250.3956</v>
      </c>
      <c r="H1116" s="1">
        <v>-4.5295280000000004E-6</v>
      </c>
      <c r="I1116">
        <v>371.80430000000001</v>
      </c>
      <c r="J1116">
        <v>-272.55040000000002</v>
      </c>
      <c r="K1116">
        <v>1.1061049999999999</v>
      </c>
      <c r="L1116">
        <v>367.55560000000003</v>
      </c>
      <c r="M1116">
        <v>0.99994490000000003</v>
      </c>
      <c r="N1116">
        <v>-9.7789339999999995E-3</v>
      </c>
      <c r="O1116">
        <v>-3.8322550000000001E-3</v>
      </c>
      <c r="P1116">
        <v>0.97873279999999996</v>
      </c>
      <c r="Q1116">
        <v>0.18395410000000001</v>
      </c>
      <c r="R1116">
        <v>9.0792029999999996E-2</v>
      </c>
      <c r="S1116">
        <v>3.040222</v>
      </c>
      <c r="T1116">
        <v>-0.15057300000000001</v>
      </c>
      <c r="U1116">
        <v>0.57849119999999998</v>
      </c>
      <c r="V1116">
        <v>-9.4535279999999999E-2</v>
      </c>
      <c r="W1116">
        <v>0.1935163</v>
      </c>
      <c r="X1116">
        <v>0.97653190000000001</v>
      </c>
      <c r="Y1116">
        <v>-0.1904149</v>
      </c>
      <c r="Z1116">
        <v>5.7615119999999999E-3</v>
      </c>
      <c r="AA1116">
        <v>0.98168679999999997</v>
      </c>
      <c r="AB1116">
        <v>34</v>
      </c>
      <c r="AC1116">
        <v>22.154800000000002</v>
      </c>
      <c r="AD1116">
        <v>-1.1061095295279999</v>
      </c>
      <c r="AE1116">
        <v>4.2486999999999799</v>
      </c>
      <c r="AF1116">
        <v>-4.3231817913696</v>
      </c>
      <c r="AG1116">
        <v>-1.1061095295279999</v>
      </c>
      <c r="AH1116">
        <v>22.085256477944199</v>
      </c>
      <c r="AI1116">
        <v>92.8138684103792</v>
      </c>
      <c r="AJ1116">
        <v>101.07558295165499</v>
      </c>
      <c r="AK1116">
        <v>22.531576349406102</v>
      </c>
      <c r="AL1116">
        <v>78.841937176135204</v>
      </c>
      <c r="AM1116">
        <v>95.529411465464506</v>
      </c>
      <c r="AN1116">
        <v>1.00000001462398</v>
      </c>
    </row>
    <row r="1117" spans="1:40" x14ac:dyDescent="0.25">
      <c r="A1117" t="str">
        <f>"20190304155034178"</f>
        <v>20190304155034178</v>
      </c>
      <c r="B1117" t="str">
        <f>"1551685834167179"</f>
        <v>1551685834167179</v>
      </c>
      <c r="C1117" t="s">
        <v>40</v>
      </c>
      <c r="D1117">
        <v>5.0888090000000004</v>
      </c>
      <c r="E1117">
        <v>0.46174969999999999</v>
      </c>
      <c r="F1117" t="s">
        <v>41</v>
      </c>
      <c r="G1117">
        <v>-250.26580000000001</v>
      </c>
      <c r="H1117" s="1">
        <v>-4.5755880000000004E-6</v>
      </c>
      <c r="I1117">
        <v>371.81509999999997</v>
      </c>
      <c r="J1117">
        <v>-272.36750000000001</v>
      </c>
      <c r="K1117">
        <v>1.106482</v>
      </c>
      <c r="L1117">
        <v>367.55489999999998</v>
      </c>
      <c r="M1117">
        <v>0.99994329999999998</v>
      </c>
      <c r="N1117">
        <v>-9.9513789999999998E-3</v>
      </c>
      <c r="O1117">
        <v>-3.8322709999999999E-3</v>
      </c>
      <c r="P1117">
        <v>0.97881940000000001</v>
      </c>
      <c r="Q1117">
        <v>0.183527</v>
      </c>
      <c r="R1117">
        <v>9.0723399999999996E-2</v>
      </c>
      <c r="S1117">
        <v>3.0396420000000002</v>
      </c>
      <c r="T1117">
        <v>-0.15087410000000001</v>
      </c>
      <c r="U1117">
        <v>0.58099369999999995</v>
      </c>
      <c r="V1117">
        <v>-9.4467049999999997E-2</v>
      </c>
      <c r="W1117">
        <v>0.1932585</v>
      </c>
      <c r="X1117">
        <v>0.97658959999999995</v>
      </c>
      <c r="Y1117">
        <v>-0.19122610000000001</v>
      </c>
      <c r="Z1117">
        <v>5.8117749999999999E-3</v>
      </c>
      <c r="AA1117">
        <v>0.98152879999999998</v>
      </c>
      <c r="AB1117">
        <v>34</v>
      </c>
      <c r="AC1117">
        <v>22.101699999999902</v>
      </c>
      <c r="AD1117">
        <v>-1.106486575588</v>
      </c>
      <c r="AE1117">
        <v>4.2601999999999904</v>
      </c>
      <c r="AF1117">
        <v>-4.3343982646565102</v>
      </c>
      <c r="AG1117">
        <v>-1.106486575588</v>
      </c>
      <c r="AH1117">
        <v>22.0319690652234</v>
      </c>
      <c r="AI1117">
        <v>92.821100126774894</v>
      </c>
      <c r="AJ1117">
        <v>101.129791213427</v>
      </c>
      <c r="AK1117">
        <v>22.4815253430361</v>
      </c>
      <c r="AL1117">
        <v>78.856992731916193</v>
      </c>
      <c r="AM1117">
        <v>95.525120927340097</v>
      </c>
      <c r="AN1117">
        <v>1.00000005909305</v>
      </c>
    </row>
    <row r="1118" spans="1:40" x14ac:dyDescent="0.25">
      <c r="A1118" t="str">
        <f>"20190304155034193"</f>
        <v>20190304155034193</v>
      </c>
      <c r="B1118" t="str">
        <f>"1551685834187674"</f>
        <v>1551685834187674</v>
      </c>
      <c r="C1118" t="s">
        <v>40</v>
      </c>
      <c r="D1118">
        <v>5.3299779999999997</v>
      </c>
      <c r="E1118">
        <v>0.46222370000000002</v>
      </c>
      <c r="F1118" t="s">
        <v>41</v>
      </c>
      <c r="G1118">
        <v>-249.88939999999999</v>
      </c>
      <c r="H1118" s="1">
        <v>-6.1219419999999997E-7</v>
      </c>
      <c r="I1118">
        <v>371.79399999999998</v>
      </c>
      <c r="J1118">
        <v>-272.16320000000002</v>
      </c>
      <c r="K1118">
        <v>1.1068770000000001</v>
      </c>
      <c r="L1118">
        <v>367.55410000000001</v>
      </c>
      <c r="M1118">
        <v>0.99994130000000003</v>
      </c>
      <c r="N1118">
        <v>-1.0136040000000001E-2</v>
      </c>
      <c r="O1118">
        <v>-3.832364E-3</v>
      </c>
      <c r="P1118">
        <v>0.97882910000000001</v>
      </c>
      <c r="Q1118">
        <v>0.18353240000000001</v>
      </c>
      <c r="R1118">
        <v>9.0607370000000007E-2</v>
      </c>
      <c r="S1118">
        <v>3.0398559999999999</v>
      </c>
      <c r="T1118">
        <v>-0.14963660000000001</v>
      </c>
      <c r="U1118">
        <v>0.57327269999999997</v>
      </c>
      <c r="V1118">
        <v>-9.4351290000000004E-2</v>
      </c>
      <c r="W1118">
        <v>0.1934447</v>
      </c>
      <c r="X1118">
        <v>0.97656390000000004</v>
      </c>
      <c r="Y1118">
        <v>-0.18881329999999999</v>
      </c>
      <c r="Z1118">
        <v>5.7182369999999897E-3</v>
      </c>
      <c r="AA1118">
        <v>0.98199639999999999</v>
      </c>
      <c r="AB1118">
        <v>34</v>
      </c>
      <c r="AC1118">
        <v>22.273800000000001</v>
      </c>
      <c r="AD1118">
        <v>-1.1068776121941999</v>
      </c>
      <c r="AE1118">
        <v>4.2399000000000298</v>
      </c>
      <c r="AF1118">
        <v>-4.3149513510020503</v>
      </c>
      <c r="AG1118">
        <v>-1.1068776121941999</v>
      </c>
      <c r="AH1118">
        <v>22.204470018743802</v>
      </c>
      <c r="AI1118">
        <v>92.801472519416805</v>
      </c>
      <c r="AJ1118">
        <v>100.997114735362</v>
      </c>
      <c r="AK1118">
        <v>22.646908663726801</v>
      </c>
      <c r="AL1118">
        <v>78.846118787555</v>
      </c>
      <c r="AM1118">
        <v>95.518536587696701</v>
      </c>
      <c r="AN1118">
        <v>1.00000003433298</v>
      </c>
    </row>
    <row r="1119" spans="1:40" x14ac:dyDescent="0.25">
      <c r="A1119" t="str">
        <f>"20190304155034206"</f>
        <v>20190304155034206</v>
      </c>
      <c r="B1119" t="str">
        <f>"1551685834197435"</f>
        <v>1551685834197435</v>
      </c>
      <c r="C1119" t="s">
        <v>40</v>
      </c>
      <c r="D1119">
        <v>5.1996830000000003</v>
      </c>
      <c r="E1119">
        <v>0.4631789</v>
      </c>
      <c r="F1119" t="s">
        <v>41</v>
      </c>
      <c r="G1119">
        <v>-249.2816</v>
      </c>
      <c r="H1119" s="1">
        <v>-9.1159649999999999E-7</v>
      </c>
      <c r="I1119">
        <v>371.83940000000001</v>
      </c>
      <c r="J1119">
        <v>-271.95589999999999</v>
      </c>
      <c r="K1119">
        <v>1.1072390000000001</v>
      </c>
      <c r="L1119">
        <v>367.55329999999998</v>
      </c>
      <c r="M1119">
        <v>0.99993960000000004</v>
      </c>
      <c r="N1119">
        <v>-1.0311239999999999E-2</v>
      </c>
      <c r="O1119">
        <v>-3.8321869999999999E-3</v>
      </c>
      <c r="P1119">
        <v>0.97887100000000005</v>
      </c>
      <c r="Q1119">
        <v>0.18331320000000001</v>
      </c>
      <c r="R1119">
        <v>9.0596560000000007E-2</v>
      </c>
      <c r="S1119">
        <v>3.0397340000000002</v>
      </c>
      <c r="T1119">
        <v>-0.14704429999999999</v>
      </c>
      <c r="U1119">
        <v>0.56927490000000003</v>
      </c>
      <c r="V1119">
        <v>-9.4340099999999996E-2</v>
      </c>
      <c r="W1119">
        <v>0.19339700000000001</v>
      </c>
      <c r="X1119">
        <v>0.97657439999999995</v>
      </c>
      <c r="Y1119">
        <v>-0.1875821</v>
      </c>
      <c r="Z1119">
        <v>5.6160610000000003E-3</v>
      </c>
      <c r="AA1119">
        <v>0.98223289999999996</v>
      </c>
      <c r="AB1119">
        <v>34</v>
      </c>
      <c r="AC1119">
        <v>22.674299999999899</v>
      </c>
      <c r="AD1119">
        <v>-1.1072399115964999</v>
      </c>
      <c r="AE1119">
        <v>4.2861000000000304</v>
      </c>
      <c r="AF1119">
        <v>-4.3629203930339804</v>
      </c>
      <c r="AG1119">
        <v>-1.1072399115964999</v>
      </c>
      <c r="AH1119">
        <v>22.605661698523299</v>
      </c>
      <c r="AI1119">
        <v>92.753410921581704</v>
      </c>
      <c r="AJ1119">
        <v>100.923841464841</v>
      </c>
      <c r="AK1119">
        <v>23.0494467483683</v>
      </c>
      <c r="AL1119">
        <v>78.848904084566101</v>
      </c>
      <c r="AM1119">
        <v>95.517827171066699</v>
      </c>
      <c r="AN1119">
        <v>1.00000000640618</v>
      </c>
    </row>
    <row r="1120" spans="1:40" x14ac:dyDescent="0.25">
      <c r="A1120" t="str">
        <f>"20190304155034221"</f>
        <v>20190304155034221</v>
      </c>
      <c r="B1120" t="str">
        <f>"1551685834217930"</f>
        <v>1551685834217930</v>
      </c>
      <c r="C1120" t="s">
        <v>40</v>
      </c>
      <c r="D1120">
        <v>5.1535380000000002</v>
      </c>
      <c r="E1120">
        <v>0.46443669999999998</v>
      </c>
      <c r="F1120" t="s">
        <v>41</v>
      </c>
      <c r="G1120">
        <v>-249.31549999999999</v>
      </c>
      <c r="H1120" s="1">
        <v>-8.681777E-7</v>
      </c>
      <c r="I1120">
        <v>371.73649999999998</v>
      </c>
      <c r="J1120">
        <v>-271.72050000000002</v>
      </c>
      <c r="K1120">
        <v>1.1075969999999999</v>
      </c>
      <c r="L1120">
        <v>367.55239999999998</v>
      </c>
      <c r="M1120">
        <v>0.99993770000000004</v>
      </c>
      <c r="N1120">
        <v>-1.049302E-2</v>
      </c>
      <c r="O1120">
        <v>-3.8321789999999998E-3</v>
      </c>
      <c r="P1120">
        <v>0.97895620000000005</v>
      </c>
      <c r="Q1120">
        <v>0.18299550000000001</v>
      </c>
      <c r="R1120">
        <v>9.0319179999999999E-2</v>
      </c>
      <c r="S1120">
        <v>3.040619</v>
      </c>
      <c r="T1120">
        <v>-0.148703</v>
      </c>
      <c r="U1120">
        <v>0.56179809999999997</v>
      </c>
      <c r="V1120">
        <v>-9.4062870000000007E-2</v>
      </c>
      <c r="W1120">
        <v>0.1932576</v>
      </c>
      <c r="X1120">
        <v>0.97662870000000002</v>
      </c>
      <c r="Y1120">
        <v>-0.18519240000000001</v>
      </c>
      <c r="Z1120">
        <v>5.6142229999999998E-3</v>
      </c>
      <c r="AA1120">
        <v>0.98268619999999995</v>
      </c>
      <c r="AB1120">
        <v>34</v>
      </c>
      <c r="AC1120">
        <v>22.405000000000001</v>
      </c>
      <c r="AD1120">
        <v>-1.1075978681776999</v>
      </c>
      <c r="AE1120">
        <v>4.1840999999999999</v>
      </c>
      <c r="AF1120">
        <v>-4.2598743048783403</v>
      </c>
      <c r="AG1120">
        <v>-1.1075978681776999</v>
      </c>
      <c r="AH1120">
        <v>22.336053957672899</v>
      </c>
      <c r="AI1120">
        <v>92.788669819440599</v>
      </c>
      <c r="AJ1120">
        <v>100.797634117836</v>
      </c>
      <c r="AK1120">
        <v>22.765601431348799</v>
      </c>
      <c r="AL1120">
        <v>78.857044289851999</v>
      </c>
      <c r="AM1120">
        <v>95.501407974202905</v>
      </c>
      <c r="AN1120">
        <v>0.99999997056704304</v>
      </c>
    </row>
    <row r="1121" spans="1:40" x14ac:dyDescent="0.25">
      <c r="A1121" t="str">
        <f>"20190304155034234"</f>
        <v>20190304155034234</v>
      </c>
      <c r="B1121" t="str">
        <f>"1551685834227691"</f>
        <v>1551685834227691</v>
      </c>
      <c r="C1121" t="s">
        <v>40</v>
      </c>
      <c r="D1121">
        <v>5.1234279999999996</v>
      </c>
      <c r="E1121">
        <v>0.464561</v>
      </c>
      <c r="F1121" t="s">
        <v>41</v>
      </c>
      <c r="G1121">
        <v>-249.58699999999999</v>
      </c>
      <c r="H1121" s="1">
        <v>-6.9371010000000003E-7</v>
      </c>
      <c r="I1121">
        <v>371.56310000000002</v>
      </c>
      <c r="J1121">
        <v>-271.53730000000002</v>
      </c>
      <c r="K1121">
        <v>1.1078460000000001</v>
      </c>
      <c r="L1121">
        <v>367.55180000000001</v>
      </c>
      <c r="M1121">
        <v>0.99993620000000005</v>
      </c>
      <c r="N1121">
        <v>-1.062602E-2</v>
      </c>
      <c r="O1121">
        <v>-3.8320469999999999E-3</v>
      </c>
      <c r="P1121">
        <v>0.97905370000000003</v>
      </c>
      <c r="Q1121">
        <v>0.1825782</v>
      </c>
      <c r="R1121">
        <v>9.0105350000000001E-2</v>
      </c>
      <c r="S1121">
        <v>3.042084</v>
      </c>
      <c r="T1121">
        <v>-0.1522309</v>
      </c>
      <c r="U1121">
        <v>0.55123900000000003</v>
      </c>
      <c r="V1121">
        <v>-9.3849840000000004E-2</v>
      </c>
      <c r="W1121">
        <v>0.19297120000000001</v>
      </c>
      <c r="X1121">
        <v>0.97670579999999996</v>
      </c>
      <c r="Y1121">
        <v>-0.18179909999999999</v>
      </c>
      <c r="Z1121">
        <v>5.6334569999999997E-3</v>
      </c>
      <c r="AA1121">
        <v>0.98331959999999996</v>
      </c>
      <c r="AB1121">
        <v>34</v>
      </c>
      <c r="AC1121">
        <v>21.950299999999999</v>
      </c>
      <c r="AD1121">
        <v>-1.1078466937100999</v>
      </c>
      <c r="AE1121">
        <v>4.0113000000000003</v>
      </c>
      <c r="AF1121">
        <v>-4.0853196806430798</v>
      </c>
      <c r="AG1121">
        <v>-1.1078466937100999</v>
      </c>
      <c r="AH1121">
        <v>21.880830846013598</v>
      </c>
      <c r="AI1121">
        <v>92.849308804646697</v>
      </c>
      <c r="AJ1121">
        <v>100.575795476997</v>
      </c>
      <c r="AK1121">
        <v>22.286496353210701</v>
      </c>
      <c r="AL1121">
        <v>78.873768363377593</v>
      </c>
      <c r="AM1121">
        <v>95.488594124138402</v>
      </c>
      <c r="AN1121">
        <v>0.99999994812555104</v>
      </c>
    </row>
    <row r="1122" spans="1:40" x14ac:dyDescent="0.25">
      <c r="A1122" t="str">
        <f>"20190304155034244"</f>
        <v>20190304155034244</v>
      </c>
      <c r="B1122" t="str">
        <f>"1551685834237451"</f>
        <v>1551685834237451</v>
      </c>
      <c r="C1122" t="s">
        <v>40</v>
      </c>
      <c r="D1122">
        <v>5.3015270000000001</v>
      </c>
      <c r="E1122">
        <v>0.4644414</v>
      </c>
      <c r="F1122" t="s">
        <v>41</v>
      </c>
      <c r="G1122">
        <v>-249.50659999999999</v>
      </c>
      <c r="H1122" s="1">
        <v>-7.2336060000000005E-7</v>
      </c>
      <c r="I1122">
        <v>371.53179999999998</v>
      </c>
      <c r="J1122">
        <v>-271.37279999999998</v>
      </c>
      <c r="K1122">
        <v>1.1080589999999999</v>
      </c>
      <c r="L1122">
        <v>367.55110000000002</v>
      </c>
      <c r="M1122">
        <v>0.99993500000000002</v>
      </c>
      <c r="N1122">
        <v>-1.073932E-2</v>
      </c>
      <c r="O1122">
        <v>-3.831938E-3</v>
      </c>
      <c r="P1122">
        <v>0.97912370000000004</v>
      </c>
      <c r="Q1122">
        <v>0.18240149999999999</v>
      </c>
      <c r="R1122">
        <v>8.9703260000000007E-2</v>
      </c>
      <c r="S1122">
        <v>3.0421450000000001</v>
      </c>
      <c r="T1122">
        <v>-0.15297929999999901</v>
      </c>
      <c r="U1122">
        <v>0.5495911</v>
      </c>
      <c r="V1122">
        <v>-9.3447730000000007E-2</v>
      </c>
      <c r="W1122">
        <v>0.19290570000000001</v>
      </c>
      <c r="X1122">
        <v>0.97675730000000005</v>
      </c>
      <c r="Y1122">
        <v>-0.18127760000000001</v>
      </c>
      <c r="Z1122">
        <v>5.6507550000000004E-3</v>
      </c>
      <c r="AA1122">
        <v>0.9834157</v>
      </c>
      <c r="AB1122">
        <v>34</v>
      </c>
      <c r="AC1122">
        <v>21.8661999999999</v>
      </c>
      <c r="AD1122">
        <v>-1.1080597233606</v>
      </c>
      <c r="AE1122">
        <v>3.9806999999999499</v>
      </c>
      <c r="AF1122">
        <v>-4.0543882007584902</v>
      </c>
      <c r="AG1122">
        <v>-1.1080597233606</v>
      </c>
      <c r="AH1122">
        <v>21.796608531888701</v>
      </c>
      <c r="AI1122">
        <v>92.861208305142497</v>
      </c>
      <c r="AJ1122">
        <v>100.53716440245201</v>
      </c>
      <c r="AK1122">
        <v>22.198153155733198</v>
      </c>
      <c r="AL1122">
        <v>78.8775931805596</v>
      </c>
      <c r="AM1122">
        <v>95.464933912161001</v>
      </c>
      <c r="AN1122">
        <v>0.99999995521896501</v>
      </c>
    </row>
    <row r="1123" spans="1:40" x14ac:dyDescent="0.25">
      <c r="A1123" t="str">
        <f>"20190304155034256"</f>
        <v>20190304155034256</v>
      </c>
      <c r="B1123" t="str">
        <f>"1551685834247211"</f>
        <v>1551685834247211</v>
      </c>
      <c r="C1123" t="s">
        <v>40</v>
      </c>
      <c r="D1123">
        <v>5.1555530000000003</v>
      </c>
      <c r="E1123">
        <v>0.46460659999999998</v>
      </c>
      <c r="F1123" t="s">
        <v>41</v>
      </c>
      <c r="G1123">
        <v>-249.75530000000001</v>
      </c>
      <c r="H1123" s="1">
        <v>-5.8506539999999997E-7</v>
      </c>
      <c r="I1123">
        <v>371.4538</v>
      </c>
      <c r="J1123">
        <v>-271.19740000000002</v>
      </c>
      <c r="K1123">
        <v>1.108258</v>
      </c>
      <c r="L1123">
        <v>367.55040000000002</v>
      </c>
      <c r="M1123">
        <v>0.99993379999999998</v>
      </c>
      <c r="N1123">
        <v>-1.085118E-2</v>
      </c>
      <c r="O1123">
        <v>-3.831826E-3</v>
      </c>
      <c r="P1123">
        <v>0.97916619999999999</v>
      </c>
      <c r="Q1123">
        <v>0.18227460000000001</v>
      </c>
      <c r="R1123">
        <v>8.9497569999999999E-2</v>
      </c>
      <c r="S1123">
        <v>3.0427249999999999</v>
      </c>
      <c r="T1123">
        <v>-0.155962299999999</v>
      </c>
      <c r="U1123">
        <v>0.54931640000000004</v>
      </c>
      <c r="V1123">
        <v>-9.3242199999999997E-2</v>
      </c>
      <c r="W1123">
        <v>0.19288839999999999</v>
      </c>
      <c r="X1123">
        <v>0.97678039999999999</v>
      </c>
      <c r="Y1123">
        <v>-0.1811487</v>
      </c>
      <c r="Z1123">
        <v>5.7474509999999998E-3</v>
      </c>
      <c r="AA1123">
        <v>0.9834389</v>
      </c>
      <c r="AB1123">
        <v>34</v>
      </c>
      <c r="AC1123">
        <v>21.4421</v>
      </c>
      <c r="AD1123">
        <v>-1.1082585850654001</v>
      </c>
      <c r="AE1123">
        <v>3.9033999999999698</v>
      </c>
      <c r="AF1123">
        <v>-3.9752595002472901</v>
      </c>
      <c r="AG1123">
        <v>-1.1082585850654001</v>
      </c>
      <c r="AH1123">
        <v>21.3717223623607</v>
      </c>
      <c r="AI1123">
        <v>92.918519085343803</v>
      </c>
      <c r="AJ1123">
        <v>100.536916668367</v>
      </c>
      <c r="AK1123">
        <v>21.766521125791002</v>
      </c>
      <c r="AL1123">
        <v>78.878603832321105</v>
      </c>
      <c r="AM1123">
        <v>95.452858622138393</v>
      </c>
      <c r="AN1123">
        <v>0.99999999626977998</v>
      </c>
    </row>
    <row r="1124" spans="1:40" x14ac:dyDescent="0.25">
      <c r="A1124" t="str">
        <f>"20190304155034268"</f>
        <v>20190304155034268</v>
      </c>
      <c r="B1124" t="str">
        <f>"1551685834257946"</f>
        <v>1551685834257946</v>
      </c>
      <c r="C1124" t="s">
        <v>40</v>
      </c>
      <c r="D1124">
        <v>5.1777340000000001</v>
      </c>
      <c r="E1124">
        <v>0.46471810000000002</v>
      </c>
      <c r="F1124" t="s">
        <v>41</v>
      </c>
      <c r="G1124">
        <v>-249.37569999999999</v>
      </c>
      <c r="H1124" s="1">
        <v>-7.7080360000000003E-7</v>
      </c>
      <c r="I1124">
        <v>371.47750000000002</v>
      </c>
      <c r="J1124">
        <v>-271.01510000000002</v>
      </c>
      <c r="K1124">
        <v>1.1084620000000001</v>
      </c>
      <c r="L1124">
        <v>367.54969999999997</v>
      </c>
      <c r="M1124">
        <v>0.99993259999999995</v>
      </c>
      <c r="N1124">
        <v>-1.096362E-2</v>
      </c>
      <c r="O1124">
        <v>-3.831844E-3</v>
      </c>
      <c r="P1124">
        <v>0.97919179999999995</v>
      </c>
      <c r="Q1124">
        <v>0.18228349999999999</v>
      </c>
      <c r="R1124">
        <v>8.9197860000000004E-2</v>
      </c>
      <c r="S1124">
        <v>3.0425110000000002</v>
      </c>
      <c r="T1124">
        <v>-0.15451989999999999</v>
      </c>
      <c r="U1124">
        <v>0.54754639999999999</v>
      </c>
      <c r="V1124">
        <v>-9.2942350000000007E-2</v>
      </c>
      <c r="W1124">
        <v>0.1930077</v>
      </c>
      <c r="X1124">
        <v>0.97678540000000003</v>
      </c>
      <c r="Y1124">
        <v>-0.18061160000000001</v>
      </c>
      <c r="Z1124">
        <v>5.6970040000000003E-3</v>
      </c>
      <c r="AA1124">
        <v>0.98353800000000002</v>
      </c>
      <c r="AB1124">
        <v>34</v>
      </c>
      <c r="AC1124">
        <v>21.639399999999998</v>
      </c>
      <c r="AD1124">
        <v>-1.1084627708035999</v>
      </c>
      <c r="AE1124">
        <v>3.9278000000000399</v>
      </c>
      <c r="AF1124">
        <v>-4.00053265031646</v>
      </c>
      <c r="AG1124">
        <v>-1.1084627708035999</v>
      </c>
      <c r="AH1124">
        <v>21.569398140785101</v>
      </c>
      <c r="AI1124">
        <v>92.892625715062195</v>
      </c>
      <c r="AJ1124">
        <v>100.507398600634</v>
      </c>
      <c r="AK1124">
        <v>21.965242711069902</v>
      </c>
      <c r="AL1124">
        <v>78.871637416927896</v>
      </c>
      <c r="AM1124">
        <v>95.435400747710304</v>
      </c>
      <c r="AN1124">
        <v>0.99999998516798605</v>
      </c>
    </row>
    <row r="1125" spans="1:40" x14ac:dyDescent="0.25">
      <c r="A1125" t="str">
        <f>"20190304155034282"</f>
        <v>20190304155034282</v>
      </c>
      <c r="B1125" t="str">
        <f>"1551685834277467"</f>
        <v>1551685834277467</v>
      </c>
      <c r="C1125" t="s">
        <v>40</v>
      </c>
      <c r="D1125">
        <v>5.225244</v>
      </c>
      <c r="E1125">
        <v>0.46493519999999999</v>
      </c>
      <c r="F1125" t="s">
        <v>41</v>
      </c>
      <c r="G1125">
        <v>-249.30449999999999</v>
      </c>
      <c r="H1125" s="1">
        <v>-7.9518760000000004E-7</v>
      </c>
      <c r="I1125">
        <v>371.4425</v>
      </c>
      <c r="J1125">
        <v>-270.8107</v>
      </c>
      <c r="K1125">
        <v>1.1086510000000001</v>
      </c>
      <c r="L1125">
        <v>367.5489</v>
      </c>
      <c r="M1125">
        <v>0.99993120000000002</v>
      </c>
      <c r="N1125">
        <v>-1.10778E-2</v>
      </c>
      <c r="O1125">
        <v>-3.831639E-3</v>
      </c>
      <c r="P1125">
        <v>0.97922220000000004</v>
      </c>
      <c r="Q1125">
        <v>0.1822193</v>
      </c>
      <c r="R1125">
        <v>8.8992619999999995E-2</v>
      </c>
      <c r="S1125">
        <v>3.0429689999999998</v>
      </c>
      <c r="T1125">
        <v>-0.15536220000000001</v>
      </c>
      <c r="U1125">
        <v>0.54562379999999999</v>
      </c>
      <c r="V1125">
        <v>-9.2736970000000002E-2</v>
      </c>
      <c r="W1125">
        <v>0.19305539999999999</v>
      </c>
      <c r="X1125">
        <v>0.97679550000000004</v>
      </c>
      <c r="Y1125">
        <v>-0.17998140000000001</v>
      </c>
      <c r="Z1125">
        <v>5.7128049999999996E-3</v>
      </c>
      <c r="AA1125">
        <v>0.98365340000000001</v>
      </c>
      <c r="AB1125">
        <v>34</v>
      </c>
      <c r="AC1125">
        <v>21.5062</v>
      </c>
      <c r="AD1125">
        <v>-1.1086517951876</v>
      </c>
      <c r="AE1125">
        <v>3.89359999999999</v>
      </c>
      <c r="AF1125">
        <v>-3.96577614585834</v>
      </c>
      <c r="AG1125">
        <v>-1.1086517951876</v>
      </c>
      <c r="AH1125">
        <v>21.435965496293601</v>
      </c>
      <c r="AI1125">
        <v>92.911339101687204</v>
      </c>
      <c r="AJ1125">
        <v>100.48153481138201</v>
      </c>
      <c r="AK1125">
        <v>21.827897425091699</v>
      </c>
      <c r="AL1125">
        <v>78.868852087177999</v>
      </c>
      <c r="AM1125">
        <v>95.423405784757193</v>
      </c>
      <c r="AN1125">
        <v>0.99999999094709502</v>
      </c>
    </row>
    <row r="1126" spans="1:40" x14ac:dyDescent="0.25">
      <c r="A1126" t="str">
        <f>"20190304155034296"</f>
        <v>20190304155034296</v>
      </c>
      <c r="B1126" t="str">
        <f>"1551685834287228"</f>
        <v>1551685834287228</v>
      </c>
      <c r="C1126" t="s">
        <v>40</v>
      </c>
      <c r="D1126">
        <v>6.4283489999999999</v>
      </c>
      <c r="E1126">
        <v>0.46493519999999999</v>
      </c>
      <c r="F1126" t="s">
        <v>41</v>
      </c>
      <c r="G1126">
        <v>-248.82089999999999</v>
      </c>
      <c r="H1126" s="1">
        <v>-1.0328910000000001E-6</v>
      </c>
      <c r="I1126">
        <v>371.4769</v>
      </c>
      <c r="J1126">
        <v>-270.60789999999997</v>
      </c>
      <c r="K1126">
        <v>1.1088229999999999</v>
      </c>
      <c r="L1126">
        <v>367.54809999999998</v>
      </c>
      <c r="M1126">
        <v>0.99993010000000004</v>
      </c>
      <c r="N1126">
        <v>-1.1184090000000001E-2</v>
      </c>
      <c r="O1126">
        <v>-3.8315150000000002E-3</v>
      </c>
      <c r="P1126">
        <v>0.97922739999999997</v>
      </c>
      <c r="Q1126">
        <v>0.1822983</v>
      </c>
      <c r="R1126">
        <v>8.8775859999999998E-2</v>
      </c>
      <c r="S1126">
        <v>3.042786</v>
      </c>
      <c r="T1126">
        <v>-0.15340689999999901</v>
      </c>
      <c r="U1126">
        <v>0.5435181</v>
      </c>
      <c r="V1126">
        <v>-9.2520270000000002E-2</v>
      </c>
      <c r="W1126">
        <v>0.19323789999999999</v>
      </c>
      <c r="X1126">
        <v>0.97677999999999998</v>
      </c>
      <c r="Y1126">
        <v>-0.17933869999999999</v>
      </c>
      <c r="Z1126">
        <v>5.643141E-3</v>
      </c>
      <c r="AA1126">
        <v>0.98377119999999996</v>
      </c>
      <c r="AB1126">
        <v>34</v>
      </c>
      <c r="AC1126">
        <v>21.7869999999999</v>
      </c>
      <c r="AD1126">
        <v>-1.108824032891</v>
      </c>
      <c r="AE1126">
        <v>3.9288000000000198</v>
      </c>
      <c r="AF1126">
        <v>-4.0022136144834901</v>
      </c>
      <c r="AG1126">
        <v>-1.108824032891</v>
      </c>
      <c r="AH1126">
        <v>21.717305662280701</v>
      </c>
      <c r="AI1126">
        <v>92.874501379241806</v>
      </c>
      <c r="AJ1126">
        <v>100.441704193194</v>
      </c>
      <c r="AK1126">
        <v>22.110824719598401</v>
      </c>
      <c r="AL1126">
        <v>78.858195343106502</v>
      </c>
      <c r="AM1126">
        <v>95.410893475019506</v>
      </c>
      <c r="AN1126">
        <v>1.00000002737864</v>
      </c>
    </row>
    <row r="1127" spans="1:40" x14ac:dyDescent="0.25">
      <c r="A1127" t="str">
        <f>"20190304155034311"</f>
        <v>20190304155034311</v>
      </c>
      <c r="B1127" t="str">
        <f>"1551685834307724"</f>
        <v>1551685834307724</v>
      </c>
      <c r="C1127" t="s">
        <v>40</v>
      </c>
      <c r="D1127">
        <v>5.2009019999999904</v>
      </c>
      <c r="E1127">
        <v>0.55665959999999903</v>
      </c>
      <c r="F1127" t="s">
        <v>41</v>
      </c>
      <c r="G1127">
        <v>-248.58699999999999</v>
      </c>
      <c r="H1127" s="1">
        <v>-1.1427679999999899E-6</v>
      </c>
      <c r="I1127">
        <v>371.47430000000003</v>
      </c>
      <c r="J1127">
        <v>-270.37110000000001</v>
      </c>
      <c r="K1127">
        <v>1.1090059999999999</v>
      </c>
      <c r="L1127">
        <v>367.54719999999998</v>
      </c>
      <c r="M1127">
        <v>0.99992879999999995</v>
      </c>
      <c r="N1127">
        <v>-1.1299760000000001E-2</v>
      </c>
      <c r="O1127">
        <v>-3.8314500000000001E-3</v>
      </c>
      <c r="P1127">
        <v>0.97929600000000006</v>
      </c>
      <c r="Q1127">
        <v>0.18212449999999999</v>
      </c>
      <c r="R1127">
        <v>8.8375830000000002E-2</v>
      </c>
      <c r="S1127">
        <v>3.0429689999999998</v>
      </c>
      <c r="T1127">
        <v>-0.15322349999999901</v>
      </c>
      <c r="U1127">
        <v>0.54254150000000001</v>
      </c>
      <c r="V1127">
        <v>-9.2120809999999997E-2</v>
      </c>
      <c r="W1127">
        <v>0.19317799999999999</v>
      </c>
      <c r="X1127">
        <v>0.97682959999999996</v>
      </c>
      <c r="Y1127">
        <v>-0.17902299999999999</v>
      </c>
      <c r="Z1127">
        <v>5.6377240000000002E-3</v>
      </c>
      <c r="AA1127">
        <v>0.9838287</v>
      </c>
      <c r="AB1127">
        <v>34</v>
      </c>
      <c r="AC1127">
        <v>21.784099999999899</v>
      </c>
      <c r="AD1127">
        <v>-1.1090071427679999</v>
      </c>
      <c r="AE1127">
        <v>3.92710000000005</v>
      </c>
      <c r="AF1127">
        <v>-4.0004993313404302</v>
      </c>
      <c r="AG1127">
        <v>-1.1090071427679999</v>
      </c>
      <c r="AH1127">
        <v>21.714386231640098</v>
      </c>
      <c r="AI1127">
        <v>92.875388868554396</v>
      </c>
      <c r="AJ1127">
        <v>100.43870239117599</v>
      </c>
      <c r="AK1127">
        <v>22.1076561661251</v>
      </c>
      <c r="AL1127">
        <v>78.861693246136696</v>
      </c>
      <c r="AM1127">
        <v>95.387397530203302</v>
      </c>
      <c r="AN1127">
        <v>1.0000000253776</v>
      </c>
    </row>
    <row r="1128" spans="1:40" x14ac:dyDescent="0.25">
      <c r="A1128" t="str">
        <f>"20190304155034324"</f>
        <v>20190304155034324</v>
      </c>
      <c r="B1128" t="str">
        <f>"1551685834317483"</f>
        <v>1551685834317483</v>
      </c>
      <c r="C1128" t="s">
        <v>40</v>
      </c>
      <c r="D1128">
        <v>5.12521</v>
      </c>
      <c r="E1128">
        <v>0.56546339999999995</v>
      </c>
      <c r="F1128" t="s">
        <v>43</v>
      </c>
      <c r="G1128">
        <v>-158.19499999999999</v>
      </c>
      <c r="H1128">
        <v>4.6473959999999996</v>
      </c>
      <c r="I1128">
        <v>360.71690000000001</v>
      </c>
      <c r="J1128">
        <v>-270.17689999999999</v>
      </c>
      <c r="K1128">
        <v>1.109135</v>
      </c>
      <c r="L1128">
        <v>367.54640000000001</v>
      </c>
      <c r="M1128">
        <v>0.99992780000000003</v>
      </c>
      <c r="N1128">
        <v>-1.1387110000000001E-2</v>
      </c>
      <c r="O1128">
        <v>-3.8313499999999999E-3</v>
      </c>
      <c r="P1128">
        <v>0.97928479999999996</v>
      </c>
      <c r="Q1128">
        <v>0.182314</v>
      </c>
      <c r="R1128">
        <v>8.8107340000000006E-2</v>
      </c>
      <c r="S1128">
        <v>3.0623170000000002</v>
      </c>
      <c r="T1128">
        <v>9.6597550000000004E-2</v>
      </c>
      <c r="U1128">
        <v>-0.1864624</v>
      </c>
      <c r="V1128">
        <v>-9.1852110000000001E-2</v>
      </c>
      <c r="W1128">
        <v>0.19345309999999999</v>
      </c>
      <c r="X1128">
        <v>0.97680040000000001</v>
      </c>
      <c r="Y1128">
        <v>5.693732E-2</v>
      </c>
      <c r="Z1128">
        <v>4.0813699999999999E-4</v>
      </c>
      <c r="AA1128">
        <v>0.99837770000000003</v>
      </c>
      <c r="AB1128">
        <v>34</v>
      </c>
      <c r="AC1128">
        <v>111.9819</v>
      </c>
      <c r="AD1128">
        <v>3.5382609999999901</v>
      </c>
      <c r="AE1128">
        <v>-6.8294999999999897</v>
      </c>
      <c r="AF1128">
        <v>6.3940203521488002</v>
      </c>
      <c r="AG1128">
        <v>3.5382609999999901</v>
      </c>
      <c r="AH1128">
        <v>111.89594821693601</v>
      </c>
      <c r="AI1128">
        <v>88.191801801204605</v>
      </c>
      <c r="AJ1128">
        <v>86.729529343780996</v>
      </c>
      <c r="AK1128">
        <v>112.134321305009</v>
      </c>
      <c r="AL1128">
        <v>78.845627472899594</v>
      </c>
      <c r="AM1128">
        <v>95.3719351490208</v>
      </c>
      <c r="AN1128">
        <v>0.99999996672560998</v>
      </c>
    </row>
    <row r="1129" spans="1:40" x14ac:dyDescent="0.25">
      <c r="A1129" t="str">
        <f>"20190304155034344"</f>
        <v>20190304155034344</v>
      </c>
      <c r="B1129" t="str">
        <f>"1551685834337979"</f>
        <v>1551685834337979</v>
      </c>
      <c r="C1129" t="s">
        <v>40</v>
      </c>
      <c r="D1129">
        <v>5.1812690000000003</v>
      </c>
      <c r="E1129">
        <v>0.57161410000000001</v>
      </c>
      <c r="F1129" t="s">
        <v>43</v>
      </c>
      <c r="G1129">
        <v>-158.19499999999999</v>
      </c>
      <c r="H1129">
        <v>5.3554259999999996</v>
      </c>
      <c r="I1129">
        <v>358.15260000000001</v>
      </c>
      <c r="J1129">
        <v>-270.00650000000002</v>
      </c>
      <c r="K1129">
        <v>1.1092390000000001</v>
      </c>
      <c r="L1129">
        <v>367.54579999999999</v>
      </c>
      <c r="M1129">
        <v>0.99992709999999996</v>
      </c>
      <c r="N1129">
        <v>-1.1459779999999999E-2</v>
      </c>
      <c r="O1129">
        <v>-3.8311690000000002E-3</v>
      </c>
      <c r="P1129">
        <v>0.97931840000000003</v>
      </c>
      <c r="Q1129">
        <v>0.18210180000000001</v>
      </c>
      <c r="R1129">
        <v>8.8172730000000005E-2</v>
      </c>
      <c r="S1129">
        <v>3.064972</v>
      </c>
      <c r="T1129">
        <v>0.1162243</v>
      </c>
      <c r="U1129">
        <v>-0.25711060000000002</v>
      </c>
      <c r="V1129">
        <v>-9.1917109999999996E-2</v>
      </c>
      <c r="W1129">
        <v>0.19331229999999999</v>
      </c>
      <c r="X1129">
        <v>0.97682219999999997</v>
      </c>
      <c r="Y1129">
        <v>7.9739569999999996E-2</v>
      </c>
      <c r="Z1129">
        <v>8.6207549999999997E-4</v>
      </c>
      <c r="AA1129">
        <v>0.99681540000000002</v>
      </c>
      <c r="AB1129">
        <v>34</v>
      </c>
      <c r="AC1129">
        <v>111.8115</v>
      </c>
      <c r="AD1129">
        <v>4.2461869999999999</v>
      </c>
      <c r="AE1129">
        <v>-9.3931999999999807</v>
      </c>
      <c r="AF1129">
        <v>8.9519142491069505</v>
      </c>
      <c r="AG1129">
        <v>4.2461869999999999</v>
      </c>
      <c r="AH1129">
        <v>111.68672291887999</v>
      </c>
      <c r="AI1129">
        <v>87.829689594366997</v>
      </c>
      <c r="AJ1129">
        <v>85.417425251935398</v>
      </c>
      <c r="AK1129">
        <v>112.125335893013</v>
      </c>
      <c r="AL1129">
        <v>78.853850367873207</v>
      </c>
      <c r="AM1129">
        <v>95.375595117950894</v>
      </c>
      <c r="AN1129">
        <v>1.0000000054274401</v>
      </c>
    </row>
    <row r="1130" spans="1:40" x14ac:dyDescent="0.25">
      <c r="A1130" t="str">
        <f>"20190304155034357"</f>
        <v>20190304155034357</v>
      </c>
      <c r="B1130" t="str">
        <f>"1551685834347739"</f>
        <v>1551685834347739</v>
      </c>
      <c r="C1130" t="s">
        <v>40</v>
      </c>
      <c r="D1130">
        <v>5.3245120000000004</v>
      </c>
      <c r="E1130">
        <v>0.57493319999999903</v>
      </c>
      <c r="F1130" t="s">
        <v>43</v>
      </c>
      <c r="G1130">
        <v>-158.19499999999999</v>
      </c>
      <c r="H1130">
        <v>6.4491880000000004</v>
      </c>
      <c r="I1130">
        <v>356.39139999999998</v>
      </c>
      <c r="J1130">
        <v>-269.68299999999999</v>
      </c>
      <c r="K1130">
        <v>1.1094090000000001</v>
      </c>
      <c r="L1130">
        <v>367.5446</v>
      </c>
      <c r="M1130">
        <v>0.99992559999999997</v>
      </c>
      <c r="N1130">
        <v>-1.159021E-2</v>
      </c>
      <c r="O1130">
        <v>-3.8309659999999999E-3</v>
      </c>
      <c r="P1130">
        <v>0.97934730000000003</v>
      </c>
      <c r="Q1130">
        <v>0.18202789999999999</v>
      </c>
      <c r="R1130">
        <v>8.8004310000000002E-2</v>
      </c>
      <c r="S1130">
        <v>3.06366</v>
      </c>
      <c r="T1130">
        <v>0.14631810000000001</v>
      </c>
      <c r="U1130">
        <v>-0.3056335</v>
      </c>
      <c r="V1130">
        <v>-9.1748440000000001E-2</v>
      </c>
      <c r="W1130">
        <v>0.19336610000000001</v>
      </c>
      <c r="X1130">
        <v>0.97682740000000001</v>
      </c>
      <c r="Y1130">
        <v>9.5380530000000005E-2</v>
      </c>
      <c r="Z1130">
        <v>1.4897020000000001E-3</v>
      </c>
      <c r="AA1130">
        <v>0.99543979999999999</v>
      </c>
      <c r="AB1130">
        <v>34</v>
      </c>
      <c r="AC1130">
        <v>111.488</v>
      </c>
      <c r="AD1130">
        <v>5.3397789999999903</v>
      </c>
      <c r="AE1130">
        <v>-11.1532</v>
      </c>
      <c r="AF1130">
        <v>10.701676546306199</v>
      </c>
      <c r="AG1130">
        <v>5.3397789999999903</v>
      </c>
      <c r="AH1130">
        <v>111.277173532909</v>
      </c>
      <c r="AI1130">
        <v>87.265293555586993</v>
      </c>
      <c r="AJ1130">
        <v>84.506681458159093</v>
      </c>
      <c r="AK1130">
        <v>111.91804354144</v>
      </c>
      <c r="AL1130">
        <v>78.850708481855605</v>
      </c>
      <c r="AM1130">
        <v>95.365760008431096</v>
      </c>
      <c r="AN1130">
        <v>0.99999999713120102</v>
      </c>
    </row>
    <row r="1131" spans="1:40" x14ac:dyDescent="0.25">
      <c r="A1131" t="str">
        <f>"20190304155034368"</f>
        <v>20190304155034368</v>
      </c>
      <c r="B1131" t="str">
        <f>"1551685834357499"</f>
        <v>1551685834357499</v>
      </c>
      <c r="C1131" t="s">
        <v>40</v>
      </c>
      <c r="D1131">
        <v>5.0416270000000001</v>
      </c>
      <c r="E1131">
        <v>0.57589840000000003</v>
      </c>
      <c r="F1131" t="s">
        <v>43</v>
      </c>
      <c r="G1131">
        <v>-168.8749</v>
      </c>
      <c r="H1131">
        <v>5.3341260000000004</v>
      </c>
      <c r="I1131">
        <v>356.61509999999998</v>
      </c>
      <c r="J1131">
        <v>-269.51499999999999</v>
      </c>
      <c r="K1131">
        <v>1.109488</v>
      </c>
      <c r="L1131">
        <v>367.54390000000001</v>
      </c>
      <c r="M1131">
        <v>0.99992479999999995</v>
      </c>
      <c r="N1131">
        <v>-1.165471E-2</v>
      </c>
      <c r="O1131">
        <v>-3.8308639999999998E-3</v>
      </c>
      <c r="P1131">
        <v>0.97938049999999999</v>
      </c>
      <c r="Q1131">
        <v>0.18186550000000001</v>
      </c>
      <c r="R1131">
        <v>8.7969549999999994E-2</v>
      </c>
      <c r="S1131">
        <v>3.0692439999999999</v>
      </c>
      <c r="T1131">
        <v>0.12862999999999999</v>
      </c>
      <c r="U1131">
        <v>-0.3327637</v>
      </c>
      <c r="V1131">
        <v>-9.1713929999999999E-2</v>
      </c>
      <c r="W1131">
        <v>0.19326689999999999</v>
      </c>
      <c r="X1131">
        <v>0.97685029999999995</v>
      </c>
      <c r="Y1131">
        <v>0.1039181</v>
      </c>
      <c r="Z1131">
        <v>1.35822E-3</v>
      </c>
      <c r="AA1131">
        <v>0.99458489999999999</v>
      </c>
      <c r="AB1131">
        <v>34</v>
      </c>
      <c r="AC1131">
        <v>100.6401</v>
      </c>
      <c r="AD1131">
        <v>4.2246379999999997</v>
      </c>
      <c r="AE1131">
        <v>-10.928800000000001</v>
      </c>
      <c r="AF1131">
        <v>10.524825183895899</v>
      </c>
      <c r="AG1131">
        <v>4.2246379999999997</v>
      </c>
      <c r="AH1131">
        <v>100.50619062078</v>
      </c>
      <c r="AI1131">
        <v>87.606142691225699</v>
      </c>
      <c r="AJ1131">
        <v>84.021878633675698</v>
      </c>
      <c r="AK1131">
        <v>101.144025352382</v>
      </c>
      <c r="AL1131">
        <v>78.856501804484296</v>
      </c>
      <c r="AM1131">
        <v>95.3636285123806</v>
      </c>
      <c r="AN1131">
        <v>1.00000002410087</v>
      </c>
    </row>
    <row r="1132" spans="1:40" x14ac:dyDescent="0.25">
      <c r="A1132" t="str">
        <f>"20190304155034379"</f>
        <v>20190304155034379</v>
      </c>
      <c r="B1132" t="str">
        <f>"1551685834367259"</f>
        <v>1551685834367259</v>
      </c>
      <c r="C1132" t="s">
        <v>40</v>
      </c>
      <c r="D1132">
        <v>5.1133439999999997</v>
      </c>
      <c r="E1132">
        <v>0.57654050000000001</v>
      </c>
      <c r="F1132" t="s">
        <v>43</v>
      </c>
      <c r="G1132">
        <v>-169.2955</v>
      </c>
      <c r="H1132">
        <v>4.8372120000000001</v>
      </c>
      <c r="I1132">
        <v>356.44690000000003</v>
      </c>
      <c r="J1132">
        <v>-269.33699999999999</v>
      </c>
      <c r="K1132">
        <v>1.1095619999999999</v>
      </c>
      <c r="L1132">
        <v>367.54320000000001</v>
      </c>
      <c r="M1132">
        <v>0.99992400000000004</v>
      </c>
      <c r="N1132">
        <v>-1.171705E-2</v>
      </c>
      <c r="O1132">
        <v>-3.830632E-3</v>
      </c>
      <c r="P1132">
        <v>0.97943029999999998</v>
      </c>
      <c r="Q1132">
        <v>0.18161920000000001</v>
      </c>
      <c r="R1132">
        <v>8.7927179999999994E-2</v>
      </c>
      <c r="S1132">
        <v>3.0725099999999999</v>
      </c>
      <c r="T1132">
        <v>0.1142864</v>
      </c>
      <c r="U1132">
        <v>-0.34021000000000001</v>
      </c>
      <c r="V1132">
        <v>-9.1672139999999999E-2</v>
      </c>
      <c r="W1132">
        <v>0.19308259999999999</v>
      </c>
      <c r="X1132">
        <v>0.97689060000000005</v>
      </c>
      <c r="Y1132">
        <v>0.10620110000000001</v>
      </c>
      <c r="Z1132">
        <v>1.15749E-3</v>
      </c>
      <c r="AA1132">
        <v>0.99434400000000001</v>
      </c>
      <c r="AB1132">
        <v>34</v>
      </c>
      <c r="AC1132">
        <v>100.041499999999</v>
      </c>
      <c r="AD1132">
        <v>3.7276500000000001</v>
      </c>
      <c r="AE1132">
        <v>-11.0962999999999</v>
      </c>
      <c r="AF1132">
        <v>10.698297250177101</v>
      </c>
      <c r="AG1132">
        <v>3.7276500000000001</v>
      </c>
      <c r="AH1132">
        <v>99.946197283723194</v>
      </c>
      <c r="AI1132">
        <v>87.876175364219904</v>
      </c>
      <c r="AJ1132">
        <v>83.890290987436003</v>
      </c>
      <c r="AK1132">
        <v>100.58623807486001</v>
      </c>
      <c r="AL1132">
        <v>78.867263386598907</v>
      </c>
      <c r="AM1132">
        <v>95.360978907892601</v>
      </c>
      <c r="AN1132">
        <v>0.99999995802164798</v>
      </c>
    </row>
    <row r="1133" spans="1:40" x14ac:dyDescent="0.25">
      <c r="A1133" t="str">
        <f>"20190304155034393"</f>
        <v>20190304155034393</v>
      </c>
      <c r="B1133" t="str">
        <f>"1551685834387754"</f>
        <v>1551685834387754</v>
      </c>
      <c r="C1133" t="s">
        <v>40</v>
      </c>
      <c r="D1133">
        <v>5.0434199999999896</v>
      </c>
      <c r="E1133">
        <v>0.57769919999999997</v>
      </c>
      <c r="F1133" t="s">
        <v>43</v>
      </c>
      <c r="G1133">
        <v>-169.2955</v>
      </c>
      <c r="H1133">
        <v>4.6119640000000004</v>
      </c>
      <c r="I1133">
        <v>356.29579999999999</v>
      </c>
      <c r="J1133">
        <v>-269.1431</v>
      </c>
      <c r="K1133">
        <v>1.1096360000000001</v>
      </c>
      <c r="L1133">
        <v>367.54239999999999</v>
      </c>
      <c r="M1133">
        <v>0.99992329999999996</v>
      </c>
      <c r="N1133">
        <v>-1.1782030000000001E-2</v>
      </c>
      <c r="O1133">
        <v>-3.8308940000000001E-3</v>
      </c>
      <c r="P1133">
        <v>0.9794813</v>
      </c>
      <c r="Q1133">
        <v>0.1813129</v>
      </c>
      <c r="R1133">
        <v>8.7988640000000007E-2</v>
      </c>
      <c r="S1133">
        <v>3.0740970000000001</v>
      </c>
      <c r="T1133">
        <v>0.1076251</v>
      </c>
      <c r="U1133">
        <v>-0.34561160000000002</v>
      </c>
      <c r="V1133">
        <v>-9.1733430000000005E-2</v>
      </c>
      <c r="W1133">
        <v>0.19283980000000001</v>
      </c>
      <c r="X1133">
        <v>0.97693289999999999</v>
      </c>
      <c r="Y1133">
        <v>0.10787620000000001</v>
      </c>
      <c r="Z1133">
        <v>1.0656140000000001E-3</v>
      </c>
      <c r="AA1133">
        <v>0.99416380000000004</v>
      </c>
      <c r="AB1133">
        <v>34</v>
      </c>
      <c r="AC1133">
        <v>99.8476</v>
      </c>
      <c r="AD1133">
        <v>3.5023279999999901</v>
      </c>
      <c r="AE1133">
        <v>-11.246600000000001</v>
      </c>
      <c r="AF1133">
        <v>10.850802034919001</v>
      </c>
      <c r="AG1133">
        <v>3.5023279999999901</v>
      </c>
      <c r="AH1133">
        <v>99.768739426074205</v>
      </c>
      <c r="AI1133">
        <v>88.001264796690194</v>
      </c>
      <c r="AJ1133">
        <v>83.792934460560105</v>
      </c>
      <c r="AK1133">
        <v>100.418163560625</v>
      </c>
      <c r="AL1133">
        <v>78.881442301419696</v>
      </c>
      <c r="AM1133">
        <v>95.3643113152133</v>
      </c>
      <c r="AN1133">
        <v>1.000000050873</v>
      </c>
    </row>
    <row r="1134" spans="1:40" x14ac:dyDescent="0.25">
      <c r="A1134" t="str">
        <f>"20190304155034407"</f>
        <v>20190304155034407</v>
      </c>
      <c r="B1134" t="str">
        <f>"1551685834397515"</f>
        <v>1551685834397515</v>
      </c>
      <c r="C1134" t="s">
        <v>40</v>
      </c>
      <c r="D1134">
        <v>5.1300990000000004</v>
      </c>
      <c r="E1134">
        <v>0.57840819999999904</v>
      </c>
      <c r="F1134" t="s">
        <v>43</v>
      </c>
      <c r="G1134">
        <v>-169.2955</v>
      </c>
      <c r="H1134">
        <v>4.2494019999999999</v>
      </c>
      <c r="I1134">
        <v>356.03539999999998</v>
      </c>
      <c r="J1134">
        <v>-268.92910000000001</v>
      </c>
      <c r="K1134">
        <v>1.1097109999999999</v>
      </c>
      <c r="L1134">
        <v>367.54160000000002</v>
      </c>
      <c r="M1134">
        <v>0.99992250000000005</v>
      </c>
      <c r="N1134">
        <v>-1.1849510000000001E-2</v>
      </c>
      <c r="O1134">
        <v>-3.8308159999999999E-3</v>
      </c>
      <c r="P1134">
        <v>0.97956909999999997</v>
      </c>
      <c r="Q1134">
        <v>0.18102099999999999</v>
      </c>
      <c r="R1134">
        <v>8.7611850000000005E-2</v>
      </c>
      <c r="S1134">
        <v>3.0767519999999999</v>
      </c>
      <c r="T1134">
        <v>9.6752879999999999E-2</v>
      </c>
      <c r="U1134">
        <v>-0.3545837</v>
      </c>
      <c r="V1134">
        <v>-9.1356939999999998E-2</v>
      </c>
      <c r="W1134">
        <v>0.19261519999999999</v>
      </c>
      <c r="X1134">
        <v>0.97701249999999995</v>
      </c>
      <c r="Y1134">
        <v>0.11065170000000001</v>
      </c>
      <c r="Z1134">
        <v>9.1050500000000004E-4</v>
      </c>
      <c r="AA1134">
        <v>0.99385880000000004</v>
      </c>
      <c r="AB1134">
        <v>34</v>
      </c>
      <c r="AC1134">
        <v>99.633600000000001</v>
      </c>
      <c r="AD1134">
        <v>3.139691</v>
      </c>
      <c r="AE1134">
        <v>-11.5062</v>
      </c>
      <c r="AF1134">
        <v>11.1135199850465</v>
      </c>
      <c r="AG1134">
        <v>3.139691</v>
      </c>
      <c r="AH1134">
        <v>99.579366257811998</v>
      </c>
      <c r="AI1134">
        <v>88.205224600367899</v>
      </c>
      <c r="AJ1134">
        <v>83.6318771133556</v>
      </c>
      <c r="AK1134">
        <v>100.246786334231</v>
      </c>
      <c r="AL1134">
        <v>78.894556963308801</v>
      </c>
      <c r="AM1134">
        <v>95.341990148347094</v>
      </c>
      <c r="AN1134">
        <v>1.00000006545672</v>
      </c>
    </row>
    <row r="1135" spans="1:40" x14ac:dyDescent="0.25">
      <c r="A1135" t="str">
        <f>"20190304155034421"</f>
        <v>20190304155034421</v>
      </c>
      <c r="B1135" t="str">
        <f>"1551685834418011"</f>
        <v>1551685834418011</v>
      </c>
      <c r="C1135" t="s">
        <v>40</v>
      </c>
      <c r="D1135">
        <v>4.5058809999999996</v>
      </c>
      <c r="E1135">
        <v>0.5787485</v>
      </c>
      <c r="F1135" t="s">
        <v>43</v>
      </c>
      <c r="G1135">
        <v>-169.2955</v>
      </c>
      <c r="H1135">
        <v>3.9879120000000001</v>
      </c>
      <c r="I1135">
        <v>355.84640000000002</v>
      </c>
      <c r="J1135">
        <v>-268.72359999999998</v>
      </c>
      <c r="K1135">
        <v>1.1097699999999999</v>
      </c>
      <c r="L1135">
        <v>367.54079999999999</v>
      </c>
      <c r="M1135">
        <v>0.99992190000000003</v>
      </c>
      <c r="N1135">
        <v>-1.190773E-2</v>
      </c>
      <c r="O1135">
        <v>-3.8308040000000002E-3</v>
      </c>
      <c r="P1135">
        <v>0.97959220000000002</v>
      </c>
      <c r="Q1135">
        <v>0.18085409999999999</v>
      </c>
      <c r="R1135">
        <v>8.7699449999999998E-2</v>
      </c>
      <c r="S1135">
        <v>3.0784609999999999</v>
      </c>
      <c r="T1135">
        <v>8.8932750000000005E-2</v>
      </c>
      <c r="U1135">
        <v>-0.36135859999999997</v>
      </c>
      <c r="V1135">
        <v>-9.144468E-2</v>
      </c>
      <c r="W1135">
        <v>0.19250519999999999</v>
      </c>
      <c r="X1135">
        <v>0.9770259</v>
      </c>
      <c r="Y1135">
        <v>0.1127527</v>
      </c>
      <c r="Z1135">
        <v>7.9330779999999999E-4</v>
      </c>
      <c r="AA1135">
        <v>0.99362280000000003</v>
      </c>
      <c r="AB1135">
        <v>34</v>
      </c>
      <c r="AC1135">
        <v>99.428099999999901</v>
      </c>
      <c r="AD1135">
        <v>2.878142</v>
      </c>
      <c r="AE1135">
        <v>-11.6943999999999</v>
      </c>
      <c r="AF1135">
        <v>11.3040549340731</v>
      </c>
      <c r="AG1135">
        <v>2.878142</v>
      </c>
      <c r="AH1135">
        <v>99.390027250918294</v>
      </c>
      <c r="AI1135">
        <v>88.351908407846693</v>
      </c>
      <c r="AJ1135">
        <v>83.511386702299802</v>
      </c>
      <c r="AK1135">
        <v>100.072188325543</v>
      </c>
      <c r="AL1135">
        <v>78.900978911643705</v>
      </c>
      <c r="AM1135">
        <v>95.347018008231103</v>
      </c>
      <c r="AN1135">
        <v>0.99999999539907602</v>
      </c>
    </row>
    <row r="1136" spans="1:40" x14ac:dyDescent="0.25">
      <c r="A1136" t="str">
        <f>"20190304155034435"</f>
        <v>20190304155034435</v>
      </c>
      <c r="B1136" t="str">
        <f>"1551685834427771"</f>
        <v>1551685834427771</v>
      </c>
      <c r="C1136" t="s">
        <v>40</v>
      </c>
      <c r="D1136">
        <v>5.1130750000000003</v>
      </c>
      <c r="E1136">
        <v>0.57943669999999903</v>
      </c>
      <c r="F1136" t="s">
        <v>43</v>
      </c>
      <c r="G1136">
        <v>-169.2955</v>
      </c>
      <c r="H1136">
        <v>4.0346650000000004</v>
      </c>
      <c r="I1136">
        <v>355.79250000000002</v>
      </c>
      <c r="J1136">
        <v>-268.52109999999999</v>
      </c>
      <c r="K1136">
        <v>1.1098250000000001</v>
      </c>
      <c r="L1136">
        <v>367.5401</v>
      </c>
      <c r="M1136">
        <v>0.99992110000000001</v>
      </c>
      <c r="N1136">
        <v>-1.1961950000000001E-2</v>
      </c>
      <c r="O1136">
        <v>-3.8307699999999998E-3</v>
      </c>
      <c r="P1136">
        <v>0.97960879999999995</v>
      </c>
      <c r="Q1136">
        <v>0.18088609999999999</v>
      </c>
      <c r="R1136">
        <v>8.7446819999999995E-2</v>
      </c>
      <c r="S1136">
        <v>3.0783689999999999</v>
      </c>
      <c r="T1136">
        <v>9.0559600000000004E-2</v>
      </c>
      <c r="U1136">
        <v>-0.36373899999999998</v>
      </c>
      <c r="V1136">
        <v>-9.1191999999999995E-2</v>
      </c>
      <c r="W1136">
        <v>0.19259080000000001</v>
      </c>
      <c r="X1136">
        <v>0.97703269999999998</v>
      </c>
      <c r="Y1136">
        <v>0.11351260000000001</v>
      </c>
      <c r="Z1136">
        <v>8.2420979999999996E-4</v>
      </c>
      <c r="AA1136">
        <v>0.99353619999999998</v>
      </c>
      <c r="AB1136">
        <v>34</v>
      </c>
      <c r="AC1136">
        <v>99.2256</v>
      </c>
      <c r="AD1136">
        <v>2.9248400000000001</v>
      </c>
      <c r="AE1136">
        <v>-11.747599999999901</v>
      </c>
      <c r="AF1136">
        <v>11.3576441859955</v>
      </c>
      <c r="AG1136">
        <v>2.9248400000000001</v>
      </c>
      <c r="AH1136">
        <v>99.184889510022202</v>
      </c>
      <c r="AI1136">
        <v>88.321867744631703</v>
      </c>
      <c r="AJ1136">
        <v>83.467523610613398</v>
      </c>
      <c r="AK1136">
        <v>99.875888369498796</v>
      </c>
      <c r="AL1136">
        <v>78.8959814474035</v>
      </c>
      <c r="AM1136">
        <v>95.332291509708497</v>
      </c>
      <c r="AN1136">
        <v>1.0000000469889601</v>
      </c>
    </row>
    <row r="1137" spans="1:40" x14ac:dyDescent="0.25">
      <c r="A1137" t="str">
        <f>"20190304155034445"</f>
        <v>20190304155034445</v>
      </c>
      <c r="B1137" t="str">
        <f>"1551685834437532"</f>
        <v>1551685834437532</v>
      </c>
      <c r="C1137" t="s">
        <v>40</v>
      </c>
      <c r="D1137">
        <v>4.5717480000000004</v>
      </c>
      <c r="E1137">
        <v>0.57928049999999998</v>
      </c>
      <c r="F1137" t="s">
        <v>43</v>
      </c>
      <c r="G1137">
        <v>-169.2955</v>
      </c>
      <c r="H1137">
        <v>3.8529209999999998</v>
      </c>
      <c r="I1137">
        <v>355.61450000000002</v>
      </c>
      <c r="J1137">
        <v>-268.35329999999999</v>
      </c>
      <c r="K1137">
        <v>1.1098680000000001</v>
      </c>
      <c r="L1137">
        <v>367.5394</v>
      </c>
      <c r="M1137">
        <v>0.99992080000000005</v>
      </c>
      <c r="N1137">
        <v>-1.2004570000000001E-2</v>
      </c>
      <c r="O1137">
        <v>-3.8309070000000001E-3</v>
      </c>
      <c r="P1137">
        <v>0.97962700000000003</v>
      </c>
      <c r="Q1137">
        <v>0.18090220000000001</v>
      </c>
      <c r="R1137">
        <v>8.7209850000000005E-2</v>
      </c>
      <c r="S1137">
        <v>3.0797729999999999</v>
      </c>
      <c r="T1137">
        <v>8.5143090000000005E-2</v>
      </c>
      <c r="U1137">
        <v>-0.37014770000000002</v>
      </c>
      <c r="V1137">
        <v>-9.0955179999999997E-2</v>
      </c>
      <c r="W1137">
        <v>0.19264880000000001</v>
      </c>
      <c r="X1137">
        <v>0.97704329999999995</v>
      </c>
      <c r="Y1137">
        <v>0.1155018</v>
      </c>
      <c r="Z1137">
        <v>7.4337359999999996E-4</v>
      </c>
      <c r="AA1137">
        <v>0.99330700000000005</v>
      </c>
      <c r="AB1137">
        <v>34</v>
      </c>
      <c r="AC1137">
        <v>99.0578</v>
      </c>
      <c r="AD1137">
        <v>2.7430530000000002</v>
      </c>
      <c r="AE1137">
        <v>-11.9248999999999</v>
      </c>
      <c r="AF1137">
        <v>11.5365839292626</v>
      </c>
      <c r="AG1137">
        <v>2.7430530000000002</v>
      </c>
      <c r="AH1137">
        <v>99.027908073803999</v>
      </c>
      <c r="AI1137">
        <v>88.423977536803505</v>
      </c>
      <c r="AJ1137">
        <v>83.355091735722198</v>
      </c>
      <c r="AK1137">
        <v>99.735368280222005</v>
      </c>
      <c r="AL1137">
        <v>78.892594429276997</v>
      </c>
      <c r="AM1137">
        <v>95.318466019391593</v>
      </c>
      <c r="AN1137">
        <v>1.0000000074925799</v>
      </c>
    </row>
    <row r="1138" spans="1:40" x14ac:dyDescent="0.25">
      <c r="A1138" t="str">
        <f>"20190304155034457"</f>
        <v>20190304155034457</v>
      </c>
      <c r="B1138" t="str">
        <f>"1551685834447291"</f>
        <v>1551685834447291</v>
      </c>
      <c r="C1138" t="s">
        <v>40</v>
      </c>
      <c r="D1138">
        <v>5.1364409999999996</v>
      </c>
      <c r="E1138">
        <v>0.57959559999999999</v>
      </c>
      <c r="F1138" t="s">
        <v>43</v>
      </c>
      <c r="G1138">
        <v>-169.2955</v>
      </c>
      <c r="H1138">
        <v>4.0935370000000004</v>
      </c>
      <c r="I1138">
        <v>355.63850000000002</v>
      </c>
      <c r="J1138">
        <v>-268.18700000000001</v>
      </c>
      <c r="K1138">
        <v>1.1099019999999999</v>
      </c>
      <c r="L1138">
        <v>367.53879999999998</v>
      </c>
      <c r="M1138">
        <v>0.99992040000000004</v>
      </c>
      <c r="N1138">
        <v>-1.2043E-2</v>
      </c>
      <c r="O1138">
        <v>-3.8308999999999999E-3</v>
      </c>
      <c r="P1138">
        <v>0.97965740000000001</v>
      </c>
      <c r="Q1138">
        <v>0.18080089999999999</v>
      </c>
      <c r="R1138">
        <v>8.707964E-2</v>
      </c>
      <c r="S1138">
        <v>3.0781559999999999</v>
      </c>
      <c r="T1138">
        <v>9.2718120000000001E-2</v>
      </c>
      <c r="U1138">
        <v>-0.36981199999999997</v>
      </c>
      <c r="V1138">
        <v>-9.082498E-2</v>
      </c>
      <c r="W1138">
        <v>0.19258520000000001</v>
      </c>
      <c r="X1138">
        <v>0.97706789999999999</v>
      </c>
      <c r="Y1138">
        <v>0.1154509</v>
      </c>
      <c r="Z1138">
        <v>8.7344769999999998E-4</v>
      </c>
      <c r="AA1138">
        <v>0.9933128</v>
      </c>
      <c r="AB1138">
        <v>34</v>
      </c>
      <c r="AC1138">
        <v>98.891499999999994</v>
      </c>
      <c r="AD1138">
        <v>2.983635</v>
      </c>
      <c r="AE1138">
        <v>-11.9002999999999</v>
      </c>
      <c r="AF1138">
        <v>11.511013199673799</v>
      </c>
      <c r="AG1138">
        <v>2.983635</v>
      </c>
      <c r="AH1138">
        <v>98.847672032521999</v>
      </c>
      <c r="AI1138">
        <v>88.282697350996699</v>
      </c>
      <c r="AJ1138">
        <v>83.357707243384297</v>
      </c>
      <c r="AK1138">
        <v>99.560372482957902</v>
      </c>
      <c r="AL1138">
        <v>78.896307432419306</v>
      </c>
      <c r="AM1138">
        <v>95.310763386619797</v>
      </c>
      <c r="AN1138">
        <v>0.999999958730724</v>
      </c>
    </row>
    <row r="1139" spans="1:40" x14ac:dyDescent="0.25">
      <c r="A1139" t="str">
        <f>"20190304155034468"</f>
        <v>20190304155034468</v>
      </c>
      <c r="B1139" t="str">
        <f>"1551685834458027"</f>
        <v>1551685834458027</v>
      </c>
      <c r="C1139" t="s">
        <v>40</v>
      </c>
      <c r="D1139">
        <v>5.0601240000000001</v>
      </c>
      <c r="E1139">
        <v>0.57966329999999999</v>
      </c>
      <c r="F1139" t="s">
        <v>43</v>
      </c>
      <c r="G1139">
        <v>-169.2955</v>
      </c>
      <c r="H1139">
        <v>3.9162240000000001</v>
      </c>
      <c r="I1139">
        <v>355.56810000000002</v>
      </c>
      <c r="J1139">
        <v>-268.01170000000002</v>
      </c>
      <c r="K1139">
        <v>1.109939</v>
      </c>
      <c r="L1139">
        <v>367.53809999999999</v>
      </c>
      <c r="M1139">
        <v>0.99991969999999997</v>
      </c>
      <c r="N1139">
        <v>-1.20824E-2</v>
      </c>
      <c r="O1139">
        <v>-3.8307810000000001E-3</v>
      </c>
      <c r="P1139">
        <v>0.97972519999999996</v>
      </c>
      <c r="Q1139">
        <v>0.18052560000000001</v>
      </c>
      <c r="R1139">
        <v>8.6886329999999998E-2</v>
      </c>
      <c r="S1139">
        <v>3.079285</v>
      </c>
      <c r="T1139">
        <v>8.7385889999999994E-2</v>
      </c>
      <c r="U1139">
        <v>-0.37274170000000001</v>
      </c>
      <c r="V1139">
        <v>-9.0632169999999998E-2</v>
      </c>
      <c r="W1139">
        <v>0.19234889999999999</v>
      </c>
      <c r="X1139">
        <v>0.97713240000000001</v>
      </c>
      <c r="Y1139">
        <v>0.1163435</v>
      </c>
      <c r="Z1139">
        <v>7.8459210000000001E-4</v>
      </c>
      <c r="AA1139">
        <v>0.99320870000000006</v>
      </c>
      <c r="AB1139">
        <v>34</v>
      </c>
      <c r="AC1139">
        <v>98.716200000000001</v>
      </c>
      <c r="AD1139">
        <v>2.8062849999999999</v>
      </c>
      <c r="AE1139">
        <v>-11.969999999999899</v>
      </c>
      <c r="AF1139">
        <v>11.582499769501499</v>
      </c>
      <c r="AG1139">
        <v>2.8062849999999999</v>
      </c>
      <c r="AH1139">
        <v>98.682739457261306</v>
      </c>
      <c r="AI1139">
        <v>88.382192759277203</v>
      </c>
      <c r="AJ1139">
        <v>83.305760208400599</v>
      </c>
      <c r="AK1139">
        <v>99.399761585234401</v>
      </c>
      <c r="AL1139">
        <v>78.910104938512106</v>
      </c>
      <c r="AM1139">
        <v>95.299205734812404</v>
      </c>
      <c r="AN1139">
        <v>1.0000000083499301</v>
      </c>
    </row>
    <row r="1140" spans="1:40" x14ac:dyDescent="0.25">
      <c r="A1140" t="str">
        <f>"20190304155034489"</f>
        <v>20190304155034489</v>
      </c>
      <c r="B1140" t="str">
        <f>"1551685834477547"</f>
        <v>1551685834477547</v>
      </c>
      <c r="C1140" t="s">
        <v>40</v>
      </c>
      <c r="D1140">
        <v>7.3423649999999903</v>
      </c>
      <c r="E1140">
        <v>0.58054169999999905</v>
      </c>
      <c r="F1140" t="s">
        <v>43</v>
      </c>
      <c r="G1140">
        <v>-169.2955</v>
      </c>
      <c r="H1140">
        <v>3.7948210000000002</v>
      </c>
      <c r="I1140">
        <v>355.55739999999997</v>
      </c>
      <c r="J1140">
        <v>-267.70139999999998</v>
      </c>
      <c r="K1140">
        <v>1.1099920000000001</v>
      </c>
      <c r="L1140">
        <v>367.5369</v>
      </c>
      <c r="M1140">
        <v>0.99991890000000005</v>
      </c>
      <c r="N1140">
        <v>-1.2144729999999999E-2</v>
      </c>
      <c r="O1140">
        <v>-3.8305629999999999E-3</v>
      </c>
      <c r="P1140">
        <v>0.97982369999999996</v>
      </c>
      <c r="Q1140">
        <v>0.18011469999999999</v>
      </c>
      <c r="R1140">
        <v>8.6626670000000003E-2</v>
      </c>
      <c r="S1140">
        <v>3.0798030000000001</v>
      </c>
      <c r="T1140">
        <v>8.3767060000000004E-2</v>
      </c>
      <c r="U1140">
        <v>-0.37377929999999998</v>
      </c>
      <c r="V1140">
        <v>-9.037241E-2</v>
      </c>
      <c r="W1140">
        <v>0.19200030000000001</v>
      </c>
      <c r="X1140">
        <v>0.97722500000000001</v>
      </c>
      <c r="Y1140">
        <v>0.11665639999999899</v>
      </c>
      <c r="Z1140">
        <v>7.191802E-4</v>
      </c>
      <c r="AA1140">
        <v>0.99317200000000005</v>
      </c>
      <c r="AB1140">
        <v>34</v>
      </c>
      <c r="AC1140">
        <v>98.405899999999903</v>
      </c>
      <c r="AD1140">
        <v>2.6848290000000001</v>
      </c>
      <c r="AE1140">
        <v>-11.9795</v>
      </c>
      <c r="AF1140">
        <v>11.593930103678099</v>
      </c>
      <c r="AG1140">
        <v>2.6848290000000001</v>
      </c>
      <c r="AH1140">
        <v>98.378908271779594</v>
      </c>
      <c r="AI1140">
        <v>88.447484860523502</v>
      </c>
      <c r="AJ1140">
        <v>83.278708450894896</v>
      </c>
      <c r="AK1140">
        <v>99.096100401355002</v>
      </c>
      <c r="AL1140">
        <v>78.930457446537503</v>
      </c>
      <c r="AM1140">
        <v>95.283605950535502</v>
      </c>
      <c r="AN1140">
        <v>0.99999999415714902</v>
      </c>
    </row>
    <row r="1141" spans="1:40" x14ac:dyDescent="0.25">
      <c r="A1141" t="str">
        <f>"20190304155034499"</f>
        <v>20190304155034499</v>
      </c>
      <c r="B1141" t="str">
        <f>"1551685834498043"</f>
        <v>1551685834498043</v>
      </c>
      <c r="C1141" t="s">
        <v>40</v>
      </c>
      <c r="D1141">
        <v>5.163227</v>
      </c>
      <c r="E1141">
        <v>0.58074049999999999</v>
      </c>
      <c r="F1141" t="s">
        <v>43</v>
      </c>
      <c r="G1141">
        <v>-169.2955</v>
      </c>
      <c r="H1141">
        <v>3.669692</v>
      </c>
      <c r="I1141">
        <v>355.3433</v>
      </c>
      <c r="J1141">
        <v>-267.53019999999998</v>
      </c>
      <c r="K1141">
        <v>1.110006</v>
      </c>
      <c r="L1141">
        <v>367.53620000000001</v>
      </c>
      <c r="M1141">
        <v>0.99991870000000005</v>
      </c>
      <c r="N1141">
        <v>-1.217567E-2</v>
      </c>
      <c r="O1141">
        <v>-3.8305129999999998E-3</v>
      </c>
      <c r="P1141">
        <v>0.97984269999999996</v>
      </c>
      <c r="Q1141">
        <v>0.1801401</v>
      </c>
      <c r="R1141">
        <v>8.6362060000000004E-2</v>
      </c>
      <c r="S1141">
        <v>3.0807799999999999</v>
      </c>
      <c r="T1141">
        <v>8.0138799999999996E-2</v>
      </c>
      <c r="U1141">
        <v>-0.38174439999999998</v>
      </c>
      <c r="V1141">
        <v>-9.0108110000000005E-2</v>
      </c>
      <c r="W1141">
        <v>0.19205639999999999</v>
      </c>
      <c r="X1141">
        <v>0.97723839999999995</v>
      </c>
      <c r="Y1141">
        <v>0.1191503</v>
      </c>
      <c r="Z1141">
        <v>6.696235E-4</v>
      </c>
      <c r="AA1141">
        <v>0.99287599999999998</v>
      </c>
      <c r="AB1141">
        <v>34</v>
      </c>
      <c r="AC1141">
        <v>98.234699999999904</v>
      </c>
      <c r="AD1141">
        <v>2.5596860000000001</v>
      </c>
      <c r="AE1141">
        <v>-12.1929</v>
      </c>
      <c r="AF1141">
        <v>11.8085974947432</v>
      </c>
      <c r="AG1141">
        <v>2.5596860000000001</v>
      </c>
      <c r="AH1141">
        <v>98.215015482787294</v>
      </c>
      <c r="AI1141">
        <v>88.517761870893807</v>
      </c>
      <c r="AJ1141">
        <v>83.144117414220403</v>
      </c>
      <c r="AK1141">
        <v>98.955465910153706</v>
      </c>
      <c r="AL1141">
        <v>78.927182391691304</v>
      </c>
      <c r="AM1141">
        <v>95.268168941375194</v>
      </c>
      <c r="AN1141">
        <v>1.0000000113516401</v>
      </c>
    </row>
    <row r="1142" spans="1:40" x14ac:dyDescent="0.25">
      <c r="A1142" t="str">
        <f>"20190304155034512"</f>
        <v>20190304155034512</v>
      </c>
      <c r="B1142" t="str">
        <f>"1551685834507803"</f>
        <v>1551685834507803</v>
      </c>
      <c r="C1142" t="s">
        <v>40</v>
      </c>
      <c r="D1142">
        <v>5.0645610000000003</v>
      </c>
      <c r="E1142">
        <v>0.58065109999999998</v>
      </c>
      <c r="F1142" t="s">
        <v>43</v>
      </c>
      <c r="G1142">
        <v>-169.2955</v>
      </c>
      <c r="H1142">
        <v>3.4375740000000001</v>
      </c>
      <c r="I1142">
        <v>355.30200000000002</v>
      </c>
      <c r="J1142">
        <v>-267.36250000000001</v>
      </c>
      <c r="K1142">
        <v>1.1100300000000001</v>
      </c>
      <c r="L1142">
        <v>367.53559999999999</v>
      </c>
      <c r="M1142">
        <v>0.99991819999999998</v>
      </c>
      <c r="N1142">
        <v>-1.22056E-2</v>
      </c>
      <c r="O1142">
        <v>-3.8304569999999998E-3</v>
      </c>
      <c r="P1142">
        <v>0.97989400000000004</v>
      </c>
      <c r="Q1142">
        <v>0.17987330000000001</v>
      </c>
      <c r="R1142">
        <v>8.6332220000000001E-2</v>
      </c>
      <c r="S1142">
        <v>3.0821230000000002</v>
      </c>
      <c r="T1142">
        <v>7.3030349999999994E-2</v>
      </c>
      <c r="U1142">
        <v>-0.38385010000000003</v>
      </c>
      <c r="V1142">
        <v>-9.0077900000000002E-2</v>
      </c>
      <c r="W1142">
        <v>0.19181970000000001</v>
      </c>
      <c r="X1142">
        <v>0.97728769999999998</v>
      </c>
      <c r="Y1142">
        <v>0.1197703</v>
      </c>
      <c r="Z1142">
        <v>5.425273E-4</v>
      </c>
      <c r="AA1142">
        <v>0.9928015</v>
      </c>
      <c r="AB1142">
        <v>34</v>
      </c>
      <c r="AC1142">
        <v>98.066999999999993</v>
      </c>
      <c r="AD1142">
        <v>2.3275440000000001</v>
      </c>
      <c r="AE1142">
        <v>-12.233599999999999</v>
      </c>
      <c r="AF1142">
        <v>11.8512671603033</v>
      </c>
      <c r="AG1142">
        <v>2.3275440000000001</v>
      </c>
      <c r="AH1142">
        <v>98.058752851255704</v>
      </c>
      <c r="AI1142">
        <v>88.650089729832303</v>
      </c>
      <c r="AJ1142">
        <v>83.108722132209493</v>
      </c>
      <c r="AK1142">
        <v>98.799741928410199</v>
      </c>
      <c r="AL1142">
        <v>78.941001522674199</v>
      </c>
      <c r="AM1142">
        <v>95.266148472877404</v>
      </c>
      <c r="AN1142">
        <v>1.0000000369738899</v>
      </c>
    </row>
    <row r="1143" spans="1:40" x14ac:dyDescent="0.25">
      <c r="A1143" t="str">
        <f>"20190304155034523"</f>
        <v>20190304155034523</v>
      </c>
      <c r="B1143" t="str">
        <f>"1551685834517563"</f>
        <v>1551685834517563</v>
      </c>
      <c r="C1143" t="s">
        <v>40</v>
      </c>
      <c r="D1143">
        <v>5.1272849999999996</v>
      </c>
      <c r="E1143">
        <v>0.58068249999999999</v>
      </c>
      <c r="F1143" t="s">
        <v>43</v>
      </c>
      <c r="G1143">
        <v>-169.2955</v>
      </c>
      <c r="H1143">
        <v>3.3284060000000002</v>
      </c>
      <c r="I1143">
        <v>355.33069999999998</v>
      </c>
      <c r="J1143">
        <v>-267.18920000000003</v>
      </c>
      <c r="K1143">
        <v>1.110053</v>
      </c>
      <c r="L1143">
        <v>367.53489999999999</v>
      </c>
      <c r="M1143">
        <v>0.99991779999999997</v>
      </c>
      <c r="N1143">
        <v>-1.2235950000000001E-2</v>
      </c>
      <c r="O1143">
        <v>-3.8304039999999999E-3</v>
      </c>
      <c r="P1143">
        <v>0.97991899999999998</v>
      </c>
      <c r="Q1143">
        <v>0.17989729999999901</v>
      </c>
      <c r="R1143">
        <v>8.6000060000000003E-2</v>
      </c>
      <c r="S1143">
        <v>3.0825499999999999</v>
      </c>
      <c r="T1143">
        <v>6.9733139999999999E-2</v>
      </c>
      <c r="U1143">
        <v>-0.38363649999999999</v>
      </c>
      <c r="V1143">
        <v>-8.9746510000000002E-2</v>
      </c>
      <c r="W1143">
        <v>0.1918734</v>
      </c>
      <c r="X1143">
        <v>0.97730760000000005</v>
      </c>
      <c r="Y1143">
        <v>0.1196878</v>
      </c>
      <c r="Z1143">
        <v>4.802947E-4</v>
      </c>
      <c r="AA1143">
        <v>0.99281140000000001</v>
      </c>
      <c r="AB1143">
        <v>34</v>
      </c>
      <c r="AC1143">
        <v>97.893699999999995</v>
      </c>
      <c r="AD1143">
        <v>2.218353</v>
      </c>
      <c r="AE1143">
        <v>-12.2042</v>
      </c>
      <c r="AF1143">
        <v>11.823131542415799</v>
      </c>
      <c r="AG1143">
        <v>2.218353</v>
      </c>
      <c r="AH1143">
        <v>97.890233618477197</v>
      </c>
      <c r="AI1143">
        <v>88.711169304414696</v>
      </c>
      <c r="AJ1143">
        <v>83.113203712226493</v>
      </c>
      <c r="AK1143">
        <v>98.626595639218493</v>
      </c>
      <c r="AL1143">
        <v>78.937865995246497</v>
      </c>
      <c r="AM1143">
        <v>95.246776786367505</v>
      </c>
      <c r="AN1143">
        <v>0.99999999135124995</v>
      </c>
    </row>
    <row r="1144" spans="1:40" x14ac:dyDescent="0.25">
      <c r="A1144" t="str">
        <f>"20190304155034536"</f>
        <v>20190304155034536</v>
      </c>
      <c r="B1144" t="str">
        <f>"1551685834527323"</f>
        <v>1551685834527323</v>
      </c>
      <c r="C1144" t="s">
        <v>40</v>
      </c>
      <c r="D1144">
        <v>5.1037480000000004</v>
      </c>
      <c r="E1144">
        <v>0.58052890000000001</v>
      </c>
      <c r="F1144" t="s">
        <v>43</v>
      </c>
      <c r="G1144">
        <v>-169.2955</v>
      </c>
      <c r="H1144">
        <v>3.2219500000000001</v>
      </c>
      <c r="I1144">
        <v>355.32139999999998</v>
      </c>
      <c r="J1144">
        <v>-266.99759999999998</v>
      </c>
      <c r="K1144">
        <v>1.1100760000000001</v>
      </c>
      <c r="L1144">
        <v>367.53410000000002</v>
      </c>
      <c r="M1144">
        <v>0.99991739999999996</v>
      </c>
      <c r="N1144">
        <v>-1.227053E-2</v>
      </c>
      <c r="O1144">
        <v>-3.830258E-3</v>
      </c>
      <c r="P1144">
        <v>0.97991779999999995</v>
      </c>
      <c r="Q1144">
        <v>0.17995839999999999</v>
      </c>
      <c r="R1144">
        <v>8.5885879999999998E-2</v>
      </c>
      <c r="S1144">
        <v>3.083008</v>
      </c>
      <c r="T1144">
        <v>6.6513539999999996E-2</v>
      </c>
      <c r="U1144">
        <v>-0.38464359999999997</v>
      </c>
      <c r="V1144">
        <v>-8.9631600000000006E-2</v>
      </c>
      <c r="W1144">
        <v>0.191968</v>
      </c>
      <c r="X1144">
        <v>0.97729960000000005</v>
      </c>
      <c r="Y1144">
        <v>0.1199911</v>
      </c>
      <c r="Z1144">
        <v>4.2101299999999998E-4</v>
      </c>
      <c r="AA1144">
        <v>0.99277490000000002</v>
      </c>
      <c r="AB1144">
        <v>34</v>
      </c>
      <c r="AC1144">
        <v>97.702099999999902</v>
      </c>
      <c r="AD1144">
        <v>2.1118739999999998</v>
      </c>
      <c r="AE1144">
        <v>-12.2127</v>
      </c>
      <c r="AF1144">
        <v>11.832914377642201</v>
      </c>
      <c r="AG1144">
        <v>2.1118739999999998</v>
      </c>
      <c r="AH1144">
        <v>97.703217198901697</v>
      </c>
      <c r="AI1144">
        <v>88.770713304461097</v>
      </c>
      <c r="AJ1144">
        <v>83.094494412387704</v>
      </c>
      <c r="AK1144">
        <v>98.439811689561097</v>
      </c>
      <c r="AL1144">
        <v>78.932343495669102</v>
      </c>
      <c r="AM1144">
        <v>95.240138974505896</v>
      </c>
      <c r="AN1144">
        <v>1.0000000224513499</v>
      </c>
    </row>
    <row r="1145" spans="1:40" x14ac:dyDescent="0.25">
      <c r="A1145" t="str">
        <f>"20190304155034548"</f>
        <v>20190304155034548</v>
      </c>
      <c r="B1145" t="str">
        <f>"1551685834538059"</f>
        <v>1551685834538059</v>
      </c>
      <c r="C1145" t="s">
        <v>40</v>
      </c>
      <c r="D1145">
        <v>5.1118670000000002</v>
      </c>
      <c r="E1145">
        <v>0.58056109999999905</v>
      </c>
      <c r="F1145" t="s">
        <v>43</v>
      </c>
      <c r="G1145">
        <v>-169.2955</v>
      </c>
      <c r="H1145">
        <v>3.1403120000000002</v>
      </c>
      <c r="I1145">
        <v>355.3759</v>
      </c>
      <c r="J1145">
        <v>-266.81380000000001</v>
      </c>
      <c r="K1145">
        <v>1.110098</v>
      </c>
      <c r="L1145">
        <v>367.5335</v>
      </c>
      <c r="M1145">
        <v>0.99991699999999994</v>
      </c>
      <c r="N1145">
        <v>-1.230435E-2</v>
      </c>
      <c r="O1145">
        <v>-3.8303460000000001E-3</v>
      </c>
      <c r="P1145">
        <v>0.97991839999999997</v>
      </c>
      <c r="Q1145">
        <v>0.1801384</v>
      </c>
      <c r="R1145">
        <v>8.5499539999999999E-2</v>
      </c>
      <c r="S1145">
        <v>3.0833439999999999</v>
      </c>
      <c r="T1145">
        <v>6.4074160000000005E-2</v>
      </c>
      <c r="U1145">
        <v>-0.38369750000000002</v>
      </c>
      <c r="V1145">
        <v>-8.9245190000000002E-2</v>
      </c>
      <c r="W1145">
        <v>0.1921814</v>
      </c>
      <c r="X1145">
        <v>0.97729299999999997</v>
      </c>
      <c r="Y1145">
        <v>0.1196791</v>
      </c>
      <c r="Z1145">
        <v>3.7320179999999998E-4</v>
      </c>
      <c r="AA1145">
        <v>0.99281260000000005</v>
      </c>
      <c r="AB1145">
        <v>34</v>
      </c>
      <c r="AC1145">
        <v>97.518299999999996</v>
      </c>
      <c r="AD1145">
        <v>2.030214</v>
      </c>
      <c r="AE1145">
        <v>-12.1576</v>
      </c>
      <c r="AF1145">
        <v>11.778926589051199</v>
      </c>
      <c r="AG1145">
        <v>2.030214</v>
      </c>
      <c r="AH1145">
        <v>97.522534307020095</v>
      </c>
      <c r="AI1145">
        <v>88.815997158109596</v>
      </c>
      <c r="AJ1145">
        <v>83.113084668806707</v>
      </c>
      <c r="AK1145">
        <v>98.252275180475905</v>
      </c>
      <c r="AL1145">
        <v>78.919884356656397</v>
      </c>
      <c r="AM1145">
        <v>95.217708256065094</v>
      </c>
      <c r="AN1145">
        <v>1.00000000114654</v>
      </c>
    </row>
    <row r="1146" spans="1:40" x14ac:dyDescent="0.25">
      <c r="A1146" t="str">
        <f>"20190304155034560"</f>
        <v>20190304155034560</v>
      </c>
      <c r="B1146" t="str">
        <f>"1551685834557580"</f>
        <v>1551685834557580</v>
      </c>
      <c r="C1146" t="s">
        <v>40</v>
      </c>
      <c r="D1146">
        <v>5.1591690000000003</v>
      </c>
      <c r="E1146">
        <v>0.58086719999999903</v>
      </c>
      <c r="F1146" t="s">
        <v>43</v>
      </c>
      <c r="G1146">
        <v>-169.2955</v>
      </c>
      <c r="H1146">
        <v>3.0822059999999998</v>
      </c>
      <c r="I1146">
        <v>355.34989999999999</v>
      </c>
      <c r="J1146">
        <v>-266.63580000000002</v>
      </c>
      <c r="K1146">
        <v>1.110117</v>
      </c>
      <c r="L1146">
        <v>367.53269999999998</v>
      </c>
      <c r="M1146">
        <v>0.99991660000000004</v>
      </c>
      <c r="N1146">
        <v>-1.233921E-2</v>
      </c>
      <c r="O1146">
        <v>-3.8303220000000002E-3</v>
      </c>
      <c r="P1146">
        <v>0.97993859999999999</v>
      </c>
      <c r="Q1146">
        <v>0.17996110000000001</v>
      </c>
      <c r="R1146">
        <v>8.5642190000000007E-2</v>
      </c>
      <c r="S1146">
        <v>3.083618</v>
      </c>
      <c r="T1146">
        <v>6.2362550000000003E-2</v>
      </c>
      <c r="U1146">
        <v>-0.38525389999999998</v>
      </c>
      <c r="V1146">
        <v>-8.9388490000000001E-2</v>
      </c>
      <c r="W1146">
        <v>0.19203819999999999</v>
      </c>
      <c r="X1146">
        <v>0.97730799999999995</v>
      </c>
      <c r="Y1146">
        <v>0.12016259999999999</v>
      </c>
      <c r="Z1146">
        <v>3.4173480000000001E-4</v>
      </c>
      <c r="AA1146">
        <v>0.99275420000000003</v>
      </c>
      <c r="AB1146">
        <v>33</v>
      </c>
      <c r="AC1146">
        <v>97.340299999999999</v>
      </c>
      <c r="AD1146">
        <v>1.972089</v>
      </c>
      <c r="AE1146">
        <v>-12.182799999999901</v>
      </c>
      <c r="AF1146">
        <v>11.805066819947999</v>
      </c>
      <c r="AG1146">
        <v>1.972089</v>
      </c>
      <c r="AH1146">
        <v>97.346912944524405</v>
      </c>
      <c r="AI1146">
        <v>88.847878398398706</v>
      </c>
      <c r="AJ1146">
        <v>83.085616840575696</v>
      </c>
      <c r="AK1146">
        <v>98.079917401454694</v>
      </c>
      <c r="AL1146">
        <v>78.928244261787597</v>
      </c>
      <c r="AM1146">
        <v>95.225960151571797</v>
      </c>
      <c r="AN1146">
        <v>0.99999994963385797</v>
      </c>
    </row>
    <row r="1147" spans="1:40" x14ac:dyDescent="0.25">
      <c r="A1147" t="str">
        <f>"20190304155034572"</f>
        <v>20190304155034572</v>
      </c>
      <c r="B1147" t="str">
        <f>"1551685834567338"</f>
        <v>1551685834567338</v>
      </c>
      <c r="C1147" t="s">
        <v>40</v>
      </c>
      <c r="D1147">
        <v>5.100606</v>
      </c>
      <c r="E1147">
        <v>0.58073219999999903</v>
      </c>
      <c r="F1147" t="s">
        <v>43</v>
      </c>
      <c r="G1147">
        <v>-169.2955</v>
      </c>
      <c r="H1147">
        <v>3.0048849999999998</v>
      </c>
      <c r="I1147">
        <v>355.30759999999998</v>
      </c>
      <c r="J1147">
        <v>-266.45920000000001</v>
      </c>
      <c r="K1147">
        <v>1.110136</v>
      </c>
      <c r="L1147">
        <v>367.53210000000001</v>
      </c>
      <c r="M1147">
        <v>0.99991620000000003</v>
      </c>
      <c r="N1147">
        <v>-1.2374710000000001E-2</v>
      </c>
      <c r="O1147">
        <v>-3.830422E-3</v>
      </c>
      <c r="P1147">
        <v>0.97994099999999995</v>
      </c>
      <c r="Q1147">
        <v>0.17989759999999999</v>
      </c>
      <c r="R1147">
        <v>8.5748710000000006E-2</v>
      </c>
      <c r="S1147">
        <v>3.0842589999999999</v>
      </c>
      <c r="T1147">
        <v>6.0039040000000002E-2</v>
      </c>
      <c r="U1147">
        <v>-0.38735960000000003</v>
      </c>
      <c r="V1147">
        <v>-8.9494790000000005E-2</v>
      </c>
      <c r="W1147">
        <v>0.19200919999999999</v>
      </c>
      <c r="X1147">
        <v>0.97730399999999995</v>
      </c>
      <c r="Y1147">
        <v>0.1208056</v>
      </c>
      <c r="Z1147">
        <v>2.9918940000000003E-4</v>
      </c>
      <c r="AA1147">
        <v>0.99267609999999995</v>
      </c>
      <c r="AB1147">
        <v>33</v>
      </c>
      <c r="AC1147">
        <v>97.163700000000006</v>
      </c>
      <c r="AD1147">
        <v>1.894749</v>
      </c>
      <c r="AE1147">
        <v>-12.224500000000001</v>
      </c>
      <c r="AF1147">
        <v>11.8477686921465</v>
      </c>
      <c r="AG1147">
        <v>1.894749</v>
      </c>
      <c r="AH1147">
        <v>97.173439052052004</v>
      </c>
      <c r="AI1147">
        <v>88.891161520919795</v>
      </c>
      <c r="AJ1147">
        <v>83.0485825522331</v>
      </c>
      <c r="AK1147">
        <v>97.911372955129494</v>
      </c>
      <c r="AL1147">
        <v>78.929937680640094</v>
      </c>
      <c r="AM1147">
        <v>95.2321616413155</v>
      </c>
      <c r="AN1147">
        <v>0.99999997936889096</v>
      </c>
    </row>
    <row r="1148" spans="1:40" x14ac:dyDescent="0.25">
      <c r="A1148" t="str">
        <f>"20190304155034583"</f>
        <v>20190304155034583</v>
      </c>
      <c r="B1148" t="str">
        <f>"1551685834577099"</f>
        <v>1551685834577099</v>
      </c>
      <c r="C1148" t="s">
        <v>40</v>
      </c>
      <c r="D1148">
        <v>5.1506460000000001</v>
      </c>
      <c r="E1148">
        <v>0.58079930000000002</v>
      </c>
      <c r="F1148" t="s">
        <v>43</v>
      </c>
      <c r="G1148">
        <v>-169.2955</v>
      </c>
      <c r="H1148">
        <v>2.936131</v>
      </c>
      <c r="I1148">
        <v>355.37729999999999</v>
      </c>
      <c r="J1148">
        <v>-266.2783</v>
      </c>
      <c r="K1148">
        <v>1.110152</v>
      </c>
      <c r="L1148">
        <v>367.53140000000002</v>
      </c>
      <c r="M1148">
        <v>0.99991569999999996</v>
      </c>
      <c r="N1148">
        <v>-1.241251E-2</v>
      </c>
      <c r="O1148">
        <v>-3.8302990000000001E-3</v>
      </c>
      <c r="P1148">
        <v>0.97996099999999997</v>
      </c>
      <c r="Q1148">
        <v>0.17976439999999999</v>
      </c>
      <c r="R1148">
        <v>8.5797869999999998E-2</v>
      </c>
      <c r="S1148">
        <v>3.0845639999999999</v>
      </c>
      <c r="T1148">
        <v>5.7970880000000002E-2</v>
      </c>
      <c r="U1148">
        <v>-0.38586429999999999</v>
      </c>
      <c r="V1148">
        <v>-8.9543570000000003E-2</v>
      </c>
      <c r="W1148">
        <v>0.19191369999999999</v>
      </c>
      <c r="X1148">
        <v>0.97731829999999997</v>
      </c>
      <c r="Y1148">
        <v>0.12032080000000001</v>
      </c>
      <c r="Z1148">
        <v>2.5741590000000002E-4</v>
      </c>
      <c r="AA1148">
        <v>0.99273500000000003</v>
      </c>
      <c r="AB1148">
        <v>33</v>
      </c>
      <c r="AC1148">
        <v>96.982799999999997</v>
      </c>
      <c r="AD1148">
        <v>1.825979</v>
      </c>
      <c r="AE1148">
        <v>-12.1541</v>
      </c>
      <c r="AF1148">
        <v>11.7783983698217</v>
      </c>
      <c r="AG1148">
        <v>1.825979</v>
      </c>
      <c r="AH1148">
        <v>96.994794010960604</v>
      </c>
      <c r="AI1148">
        <v>88.929366692664701</v>
      </c>
      <c r="AJ1148">
        <v>83.076283832798794</v>
      </c>
      <c r="AK1148">
        <v>97.724382488176104</v>
      </c>
      <c r="AL1148">
        <v>78.935513228846204</v>
      </c>
      <c r="AM1148">
        <v>95.234921468435601</v>
      </c>
      <c r="AN1148">
        <v>0.99999998934546197</v>
      </c>
    </row>
    <row r="1149" spans="1:40" x14ac:dyDescent="0.25">
      <c r="A1149" t="str">
        <f>"20190304155034597"</f>
        <v>20190304155034597</v>
      </c>
      <c r="B1149" t="str">
        <f>"1551685834587835"</f>
        <v>1551685834587835</v>
      </c>
      <c r="C1149" t="s">
        <v>40</v>
      </c>
      <c r="D1149">
        <v>5.0566870000000002</v>
      </c>
      <c r="E1149">
        <v>0.58061549999999995</v>
      </c>
      <c r="F1149" t="s">
        <v>43</v>
      </c>
      <c r="G1149">
        <v>-169.2955</v>
      </c>
      <c r="H1149">
        <v>2.8395800000000002</v>
      </c>
      <c r="I1149">
        <v>355.38130000000001</v>
      </c>
      <c r="J1149">
        <v>-266.08260000000001</v>
      </c>
      <c r="K1149">
        <v>1.110169</v>
      </c>
      <c r="L1149">
        <v>367.53059999999999</v>
      </c>
      <c r="M1149">
        <v>0.9999152</v>
      </c>
      <c r="N1149">
        <v>-1.2455290000000001E-2</v>
      </c>
      <c r="O1149">
        <v>-3.8304459999999999E-3</v>
      </c>
      <c r="P1149">
        <v>0.97989280000000001</v>
      </c>
      <c r="Q1149">
        <v>0.18005280000000001</v>
      </c>
      <c r="R1149">
        <v>8.5972590000000002E-2</v>
      </c>
      <c r="S1149">
        <v>3.0851139999999999</v>
      </c>
      <c r="T1149">
        <v>5.5017469999999999E-2</v>
      </c>
      <c r="U1149">
        <v>-0.38650509999999999</v>
      </c>
      <c r="V1149">
        <v>-8.9718480000000003E-2</v>
      </c>
      <c r="W1149">
        <v>0.1922432</v>
      </c>
      <c r="X1149">
        <v>0.97723749999999998</v>
      </c>
      <c r="Y1149">
        <v>0.1205032</v>
      </c>
      <c r="Z1149">
        <v>2.0123689999999999E-4</v>
      </c>
      <c r="AA1149">
        <v>0.99271290000000001</v>
      </c>
      <c r="AB1149">
        <v>33</v>
      </c>
      <c r="AC1149">
        <v>96.787099999999995</v>
      </c>
      <c r="AD1149">
        <v>1.72941099999999</v>
      </c>
      <c r="AE1149">
        <v>-12.149299999999901</v>
      </c>
      <c r="AF1149">
        <v>11.7747433408089</v>
      </c>
      <c r="AG1149">
        <v>1.72941099999999</v>
      </c>
      <c r="AH1149">
        <v>96.802503740474606</v>
      </c>
      <c r="AI1149">
        <v>88.983986526010497</v>
      </c>
      <c r="AJ1149">
        <v>83.064796129563703</v>
      </c>
      <c r="AK1149">
        <v>97.531329190027193</v>
      </c>
      <c r="AL1149">
        <v>78.916276100451398</v>
      </c>
      <c r="AM1149">
        <v>95.245521383269505</v>
      </c>
      <c r="AN1149">
        <v>0.99999999250299998</v>
      </c>
    </row>
    <row r="1150" spans="1:40" x14ac:dyDescent="0.25">
      <c r="A1150" t="str">
        <f>"20190304155034613"</f>
        <v>20190304155034613</v>
      </c>
      <c r="B1150" t="str">
        <f>"1551685834607355"</f>
        <v>1551685834607355</v>
      </c>
      <c r="C1150" t="s">
        <v>40</v>
      </c>
      <c r="D1150">
        <v>5.1208650000000002</v>
      </c>
      <c r="E1150">
        <v>0.58064759999999904</v>
      </c>
      <c r="F1150" t="s">
        <v>43</v>
      </c>
      <c r="G1150">
        <v>-169.2955</v>
      </c>
      <c r="H1150">
        <v>2.8239869999999998</v>
      </c>
      <c r="I1150">
        <v>355.46019999999999</v>
      </c>
      <c r="J1150">
        <v>-265.84769999999997</v>
      </c>
      <c r="K1150">
        <v>1.1101970000000001</v>
      </c>
      <c r="L1150">
        <v>367.52969999999999</v>
      </c>
      <c r="M1150">
        <v>0.99991450000000004</v>
      </c>
      <c r="N1150">
        <v>-1.250854E-2</v>
      </c>
      <c r="O1150">
        <v>-3.8303019999999998E-3</v>
      </c>
      <c r="P1150">
        <v>0.97995699999999997</v>
      </c>
      <c r="Q1150">
        <v>0.1797108</v>
      </c>
      <c r="R1150">
        <v>8.5956309999999994E-2</v>
      </c>
      <c r="S1150">
        <v>3.0852659999999998</v>
      </c>
      <c r="T1150">
        <v>5.4633859999999999E-2</v>
      </c>
      <c r="U1150">
        <v>-0.38476559999999999</v>
      </c>
      <c r="V1150">
        <v>-8.9702210000000004E-2</v>
      </c>
      <c r="W1150">
        <v>0.19195390000000001</v>
      </c>
      <c r="X1150">
        <v>0.9772959</v>
      </c>
      <c r="Y1150">
        <v>0.11994639999999999</v>
      </c>
      <c r="Z1150">
        <v>1.8942690000000001E-4</v>
      </c>
      <c r="AA1150">
        <v>0.99278029999999995</v>
      </c>
      <c r="AB1150">
        <v>33</v>
      </c>
      <c r="AC1150">
        <v>96.5521999999999</v>
      </c>
      <c r="AD1150">
        <v>1.7137899999999999</v>
      </c>
      <c r="AE1150">
        <v>-12.0695</v>
      </c>
      <c r="AF1150">
        <v>11.6959302506474</v>
      </c>
      <c r="AG1150">
        <v>1.7137899999999999</v>
      </c>
      <c r="AH1150">
        <v>96.567768694022107</v>
      </c>
      <c r="AI1150">
        <v>88.990652106181699</v>
      </c>
      <c r="AJ1150">
        <v>83.094183945188703</v>
      </c>
      <c r="AK1150">
        <v>97.288569786662293</v>
      </c>
      <c r="AL1150">
        <v>78.933166772991996</v>
      </c>
      <c r="AM1150">
        <v>95.244263787966403</v>
      </c>
      <c r="AN1150">
        <v>1.00000003118045</v>
      </c>
    </row>
    <row r="1151" spans="1:40" x14ac:dyDescent="0.25">
      <c r="A1151" t="str">
        <f>"20190304155034626"</f>
        <v>20190304155034626</v>
      </c>
      <c r="B1151" t="str">
        <f>"1551685834617115"</f>
        <v>1551685834617115</v>
      </c>
      <c r="C1151" t="s">
        <v>40</v>
      </c>
      <c r="D1151">
        <v>5.0145569999999999</v>
      </c>
      <c r="E1151">
        <v>0.58061580000000002</v>
      </c>
      <c r="F1151" t="s">
        <v>43</v>
      </c>
      <c r="G1151">
        <v>-169.2955</v>
      </c>
      <c r="H1151">
        <v>2.664021</v>
      </c>
      <c r="I1151">
        <v>355.50279999999998</v>
      </c>
      <c r="J1151">
        <v>-265.64449999999999</v>
      </c>
      <c r="K1151">
        <v>1.1102129999999999</v>
      </c>
      <c r="L1151">
        <v>367.52890000000002</v>
      </c>
      <c r="M1151">
        <v>0.99991390000000002</v>
      </c>
      <c r="N1151">
        <v>-1.255647E-2</v>
      </c>
      <c r="O1151">
        <v>-3.8300069999999999E-3</v>
      </c>
      <c r="P1151">
        <v>0.98001570000000005</v>
      </c>
      <c r="Q1151">
        <v>0.179479</v>
      </c>
      <c r="R1151">
        <v>8.577137E-2</v>
      </c>
      <c r="S1151">
        <v>3.0859679999999998</v>
      </c>
      <c r="T1151">
        <v>4.9665569999999999E-2</v>
      </c>
      <c r="U1151">
        <v>-0.3843994</v>
      </c>
      <c r="V1151">
        <v>-8.9517239999999998E-2</v>
      </c>
      <c r="W1151">
        <v>0.19176960000000001</v>
      </c>
      <c r="X1151">
        <v>0.97734900000000002</v>
      </c>
      <c r="Y1151">
        <v>0.1198048</v>
      </c>
      <c r="Z1151" s="1">
        <v>9.5898399999999996E-5</v>
      </c>
      <c r="AA1151">
        <v>0.99279740000000005</v>
      </c>
      <c r="AB1151">
        <v>33</v>
      </c>
      <c r="AC1151">
        <v>96.349000000000004</v>
      </c>
      <c r="AD1151">
        <v>1.5538080000000001</v>
      </c>
      <c r="AE1151">
        <v>-12.0261</v>
      </c>
      <c r="AF1151">
        <v>11.653980943509</v>
      </c>
      <c r="AG1151">
        <v>1.5538080000000001</v>
      </c>
      <c r="AH1151">
        <v>96.369677938476599</v>
      </c>
      <c r="AI1151">
        <v>89.082956549080293</v>
      </c>
      <c r="AJ1151">
        <v>83.104706184919195</v>
      </c>
      <c r="AK1151">
        <v>97.084213016835207</v>
      </c>
      <c r="AL1151">
        <v>78.9439258340647</v>
      </c>
      <c r="AM1151">
        <v>95.233227229240796</v>
      </c>
      <c r="AN1151">
        <v>0.99999999177118803</v>
      </c>
    </row>
    <row r="1152" spans="1:40" x14ac:dyDescent="0.25">
      <c r="A1152" t="str">
        <f>"20190304155034639"</f>
        <v>20190304155034639</v>
      </c>
      <c r="B1152" t="str">
        <f>"1551685834627853"</f>
        <v>1551685834627853</v>
      </c>
      <c r="C1152" t="s">
        <v>40</v>
      </c>
      <c r="D1152">
        <v>5.1988539999999999</v>
      </c>
      <c r="E1152">
        <v>0.58092029999999995</v>
      </c>
      <c r="F1152" t="s">
        <v>43</v>
      </c>
      <c r="G1152">
        <v>-169.2955</v>
      </c>
      <c r="H1152">
        <v>2.605518</v>
      </c>
      <c r="I1152">
        <v>355.51350000000002</v>
      </c>
      <c r="J1152">
        <v>-265.45960000000002</v>
      </c>
      <c r="K1152">
        <v>1.1102299999999901</v>
      </c>
      <c r="L1152">
        <v>367.52820000000003</v>
      </c>
      <c r="M1152">
        <v>0.99991350000000001</v>
      </c>
      <c r="N1152">
        <v>-1.259995E-2</v>
      </c>
      <c r="O1152">
        <v>-3.8301609999999999E-3</v>
      </c>
      <c r="P1152">
        <v>0.98008729999999999</v>
      </c>
      <c r="Q1152">
        <v>0.17904310000000001</v>
      </c>
      <c r="R1152">
        <v>8.5864159999999995E-2</v>
      </c>
      <c r="S1152">
        <v>3.08609</v>
      </c>
      <c r="T1152">
        <v>4.7897929999999998E-2</v>
      </c>
      <c r="U1152">
        <v>-0.38485720000000001</v>
      </c>
      <c r="V1152">
        <v>-8.961044E-2</v>
      </c>
      <c r="W1152">
        <v>0.1913774</v>
      </c>
      <c r="X1152">
        <v>0.97741730000000004</v>
      </c>
      <c r="Y1152">
        <v>0.1199455</v>
      </c>
      <c r="Z1152" s="1">
        <v>6.1275549999999996E-5</v>
      </c>
      <c r="AA1152">
        <v>0.99278049999999995</v>
      </c>
      <c r="AB1152">
        <v>33</v>
      </c>
      <c r="AC1152">
        <v>96.164100000000005</v>
      </c>
      <c r="AD1152">
        <v>1.495288</v>
      </c>
      <c r="AE1152">
        <v>-12.014699999999999</v>
      </c>
      <c r="AF1152">
        <v>11.6434867963942</v>
      </c>
      <c r="AG1152">
        <v>1.495288</v>
      </c>
      <c r="AH1152">
        <v>96.1865176834728</v>
      </c>
      <c r="AI1152">
        <v>89.115821501142307</v>
      </c>
      <c r="AJ1152">
        <v>83.097863528629603</v>
      </c>
      <c r="AK1152">
        <v>96.900221130056096</v>
      </c>
      <c r="AL1152">
        <v>78.966820939680801</v>
      </c>
      <c r="AM1152">
        <v>95.238281423790099</v>
      </c>
      <c r="AN1152">
        <v>0.99999995926352103</v>
      </c>
    </row>
    <row r="1153" spans="1:40" x14ac:dyDescent="0.25">
      <c r="A1153" t="str">
        <f>"20190304155034651"</f>
        <v>20190304155034651</v>
      </c>
      <c r="B1153" t="str">
        <f>"1551685834647372"</f>
        <v>1551685834647372</v>
      </c>
      <c r="C1153" t="s">
        <v>40</v>
      </c>
      <c r="D1153">
        <v>5.1194499999999996</v>
      </c>
      <c r="E1153">
        <v>0.58121959999999995</v>
      </c>
      <c r="F1153" t="s">
        <v>43</v>
      </c>
      <c r="G1153">
        <v>-169.2955</v>
      </c>
      <c r="H1153">
        <v>2.5476649999999998</v>
      </c>
      <c r="I1153">
        <v>355.45940000000002</v>
      </c>
      <c r="J1153">
        <v>-265.27719999999999</v>
      </c>
      <c r="K1153">
        <v>1.110241</v>
      </c>
      <c r="L1153">
        <v>367.52749999999997</v>
      </c>
      <c r="M1153">
        <v>0.99991269999999999</v>
      </c>
      <c r="N1153">
        <v>-1.2643669999999999E-2</v>
      </c>
      <c r="O1153">
        <v>-3.8299599999999999E-3</v>
      </c>
      <c r="P1153">
        <v>0.98009999999999997</v>
      </c>
      <c r="Q1153">
        <v>0.1789975</v>
      </c>
      <c r="R1153">
        <v>8.5813429999999996E-2</v>
      </c>
      <c r="S1153">
        <v>3.0864560000000001</v>
      </c>
      <c r="T1153">
        <v>4.6138289999999998E-2</v>
      </c>
      <c r="U1153">
        <v>-0.38735960000000003</v>
      </c>
      <c r="V1153">
        <v>-8.9559680000000003E-2</v>
      </c>
      <c r="W1153">
        <v>0.19137460000000001</v>
      </c>
      <c r="X1153">
        <v>0.97742249999999997</v>
      </c>
      <c r="Y1153">
        <v>0.12072430000000001</v>
      </c>
      <c r="Z1153" s="1">
        <v>2.7280999999999999E-5</v>
      </c>
      <c r="AA1153">
        <v>0.99268610000000002</v>
      </c>
      <c r="AB1153">
        <v>33</v>
      </c>
      <c r="AC1153">
        <v>95.981700000000004</v>
      </c>
      <c r="AD1153">
        <v>1.437424</v>
      </c>
      <c r="AE1153">
        <v>-12.0680999999999</v>
      </c>
      <c r="AF1153">
        <v>11.6977932400277</v>
      </c>
      <c r="AG1153">
        <v>1.437424</v>
      </c>
      <c r="AH1153">
        <v>96.006022719851998</v>
      </c>
      <c r="AI1153">
        <v>89.1485150246329</v>
      </c>
      <c r="AJ1153">
        <v>83.053074989508005</v>
      </c>
      <c r="AK1153">
        <v>96.726733393240195</v>
      </c>
      <c r="AL1153">
        <v>78.966984382155005</v>
      </c>
      <c r="AM1153">
        <v>95.235302984791801</v>
      </c>
      <c r="AN1153">
        <v>0.999999958656555</v>
      </c>
    </row>
    <row r="1154" spans="1:40" x14ac:dyDescent="0.25">
      <c r="A1154" t="str">
        <f>"20190304155034662"</f>
        <v>20190304155034662</v>
      </c>
      <c r="B1154" t="str">
        <f>"1551685834657131"</f>
        <v>1551685834657131</v>
      </c>
      <c r="C1154" t="s">
        <v>40</v>
      </c>
      <c r="D1154">
        <v>4.9811259999999997</v>
      </c>
      <c r="E1154">
        <v>0.58128159999999995</v>
      </c>
      <c r="F1154" t="s">
        <v>43</v>
      </c>
      <c r="G1154">
        <v>-169.2955</v>
      </c>
      <c r="H1154">
        <v>2.4889869999999998</v>
      </c>
      <c r="I1154">
        <v>355.40370000000001</v>
      </c>
      <c r="J1154">
        <v>-265.09559999999999</v>
      </c>
      <c r="K1154">
        <v>1.1102529999999999</v>
      </c>
      <c r="L1154">
        <v>367.52679999999998</v>
      </c>
      <c r="M1154">
        <v>0.99991229999999998</v>
      </c>
      <c r="N1154">
        <v>-1.2689020000000001E-2</v>
      </c>
      <c r="O1154">
        <v>-3.8300080000000002E-3</v>
      </c>
      <c r="P1154">
        <v>0.98010399999999998</v>
      </c>
      <c r="Q1154">
        <v>0.17898359999999999</v>
      </c>
      <c r="R1154">
        <v>8.5799139999999996E-2</v>
      </c>
      <c r="S1154">
        <v>3.0869450000000001</v>
      </c>
      <c r="T1154">
        <v>4.4345740000000002E-2</v>
      </c>
      <c r="U1154">
        <v>-0.38992310000000002</v>
      </c>
      <c r="V1154">
        <v>-8.9545620000000006E-2</v>
      </c>
      <c r="W1154">
        <v>0.19140499999999999</v>
      </c>
      <c r="X1154">
        <v>0.97741789999999995</v>
      </c>
      <c r="Y1154">
        <v>0.12151679999999999</v>
      </c>
      <c r="Z1154" s="1">
        <v>-7.9227609999999997E-6</v>
      </c>
      <c r="AA1154">
        <v>0.99258939999999996</v>
      </c>
      <c r="AB1154">
        <v>33</v>
      </c>
      <c r="AC1154">
        <v>95.8001</v>
      </c>
      <c r="AD1154">
        <v>1.3787339999999899</v>
      </c>
      <c r="AE1154">
        <v>-12.1230999999999</v>
      </c>
      <c r="AF1154">
        <v>11.7536703409592</v>
      </c>
      <c r="AG1154">
        <v>1.3787339999999899</v>
      </c>
      <c r="AH1154">
        <v>95.826297510050097</v>
      </c>
      <c r="AI1154">
        <v>89.181824729749906</v>
      </c>
      <c r="AJ1154">
        <v>83.007256712947793</v>
      </c>
      <c r="AK1154">
        <v>96.554279907269503</v>
      </c>
      <c r="AL1154">
        <v>78.965210489370804</v>
      </c>
      <c r="AM1154">
        <v>95.234510157149401</v>
      </c>
      <c r="AN1154">
        <v>1.0000000216632901</v>
      </c>
    </row>
    <row r="1155" spans="1:40" x14ac:dyDescent="0.25">
      <c r="A1155" t="str">
        <f>"20190304155034679"</f>
        <v>20190304155034679</v>
      </c>
      <c r="B1155" t="str">
        <f>"1551685834667868"</f>
        <v>1551685834667868</v>
      </c>
      <c r="C1155" t="s">
        <v>40</v>
      </c>
      <c r="D1155">
        <v>5.0759290000000004</v>
      </c>
      <c r="E1155">
        <v>0.58145800000000003</v>
      </c>
      <c r="F1155" t="s">
        <v>43</v>
      </c>
      <c r="G1155">
        <v>-169.2955</v>
      </c>
      <c r="H1155">
        <v>2.5002870000000001</v>
      </c>
      <c r="I1155">
        <v>355.40879999999999</v>
      </c>
      <c r="J1155">
        <v>-264.86279999999999</v>
      </c>
      <c r="K1155">
        <v>1.110269</v>
      </c>
      <c r="L1155">
        <v>367.52589999999998</v>
      </c>
      <c r="M1155">
        <v>0.99991149999999995</v>
      </c>
      <c r="N1155">
        <v>-1.2748260000000001E-2</v>
      </c>
      <c r="O1155">
        <v>-3.8300270000000002E-3</v>
      </c>
      <c r="P1155">
        <v>0.98014219999999996</v>
      </c>
      <c r="Q1155">
        <v>0.17884079999999999</v>
      </c>
      <c r="R1155">
        <v>8.565905E-2</v>
      </c>
      <c r="S1155">
        <v>3.0869140000000002</v>
      </c>
      <c r="T1155">
        <v>4.4793010000000001E-2</v>
      </c>
      <c r="U1155">
        <v>-0.3904724</v>
      </c>
      <c r="V1155">
        <v>-8.9405449999999997E-2</v>
      </c>
      <c r="W1155">
        <v>0.1913203</v>
      </c>
      <c r="X1155">
        <v>0.97744730000000002</v>
      </c>
      <c r="Y1155">
        <v>0.1216918</v>
      </c>
      <c r="Z1155" s="1">
        <v>-3.4134140000000002E-6</v>
      </c>
      <c r="AA1155">
        <v>0.99256800000000001</v>
      </c>
      <c r="AB1155">
        <v>33</v>
      </c>
      <c r="AC1155">
        <v>95.567300000000003</v>
      </c>
      <c r="AD1155">
        <v>1.39001799999999</v>
      </c>
      <c r="AE1155">
        <v>-12.117099999999899</v>
      </c>
      <c r="AF1155">
        <v>11.7485099357575</v>
      </c>
      <c r="AG1155">
        <v>1.39001799999999</v>
      </c>
      <c r="AH1155">
        <v>95.593108341748106</v>
      </c>
      <c r="AI1155">
        <v>89.1731420610611</v>
      </c>
      <c r="AJ1155">
        <v>82.993415116478602</v>
      </c>
      <c r="AK1155">
        <v>96.322385758390098</v>
      </c>
      <c r="AL1155">
        <v>78.970154663077693</v>
      </c>
      <c r="AM1155">
        <v>95.226205411947703</v>
      </c>
      <c r="AN1155">
        <v>1.0000000079795399</v>
      </c>
    </row>
    <row r="1156" spans="1:40" x14ac:dyDescent="0.25">
      <c r="A1156" t="str">
        <f>"20190304155034692"</f>
        <v>20190304155034692</v>
      </c>
      <c r="B1156" t="str">
        <f>"1551685834687388"</f>
        <v>1551685834687388</v>
      </c>
      <c r="C1156" t="s">
        <v>40</v>
      </c>
      <c r="D1156">
        <v>5.5728569999999999</v>
      </c>
      <c r="E1156">
        <v>0.58171019999999996</v>
      </c>
      <c r="F1156" t="s">
        <v>43</v>
      </c>
      <c r="G1156">
        <v>-169.2955</v>
      </c>
      <c r="H1156">
        <v>2.461309</v>
      </c>
      <c r="I1156">
        <v>355.3741</v>
      </c>
      <c r="J1156">
        <v>-264.67520000000002</v>
      </c>
      <c r="K1156">
        <v>1.1102719999999999</v>
      </c>
      <c r="L1156">
        <v>367.52519999999998</v>
      </c>
      <c r="M1156">
        <v>0.99991079999999999</v>
      </c>
      <c r="N1156">
        <v>-1.2796419999999999E-2</v>
      </c>
      <c r="O1156">
        <v>-3.8298569999999999E-3</v>
      </c>
      <c r="P1156">
        <v>0.98013919999999999</v>
      </c>
      <c r="Q1156">
        <v>0.17889820000000001</v>
      </c>
      <c r="R1156">
        <v>8.5573720000000006E-2</v>
      </c>
      <c r="S1156">
        <v>3.0871580000000001</v>
      </c>
      <c r="T1156">
        <v>4.36461E-2</v>
      </c>
      <c r="U1156">
        <v>-0.3925476</v>
      </c>
      <c r="V1156">
        <v>-8.9320150000000001E-2</v>
      </c>
      <c r="W1156">
        <v>0.19142509999999999</v>
      </c>
      <c r="X1156">
        <v>0.97743460000000004</v>
      </c>
      <c r="Y1156">
        <v>0.1223392</v>
      </c>
      <c r="Z1156" s="1">
        <v>-2.7358879999999999E-5</v>
      </c>
      <c r="AA1156">
        <v>0.99248829999999999</v>
      </c>
      <c r="AB1156">
        <v>33</v>
      </c>
      <c r="AC1156">
        <v>95.3797</v>
      </c>
      <c r="AD1156">
        <v>1.351037</v>
      </c>
      <c r="AE1156">
        <v>-12.1510999999999</v>
      </c>
      <c r="AF1156">
        <v>11.7833638684573</v>
      </c>
      <c r="AG1156">
        <v>1.351037</v>
      </c>
      <c r="AH1156">
        <v>95.406704262117202</v>
      </c>
      <c r="AI1156">
        <v>89.194816144876</v>
      </c>
      <c r="AJ1156">
        <v>82.959244530936601</v>
      </c>
      <c r="AK1156">
        <v>96.141105585441096</v>
      </c>
      <c r="AL1156">
        <v>78.964037215556104</v>
      </c>
      <c r="AM1156">
        <v>95.221314228746095</v>
      </c>
      <c r="AN1156">
        <v>1.0000000276915899</v>
      </c>
    </row>
    <row r="1157" spans="1:40" x14ac:dyDescent="0.25">
      <c r="A1157" t="str">
        <f>"20190304155034703"</f>
        <v>20190304155034703</v>
      </c>
      <c r="B1157" t="str">
        <f>"1551685834697147"</f>
        <v>1551685834697147</v>
      </c>
      <c r="C1157" t="s">
        <v>40</v>
      </c>
      <c r="D1157">
        <v>5.5340879999999997</v>
      </c>
      <c r="E1157">
        <v>0.57656719999999995</v>
      </c>
      <c r="F1157" t="s">
        <v>43</v>
      </c>
      <c r="G1157">
        <v>-169.2955</v>
      </c>
      <c r="H1157">
        <v>2.4895450000000001</v>
      </c>
      <c r="I1157">
        <v>355.32260000000002</v>
      </c>
      <c r="J1157">
        <v>-264.49430000000001</v>
      </c>
      <c r="K1157">
        <v>1.1102810000000001</v>
      </c>
      <c r="L1157">
        <v>367.52460000000002</v>
      </c>
      <c r="M1157">
        <v>0.99991030000000003</v>
      </c>
      <c r="N1157">
        <v>-1.2843200000000001E-2</v>
      </c>
      <c r="O1157">
        <v>-3.8297990000000001E-3</v>
      </c>
      <c r="P1157">
        <v>0.98012639999999995</v>
      </c>
      <c r="Q1157">
        <v>0.17892820000000001</v>
      </c>
      <c r="R1157">
        <v>8.5658319999999996E-2</v>
      </c>
      <c r="S1157">
        <v>3.0871279999999999</v>
      </c>
      <c r="T1157">
        <v>4.4645310000000001E-2</v>
      </c>
      <c r="U1157">
        <v>-0.39495849999999999</v>
      </c>
      <c r="V1157">
        <v>-8.9404549999999999E-2</v>
      </c>
      <c r="W1157">
        <v>0.1915009</v>
      </c>
      <c r="X1157">
        <v>0.97741199999999995</v>
      </c>
      <c r="Y1157">
        <v>0.1231028</v>
      </c>
      <c r="Z1157" s="1">
        <v>-1.1421160000000001E-5</v>
      </c>
      <c r="AA1157">
        <v>0.99239390000000005</v>
      </c>
      <c r="AB1157">
        <v>33</v>
      </c>
      <c r="AC1157">
        <v>95.198800000000006</v>
      </c>
      <c r="AD1157">
        <v>1.379264</v>
      </c>
      <c r="AE1157">
        <v>-12.2019999999999</v>
      </c>
      <c r="AF1157">
        <v>11.8348441059956</v>
      </c>
      <c r="AG1157">
        <v>1.379264</v>
      </c>
      <c r="AH1157">
        <v>95.225171201481501</v>
      </c>
      <c r="AI1157">
        <v>89.176507010129797</v>
      </c>
      <c r="AJ1157">
        <v>82.915451586471207</v>
      </c>
      <c r="AK1157">
        <v>95.967698391419106</v>
      </c>
      <c r="AL1157">
        <v>78.959611946759594</v>
      </c>
      <c r="AM1157">
        <v>95.226340795062995</v>
      </c>
      <c r="AN1157">
        <v>0.99999999300275599</v>
      </c>
    </row>
    <row r="1158" spans="1:40" x14ac:dyDescent="0.25">
      <c r="A1158" t="str">
        <f>"20190304155034715"</f>
        <v>20190304155034715</v>
      </c>
      <c r="B1158" t="str">
        <f>"1551685834707883"</f>
        <v>1551685834707883</v>
      </c>
      <c r="C1158" t="s">
        <v>40</v>
      </c>
      <c r="D1158">
        <v>4.7587279999999996</v>
      </c>
      <c r="E1158">
        <v>0.57656719999999995</v>
      </c>
      <c r="F1158" t="s">
        <v>41</v>
      </c>
      <c r="G1158">
        <v>-245.64879999999999</v>
      </c>
      <c r="H1158" s="1">
        <v>-2.787539E-6</v>
      </c>
      <c r="I1158">
        <v>365.38690000000003</v>
      </c>
      <c r="J1158">
        <v>-264.32389999999998</v>
      </c>
      <c r="K1158">
        <v>1.1102909999999999</v>
      </c>
      <c r="L1158">
        <v>367.52390000000003</v>
      </c>
      <c r="M1158">
        <v>0.99990959999999995</v>
      </c>
      <c r="N1158">
        <v>-1.288801E-2</v>
      </c>
      <c r="O1158">
        <v>-3.8297299999999999E-3</v>
      </c>
      <c r="P1158">
        <v>0.98021670000000005</v>
      </c>
      <c r="Q1158">
        <v>0.17853720000000001</v>
      </c>
      <c r="R1158">
        <v>8.5439230000000005E-2</v>
      </c>
      <c r="S1158">
        <v>3.1254580000000001</v>
      </c>
      <c r="T1158">
        <v>-0.18413689999999999</v>
      </c>
      <c r="U1158">
        <v>-0.35452270000000002</v>
      </c>
      <c r="V1158">
        <v>-8.9185600000000004E-2</v>
      </c>
      <c r="W1158">
        <v>0.19115460000000001</v>
      </c>
      <c r="X1158">
        <v>0.97749980000000003</v>
      </c>
      <c r="Y1158">
        <v>0.1086782</v>
      </c>
      <c r="Z1158">
        <v>-3.7162179999999999E-3</v>
      </c>
      <c r="AA1158">
        <v>0.99407009999999996</v>
      </c>
      <c r="AB1158">
        <v>33</v>
      </c>
      <c r="AC1158">
        <v>18.675099999999901</v>
      </c>
      <c r="AD1158">
        <v>-1.110293787539</v>
      </c>
      <c r="AE1158">
        <v>-2.137</v>
      </c>
      <c r="AF1158">
        <v>2.0582764820091199</v>
      </c>
      <c r="AG1158">
        <v>-1.110293787539</v>
      </c>
      <c r="AH1158">
        <v>18.6181891109436</v>
      </c>
      <c r="AI1158">
        <v>93.392168650789401</v>
      </c>
      <c r="AJ1158">
        <v>83.691458977210203</v>
      </c>
      <c r="AK1158">
        <v>18.764493602063901</v>
      </c>
      <c r="AL1158">
        <v>78.979827064166798</v>
      </c>
      <c r="AM1158">
        <v>95.213146497722704</v>
      </c>
      <c r="AN1158">
        <v>1.0000000056742799</v>
      </c>
    </row>
    <row r="1159" spans="1:40" x14ac:dyDescent="0.25">
      <c r="A1159" t="str">
        <f>"20190304155034726"</f>
        <v>20190304155034726</v>
      </c>
      <c r="B1159" t="str">
        <f>"1551685834717643"</f>
        <v>1551685834717643</v>
      </c>
      <c r="C1159" t="s">
        <v>40</v>
      </c>
      <c r="D1159">
        <v>5.5113779999999997</v>
      </c>
      <c r="E1159">
        <v>0.58198519999999998</v>
      </c>
      <c r="F1159" t="s">
        <v>41</v>
      </c>
      <c r="G1159">
        <v>-245.6011</v>
      </c>
      <c r="H1159" s="1">
        <v>-2.8087400000000001E-6</v>
      </c>
      <c r="I1159">
        <v>365.39460000000003</v>
      </c>
      <c r="J1159">
        <v>-264.15010000000001</v>
      </c>
      <c r="K1159">
        <v>1.110304</v>
      </c>
      <c r="L1159">
        <v>367.52330000000001</v>
      </c>
      <c r="M1159">
        <v>0.9999091</v>
      </c>
      <c r="N1159">
        <v>-1.2934070000000001E-2</v>
      </c>
      <c r="O1159">
        <v>-3.8297880000000002E-3</v>
      </c>
      <c r="P1159">
        <v>0.98028400000000004</v>
      </c>
      <c r="Q1159">
        <v>0.1782405</v>
      </c>
      <c r="R1159">
        <v>8.528724E-2</v>
      </c>
      <c r="S1159">
        <v>3.1252749999999998</v>
      </c>
      <c r="T1159">
        <v>-0.18533440000000001</v>
      </c>
      <c r="U1159">
        <v>-0.35543819999999998</v>
      </c>
      <c r="V1159">
        <v>-8.9033870000000001E-2</v>
      </c>
      <c r="W1159">
        <v>0.19090370000000001</v>
      </c>
      <c r="X1159">
        <v>0.97756270000000001</v>
      </c>
      <c r="Y1159">
        <v>0.1089687</v>
      </c>
      <c r="Z1159">
        <v>-3.748758E-3</v>
      </c>
      <c r="AA1159">
        <v>0.99403810000000004</v>
      </c>
      <c r="AB1159">
        <v>33</v>
      </c>
      <c r="AC1159">
        <v>18.548999999999999</v>
      </c>
      <c r="AD1159">
        <v>-1.1103068087399901</v>
      </c>
      <c r="AE1159">
        <v>-2.1286999999999798</v>
      </c>
      <c r="AF1159">
        <v>2.0503886958836501</v>
      </c>
      <c r="AG1159">
        <v>-1.1103068087399901</v>
      </c>
      <c r="AH1159">
        <v>18.491623128575601</v>
      </c>
      <c r="AI1159">
        <v>93.415248524686106</v>
      </c>
      <c r="AJ1159">
        <v>83.672773939789394</v>
      </c>
      <c r="AK1159">
        <v>18.638052498665601</v>
      </c>
      <c r="AL1159">
        <v>78.994472687066505</v>
      </c>
      <c r="AM1159">
        <v>95.203993173849994</v>
      </c>
      <c r="AN1159">
        <v>1.00000004255607</v>
      </c>
    </row>
    <row r="1160" spans="1:40" x14ac:dyDescent="0.25">
      <c r="A1160" t="str">
        <f>"20190304155034738"</f>
        <v>20190304155034738</v>
      </c>
      <c r="B1160" t="str">
        <f>"1551685834727404"</f>
        <v>1551685834727404</v>
      </c>
      <c r="C1160" t="s">
        <v>40</v>
      </c>
      <c r="D1160">
        <v>7.2722789999999904</v>
      </c>
      <c r="E1160">
        <v>0.58351629999999999</v>
      </c>
      <c r="F1160" t="s">
        <v>43</v>
      </c>
      <c r="G1160">
        <v>-169.2955</v>
      </c>
      <c r="H1160">
        <v>1.982742</v>
      </c>
      <c r="I1160">
        <v>355.30549999999999</v>
      </c>
      <c r="J1160">
        <v>-263.98200000000003</v>
      </c>
      <c r="K1160">
        <v>1.110311</v>
      </c>
      <c r="L1160">
        <v>367.52260000000001</v>
      </c>
      <c r="M1160">
        <v>0.99990840000000003</v>
      </c>
      <c r="N1160">
        <v>-1.298025E-2</v>
      </c>
      <c r="O1160">
        <v>-3.8297299999999999E-3</v>
      </c>
      <c r="P1160">
        <v>0.98030640000000002</v>
      </c>
      <c r="Q1160">
        <v>0.1781075</v>
      </c>
      <c r="R1160">
        <v>8.5307049999999995E-2</v>
      </c>
      <c r="S1160">
        <v>3.0897830000000002</v>
      </c>
      <c r="T1160">
        <v>2.8421519999999999E-2</v>
      </c>
      <c r="U1160">
        <v>-0.39797969999999999</v>
      </c>
      <c r="V1160">
        <v>-8.9054060000000004E-2</v>
      </c>
      <c r="W1160">
        <v>0.19081619999999999</v>
      </c>
      <c r="X1160">
        <v>0.9775779</v>
      </c>
      <c r="Y1160">
        <v>0.1239532</v>
      </c>
      <c r="Z1160">
        <v>-3.2465940000000001E-4</v>
      </c>
      <c r="AA1160">
        <v>0.99228799999999995</v>
      </c>
      <c r="AB1160">
        <v>33</v>
      </c>
      <c r="AC1160">
        <v>94.686499999999995</v>
      </c>
      <c r="AD1160">
        <v>0.87243099999999896</v>
      </c>
      <c r="AE1160">
        <v>-12.2171</v>
      </c>
      <c r="AF1160">
        <v>11.8533662802758</v>
      </c>
      <c r="AG1160">
        <v>0.87243099999999896</v>
      </c>
      <c r="AH1160">
        <v>94.724687602768697</v>
      </c>
      <c r="AI1160">
        <v>89.476394086702399</v>
      </c>
      <c r="AJ1160">
        <v>82.867372314657203</v>
      </c>
      <c r="AK1160">
        <v>95.467428317024797</v>
      </c>
      <c r="AL1160">
        <v>78.999579469864003</v>
      </c>
      <c r="AM1160">
        <v>95.205086300761494</v>
      </c>
      <c r="AN1160">
        <v>0.99999999917666604</v>
      </c>
    </row>
    <row r="1161" spans="1:40" x14ac:dyDescent="0.25">
      <c r="A1161" t="str">
        <f>"20190304155034751"</f>
        <v>20190304155034751</v>
      </c>
      <c r="B1161" t="str">
        <f>"1551685834747899"</f>
        <v>1551685834747899</v>
      </c>
      <c r="C1161" t="s">
        <v>40</v>
      </c>
      <c r="D1161">
        <v>5.5085069999999998</v>
      </c>
      <c r="E1161">
        <v>0.58220839999999996</v>
      </c>
      <c r="F1161" t="s">
        <v>43</v>
      </c>
      <c r="G1161">
        <v>-169.2955</v>
      </c>
      <c r="H1161">
        <v>1.5090079999999999</v>
      </c>
      <c r="I1161">
        <v>354.96699999999998</v>
      </c>
      <c r="J1161">
        <v>-263.78879999999998</v>
      </c>
      <c r="K1161">
        <v>1.110322</v>
      </c>
      <c r="L1161">
        <v>367.52190000000002</v>
      </c>
      <c r="M1161">
        <v>0.99990780000000001</v>
      </c>
      <c r="N1161">
        <v>-1.3033960000000001E-2</v>
      </c>
      <c r="O1161">
        <v>-3.8297209999999999E-3</v>
      </c>
      <c r="P1161">
        <v>0.98036900000000005</v>
      </c>
      <c r="Q1161">
        <v>0.17786389999999999</v>
      </c>
      <c r="R1161">
        <v>8.5095249999999997E-2</v>
      </c>
      <c r="S1161">
        <v>3.0935969999999999</v>
      </c>
      <c r="T1161">
        <v>1.30291E-2</v>
      </c>
      <c r="U1161">
        <v>-0.41021730000000001</v>
      </c>
      <c r="V1161">
        <v>-8.8842030000000002E-2</v>
      </c>
      <c r="W1161">
        <v>0.19062609999999999</v>
      </c>
      <c r="X1161">
        <v>0.97763429999999996</v>
      </c>
      <c r="Y1161">
        <v>0.12765650000000001</v>
      </c>
      <c r="Z1161">
        <v>-6.3370050000000002E-4</v>
      </c>
      <c r="AA1161">
        <v>0.99181819999999998</v>
      </c>
      <c r="AB1161">
        <v>33</v>
      </c>
      <c r="AC1161">
        <v>94.493299999999905</v>
      </c>
      <c r="AD1161">
        <v>0.39868599999999899</v>
      </c>
      <c r="AE1161">
        <v>-12.5549</v>
      </c>
      <c r="AF1161">
        <v>12.1926809401209</v>
      </c>
      <c r="AG1161">
        <v>0.39868599999999899</v>
      </c>
      <c r="AH1161">
        <v>94.539039013946507</v>
      </c>
      <c r="AI1161">
        <v>89.760360857988701</v>
      </c>
      <c r="AJ1161">
        <v>82.651140654410298</v>
      </c>
      <c r="AK1161">
        <v>95.322874047705199</v>
      </c>
      <c r="AL1161">
        <v>79.010675301816306</v>
      </c>
      <c r="AM1161">
        <v>95.192463338591907</v>
      </c>
      <c r="AN1161">
        <v>1.0000000204161099</v>
      </c>
    </row>
    <row r="1162" spans="1:40" x14ac:dyDescent="0.25">
      <c r="A1162" t="str">
        <f>"20190304155034762"</f>
        <v>20190304155034762</v>
      </c>
      <c r="B1162" t="str">
        <f>"1551685834757659"</f>
        <v>1551685834757659</v>
      </c>
      <c r="C1162" t="s">
        <v>40</v>
      </c>
      <c r="D1162">
        <v>5.5014580000000004</v>
      </c>
      <c r="E1162">
        <v>0.58101510000000001</v>
      </c>
      <c r="F1162" t="s">
        <v>43</v>
      </c>
      <c r="G1162">
        <v>-169.2955</v>
      </c>
      <c r="H1162">
        <v>1.205741</v>
      </c>
      <c r="I1162">
        <v>355.29180000000002</v>
      </c>
      <c r="J1162">
        <v>-263.61869999999999</v>
      </c>
      <c r="K1162">
        <v>1.1103270000000001</v>
      </c>
      <c r="L1162">
        <v>367.52120000000002</v>
      </c>
      <c r="M1162">
        <v>0.99990730000000005</v>
      </c>
      <c r="N1162">
        <v>-1.308235E-2</v>
      </c>
      <c r="O1162">
        <v>-3.8295600000000001E-3</v>
      </c>
      <c r="P1162">
        <v>0.98041599999999995</v>
      </c>
      <c r="Q1162">
        <v>0.17755660000000001</v>
      </c>
      <c r="R1162">
        <v>8.5196530000000006E-2</v>
      </c>
      <c r="S1162">
        <v>3.0942379999999998</v>
      </c>
      <c r="T1162">
        <v>3.1274559999999998E-3</v>
      </c>
      <c r="U1162">
        <v>-0.40048220000000001</v>
      </c>
      <c r="V1162">
        <v>-8.894357E-2</v>
      </c>
      <c r="W1162">
        <v>0.1903668</v>
      </c>
      <c r="X1162">
        <v>0.97767559999999998</v>
      </c>
      <c r="Y1162">
        <v>0.1245597</v>
      </c>
      <c r="Z1162">
        <v>-8.0924699999999905E-4</v>
      </c>
      <c r="AA1162">
        <v>0.99221179999999998</v>
      </c>
      <c r="AB1162">
        <v>33</v>
      </c>
      <c r="AC1162">
        <v>94.3232</v>
      </c>
      <c r="AD1162">
        <v>9.5413999999999805E-2</v>
      </c>
      <c r="AE1162">
        <v>-12.229399999999901</v>
      </c>
      <c r="AF1162">
        <v>11.8680511734495</v>
      </c>
      <c r="AG1162">
        <v>9.5413999999999805E-2</v>
      </c>
      <c r="AH1162">
        <v>94.369250480805803</v>
      </c>
      <c r="AI1162">
        <v>89.942522674650206</v>
      </c>
      <c r="AJ1162">
        <v>82.832008659034599</v>
      </c>
      <c r="AK1162">
        <v>95.112644684059106</v>
      </c>
      <c r="AL1162">
        <v>79.025809315826905</v>
      </c>
      <c r="AM1162">
        <v>95.198147060107203</v>
      </c>
      <c r="AN1162">
        <v>1.00000002801097</v>
      </c>
    </row>
    <row r="1163" spans="1:40" x14ac:dyDescent="0.25">
      <c r="A1163" t="str">
        <f>"20190304155034774"</f>
        <v>20190304155034774</v>
      </c>
      <c r="B1163" t="str">
        <f>"1551685834767420"</f>
        <v>1551685834767420</v>
      </c>
      <c r="C1163" t="s">
        <v>40</v>
      </c>
      <c r="D1163">
        <v>5.5060989999999999</v>
      </c>
      <c r="E1163">
        <v>0.58128069999999998</v>
      </c>
      <c r="F1163" t="s">
        <v>43</v>
      </c>
      <c r="G1163">
        <v>-169.2955</v>
      </c>
      <c r="H1163">
        <v>1.3538349999999999</v>
      </c>
      <c r="I1163">
        <v>355.60489999999999</v>
      </c>
      <c r="J1163">
        <v>-263.45299999999997</v>
      </c>
      <c r="K1163">
        <v>1.1103350000000001</v>
      </c>
      <c r="L1163">
        <v>367.5206</v>
      </c>
      <c r="M1163">
        <v>0.99990650000000003</v>
      </c>
      <c r="N1163">
        <v>-1.313024E-2</v>
      </c>
      <c r="O1163">
        <v>-3.8292780000000002E-3</v>
      </c>
      <c r="P1163">
        <v>0.98044819999999999</v>
      </c>
      <c r="Q1163">
        <v>0.17750940000000001</v>
      </c>
      <c r="R1163">
        <v>8.492413E-2</v>
      </c>
      <c r="S1163">
        <v>3.092438</v>
      </c>
      <c r="T1163">
        <v>7.9864259999999996E-3</v>
      </c>
      <c r="U1163">
        <v>-0.39068599999999998</v>
      </c>
      <c r="V1163">
        <v>-8.8671310000000003E-2</v>
      </c>
      <c r="W1163">
        <v>0.1903668</v>
      </c>
      <c r="X1163">
        <v>0.97770029999999997</v>
      </c>
      <c r="Y1163">
        <v>0.12154139999999999</v>
      </c>
      <c r="Z1163">
        <v>-7.0473379999999998E-4</v>
      </c>
      <c r="AA1163">
        <v>0.99258610000000003</v>
      </c>
      <c r="AB1163">
        <v>33</v>
      </c>
      <c r="AC1163">
        <v>94.157499999999899</v>
      </c>
      <c r="AD1163">
        <v>0.24349999999999999</v>
      </c>
      <c r="AE1163">
        <v>-11.915699999999999</v>
      </c>
      <c r="AF1163">
        <v>11.554950248353901</v>
      </c>
      <c r="AG1163">
        <v>0.24349999999999999</v>
      </c>
      <c r="AH1163">
        <v>94.2018219259527</v>
      </c>
      <c r="AI1163">
        <v>89.852999603376404</v>
      </c>
      <c r="AJ1163">
        <v>83.006938182988193</v>
      </c>
      <c r="AK1163">
        <v>94.908163092859596</v>
      </c>
      <c r="AL1163">
        <v>79.025808984501197</v>
      </c>
      <c r="AM1163">
        <v>95.182191875853903</v>
      </c>
      <c r="AN1163">
        <v>0.99999999818972296</v>
      </c>
    </row>
    <row r="1164" spans="1:40" x14ac:dyDescent="0.25">
      <c r="A1164" t="str">
        <f>"20190304155034785"</f>
        <v>20190304155034785</v>
      </c>
      <c r="B1164" t="str">
        <f>"1551685834777179"</f>
        <v>1551685834777179</v>
      </c>
      <c r="C1164" t="s">
        <v>40</v>
      </c>
      <c r="D1164">
        <v>5.5408780000000002</v>
      </c>
      <c r="E1164">
        <v>0.58118829999999999</v>
      </c>
      <c r="F1164" t="s">
        <v>43</v>
      </c>
      <c r="G1164">
        <v>-169.2955</v>
      </c>
      <c r="H1164">
        <v>1.370255</v>
      </c>
      <c r="I1164">
        <v>355.53019999999998</v>
      </c>
      <c r="J1164">
        <v>-263.27089999999998</v>
      </c>
      <c r="K1164">
        <v>1.1103449999999999</v>
      </c>
      <c r="L1164">
        <v>367.51990000000001</v>
      </c>
      <c r="M1164">
        <v>0.99990579999999996</v>
      </c>
      <c r="N1164">
        <v>-1.318358E-2</v>
      </c>
      <c r="O1164">
        <v>-3.8293899999999998E-3</v>
      </c>
      <c r="P1164">
        <v>0.98051299999999997</v>
      </c>
      <c r="Q1164">
        <v>0.17734040000000001</v>
      </c>
      <c r="R1164">
        <v>8.4526920000000005E-2</v>
      </c>
      <c r="S1164">
        <v>3.0923769999999999</v>
      </c>
      <c r="T1164">
        <v>8.5393190000000001E-3</v>
      </c>
      <c r="U1164">
        <v>-0.3937988</v>
      </c>
      <c r="V1164">
        <v>-8.8273790000000005E-2</v>
      </c>
      <c r="W1164">
        <v>0.19025069999999999</v>
      </c>
      <c r="X1164">
        <v>0.97775889999999999</v>
      </c>
      <c r="Y1164">
        <v>0.1225271</v>
      </c>
      <c r="Z1164">
        <v>-7.0327539999999998E-4</v>
      </c>
      <c r="AA1164">
        <v>0.99246489999999998</v>
      </c>
      <c r="AB1164">
        <v>33</v>
      </c>
      <c r="AC1164">
        <v>93.975399999999894</v>
      </c>
      <c r="AD1164">
        <v>0.25990999999999898</v>
      </c>
      <c r="AE1164">
        <v>-11.989699999999999</v>
      </c>
      <c r="AF1164">
        <v>11.6296248212262</v>
      </c>
      <c r="AG1164">
        <v>0.25990999999999898</v>
      </c>
      <c r="AH1164">
        <v>94.019920404543299</v>
      </c>
      <c r="AI1164">
        <v>89.842809079158599</v>
      </c>
      <c r="AJ1164">
        <v>82.9487176830268</v>
      </c>
      <c r="AK1164">
        <v>94.736799394782295</v>
      </c>
      <c r="AL1164">
        <v>79.032585197092203</v>
      </c>
      <c r="AM1164">
        <v>95.158777847816907</v>
      </c>
      <c r="AN1164">
        <v>1.0000000286903299</v>
      </c>
    </row>
    <row r="1165" spans="1:40" x14ac:dyDescent="0.25">
      <c r="A1165" t="str">
        <f>"20190304155034799"</f>
        <v>20190304155034799</v>
      </c>
      <c r="B1165" t="str">
        <f>"1551685834787916"</f>
        <v>1551685834787916</v>
      </c>
      <c r="C1165" t="s">
        <v>40</v>
      </c>
      <c r="D1165">
        <v>5.6852989999999997</v>
      </c>
      <c r="E1165">
        <v>0.58147669999999996</v>
      </c>
      <c r="F1165" t="s">
        <v>43</v>
      </c>
      <c r="G1165">
        <v>-169.2955</v>
      </c>
      <c r="H1165">
        <v>1.3433809999999999</v>
      </c>
      <c r="I1165">
        <v>355.52620000000002</v>
      </c>
      <c r="J1165">
        <v>-263.08300000000003</v>
      </c>
      <c r="K1165">
        <v>1.110355</v>
      </c>
      <c r="L1165">
        <v>367.51920000000001</v>
      </c>
      <c r="M1165">
        <v>0.99990500000000004</v>
      </c>
      <c r="N1165">
        <v>-1.324239E-2</v>
      </c>
      <c r="O1165">
        <v>-3.829182E-3</v>
      </c>
      <c r="P1165">
        <v>0.98052550000000005</v>
      </c>
      <c r="Q1165">
        <v>0.177484</v>
      </c>
      <c r="R1165">
        <v>8.4080370000000001E-2</v>
      </c>
      <c r="S1165">
        <v>3.0922550000000002</v>
      </c>
      <c r="T1165">
        <v>7.6708790000000002E-3</v>
      </c>
      <c r="U1165">
        <v>-0.39465329999999998</v>
      </c>
      <c r="V1165">
        <v>-8.7827829999999996E-2</v>
      </c>
      <c r="W1165">
        <v>0.19045200000000001</v>
      </c>
      <c r="X1165">
        <v>0.97775979999999996</v>
      </c>
      <c r="Y1165">
        <v>0.12280190000000001</v>
      </c>
      <c r="Z1165">
        <v>-7.2467780000000002E-4</v>
      </c>
      <c r="AA1165">
        <v>0.9924309</v>
      </c>
      <c r="AB1165">
        <v>33</v>
      </c>
      <c r="AC1165">
        <v>93.787499999999895</v>
      </c>
      <c r="AD1165">
        <v>0.23302600000000001</v>
      </c>
      <c r="AE1165">
        <v>-11.992999999999901</v>
      </c>
      <c r="AF1165">
        <v>11.6336805030489</v>
      </c>
      <c r="AG1165">
        <v>0.23302600000000001</v>
      </c>
      <c r="AH1165">
        <v>93.832169760477498</v>
      </c>
      <c r="AI1165">
        <v>89.858791194235295</v>
      </c>
      <c r="AJ1165">
        <v>82.932312084475996</v>
      </c>
      <c r="AK1165">
        <v>94.550901133319599</v>
      </c>
      <c r="AL1165">
        <v>79.020835976977395</v>
      </c>
      <c r="AM1165">
        <v>95.132850523619794</v>
      </c>
      <c r="AN1165">
        <v>0.99999995926127305</v>
      </c>
    </row>
    <row r="1166" spans="1:40" x14ac:dyDescent="0.25">
      <c r="A1166" t="str">
        <f>"20190304155034814"</f>
        <v>20190304155034814</v>
      </c>
      <c r="B1166" t="str">
        <f>"1551685834807436"</f>
        <v>1551685834807436</v>
      </c>
      <c r="C1166" t="s">
        <v>40</v>
      </c>
      <c r="D1166">
        <v>5.5169620000000004</v>
      </c>
      <c r="E1166">
        <v>0.58083050000000003</v>
      </c>
      <c r="F1166" t="s">
        <v>43</v>
      </c>
      <c r="G1166">
        <v>-169.2955</v>
      </c>
      <c r="H1166">
        <v>0.85281559999999901</v>
      </c>
      <c r="I1166">
        <v>355.44380000000001</v>
      </c>
      <c r="J1166">
        <v>-262.85210000000001</v>
      </c>
      <c r="K1166">
        <v>1.1103700000000001</v>
      </c>
      <c r="L1166">
        <v>367.51830000000001</v>
      </c>
      <c r="M1166">
        <v>0.99990409999999996</v>
      </c>
      <c r="N1166">
        <v>-1.33170999999999E-2</v>
      </c>
      <c r="O1166">
        <v>-3.8292000000000001E-3</v>
      </c>
      <c r="P1166">
        <v>0.98053820000000003</v>
      </c>
      <c r="Q1166">
        <v>0.17781939999999999</v>
      </c>
      <c r="R1166">
        <v>8.3219119999999994E-2</v>
      </c>
      <c r="S1166">
        <v>3.0953059999999999</v>
      </c>
      <c r="T1166">
        <v>-8.4967610000000002E-3</v>
      </c>
      <c r="U1166">
        <v>-0.39852910000000002</v>
      </c>
      <c r="V1166">
        <v>-8.6966630000000003E-2</v>
      </c>
      <c r="W1166">
        <v>0.19086059999999999</v>
      </c>
      <c r="X1166">
        <v>0.97775719999999999</v>
      </c>
      <c r="Y1166">
        <v>0.1238969</v>
      </c>
      <c r="Z1166">
        <v>-1.038085E-3</v>
      </c>
      <c r="AA1166">
        <v>0.99229449999999997</v>
      </c>
      <c r="AB1166">
        <v>33</v>
      </c>
      <c r="AC1166">
        <v>93.556600000000003</v>
      </c>
      <c r="AD1166">
        <v>-0.25755440000000002</v>
      </c>
      <c r="AE1166">
        <v>-12.0745</v>
      </c>
      <c r="AF1166">
        <v>11.716045459943</v>
      </c>
      <c r="AG1166">
        <v>-0.25755440000000002</v>
      </c>
      <c r="AH1166">
        <v>93.601456001154503</v>
      </c>
      <c r="AI1166">
        <v>90.156434365979095</v>
      </c>
      <c r="AJ1166">
        <v>82.865422823327506</v>
      </c>
      <c r="AK1166">
        <v>94.332203520454698</v>
      </c>
      <c r="AL1166">
        <v>78.996988505071201</v>
      </c>
      <c r="AM1166">
        <v>95.082798492569793</v>
      </c>
      <c r="AN1166">
        <v>1.0000000527588699</v>
      </c>
    </row>
    <row r="1167" spans="1:40" x14ac:dyDescent="0.25">
      <c r="A1167" t="str">
        <f>"20190304155034836"</f>
        <v>20190304155034836</v>
      </c>
      <c r="B1167" t="str">
        <f>"1551685834827931"</f>
        <v>1551685834827931</v>
      </c>
      <c r="C1167" t="s">
        <v>40</v>
      </c>
      <c r="D1167">
        <v>5.5433640000000004</v>
      </c>
      <c r="E1167">
        <v>0.58026390000000005</v>
      </c>
      <c r="F1167" t="s">
        <v>43</v>
      </c>
      <c r="G1167">
        <v>-169.2955</v>
      </c>
      <c r="H1167">
        <v>9.9929809999999994E-2</v>
      </c>
      <c r="I1167">
        <v>355.56270000000001</v>
      </c>
      <c r="J1167">
        <v>-262.51990000000001</v>
      </c>
      <c r="K1167">
        <v>1.1103829999999999</v>
      </c>
      <c r="L1167">
        <v>367.51710000000003</v>
      </c>
      <c r="M1167">
        <v>0.99990259999999997</v>
      </c>
      <c r="N1167">
        <v>-1.34293999999999E-2</v>
      </c>
      <c r="O1167">
        <v>-3.8289970000000002E-3</v>
      </c>
      <c r="P1167">
        <v>0.98053489999999999</v>
      </c>
      <c r="Q1167">
        <v>0.1781211</v>
      </c>
      <c r="R1167">
        <v>8.260924E-2</v>
      </c>
      <c r="S1167">
        <v>3.0992739999999999</v>
      </c>
      <c r="T1167">
        <v>-3.3470149999999997E-2</v>
      </c>
      <c r="U1167">
        <v>-0.3960571</v>
      </c>
      <c r="V1167">
        <v>-8.6355810000000005E-2</v>
      </c>
      <c r="W1167">
        <v>0.1912721</v>
      </c>
      <c r="X1167">
        <v>0.97773089999999996</v>
      </c>
      <c r="Y1167">
        <v>0.1229441</v>
      </c>
      <c r="Z1167">
        <v>-1.5001579999999999E-3</v>
      </c>
      <c r="AA1167">
        <v>0.99241239999999997</v>
      </c>
      <c r="AB1167">
        <v>33</v>
      </c>
      <c r="AC1167">
        <v>93.224400000000003</v>
      </c>
      <c r="AD1167">
        <v>-1.01045319</v>
      </c>
      <c r="AE1167">
        <v>-11.9544</v>
      </c>
      <c r="AF1167">
        <v>11.595983963313399</v>
      </c>
      <c r="AG1167">
        <v>-1.01045319</v>
      </c>
      <c r="AH1167">
        <v>93.258714945695701</v>
      </c>
      <c r="AI1167">
        <v>90.616028854422893</v>
      </c>
      <c r="AJ1167">
        <v>82.912101923632704</v>
      </c>
      <c r="AK1167">
        <v>93.982316278378306</v>
      </c>
      <c r="AL1167">
        <v>78.972968498320796</v>
      </c>
      <c r="AM1167">
        <v>95.047418995830895</v>
      </c>
      <c r="AN1167">
        <v>1.00000002748698</v>
      </c>
    </row>
    <row r="1168" spans="1:40" x14ac:dyDescent="0.25">
      <c r="A1168" t="str">
        <f>"20190304155034848"</f>
        <v>20190304155034848</v>
      </c>
      <c r="B1168" t="str">
        <f>"1551685834837692"</f>
        <v>1551685834837692</v>
      </c>
      <c r="C1168" t="s">
        <v>40</v>
      </c>
      <c r="D1168">
        <v>5.5208729999999999</v>
      </c>
      <c r="E1168">
        <v>0.579856699999999</v>
      </c>
      <c r="F1168" t="s">
        <v>50</v>
      </c>
      <c r="G1168">
        <v>-197.83279999999999</v>
      </c>
      <c r="H1168" s="1">
        <v>-6.4103009999999997E-6</v>
      </c>
      <c r="I1168">
        <v>359.30059999999997</v>
      </c>
      <c r="J1168">
        <v>-262.3467</v>
      </c>
      <c r="K1168">
        <v>1.1103940000000001</v>
      </c>
      <c r="L1168">
        <v>367.51639999999998</v>
      </c>
      <c r="M1168">
        <v>0.9999017</v>
      </c>
      <c r="N1168">
        <v>-1.348894E-2</v>
      </c>
      <c r="O1168">
        <v>-3.8285630000000001E-3</v>
      </c>
      <c r="P1168">
        <v>0.98058080000000003</v>
      </c>
      <c r="Q1168">
        <v>0.17810689999999901</v>
      </c>
      <c r="R1168">
        <v>8.2092010000000007E-2</v>
      </c>
      <c r="S1168">
        <v>3.1024780000000001</v>
      </c>
      <c r="T1168">
        <v>-5.3255799999999999E-2</v>
      </c>
      <c r="U1168">
        <v>-0.39407350000000002</v>
      </c>
      <c r="V1168">
        <v>-8.583847E-2</v>
      </c>
      <c r="W1168">
        <v>0.1913165</v>
      </c>
      <c r="X1168">
        <v>0.97776770000000002</v>
      </c>
      <c r="Y1168">
        <v>0.1221754</v>
      </c>
      <c r="Z1168">
        <v>-1.857778E-3</v>
      </c>
      <c r="AA1168">
        <v>0.99250680000000002</v>
      </c>
      <c r="AB1168">
        <v>33</v>
      </c>
      <c r="AC1168">
        <v>64.513900000000007</v>
      </c>
      <c r="AD1168">
        <v>-1.1104004103009999</v>
      </c>
      <c r="AE1168">
        <v>-8.2157999999999998</v>
      </c>
      <c r="AF1168">
        <v>7.9663994226277897</v>
      </c>
      <c r="AG1168">
        <v>-1.1104004103009999</v>
      </c>
      <c r="AH1168">
        <v>64.526074131659399</v>
      </c>
      <c r="AI1168">
        <v>90.978452858770098</v>
      </c>
      <c r="AJ1168">
        <v>82.961869067952804</v>
      </c>
      <c r="AK1168">
        <v>65.025462333430895</v>
      </c>
      <c r="AL1168">
        <v>78.970375955763402</v>
      </c>
      <c r="AM1168">
        <v>95.017147876403598</v>
      </c>
      <c r="AN1168">
        <v>0.99999996063373897</v>
      </c>
    </row>
    <row r="1169" spans="1:40" x14ac:dyDescent="0.25">
      <c r="A1169" t="str">
        <f>"20190304155034860"</f>
        <v>20190304155034860</v>
      </c>
      <c r="B1169" t="str">
        <f>"1551685834857211"</f>
        <v>1551685834857211</v>
      </c>
      <c r="C1169" t="s">
        <v>40</v>
      </c>
      <c r="D1169">
        <v>5.5516909999999999</v>
      </c>
      <c r="E1169">
        <v>0.579381699999999</v>
      </c>
      <c r="F1169" t="s">
        <v>50</v>
      </c>
      <c r="G1169">
        <v>-206.84119999999999</v>
      </c>
      <c r="H1169" s="1">
        <v>-5.65179099999999E-6</v>
      </c>
      <c r="I1169">
        <v>360.49860000000001</v>
      </c>
      <c r="J1169">
        <v>-262.1705</v>
      </c>
      <c r="K1169">
        <v>1.1104039999999999</v>
      </c>
      <c r="L1169">
        <v>367.51569999999998</v>
      </c>
      <c r="M1169">
        <v>0.99990089999999998</v>
      </c>
      <c r="N1169">
        <v>-1.3548849999999999E-2</v>
      </c>
      <c r="O1169">
        <v>-3.8286100000000001E-3</v>
      </c>
      <c r="P1169">
        <v>0.98060990000000003</v>
      </c>
      <c r="Q1169">
        <v>0.17819579999999999</v>
      </c>
      <c r="R1169">
        <v>8.1552819999999998E-2</v>
      </c>
      <c r="S1169">
        <v>3.1035460000000001</v>
      </c>
      <c r="T1169">
        <v>-6.2087059999999999E-2</v>
      </c>
      <c r="U1169">
        <v>-0.39239499999999999</v>
      </c>
      <c r="V1169">
        <v>-8.5299749999999994E-2</v>
      </c>
      <c r="W1169">
        <v>0.19146440000000001</v>
      </c>
      <c r="X1169">
        <v>0.97778589999999999</v>
      </c>
      <c r="Y1169">
        <v>0.1215958</v>
      </c>
      <c r="Z1169">
        <v>-2.0139110000000002E-3</v>
      </c>
      <c r="AA1169">
        <v>0.99257770000000001</v>
      </c>
      <c r="AB1169">
        <v>33</v>
      </c>
      <c r="AC1169">
        <v>55.329300000000003</v>
      </c>
      <c r="AD1169">
        <v>-1.110409651791</v>
      </c>
      <c r="AE1169">
        <v>-7.0170999999999699</v>
      </c>
      <c r="AF1169">
        <v>6.8024983431707398</v>
      </c>
      <c r="AG1169">
        <v>-1.110409651791</v>
      </c>
      <c r="AH1169">
        <v>55.333828653882897</v>
      </c>
      <c r="AI1169">
        <v>91.141039003290899</v>
      </c>
      <c r="AJ1169">
        <v>82.991473846269201</v>
      </c>
      <c r="AK1169">
        <v>55.761452516957497</v>
      </c>
      <c r="AL1169">
        <v>78.961742356957402</v>
      </c>
      <c r="AM1169">
        <v>94.985727263159205</v>
      </c>
      <c r="AN1169">
        <v>0.99999996502811495</v>
      </c>
    </row>
    <row r="1170" spans="1:40" x14ac:dyDescent="0.25">
      <c r="A1170" t="str">
        <f>"20190304155034880"</f>
        <v>20190304155034880</v>
      </c>
      <c r="B1170" t="str">
        <f>"1551685834877707"</f>
        <v>1551685834877707</v>
      </c>
      <c r="C1170" t="s">
        <v>40</v>
      </c>
      <c r="D1170">
        <v>5.5756430000000003</v>
      </c>
      <c r="E1170">
        <v>0.57897909999999997</v>
      </c>
      <c r="F1170" t="s">
        <v>41</v>
      </c>
      <c r="G1170">
        <v>-217.23750000000001</v>
      </c>
      <c r="H1170" s="1">
        <v>-2.988458E-6</v>
      </c>
      <c r="I1170">
        <v>361.86559999999997</v>
      </c>
      <c r="J1170">
        <v>-261.87139999999999</v>
      </c>
      <c r="K1170">
        <v>1.1104179999999999</v>
      </c>
      <c r="L1170">
        <v>367.51459999999997</v>
      </c>
      <c r="M1170">
        <v>0.9998996</v>
      </c>
      <c r="N1170">
        <v>-1.364692E-2</v>
      </c>
      <c r="O1170">
        <v>-3.8284410000000001E-3</v>
      </c>
      <c r="P1170">
        <v>0.98070259999999998</v>
      </c>
      <c r="Q1170">
        <v>0.178153799999999</v>
      </c>
      <c r="R1170">
        <v>8.0522280000000002E-2</v>
      </c>
      <c r="S1170">
        <v>3.1057429999999999</v>
      </c>
      <c r="T1170">
        <v>-7.6750639999999995E-2</v>
      </c>
      <c r="U1170">
        <v>-0.39053339999999998</v>
      </c>
      <c r="V1170">
        <v>-8.4269789999999997E-2</v>
      </c>
      <c r="W1170">
        <v>0.19151969999999999</v>
      </c>
      <c r="X1170">
        <v>0.97786439999999997</v>
      </c>
      <c r="Y1170">
        <v>0.12090679999999999</v>
      </c>
      <c r="Z1170">
        <v>-2.2741649999999999E-3</v>
      </c>
      <c r="AA1170">
        <v>0.99266120000000002</v>
      </c>
      <c r="AB1170">
        <v>33</v>
      </c>
      <c r="AC1170">
        <v>44.633899999999898</v>
      </c>
      <c r="AD1170">
        <v>-1.1104209884580001</v>
      </c>
      <c r="AE1170">
        <v>-5.649</v>
      </c>
      <c r="AF1170">
        <v>5.4747293512010398</v>
      </c>
      <c r="AG1170">
        <v>-1.1104209884580001</v>
      </c>
      <c r="AH1170">
        <v>44.628015313048699</v>
      </c>
      <c r="AI1170">
        <v>91.414721412110893</v>
      </c>
      <c r="AJ1170">
        <v>83.006199945107497</v>
      </c>
      <c r="AK1170">
        <v>44.976276491303899</v>
      </c>
      <c r="AL1170">
        <v>78.9585144265412</v>
      </c>
      <c r="AM1170">
        <v>94.925431129451994</v>
      </c>
      <c r="AN1170">
        <v>0.99999998889104602</v>
      </c>
    </row>
    <row r="1171" spans="1:40" x14ac:dyDescent="0.25">
      <c r="A1171" t="str">
        <f>"20190304155034893"</f>
        <v>20190304155034893</v>
      </c>
      <c r="B1171" t="str">
        <f>"1551685834887468"</f>
        <v>1551685834887468</v>
      </c>
      <c r="C1171" t="s">
        <v>40</v>
      </c>
      <c r="D1171">
        <v>5.5730959999999996</v>
      </c>
      <c r="E1171">
        <v>0.57858859999999901</v>
      </c>
      <c r="F1171" t="s">
        <v>41</v>
      </c>
      <c r="G1171">
        <v>-223.58430000000001</v>
      </c>
      <c r="H1171" s="1">
        <v>-4.0090790000000003E-6</v>
      </c>
      <c r="I1171">
        <v>362.70209999999997</v>
      </c>
      <c r="J1171">
        <v>-261.69490000000002</v>
      </c>
      <c r="K1171">
        <v>1.1104259999999999</v>
      </c>
      <c r="L1171">
        <v>367.51389999999998</v>
      </c>
      <c r="M1171">
        <v>0.99989890000000003</v>
      </c>
      <c r="N1171">
        <v>-1.370175E-2</v>
      </c>
      <c r="O1171">
        <v>-3.828101E-3</v>
      </c>
      <c r="P1171">
        <v>0.98076779999999997</v>
      </c>
      <c r="Q1171">
        <v>0.17795439999999901</v>
      </c>
      <c r="R1171">
        <v>8.0168110000000001E-2</v>
      </c>
      <c r="S1171">
        <v>3.107513</v>
      </c>
      <c r="T1171">
        <v>-9.0125440000000001E-2</v>
      </c>
      <c r="U1171">
        <v>-0.39059450000000001</v>
      </c>
      <c r="V1171">
        <v>-8.3915020000000007E-2</v>
      </c>
      <c r="W1171">
        <v>0.19137460000000001</v>
      </c>
      <c r="X1171">
        <v>0.97792330000000005</v>
      </c>
      <c r="Y1171">
        <v>0.1208393</v>
      </c>
      <c r="Z1171">
        <v>-2.5181650000000002E-3</v>
      </c>
      <c r="AA1171">
        <v>0.99266889999999997</v>
      </c>
      <c r="AB1171">
        <v>33</v>
      </c>
      <c r="AC1171">
        <v>38.110599999999998</v>
      </c>
      <c r="AD1171">
        <v>-1.11043000907899</v>
      </c>
      <c r="AE1171">
        <v>-4.8117999999999999</v>
      </c>
      <c r="AF1171">
        <v>4.6619640782164602</v>
      </c>
      <c r="AG1171">
        <v>-1.11043000907899</v>
      </c>
      <c r="AH1171">
        <v>38.096906969905298</v>
      </c>
      <c r="AI1171">
        <v>91.657201676749494</v>
      </c>
      <c r="AJ1171">
        <v>83.023333458318305</v>
      </c>
      <c r="AK1171">
        <v>38.397152036905801</v>
      </c>
      <c r="AL1171">
        <v>78.966984557974101</v>
      </c>
      <c r="AM1171">
        <v>94.904502798366593</v>
      </c>
      <c r="AN1171">
        <v>0.99999997439482402</v>
      </c>
    </row>
    <row r="1172" spans="1:40" x14ac:dyDescent="0.25">
      <c r="A1172" t="str">
        <f>"20190304155034904"</f>
        <v>20190304155034904</v>
      </c>
      <c r="B1172" t="str">
        <f>"1551685834897229"</f>
        <v>1551685834897229</v>
      </c>
      <c r="C1172" t="s">
        <v>40</v>
      </c>
      <c r="D1172">
        <v>5.5987410000000004</v>
      </c>
      <c r="E1172">
        <v>0.57835040000000004</v>
      </c>
      <c r="F1172" t="s">
        <v>41</v>
      </c>
      <c r="G1172">
        <v>-225.82419999999999</v>
      </c>
      <c r="H1172" s="1">
        <v>-3.159714E-6</v>
      </c>
      <c r="I1172">
        <v>363.02949999999998</v>
      </c>
      <c r="J1172">
        <v>-261.53059999999999</v>
      </c>
      <c r="K1172">
        <v>1.1104320000000001</v>
      </c>
      <c r="L1172">
        <v>367.51319999999998</v>
      </c>
      <c r="M1172">
        <v>0.99989830000000002</v>
      </c>
      <c r="N1172">
        <v>-1.375033E-2</v>
      </c>
      <c r="O1172">
        <v>-3.8280760000000001E-3</v>
      </c>
      <c r="P1172">
        <v>0.98083690000000001</v>
      </c>
      <c r="Q1172">
        <v>0.17782870000000001</v>
      </c>
      <c r="R1172">
        <v>7.9600119999999996E-2</v>
      </c>
      <c r="S1172">
        <v>3.1080320000000001</v>
      </c>
      <c r="T1172">
        <v>-9.6213339999999994E-2</v>
      </c>
      <c r="U1172">
        <v>-0.3885498</v>
      </c>
      <c r="V1172">
        <v>-8.3346909999999996E-2</v>
      </c>
      <c r="W1172">
        <v>0.19129779999999999</v>
      </c>
      <c r="X1172">
        <v>0.97798689999999999</v>
      </c>
      <c r="Y1172">
        <v>0.1201677</v>
      </c>
      <c r="Z1172">
        <v>-2.6164489999999999E-3</v>
      </c>
      <c r="AA1172">
        <v>0.99275020000000003</v>
      </c>
      <c r="AB1172">
        <v>33</v>
      </c>
      <c r="AC1172">
        <v>35.706400000000002</v>
      </c>
      <c r="AD1172">
        <v>-1.1104351597140001</v>
      </c>
      <c r="AE1172">
        <v>-4.48369999999999</v>
      </c>
      <c r="AF1172">
        <v>4.3428324539442702</v>
      </c>
      <c r="AG1172">
        <v>-1.1104351597140001</v>
      </c>
      <c r="AH1172">
        <v>35.689322746711397</v>
      </c>
      <c r="AI1172">
        <v>91.769081102925497</v>
      </c>
      <c r="AJ1172">
        <v>83.062108787703295</v>
      </c>
      <c r="AK1172">
        <v>35.969723630935697</v>
      </c>
      <c r="AL1172">
        <v>78.971467609750604</v>
      </c>
      <c r="AM1172">
        <v>94.871144057011804</v>
      </c>
      <c r="AN1172">
        <v>0.999999966131498</v>
      </c>
    </row>
    <row r="1173" spans="1:40" x14ac:dyDescent="0.25">
      <c r="A1173" t="str">
        <f>"20190304155034914"</f>
        <v>20190304155034914</v>
      </c>
      <c r="B1173" t="str">
        <f>"1551685834907964"</f>
        <v>1551685834907964</v>
      </c>
      <c r="C1173" t="s">
        <v>40</v>
      </c>
      <c r="D1173">
        <v>5.6266590000000001</v>
      </c>
      <c r="E1173">
        <v>0.57788200000000001</v>
      </c>
      <c r="F1173" t="s">
        <v>41</v>
      </c>
      <c r="G1173">
        <v>-227.20679999999999</v>
      </c>
      <c r="H1173" s="1">
        <v>-2.6385510000000002E-6</v>
      </c>
      <c r="I1173">
        <v>363.22</v>
      </c>
      <c r="J1173">
        <v>-261.37240000000003</v>
      </c>
      <c r="K1173">
        <v>1.11043799999999</v>
      </c>
      <c r="L1173">
        <v>367.5127</v>
      </c>
      <c r="M1173">
        <v>0.99989760000000005</v>
      </c>
      <c r="N1173">
        <v>-1.3794529999999999E-2</v>
      </c>
      <c r="O1173">
        <v>-3.8279030000000001E-3</v>
      </c>
      <c r="P1173">
        <v>0.9808711</v>
      </c>
      <c r="Q1173">
        <v>0.17775629999999901</v>
      </c>
      <c r="R1173">
        <v>7.9338800000000001E-2</v>
      </c>
      <c r="S1173">
        <v>3.108368</v>
      </c>
      <c r="T1173">
        <v>-0.10056080000000001</v>
      </c>
      <c r="U1173">
        <v>-0.38879390000000003</v>
      </c>
      <c r="V1173">
        <v>-8.3086240000000006E-2</v>
      </c>
      <c r="W1173">
        <v>0.1912693</v>
      </c>
      <c r="X1173">
        <v>0.97801470000000001</v>
      </c>
      <c r="Y1173">
        <v>0.120225</v>
      </c>
      <c r="Z1173">
        <v>-2.6987560000000001E-3</v>
      </c>
      <c r="AA1173">
        <v>0.99274300000000004</v>
      </c>
      <c r="AB1173">
        <v>33</v>
      </c>
      <c r="AC1173">
        <v>34.165599999999998</v>
      </c>
      <c r="AD1173">
        <v>-1.11044063855099</v>
      </c>
      <c r="AE1173">
        <v>-4.29269999999996</v>
      </c>
      <c r="AF1173">
        <v>4.1575498844880503</v>
      </c>
      <c r="AG1173">
        <v>-1.11044063855099</v>
      </c>
      <c r="AH1173">
        <v>34.146273009757003</v>
      </c>
      <c r="AI1173">
        <v>91.848963536746098</v>
      </c>
      <c r="AJ1173">
        <v>83.058004167043507</v>
      </c>
      <c r="AK1173">
        <v>34.416366163652597</v>
      </c>
      <c r="AL1173">
        <v>78.973131759040299</v>
      </c>
      <c r="AM1173">
        <v>94.855844997484297</v>
      </c>
      <c r="AN1173">
        <v>1.0000000109079501</v>
      </c>
    </row>
    <row r="1174" spans="1:40" x14ac:dyDescent="0.25">
      <c r="A1174" t="str">
        <f>"20190304155034926"</f>
        <v>20190304155034926</v>
      </c>
      <c r="B1174" t="str">
        <f>"1551685834917723"</f>
        <v>1551685834917723</v>
      </c>
      <c r="C1174" t="s">
        <v>40</v>
      </c>
      <c r="D1174">
        <v>5.5985239999999896</v>
      </c>
      <c r="E1174">
        <v>0.57761390000000001</v>
      </c>
      <c r="F1174" t="s">
        <v>41</v>
      </c>
      <c r="G1174">
        <v>-228.7653</v>
      </c>
      <c r="H1174" s="1">
        <v>-2.0440950000000001E-6</v>
      </c>
      <c r="I1174">
        <v>363.46080000000001</v>
      </c>
      <c r="J1174">
        <v>-261.19349999999997</v>
      </c>
      <c r="K1174">
        <v>1.1104499999999999</v>
      </c>
      <c r="L1174">
        <v>367.512</v>
      </c>
      <c r="M1174">
        <v>0.99989709999999998</v>
      </c>
      <c r="N1174">
        <v>-1.384282E-2</v>
      </c>
      <c r="O1174">
        <v>-3.827998E-3</v>
      </c>
      <c r="P1174">
        <v>0.98094300000000001</v>
      </c>
      <c r="Q1174">
        <v>0.177581399999999</v>
      </c>
      <c r="R1174">
        <v>7.8841610000000006E-2</v>
      </c>
      <c r="S1174">
        <v>3.108978</v>
      </c>
      <c r="T1174">
        <v>-0.10587630000000001</v>
      </c>
      <c r="U1174">
        <v>-0.386322</v>
      </c>
      <c r="V1174">
        <v>-8.2589309999999999E-2</v>
      </c>
      <c r="W1174">
        <v>0.19114239999999999</v>
      </c>
      <c r="X1174">
        <v>0.9780816</v>
      </c>
      <c r="Y1174">
        <v>0.1194162</v>
      </c>
      <c r="Z1174">
        <v>-2.7780259999999998E-3</v>
      </c>
      <c r="AA1174">
        <v>0.99284039999999996</v>
      </c>
      <c r="AB1174">
        <v>33</v>
      </c>
      <c r="AC1174">
        <v>32.428199999999897</v>
      </c>
      <c r="AD1174">
        <v>-1.1104520440950001</v>
      </c>
      <c r="AE1174">
        <v>-4.0511999999999304</v>
      </c>
      <c r="AF1174">
        <v>3.9224944849033898</v>
      </c>
      <c r="AG1174">
        <v>-1.1104520440950001</v>
      </c>
      <c r="AH1174">
        <v>32.406056082736399</v>
      </c>
      <c r="AI1174">
        <v>91.948365515169797</v>
      </c>
      <c r="AJ1174">
        <v>83.098378044117595</v>
      </c>
      <c r="AK1174">
        <v>32.661468698816797</v>
      </c>
      <c r="AL1174">
        <v>78.9805392936169</v>
      </c>
      <c r="AM1174">
        <v>94.826611734943299</v>
      </c>
      <c r="AN1174">
        <v>1.0000000137312901</v>
      </c>
    </row>
    <row r="1175" spans="1:40" x14ac:dyDescent="0.25">
      <c r="A1175" t="str">
        <f>"20190304155034938"</f>
        <v>20190304155034938</v>
      </c>
      <c r="B1175" t="str">
        <f>"1551685834927483"</f>
        <v>1551685834927483</v>
      </c>
      <c r="C1175" t="s">
        <v>40</v>
      </c>
      <c r="D1175">
        <v>5.608314</v>
      </c>
      <c r="E1175">
        <v>0.57756289999999999</v>
      </c>
      <c r="F1175" t="s">
        <v>41</v>
      </c>
      <c r="G1175">
        <v>-230.40039999999999</v>
      </c>
      <c r="H1175" s="1">
        <v>-5.1511079999999999E-6</v>
      </c>
      <c r="I1175">
        <v>363.6936</v>
      </c>
      <c r="J1175">
        <v>-261.02440000000001</v>
      </c>
      <c r="K1175">
        <v>1.1104540000000001</v>
      </c>
      <c r="L1175">
        <v>367.51130000000001</v>
      </c>
      <c r="M1175">
        <v>0.99989629999999996</v>
      </c>
      <c r="N1175">
        <v>-1.3884799999999999E-2</v>
      </c>
      <c r="O1175">
        <v>-3.8278119999999999E-3</v>
      </c>
      <c r="P1175">
        <v>0.98096530000000004</v>
      </c>
      <c r="Q1175">
        <v>0.17752029999999999</v>
      </c>
      <c r="R1175">
        <v>7.8700530000000005E-2</v>
      </c>
      <c r="S1175">
        <v>3.1096189999999999</v>
      </c>
      <c r="T1175">
        <v>-0.11213819999999999</v>
      </c>
      <c r="U1175">
        <v>-0.38558959999999998</v>
      </c>
      <c r="V1175">
        <v>-8.2447850000000003E-2</v>
      </c>
      <c r="W1175">
        <v>0.19112280000000001</v>
      </c>
      <c r="X1175">
        <v>0.97809740000000001</v>
      </c>
      <c r="Y1175">
        <v>0.11915149999999999</v>
      </c>
      <c r="Z1175">
        <v>-2.885763E-3</v>
      </c>
      <c r="AA1175">
        <v>0.99287190000000003</v>
      </c>
      <c r="AB1175">
        <v>33</v>
      </c>
      <c r="AC1175">
        <v>30.623999999999999</v>
      </c>
      <c r="AD1175">
        <v>-1.110459151108</v>
      </c>
      <c r="AE1175">
        <v>-3.8176999999999999</v>
      </c>
      <c r="AF1175">
        <v>3.6956528888558902</v>
      </c>
      <c r="AG1175">
        <v>-1.110459151108</v>
      </c>
      <c r="AH1175">
        <v>30.5987728745643</v>
      </c>
      <c r="AI1175">
        <v>92.063425007944701</v>
      </c>
      <c r="AJ1175">
        <v>83.1132978297275</v>
      </c>
      <c r="AK1175">
        <v>30.841139266090099</v>
      </c>
      <c r="AL1175">
        <v>78.981683768352895</v>
      </c>
      <c r="AM1175">
        <v>94.818306141317294</v>
      </c>
      <c r="AN1175">
        <v>1.00000004826811</v>
      </c>
    </row>
    <row r="1176" spans="1:40" x14ac:dyDescent="0.25">
      <c r="A1176" t="str">
        <f>"20190304155034950"</f>
        <v>20190304155034950</v>
      </c>
      <c r="B1176" t="str">
        <f>"1551685834947979"</f>
        <v>1551685834947979</v>
      </c>
      <c r="C1176" t="s">
        <v>40</v>
      </c>
      <c r="D1176">
        <v>5.5873889999999999</v>
      </c>
      <c r="E1176">
        <v>0.57784279999999999</v>
      </c>
      <c r="F1176" t="s">
        <v>41</v>
      </c>
      <c r="G1176">
        <v>-231.28</v>
      </c>
      <c r="H1176" s="1">
        <v>-4.7512299999999999E-6</v>
      </c>
      <c r="I1176">
        <v>363.82080000000002</v>
      </c>
      <c r="J1176">
        <v>-260.84449999999998</v>
      </c>
      <c r="K1176">
        <v>1.1104579999999999</v>
      </c>
      <c r="L1176">
        <v>367.51060000000001</v>
      </c>
      <c r="M1176">
        <v>0.99989570000000005</v>
      </c>
      <c r="N1176">
        <v>-1.392797E-2</v>
      </c>
      <c r="O1176">
        <v>-3.8277540000000001E-3</v>
      </c>
      <c r="P1176">
        <v>0.98099460000000005</v>
      </c>
      <c r="Q1176">
        <v>0.1774569</v>
      </c>
      <c r="R1176">
        <v>7.8476710000000005E-2</v>
      </c>
      <c r="S1176">
        <v>3.1102289999999999</v>
      </c>
      <c r="T1176">
        <v>-0.1161151</v>
      </c>
      <c r="U1176">
        <v>-0.38589479999999998</v>
      </c>
      <c r="V1176">
        <v>-8.2224320000000004E-2</v>
      </c>
      <c r="W1176">
        <v>0.19110170000000001</v>
      </c>
      <c r="X1176">
        <v>0.97812030000000005</v>
      </c>
      <c r="Y1176">
        <v>0.11921710000000001</v>
      </c>
      <c r="Z1176">
        <v>-2.9607549999999998E-3</v>
      </c>
      <c r="AA1176">
        <v>0.99286379999999996</v>
      </c>
      <c r="AB1176">
        <v>33</v>
      </c>
      <c r="AC1176">
        <v>29.564499999999899</v>
      </c>
      <c r="AD1176">
        <v>-1.11046275123</v>
      </c>
      <c r="AE1176">
        <v>-3.6897999999999902</v>
      </c>
      <c r="AF1176">
        <v>3.5716347595456601</v>
      </c>
      <c r="AG1176">
        <v>-1.11046275123</v>
      </c>
      <c r="AH1176">
        <v>29.537376050479001</v>
      </c>
      <c r="AI1176">
        <v>92.1374755579225</v>
      </c>
      <c r="AJ1176">
        <v>83.105315740723995</v>
      </c>
      <c r="AK1176">
        <v>29.773247829635199</v>
      </c>
      <c r="AL1176">
        <v>78.982914982726996</v>
      </c>
      <c r="AM1176">
        <v>94.805192179551895</v>
      </c>
      <c r="AN1176">
        <v>1.0000000099072199</v>
      </c>
    </row>
    <row r="1177" spans="1:40" x14ac:dyDescent="0.25">
      <c r="A1177" t="str">
        <f>"20190304155034962"</f>
        <v>20190304155034962</v>
      </c>
      <c r="B1177" t="str">
        <f>"1551685834957739"</f>
        <v>1551685834957739</v>
      </c>
      <c r="C1177" t="s">
        <v>40</v>
      </c>
      <c r="D1177">
        <v>5.595739</v>
      </c>
      <c r="E1177">
        <v>0.57774499999999995</v>
      </c>
      <c r="F1177" t="s">
        <v>41</v>
      </c>
      <c r="G1177">
        <v>-230.6164</v>
      </c>
      <c r="H1177" s="1">
        <v>-5.051876E-6</v>
      </c>
      <c r="I1177">
        <v>363.73059999999998</v>
      </c>
      <c r="J1177">
        <v>-260.65910000000002</v>
      </c>
      <c r="K1177">
        <v>1.1104560000000001</v>
      </c>
      <c r="L1177">
        <v>367.50990000000002</v>
      </c>
      <c r="M1177">
        <v>0.99989510000000004</v>
      </c>
      <c r="N1177">
        <v>-1.3968629999999999E-2</v>
      </c>
      <c r="O1177">
        <v>-3.8277989999999998E-3</v>
      </c>
      <c r="P1177">
        <v>0.98102149999999999</v>
      </c>
      <c r="Q1177">
        <v>0.1774075</v>
      </c>
      <c r="R1177">
        <v>7.8252909999999995E-2</v>
      </c>
      <c r="S1177">
        <v>3.1098940000000002</v>
      </c>
      <c r="T1177">
        <v>-0.1142451</v>
      </c>
      <c r="U1177">
        <v>-0.3888855</v>
      </c>
      <c r="V1177">
        <v>-8.2000589999999998E-2</v>
      </c>
      <c r="W1177">
        <v>0.19109229999999999</v>
      </c>
      <c r="X1177">
        <v>0.97814089999999998</v>
      </c>
      <c r="Y1177">
        <v>0.1201724</v>
      </c>
      <c r="Z1177">
        <v>-2.954276E-3</v>
      </c>
      <c r="AA1177">
        <v>0.99274859999999998</v>
      </c>
      <c r="AB1177">
        <v>33</v>
      </c>
      <c r="AC1177">
        <v>30.0427</v>
      </c>
      <c r="AD1177">
        <v>-1.1104610518760001</v>
      </c>
      <c r="AE1177">
        <v>-3.7793000000000299</v>
      </c>
      <c r="AF1177">
        <v>3.6593419946839698</v>
      </c>
      <c r="AG1177">
        <v>-1.1104610518760001</v>
      </c>
      <c r="AH1177">
        <v>30.016576537882202</v>
      </c>
      <c r="AI1177">
        <v>92.103130147585802</v>
      </c>
      <c r="AJ1177">
        <v>83.049329860611707</v>
      </c>
      <c r="AK1177">
        <v>30.259193225139601</v>
      </c>
      <c r="AL1177">
        <v>78.983463475804598</v>
      </c>
      <c r="AM1177">
        <v>94.792077909336001</v>
      </c>
      <c r="AN1177">
        <v>0.99999999206622403</v>
      </c>
    </row>
    <row r="1178" spans="1:40" x14ac:dyDescent="0.25">
      <c r="A1178" t="str">
        <f>"20190304155034975"</f>
        <v>20190304155034975</v>
      </c>
      <c r="B1178" t="str">
        <f>"1551685834967499"</f>
        <v>1551685834967499</v>
      </c>
      <c r="C1178" t="s">
        <v>40</v>
      </c>
      <c r="D1178">
        <v>5.5836269999999999</v>
      </c>
      <c r="E1178">
        <v>0.57776759999999905</v>
      </c>
      <c r="F1178" t="s">
        <v>41</v>
      </c>
      <c r="G1178">
        <v>-229.4469</v>
      </c>
      <c r="H1178" s="1">
        <v>-1.773152E-6</v>
      </c>
      <c r="I1178">
        <v>363.60730000000001</v>
      </c>
      <c r="J1178">
        <v>-260.49279999999999</v>
      </c>
      <c r="K1178">
        <v>1.1104579999999999</v>
      </c>
      <c r="L1178">
        <v>367.5093</v>
      </c>
      <c r="M1178">
        <v>0.99989479999999997</v>
      </c>
      <c r="N1178">
        <v>-1.4002799999999999E-2</v>
      </c>
      <c r="O1178">
        <v>-3.8277989999999998E-3</v>
      </c>
      <c r="P1178">
        <v>0.98105469999999895</v>
      </c>
      <c r="Q1178">
        <v>0.17732020000000001</v>
      </c>
      <c r="R1178">
        <v>7.8034679999999995E-2</v>
      </c>
      <c r="S1178">
        <v>3.1090390000000001</v>
      </c>
      <c r="T1178">
        <v>-0.110612</v>
      </c>
      <c r="U1178">
        <v>-0.38873289999999999</v>
      </c>
      <c r="V1178">
        <v>-8.1782709999999995E-2</v>
      </c>
      <c r="W1178">
        <v>0.19103899999999999</v>
      </c>
      <c r="X1178">
        <v>0.97816959999999997</v>
      </c>
      <c r="Y1178">
        <v>0.1201638</v>
      </c>
      <c r="Z1178">
        <v>-2.8913799999999998E-3</v>
      </c>
      <c r="AA1178">
        <v>0.99274989999999996</v>
      </c>
      <c r="AB1178">
        <v>33</v>
      </c>
      <c r="AC1178">
        <v>31.0458999999999</v>
      </c>
      <c r="AD1178">
        <v>-1.1104597731519901</v>
      </c>
      <c r="AE1178">
        <v>-3.9019999999999802</v>
      </c>
      <c r="AF1178">
        <v>3.7783635477424502</v>
      </c>
      <c r="AG1178">
        <v>-1.1104597731519901</v>
      </c>
      <c r="AH1178">
        <v>31.021539119570502</v>
      </c>
      <c r="AI1178">
        <v>92.035081306148896</v>
      </c>
      <c r="AJ1178">
        <v>83.055689006640904</v>
      </c>
      <c r="AK1178">
        <v>31.270513928519598</v>
      </c>
      <c r="AL1178">
        <v>78.986575178166404</v>
      </c>
      <c r="AM1178">
        <v>94.779264580227306</v>
      </c>
      <c r="AN1178">
        <v>1.0000000387700501</v>
      </c>
    </row>
    <row r="1179" spans="1:40" x14ac:dyDescent="0.25">
      <c r="A1179" t="str">
        <f>"20190304155034986"</f>
        <v>20190304155034986</v>
      </c>
      <c r="B1179" t="str">
        <f>"1551685834977260"</f>
        <v>1551685834977260</v>
      </c>
      <c r="C1179" t="s">
        <v>40</v>
      </c>
      <c r="D1179">
        <v>5.5681099999999999</v>
      </c>
      <c r="E1179">
        <v>0.57786800000000005</v>
      </c>
      <c r="F1179" t="s">
        <v>41</v>
      </c>
      <c r="G1179">
        <v>-230.1155</v>
      </c>
      <c r="H1179" s="1">
        <v>-5.2708009999999998E-6</v>
      </c>
      <c r="I1179">
        <v>363.7079</v>
      </c>
      <c r="J1179">
        <v>-260.31</v>
      </c>
      <c r="K1179">
        <v>1.1104620000000001</v>
      </c>
      <c r="L1179">
        <v>367.50850000000003</v>
      </c>
      <c r="M1179">
        <v>0.99989430000000001</v>
      </c>
      <c r="N1179">
        <v>-1.4038520000000001E-2</v>
      </c>
      <c r="O1179">
        <v>-3.8276920000000002E-3</v>
      </c>
      <c r="P1179">
        <v>0.98107540000000004</v>
      </c>
      <c r="Q1179">
        <v>0.17719689999999999</v>
      </c>
      <c r="R1179">
        <v>7.8055089999999994E-2</v>
      </c>
      <c r="S1179">
        <v>3.1094360000000001</v>
      </c>
      <c r="T1179">
        <v>-0.1136672</v>
      </c>
      <c r="U1179">
        <v>-0.38909909999999998</v>
      </c>
      <c r="V1179">
        <v>-8.180279E-2</v>
      </c>
      <c r="W1179">
        <v>0.1909515</v>
      </c>
      <c r="X1179">
        <v>0.97818499999999997</v>
      </c>
      <c r="Y1179">
        <v>0.1202583</v>
      </c>
      <c r="Z1179">
        <v>-2.950823E-3</v>
      </c>
      <c r="AA1179">
        <v>0.99273820000000002</v>
      </c>
      <c r="AB1179">
        <v>33</v>
      </c>
      <c r="AC1179">
        <v>30.194500000000001</v>
      </c>
      <c r="AD1179">
        <v>-1.1104672708009999</v>
      </c>
      <c r="AE1179">
        <v>-3.80060000000003</v>
      </c>
      <c r="AF1179">
        <v>3.6800856383816698</v>
      </c>
      <c r="AG1179">
        <v>-1.1104672708009999</v>
      </c>
      <c r="AH1179">
        <v>30.168659268950801</v>
      </c>
      <c r="AI1179">
        <v>92.092530904563105</v>
      </c>
      <c r="AJ1179">
        <v>83.045207025098506</v>
      </c>
      <c r="AK1179">
        <v>30.412565987620901</v>
      </c>
      <c r="AL1179">
        <v>78.991682516903396</v>
      </c>
      <c r="AM1179">
        <v>94.780357677458099</v>
      </c>
      <c r="AN1179">
        <v>1.00000003301451</v>
      </c>
    </row>
    <row r="1180" spans="1:40" x14ac:dyDescent="0.25">
      <c r="A1180" t="str">
        <f>"20190304155034998"</f>
        <v>20190304155034998</v>
      </c>
      <c r="B1180" t="str">
        <f>"1551685834987996"</f>
        <v>1551685834987996</v>
      </c>
      <c r="C1180" t="s">
        <v>40</v>
      </c>
      <c r="D1180">
        <v>5.6159249999999998</v>
      </c>
      <c r="E1180">
        <v>0.57773750000000001</v>
      </c>
      <c r="F1180" t="s">
        <v>41</v>
      </c>
      <c r="G1180">
        <v>-230.5934</v>
      </c>
      <c r="H1180" s="1">
        <v>-5.0524299999999997E-6</v>
      </c>
      <c r="I1180">
        <v>363.78309999999999</v>
      </c>
      <c r="J1180">
        <v>-260.13560000000001</v>
      </c>
      <c r="K1180">
        <v>1.110463</v>
      </c>
      <c r="L1180">
        <v>367.50790000000001</v>
      </c>
      <c r="M1180">
        <v>0.9998937</v>
      </c>
      <c r="N1180">
        <v>-1.406902E-2</v>
      </c>
      <c r="O1180">
        <v>-3.8275480000000001E-3</v>
      </c>
      <c r="P1180">
        <v>0.98108419999999996</v>
      </c>
      <c r="Q1180">
        <v>0.1771586</v>
      </c>
      <c r="R1180">
        <v>7.8031680000000006E-2</v>
      </c>
      <c r="S1180">
        <v>3.1098629999999998</v>
      </c>
      <c r="T1180">
        <v>-0.11621090000000001</v>
      </c>
      <c r="U1180">
        <v>-0.38986209999999999</v>
      </c>
      <c r="V1180">
        <v>-8.1779610000000003E-2</v>
      </c>
      <c r="W1180">
        <v>0.190943</v>
      </c>
      <c r="X1180">
        <v>0.97818859999999996</v>
      </c>
      <c r="Y1180">
        <v>0.120477</v>
      </c>
      <c r="Z1180">
        <v>-3.0039390000000002E-3</v>
      </c>
      <c r="AA1180">
        <v>0.99271160000000003</v>
      </c>
      <c r="AB1180">
        <v>33</v>
      </c>
      <c r="AC1180">
        <v>29.542200000000001</v>
      </c>
      <c r="AD1180">
        <v>-1.1104680524299999</v>
      </c>
      <c r="AE1180">
        <v>-3.7248000000000099</v>
      </c>
      <c r="AF1180">
        <v>3.6066710320265898</v>
      </c>
      <c r="AG1180">
        <v>-1.1104680524299999</v>
      </c>
      <c r="AH1180">
        <v>29.515190955228299</v>
      </c>
      <c r="AI1180">
        <v>92.138763772780194</v>
      </c>
      <c r="AJ1180">
        <v>83.033160917326597</v>
      </c>
      <c r="AK1180">
        <v>29.755465251820802</v>
      </c>
      <c r="AL1180">
        <v>78.992178687767705</v>
      </c>
      <c r="AM1180">
        <v>94.778991862419701</v>
      </c>
      <c r="AN1180">
        <v>1.00000003551535</v>
      </c>
    </row>
    <row r="1181" spans="1:40" x14ac:dyDescent="0.25">
      <c r="A1181" t="str">
        <f>"20190304155035012"</f>
        <v>20190304155035012</v>
      </c>
      <c r="B1181" t="str">
        <f>"1551685835007515"</f>
        <v>1551685835007515</v>
      </c>
      <c r="C1181" t="s">
        <v>40</v>
      </c>
      <c r="D1181">
        <v>5.5595280000000002</v>
      </c>
      <c r="E1181">
        <v>0.57778269999999998</v>
      </c>
      <c r="F1181" t="s">
        <v>41</v>
      </c>
      <c r="G1181">
        <v>-231.06970000000001</v>
      </c>
      <c r="H1181" s="1">
        <v>-4.8320079999999999E-6</v>
      </c>
      <c r="I1181">
        <v>363.87389999999999</v>
      </c>
      <c r="J1181">
        <v>-259.93</v>
      </c>
      <c r="K1181">
        <v>1.110466</v>
      </c>
      <c r="L1181">
        <v>367.50709999999998</v>
      </c>
      <c r="M1181">
        <v>0.99989329999999998</v>
      </c>
      <c r="N1181">
        <v>-1.410312E-2</v>
      </c>
      <c r="O1181">
        <v>-3.8276690000000001E-3</v>
      </c>
      <c r="P1181">
        <v>0.98110319999999995</v>
      </c>
      <c r="Q1181">
        <v>0.17708750000000001</v>
      </c>
      <c r="R1181">
        <v>7.7954019999999999E-2</v>
      </c>
      <c r="S1181">
        <v>3.1102289999999999</v>
      </c>
      <c r="T1181">
        <v>-0.1188266</v>
      </c>
      <c r="U1181">
        <v>-0.38885500000000001</v>
      </c>
      <c r="V1181">
        <v>-8.1702319999999995E-2</v>
      </c>
      <c r="W1181">
        <v>0.19090509999999999</v>
      </c>
      <c r="X1181">
        <v>0.97820240000000003</v>
      </c>
      <c r="Y1181">
        <v>0.12014180000000001</v>
      </c>
      <c r="Z1181">
        <v>-3.0443839999999998E-3</v>
      </c>
      <c r="AA1181">
        <v>0.99275210000000003</v>
      </c>
      <c r="AB1181">
        <v>33</v>
      </c>
      <c r="AC1181">
        <v>28.860299999999899</v>
      </c>
      <c r="AD1181">
        <v>-1.1104708320079999</v>
      </c>
      <c r="AE1181">
        <v>-3.63319999999998</v>
      </c>
      <c r="AF1181">
        <v>3.5175681612132501</v>
      </c>
      <c r="AG1181">
        <v>-1.1104708320079999</v>
      </c>
      <c r="AH1181">
        <v>28.831976394058401</v>
      </c>
      <c r="AI1181">
        <v>92.189452793512203</v>
      </c>
      <c r="AJ1181">
        <v>83.044157316756795</v>
      </c>
      <c r="AK1181">
        <v>29.066979444466899</v>
      </c>
      <c r="AL1181">
        <v>78.994390282307407</v>
      </c>
      <c r="AM1181">
        <v>94.774429076818393</v>
      </c>
      <c r="AN1181">
        <v>0.99999998083257602</v>
      </c>
    </row>
    <row r="1182" spans="1:40" x14ac:dyDescent="0.25">
      <c r="A1182" t="str">
        <f>"20190304155035028"</f>
        <v>20190304155035028</v>
      </c>
      <c r="B1182" t="str">
        <f>"1551685835017276"</f>
        <v>1551685835017276</v>
      </c>
      <c r="C1182" t="s">
        <v>40</v>
      </c>
      <c r="D1182">
        <v>5.5867599999999999</v>
      </c>
      <c r="E1182">
        <v>0.57785430000000004</v>
      </c>
      <c r="F1182" t="s">
        <v>41</v>
      </c>
      <c r="G1182">
        <v>-231.58279999999999</v>
      </c>
      <c r="H1182" s="1">
        <v>-4.596925E-6</v>
      </c>
      <c r="I1182">
        <v>363.95819999999998</v>
      </c>
      <c r="J1182">
        <v>-259.70530000000002</v>
      </c>
      <c r="K1182">
        <v>1.1104700000000001</v>
      </c>
      <c r="L1182">
        <v>367.50619999999998</v>
      </c>
      <c r="M1182">
        <v>0.99989280000000003</v>
      </c>
      <c r="N1182">
        <v>-1.413729E-2</v>
      </c>
      <c r="O1182">
        <v>-3.8277910000000001E-3</v>
      </c>
      <c r="P1182">
        <v>0.98110540000000002</v>
      </c>
      <c r="Q1182">
        <v>0.17705750000000001</v>
      </c>
      <c r="R1182">
        <v>7.7992800000000001E-2</v>
      </c>
      <c r="S1182">
        <v>3.1107179999999999</v>
      </c>
      <c r="T1182">
        <v>-0.1218588</v>
      </c>
      <c r="U1182">
        <v>-0.38943480000000003</v>
      </c>
      <c r="V1182">
        <v>-8.1740510000000002E-2</v>
      </c>
      <c r="W1182">
        <v>0.19090889999999999</v>
      </c>
      <c r="X1182">
        <v>0.97819849999999997</v>
      </c>
      <c r="Y1182">
        <v>0.1202993</v>
      </c>
      <c r="Z1182">
        <v>-3.1049820000000001E-3</v>
      </c>
      <c r="AA1182">
        <v>0.99273279999999997</v>
      </c>
      <c r="AB1182">
        <v>33</v>
      </c>
      <c r="AC1182">
        <v>28.122499999999999</v>
      </c>
      <c r="AD1182">
        <v>-1.1104745969250001</v>
      </c>
      <c r="AE1182">
        <v>-3.548</v>
      </c>
      <c r="AF1182">
        <v>3.43504409896628</v>
      </c>
      <c r="AG1182">
        <v>-1.1104745969250001</v>
      </c>
      <c r="AH1182">
        <v>28.092759582428801</v>
      </c>
      <c r="AI1182">
        <v>92.246940437676002</v>
      </c>
      <c r="AJ1182">
        <v>83.028759981014602</v>
      </c>
      <c r="AK1182">
        <v>28.323767806356599</v>
      </c>
      <c r="AL1182">
        <v>78.994168828922795</v>
      </c>
      <c r="AM1182">
        <v>94.776669413590298</v>
      </c>
      <c r="AN1182">
        <v>1.00000001223826</v>
      </c>
    </row>
    <row r="1183" spans="1:40" x14ac:dyDescent="0.25">
      <c r="A1183" t="str">
        <f>"20190304155035041"</f>
        <v>20190304155035041</v>
      </c>
      <c r="B1183" t="str">
        <f>"1551685835037771"</f>
        <v>1551685835037771</v>
      </c>
      <c r="C1183" t="s">
        <v>40</v>
      </c>
      <c r="D1183">
        <v>5.5799690000000002</v>
      </c>
      <c r="E1183">
        <v>0.58515379999999995</v>
      </c>
      <c r="F1183" t="s">
        <v>41</v>
      </c>
      <c r="G1183">
        <v>-231.70949999999999</v>
      </c>
      <c r="H1183" s="1">
        <v>-4.5353779999999996E-6</v>
      </c>
      <c r="I1183">
        <v>363.99889999999999</v>
      </c>
      <c r="J1183">
        <v>-259.50209999999998</v>
      </c>
      <c r="K1183">
        <v>1.110474</v>
      </c>
      <c r="L1183">
        <v>367.50549999999998</v>
      </c>
      <c r="M1183">
        <v>0.99989240000000001</v>
      </c>
      <c r="N1183">
        <v>-1.416474E-2</v>
      </c>
      <c r="O1183">
        <v>-3.827628E-3</v>
      </c>
      <c r="P1183">
        <v>0.98105909999999996</v>
      </c>
      <c r="Q1183">
        <v>0.17723710000000001</v>
      </c>
      <c r="R1183">
        <v>7.8168189999999999E-2</v>
      </c>
      <c r="S1183">
        <v>3.1110229999999999</v>
      </c>
      <c r="T1183">
        <v>-0.12340039999999999</v>
      </c>
      <c r="U1183">
        <v>-0.38973999999999998</v>
      </c>
      <c r="V1183">
        <v>-8.1915810000000006E-2</v>
      </c>
      <c r="W1183">
        <v>0.1911148</v>
      </c>
      <c r="X1183">
        <v>0.9781436</v>
      </c>
      <c r="Y1183">
        <v>0.1203805</v>
      </c>
      <c r="Z1183">
        <v>-3.1364850000000001E-3</v>
      </c>
      <c r="AA1183">
        <v>0.99272289999999996</v>
      </c>
      <c r="AB1183">
        <v>33</v>
      </c>
      <c r="AC1183">
        <v>27.7926</v>
      </c>
      <c r="AD1183">
        <v>-1.110478535378</v>
      </c>
      <c r="AE1183">
        <v>-3.5065999999999899</v>
      </c>
      <c r="AF1183">
        <v>3.3948490409816499</v>
      </c>
      <c r="AG1183">
        <v>-1.110478535378</v>
      </c>
      <c r="AH1183">
        <v>27.762192539283401</v>
      </c>
      <c r="AI1183">
        <v>92.273672892615494</v>
      </c>
      <c r="AJ1183">
        <v>83.028302364215094</v>
      </c>
      <c r="AK1183">
        <v>27.991025296991801</v>
      </c>
      <c r="AL1183">
        <v>78.982150030558699</v>
      </c>
      <c r="AM1183">
        <v>94.787133288669196</v>
      </c>
      <c r="AN1183">
        <v>0.99999998446397698</v>
      </c>
    </row>
    <row r="1184" spans="1:40" x14ac:dyDescent="0.25">
      <c r="A1184" t="str">
        <f>"20190304155035059"</f>
        <v>20190304155035059</v>
      </c>
      <c r="B1184" t="str">
        <f>"1551685835047714"</f>
        <v>1551685835047714</v>
      </c>
      <c r="C1184" t="s">
        <v>40</v>
      </c>
      <c r="D1184">
        <v>5.6196929999999998</v>
      </c>
      <c r="E1184">
        <v>0.58383180000000001</v>
      </c>
      <c r="F1184" t="s">
        <v>43</v>
      </c>
      <c r="G1184">
        <v>-169.2955</v>
      </c>
      <c r="H1184">
        <v>1.487066</v>
      </c>
      <c r="I1184">
        <v>354.48169999999999</v>
      </c>
      <c r="J1184">
        <v>-259.24869999999999</v>
      </c>
      <c r="K1184">
        <v>1.1104750000000001</v>
      </c>
      <c r="L1184">
        <v>367.50450000000001</v>
      </c>
      <c r="M1184">
        <v>0.999892</v>
      </c>
      <c r="N1184">
        <v>-1.41961E-2</v>
      </c>
      <c r="O1184">
        <v>-3.8276120000000002E-3</v>
      </c>
      <c r="P1184">
        <v>0.98102400000000001</v>
      </c>
      <c r="Q1184">
        <v>0.17745710000000001</v>
      </c>
      <c r="R1184">
        <v>7.8109369999999997E-2</v>
      </c>
      <c r="S1184">
        <v>3.0911249999999999</v>
      </c>
      <c r="T1184">
        <v>1.2907739999999999E-2</v>
      </c>
      <c r="U1184">
        <v>-0.44628909999999999</v>
      </c>
      <c r="V1184">
        <v>-8.1856709999999999E-2</v>
      </c>
      <c r="W1184">
        <v>0.1913647</v>
      </c>
      <c r="X1184">
        <v>0.97809970000000002</v>
      </c>
      <c r="Y1184">
        <v>0.1391096</v>
      </c>
      <c r="Z1184">
        <v>-7.7355779999999997E-4</v>
      </c>
      <c r="AA1184">
        <v>0.99027670000000001</v>
      </c>
      <c r="AB1184">
        <v>33</v>
      </c>
      <c r="AC1184">
        <v>89.953199999999896</v>
      </c>
      <c r="AD1184">
        <v>0.37659099999999901</v>
      </c>
      <c r="AE1184">
        <v>-13.0228</v>
      </c>
      <c r="AF1184">
        <v>12.678146322897099</v>
      </c>
      <c r="AG1184">
        <v>0.37659099999999901</v>
      </c>
      <c r="AH1184">
        <v>90.000847116215795</v>
      </c>
      <c r="AI1184">
        <v>89.762602183511703</v>
      </c>
      <c r="AJ1184">
        <v>81.981676775635094</v>
      </c>
      <c r="AK1184">
        <v>90.890206824511694</v>
      </c>
      <c r="AL1184">
        <v>78.967562711343703</v>
      </c>
      <c r="AM1184">
        <v>94.783909247584006</v>
      </c>
      <c r="AN1184">
        <v>0.99999999625910196</v>
      </c>
    </row>
    <row r="1185" spans="1:40" x14ac:dyDescent="0.25">
      <c r="A1185" t="str">
        <f>"20190304155035073"</f>
        <v>20190304155035073</v>
      </c>
      <c r="B1185" t="str">
        <f>"1551685835067768"</f>
        <v>1551685835067768</v>
      </c>
      <c r="C1185" t="s">
        <v>40</v>
      </c>
      <c r="D1185">
        <v>5.6419189999999997</v>
      </c>
      <c r="E1185">
        <v>0.58159019999999995</v>
      </c>
      <c r="F1185" t="s">
        <v>43</v>
      </c>
      <c r="G1185">
        <v>-169.2955</v>
      </c>
      <c r="H1185">
        <v>1.2018359999999999</v>
      </c>
      <c r="I1185">
        <v>354.81549999999999</v>
      </c>
      <c r="J1185">
        <v>-259.03870000000001</v>
      </c>
      <c r="K1185">
        <v>1.1104780000000001</v>
      </c>
      <c r="L1185">
        <v>367.50369999999998</v>
      </c>
      <c r="M1185">
        <v>0.99989159999999999</v>
      </c>
      <c r="N1185">
        <v>-1.4219570000000001E-2</v>
      </c>
      <c r="O1185">
        <v>-3.8276600000000001E-3</v>
      </c>
      <c r="P1185">
        <v>0.9810063</v>
      </c>
      <c r="Q1185">
        <v>0.177597799999999</v>
      </c>
      <c r="R1185">
        <v>7.8010689999999994E-2</v>
      </c>
      <c r="S1185">
        <v>3.0921630000000002</v>
      </c>
      <c r="T1185">
        <v>3.1435489999999998E-3</v>
      </c>
      <c r="U1185">
        <v>-0.43618770000000001</v>
      </c>
      <c r="V1185">
        <v>-8.1757969999999999E-2</v>
      </c>
      <c r="W1185">
        <v>0.19152849999999999</v>
      </c>
      <c r="X1185">
        <v>0.9780759</v>
      </c>
      <c r="Y1185">
        <v>0.13588919999999999</v>
      </c>
      <c r="Z1185">
        <v>-9.6025220000000005E-4</v>
      </c>
      <c r="AA1185">
        <v>0.99072360000000004</v>
      </c>
      <c r="AB1185">
        <v>33</v>
      </c>
      <c r="AC1185">
        <v>89.743200000000002</v>
      </c>
      <c r="AD1185">
        <v>9.1357999999999995E-2</v>
      </c>
      <c r="AE1185">
        <v>-12.688199999999901</v>
      </c>
      <c r="AF1185">
        <v>12.3445533115859</v>
      </c>
      <c r="AG1185">
        <v>9.1357999999999995E-2</v>
      </c>
      <c r="AH1185">
        <v>89.791022248744497</v>
      </c>
      <c r="AI1185">
        <v>89.9422475839757</v>
      </c>
      <c r="AJ1185">
        <v>82.1719958069082</v>
      </c>
      <c r="AK1185">
        <v>90.635666374894996</v>
      </c>
      <c r="AL1185">
        <v>78.958000827540602</v>
      </c>
      <c r="AM1185">
        <v>94.7782811020531</v>
      </c>
      <c r="AN1185">
        <v>0.99999999906578996</v>
      </c>
    </row>
    <row r="1186" spans="1:40" x14ac:dyDescent="0.25">
      <c r="A1186" t="str">
        <f>"20190304155035085"</f>
        <v>20190304155035085</v>
      </c>
      <c r="B1186" t="str">
        <f>"1551685835077528"</f>
        <v>1551685835077528</v>
      </c>
      <c r="C1186" t="s">
        <v>40</v>
      </c>
      <c r="D1186">
        <v>5.6062089999999998</v>
      </c>
      <c r="E1186">
        <v>0.58136019999999999</v>
      </c>
      <c r="F1186" t="s">
        <v>43</v>
      </c>
      <c r="G1186">
        <v>-169.2955</v>
      </c>
      <c r="H1186">
        <v>1.1296839999999999</v>
      </c>
      <c r="I1186">
        <v>355.35789999999997</v>
      </c>
      <c r="J1186">
        <v>-258.87029999999999</v>
      </c>
      <c r="K1186">
        <v>1.1104799999999999</v>
      </c>
      <c r="L1186">
        <v>367.50299999999999</v>
      </c>
      <c r="M1186">
        <v>0.99989150000000004</v>
      </c>
      <c r="N1186">
        <v>-1.423686E-2</v>
      </c>
      <c r="O1186">
        <v>-3.827544E-3</v>
      </c>
      <c r="P1186">
        <v>0.980966</v>
      </c>
      <c r="Q1186">
        <v>0.17781279999999999</v>
      </c>
      <c r="R1186">
        <v>7.8029139999999997E-2</v>
      </c>
      <c r="S1186">
        <v>3.0912320000000002</v>
      </c>
      <c r="T1186">
        <v>6.6459179999999905E-4</v>
      </c>
      <c r="U1186">
        <v>-0.4183655</v>
      </c>
      <c r="V1186">
        <v>-8.1776139999999997E-2</v>
      </c>
      <c r="W1186">
        <v>0.19175929999999999</v>
      </c>
      <c r="X1186">
        <v>0.97802920000000004</v>
      </c>
      <c r="Y1186">
        <v>0.13032289999999999</v>
      </c>
      <c r="Z1186">
        <v>-9.73075E-4</v>
      </c>
      <c r="AA1186">
        <v>0.99147110000000005</v>
      </c>
      <c r="AB1186">
        <v>33</v>
      </c>
      <c r="AC1186">
        <v>89.574799999999897</v>
      </c>
      <c r="AD1186">
        <v>1.9203999999999999E-2</v>
      </c>
      <c r="AE1186">
        <v>-12.145099999999999</v>
      </c>
      <c r="AF1186">
        <v>11.8021243060532</v>
      </c>
      <c r="AG1186">
        <v>1.9203999999999999E-2</v>
      </c>
      <c r="AH1186">
        <v>89.6206302886076</v>
      </c>
      <c r="AI1186">
        <v>89.987827695787502</v>
      </c>
      <c r="AJ1186">
        <v>82.497898255155505</v>
      </c>
      <c r="AK1186">
        <v>90.394401819230097</v>
      </c>
      <c r="AL1186">
        <v>78.944527692825901</v>
      </c>
      <c r="AM1186">
        <v>94.779565266803402</v>
      </c>
      <c r="AN1186">
        <v>1.00000004113121</v>
      </c>
    </row>
    <row r="1187" spans="1:40" x14ac:dyDescent="0.25">
      <c r="A1187" t="str">
        <f>"20190304155035104"</f>
        <v>20190304155035104</v>
      </c>
      <c r="B1187" t="str">
        <f>"1551685835098023"</f>
        <v>1551685835098023</v>
      </c>
      <c r="C1187" t="s">
        <v>40</v>
      </c>
      <c r="D1187">
        <v>5.5571960000000002</v>
      </c>
      <c r="E1187">
        <v>0.58573209999999998</v>
      </c>
      <c r="F1187" t="s">
        <v>43</v>
      </c>
      <c r="G1187">
        <v>-169.2955</v>
      </c>
      <c r="H1187">
        <v>1.136978</v>
      </c>
      <c r="I1187">
        <v>355.42680000000001</v>
      </c>
      <c r="J1187">
        <v>-258.58609999999999</v>
      </c>
      <c r="K1187">
        <v>1.1104849999999999</v>
      </c>
      <c r="L1187">
        <v>367.50189999999998</v>
      </c>
      <c r="M1187">
        <v>0.99989099999999997</v>
      </c>
      <c r="N1187">
        <v>-1.42627E-2</v>
      </c>
      <c r="O1187">
        <v>-3.8274899999999998E-3</v>
      </c>
      <c r="P1187">
        <v>0.98094340000000002</v>
      </c>
      <c r="Q1187">
        <v>0.17797979999999899</v>
      </c>
      <c r="R1187">
        <v>7.7931700000000007E-2</v>
      </c>
      <c r="S1187">
        <v>3.091202</v>
      </c>
      <c r="T1187">
        <v>9.1743469999999998E-4</v>
      </c>
      <c r="U1187">
        <v>-0.41674800000000001</v>
      </c>
      <c r="V1187">
        <v>-8.1678819999999999E-2</v>
      </c>
      <c r="W1187">
        <v>0.19195119999999999</v>
      </c>
      <c r="X1187">
        <v>0.97799959999999997</v>
      </c>
      <c r="Y1187">
        <v>0.12981480000000001</v>
      </c>
      <c r="Z1187">
        <v>-9.6627469999999995E-4</v>
      </c>
      <c r="AA1187">
        <v>0.99153780000000002</v>
      </c>
      <c r="AB1187">
        <v>33</v>
      </c>
      <c r="AC1187">
        <v>89.290599999999898</v>
      </c>
      <c r="AD1187">
        <v>2.64930000000001E-2</v>
      </c>
      <c r="AE1187">
        <v>-12.0750999999999</v>
      </c>
      <c r="AF1187">
        <v>11.7332168888894</v>
      </c>
      <c r="AG1187">
        <v>2.64930000000001E-2</v>
      </c>
      <c r="AH1187">
        <v>89.336160125955402</v>
      </c>
      <c r="AI1187">
        <v>89.983153382754907</v>
      </c>
      <c r="AJ1187">
        <v>82.517723011540994</v>
      </c>
      <c r="AK1187">
        <v>90.1033772202303</v>
      </c>
      <c r="AL1187">
        <v>78.933323551479603</v>
      </c>
      <c r="AM1187">
        <v>94.774047333347696</v>
      </c>
      <c r="AN1187">
        <v>0.99999995520909502</v>
      </c>
    </row>
    <row r="1188" spans="1:40" x14ac:dyDescent="0.25">
      <c r="A1188" t="str">
        <f>"20190304155035115"</f>
        <v>20190304155035115</v>
      </c>
      <c r="B1188" t="str">
        <f>"1551685835107784"</f>
        <v>1551685835107784</v>
      </c>
      <c r="C1188" t="s">
        <v>40</v>
      </c>
      <c r="D1188">
        <v>5.5606600000000004</v>
      </c>
      <c r="E1188">
        <v>0.58624290000000001</v>
      </c>
      <c r="F1188" t="s">
        <v>41</v>
      </c>
      <c r="G1188">
        <v>-239.24889999999999</v>
      </c>
      <c r="H1188" s="1">
        <v>-1.549295E-6</v>
      </c>
      <c r="I1188">
        <v>364.70190000000002</v>
      </c>
      <c r="J1188">
        <v>-258.42129999999997</v>
      </c>
      <c r="K1188">
        <v>1.110487</v>
      </c>
      <c r="L1188">
        <v>367.50130000000001</v>
      </c>
      <c r="M1188">
        <v>0.99989079999999997</v>
      </c>
      <c r="N1188">
        <v>-1.427602E-2</v>
      </c>
      <c r="O1188">
        <v>-3.827586E-3</v>
      </c>
      <c r="P1188">
        <v>0.98094840000000005</v>
      </c>
      <c r="Q1188">
        <v>0.17797789999999999</v>
      </c>
      <c r="R1188">
        <v>7.7875009999999995E-2</v>
      </c>
      <c r="S1188">
        <v>3.1268310000000001</v>
      </c>
      <c r="T1188">
        <v>-0.17956569999999999</v>
      </c>
      <c r="U1188">
        <v>-0.45275880000000002</v>
      </c>
      <c r="V1188">
        <v>-8.1622650000000005E-2</v>
      </c>
      <c r="W1188">
        <v>0.19196240000000001</v>
      </c>
      <c r="X1188">
        <v>0.97800209999999999</v>
      </c>
      <c r="Y1188">
        <v>0.1392359</v>
      </c>
      <c r="Z1188">
        <v>-4.8099500000000003E-3</v>
      </c>
      <c r="AA1188">
        <v>0.99024749999999995</v>
      </c>
      <c r="AB1188">
        <v>33</v>
      </c>
      <c r="AC1188">
        <v>19.1723999999999</v>
      </c>
      <c r="AD1188">
        <v>-1.1104885492950001</v>
      </c>
      <c r="AE1188">
        <v>-2.7993999999999901</v>
      </c>
      <c r="AF1188">
        <v>2.7170628992302199</v>
      </c>
      <c r="AG1188">
        <v>-1.1104885492950001</v>
      </c>
      <c r="AH1188">
        <v>19.120168961198299</v>
      </c>
      <c r="AI1188">
        <v>93.290983455836994</v>
      </c>
      <c r="AJ1188">
        <v>81.912160391664798</v>
      </c>
      <c r="AK1188">
        <v>19.344158723533599</v>
      </c>
      <c r="AL1188">
        <v>78.932669775238296</v>
      </c>
      <c r="AM1188">
        <v>94.770767271703406</v>
      </c>
      <c r="AN1188">
        <v>0.99999996380559497</v>
      </c>
    </row>
    <row r="1189" spans="1:40" x14ac:dyDescent="0.25">
      <c r="A1189" t="str">
        <f>"20190304155035128"</f>
        <v>20190304155035128</v>
      </c>
      <c r="B1189" t="str">
        <f>"1551685835117544"</f>
        <v>1551685835117544</v>
      </c>
      <c r="C1189" t="s">
        <v>40</v>
      </c>
      <c r="D1189">
        <v>5.6225440000000004</v>
      </c>
      <c r="E1189">
        <v>0.58462429999999999</v>
      </c>
      <c r="F1189" t="s">
        <v>41</v>
      </c>
      <c r="G1189">
        <v>-237.54740000000001</v>
      </c>
      <c r="H1189" s="1">
        <v>-2.1958580000000001E-6</v>
      </c>
      <c r="I1189">
        <v>364.44810000000001</v>
      </c>
      <c r="J1189">
        <v>-258.23779999999999</v>
      </c>
      <c r="K1189">
        <v>1.1104959999999999</v>
      </c>
      <c r="L1189">
        <v>367.50049999999999</v>
      </c>
      <c r="M1189">
        <v>0.99989059999999996</v>
      </c>
      <c r="N1189">
        <v>-1.429015E-2</v>
      </c>
      <c r="O1189">
        <v>-3.8274479999999998E-3</v>
      </c>
      <c r="P1189">
        <v>0.98090129999999998</v>
      </c>
      <c r="Q1189">
        <v>0.1782716</v>
      </c>
      <c r="R1189">
        <v>7.7794360000000007E-2</v>
      </c>
      <c r="S1189">
        <v>3.1247099999999999</v>
      </c>
      <c r="T1189">
        <v>-0.16623309999999999</v>
      </c>
      <c r="U1189">
        <v>-0.45703129999999997</v>
      </c>
      <c r="V1189">
        <v>-8.154119E-2</v>
      </c>
      <c r="W1189">
        <v>0.19226979999999999</v>
      </c>
      <c r="X1189">
        <v>0.9779485</v>
      </c>
      <c r="Y1189">
        <v>0.14068989999999901</v>
      </c>
      <c r="Z1189">
        <v>-4.5834220000000002E-3</v>
      </c>
      <c r="AA1189">
        <v>0.99004309999999995</v>
      </c>
      <c r="AB1189">
        <v>33</v>
      </c>
      <c r="AC1189">
        <v>20.690399999999901</v>
      </c>
      <c r="AD1189">
        <v>-1.110498195858</v>
      </c>
      <c r="AE1189">
        <v>-3.0523999999999698</v>
      </c>
      <c r="AF1189">
        <v>2.9648192942419</v>
      </c>
      <c r="AG1189">
        <v>-1.110498195858</v>
      </c>
      <c r="AH1189">
        <v>20.643730849630298</v>
      </c>
      <c r="AI1189">
        <v>93.047958112759403</v>
      </c>
      <c r="AJ1189">
        <v>81.827158540772501</v>
      </c>
      <c r="AK1189">
        <v>20.885089970658299</v>
      </c>
      <c r="AL1189">
        <v>78.914722641036306</v>
      </c>
      <c r="AM1189">
        <v>94.766287970981793</v>
      </c>
      <c r="AN1189">
        <v>0.99999995515545104</v>
      </c>
    </row>
    <row r="1190" spans="1:40" x14ac:dyDescent="0.25">
      <c r="A1190" t="str">
        <f>"20190304155035139"</f>
        <v>20190304155035139</v>
      </c>
      <c r="B1190" t="str">
        <f>"1551685835138040"</f>
        <v>1551685835138040</v>
      </c>
      <c r="C1190" t="s">
        <v>40</v>
      </c>
      <c r="D1190">
        <v>5.6430189999999998</v>
      </c>
      <c r="E1190">
        <v>0.58165579999999995</v>
      </c>
      <c r="F1190" t="s">
        <v>41</v>
      </c>
      <c r="G1190">
        <v>-237.82749999999999</v>
      </c>
      <c r="H1190" s="1">
        <v>-2.060698E-6</v>
      </c>
      <c r="I1190">
        <v>364.59780000000001</v>
      </c>
      <c r="J1190">
        <v>-258.06279999999998</v>
      </c>
      <c r="K1190">
        <v>1.1104989999999999</v>
      </c>
      <c r="L1190">
        <v>367.49990000000003</v>
      </c>
      <c r="M1190">
        <v>0.99989039999999996</v>
      </c>
      <c r="N1190">
        <v>-1.430185E-2</v>
      </c>
      <c r="O1190">
        <v>-3.827413E-3</v>
      </c>
      <c r="P1190">
        <v>0.98091510000000004</v>
      </c>
      <c r="Q1190">
        <v>0.1782376</v>
      </c>
      <c r="R1190">
        <v>7.7700469999999994E-2</v>
      </c>
      <c r="S1190">
        <v>3.1245419999999999</v>
      </c>
      <c r="T1190">
        <v>-0.17000190000000001</v>
      </c>
      <c r="U1190">
        <v>-0.4443665</v>
      </c>
      <c r="V1190">
        <v>-8.1447350000000002E-2</v>
      </c>
      <c r="W1190">
        <v>0.19224730000000001</v>
      </c>
      <c r="X1190">
        <v>0.97796079999999996</v>
      </c>
      <c r="Y1190">
        <v>0.136762299999999</v>
      </c>
      <c r="Z1190">
        <v>-4.5304280000000004E-3</v>
      </c>
      <c r="AA1190">
        <v>0.99059359999999996</v>
      </c>
      <c r="AB1190">
        <v>33</v>
      </c>
      <c r="AC1190">
        <v>20.235299999999899</v>
      </c>
      <c r="AD1190">
        <v>-1.1105010606979999</v>
      </c>
      <c r="AE1190">
        <v>-2.9021000000000101</v>
      </c>
      <c r="AF1190">
        <v>2.8163108949725602</v>
      </c>
      <c r="AG1190">
        <v>-1.1105010606979999</v>
      </c>
      <c r="AH1190">
        <v>20.186688516037801</v>
      </c>
      <c r="AI1190">
        <v>93.118612460926599</v>
      </c>
      <c r="AJ1190">
        <v>82.057743001885797</v>
      </c>
      <c r="AK1190">
        <v>20.412427903277099</v>
      </c>
      <c r="AL1190">
        <v>78.916036927517894</v>
      </c>
      <c r="AM1190">
        <v>94.760768411117098</v>
      </c>
      <c r="AN1190">
        <v>1.0000000107579701</v>
      </c>
    </row>
    <row r="1191" spans="1:40" x14ac:dyDescent="0.25">
      <c r="A1191" t="str">
        <f>"20190304155035151"</f>
        <v>20190304155035151</v>
      </c>
      <c r="B1191" t="str">
        <f>"1551685835147802"</f>
        <v>1551685835147802</v>
      </c>
      <c r="C1191" t="s">
        <v>40</v>
      </c>
      <c r="D1191">
        <v>5.6267209999999999</v>
      </c>
      <c r="E1191">
        <v>0.58153069999999996</v>
      </c>
      <c r="F1191" t="s">
        <v>41</v>
      </c>
      <c r="G1191">
        <v>-238.44130000000001</v>
      </c>
      <c r="H1191" s="1">
        <v>-1.7837029999999901E-6</v>
      </c>
      <c r="I1191">
        <v>364.85379999999998</v>
      </c>
      <c r="J1191">
        <v>-257.91039999999998</v>
      </c>
      <c r="K1191">
        <v>1.110501</v>
      </c>
      <c r="L1191">
        <v>367.49939999999998</v>
      </c>
      <c r="M1191">
        <v>0.99989030000000001</v>
      </c>
      <c r="N1191">
        <v>-1.4311569999999999E-2</v>
      </c>
      <c r="O1191">
        <v>-3.8274820000000001E-3</v>
      </c>
      <c r="P1191">
        <v>0.98089009999999999</v>
      </c>
      <c r="Q1191">
        <v>0.17837069999999999</v>
      </c>
      <c r="R1191">
        <v>7.770987E-2</v>
      </c>
      <c r="S1191">
        <v>3.12384</v>
      </c>
      <c r="T1191">
        <v>-0.17679629999999999</v>
      </c>
      <c r="U1191">
        <v>-0.42126459999999999</v>
      </c>
      <c r="V1191">
        <v>-8.1456689999999998E-2</v>
      </c>
      <c r="W1191">
        <v>0.19238920000000001</v>
      </c>
      <c r="X1191">
        <v>0.97793209999999997</v>
      </c>
      <c r="Y1191">
        <v>0.12959780000000001</v>
      </c>
      <c r="Z1191">
        <v>-4.4195069999999996E-3</v>
      </c>
      <c r="AA1191">
        <v>0.99155680000000002</v>
      </c>
      <c r="AB1191">
        <v>33</v>
      </c>
      <c r="AC1191">
        <v>19.469099999999901</v>
      </c>
      <c r="AD1191">
        <v>-1.1105027837029999</v>
      </c>
      <c r="AE1191">
        <v>-2.6456</v>
      </c>
      <c r="AF1191">
        <v>2.5628683051860999</v>
      </c>
      <c r="AG1191">
        <v>-1.1105027837029999</v>
      </c>
      <c r="AH1191">
        <v>19.417056823916901</v>
      </c>
      <c r="AI1191">
        <v>93.245216408602502</v>
      </c>
      <c r="AJ1191">
        <v>82.480960990638806</v>
      </c>
      <c r="AK1191">
        <v>19.616921422220098</v>
      </c>
      <c r="AL1191">
        <v>78.907751814919607</v>
      </c>
      <c r="AM1191">
        <v>94.761450934728998</v>
      </c>
      <c r="AN1191">
        <v>0.99999999441640297</v>
      </c>
    </row>
    <row r="1192" spans="1:40" x14ac:dyDescent="0.25">
      <c r="A1192" t="str">
        <f>"20190304155035163"</f>
        <v>20190304155035163</v>
      </c>
      <c r="B1192" t="str">
        <f>"1551685835157560"</f>
        <v>1551685835157560</v>
      </c>
      <c r="C1192" t="s">
        <v>40</v>
      </c>
      <c r="D1192">
        <v>4.7881650000000002</v>
      </c>
      <c r="E1192">
        <v>0.58153069999999996</v>
      </c>
      <c r="F1192" t="s">
        <v>41</v>
      </c>
      <c r="G1192">
        <v>-238.2045</v>
      </c>
      <c r="H1192" s="1">
        <v>-1.865862E-6</v>
      </c>
      <c r="I1192">
        <v>364.84800000000001</v>
      </c>
      <c r="J1192">
        <v>-257.73719999999997</v>
      </c>
      <c r="K1192">
        <v>1.1105069999999999</v>
      </c>
      <c r="L1192">
        <v>367.49869999999999</v>
      </c>
      <c r="M1192">
        <v>0.9998901</v>
      </c>
      <c r="N1192">
        <v>-1.432141E-2</v>
      </c>
      <c r="O1192">
        <v>-3.8273140000000001E-3</v>
      </c>
      <c r="P1192">
        <v>0.9808981</v>
      </c>
      <c r="Q1192">
        <v>0.17833929999999901</v>
      </c>
      <c r="R1192">
        <v>7.7678810000000001E-2</v>
      </c>
      <c r="S1192">
        <v>3.123764</v>
      </c>
      <c r="T1192">
        <v>-0.1760352</v>
      </c>
      <c r="U1192">
        <v>-0.4202881</v>
      </c>
      <c r="V1192">
        <v>-8.1425349999999994E-2</v>
      </c>
      <c r="W1192">
        <v>0.19236809999999999</v>
      </c>
      <c r="X1192">
        <v>0.97793890000000006</v>
      </c>
      <c r="Y1192">
        <v>0.1292992</v>
      </c>
      <c r="Z1192">
        <v>-4.395047E-3</v>
      </c>
      <c r="AA1192">
        <v>0.99159589999999997</v>
      </c>
      <c r="AB1192">
        <v>33</v>
      </c>
      <c r="AC1192">
        <v>19.532699999999899</v>
      </c>
      <c r="AD1192">
        <v>-1.1105088658619999</v>
      </c>
      <c r="AE1192">
        <v>-2.6506999999999699</v>
      </c>
      <c r="AF1192">
        <v>2.5677652870769201</v>
      </c>
      <c r="AG1192">
        <v>-1.1105088658619999</v>
      </c>
      <c r="AH1192">
        <v>19.480872524224601</v>
      </c>
      <c r="AI1192">
        <v>93.234701717436295</v>
      </c>
      <c r="AJ1192">
        <v>82.491154335330606</v>
      </c>
      <c r="AK1192">
        <v>19.680727700361199</v>
      </c>
      <c r="AL1192">
        <v>78.908984199216306</v>
      </c>
      <c r="AM1192">
        <v>94.759594467825394</v>
      </c>
      <c r="AN1192">
        <v>1.00000003282672</v>
      </c>
    </row>
    <row r="1193" spans="1:40" x14ac:dyDescent="0.25">
      <c r="A1193" t="str">
        <f>"20190304155035175"</f>
        <v>20190304155035175</v>
      </c>
      <c r="B1193" t="str">
        <f>"1551685835167320"</f>
        <v>1551685835167320</v>
      </c>
      <c r="C1193" t="s">
        <v>40</v>
      </c>
      <c r="D1193">
        <v>5.3972470000000001</v>
      </c>
      <c r="E1193">
        <v>0.57788499999999998</v>
      </c>
      <c r="F1193" t="s">
        <v>41</v>
      </c>
      <c r="G1193">
        <v>-238.04859999999999</v>
      </c>
      <c r="H1193" s="1">
        <v>-1.9185130000000001E-6</v>
      </c>
      <c r="I1193">
        <v>364.8494</v>
      </c>
      <c r="J1193">
        <v>-257.57240000000002</v>
      </c>
      <c r="K1193">
        <v>1.110509</v>
      </c>
      <c r="L1193">
        <v>367.49810000000002</v>
      </c>
      <c r="M1193">
        <v>0.99989019999999995</v>
      </c>
      <c r="N1193">
        <v>-1.433005E-2</v>
      </c>
      <c r="O1193">
        <v>-3.827376E-3</v>
      </c>
      <c r="P1193">
        <v>0.98089899999999997</v>
      </c>
      <c r="Q1193">
        <v>0.17839160000000001</v>
      </c>
      <c r="R1193">
        <v>7.7549419999999994E-2</v>
      </c>
      <c r="S1193">
        <v>3.1237789999999999</v>
      </c>
      <c r="T1193">
        <v>-0.17619170000000001</v>
      </c>
      <c r="U1193">
        <v>-0.42031859999999999</v>
      </c>
      <c r="V1193">
        <v>-8.1296119999999999E-2</v>
      </c>
      <c r="W1193">
        <v>0.1924284</v>
      </c>
      <c r="X1193">
        <v>0.97793779999999997</v>
      </c>
      <c r="Y1193">
        <v>0.12930749999999999</v>
      </c>
      <c r="Z1193">
        <v>-4.3989440000000001E-3</v>
      </c>
      <c r="AA1193">
        <v>0.9915948</v>
      </c>
      <c r="AB1193">
        <v>33</v>
      </c>
      <c r="AC1193">
        <v>19.523800000000001</v>
      </c>
      <c r="AD1193">
        <v>-1.110510918513</v>
      </c>
      <c r="AE1193">
        <v>-2.6487000000000198</v>
      </c>
      <c r="AF1193">
        <v>2.5657968676230798</v>
      </c>
      <c r="AG1193">
        <v>-1.110510918513</v>
      </c>
      <c r="AH1193">
        <v>19.471936199852198</v>
      </c>
      <c r="AI1193">
        <v>93.236206028183801</v>
      </c>
      <c r="AJ1193">
        <v>82.4934407323736</v>
      </c>
      <c r="AK1193">
        <v>19.671625439631502</v>
      </c>
      <c r="AL1193">
        <v>78.905463616809698</v>
      </c>
      <c r="AM1193">
        <v>94.752080468015393</v>
      </c>
      <c r="AN1193">
        <v>1.00000004446122</v>
      </c>
    </row>
    <row r="1194" spans="1:40" x14ac:dyDescent="0.25">
      <c r="A1194" t="str">
        <f>"20190304155035185"</f>
        <v>20190304155035185</v>
      </c>
      <c r="B1194" t="str">
        <f>"1551685835177079"</f>
        <v>1551685835177079</v>
      </c>
      <c r="C1194" t="s">
        <v>40</v>
      </c>
      <c r="D1194">
        <v>5.1427420000000001</v>
      </c>
      <c r="E1194">
        <v>0.57253489999999996</v>
      </c>
      <c r="F1194" t="s">
        <v>41</v>
      </c>
      <c r="G1194">
        <v>-229.78229999999999</v>
      </c>
      <c r="H1194" s="1">
        <v>-1.553692E-6</v>
      </c>
      <c r="I1194">
        <v>364.00319999999999</v>
      </c>
      <c r="J1194">
        <v>-257.39350000000002</v>
      </c>
      <c r="K1194">
        <v>1.1105100000000001</v>
      </c>
      <c r="L1194">
        <v>367.49740000000003</v>
      </c>
      <c r="M1194">
        <v>0.9998899</v>
      </c>
      <c r="N1194">
        <v>-1.433883E-2</v>
      </c>
      <c r="O1194">
        <v>-3.8272010000000001E-3</v>
      </c>
      <c r="P1194">
        <v>0.98085840000000002</v>
      </c>
      <c r="Q1194">
        <v>0.1785775</v>
      </c>
      <c r="R1194">
        <v>7.7632140000000002E-2</v>
      </c>
      <c r="S1194">
        <v>3.1119690000000002</v>
      </c>
      <c r="T1194">
        <v>-0.1243557</v>
      </c>
      <c r="U1194">
        <v>-0.39135740000000002</v>
      </c>
      <c r="V1194">
        <v>-8.1378300000000001E-2</v>
      </c>
      <c r="W1194">
        <v>0.1926226</v>
      </c>
      <c r="X1194">
        <v>0.97789269999999995</v>
      </c>
      <c r="Y1194">
        <v>0.1208491</v>
      </c>
      <c r="Z1194">
        <v>-3.176885E-3</v>
      </c>
      <c r="AA1194">
        <v>0.99266580000000004</v>
      </c>
      <c r="AB1194">
        <v>33</v>
      </c>
      <c r="AC1194">
        <v>27.6112</v>
      </c>
      <c r="AD1194">
        <v>-1.1105115536920001</v>
      </c>
      <c r="AE1194">
        <v>-3.4942000000000299</v>
      </c>
      <c r="AF1194">
        <v>3.38310362664738</v>
      </c>
      <c r="AG1194">
        <v>-1.1105115536920001</v>
      </c>
      <c r="AH1194">
        <v>27.580460746785501</v>
      </c>
      <c r="AI1194">
        <v>92.288601766947394</v>
      </c>
      <c r="AJ1194">
        <v>83.006858370195403</v>
      </c>
      <c r="AK1194">
        <v>27.8093588754666</v>
      </c>
      <c r="AL1194">
        <v>78.894124295856798</v>
      </c>
      <c r="AM1194">
        <v>94.757080559732103</v>
      </c>
      <c r="AN1194">
        <v>1.00000001322747</v>
      </c>
    </row>
    <row r="1195" spans="1:40" x14ac:dyDescent="0.25">
      <c r="A1195" t="str">
        <f>"20190304155035198"</f>
        <v>20190304155035198</v>
      </c>
      <c r="B1195" t="str">
        <f>"1551685835187816"</f>
        <v>1551685835187816</v>
      </c>
      <c r="C1195" t="s">
        <v>40</v>
      </c>
      <c r="D1195">
        <v>5.1058260000000004</v>
      </c>
      <c r="E1195">
        <v>0.56807200000000002</v>
      </c>
      <c r="F1195" t="s">
        <v>41</v>
      </c>
      <c r="G1195">
        <v>-227.41640000000001</v>
      </c>
      <c r="H1195" s="1">
        <v>-2.3235310000000001E-6</v>
      </c>
      <c r="I1195">
        <v>364.13580000000002</v>
      </c>
      <c r="J1195">
        <v>-257.21879999999999</v>
      </c>
      <c r="K1195">
        <v>1.1105119999999999</v>
      </c>
      <c r="L1195">
        <v>367.49669999999998</v>
      </c>
      <c r="M1195">
        <v>0.9998899</v>
      </c>
      <c r="N1195">
        <v>-1.4346299999999999E-2</v>
      </c>
      <c r="O1195">
        <v>-3.8273729999999998E-3</v>
      </c>
      <c r="P1195">
        <v>0.98088589999999998</v>
      </c>
      <c r="Q1195">
        <v>0.1784385</v>
      </c>
      <c r="R1195">
        <v>7.7606980000000006E-2</v>
      </c>
      <c r="S1195">
        <v>3.1070709999999999</v>
      </c>
      <c r="T1195">
        <v>-0.1151023</v>
      </c>
      <c r="U1195">
        <v>-0.34841919999999998</v>
      </c>
      <c r="V1195">
        <v>-8.1353369999999994E-2</v>
      </c>
      <c r="W1195">
        <v>0.1924911</v>
      </c>
      <c r="X1195">
        <v>0.97792069999999998</v>
      </c>
      <c r="Y1195">
        <v>0.1075339</v>
      </c>
      <c r="Z1195">
        <v>-2.672528E-3</v>
      </c>
      <c r="AA1195">
        <v>0.99419780000000002</v>
      </c>
      <c r="AB1195">
        <v>33</v>
      </c>
      <c r="AC1195">
        <v>29.802399999999899</v>
      </c>
      <c r="AD1195">
        <v>-1.110514323531</v>
      </c>
      <c r="AE1195">
        <v>-3.3608999999999498</v>
      </c>
      <c r="AF1195">
        <v>3.24235328200142</v>
      </c>
      <c r="AG1195">
        <v>-1.110514323531</v>
      </c>
      <c r="AH1195">
        <v>29.774224069488</v>
      </c>
      <c r="AI1195">
        <v>92.123476630877093</v>
      </c>
      <c r="AJ1195">
        <v>83.785094372655806</v>
      </c>
      <c r="AK1195">
        <v>29.970827746462898</v>
      </c>
      <c r="AL1195">
        <v>78.901802736224496</v>
      </c>
      <c r="AM1195">
        <v>94.755494387705298</v>
      </c>
      <c r="AN1195">
        <v>1.0000000449390201</v>
      </c>
    </row>
    <row r="1196" spans="1:40" x14ac:dyDescent="0.25">
      <c r="A1196" t="str">
        <f>"20190304155035212"</f>
        <v>20190304155035212</v>
      </c>
      <c r="B1196" t="str">
        <f>"1551685835207336"</f>
        <v>1551685835207336</v>
      </c>
      <c r="C1196" t="s">
        <v>40</v>
      </c>
      <c r="D1196">
        <v>5.1960940000000004</v>
      </c>
      <c r="E1196">
        <v>0.56193400000000004</v>
      </c>
      <c r="F1196" t="s">
        <v>41</v>
      </c>
      <c r="G1196">
        <v>-224.7115</v>
      </c>
      <c r="H1196" s="1">
        <v>-3.2221E-6</v>
      </c>
      <c r="I1196">
        <v>364.21820000000002</v>
      </c>
      <c r="J1196">
        <v>-257.02550000000002</v>
      </c>
      <c r="K1196">
        <v>1.1105149999999999</v>
      </c>
      <c r="L1196">
        <v>367.49599999999998</v>
      </c>
      <c r="M1196">
        <v>0.99988969999999999</v>
      </c>
      <c r="N1196">
        <v>-1.435406E-2</v>
      </c>
      <c r="O1196">
        <v>-3.82731E-3</v>
      </c>
      <c r="P1196">
        <v>0.98086119999999999</v>
      </c>
      <c r="Q1196">
        <v>0.1785823</v>
      </c>
      <c r="R1196">
        <v>7.7586840000000004E-2</v>
      </c>
      <c r="S1196">
        <v>3.1024630000000002</v>
      </c>
      <c r="T1196">
        <v>-0.10598639999999999</v>
      </c>
      <c r="U1196">
        <v>-0.31289670000000003</v>
      </c>
      <c r="V1196">
        <v>-8.1333210000000003E-2</v>
      </c>
      <c r="W1196">
        <v>0.1926418</v>
      </c>
      <c r="X1196">
        <v>0.9778926</v>
      </c>
      <c r="Y1196">
        <v>9.6457559999999998E-2</v>
      </c>
      <c r="Z1196">
        <v>-2.26172E-3</v>
      </c>
      <c r="AA1196">
        <v>0.99533450000000001</v>
      </c>
      <c r="AB1196">
        <v>32</v>
      </c>
      <c r="AC1196">
        <v>32.314</v>
      </c>
      <c r="AD1196">
        <v>-1.1105182220999901</v>
      </c>
      <c r="AE1196">
        <v>-3.2777999999999499</v>
      </c>
      <c r="AF1196">
        <v>3.1504046504362302</v>
      </c>
      <c r="AG1196">
        <v>-1.1105182220999901</v>
      </c>
      <c r="AH1196">
        <v>32.288563552911597</v>
      </c>
      <c r="AI1196">
        <v>91.960525961375396</v>
      </c>
      <c r="AJ1196">
        <v>84.427273305308006</v>
      </c>
      <c r="AK1196">
        <v>32.460893957091102</v>
      </c>
      <c r="AL1196">
        <v>78.893002460136202</v>
      </c>
      <c r="AM1196">
        <v>94.754457332123096</v>
      </c>
      <c r="AN1196">
        <v>0.99999994564545003</v>
      </c>
    </row>
    <row r="1197" spans="1:40" x14ac:dyDescent="0.25">
      <c r="A1197" t="str">
        <f>"20190304155035227"</f>
        <v>20190304155035227</v>
      </c>
      <c r="B1197" t="str">
        <f>"1551685835217096"</f>
        <v>1551685835217096</v>
      </c>
      <c r="C1197" t="s">
        <v>40</v>
      </c>
      <c r="D1197">
        <v>5.1347529999999999</v>
      </c>
      <c r="E1197">
        <v>0.56006929999999999</v>
      </c>
      <c r="F1197" t="s">
        <v>41</v>
      </c>
      <c r="G1197">
        <v>-218.22380000000001</v>
      </c>
      <c r="H1197" s="1">
        <v>-2.0355319999999999E-6</v>
      </c>
      <c r="I1197">
        <v>364.18560000000002</v>
      </c>
      <c r="J1197">
        <v>-256.79520000000002</v>
      </c>
      <c r="K1197">
        <v>1.1105179999999999</v>
      </c>
      <c r="L1197">
        <v>367.49509999999998</v>
      </c>
      <c r="M1197">
        <v>0.99988960000000005</v>
      </c>
      <c r="N1197">
        <v>-1.4362389999999999E-2</v>
      </c>
      <c r="O1197">
        <v>-3.8273700000000001E-3</v>
      </c>
      <c r="P1197">
        <v>0.98080160000000005</v>
      </c>
      <c r="Q1197">
        <v>0.17900949999999999</v>
      </c>
      <c r="R1197">
        <v>7.7353660000000005E-2</v>
      </c>
      <c r="S1197">
        <v>3.0955509999999999</v>
      </c>
      <c r="T1197">
        <v>-8.8595629999999995E-2</v>
      </c>
      <c r="U1197">
        <v>-0.26409909999999998</v>
      </c>
      <c r="V1197">
        <v>-8.1099530000000003E-2</v>
      </c>
      <c r="W1197">
        <v>0.19307650000000001</v>
      </c>
      <c r="X1197">
        <v>0.97782639999999998</v>
      </c>
      <c r="Y1197">
        <v>8.1143119999999999E-2</v>
      </c>
      <c r="Z1197">
        <v>-1.688354E-3</v>
      </c>
      <c r="AA1197">
        <v>0.99670099999999995</v>
      </c>
      <c r="AB1197">
        <v>32</v>
      </c>
      <c r="AC1197">
        <v>38.571399999999997</v>
      </c>
      <c r="AD1197">
        <v>-1.110520035532</v>
      </c>
      <c r="AE1197">
        <v>-3.3094999999999501</v>
      </c>
      <c r="AF1197">
        <v>3.1592338475047899</v>
      </c>
      <c r="AG1197">
        <v>-1.110520035532</v>
      </c>
      <c r="AH1197">
        <v>38.552061700158298</v>
      </c>
      <c r="AI1197">
        <v>91.644480774470097</v>
      </c>
      <c r="AJ1197">
        <v>85.315238679322405</v>
      </c>
      <c r="AK1197">
        <v>38.697228254557899</v>
      </c>
      <c r="AL1197">
        <v>78.867620840055196</v>
      </c>
      <c r="AM1197">
        <v>94.741179061684804</v>
      </c>
      <c r="AN1197">
        <v>1.00000006857771</v>
      </c>
    </row>
    <row r="1198" spans="1:40" x14ac:dyDescent="0.25">
      <c r="A1198" t="str">
        <f>"20190304155035241"</f>
        <v>20190304155035241</v>
      </c>
      <c r="B1198" t="str">
        <f>"1551685835237591"</f>
        <v>1551685835237591</v>
      </c>
      <c r="C1198" t="s">
        <v>40</v>
      </c>
      <c r="D1198">
        <v>5.1189989999999996</v>
      </c>
      <c r="E1198">
        <v>0.55563479999999998</v>
      </c>
      <c r="F1198" t="s">
        <v>41</v>
      </c>
      <c r="G1198">
        <v>-213.96080000000001</v>
      </c>
      <c r="H1198" s="1">
        <v>-3.5630189999999999E-6</v>
      </c>
      <c r="I1198">
        <v>364.03590000000003</v>
      </c>
      <c r="J1198">
        <v>-256.59519999999998</v>
      </c>
      <c r="K1198">
        <v>1.1105210000000001</v>
      </c>
      <c r="L1198">
        <v>367.49430000000001</v>
      </c>
      <c r="M1198">
        <v>0.99988960000000005</v>
      </c>
      <c r="N1198">
        <v>-1.436838E-2</v>
      </c>
      <c r="O1198">
        <v>-3.8274120000000001E-3</v>
      </c>
      <c r="P1198">
        <v>0.98079269999999996</v>
      </c>
      <c r="Q1198">
        <v>0.17901549999999999</v>
      </c>
      <c r="R1198">
        <v>7.7455410000000002E-2</v>
      </c>
      <c r="S1198">
        <v>3.0930939999999998</v>
      </c>
      <c r="T1198">
        <v>-8.0191139999999994E-2</v>
      </c>
      <c r="U1198">
        <v>-0.24978639999999999</v>
      </c>
      <c r="V1198">
        <v>-8.1201460000000003E-2</v>
      </c>
      <c r="W1198">
        <v>0.19308819999999999</v>
      </c>
      <c r="X1198">
        <v>0.97781560000000001</v>
      </c>
      <c r="Y1198">
        <v>7.6638529999999996E-2</v>
      </c>
      <c r="Z1198">
        <v>-1.4991900000000001E-3</v>
      </c>
      <c r="AA1198">
        <v>0.99705779999999999</v>
      </c>
      <c r="AB1198">
        <v>32</v>
      </c>
      <c r="AC1198">
        <v>42.6343999999999</v>
      </c>
      <c r="AD1198">
        <v>-1.1105245630189999</v>
      </c>
      <c r="AE1198">
        <v>-3.4583999999999802</v>
      </c>
      <c r="AF1198">
        <v>3.29295883156195</v>
      </c>
      <c r="AG1198">
        <v>-1.1105245630189999</v>
      </c>
      <c r="AH1198">
        <v>42.618598968352103</v>
      </c>
      <c r="AI1198">
        <v>91.488200469763996</v>
      </c>
      <c r="AJ1198">
        <v>85.581775835014199</v>
      </c>
      <c r="AK1198">
        <v>42.760049353299998</v>
      </c>
      <c r="AL1198">
        <v>78.866937287831803</v>
      </c>
      <c r="AM1198">
        <v>94.747162992127102</v>
      </c>
      <c r="AN1198">
        <v>1.00000003884436</v>
      </c>
    </row>
    <row r="1199" spans="1:40" x14ac:dyDescent="0.25">
      <c r="A1199" t="str">
        <f>"20190304155035254"</f>
        <v>20190304155035254</v>
      </c>
      <c r="B1199" t="str">
        <f>"1551685835247352"</f>
        <v>1551685835247352</v>
      </c>
      <c r="C1199" t="s">
        <v>40</v>
      </c>
      <c r="D1199">
        <v>5.6006989999999996</v>
      </c>
      <c r="E1199">
        <v>0.55398950000000002</v>
      </c>
      <c r="F1199" t="s">
        <v>50</v>
      </c>
      <c r="G1199">
        <v>-209.2405</v>
      </c>
      <c r="H1199" s="1">
        <v>-5.8754100000000004E-6</v>
      </c>
      <c r="I1199">
        <v>364.209</v>
      </c>
      <c r="J1199">
        <v>-256.41489999999999</v>
      </c>
      <c r="K1199">
        <v>1.110522</v>
      </c>
      <c r="L1199">
        <v>367.49360000000001</v>
      </c>
      <c r="M1199">
        <v>0.99988940000000004</v>
      </c>
      <c r="N1199">
        <v>-1.437332E-2</v>
      </c>
      <c r="O1199">
        <v>-3.8274479999999998E-3</v>
      </c>
      <c r="P1199">
        <v>0.98075749999999995</v>
      </c>
      <c r="Q1199">
        <v>0.17924770000000001</v>
      </c>
      <c r="R1199">
        <v>7.7362050000000002E-2</v>
      </c>
      <c r="S1199">
        <v>3.0888979999999999</v>
      </c>
      <c r="T1199">
        <v>-7.2438600000000006E-2</v>
      </c>
      <c r="U1199">
        <v>-0.2142944</v>
      </c>
      <c r="V1199">
        <v>-8.1108070000000004E-2</v>
      </c>
      <c r="W1199">
        <v>0.19332489999999999</v>
      </c>
      <c r="X1199">
        <v>0.97777650000000005</v>
      </c>
      <c r="Y1199">
        <v>6.5361440000000007E-2</v>
      </c>
      <c r="Z1199">
        <v>-1.2011159999999999E-3</v>
      </c>
      <c r="AA1199">
        <v>0.99786090000000005</v>
      </c>
      <c r="AB1199">
        <v>32</v>
      </c>
      <c r="AC1199">
        <v>47.174399999999899</v>
      </c>
      <c r="AD1199">
        <v>-1.1105278754100001</v>
      </c>
      <c r="AE1199">
        <v>-3.28460000000001</v>
      </c>
      <c r="AF1199">
        <v>3.1022888109084099</v>
      </c>
      <c r="AG1199">
        <v>-1.1105278754100001</v>
      </c>
      <c r="AH1199">
        <v>47.160618224112497</v>
      </c>
      <c r="AI1199">
        <v>91.346031089877201</v>
      </c>
      <c r="AJ1199">
        <v>86.2364289726154</v>
      </c>
      <c r="AK1199">
        <v>47.275589677008199</v>
      </c>
      <c r="AL1199">
        <v>78.853114047567999</v>
      </c>
      <c r="AM1199">
        <v>94.741916928318503</v>
      </c>
      <c r="AN1199">
        <v>0.99999995996569102</v>
      </c>
    </row>
    <row r="1200" spans="1:40" x14ac:dyDescent="0.25">
      <c r="A1200" t="str">
        <f>"20190304155035265"</f>
        <v>20190304155035265</v>
      </c>
      <c r="B1200" t="str">
        <f>"1551685835257112"</f>
        <v>1551685835257112</v>
      </c>
      <c r="C1200" t="s">
        <v>40</v>
      </c>
      <c r="D1200">
        <v>5.1683539999999999</v>
      </c>
      <c r="E1200">
        <v>0.55270149999999996</v>
      </c>
      <c r="F1200" t="s">
        <v>50</v>
      </c>
      <c r="G1200">
        <v>-203.73240000000001</v>
      </c>
      <c r="H1200" s="1">
        <v>-3.5489079999999998E-6</v>
      </c>
      <c r="I1200">
        <v>364.06049999999999</v>
      </c>
      <c r="J1200">
        <v>-256.2328</v>
      </c>
      <c r="K1200">
        <v>1.110517</v>
      </c>
      <c r="L1200">
        <v>367.49299999999999</v>
      </c>
      <c r="M1200">
        <v>0.99988940000000004</v>
      </c>
      <c r="N1200">
        <v>-1.4377879999999999E-2</v>
      </c>
      <c r="O1200">
        <v>-3.8274810000000002E-3</v>
      </c>
      <c r="P1200">
        <v>0.98074470000000002</v>
      </c>
      <c r="Q1200">
        <v>0.17932790000000001</v>
      </c>
      <c r="R1200">
        <v>7.7341220000000002E-2</v>
      </c>
      <c r="S1200">
        <v>3.0866090000000002</v>
      </c>
      <c r="T1200">
        <v>-6.5064430000000006E-2</v>
      </c>
      <c r="U1200">
        <v>-0.2011414</v>
      </c>
      <c r="V1200">
        <v>-8.1087599999999996E-2</v>
      </c>
      <c r="W1200">
        <v>0.1934091</v>
      </c>
      <c r="X1200">
        <v>0.97776160000000001</v>
      </c>
      <c r="Y1200">
        <v>6.1184910000000002E-2</v>
      </c>
      <c r="Z1200">
        <v>-1.0589379999999999E-3</v>
      </c>
      <c r="AA1200">
        <v>0.99812590000000001</v>
      </c>
      <c r="AB1200">
        <v>32</v>
      </c>
      <c r="AC1200">
        <v>52.5003999999999</v>
      </c>
      <c r="AD1200">
        <v>-1.1105205489079999</v>
      </c>
      <c r="AE1200">
        <v>-3.4325000000000601</v>
      </c>
      <c r="AF1200">
        <v>3.2300707257072299</v>
      </c>
      <c r="AG1200">
        <v>-1.1105205489079999</v>
      </c>
      <c r="AH1200">
        <v>52.489768861285199</v>
      </c>
      <c r="AI1200">
        <v>91.209732322574993</v>
      </c>
      <c r="AJ1200">
        <v>86.478621544112997</v>
      </c>
      <c r="AK1200">
        <v>52.600783719387302</v>
      </c>
      <c r="AL1200">
        <v>78.848197534576002</v>
      </c>
      <c r="AM1200">
        <v>94.740797535955295</v>
      </c>
      <c r="AN1200">
        <v>1.0000000126355599</v>
      </c>
    </row>
    <row r="1201" spans="1:40" x14ac:dyDescent="0.25">
      <c r="A1201" t="str">
        <f>"20190304155035278"</f>
        <v>20190304155035278</v>
      </c>
      <c r="B1201" t="str">
        <f>"1551685835267848"</f>
        <v>1551685835267848</v>
      </c>
      <c r="C1201" t="s">
        <v>40</v>
      </c>
      <c r="D1201">
        <v>5.1430720000000001</v>
      </c>
      <c r="E1201">
        <v>0.55148889999999995</v>
      </c>
      <c r="F1201" t="s">
        <v>50</v>
      </c>
      <c r="G1201">
        <v>-204.29589999999999</v>
      </c>
      <c r="H1201" s="1">
        <v>-3.7836009999999999E-6</v>
      </c>
      <c r="I1201">
        <v>364.28089999999997</v>
      </c>
      <c r="J1201">
        <v>-256.05700000000002</v>
      </c>
      <c r="K1201">
        <v>1.110519</v>
      </c>
      <c r="L1201">
        <v>367.4923</v>
      </c>
      <c r="M1201">
        <v>0.99988940000000004</v>
      </c>
      <c r="N1201">
        <v>-1.4381649999999999E-2</v>
      </c>
      <c r="O1201">
        <v>-3.8275079999999999E-3</v>
      </c>
      <c r="P1201">
        <v>0.98072400000000004</v>
      </c>
      <c r="Q1201">
        <v>0.1794635</v>
      </c>
      <c r="R1201">
        <v>7.7289549999999999E-2</v>
      </c>
      <c r="S1201">
        <v>3.086014</v>
      </c>
      <c r="T1201">
        <v>-6.5985559999999999E-2</v>
      </c>
      <c r="U1201">
        <v>-0.1908569</v>
      </c>
      <c r="V1201">
        <v>-8.1035449999999995E-2</v>
      </c>
      <c r="W1201">
        <v>0.1935481</v>
      </c>
      <c r="X1201">
        <v>0.97773840000000001</v>
      </c>
      <c r="Y1201">
        <v>5.78848E-2</v>
      </c>
      <c r="Z1201">
        <v>-1.008173E-3</v>
      </c>
      <c r="AA1201">
        <v>0.99832279999999995</v>
      </c>
      <c r="AB1201">
        <v>32</v>
      </c>
      <c r="AC1201">
        <v>51.761099999999999</v>
      </c>
      <c r="AD1201">
        <v>-1.1105227836010001</v>
      </c>
      <c r="AE1201">
        <v>-3.2114000000000198</v>
      </c>
      <c r="AF1201">
        <v>3.0118589202958899</v>
      </c>
      <c r="AG1201">
        <v>-1.1105227836010001</v>
      </c>
      <c r="AH1201">
        <v>51.749284466345202</v>
      </c>
      <c r="AI1201">
        <v>91.227283841174298</v>
      </c>
      <c r="AJ1201">
        <v>86.669087250469104</v>
      </c>
      <c r="AK1201">
        <v>51.848751169024098</v>
      </c>
      <c r="AL1201">
        <v>78.840079837800701</v>
      </c>
      <c r="AM1201">
        <v>94.737874369802697</v>
      </c>
      <c r="AN1201">
        <v>0.99999999500243597</v>
      </c>
    </row>
    <row r="1202" spans="1:40" x14ac:dyDescent="0.25">
      <c r="A1202" t="str">
        <f>"20190304155035295"</f>
        <v>20190304155035295</v>
      </c>
      <c r="B1202" t="str">
        <f>"1551685835287369"</f>
        <v>1551685835287369</v>
      </c>
      <c r="C1202" t="s">
        <v>40</v>
      </c>
      <c r="D1202">
        <v>5.3209739999999996</v>
      </c>
      <c r="E1202">
        <v>0.5495179</v>
      </c>
      <c r="F1202" t="s">
        <v>50</v>
      </c>
      <c r="G1202">
        <v>-204.45249999999999</v>
      </c>
      <c r="H1202" s="1">
        <v>-3.8229189999999997E-6</v>
      </c>
      <c r="I1202">
        <v>364.45890000000003</v>
      </c>
      <c r="J1202">
        <v>-255.82589999999999</v>
      </c>
      <c r="K1202">
        <v>1.1105259999999999</v>
      </c>
      <c r="L1202">
        <v>367.4914</v>
      </c>
      <c r="M1202">
        <v>0.99988940000000004</v>
      </c>
      <c r="N1202">
        <v>-1.4386100000000001E-2</v>
      </c>
      <c r="O1202">
        <v>-3.8275399999999999E-3</v>
      </c>
      <c r="P1202">
        <v>0.98068900000000003</v>
      </c>
      <c r="Q1202">
        <v>0.179558299999999</v>
      </c>
      <c r="R1202">
        <v>7.7513760000000001E-2</v>
      </c>
      <c r="S1202">
        <v>3.0854189999999999</v>
      </c>
      <c r="T1202">
        <v>-6.6397789999999998E-2</v>
      </c>
      <c r="U1202">
        <v>-0.181366</v>
      </c>
      <c r="V1202">
        <v>-8.1259490000000004E-2</v>
      </c>
      <c r="W1202">
        <v>0.19364680000000001</v>
      </c>
      <c r="X1202">
        <v>0.97770029999999997</v>
      </c>
      <c r="Y1202">
        <v>5.4837539999999997E-2</v>
      </c>
      <c r="Z1202">
        <v>-9.5709009999999999E-4</v>
      </c>
      <c r="AA1202">
        <v>0.99849480000000002</v>
      </c>
      <c r="AB1202">
        <v>32</v>
      </c>
      <c r="AC1202">
        <v>51.373399999999997</v>
      </c>
      <c r="AD1202">
        <v>-1.1105298229189999</v>
      </c>
      <c r="AE1202">
        <v>-3.03249999999997</v>
      </c>
      <c r="AF1202">
        <v>2.8345038013875601</v>
      </c>
      <c r="AG1202">
        <v>-1.1105298229189999</v>
      </c>
      <c r="AH1202">
        <v>51.360714956523204</v>
      </c>
      <c r="AI1202">
        <v>91.2367843156063</v>
      </c>
      <c r="AJ1202">
        <v>86.841155254319503</v>
      </c>
      <c r="AK1202">
        <v>51.450857418831198</v>
      </c>
      <c r="AL1202">
        <v>78.834316113919002</v>
      </c>
      <c r="AM1202">
        <v>94.751097660432393</v>
      </c>
      <c r="AN1202">
        <v>1.0000000322426901</v>
      </c>
    </row>
    <row r="1203" spans="1:40" x14ac:dyDescent="0.25">
      <c r="A1203" t="str">
        <f>"20190304155035308"</f>
        <v>20190304155035308</v>
      </c>
      <c r="B1203" t="str">
        <f>"1551685835297127"</f>
        <v>1551685835297127</v>
      </c>
      <c r="C1203" t="s">
        <v>40</v>
      </c>
      <c r="D1203">
        <v>5.2065769999999896</v>
      </c>
      <c r="E1203">
        <v>0.54887589999999997</v>
      </c>
      <c r="F1203" t="s">
        <v>50</v>
      </c>
      <c r="G1203">
        <v>-200.10820000000001</v>
      </c>
      <c r="H1203" s="1">
        <v>-1.418123E-6</v>
      </c>
      <c r="I1203">
        <v>364.50689999999997</v>
      </c>
      <c r="J1203">
        <v>-255.63059999999999</v>
      </c>
      <c r="K1203">
        <v>1.110528</v>
      </c>
      <c r="L1203">
        <v>367.49059999999997</v>
      </c>
      <c r="M1203">
        <v>0.99988920000000003</v>
      </c>
      <c r="N1203">
        <v>-1.438935E-2</v>
      </c>
      <c r="O1203">
        <v>-3.8273249999999999E-3</v>
      </c>
      <c r="P1203">
        <v>0.98064620000000002</v>
      </c>
      <c r="Q1203">
        <v>0.17991309999999999</v>
      </c>
      <c r="R1203">
        <v>7.7230649999999998E-2</v>
      </c>
      <c r="S1203">
        <v>3.0833889999999999</v>
      </c>
      <c r="T1203">
        <v>-6.1455969999999999E-2</v>
      </c>
      <c r="U1203">
        <v>-0.16516110000000001</v>
      </c>
      <c r="V1203">
        <v>-8.0976720000000002E-2</v>
      </c>
      <c r="W1203">
        <v>0.19400419999999999</v>
      </c>
      <c r="X1203">
        <v>0.97765279999999999</v>
      </c>
      <c r="Y1203">
        <v>4.9648589999999999E-2</v>
      </c>
      <c r="Z1203">
        <v>-8.3073479999999904E-4</v>
      </c>
      <c r="AA1203">
        <v>0.99876640000000005</v>
      </c>
      <c r="AB1203">
        <v>32</v>
      </c>
      <c r="AC1203">
        <v>55.522399999999898</v>
      </c>
      <c r="AD1203">
        <v>-1.1105294181230001</v>
      </c>
      <c r="AE1203">
        <v>-2.98369999999999</v>
      </c>
      <c r="AF1203">
        <v>2.7700488906271401</v>
      </c>
      <c r="AG1203">
        <v>-1.1105294181230001</v>
      </c>
      <c r="AH1203">
        <v>55.511270211710197</v>
      </c>
      <c r="AI1203">
        <v>91.144652629536694</v>
      </c>
      <c r="AJ1203">
        <v>87.143272505047193</v>
      </c>
      <c r="AK1203">
        <v>55.591434294884699</v>
      </c>
      <c r="AL1203">
        <v>78.8134415807381</v>
      </c>
      <c r="AM1203">
        <v>94.734868884457597</v>
      </c>
      <c r="AN1203">
        <v>0.99999992807371596</v>
      </c>
    </row>
    <row r="1204" spans="1:40" x14ac:dyDescent="0.25">
      <c r="A1204" t="str">
        <f>"20190304155035321"</f>
        <v>20190304155035321</v>
      </c>
      <c r="B1204" t="str">
        <f>"1551685835317623"</f>
        <v>1551685835317623</v>
      </c>
      <c r="C1204" t="s">
        <v>40</v>
      </c>
      <c r="D1204">
        <v>5.2997940000000003</v>
      </c>
      <c r="E1204">
        <v>0.54779369999999905</v>
      </c>
      <c r="F1204" t="s">
        <v>50</v>
      </c>
      <c r="G1204">
        <v>-196.4658</v>
      </c>
      <c r="H1204" s="1">
        <v>-8.3847779999999996E-6</v>
      </c>
      <c r="I1204">
        <v>364.40550000000002</v>
      </c>
      <c r="J1204">
        <v>-255.44110000000001</v>
      </c>
      <c r="K1204">
        <v>1.1105290000000001</v>
      </c>
      <c r="L1204">
        <v>367.48989999999998</v>
      </c>
      <c r="M1204">
        <v>0.99988920000000003</v>
      </c>
      <c r="N1204">
        <v>-1.4391910000000001E-2</v>
      </c>
      <c r="O1204">
        <v>-3.827343E-3</v>
      </c>
      <c r="P1204">
        <v>0.98064119999999999</v>
      </c>
      <c r="Q1204">
        <v>0.1799867</v>
      </c>
      <c r="R1204">
        <v>7.7122579999999996E-2</v>
      </c>
      <c r="S1204">
        <v>3.0824889999999998</v>
      </c>
      <c r="T1204">
        <v>-5.7858939999999998E-2</v>
      </c>
      <c r="U1204">
        <v>-0.16073609999999999</v>
      </c>
      <c r="V1204">
        <v>-8.0868270000000006E-2</v>
      </c>
      <c r="W1204">
        <v>0.19408</v>
      </c>
      <c r="X1204">
        <v>0.97764680000000004</v>
      </c>
      <c r="Y1204">
        <v>4.8236279999999999E-2</v>
      </c>
      <c r="Z1204">
        <v>-7.8303429999999896E-4</v>
      </c>
      <c r="AA1204">
        <v>0.99883560000000005</v>
      </c>
      <c r="AB1204">
        <v>32</v>
      </c>
      <c r="AC1204">
        <v>58.975299999999997</v>
      </c>
      <c r="AD1204">
        <v>-1.110537384778</v>
      </c>
      <c r="AE1204">
        <v>-3.0843999999999601</v>
      </c>
      <c r="AF1204">
        <v>2.8576248238465798</v>
      </c>
      <c r="AG1204">
        <v>-1.110537384778</v>
      </c>
      <c r="AH1204">
        <v>58.965822600841399</v>
      </c>
      <c r="AI1204">
        <v>91.077692445980901</v>
      </c>
      <c r="AJ1204">
        <v>87.225480182926901</v>
      </c>
      <c r="AK1204">
        <v>59.045470172662299</v>
      </c>
      <c r="AL1204">
        <v>78.809015167284102</v>
      </c>
      <c r="AM1204">
        <v>94.728585260696605</v>
      </c>
      <c r="AN1204">
        <v>0.999999994521516</v>
      </c>
    </row>
    <row r="1205" spans="1:40" x14ac:dyDescent="0.25">
      <c r="A1205" t="str">
        <f>"20190304155035336"</f>
        <v>20190304155035336</v>
      </c>
      <c r="B1205" t="str">
        <f>"1551685835327384"</f>
        <v>1551685835327384</v>
      </c>
      <c r="C1205" t="s">
        <v>40</v>
      </c>
      <c r="D1205">
        <v>5.2105449999999998</v>
      </c>
      <c r="E1205">
        <v>0.54706809999999995</v>
      </c>
      <c r="F1205" t="s">
        <v>50</v>
      </c>
      <c r="G1205">
        <v>-194.89160000000001</v>
      </c>
      <c r="H1205" s="1">
        <v>-7.8026420000000004E-6</v>
      </c>
      <c r="I1205">
        <v>364.49239999999998</v>
      </c>
      <c r="J1205">
        <v>-255.24160000000001</v>
      </c>
      <c r="K1205">
        <v>1.110528</v>
      </c>
      <c r="L1205">
        <v>367.48919999999998</v>
      </c>
      <c r="M1205">
        <v>0.99988920000000003</v>
      </c>
      <c r="N1205">
        <v>-1.4394270000000001E-2</v>
      </c>
      <c r="O1205">
        <v>-3.8272409999999999E-3</v>
      </c>
      <c r="P1205">
        <v>0.98059459999999998</v>
      </c>
      <c r="Q1205">
        <v>0.18020900000000001</v>
      </c>
      <c r="R1205">
        <v>7.7197199999999994E-2</v>
      </c>
      <c r="S1205">
        <v>3.0816189999999999</v>
      </c>
      <c r="T1205">
        <v>-5.651987E-2</v>
      </c>
      <c r="U1205">
        <v>-0.15255739999999901</v>
      </c>
      <c r="V1205">
        <v>-8.0942459999999994E-2</v>
      </c>
      <c r="W1205">
        <v>0.194304</v>
      </c>
      <c r="X1205">
        <v>0.97759620000000003</v>
      </c>
      <c r="Y1205">
        <v>4.5608080000000002E-2</v>
      </c>
      <c r="Z1205">
        <v>-7.3138670000000002E-4</v>
      </c>
      <c r="AA1205">
        <v>0.99895909999999999</v>
      </c>
      <c r="AB1205">
        <v>32</v>
      </c>
      <c r="AC1205">
        <v>60.35</v>
      </c>
      <c r="AD1205">
        <v>-1.110535802642</v>
      </c>
      <c r="AE1205">
        <v>-2.9967999999999999</v>
      </c>
      <c r="AF1205">
        <v>2.7648462252458601</v>
      </c>
      <c r="AG1205">
        <v>-1.110535802642</v>
      </c>
      <c r="AH1205">
        <v>60.340646377482798</v>
      </c>
      <c r="AI1205">
        <v>91.053272836800303</v>
      </c>
      <c r="AJ1205">
        <v>87.3765064897988</v>
      </c>
      <c r="AK1205">
        <v>60.414164478792799</v>
      </c>
      <c r="AL1205">
        <v>78.795932235369094</v>
      </c>
      <c r="AM1205">
        <v>94.733147511630904</v>
      </c>
      <c r="AN1205">
        <v>1.00000002825064</v>
      </c>
    </row>
    <row r="1206" spans="1:40" x14ac:dyDescent="0.25">
      <c r="A1206" t="str">
        <f>"20190304155035350"</f>
        <v>20190304155035350</v>
      </c>
      <c r="B1206" t="str">
        <f>"1551685835347880"</f>
        <v>1551685835347880</v>
      </c>
      <c r="C1206" t="s">
        <v>40</v>
      </c>
      <c r="D1206">
        <v>5.2040319999999998</v>
      </c>
      <c r="E1206">
        <v>0.54581930000000001</v>
      </c>
      <c r="F1206" t="s">
        <v>50</v>
      </c>
      <c r="G1206">
        <v>-194.0548</v>
      </c>
      <c r="H1206" s="1">
        <v>-7.4952099999999997E-6</v>
      </c>
      <c r="I1206">
        <v>364.58019999999999</v>
      </c>
      <c r="J1206">
        <v>-255.02500000000001</v>
      </c>
      <c r="K1206">
        <v>1.11053</v>
      </c>
      <c r="L1206">
        <v>367.48829999999998</v>
      </c>
      <c r="M1206">
        <v>0.99988909999999998</v>
      </c>
      <c r="N1206">
        <v>-1.439644E-2</v>
      </c>
      <c r="O1206">
        <v>-3.8272570000000001E-3</v>
      </c>
      <c r="P1206">
        <v>0.98050459999999995</v>
      </c>
      <c r="Q1206">
        <v>0.18069199999999999</v>
      </c>
      <c r="R1206">
        <v>7.7208310000000002E-2</v>
      </c>
      <c r="S1206">
        <v>3.0811769999999998</v>
      </c>
      <c r="T1206">
        <v>-5.5923100000000003E-2</v>
      </c>
      <c r="U1206">
        <v>-0.14648439999999999</v>
      </c>
      <c r="V1206">
        <v>-8.0952699999999905E-2</v>
      </c>
      <c r="W1206">
        <v>0.19478809999999999</v>
      </c>
      <c r="X1206">
        <v>0.97749900000000001</v>
      </c>
      <c r="Y1206">
        <v>4.3651530000000001E-2</v>
      </c>
      <c r="Z1206">
        <v>-6.9598640000000003E-4</v>
      </c>
      <c r="AA1206">
        <v>0.99904660000000001</v>
      </c>
      <c r="AB1206">
        <v>32</v>
      </c>
      <c r="AC1206">
        <v>60.970199999999998</v>
      </c>
      <c r="AD1206">
        <v>-1.11053749521</v>
      </c>
      <c r="AE1206">
        <v>-2.9080999999999899</v>
      </c>
      <c r="AF1206">
        <v>2.6738208323966299</v>
      </c>
      <c r="AG1206">
        <v>-1.11053749521</v>
      </c>
      <c r="AH1206">
        <v>60.960705810512799</v>
      </c>
      <c r="AI1206">
        <v>91.042654872565805</v>
      </c>
      <c r="AJ1206">
        <v>87.488537610795206</v>
      </c>
      <c r="AK1206">
        <v>61.029421300614601</v>
      </c>
      <c r="AL1206">
        <v>78.767654965895602</v>
      </c>
      <c r="AM1206">
        <v>94.734212151263094</v>
      </c>
      <c r="AN1206">
        <v>1.0000000192699401</v>
      </c>
    </row>
    <row r="1207" spans="1:40" x14ac:dyDescent="0.25">
      <c r="A1207" t="str">
        <f>"20190304155035365"</f>
        <v>20190304155035365</v>
      </c>
      <c r="B1207" t="str">
        <f>"1551685835357640"</f>
        <v>1551685835357640</v>
      </c>
      <c r="C1207" t="s">
        <v>40</v>
      </c>
      <c r="D1207">
        <v>5.2550030000000003</v>
      </c>
      <c r="E1207">
        <v>0.54533069999999995</v>
      </c>
      <c r="F1207" t="s">
        <v>50</v>
      </c>
      <c r="G1207">
        <v>-189.553</v>
      </c>
      <c r="H1207" s="1">
        <v>-7.126856E-6</v>
      </c>
      <c r="I1207">
        <v>364.58859999999999</v>
      </c>
      <c r="J1207">
        <v>-254.8091</v>
      </c>
      <c r="K1207">
        <v>1.11053</v>
      </c>
      <c r="L1207">
        <v>367.48750000000001</v>
      </c>
      <c r="M1207">
        <v>0.99988900000000003</v>
      </c>
      <c r="N1207">
        <v>-1.439815E-2</v>
      </c>
      <c r="O1207">
        <v>-3.8270309999999998E-3</v>
      </c>
      <c r="P1207">
        <v>0.98044100000000001</v>
      </c>
      <c r="Q1207">
        <v>0.18095600000000001</v>
      </c>
      <c r="R1207">
        <v>7.7396850000000003E-2</v>
      </c>
      <c r="S1207">
        <v>3.079987</v>
      </c>
      <c r="T1207">
        <v>-5.2242759999999999E-2</v>
      </c>
      <c r="U1207">
        <v>-0.1364136</v>
      </c>
      <c r="V1207">
        <v>-8.1141320000000003E-2</v>
      </c>
      <c r="W1207">
        <v>0.1950528</v>
      </c>
      <c r="X1207">
        <v>0.97743060000000004</v>
      </c>
      <c r="Y1207">
        <v>4.0412209999999997E-2</v>
      </c>
      <c r="Z1207">
        <v>-6.2387300000000005E-4</v>
      </c>
      <c r="AA1207">
        <v>0.99918289999999998</v>
      </c>
      <c r="AB1207">
        <v>32</v>
      </c>
      <c r="AC1207">
        <v>65.256100000000004</v>
      </c>
      <c r="AD1207">
        <v>-1.110537126856</v>
      </c>
      <c r="AE1207">
        <v>-2.8989000000000198</v>
      </c>
      <c r="AF1207">
        <v>2.64835025814229</v>
      </c>
      <c r="AG1207">
        <v>-1.110537126856</v>
      </c>
      <c r="AH1207">
        <v>65.247857688469594</v>
      </c>
      <c r="AI1207">
        <v>90.9742942627812</v>
      </c>
      <c r="AJ1207">
        <v>87.675693098464606</v>
      </c>
      <c r="AK1207">
        <v>65.311024986097905</v>
      </c>
      <c r="AL1207">
        <v>78.752192455270304</v>
      </c>
      <c r="AM1207">
        <v>94.745523114230096</v>
      </c>
      <c r="AN1207">
        <v>1.00000004320777</v>
      </c>
    </row>
    <row r="1208" spans="1:40" x14ac:dyDescent="0.25">
      <c r="A1208" t="str">
        <f>"20190304155035378"</f>
        <v>20190304155035378</v>
      </c>
      <c r="B1208" t="str">
        <f>"1551685835367400"</f>
        <v>1551685835367400</v>
      </c>
      <c r="C1208" t="s">
        <v>40</v>
      </c>
      <c r="D1208">
        <v>5.1906749999999997</v>
      </c>
      <c r="E1208">
        <v>0.544799699999999</v>
      </c>
      <c r="F1208" t="s">
        <v>50</v>
      </c>
      <c r="G1208">
        <v>-188.9948</v>
      </c>
      <c r="H1208" s="1">
        <v>-7.1863570000000002E-6</v>
      </c>
      <c r="I1208">
        <v>364.66309999999999</v>
      </c>
      <c r="J1208">
        <v>-254.63570000000001</v>
      </c>
      <c r="K1208">
        <v>1.110533</v>
      </c>
      <c r="L1208">
        <v>367.48689999999999</v>
      </c>
      <c r="M1208">
        <v>0.99988900000000003</v>
      </c>
      <c r="N1208">
        <v>-1.4399199999999999E-2</v>
      </c>
      <c r="O1208">
        <v>-3.8270380000000001E-3</v>
      </c>
      <c r="P1208">
        <v>0.9804195</v>
      </c>
      <c r="Q1208">
        <v>0.18103920000000001</v>
      </c>
      <c r="R1208">
        <v>7.7474959999999995E-2</v>
      </c>
      <c r="S1208">
        <v>3.0798649999999999</v>
      </c>
      <c r="T1208">
        <v>-5.1969050000000003E-2</v>
      </c>
      <c r="U1208">
        <v>-0.1321716</v>
      </c>
      <c r="V1208">
        <v>-8.1219650000000004E-2</v>
      </c>
      <c r="W1208">
        <v>0.19513659999999999</v>
      </c>
      <c r="X1208">
        <v>0.97740729999999998</v>
      </c>
      <c r="Y1208">
        <v>3.9040789999999999E-2</v>
      </c>
      <c r="Z1208">
        <v>-6.0101079999999997E-4</v>
      </c>
      <c r="AA1208">
        <v>0.99923740000000005</v>
      </c>
      <c r="AB1208">
        <v>32</v>
      </c>
      <c r="AC1208">
        <v>65.640900000000002</v>
      </c>
      <c r="AD1208">
        <v>-1.1105401863569999</v>
      </c>
      <c r="AE1208">
        <v>-2.8237999999999999</v>
      </c>
      <c r="AF1208">
        <v>2.57180827452268</v>
      </c>
      <c r="AG1208">
        <v>-1.1105401863569999</v>
      </c>
      <c r="AH1208">
        <v>65.632475643631196</v>
      </c>
      <c r="AI1208">
        <v>90.968642634751305</v>
      </c>
      <c r="AJ1208">
        <v>87.756013177683698</v>
      </c>
      <c r="AK1208">
        <v>65.692232085827797</v>
      </c>
      <c r="AL1208">
        <v>78.747296247058202</v>
      </c>
      <c r="AM1208">
        <v>94.750195983024796</v>
      </c>
      <c r="AN1208">
        <v>0.99999997714948596</v>
      </c>
    </row>
    <row r="1209" spans="1:40" x14ac:dyDescent="0.25">
      <c r="A1209" t="str">
        <f>"20190304155035389"</f>
        <v>20190304155035389</v>
      </c>
      <c r="B1209" t="str">
        <f>"1551685835387896"</f>
        <v>1551685835387896</v>
      </c>
      <c r="C1209" t="s">
        <v>40</v>
      </c>
      <c r="D1209">
        <v>5.1794589999999996</v>
      </c>
      <c r="E1209">
        <v>0.54388800000000004</v>
      </c>
      <c r="F1209" t="s">
        <v>50</v>
      </c>
      <c r="G1209">
        <v>-188.79320000000001</v>
      </c>
      <c r="H1209" s="1">
        <v>-7.2314649999999901E-6</v>
      </c>
      <c r="I1209">
        <v>364.755</v>
      </c>
      <c r="J1209">
        <v>-254.46420000000001</v>
      </c>
      <c r="K1209">
        <v>1.1105339999999999</v>
      </c>
      <c r="L1209">
        <v>367.4862</v>
      </c>
      <c r="M1209">
        <v>0.99988909999999998</v>
      </c>
      <c r="N1209">
        <v>-1.4400110000000001E-2</v>
      </c>
      <c r="O1209">
        <v>-3.8272829999999999E-3</v>
      </c>
      <c r="P1209">
        <v>0.98033409999999999</v>
      </c>
      <c r="Q1209">
        <v>0.18148880000000001</v>
      </c>
      <c r="R1209">
        <v>7.7506539999999999E-2</v>
      </c>
      <c r="S1209">
        <v>3.0796199999999998</v>
      </c>
      <c r="T1209">
        <v>-5.1942830000000002E-2</v>
      </c>
      <c r="U1209">
        <v>-0.1277771</v>
      </c>
      <c r="V1209">
        <v>-8.1250920000000004E-2</v>
      </c>
      <c r="W1209">
        <v>0.1955855</v>
      </c>
      <c r="X1209">
        <v>0.97731500000000004</v>
      </c>
      <c r="Y1209">
        <v>3.7620929999999997E-2</v>
      </c>
      <c r="Z1209">
        <v>-5.7872269999999996E-4</v>
      </c>
      <c r="AA1209">
        <v>0.99929190000000001</v>
      </c>
      <c r="AB1209">
        <v>32</v>
      </c>
      <c r="AC1209">
        <v>65.670999999999907</v>
      </c>
      <c r="AD1209">
        <v>-1.1105412314649901</v>
      </c>
      <c r="AE1209">
        <v>-2.7311999999999999</v>
      </c>
      <c r="AF1209">
        <v>2.4791047268856898</v>
      </c>
      <c r="AG1209">
        <v>-1.1105412314649901</v>
      </c>
      <c r="AH1209">
        <v>65.662228003447296</v>
      </c>
      <c r="AI1209">
        <v>90.968257885692097</v>
      </c>
      <c r="AJ1209">
        <v>87.837801009486398</v>
      </c>
      <c r="AK1209">
        <v>65.718395053823002</v>
      </c>
      <c r="AL1209">
        <v>78.721071156452496</v>
      </c>
      <c r="AM1209">
        <v>94.752463196623907</v>
      </c>
      <c r="AN1209">
        <v>1.0000000045180399</v>
      </c>
    </row>
    <row r="1210" spans="1:40" x14ac:dyDescent="0.25">
      <c r="A1210" t="str">
        <f>"20190304155035401"</f>
        <v>20190304155035401</v>
      </c>
      <c r="B1210" t="str">
        <f>"1551685835397655"</f>
        <v>1551685835397655</v>
      </c>
      <c r="C1210" t="s">
        <v>40</v>
      </c>
      <c r="D1210">
        <v>5.2106789999999998</v>
      </c>
      <c r="E1210">
        <v>0.543458199999999</v>
      </c>
      <c r="F1210" t="s">
        <v>50</v>
      </c>
      <c r="G1210">
        <v>-188.89009999999999</v>
      </c>
      <c r="H1210" s="1">
        <v>-7.2850949999999996E-6</v>
      </c>
      <c r="I1210">
        <v>364.91800000000001</v>
      </c>
      <c r="J1210">
        <v>-254.28819999999999</v>
      </c>
      <c r="K1210">
        <v>1.1105400000000001</v>
      </c>
      <c r="L1210">
        <v>367.4855</v>
      </c>
      <c r="M1210">
        <v>0.99988909999999998</v>
      </c>
      <c r="N1210">
        <v>-1.440075E-2</v>
      </c>
      <c r="O1210">
        <v>-3.8272879999999999E-3</v>
      </c>
      <c r="P1210">
        <v>0.98027410000000004</v>
      </c>
      <c r="Q1210">
        <v>0.1817433</v>
      </c>
      <c r="R1210">
        <v>7.766729E-2</v>
      </c>
      <c r="S1210">
        <v>3.0793759999999999</v>
      </c>
      <c r="T1210">
        <v>-5.2151320000000001E-2</v>
      </c>
      <c r="U1210">
        <v>-0.1206055</v>
      </c>
      <c r="V1210">
        <v>-8.1411209999999998E-2</v>
      </c>
      <c r="W1210">
        <v>0.19583990000000001</v>
      </c>
      <c r="X1210">
        <v>0.97725070000000003</v>
      </c>
      <c r="Y1210">
        <v>3.5301159999999998E-2</v>
      </c>
      <c r="Z1210">
        <v>-5.4342559999999895E-4</v>
      </c>
      <c r="AA1210">
        <v>0.99937659999999995</v>
      </c>
      <c r="AB1210">
        <v>32</v>
      </c>
      <c r="AC1210">
        <v>65.398099999999999</v>
      </c>
      <c r="AD1210">
        <v>-1.11054728509499</v>
      </c>
      <c r="AE1210">
        <v>-2.5674999999999901</v>
      </c>
      <c r="AF1210">
        <v>2.3164909319690401</v>
      </c>
      <c r="AG1210">
        <v>-1.11054728509499</v>
      </c>
      <c r="AH1210">
        <v>65.388621670475203</v>
      </c>
      <c r="AI1210">
        <v>90.972396634976306</v>
      </c>
      <c r="AJ1210">
        <v>87.971058770868098</v>
      </c>
      <c r="AK1210">
        <v>65.4390654691436</v>
      </c>
      <c r="AL1210">
        <v>78.706207515741198</v>
      </c>
      <c r="AM1210">
        <v>94.762107549819902</v>
      </c>
      <c r="AN1210">
        <v>0.99999999109808202</v>
      </c>
    </row>
    <row r="1211" spans="1:40" x14ac:dyDescent="0.25">
      <c r="A1211" t="str">
        <f>"20190304155035418"</f>
        <v>20190304155035418</v>
      </c>
      <c r="B1211" t="str">
        <f>"1551685835407416"</f>
        <v>1551685835407416</v>
      </c>
      <c r="C1211" t="s">
        <v>40</v>
      </c>
      <c r="D1211">
        <v>5.2361589999999998</v>
      </c>
      <c r="E1211">
        <v>0.54307989999999995</v>
      </c>
      <c r="F1211" t="s">
        <v>50</v>
      </c>
      <c r="G1211">
        <v>-188.68690000000001</v>
      </c>
      <c r="H1211" s="1">
        <v>-7.3285999999999996E-6</v>
      </c>
      <c r="I1211">
        <v>365.0052</v>
      </c>
      <c r="J1211">
        <v>-254.06280000000001</v>
      </c>
      <c r="K1211">
        <v>1.110541</v>
      </c>
      <c r="L1211">
        <v>367.48469999999998</v>
      </c>
      <c r="M1211">
        <v>0.99988909999999998</v>
      </c>
      <c r="N1211">
        <v>-1.440131E-2</v>
      </c>
      <c r="O1211">
        <v>-3.8272919999999999E-3</v>
      </c>
      <c r="P1211">
        <v>0.9802497</v>
      </c>
      <c r="Q1211">
        <v>0.1818835</v>
      </c>
      <c r="R1211">
        <v>7.7648270000000005E-2</v>
      </c>
      <c r="S1211">
        <v>3.0792389999999998</v>
      </c>
      <c r="T1211">
        <v>-5.2127600000000003E-2</v>
      </c>
      <c r="U1211">
        <v>-0.1164246</v>
      </c>
      <c r="V1211">
        <v>-8.1392569999999997E-2</v>
      </c>
      <c r="W1211">
        <v>0.1959806</v>
      </c>
      <c r="X1211">
        <v>0.97722410000000004</v>
      </c>
      <c r="Y1211">
        <v>3.3948319999999997E-2</v>
      </c>
      <c r="Z1211">
        <v>-5.2214969999999999E-4</v>
      </c>
      <c r="AA1211">
        <v>0.99942339999999996</v>
      </c>
      <c r="AB1211">
        <v>32</v>
      </c>
      <c r="AC1211">
        <v>65.375900000000001</v>
      </c>
      <c r="AD1211">
        <v>-1.1105483286</v>
      </c>
      <c r="AE1211">
        <v>-2.4794999999999701</v>
      </c>
      <c r="AF1211">
        <v>2.22860109205571</v>
      </c>
      <c r="AG1211">
        <v>-1.1105483286</v>
      </c>
      <c r="AH1211">
        <v>65.366076743031996</v>
      </c>
      <c r="AI1211">
        <v>90.972777854929902</v>
      </c>
      <c r="AJ1211">
        <v>88.047305242292893</v>
      </c>
      <c r="AK1211">
        <v>65.413484612835106</v>
      </c>
      <c r="AL1211">
        <v>78.697987298784298</v>
      </c>
      <c r="AM1211">
        <v>94.761151224251805</v>
      </c>
      <c r="AN1211">
        <v>1.0000000438241801</v>
      </c>
    </row>
    <row r="1212" spans="1:40" x14ac:dyDescent="0.25">
      <c r="A1212" t="str">
        <f>"20190304155035431"</f>
        <v>20190304155035431</v>
      </c>
      <c r="B1212" t="str">
        <f>"1551685835427912"</f>
        <v>1551685835427912</v>
      </c>
      <c r="C1212" t="s">
        <v>40</v>
      </c>
      <c r="D1212">
        <v>5.1238960000000002</v>
      </c>
      <c r="E1212">
        <v>0.54210590000000003</v>
      </c>
      <c r="F1212" t="s">
        <v>50</v>
      </c>
      <c r="G1212">
        <v>-188.08510000000001</v>
      </c>
      <c r="H1212" s="1">
        <v>-7.3803350000000002E-6</v>
      </c>
      <c r="I1212">
        <v>365.0514</v>
      </c>
      <c r="J1212">
        <v>-253.8682</v>
      </c>
      <c r="K1212">
        <v>1.1105480000000001</v>
      </c>
      <c r="L1212">
        <v>367.48390000000001</v>
      </c>
      <c r="M1212">
        <v>0.99988909999999998</v>
      </c>
      <c r="N1212">
        <v>-1.4401590000000001E-2</v>
      </c>
      <c r="O1212">
        <v>-3.827413E-3</v>
      </c>
      <c r="P1212">
        <v>0.98029370000000005</v>
      </c>
      <c r="Q1212">
        <v>0.18155470000000001</v>
      </c>
      <c r="R1212">
        <v>7.7862000000000001E-2</v>
      </c>
      <c r="S1212">
        <v>3.0790410000000001</v>
      </c>
      <c r="T1212">
        <v>-5.1826949999999997E-2</v>
      </c>
      <c r="U1212">
        <v>-0.1135559</v>
      </c>
      <c r="V1212">
        <v>-8.1606769999999995E-2</v>
      </c>
      <c r="W1212">
        <v>0.1956523</v>
      </c>
      <c r="X1212">
        <v>0.97727200000000003</v>
      </c>
      <c r="Y1212">
        <v>3.3021090000000003E-2</v>
      </c>
      <c r="Z1212">
        <v>-5.0640629999999895E-4</v>
      </c>
      <c r="AA1212">
        <v>0.99945450000000002</v>
      </c>
      <c r="AB1212">
        <v>32</v>
      </c>
      <c r="AC1212">
        <v>65.783099999999905</v>
      </c>
      <c r="AD1212">
        <v>-1.1105553803349999</v>
      </c>
      <c r="AE1212">
        <v>-2.4325000000000001</v>
      </c>
      <c r="AF1212">
        <v>2.18005652893808</v>
      </c>
      <c r="AG1212">
        <v>-1.1105553803349999</v>
      </c>
      <c r="AH1212">
        <v>65.773209147512006</v>
      </c>
      <c r="AI1212">
        <v>90.966794507199495</v>
      </c>
      <c r="AJ1212">
        <v>88.1016233074822</v>
      </c>
      <c r="AK1212">
        <v>65.818698112956596</v>
      </c>
      <c r="AL1212">
        <v>78.717168627691095</v>
      </c>
      <c r="AM1212">
        <v>94.773390376536994</v>
      </c>
      <c r="AN1212">
        <v>1.00000002469456</v>
      </c>
    </row>
    <row r="1213" spans="1:40" x14ac:dyDescent="0.25">
      <c r="A1213" t="str">
        <f>"20190304155035451"</f>
        <v>20190304155035451</v>
      </c>
      <c r="B1213" t="str">
        <f>"1551685835447433"</f>
        <v>1551685835447433</v>
      </c>
      <c r="C1213" t="s">
        <v>40</v>
      </c>
      <c r="D1213">
        <v>5.219843</v>
      </c>
      <c r="E1213">
        <v>0.54156319999999902</v>
      </c>
      <c r="F1213" t="s">
        <v>50</v>
      </c>
      <c r="G1213">
        <v>-189.0797</v>
      </c>
      <c r="H1213" s="1">
        <v>-7.4009300000000001E-6</v>
      </c>
      <c r="I1213">
        <v>365.26679999999999</v>
      </c>
      <c r="J1213">
        <v>-253.59010000000001</v>
      </c>
      <c r="K1213">
        <v>1.1105480000000001</v>
      </c>
      <c r="L1213">
        <v>367.48289999999997</v>
      </c>
      <c r="M1213">
        <v>0.99988900000000003</v>
      </c>
      <c r="N1213">
        <v>-1.440161E-2</v>
      </c>
      <c r="O1213">
        <v>-3.827413E-3</v>
      </c>
      <c r="P1213">
        <v>0.98031469999999998</v>
      </c>
      <c r="Q1213">
        <v>0.18130489999999999</v>
      </c>
      <c r="R1213">
        <v>7.8177029999999995E-2</v>
      </c>
      <c r="S1213">
        <v>3.07843</v>
      </c>
      <c r="T1213">
        <v>-5.276811E-2</v>
      </c>
      <c r="U1213">
        <v>-0.1053467</v>
      </c>
      <c r="V1213">
        <v>-8.1921279999999999E-2</v>
      </c>
      <c r="W1213">
        <v>0.1954031</v>
      </c>
      <c r="X1213">
        <v>0.97729549999999998</v>
      </c>
      <c r="Y1213">
        <v>3.0366879999999999E-2</v>
      </c>
      <c r="Z1213">
        <v>-4.6846540000000002E-4</v>
      </c>
      <c r="AA1213">
        <v>0.9995387</v>
      </c>
      <c r="AB1213">
        <v>32</v>
      </c>
      <c r="AC1213">
        <v>64.510400000000004</v>
      </c>
      <c r="AD1213">
        <v>-1.1105554009299901</v>
      </c>
      <c r="AE1213">
        <v>-2.21609999999998</v>
      </c>
      <c r="AF1213">
        <v>1.9685675014211399</v>
      </c>
      <c r="AG1213">
        <v>-1.1105554009299901</v>
      </c>
      <c r="AH1213">
        <v>64.499317652019997</v>
      </c>
      <c r="AI1213">
        <v>90.985967697715694</v>
      </c>
      <c r="AJ1213">
        <v>88.251832560514003</v>
      </c>
      <c r="AK1213">
        <v>64.538907403847205</v>
      </c>
      <c r="AL1213">
        <v>78.731727254027604</v>
      </c>
      <c r="AM1213">
        <v>94.7915866974392</v>
      </c>
      <c r="AN1213">
        <v>0.99999998096334897</v>
      </c>
    </row>
    <row r="1214" spans="1:40" x14ac:dyDescent="0.25">
      <c r="A1214" t="str">
        <f>"20190304155035463"</f>
        <v>20190304155035463</v>
      </c>
      <c r="B1214" t="str">
        <f>"1551685835457192"</f>
        <v>1551685835457192</v>
      </c>
      <c r="C1214" t="s">
        <v>40</v>
      </c>
      <c r="D1214">
        <v>5.2486899999999999</v>
      </c>
      <c r="E1214">
        <v>0.54129300000000002</v>
      </c>
      <c r="F1214" t="s">
        <v>50</v>
      </c>
      <c r="G1214">
        <v>-190.8211</v>
      </c>
      <c r="H1214" s="1">
        <v>-6.2262709999999998E-6</v>
      </c>
      <c r="I1214">
        <v>365.4375</v>
      </c>
      <c r="J1214">
        <v>-253.41059999999999</v>
      </c>
      <c r="K1214">
        <v>1.1105499999999999</v>
      </c>
      <c r="L1214">
        <v>367.48219999999998</v>
      </c>
      <c r="M1214">
        <v>0.99988900000000003</v>
      </c>
      <c r="N1214">
        <v>-1.440143E-2</v>
      </c>
      <c r="O1214">
        <v>-3.8272929999999998E-3</v>
      </c>
      <c r="P1214">
        <v>0.98031380000000001</v>
      </c>
      <c r="Q1214">
        <v>0.18128540000000001</v>
      </c>
      <c r="R1214">
        <v>7.8235159999999998E-2</v>
      </c>
      <c r="S1214">
        <v>3.0783390000000002</v>
      </c>
      <c r="T1214">
        <v>-5.4464220000000001E-2</v>
      </c>
      <c r="U1214">
        <v>-0.10031130000000001</v>
      </c>
      <c r="V1214">
        <v>-8.1979389999999999E-2</v>
      </c>
      <c r="W1214">
        <v>0.19538349999999999</v>
      </c>
      <c r="X1214">
        <v>0.97729460000000001</v>
      </c>
      <c r="Y1214">
        <v>2.8734860000000001E-2</v>
      </c>
      <c r="Z1214">
        <v>-4.4853429999999999E-4</v>
      </c>
      <c r="AA1214">
        <v>0.99958689999999994</v>
      </c>
      <c r="AB1214">
        <v>32</v>
      </c>
      <c r="AC1214">
        <v>62.589500000000001</v>
      </c>
      <c r="AD1214">
        <v>-1.110556226271</v>
      </c>
      <c r="AE1214">
        <v>-2.04469999999997</v>
      </c>
      <c r="AF1214">
        <v>1.80454430661166</v>
      </c>
      <c r="AG1214">
        <v>-1.110556226271</v>
      </c>
      <c r="AH1214">
        <v>62.577187705030099</v>
      </c>
      <c r="AI1214">
        <v>91.016298049292303</v>
      </c>
      <c r="AJ1214">
        <v>88.348213924671896</v>
      </c>
      <c r="AK1214">
        <v>62.613050846902603</v>
      </c>
      <c r="AL1214">
        <v>78.732872925938807</v>
      </c>
      <c r="AM1214">
        <v>94.794974112397895</v>
      </c>
      <c r="AN1214">
        <v>1.0000000338230901</v>
      </c>
    </row>
    <row r="1215" spans="1:40" x14ac:dyDescent="0.25">
      <c r="A1215" t="str">
        <f>"20190304155035473"</f>
        <v>20190304155035473</v>
      </c>
      <c r="B1215" t="str">
        <f>"1551685835467928"</f>
        <v>1551685835467928</v>
      </c>
      <c r="C1215" t="s">
        <v>40</v>
      </c>
      <c r="D1215">
        <v>5.2063769999999998</v>
      </c>
      <c r="E1215">
        <v>0.54103990000000002</v>
      </c>
      <c r="F1215" t="s">
        <v>50</v>
      </c>
      <c r="G1215">
        <v>-191.03380000000001</v>
      </c>
      <c r="H1215" s="1">
        <v>-6.2926679999999999E-6</v>
      </c>
      <c r="I1215">
        <v>365.49029999999999</v>
      </c>
      <c r="J1215">
        <v>-253.25739999999999</v>
      </c>
      <c r="K1215">
        <v>1.1105499999999999</v>
      </c>
      <c r="L1215">
        <v>367.48160000000001</v>
      </c>
      <c r="M1215">
        <v>0.99988909999999998</v>
      </c>
      <c r="N1215">
        <v>-1.440116E-2</v>
      </c>
      <c r="O1215">
        <v>-3.8274099999999998E-3</v>
      </c>
      <c r="P1215">
        <v>0.9802554</v>
      </c>
      <c r="Q1215">
        <v>0.18148429999999999</v>
      </c>
      <c r="R1215">
        <v>7.8505199999999997E-2</v>
      </c>
      <c r="S1215">
        <v>3.0782319999999999</v>
      </c>
      <c r="T1215">
        <v>-5.4804800000000001E-2</v>
      </c>
      <c r="U1215">
        <v>-9.8297120000000002E-2</v>
      </c>
      <c r="V1215">
        <v>-8.2249630000000004E-2</v>
      </c>
      <c r="W1215">
        <v>0.1955808</v>
      </c>
      <c r="X1215">
        <v>0.9772324</v>
      </c>
      <c r="Y1215">
        <v>2.8082599999999999E-2</v>
      </c>
      <c r="Z1215">
        <v>-4.3919860000000001E-4</v>
      </c>
      <c r="AA1215">
        <v>0.99960550000000004</v>
      </c>
      <c r="AB1215">
        <v>32</v>
      </c>
      <c r="AC1215">
        <v>62.223599999999898</v>
      </c>
      <c r="AD1215">
        <v>-1.1105562926679999</v>
      </c>
      <c r="AE1215">
        <v>-1.9913000000000201</v>
      </c>
      <c r="AF1215">
        <v>1.7525478189942201</v>
      </c>
      <c r="AG1215">
        <v>-1.1105562926679999</v>
      </c>
      <c r="AH1215">
        <v>62.210969733216402</v>
      </c>
      <c r="AI1215">
        <v>91.022298885476701</v>
      </c>
      <c r="AJ1215">
        <v>88.386344988699193</v>
      </c>
      <c r="AK1215">
        <v>62.245558189192998</v>
      </c>
      <c r="AL1215">
        <v>78.721345781439894</v>
      </c>
      <c r="AM1215">
        <v>94.811011147483796</v>
      </c>
      <c r="AN1215">
        <v>1.0000000072867601</v>
      </c>
    </row>
    <row r="1216" spans="1:40" x14ac:dyDescent="0.25">
      <c r="A1216" t="str">
        <f>"20190304155035495"</f>
        <v>20190304155035495</v>
      </c>
      <c r="B1216" t="str">
        <f>"1551685835487451"</f>
        <v>1551685835487451</v>
      </c>
      <c r="C1216" t="s">
        <v>40</v>
      </c>
      <c r="D1216">
        <v>5.5662779999999996</v>
      </c>
      <c r="E1216">
        <v>0.54054799999999903</v>
      </c>
      <c r="F1216" t="s">
        <v>50</v>
      </c>
      <c r="G1216">
        <v>-190.7139</v>
      </c>
      <c r="H1216" s="1">
        <v>-6.1713469999999999E-6</v>
      </c>
      <c r="I1216">
        <v>365.54820000000001</v>
      </c>
      <c r="J1216">
        <v>-252.95150000000001</v>
      </c>
      <c r="K1216">
        <v>1.1105510000000001</v>
      </c>
      <c r="L1216">
        <v>367.48039999999997</v>
      </c>
      <c r="M1216">
        <v>0.99988909999999998</v>
      </c>
      <c r="N1216">
        <v>-1.4400369999999999E-2</v>
      </c>
      <c r="O1216">
        <v>-3.8274049999999999E-3</v>
      </c>
      <c r="P1216">
        <v>0.98017779999999999</v>
      </c>
      <c r="Q1216">
        <v>0.18173919999999999</v>
      </c>
      <c r="R1216">
        <v>7.8883389999999998E-2</v>
      </c>
      <c r="S1216">
        <v>3.0781710000000002</v>
      </c>
      <c r="T1216">
        <v>-5.4657699999999997E-2</v>
      </c>
      <c r="U1216">
        <v>-9.5153810000000005E-2</v>
      </c>
      <c r="V1216">
        <v>-8.2627480000000003E-2</v>
      </c>
      <c r="W1216">
        <v>0.19583429999999999</v>
      </c>
      <c r="X1216">
        <v>0.97714979999999996</v>
      </c>
      <c r="Y1216">
        <v>2.7063799999999999E-2</v>
      </c>
      <c r="Z1216">
        <v>-4.2231940000000002E-4</v>
      </c>
      <c r="AA1216">
        <v>0.99963360000000001</v>
      </c>
      <c r="AB1216">
        <v>32</v>
      </c>
      <c r="AC1216">
        <v>62.2376</v>
      </c>
      <c r="AD1216">
        <v>-1.1105571713469999</v>
      </c>
      <c r="AE1216">
        <v>-1.9321999999999599</v>
      </c>
      <c r="AF1216">
        <v>1.6934140005359399</v>
      </c>
      <c r="AG1216">
        <v>-1.1105571713469999</v>
      </c>
      <c r="AH1216">
        <v>62.224746697916899</v>
      </c>
      <c r="AI1216">
        <v>91.022100446828901</v>
      </c>
      <c r="AJ1216">
        <v>88.441110044955906</v>
      </c>
      <c r="AK1216">
        <v>62.257691009448401</v>
      </c>
      <c r="AL1216">
        <v>78.706535411117798</v>
      </c>
      <c r="AM1216">
        <v>94.833414806506397</v>
      </c>
      <c r="AN1216">
        <v>1.00000005257383</v>
      </c>
    </row>
    <row r="1217" spans="1:40" x14ac:dyDescent="0.25">
      <c r="A1217" t="str">
        <f>"20190304155035506"</f>
        <v>20190304155035506</v>
      </c>
      <c r="B1217" t="str">
        <f>"1551685835497208"</f>
        <v>1551685835497208</v>
      </c>
      <c r="C1217" t="s">
        <v>40</v>
      </c>
      <c r="D1217">
        <v>5.2875389999999998</v>
      </c>
      <c r="E1217">
        <v>0.54040619999999995</v>
      </c>
      <c r="F1217" t="s">
        <v>50</v>
      </c>
      <c r="G1217">
        <v>-187.99889999999999</v>
      </c>
      <c r="H1217" s="1">
        <v>-7.5762849999999996E-6</v>
      </c>
      <c r="I1217">
        <v>365.57659999999998</v>
      </c>
      <c r="J1217">
        <v>-252.7826</v>
      </c>
      <c r="K1217">
        <v>1.1105529999999999</v>
      </c>
      <c r="L1217">
        <v>367.47980000000001</v>
      </c>
      <c r="M1217">
        <v>0.99988909999999998</v>
      </c>
      <c r="N1217">
        <v>-1.4399820000000001E-2</v>
      </c>
      <c r="O1217">
        <v>-3.827282E-3</v>
      </c>
      <c r="P1217">
        <v>0.98018150000000004</v>
      </c>
      <c r="Q1217">
        <v>0.18166209999999999</v>
      </c>
      <c r="R1217">
        <v>7.9015290000000002E-2</v>
      </c>
      <c r="S1217">
        <v>3.0776979999999998</v>
      </c>
      <c r="T1217">
        <v>-5.2622439999999999E-2</v>
      </c>
      <c r="U1217">
        <v>-9.0209960000000006E-2</v>
      </c>
      <c r="V1217">
        <v>-8.2759250000000006E-2</v>
      </c>
      <c r="W1217">
        <v>0.19575619999999999</v>
      </c>
      <c r="X1217">
        <v>0.97715430000000003</v>
      </c>
      <c r="Y1217">
        <v>2.5465189999999999E-2</v>
      </c>
      <c r="Z1217">
        <v>-3.9074420000000001E-4</v>
      </c>
      <c r="AA1217">
        <v>0.9996756</v>
      </c>
      <c r="AB1217">
        <v>32</v>
      </c>
      <c r="AC1217">
        <v>64.783699999999996</v>
      </c>
      <c r="AD1217">
        <v>-1.1105605762849999</v>
      </c>
      <c r="AE1217">
        <v>-1.90320000000002</v>
      </c>
      <c r="AF1217">
        <v>1.6547290319908901</v>
      </c>
      <c r="AG1217">
        <v>-1.1105605762849999</v>
      </c>
      <c r="AH1217">
        <v>64.771492372294603</v>
      </c>
      <c r="AI1217">
        <v>90.981966743825396</v>
      </c>
      <c r="AJ1217">
        <v>88.536572674032698</v>
      </c>
      <c r="AK1217">
        <v>64.802142689089607</v>
      </c>
      <c r="AL1217">
        <v>78.711098555156596</v>
      </c>
      <c r="AM1217">
        <v>94.841064092066304</v>
      </c>
      <c r="AN1217">
        <v>1.00000005465374</v>
      </c>
    </row>
    <row r="1218" spans="1:40" x14ac:dyDescent="0.25">
      <c r="A1218" t="str">
        <f>"20190304155035518"</f>
        <v>20190304155035518</v>
      </c>
      <c r="B1218" t="str">
        <f>"1551685835507944"</f>
        <v>1551685835507944</v>
      </c>
      <c r="C1218" t="s">
        <v>40</v>
      </c>
      <c r="D1218">
        <v>5.212377</v>
      </c>
      <c r="E1218">
        <v>0.54015950000000001</v>
      </c>
      <c r="F1218" t="s">
        <v>50</v>
      </c>
      <c r="G1218">
        <v>-187.0566</v>
      </c>
      <c r="H1218" s="1">
        <v>-7.6366659999999996E-6</v>
      </c>
      <c r="I1218">
        <v>365.59219999999999</v>
      </c>
      <c r="J1218">
        <v>-252.62049999999999</v>
      </c>
      <c r="K1218">
        <v>1.110554</v>
      </c>
      <c r="L1218">
        <v>367.47910000000002</v>
      </c>
      <c r="M1218">
        <v>0.99988909999999998</v>
      </c>
      <c r="N1218">
        <v>-1.4399149999999999E-2</v>
      </c>
      <c r="O1218">
        <v>-3.8273959999999998E-3</v>
      </c>
      <c r="P1218">
        <v>0.98016289999999995</v>
      </c>
      <c r="Q1218">
        <v>0.1816884</v>
      </c>
      <c r="R1218">
        <v>7.918741E-2</v>
      </c>
      <c r="S1218">
        <v>3.0774379999999999</v>
      </c>
      <c r="T1218">
        <v>-5.1998969999999999E-2</v>
      </c>
      <c r="U1218">
        <v>-8.8378910000000005E-2</v>
      </c>
      <c r="V1218">
        <v>-8.293122E-2</v>
      </c>
      <c r="W1218">
        <v>0.19578190000000001</v>
      </c>
      <c r="X1218">
        <v>0.97713450000000002</v>
      </c>
      <c r="Y1218">
        <v>2.4873510000000001E-2</v>
      </c>
      <c r="Z1218">
        <v>-3.7968319999999998E-4</v>
      </c>
      <c r="AA1218">
        <v>0.99969050000000004</v>
      </c>
      <c r="AB1218">
        <v>32</v>
      </c>
      <c r="AC1218">
        <v>65.563899999999904</v>
      </c>
      <c r="AD1218">
        <v>-1.1105616366660001</v>
      </c>
      <c r="AE1218">
        <v>-1.88690000000002</v>
      </c>
      <c r="AF1218">
        <v>1.6354523240896199</v>
      </c>
      <c r="AG1218">
        <v>-1.1105616366660001</v>
      </c>
      <c r="AH1218">
        <v>65.551849985623207</v>
      </c>
      <c r="AI1218">
        <v>90.970294803252301</v>
      </c>
      <c r="AJ1218">
        <v>88.570824761533501</v>
      </c>
      <c r="AK1218">
        <v>65.581652068172602</v>
      </c>
      <c r="AL1218">
        <v>78.709596205925294</v>
      </c>
      <c r="AM1218">
        <v>94.851173478972299</v>
      </c>
      <c r="AN1218">
        <v>0.99999998535427403</v>
      </c>
    </row>
    <row r="1219" spans="1:40" x14ac:dyDescent="0.25">
      <c r="A1219" t="str">
        <f>"20190304155035531"</f>
        <v>20190304155035531</v>
      </c>
      <c r="B1219" t="str">
        <f>"1551685835527464"</f>
        <v>1551685835527464</v>
      </c>
      <c r="C1219" t="s">
        <v>40</v>
      </c>
      <c r="D1219">
        <v>5.370336</v>
      </c>
      <c r="E1219">
        <v>0.53990039999999995</v>
      </c>
      <c r="F1219" t="s">
        <v>50</v>
      </c>
      <c r="G1219">
        <v>-185.8389</v>
      </c>
      <c r="H1219" s="1">
        <v>-7.7191959999999996E-6</v>
      </c>
      <c r="I1219">
        <v>365.61070000000001</v>
      </c>
      <c r="J1219">
        <v>-252.44990000000001</v>
      </c>
      <c r="K1219">
        <v>1.1105560000000001</v>
      </c>
      <c r="L1219">
        <v>367.4785</v>
      </c>
      <c r="M1219">
        <v>0.99988909999999998</v>
      </c>
      <c r="N1219">
        <v>-1.439841E-2</v>
      </c>
      <c r="O1219">
        <v>-3.8273909999999999E-3</v>
      </c>
      <c r="P1219">
        <v>0.98019100000000003</v>
      </c>
      <c r="Q1219">
        <v>0.1814345</v>
      </c>
      <c r="R1219">
        <v>7.9419630000000005E-2</v>
      </c>
      <c r="S1219">
        <v>3.0771329999999999</v>
      </c>
      <c r="T1219">
        <v>-5.1172019999999999E-2</v>
      </c>
      <c r="U1219">
        <v>-8.6090089999999994E-2</v>
      </c>
      <c r="V1219">
        <v>-8.3163360000000006E-2</v>
      </c>
      <c r="W1219">
        <v>0.19552749999999999</v>
      </c>
      <c r="X1219">
        <v>0.97716570000000003</v>
      </c>
      <c r="Y1219">
        <v>2.4133720000000001E-2</v>
      </c>
      <c r="Z1219">
        <v>-3.658949E-4</v>
      </c>
      <c r="AA1219">
        <v>0.99970870000000001</v>
      </c>
      <c r="AB1219">
        <v>32</v>
      </c>
      <c r="AC1219">
        <v>66.611000000000004</v>
      </c>
      <c r="AD1219">
        <v>-1.1105637191959901</v>
      </c>
      <c r="AE1219">
        <v>-1.8677999999999799</v>
      </c>
      <c r="AF1219">
        <v>1.61236573162352</v>
      </c>
      <c r="AG1219">
        <v>-1.1105637191959901</v>
      </c>
      <c r="AH1219">
        <v>66.599163646008193</v>
      </c>
      <c r="AI1219">
        <v>90.955058281369602</v>
      </c>
      <c r="AJ1219">
        <v>88.613140110396799</v>
      </c>
      <c r="AK1219">
        <v>66.627934632364898</v>
      </c>
      <c r="AL1219">
        <v>78.724459416586399</v>
      </c>
      <c r="AM1219">
        <v>94.864533165011807</v>
      </c>
      <c r="AN1219">
        <v>0.99999997647961403</v>
      </c>
    </row>
    <row r="1220" spans="1:40" x14ac:dyDescent="0.25">
      <c r="A1220" t="str">
        <f>"20190304155035543"</f>
        <v>20190304155035543</v>
      </c>
      <c r="B1220" t="str">
        <f>"1551685835537223"</f>
        <v>1551685835537223</v>
      </c>
      <c r="C1220" t="s">
        <v>40</v>
      </c>
      <c r="D1220">
        <v>5.3915579999999999</v>
      </c>
      <c r="E1220">
        <v>0.53982940000000001</v>
      </c>
      <c r="F1220" t="s">
        <v>50</v>
      </c>
      <c r="G1220">
        <v>-188.73929999999999</v>
      </c>
      <c r="H1220" s="1">
        <v>-7.5988260000000003E-6</v>
      </c>
      <c r="I1220">
        <v>365.7568</v>
      </c>
      <c r="J1220">
        <v>-252.27760000000001</v>
      </c>
      <c r="K1220">
        <v>1.110557</v>
      </c>
      <c r="L1220">
        <v>367.4778</v>
      </c>
      <c r="M1220">
        <v>0.99988900000000003</v>
      </c>
      <c r="N1220">
        <v>-1.439753E-2</v>
      </c>
      <c r="O1220">
        <v>-3.8272649999999998E-3</v>
      </c>
      <c r="P1220">
        <v>0.98017949999999998</v>
      </c>
      <c r="Q1220">
        <v>0.1814682</v>
      </c>
      <c r="R1220">
        <v>7.9483429999999994E-2</v>
      </c>
      <c r="S1220">
        <v>3.0773009999999998</v>
      </c>
      <c r="T1220">
        <v>-5.3641559999999998E-2</v>
      </c>
      <c r="U1220">
        <v>-8.3160399999999995E-2</v>
      </c>
      <c r="V1220">
        <v>-8.3227560000000006E-2</v>
      </c>
      <c r="W1220">
        <v>0.1955607</v>
      </c>
      <c r="X1220">
        <v>0.97715359999999996</v>
      </c>
      <c r="Y1220">
        <v>2.318108E-2</v>
      </c>
      <c r="Z1220">
        <v>-3.5732400000000001E-4</v>
      </c>
      <c r="AA1220">
        <v>0.99973120000000004</v>
      </c>
      <c r="AB1220">
        <v>32</v>
      </c>
      <c r="AC1220">
        <v>63.5383</v>
      </c>
      <c r="AD1220">
        <v>-1.110564598826</v>
      </c>
      <c r="AE1220">
        <v>-1.7210000000000001</v>
      </c>
      <c r="AF1220">
        <v>1.4773332669853301</v>
      </c>
      <c r="AG1220">
        <v>-1.110564598826</v>
      </c>
      <c r="AH1220">
        <v>63.5250290511228</v>
      </c>
      <c r="AI1220">
        <v>91.001290189212497</v>
      </c>
      <c r="AJ1220">
        <v>88.667773826962701</v>
      </c>
      <c r="AK1220">
        <v>63.55190935964</v>
      </c>
      <c r="AL1220">
        <v>78.722519860709994</v>
      </c>
      <c r="AM1220">
        <v>94.868330413436894</v>
      </c>
      <c r="AN1220">
        <v>0.999999986060501</v>
      </c>
    </row>
    <row r="1221" spans="1:40" x14ac:dyDescent="0.25">
      <c r="A1221" t="str">
        <f>"20190304155035554"</f>
        <v>20190304155035554</v>
      </c>
      <c r="B1221" t="str">
        <f>"1551685835547960"</f>
        <v>1551685835547960</v>
      </c>
      <c r="C1221" t="s">
        <v>40</v>
      </c>
      <c r="D1221">
        <v>6.0083909999999996</v>
      </c>
      <c r="E1221">
        <v>0.53982940000000001</v>
      </c>
      <c r="F1221" t="s">
        <v>50</v>
      </c>
      <c r="G1221">
        <v>-189.57230000000001</v>
      </c>
      <c r="H1221" s="1">
        <v>-7.5673739999999901E-6</v>
      </c>
      <c r="I1221">
        <v>365.8032</v>
      </c>
      <c r="J1221">
        <v>-252.12020000000001</v>
      </c>
      <c r="K1221">
        <v>1.1105590000000001</v>
      </c>
      <c r="L1221">
        <v>367.47719999999998</v>
      </c>
      <c r="M1221">
        <v>0.99988920000000003</v>
      </c>
      <c r="N1221">
        <v>-1.439669E-2</v>
      </c>
      <c r="O1221">
        <v>-3.8273780000000002E-3</v>
      </c>
      <c r="P1221">
        <v>0.98019659999999997</v>
      </c>
      <c r="Q1221">
        <v>0.18148800000000001</v>
      </c>
      <c r="R1221">
        <v>7.9226840000000007E-2</v>
      </c>
      <c r="S1221">
        <v>3.0774080000000001</v>
      </c>
      <c r="T1221">
        <v>-5.450356E-2</v>
      </c>
      <c r="U1221">
        <v>-8.2183839999999994E-2</v>
      </c>
      <c r="V1221">
        <v>-8.2970489999999994E-2</v>
      </c>
      <c r="W1221">
        <v>0.1955799</v>
      </c>
      <c r="X1221">
        <v>0.97717169999999998</v>
      </c>
      <c r="Y1221">
        <v>2.2862940000000002E-2</v>
      </c>
      <c r="Z1221">
        <v>-3.5437259999999998E-4</v>
      </c>
      <c r="AA1221">
        <v>0.99973860000000003</v>
      </c>
      <c r="AB1221">
        <v>32</v>
      </c>
      <c r="AC1221">
        <v>62.547899999999998</v>
      </c>
      <c r="AD1221">
        <v>-1.1105665673739999</v>
      </c>
      <c r="AE1221">
        <v>-1.67399999999997</v>
      </c>
      <c r="AF1221">
        <v>1.4341167154218399</v>
      </c>
      <c r="AG1221">
        <v>-1.1105665673739999</v>
      </c>
      <c r="AH1221">
        <v>62.534149299424001</v>
      </c>
      <c r="AI1221">
        <v>91.017162118600197</v>
      </c>
      <c r="AJ1221">
        <v>88.686246869090894</v>
      </c>
      <c r="AK1221">
        <v>62.560449786240198</v>
      </c>
      <c r="AL1221">
        <v>78.721399027011799</v>
      </c>
      <c r="AM1221">
        <v>94.853275775886402</v>
      </c>
      <c r="AN1221">
        <v>1.00000006538786</v>
      </c>
    </row>
    <row r="1222" spans="1:40" x14ac:dyDescent="0.25">
      <c r="A1222" t="str">
        <f>"20190304155035565"</f>
        <v>20190304155035565</v>
      </c>
      <c r="B1222" t="str">
        <f>"1551685835557720"</f>
        <v>1551685835557720</v>
      </c>
      <c r="C1222" t="s">
        <v>40</v>
      </c>
      <c r="D1222">
        <v>5.2026209999999997</v>
      </c>
      <c r="E1222">
        <v>0.53959140000000005</v>
      </c>
      <c r="F1222" t="s">
        <v>50</v>
      </c>
      <c r="G1222">
        <v>-189.2115</v>
      </c>
      <c r="H1222" s="1">
        <v>-7.577957E-6</v>
      </c>
      <c r="I1222">
        <v>365.7747</v>
      </c>
      <c r="J1222">
        <v>-251.94569999999999</v>
      </c>
      <c r="K1222">
        <v>1.110554</v>
      </c>
      <c r="L1222">
        <v>367.47649999999999</v>
      </c>
      <c r="M1222">
        <v>0.99988909999999998</v>
      </c>
      <c r="N1222">
        <v>-1.4395689999999999E-2</v>
      </c>
      <c r="O1222">
        <v>-3.8272520000000002E-3</v>
      </c>
      <c r="P1222">
        <v>0.98014460000000003</v>
      </c>
      <c r="Q1222">
        <v>0.18173520000000001</v>
      </c>
      <c r="R1222">
        <v>7.9304929999999996E-2</v>
      </c>
      <c r="S1222">
        <v>3.077423</v>
      </c>
      <c r="T1222">
        <v>-5.4327609999999998E-2</v>
      </c>
      <c r="U1222">
        <v>-8.3282469999999997E-2</v>
      </c>
      <c r="V1222">
        <v>-8.3048369999999996E-2</v>
      </c>
      <c r="W1222">
        <v>0.1958249</v>
      </c>
      <c r="X1222">
        <v>0.97711590000000004</v>
      </c>
      <c r="Y1222">
        <v>2.3219509999999999E-2</v>
      </c>
      <c r="Z1222">
        <v>-3.5963640000000001E-4</v>
      </c>
      <c r="AA1222">
        <v>0.99973029999999996</v>
      </c>
      <c r="AB1222">
        <v>32</v>
      </c>
      <c r="AC1222">
        <v>62.734199999999902</v>
      </c>
      <c r="AD1222">
        <v>-1.1105615779569999</v>
      </c>
      <c r="AE1222">
        <v>-1.70179999999999</v>
      </c>
      <c r="AF1222">
        <v>1.4612054887103501</v>
      </c>
      <c r="AG1222">
        <v>-1.1105615779569999</v>
      </c>
      <c r="AH1222">
        <v>62.7206131631348</v>
      </c>
      <c r="AI1222">
        <v>91.014125726307299</v>
      </c>
      <c r="AJ1222">
        <v>88.665418566074095</v>
      </c>
      <c r="AK1222">
        <v>62.747460379351402</v>
      </c>
      <c r="AL1222">
        <v>78.707083481788402</v>
      </c>
      <c r="AM1222">
        <v>94.858085585134702</v>
      </c>
      <c r="AN1222">
        <v>0.99999995262623698</v>
      </c>
    </row>
    <row r="1223" spans="1:40" x14ac:dyDescent="0.25">
      <c r="A1223" t="str">
        <f>"20190304155035578"</f>
        <v>20190304155035578</v>
      </c>
      <c r="B1223" t="str">
        <f>"1551685835567480"</f>
        <v>1551685835567480</v>
      </c>
      <c r="C1223" t="s">
        <v>40</v>
      </c>
      <c r="D1223">
        <v>5.1576380000000004</v>
      </c>
      <c r="E1223">
        <v>0.53931459999999998</v>
      </c>
      <c r="F1223" t="s">
        <v>50</v>
      </c>
      <c r="G1223">
        <v>-188.5351</v>
      </c>
      <c r="H1223" s="1">
        <v>-7.628925E-6</v>
      </c>
      <c r="I1223">
        <v>365.80689999999998</v>
      </c>
      <c r="J1223">
        <v>-251.78229999999999</v>
      </c>
      <c r="K1223">
        <v>1.1105560000000001</v>
      </c>
      <c r="L1223">
        <v>367.47590000000002</v>
      </c>
      <c r="M1223">
        <v>0.99988900000000003</v>
      </c>
      <c r="N1223">
        <v>-1.439468E-2</v>
      </c>
      <c r="O1223">
        <v>-3.827006E-3</v>
      </c>
      <c r="P1223">
        <v>0.98014480000000004</v>
      </c>
      <c r="Q1223">
        <v>0.1818118</v>
      </c>
      <c r="R1223">
        <v>7.9123929999999995E-2</v>
      </c>
      <c r="S1223">
        <v>3.0773009999999998</v>
      </c>
      <c r="T1223">
        <v>-5.3895350000000002E-2</v>
      </c>
      <c r="U1223">
        <v>-8.1024170000000006E-2</v>
      </c>
      <c r="V1223">
        <v>-8.2867239999999995E-2</v>
      </c>
      <c r="W1223">
        <v>0.19590070000000001</v>
      </c>
      <c r="X1223">
        <v>0.97711619999999999</v>
      </c>
      <c r="Y1223">
        <v>2.2487969999999999E-2</v>
      </c>
      <c r="Z1223">
        <v>-3.4686269999999902E-4</v>
      </c>
      <c r="AA1223">
        <v>0.99974700000000005</v>
      </c>
      <c r="AB1223">
        <v>32</v>
      </c>
      <c r="AC1223">
        <v>63.2471999999999</v>
      </c>
      <c r="AD1223">
        <v>-1.1105636289249901</v>
      </c>
      <c r="AE1223">
        <v>-1.66900000000003</v>
      </c>
      <c r="AF1223">
        <v>1.4264757567339399</v>
      </c>
      <c r="AG1223">
        <v>-1.1105636289249901</v>
      </c>
      <c r="AH1223">
        <v>63.233641933335797</v>
      </c>
      <c r="AI1223">
        <v>91.005918464767703</v>
      </c>
      <c r="AJ1223">
        <v>88.7076945457395</v>
      </c>
      <c r="AK1223">
        <v>63.259478790231697</v>
      </c>
      <c r="AL1223">
        <v>78.702655979263398</v>
      </c>
      <c r="AM1223">
        <v>94.847539076392394</v>
      </c>
      <c r="AN1223">
        <v>1.00000006601407</v>
      </c>
    </row>
    <row r="1224" spans="1:40" x14ac:dyDescent="0.25">
      <c r="A1224" t="str">
        <f>"20190304155035589"</f>
        <v>20190304155035589</v>
      </c>
      <c r="B1224" t="str">
        <f>"1551685835587976"</f>
        <v>1551685835587976</v>
      </c>
      <c r="C1224" t="s">
        <v>40</v>
      </c>
      <c r="D1224">
        <v>5.3040310000000002</v>
      </c>
      <c r="E1224">
        <v>0.53906169999999998</v>
      </c>
      <c r="F1224" t="s">
        <v>50</v>
      </c>
      <c r="G1224">
        <v>-188.81049999999999</v>
      </c>
      <c r="H1224" s="1">
        <v>-7.628702E-6</v>
      </c>
      <c r="I1224">
        <v>365.8503</v>
      </c>
      <c r="J1224">
        <v>-251.6148</v>
      </c>
      <c r="K1224">
        <v>1.1105560000000001</v>
      </c>
      <c r="L1224">
        <v>367.47519999999997</v>
      </c>
      <c r="M1224">
        <v>0.99988909999999998</v>
      </c>
      <c r="N1224">
        <v>-1.4393619999999999E-2</v>
      </c>
      <c r="O1224">
        <v>-3.8272369999999998E-3</v>
      </c>
      <c r="P1224">
        <v>0.98012010000000005</v>
      </c>
      <c r="Q1224">
        <v>0.1819453</v>
      </c>
      <c r="R1224">
        <v>7.9123139999999995E-2</v>
      </c>
      <c r="S1224">
        <v>3.0772400000000002</v>
      </c>
      <c r="T1224">
        <v>-5.4269909999999998E-2</v>
      </c>
      <c r="U1224">
        <v>-7.9437259999999996E-2</v>
      </c>
      <c r="V1224">
        <v>-8.2866410000000001E-2</v>
      </c>
      <c r="W1224">
        <v>0.1960325</v>
      </c>
      <c r="X1224">
        <v>0.97708980000000001</v>
      </c>
      <c r="Y1224">
        <v>2.197313E-2</v>
      </c>
      <c r="Z1224">
        <v>-3.39506E-4</v>
      </c>
      <c r="AA1224">
        <v>0.99975849999999999</v>
      </c>
      <c r="AB1224">
        <v>32</v>
      </c>
      <c r="AC1224">
        <v>62.804299999999998</v>
      </c>
      <c r="AD1224">
        <v>-1.110563628702</v>
      </c>
      <c r="AE1224">
        <v>-1.62489999999996</v>
      </c>
      <c r="AF1224">
        <v>1.3840637699838501</v>
      </c>
      <c r="AG1224">
        <v>-1.110563628702</v>
      </c>
      <c r="AH1224">
        <v>62.7904389101787</v>
      </c>
      <c r="AI1224">
        <v>91.013028866759399</v>
      </c>
      <c r="AJ1224">
        <v>88.737257228357606</v>
      </c>
      <c r="AK1224">
        <v>62.815509252299002</v>
      </c>
      <c r="AL1224">
        <v>78.694954668784803</v>
      </c>
      <c r="AM1224">
        <v>94.847621104972603</v>
      </c>
      <c r="AN1224">
        <v>1.0000000301132801</v>
      </c>
    </row>
    <row r="1225" spans="1:40" x14ac:dyDescent="0.25">
      <c r="A1225" t="str">
        <f>"20190304155035600"</f>
        <v>20190304155035600</v>
      </c>
      <c r="B1225" t="str">
        <f>"1551685835597736"</f>
        <v>1551685835597736</v>
      </c>
      <c r="C1225" t="s">
        <v>40</v>
      </c>
      <c r="D1225">
        <v>5.1541550000000003</v>
      </c>
      <c r="E1225">
        <v>0.53878340000000002</v>
      </c>
      <c r="F1225" t="s">
        <v>50</v>
      </c>
      <c r="G1225">
        <v>-185.7508</v>
      </c>
      <c r="H1225" s="1">
        <v>-7.8083990000000003E-6</v>
      </c>
      <c r="I1225">
        <v>365.81779999999998</v>
      </c>
      <c r="J1225">
        <v>-251.44720000000001</v>
      </c>
      <c r="K1225">
        <v>1.1105560000000001</v>
      </c>
      <c r="L1225">
        <v>367.47460000000001</v>
      </c>
      <c r="M1225">
        <v>0.99988909999999998</v>
      </c>
      <c r="N1225">
        <v>-1.4392490000000001E-2</v>
      </c>
      <c r="O1225">
        <v>-3.8269900000000002E-3</v>
      </c>
      <c r="P1225">
        <v>0.98008459999999997</v>
      </c>
      <c r="Q1225">
        <v>0.1822975</v>
      </c>
      <c r="R1225">
        <v>7.8752440000000007E-2</v>
      </c>
      <c r="S1225">
        <v>3.0767359999999999</v>
      </c>
      <c r="T1225">
        <v>-5.187833E-2</v>
      </c>
      <c r="U1225">
        <v>-7.7423099999999995E-2</v>
      </c>
      <c r="V1225">
        <v>-8.2495680000000002E-2</v>
      </c>
      <c r="W1225">
        <v>0.19638320000000001</v>
      </c>
      <c r="X1225">
        <v>0.97705070000000005</v>
      </c>
      <c r="Y1225">
        <v>2.132411E-2</v>
      </c>
      <c r="Z1225">
        <v>-3.2380400000000002E-4</v>
      </c>
      <c r="AA1225">
        <v>0.99977249999999995</v>
      </c>
      <c r="AB1225">
        <v>32</v>
      </c>
      <c r="AC1225">
        <v>65.696399999999997</v>
      </c>
      <c r="AD1225">
        <v>-1.1105638083989999</v>
      </c>
      <c r="AE1225">
        <v>-1.65680000000003</v>
      </c>
      <c r="AF1225">
        <v>1.4049411321226299</v>
      </c>
      <c r="AG1225">
        <v>-1.1105638083989999</v>
      </c>
      <c r="AH1225">
        <v>65.683502128996807</v>
      </c>
      <c r="AI1225">
        <v>90.968432069870005</v>
      </c>
      <c r="AJ1225">
        <v>88.774655401774794</v>
      </c>
      <c r="AK1225">
        <v>65.707911726725698</v>
      </c>
      <c r="AL1225">
        <v>78.674462199319805</v>
      </c>
      <c r="AM1225">
        <v>94.826228564316295</v>
      </c>
      <c r="AN1225">
        <v>0.99999998441569604</v>
      </c>
    </row>
    <row r="1226" spans="1:40" x14ac:dyDescent="0.25">
      <c r="A1226" t="str">
        <f>"20190304155035614"</f>
        <v>20190304155035614</v>
      </c>
      <c r="B1226" t="str">
        <f>"1551685835607496"</f>
        <v>1551685835607496</v>
      </c>
      <c r="C1226" t="s">
        <v>40</v>
      </c>
      <c r="D1226">
        <v>5.23766</v>
      </c>
      <c r="E1226">
        <v>0.53859109999999999</v>
      </c>
      <c r="F1226" t="s">
        <v>50</v>
      </c>
      <c r="G1226">
        <v>-184.44659999999999</v>
      </c>
      <c r="H1226" s="1">
        <v>-7.9185009999999999E-6</v>
      </c>
      <c r="I1226">
        <v>365.80650000000003</v>
      </c>
      <c r="J1226">
        <v>-251.26689999999999</v>
      </c>
      <c r="K1226">
        <v>1.1105560000000001</v>
      </c>
      <c r="L1226">
        <v>367.47390000000001</v>
      </c>
      <c r="M1226">
        <v>0.99988909999999998</v>
      </c>
      <c r="N1226">
        <v>-1.43912999999999E-2</v>
      </c>
      <c r="O1226">
        <v>-3.826982E-3</v>
      </c>
      <c r="P1226">
        <v>0.98002650000000002</v>
      </c>
      <c r="Q1226">
        <v>0.1827087</v>
      </c>
      <c r="R1226">
        <v>7.8521530000000006E-2</v>
      </c>
      <c r="S1226">
        <v>3.0766140000000002</v>
      </c>
      <c r="T1226">
        <v>-5.0996300000000001E-2</v>
      </c>
      <c r="U1226">
        <v>-7.6599120000000007E-2</v>
      </c>
      <c r="V1226">
        <v>-8.226472E-2</v>
      </c>
      <c r="W1226">
        <v>0.19679279999999999</v>
      </c>
      <c r="X1226">
        <v>0.97698779999999996</v>
      </c>
      <c r="Y1226">
        <v>2.105773E-2</v>
      </c>
      <c r="Z1226">
        <v>-3.1770749999999998E-4</v>
      </c>
      <c r="AA1226">
        <v>0.99977819999999995</v>
      </c>
      <c r="AB1226">
        <v>32</v>
      </c>
      <c r="AC1226">
        <v>66.820300000000003</v>
      </c>
      <c r="AD1226">
        <v>-1.1105639185009999</v>
      </c>
      <c r="AE1226">
        <v>-1.66739999999998</v>
      </c>
      <c r="AF1226">
        <v>1.4112516256649901</v>
      </c>
      <c r="AG1226">
        <v>-1.1105639185009999</v>
      </c>
      <c r="AH1226">
        <v>66.807749552865204</v>
      </c>
      <c r="AI1226">
        <v>90.952143689245304</v>
      </c>
      <c r="AJ1226">
        <v>88.789859879460593</v>
      </c>
      <c r="AK1226">
        <v>66.831881491443696</v>
      </c>
      <c r="AL1226">
        <v>78.650527252174797</v>
      </c>
      <c r="AM1226">
        <v>94.813088712124696</v>
      </c>
      <c r="AN1226">
        <v>1.0000000258186701</v>
      </c>
    </row>
    <row r="1227" spans="1:40" x14ac:dyDescent="0.25">
      <c r="A1227" t="str">
        <f>"20190304155035627"</f>
        <v>20190304155035627</v>
      </c>
      <c r="B1227" t="str">
        <f>"1551685835617256"</f>
        <v>1551685835617256</v>
      </c>
      <c r="C1227" t="s">
        <v>40</v>
      </c>
      <c r="D1227">
        <v>5.233835</v>
      </c>
      <c r="E1227">
        <v>0.53841850000000002</v>
      </c>
      <c r="F1227" t="s">
        <v>50</v>
      </c>
      <c r="G1227">
        <v>-183.15530000000001</v>
      </c>
      <c r="H1227" s="1">
        <v>-8.0279479999999995E-6</v>
      </c>
      <c r="I1227">
        <v>365.79629999999997</v>
      </c>
      <c r="J1227">
        <v>-251.07220000000001</v>
      </c>
      <c r="K1227">
        <v>1.110557</v>
      </c>
      <c r="L1227">
        <v>367.47309999999999</v>
      </c>
      <c r="M1227">
        <v>0.99988909999999998</v>
      </c>
      <c r="N1227">
        <v>-1.439003E-2</v>
      </c>
      <c r="O1227">
        <v>-3.8272110000000001E-3</v>
      </c>
      <c r="P1227">
        <v>0.98001249999999995</v>
      </c>
      <c r="Q1227">
        <v>0.1828197</v>
      </c>
      <c r="R1227">
        <v>7.8438859999999999E-2</v>
      </c>
      <c r="S1227">
        <v>3.0765690000000001</v>
      </c>
      <c r="T1227">
        <v>-5.0163630000000001E-2</v>
      </c>
      <c r="U1227">
        <v>-7.5775149999999999E-2</v>
      </c>
      <c r="V1227">
        <v>-8.2181809999999994E-2</v>
      </c>
      <c r="W1227">
        <v>0.1969021</v>
      </c>
      <c r="X1227">
        <v>0.97697270000000003</v>
      </c>
      <c r="Y1227">
        <v>2.0790469999999998E-2</v>
      </c>
      <c r="Z1227">
        <v>-3.1177499999999998E-4</v>
      </c>
      <c r="AA1227">
        <v>0.9997838</v>
      </c>
      <c r="AB1227">
        <v>32</v>
      </c>
      <c r="AC1227">
        <v>67.916899999999998</v>
      </c>
      <c r="AD1227">
        <v>-1.1105650279479999</v>
      </c>
      <c r="AE1227">
        <v>-1.6768000000000101</v>
      </c>
      <c r="AF1227">
        <v>1.4164499821415999</v>
      </c>
      <c r="AG1227">
        <v>-1.1105650279479999</v>
      </c>
      <c r="AH1227">
        <v>67.904675187437803</v>
      </c>
      <c r="AI1227">
        <v>90.936771751653396</v>
      </c>
      <c r="AJ1227">
        <v>88.805018389054197</v>
      </c>
      <c r="AK1227">
        <v>67.928525654136195</v>
      </c>
      <c r="AL1227">
        <v>78.644139225924803</v>
      </c>
      <c r="AM1227">
        <v>94.808334591642094</v>
      </c>
      <c r="AN1227">
        <v>0.99999997171228705</v>
      </c>
    </row>
    <row r="1228" spans="1:40" x14ac:dyDescent="0.25">
      <c r="A1228" t="str">
        <f>"20190304155035640"</f>
        <v>20190304155035640</v>
      </c>
      <c r="B1228" t="str">
        <f>"1551685835637753"</f>
        <v>1551685835637753</v>
      </c>
      <c r="C1228" t="s">
        <v>40</v>
      </c>
      <c r="D1228">
        <v>5.2792620000000001</v>
      </c>
      <c r="E1228">
        <v>0.53822789999999998</v>
      </c>
      <c r="F1228" t="s">
        <v>50</v>
      </c>
      <c r="G1228">
        <v>-182.62540000000001</v>
      </c>
      <c r="H1228" s="1">
        <v>-8.0829399999999996E-6</v>
      </c>
      <c r="I1228">
        <v>365.81779999999998</v>
      </c>
      <c r="J1228">
        <v>-250.8912</v>
      </c>
      <c r="K1228">
        <v>1.1105640000000001</v>
      </c>
      <c r="L1228">
        <v>367.47250000000003</v>
      </c>
      <c r="M1228">
        <v>0.99988929999999998</v>
      </c>
      <c r="N1228">
        <v>-1.4388669999999999E-2</v>
      </c>
      <c r="O1228">
        <v>-3.8272010000000001E-3</v>
      </c>
      <c r="P1228">
        <v>0.9798405</v>
      </c>
      <c r="Q1228">
        <v>0.18364520000000001</v>
      </c>
      <c r="R1228">
        <v>7.8661259999999997E-2</v>
      </c>
      <c r="S1228">
        <v>3.0764469999999999</v>
      </c>
      <c r="T1228">
        <v>-4.991603E-2</v>
      </c>
      <c r="U1228">
        <v>-7.440186E-2</v>
      </c>
      <c r="V1228">
        <v>-8.2403630000000005E-2</v>
      </c>
      <c r="W1228">
        <v>0.1977235</v>
      </c>
      <c r="X1228">
        <v>0.9767882</v>
      </c>
      <c r="Y1228">
        <v>2.0345579999999999E-2</v>
      </c>
      <c r="Z1228">
        <v>-3.0442110000000001E-4</v>
      </c>
      <c r="AA1228">
        <v>0.99979289999999998</v>
      </c>
      <c r="AB1228">
        <v>32</v>
      </c>
      <c r="AC1228">
        <v>68.265799999999899</v>
      </c>
      <c r="AD1228">
        <v>-1.1105720829400001</v>
      </c>
      <c r="AE1228">
        <v>-1.65470000000004</v>
      </c>
      <c r="AF1228">
        <v>1.39302546881067</v>
      </c>
      <c r="AG1228">
        <v>-1.1105720829400001</v>
      </c>
      <c r="AH1228">
        <v>68.253580121625205</v>
      </c>
      <c r="AI1228">
        <v>90.931998487430704</v>
      </c>
      <c r="AJ1228">
        <v>88.830780737059001</v>
      </c>
      <c r="AK1228">
        <v>68.276826886779602</v>
      </c>
      <c r="AL1228">
        <v>78.596133757758594</v>
      </c>
      <c r="AM1228">
        <v>94.822158217486603</v>
      </c>
      <c r="AN1228">
        <v>1.0000000641743301</v>
      </c>
    </row>
    <row r="1229" spans="1:40" x14ac:dyDescent="0.25">
      <c r="A1229" t="str">
        <f>"20190304155035656"</f>
        <v>20190304155035656</v>
      </c>
      <c r="B1229" t="str">
        <f>"1551685835647512"</f>
        <v>1551685835647512</v>
      </c>
      <c r="C1229" t="s">
        <v>40</v>
      </c>
      <c r="D1229">
        <v>5.2331000000000003</v>
      </c>
      <c r="E1229">
        <v>0.53808020000000001</v>
      </c>
      <c r="F1229" t="s">
        <v>50</v>
      </c>
      <c r="G1229">
        <v>-180.6165</v>
      </c>
      <c r="H1229" s="1">
        <v>-8.2615310000000002E-6</v>
      </c>
      <c r="I1229">
        <v>365.82319999999999</v>
      </c>
      <c r="J1229">
        <v>-250.679</v>
      </c>
      <c r="K1229">
        <v>1.1105670000000001</v>
      </c>
      <c r="L1229">
        <v>367.4717</v>
      </c>
      <c r="M1229">
        <v>0.99988929999999998</v>
      </c>
      <c r="N1229">
        <v>-1.4386950000000001E-2</v>
      </c>
      <c r="O1229">
        <v>-3.8271889999999999E-3</v>
      </c>
      <c r="P1229">
        <v>0.97985840000000002</v>
      </c>
      <c r="Q1229">
        <v>0.18354329999999999</v>
      </c>
      <c r="R1229">
        <v>7.8673759999999995E-2</v>
      </c>
      <c r="S1229">
        <v>3.0766300000000002</v>
      </c>
      <c r="T1229">
        <v>-4.8620940000000001E-2</v>
      </c>
      <c r="U1229">
        <v>-7.2204589999999999E-2</v>
      </c>
      <c r="V1229">
        <v>-8.2416110000000001E-2</v>
      </c>
      <c r="W1229">
        <v>0.1976202</v>
      </c>
      <c r="X1229">
        <v>0.97680800000000001</v>
      </c>
      <c r="Y1229">
        <v>1.9630890000000002E-2</v>
      </c>
      <c r="Z1229">
        <v>-2.9093119999999998E-4</v>
      </c>
      <c r="AA1229">
        <v>0.99980720000000001</v>
      </c>
      <c r="AB1229">
        <v>32</v>
      </c>
      <c r="AC1229">
        <v>70.0625</v>
      </c>
      <c r="AD1229">
        <v>-1.1105752615310001</v>
      </c>
      <c r="AE1229">
        <v>-1.6485000000000101</v>
      </c>
      <c r="AF1229">
        <v>1.3799712319964399</v>
      </c>
      <c r="AG1229">
        <v>-1.1105752615310001</v>
      </c>
      <c r="AH1229">
        <v>70.050705292299099</v>
      </c>
      <c r="AI1229">
        <v>90.908107985070899</v>
      </c>
      <c r="AJ1229">
        <v>88.871441742173104</v>
      </c>
      <c r="AK1229">
        <v>70.073097619280404</v>
      </c>
      <c r="AL1229">
        <v>78.602170965122298</v>
      </c>
      <c r="AM1229">
        <v>94.822787787739998</v>
      </c>
      <c r="AN1229">
        <v>1.00000001374978</v>
      </c>
    </row>
    <row r="1230" spans="1:40" x14ac:dyDescent="0.25">
      <c r="A1230" t="str">
        <f>"20190304155035674"</f>
        <v>20190304155035674</v>
      </c>
      <c r="B1230" t="str">
        <f>"1551685835668011"</f>
        <v>1551685835668011</v>
      </c>
      <c r="C1230" t="s">
        <v>40</v>
      </c>
      <c r="D1230">
        <v>5.1654580000000001</v>
      </c>
      <c r="E1230">
        <v>0.53777779999999997</v>
      </c>
      <c r="F1230" t="s">
        <v>50</v>
      </c>
      <c r="G1230">
        <v>-181.1611</v>
      </c>
      <c r="H1230" s="1">
        <v>-8.2304E-6</v>
      </c>
      <c r="I1230">
        <v>365.8657</v>
      </c>
      <c r="J1230">
        <v>-250.41720000000001</v>
      </c>
      <c r="K1230">
        <v>1.110562</v>
      </c>
      <c r="L1230">
        <v>367.47070000000002</v>
      </c>
      <c r="M1230">
        <v>0.99988940000000004</v>
      </c>
      <c r="N1230">
        <v>-1.4384660000000001E-2</v>
      </c>
      <c r="O1230">
        <v>-3.8271720000000002E-3</v>
      </c>
      <c r="P1230">
        <v>0.97983719999999996</v>
      </c>
      <c r="Q1230">
        <v>0.18370639999999999</v>
      </c>
      <c r="R1230">
        <v>7.8558870000000003E-2</v>
      </c>
      <c r="S1230">
        <v>3.076584</v>
      </c>
      <c r="T1230">
        <v>-4.914963E-2</v>
      </c>
      <c r="U1230">
        <v>-7.1075440000000004E-2</v>
      </c>
      <c r="V1230">
        <v>-8.2301120000000005E-2</v>
      </c>
      <c r="W1230">
        <v>0.19778100000000001</v>
      </c>
      <c r="X1230">
        <v>0.97678509999999996</v>
      </c>
      <c r="Y1230">
        <v>1.926452E-2</v>
      </c>
      <c r="Z1230">
        <v>-2.8636880000000001E-4</v>
      </c>
      <c r="AA1230">
        <v>0.99981439999999999</v>
      </c>
      <c r="AB1230">
        <v>32</v>
      </c>
      <c r="AC1230">
        <v>69.256100000000004</v>
      </c>
      <c r="AD1230">
        <v>-1.1105702304</v>
      </c>
      <c r="AE1230">
        <v>-1.60500000000001</v>
      </c>
      <c r="AF1230">
        <v>1.3395615848209601</v>
      </c>
      <c r="AG1230">
        <v>-1.1105702304</v>
      </c>
      <c r="AH1230">
        <v>69.243939843988997</v>
      </c>
      <c r="AI1230">
        <v>90.918688790285898</v>
      </c>
      <c r="AJ1230">
        <v>88.891720303398998</v>
      </c>
      <c r="AK1230">
        <v>69.265799617084895</v>
      </c>
      <c r="AL1230">
        <v>78.592771733062804</v>
      </c>
      <c r="AM1230">
        <v>94.816202907456997</v>
      </c>
      <c r="AN1230">
        <v>0.99999996494813104</v>
      </c>
    </row>
    <row r="1231" spans="1:40" x14ac:dyDescent="0.25">
      <c r="A1231" t="str">
        <f>"20190304155035685"</f>
        <v>20190304155035685</v>
      </c>
      <c r="B1231" t="str">
        <f>"1551685835677768"</f>
        <v>1551685835677768</v>
      </c>
      <c r="C1231" t="s">
        <v>40</v>
      </c>
      <c r="D1231">
        <v>5.2038960000000003</v>
      </c>
      <c r="E1231">
        <v>0.53763090000000002</v>
      </c>
      <c r="F1231" t="s">
        <v>50</v>
      </c>
      <c r="G1231">
        <v>-181.25899999999999</v>
      </c>
      <c r="H1231" s="1">
        <v>-8.2451849999999992E-6</v>
      </c>
      <c r="I1231">
        <v>365.92509999999999</v>
      </c>
      <c r="J1231">
        <v>-250.2491</v>
      </c>
      <c r="K1231">
        <v>1.110563</v>
      </c>
      <c r="L1231">
        <v>367.47</v>
      </c>
      <c r="M1231">
        <v>0.99988929999999998</v>
      </c>
      <c r="N1231">
        <v>-1.4383150000000001E-2</v>
      </c>
      <c r="O1231">
        <v>-3.8269229999999999E-3</v>
      </c>
      <c r="P1231">
        <v>0.97989329999999997</v>
      </c>
      <c r="Q1231">
        <v>0.18337700000000001</v>
      </c>
      <c r="R1231">
        <v>7.862508E-2</v>
      </c>
      <c r="S1231">
        <v>3.0765380000000002</v>
      </c>
      <c r="T1231">
        <v>-4.9404259999999998E-2</v>
      </c>
      <c r="U1231">
        <v>-6.8756100000000001E-2</v>
      </c>
      <c r="V1231">
        <v>-8.2366789999999995E-2</v>
      </c>
      <c r="W1231">
        <v>0.19745099999999999</v>
      </c>
      <c r="X1231">
        <v>0.9768464</v>
      </c>
      <c r="Y1231">
        <v>1.8511909999999999E-2</v>
      </c>
      <c r="Z1231">
        <v>-2.7537489999999998E-4</v>
      </c>
      <c r="AA1231">
        <v>0.99982859999999996</v>
      </c>
      <c r="AB1231">
        <v>32</v>
      </c>
      <c r="AC1231">
        <v>68.990099999999899</v>
      </c>
      <c r="AD1231">
        <v>-1.1105712451850001</v>
      </c>
      <c r="AE1231">
        <v>-1.5449000000000399</v>
      </c>
      <c r="AF1231">
        <v>1.28050993462912</v>
      </c>
      <c r="AG1231">
        <v>-1.1105712451850001</v>
      </c>
      <c r="AH1231">
        <v>68.977642242588502</v>
      </c>
      <c r="AI1231">
        <v>90.922249397466004</v>
      </c>
      <c r="AJ1231">
        <v>88.936475848389193</v>
      </c>
      <c r="AK1231">
        <v>68.998465225900802</v>
      </c>
      <c r="AL1231">
        <v>78.612060544924503</v>
      </c>
      <c r="AM1231">
        <v>94.819726724521104</v>
      </c>
      <c r="AN1231">
        <v>1.00000003734443</v>
      </c>
    </row>
    <row r="1232" spans="1:40" x14ac:dyDescent="0.25">
      <c r="A1232" t="str">
        <f>"20190304155035696"</f>
        <v>20190304155035696</v>
      </c>
      <c r="B1232" t="str">
        <f>"1551685835687528"</f>
        <v>1551685835687528</v>
      </c>
      <c r="C1232" t="s">
        <v>40</v>
      </c>
      <c r="D1232">
        <v>5.1764609999999998</v>
      </c>
      <c r="E1232">
        <v>0.5376187</v>
      </c>
      <c r="F1232" t="s">
        <v>50</v>
      </c>
      <c r="G1232">
        <v>-182.9091</v>
      </c>
      <c r="H1232" s="1">
        <v>-8.1238300000000004E-6</v>
      </c>
      <c r="I1232">
        <v>365.98509999999999</v>
      </c>
      <c r="J1232">
        <v>-250.10169999999999</v>
      </c>
      <c r="K1232">
        <v>1.110565</v>
      </c>
      <c r="L1232">
        <v>367.46949999999998</v>
      </c>
      <c r="M1232">
        <v>0.99988940000000004</v>
      </c>
      <c r="N1232">
        <v>-1.438179E-2</v>
      </c>
      <c r="O1232">
        <v>-3.8269129999999999E-3</v>
      </c>
      <c r="P1232">
        <v>0.9798827</v>
      </c>
      <c r="Q1232">
        <v>0.18338599999999999</v>
      </c>
      <c r="R1232">
        <v>7.8738649999999993E-2</v>
      </c>
      <c r="S1232">
        <v>3.076492</v>
      </c>
      <c r="T1232">
        <v>-5.0737499999999998E-2</v>
      </c>
      <c r="U1232">
        <v>-6.7840579999999998E-2</v>
      </c>
      <c r="V1232">
        <v>-8.2480780000000004E-2</v>
      </c>
      <c r="W1232">
        <v>0.19745850000000001</v>
      </c>
      <c r="X1232">
        <v>0.97683529999999996</v>
      </c>
      <c r="Y1232">
        <v>1.8214749999999998E-2</v>
      </c>
      <c r="Z1232">
        <v>-2.731236E-4</v>
      </c>
      <c r="AA1232">
        <v>0.99983409999999995</v>
      </c>
      <c r="AB1232">
        <v>32</v>
      </c>
      <c r="AC1232">
        <v>67.192599999999999</v>
      </c>
      <c r="AD1232">
        <v>-1.1105731238299901</v>
      </c>
      <c r="AE1232">
        <v>-1.4843999999999899</v>
      </c>
      <c r="AF1232">
        <v>1.22688733471197</v>
      </c>
      <c r="AG1232">
        <v>-1.1105731238299901</v>
      </c>
      <c r="AH1232">
        <v>67.179445890871406</v>
      </c>
      <c r="AI1232">
        <v>90.946937719561902</v>
      </c>
      <c r="AJ1232">
        <v>88.953732773415197</v>
      </c>
      <c r="AK1232">
        <v>67.199825709595103</v>
      </c>
      <c r="AL1232">
        <v>78.611622582594904</v>
      </c>
      <c r="AM1232">
        <v>94.826419993783603</v>
      </c>
      <c r="AN1232">
        <v>1.0000000708088701</v>
      </c>
    </row>
    <row r="1233" spans="1:40" x14ac:dyDescent="0.25">
      <c r="A1233" t="str">
        <f>"20190304155035709"</f>
        <v>20190304155035709</v>
      </c>
      <c r="B1233" t="str">
        <f>"1551685835697288"</f>
        <v>1551685835697288</v>
      </c>
      <c r="C1233" t="s">
        <v>40</v>
      </c>
      <c r="D1233">
        <v>4.870692</v>
      </c>
      <c r="E1233">
        <v>0.53788669999999905</v>
      </c>
      <c r="F1233" t="s">
        <v>50</v>
      </c>
      <c r="G1233">
        <v>-182.7647</v>
      </c>
      <c r="H1233" s="1">
        <v>-8.1397469999999996E-6</v>
      </c>
      <c r="I1233">
        <v>365.99329999999998</v>
      </c>
      <c r="J1233">
        <v>-249.9237</v>
      </c>
      <c r="K1233">
        <v>1.1105640000000001</v>
      </c>
      <c r="L1233">
        <v>367.46879999999999</v>
      </c>
      <c r="M1233">
        <v>0.99988940000000004</v>
      </c>
      <c r="N1233">
        <v>-1.438014E-2</v>
      </c>
      <c r="O1233">
        <v>-3.8271389999999998E-3</v>
      </c>
      <c r="P1233">
        <v>0.97989729999999997</v>
      </c>
      <c r="Q1233">
        <v>0.1832715</v>
      </c>
      <c r="R1233">
        <v>7.8824309999999995E-2</v>
      </c>
      <c r="S1233">
        <v>3.0765229999999999</v>
      </c>
      <c r="T1233">
        <v>-5.0740359999999998E-2</v>
      </c>
      <c r="U1233">
        <v>-6.744385E-2</v>
      </c>
      <c r="V1233">
        <v>-8.2566589999999995E-2</v>
      </c>
      <c r="W1233">
        <v>0.1973425</v>
      </c>
      <c r="X1233">
        <v>0.97685140000000004</v>
      </c>
      <c r="Y1233">
        <v>1.8085469999999999E-2</v>
      </c>
      <c r="Z1233">
        <v>-2.7110989999999999E-4</v>
      </c>
      <c r="AA1233">
        <v>0.99983639999999996</v>
      </c>
      <c r="AB1233">
        <v>32</v>
      </c>
      <c r="AC1233">
        <v>67.158999999999907</v>
      </c>
      <c r="AD1233">
        <v>-1.1105721397470001</v>
      </c>
      <c r="AE1233">
        <v>-1.47550000000001</v>
      </c>
      <c r="AF1233">
        <v>1.21810288140131</v>
      </c>
      <c r="AG1233">
        <v>-1.1105721397470001</v>
      </c>
      <c r="AH1233">
        <v>67.145803119932694</v>
      </c>
      <c r="AI1233">
        <v>90.947413345162204</v>
      </c>
      <c r="AJ1233">
        <v>88.960701992591495</v>
      </c>
      <c r="AK1233">
        <v>67.166033243954601</v>
      </c>
      <c r="AL1233">
        <v>78.618401260331296</v>
      </c>
      <c r="AM1233">
        <v>94.831338216763697</v>
      </c>
      <c r="AN1233">
        <v>0.999999980886218</v>
      </c>
    </row>
    <row r="1234" spans="1:40" x14ac:dyDescent="0.25">
      <c r="A1234" t="str">
        <f>"20190304155035721"</f>
        <v>20190304155035721</v>
      </c>
      <c r="B1234" t="str">
        <f>"1551685835717784"</f>
        <v>1551685835717784</v>
      </c>
      <c r="C1234" t="s">
        <v>40</v>
      </c>
      <c r="D1234">
        <v>5.1961279999999999</v>
      </c>
      <c r="E1234">
        <v>0.5714226</v>
      </c>
      <c r="F1234" t="s">
        <v>50</v>
      </c>
      <c r="G1234">
        <v>-181.1088</v>
      </c>
      <c r="H1234" s="1">
        <v>-8.2563370000000004E-6</v>
      </c>
      <c r="I1234">
        <v>365.91989999999998</v>
      </c>
      <c r="J1234">
        <v>-249.749</v>
      </c>
      <c r="K1234">
        <v>1.1105640000000001</v>
      </c>
      <c r="L1234">
        <v>367.46809999999999</v>
      </c>
      <c r="M1234">
        <v>0.99988929999999998</v>
      </c>
      <c r="N1234">
        <v>-1.4378480000000001E-2</v>
      </c>
      <c r="O1234">
        <v>-3.826889E-3</v>
      </c>
      <c r="P1234">
        <v>0.97991159999999999</v>
      </c>
      <c r="Q1234">
        <v>0.1831575</v>
      </c>
      <c r="R1234">
        <v>7.8909699999999999E-2</v>
      </c>
      <c r="S1234">
        <v>3.0763850000000001</v>
      </c>
      <c r="T1234">
        <v>-4.9648400000000002E-2</v>
      </c>
      <c r="U1234">
        <v>-6.9244379999999994E-2</v>
      </c>
      <c r="V1234">
        <v>-8.2652379999999998E-2</v>
      </c>
      <c r="W1234">
        <v>0.19722700000000001</v>
      </c>
      <c r="X1234">
        <v>0.9768675</v>
      </c>
      <c r="Y1234">
        <v>1.8671589999999998E-2</v>
      </c>
      <c r="Z1234">
        <v>-2.7818539999999999E-4</v>
      </c>
      <c r="AA1234">
        <v>0.99982570000000004</v>
      </c>
      <c r="AB1234">
        <v>31</v>
      </c>
      <c r="AC1234">
        <v>68.640199999999993</v>
      </c>
      <c r="AD1234">
        <v>-1.110572256337</v>
      </c>
      <c r="AE1234">
        <v>-1.5482</v>
      </c>
      <c r="AF1234">
        <v>1.28514682214746</v>
      </c>
      <c r="AG1234">
        <v>-1.110572256337</v>
      </c>
      <c r="AH1234">
        <v>68.627666456305107</v>
      </c>
      <c r="AI1234">
        <v>90.926949752013996</v>
      </c>
      <c r="AJ1234">
        <v>88.927183636124298</v>
      </c>
      <c r="AK1234">
        <v>68.648682262144504</v>
      </c>
      <c r="AL1234">
        <v>78.625151916574794</v>
      </c>
      <c r="AM1234">
        <v>94.836255041550899</v>
      </c>
      <c r="AN1234">
        <v>1.0000000090024499</v>
      </c>
    </row>
    <row r="1235" spans="1:40" x14ac:dyDescent="0.25">
      <c r="A1235" t="str">
        <f>"20190304155035733"</f>
        <v>20190304155035733</v>
      </c>
      <c r="B1235" t="str">
        <f>"1551685835727544"</f>
        <v>1551685835727544</v>
      </c>
      <c r="C1235" t="s">
        <v>40</v>
      </c>
      <c r="D1235">
        <v>5.1764739999999998</v>
      </c>
      <c r="E1235">
        <v>0.57253319999999996</v>
      </c>
      <c r="F1235" t="s">
        <v>43</v>
      </c>
      <c r="G1235">
        <v>-158.19499999999999</v>
      </c>
      <c r="H1235">
        <v>2.4791599999999998</v>
      </c>
      <c r="I1235">
        <v>357.51</v>
      </c>
      <c r="J1235">
        <v>-249.5821</v>
      </c>
      <c r="K1235">
        <v>1.110557</v>
      </c>
      <c r="L1235">
        <v>367.46749999999997</v>
      </c>
      <c r="M1235">
        <v>0.99988929999999998</v>
      </c>
      <c r="N1235">
        <v>-1.437687E-2</v>
      </c>
      <c r="O1235">
        <v>-3.8268769999999998E-3</v>
      </c>
      <c r="P1235">
        <v>0.97989230000000005</v>
      </c>
      <c r="Q1235">
        <v>0.18326490000000001</v>
      </c>
      <c r="R1235">
        <v>7.8899419999999998E-2</v>
      </c>
      <c r="S1235">
        <v>3.0798649999999999</v>
      </c>
      <c r="T1235">
        <v>4.6042319999999998E-2</v>
      </c>
      <c r="U1235">
        <v>-0.3349915</v>
      </c>
      <c r="V1235">
        <v>-8.264175E-2</v>
      </c>
      <c r="W1235">
        <v>0.1973327</v>
      </c>
      <c r="X1235">
        <v>0.97684709999999997</v>
      </c>
      <c r="Y1235">
        <v>0.1043261</v>
      </c>
      <c r="Z1235" s="1">
        <v>-8.6604499999999994E-5</v>
      </c>
      <c r="AA1235">
        <v>0.99454310000000001</v>
      </c>
      <c r="AB1235">
        <v>31</v>
      </c>
      <c r="AC1235">
        <v>91.387100000000004</v>
      </c>
      <c r="AD1235">
        <v>1.36860299999999</v>
      </c>
      <c r="AE1235">
        <v>-9.95749999999998</v>
      </c>
      <c r="AF1235">
        <v>9.6055346959428096</v>
      </c>
      <c r="AG1235">
        <v>1.36860299999999</v>
      </c>
      <c r="AH1235">
        <v>91.404281369260602</v>
      </c>
      <c r="AI1235">
        <v>89.146867384962405</v>
      </c>
      <c r="AJ1235">
        <v>84.000894273640498</v>
      </c>
      <c r="AK1235">
        <v>91.917800363137204</v>
      </c>
      <c r="AL1235">
        <v>78.618974877402394</v>
      </c>
      <c r="AM1235">
        <v>94.835736502081403</v>
      </c>
      <c r="AN1235">
        <v>1.00000005505537</v>
      </c>
    </row>
    <row r="1236" spans="1:40" x14ac:dyDescent="0.25">
      <c r="A1236" t="str">
        <f>"20190304155035744"</f>
        <v>20190304155035744</v>
      </c>
      <c r="B1236" t="str">
        <f>"1551685835737304"</f>
        <v>1551685835737304</v>
      </c>
      <c r="C1236" t="s">
        <v>40</v>
      </c>
      <c r="D1236">
        <v>5.1651099999999897</v>
      </c>
      <c r="E1236">
        <v>0.57291539999999996</v>
      </c>
      <c r="F1236" t="s">
        <v>43</v>
      </c>
      <c r="G1236">
        <v>-158.19499999999999</v>
      </c>
      <c r="H1236">
        <v>3.4061940000000002</v>
      </c>
      <c r="I1236">
        <v>357.25709999999998</v>
      </c>
      <c r="J1236">
        <v>-249.4239</v>
      </c>
      <c r="K1236">
        <v>1.110557</v>
      </c>
      <c r="L1236">
        <v>367.46690000000001</v>
      </c>
      <c r="M1236">
        <v>0.99988940000000004</v>
      </c>
      <c r="N1236">
        <v>-1.437532E-2</v>
      </c>
      <c r="O1236">
        <v>-3.8268659999999999E-3</v>
      </c>
      <c r="P1236">
        <v>0.9799696</v>
      </c>
      <c r="Q1236">
        <v>0.18280920000000001</v>
      </c>
      <c r="R1236">
        <v>7.8998929999999995E-2</v>
      </c>
      <c r="S1236">
        <v>3.074783</v>
      </c>
      <c r="T1236">
        <v>7.7241180000000007E-2</v>
      </c>
      <c r="U1236">
        <v>-0.34353640000000002</v>
      </c>
      <c r="V1236">
        <v>-8.2741250000000002E-2</v>
      </c>
      <c r="W1236">
        <v>0.19687640000000001</v>
      </c>
      <c r="X1236">
        <v>0.97693070000000004</v>
      </c>
      <c r="Y1236">
        <v>0.1072206</v>
      </c>
      <c r="Z1236">
        <v>4.1855370000000002E-4</v>
      </c>
      <c r="AA1236">
        <v>0.99423519999999999</v>
      </c>
      <c r="AB1236">
        <v>31</v>
      </c>
      <c r="AC1236">
        <v>91.228899999999996</v>
      </c>
      <c r="AD1236">
        <v>2.2956369999999899</v>
      </c>
      <c r="AE1236">
        <v>-10.2098</v>
      </c>
      <c r="AF1236">
        <v>9.8544057545895694</v>
      </c>
      <c r="AG1236">
        <v>2.2956369999999899</v>
      </c>
      <c r="AH1236">
        <v>91.210267397608504</v>
      </c>
      <c r="AI1236">
        <v>88.566586561049803</v>
      </c>
      <c r="AJ1236">
        <v>83.833652066296807</v>
      </c>
      <c r="AK1236">
        <v>91.769777926913903</v>
      </c>
      <c r="AL1236">
        <v>78.645641589220503</v>
      </c>
      <c r="AM1236">
        <v>94.841118690168699</v>
      </c>
      <c r="AN1236">
        <v>1.0000000119654999</v>
      </c>
    </row>
    <row r="1237" spans="1:40" x14ac:dyDescent="0.25">
      <c r="A1237" t="str">
        <f>"20190304155035756"</f>
        <v>20190304155035756</v>
      </c>
      <c r="B1237" t="str">
        <f>"1551685835748040"</f>
        <v>1551685835748040</v>
      </c>
      <c r="C1237" t="s">
        <v>40</v>
      </c>
      <c r="D1237">
        <v>5.1959229999999996</v>
      </c>
      <c r="E1237">
        <v>0.57338809999999996</v>
      </c>
      <c r="F1237" t="s">
        <v>43</v>
      </c>
      <c r="G1237">
        <v>-158.19499999999999</v>
      </c>
      <c r="H1237">
        <v>3.8948170000000002</v>
      </c>
      <c r="I1237">
        <v>357.19690000000003</v>
      </c>
      <c r="J1237">
        <v>-249.261</v>
      </c>
      <c r="K1237">
        <v>1.1105560000000001</v>
      </c>
      <c r="L1237">
        <v>367.46629999999999</v>
      </c>
      <c r="M1237">
        <v>0.99988940000000004</v>
      </c>
      <c r="N1237">
        <v>-1.437371E-2</v>
      </c>
      <c r="O1237">
        <v>-3.8268550000000001E-3</v>
      </c>
      <c r="P1237">
        <v>0.9799755</v>
      </c>
      <c r="Q1237">
        <v>0.1828438</v>
      </c>
      <c r="R1237">
        <v>7.8844849999999994E-2</v>
      </c>
      <c r="S1237">
        <v>3.0716860000000001</v>
      </c>
      <c r="T1237">
        <v>9.3749170000000007E-2</v>
      </c>
      <c r="U1237">
        <v>-0.34579470000000001</v>
      </c>
      <c r="V1237">
        <v>-8.2587430000000003E-2</v>
      </c>
      <c r="W1237">
        <v>0.19690959999999999</v>
      </c>
      <c r="X1237">
        <v>0.97693700000000006</v>
      </c>
      <c r="Y1237">
        <v>0.108041899999999</v>
      </c>
      <c r="Z1237">
        <v>6.9289699999999896E-4</v>
      </c>
      <c r="AA1237">
        <v>0.99414610000000003</v>
      </c>
      <c r="AB1237">
        <v>31</v>
      </c>
      <c r="AC1237">
        <v>91.066000000000003</v>
      </c>
      <c r="AD1237">
        <v>2.7842609999999999</v>
      </c>
      <c r="AE1237">
        <v>-10.2693999999999</v>
      </c>
      <c r="AF1237">
        <v>9.9116435957763098</v>
      </c>
      <c r="AG1237">
        <v>2.7842609999999999</v>
      </c>
      <c r="AH1237">
        <v>91.020621152751104</v>
      </c>
      <c r="AI1237">
        <v>88.258196421930904</v>
      </c>
      <c r="AJ1237">
        <v>83.785293125368995</v>
      </c>
      <c r="AK1237">
        <v>91.601016714436398</v>
      </c>
      <c r="AL1237">
        <v>78.643701114926799</v>
      </c>
      <c r="AM1237">
        <v>94.832130456425901</v>
      </c>
      <c r="AN1237">
        <v>0.99999998806758195</v>
      </c>
    </row>
    <row r="1238" spans="1:40" x14ac:dyDescent="0.25">
      <c r="A1238" t="str">
        <f>"20190304155035775"</f>
        <v>20190304155035775</v>
      </c>
      <c r="B1238" t="str">
        <f>"1551685835767563"</f>
        <v>1551685835767563</v>
      </c>
      <c r="C1238" t="s">
        <v>40</v>
      </c>
      <c r="D1238">
        <v>5.2313650000000003</v>
      </c>
      <c r="E1238">
        <v>0.57516829999999997</v>
      </c>
      <c r="F1238" t="s">
        <v>43</v>
      </c>
      <c r="G1238">
        <v>-158.19499999999999</v>
      </c>
      <c r="H1238">
        <v>4.198404</v>
      </c>
      <c r="I1238">
        <v>357.08870000000002</v>
      </c>
      <c r="J1238">
        <v>-249.0085</v>
      </c>
      <c r="K1238">
        <v>1.1105609999999999</v>
      </c>
      <c r="L1238">
        <v>367.46530000000001</v>
      </c>
      <c r="M1238">
        <v>0.99988960000000005</v>
      </c>
      <c r="N1238">
        <v>-1.4371200000000001E-2</v>
      </c>
      <c r="O1238">
        <v>-3.8270750000000001E-3</v>
      </c>
      <c r="P1238">
        <v>0.97998609999999997</v>
      </c>
      <c r="Q1238">
        <v>0.18276780000000001</v>
      </c>
      <c r="R1238">
        <v>7.8887879999999994E-2</v>
      </c>
      <c r="S1238">
        <v>3.0700379999999998</v>
      </c>
      <c r="T1238">
        <v>0.1041011</v>
      </c>
      <c r="U1238">
        <v>-0.34985349999999998</v>
      </c>
      <c r="V1238">
        <v>-8.2630220000000004E-2</v>
      </c>
      <c r="W1238">
        <v>0.19683110000000001</v>
      </c>
      <c r="X1238">
        <v>0.97694919999999996</v>
      </c>
      <c r="Y1238">
        <v>0.1093898</v>
      </c>
      <c r="Z1238">
        <v>8.7527600000000003E-4</v>
      </c>
      <c r="AA1238">
        <v>0.99399850000000001</v>
      </c>
      <c r="AB1238">
        <v>31</v>
      </c>
      <c r="AC1238">
        <v>90.813500000000005</v>
      </c>
      <c r="AD1238">
        <v>3.0878429999999999</v>
      </c>
      <c r="AE1238">
        <v>-10.3765999999999</v>
      </c>
      <c r="AF1238">
        <v>10.0175057340486</v>
      </c>
      <c r="AG1238">
        <v>3.0878429999999999</v>
      </c>
      <c r="AH1238">
        <v>90.748984758098402</v>
      </c>
      <c r="AI1238">
        <v>88.062951243727099</v>
      </c>
      <c r="AJ1238">
        <v>83.700795583596005</v>
      </c>
      <c r="AK1238">
        <v>91.352413378902796</v>
      </c>
      <c r="AL1238">
        <v>78.648288604137804</v>
      </c>
      <c r="AM1238">
        <v>94.834562116456695</v>
      </c>
      <c r="AN1238">
        <v>0.99999998728254902</v>
      </c>
    </row>
    <row r="1239" spans="1:40" x14ac:dyDescent="0.25">
      <c r="A1239" t="str">
        <f>"20190304155035785"</f>
        <v>20190304155035785</v>
      </c>
      <c r="B1239" t="str">
        <f>"1551685835777320"</f>
        <v>1551685835777320</v>
      </c>
      <c r="C1239" t="s">
        <v>40</v>
      </c>
      <c r="D1239">
        <v>5.1486130000000001</v>
      </c>
      <c r="E1239">
        <v>0.57545599999999997</v>
      </c>
      <c r="F1239" t="s">
        <v>43</v>
      </c>
      <c r="G1239">
        <v>-158.19499999999999</v>
      </c>
      <c r="H1239">
        <v>4.8704229999999997</v>
      </c>
      <c r="I1239">
        <v>356.69459999999998</v>
      </c>
      <c r="J1239">
        <v>-248.8535</v>
      </c>
      <c r="K1239">
        <v>1.110563</v>
      </c>
      <c r="L1239">
        <v>367.46469999999999</v>
      </c>
      <c r="M1239">
        <v>0.99988949999999999</v>
      </c>
      <c r="N1239">
        <v>-1.4369639999999999E-2</v>
      </c>
      <c r="O1239">
        <v>-3.8268249999999998E-3</v>
      </c>
      <c r="P1239">
        <v>0.97995140000000003</v>
      </c>
      <c r="Q1239">
        <v>0.18293039999999999</v>
      </c>
      <c r="R1239">
        <v>7.8940209999999997E-2</v>
      </c>
      <c r="S1239">
        <v>3.0668639999999998</v>
      </c>
      <c r="T1239">
        <v>0.12697729999999999</v>
      </c>
      <c r="U1239">
        <v>-0.36373899999999998</v>
      </c>
      <c r="V1239">
        <v>-8.2682930000000002E-2</v>
      </c>
      <c r="W1239">
        <v>0.1969919</v>
      </c>
      <c r="X1239">
        <v>0.97691229999999996</v>
      </c>
      <c r="Y1239">
        <v>0.1139194</v>
      </c>
      <c r="Z1239">
        <v>1.3148700000000001E-3</v>
      </c>
      <c r="AA1239">
        <v>0.99348910000000001</v>
      </c>
      <c r="AB1239">
        <v>31</v>
      </c>
      <c r="AC1239">
        <v>90.658500000000004</v>
      </c>
      <c r="AD1239">
        <v>3.7598600000000002</v>
      </c>
      <c r="AE1239">
        <v>-10.770099999999999</v>
      </c>
      <c r="AF1239">
        <v>10.4054029736825</v>
      </c>
      <c r="AG1239">
        <v>3.7598600000000002</v>
      </c>
      <c r="AH1239">
        <v>90.545485461940203</v>
      </c>
      <c r="AI1239">
        <v>87.637714614472401</v>
      </c>
      <c r="AJ1239">
        <v>83.4443800708666</v>
      </c>
      <c r="AK1239">
        <v>91.218933866838995</v>
      </c>
      <c r="AL1239">
        <v>78.638891129805302</v>
      </c>
      <c r="AM1239">
        <v>94.837813323111206</v>
      </c>
      <c r="AN1239">
        <v>0.99999995873514103</v>
      </c>
    </row>
    <row r="1240" spans="1:40" x14ac:dyDescent="0.25">
      <c r="A1240" t="str">
        <f>"20190304155035796"</f>
        <v>20190304155035796</v>
      </c>
      <c r="B1240" t="str">
        <f>"1551685835788056"</f>
        <v>1551685835788056</v>
      </c>
      <c r="C1240" t="s">
        <v>40</v>
      </c>
      <c r="D1240">
        <v>5.2179129999999896</v>
      </c>
      <c r="E1240">
        <v>0.57576019999999895</v>
      </c>
      <c r="F1240" t="s">
        <v>43</v>
      </c>
      <c r="G1240">
        <v>-158.19499999999999</v>
      </c>
      <c r="H1240">
        <v>5.0222239999999996</v>
      </c>
      <c r="I1240">
        <v>356.64670000000001</v>
      </c>
      <c r="J1240">
        <v>-248.68729999999999</v>
      </c>
      <c r="K1240">
        <v>1.1105670000000001</v>
      </c>
      <c r="L1240">
        <v>367.46409999999997</v>
      </c>
      <c r="M1240">
        <v>0.99988960000000005</v>
      </c>
      <c r="N1240">
        <v>-1.4367960000000001E-2</v>
      </c>
      <c r="O1240">
        <v>-3.8270520000000001E-3</v>
      </c>
      <c r="P1240">
        <v>0.97996609999999995</v>
      </c>
      <c r="Q1240">
        <v>0.18293780000000001</v>
      </c>
      <c r="R1240">
        <v>7.8741850000000002E-2</v>
      </c>
      <c r="S1240">
        <v>3.066147</v>
      </c>
      <c r="T1240">
        <v>0.13229859999999999</v>
      </c>
      <c r="U1240">
        <v>-0.36587520000000001</v>
      </c>
      <c r="V1240">
        <v>-8.2484390000000005E-2</v>
      </c>
      <c r="W1240">
        <v>0.19699800000000001</v>
      </c>
      <c r="X1240">
        <v>0.97692789999999996</v>
      </c>
      <c r="Y1240">
        <v>0.1146219</v>
      </c>
      <c r="Z1240">
        <v>1.4171170000000001E-3</v>
      </c>
      <c r="AA1240">
        <v>0.99340819999999996</v>
      </c>
      <c r="AB1240">
        <v>31</v>
      </c>
      <c r="AC1240">
        <v>90.4923</v>
      </c>
      <c r="AD1240">
        <v>3.9116569999999999</v>
      </c>
      <c r="AE1240">
        <v>-10.8173999999999</v>
      </c>
      <c r="AF1240">
        <v>10.4517122054599</v>
      </c>
      <c r="AG1240">
        <v>3.9116569999999999</v>
      </c>
      <c r="AH1240">
        <v>90.366567095160093</v>
      </c>
      <c r="AI1240">
        <v>87.537803929496306</v>
      </c>
      <c r="AJ1240">
        <v>83.402537911588993</v>
      </c>
      <c r="AK1240">
        <v>91.053038373661494</v>
      </c>
      <c r="AL1240">
        <v>78.638535163342695</v>
      </c>
      <c r="AM1240">
        <v>94.826174897070302</v>
      </c>
      <c r="AN1240">
        <v>1.0000000041980399</v>
      </c>
    </row>
    <row r="1241" spans="1:40" x14ac:dyDescent="0.25">
      <c r="A1241" t="str">
        <f>"20190304155035808"</f>
        <v>20190304155035808</v>
      </c>
      <c r="B1241" t="str">
        <f>"1551685835797817"</f>
        <v>1551685835797817</v>
      </c>
      <c r="C1241" t="s">
        <v>40</v>
      </c>
      <c r="D1241">
        <v>5.2911419999999998</v>
      </c>
      <c r="E1241">
        <v>0.57574459999999905</v>
      </c>
      <c r="F1241" t="s">
        <v>43</v>
      </c>
      <c r="G1241">
        <v>-158.19499999999999</v>
      </c>
      <c r="H1241">
        <v>5.1200390000000002</v>
      </c>
      <c r="I1241">
        <v>356.58109999999999</v>
      </c>
      <c r="J1241">
        <v>-248.53219999999999</v>
      </c>
      <c r="K1241">
        <v>1.1105659999999999</v>
      </c>
      <c r="L1241">
        <v>367.46350000000001</v>
      </c>
      <c r="M1241">
        <v>0.99988949999999999</v>
      </c>
      <c r="N1241">
        <v>-1.4366399999999901E-2</v>
      </c>
      <c r="O1241">
        <v>-3.8268019999999998E-3</v>
      </c>
      <c r="P1241">
        <v>0.97995909999999997</v>
      </c>
      <c r="Q1241">
        <v>0.18301190000000001</v>
      </c>
      <c r="R1241">
        <v>7.865598E-2</v>
      </c>
      <c r="S1241">
        <v>3.065598</v>
      </c>
      <c r="T1241">
        <v>0.13583120000000001</v>
      </c>
      <c r="U1241">
        <v>-0.36868289999999998</v>
      </c>
      <c r="V1241">
        <v>-8.2398379999999993E-2</v>
      </c>
      <c r="W1241">
        <v>0.19707040000000001</v>
      </c>
      <c r="X1241">
        <v>0.97692049999999997</v>
      </c>
      <c r="Y1241">
        <v>0.1155349</v>
      </c>
      <c r="Z1241">
        <v>1.492338E-3</v>
      </c>
      <c r="AA1241">
        <v>0.99330229999999997</v>
      </c>
      <c r="AB1241">
        <v>31</v>
      </c>
      <c r="AC1241">
        <v>90.337199999999996</v>
      </c>
      <c r="AD1241">
        <v>4.0094729999999998</v>
      </c>
      <c r="AE1241">
        <v>-10.882400000000001</v>
      </c>
      <c r="AF1241">
        <v>10.516162714750999</v>
      </c>
      <c r="AG1241">
        <v>4.0094729999999998</v>
      </c>
      <c r="AH1241">
        <v>90.203039361600204</v>
      </c>
      <c r="AI1241">
        <v>87.472010323657798</v>
      </c>
      <c r="AJ1241">
        <v>83.350290727477599</v>
      </c>
      <c r="AK1241">
        <v>90.902441452643401</v>
      </c>
      <c r="AL1241">
        <v>78.634303373353305</v>
      </c>
      <c r="AM1241">
        <v>94.821202518788795</v>
      </c>
      <c r="AN1241">
        <v>0.99999994945151505</v>
      </c>
    </row>
    <row r="1242" spans="1:40" x14ac:dyDescent="0.25">
      <c r="A1242" t="str">
        <f>"20190304155035823"</f>
        <v>20190304155035823</v>
      </c>
      <c r="B1242" t="str">
        <f>"1551685835817336"</f>
        <v>1551685835817336</v>
      </c>
      <c r="C1242" t="s">
        <v>40</v>
      </c>
      <c r="D1242">
        <v>4.7861209999999996</v>
      </c>
      <c r="E1242">
        <v>0.57689769999999996</v>
      </c>
      <c r="F1242" t="s">
        <v>43</v>
      </c>
      <c r="G1242">
        <v>-158.19499999999999</v>
      </c>
      <c r="H1242">
        <v>5.1093979999999997</v>
      </c>
      <c r="I1242">
        <v>356.59910000000002</v>
      </c>
      <c r="J1242">
        <v>-248.3212</v>
      </c>
      <c r="K1242">
        <v>1.1105659999999999</v>
      </c>
      <c r="L1242">
        <v>367.46269999999998</v>
      </c>
      <c r="M1242">
        <v>0.99988969999999999</v>
      </c>
      <c r="N1242">
        <v>-1.436434E-2</v>
      </c>
      <c r="O1242">
        <v>-3.8267869999999999E-3</v>
      </c>
      <c r="P1242">
        <v>0.97998280000000004</v>
      </c>
      <c r="Q1242">
        <v>0.18303069999999999</v>
      </c>
      <c r="R1242">
        <v>7.8319150000000004E-2</v>
      </c>
      <c r="S1242">
        <v>3.065582</v>
      </c>
      <c r="T1242">
        <v>0.13570279999999901</v>
      </c>
      <c r="U1242">
        <v>-0.36868289999999998</v>
      </c>
      <c r="V1242">
        <v>-8.2061289999999995E-2</v>
      </c>
      <c r="W1242">
        <v>0.1970877</v>
      </c>
      <c r="X1242">
        <v>0.97694539999999996</v>
      </c>
      <c r="Y1242">
        <v>0.11553570000000001</v>
      </c>
      <c r="Z1242">
        <v>1.490241E-3</v>
      </c>
      <c r="AA1242">
        <v>0.99330220000000002</v>
      </c>
      <c r="AB1242">
        <v>31</v>
      </c>
      <c r="AC1242">
        <v>90.126199999999997</v>
      </c>
      <c r="AD1242">
        <v>3.9988320000000002</v>
      </c>
      <c r="AE1242">
        <v>-10.8635999999999</v>
      </c>
      <c r="AF1242">
        <v>10.498220011413</v>
      </c>
      <c r="AG1242">
        <v>3.9988320000000002</v>
      </c>
      <c r="AH1242">
        <v>89.992492129107205</v>
      </c>
      <c r="AI1242">
        <v>87.4728409665112</v>
      </c>
      <c r="AJ1242">
        <v>83.346142822394597</v>
      </c>
      <c r="AK1242">
        <v>90.690969343036997</v>
      </c>
      <c r="AL1242">
        <v>78.633292514366104</v>
      </c>
      <c r="AM1242">
        <v>94.8014496778367</v>
      </c>
      <c r="AN1242">
        <v>0.99999996569445604</v>
      </c>
    </row>
    <row r="1243" spans="1:40" x14ac:dyDescent="0.25">
      <c r="A1243" t="str">
        <f>"20190304155035841"</f>
        <v>20190304155035841</v>
      </c>
      <c r="B1243" t="str">
        <f>"1551685835837833"</f>
        <v>1551685835837833</v>
      </c>
      <c r="C1243" t="s">
        <v>40</v>
      </c>
      <c r="D1243">
        <v>5.1736430000000002</v>
      </c>
      <c r="E1243">
        <v>0.57710699999999904</v>
      </c>
      <c r="F1243" t="s">
        <v>43</v>
      </c>
      <c r="G1243">
        <v>-158.19499999999999</v>
      </c>
      <c r="H1243">
        <v>4.9389760000000003</v>
      </c>
      <c r="I1243">
        <v>356.33179999999999</v>
      </c>
      <c r="J1243">
        <v>-248.07040000000001</v>
      </c>
      <c r="K1243">
        <v>1.1105609999999999</v>
      </c>
      <c r="L1243">
        <v>367.46179999999998</v>
      </c>
      <c r="M1243">
        <v>0.99988969999999999</v>
      </c>
      <c r="N1243">
        <v>-1.4361840000000001E-2</v>
      </c>
      <c r="O1243">
        <v>-3.8267700000000002E-3</v>
      </c>
      <c r="P1243">
        <v>0.98011130000000002</v>
      </c>
      <c r="Q1243">
        <v>0.18254970000000001</v>
      </c>
      <c r="R1243">
        <v>7.7832180000000001E-2</v>
      </c>
      <c r="S1243">
        <v>3.0672450000000002</v>
      </c>
      <c r="T1243">
        <v>0.1302943</v>
      </c>
      <c r="U1243">
        <v>-0.3788147</v>
      </c>
      <c r="V1243">
        <v>-8.157507E-2</v>
      </c>
      <c r="W1243">
        <v>0.19660569999999999</v>
      </c>
      <c r="X1243">
        <v>0.97708329999999999</v>
      </c>
      <c r="Y1243">
        <v>0.1187095</v>
      </c>
      <c r="Z1243">
        <v>1.438136E-3</v>
      </c>
      <c r="AA1243">
        <v>0.99292800000000003</v>
      </c>
      <c r="AB1243">
        <v>31</v>
      </c>
      <c r="AC1243">
        <v>89.875399999999999</v>
      </c>
      <c r="AD1243">
        <v>3.8284150000000001</v>
      </c>
      <c r="AE1243">
        <v>-11.1299999999999</v>
      </c>
      <c r="AF1243">
        <v>10.7667094956167</v>
      </c>
      <c r="AG1243">
        <v>3.8284150000000001</v>
      </c>
      <c r="AH1243">
        <v>89.756934334024606</v>
      </c>
      <c r="AI1243">
        <v>87.5749989107441</v>
      </c>
      <c r="AJ1243">
        <v>83.159820895261404</v>
      </c>
      <c r="AK1243">
        <v>90.481412764266906</v>
      </c>
      <c r="AL1243">
        <v>78.661460989878606</v>
      </c>
      <c r="AM1243">
        <v>94.772461977150002</v>
      </c>
      <c r="AN1243">
        <v>1.0000000342284401</v>
      </c>
    </row>
    <row r="1244" spans="1:40" x14ac:dyDescent="0.25">
      <c r="A1244" t="str">
        <f>"20190304155035875"</f>
        <v>20190304155035875</v>
      </c>
      <c r="B1244" t="str">
        <f>"1551685835867112"</f>
        <v>1551685835867112</v>
      </c>
      <c r="C1244" t="s">
        <v>40</v>
      </c>
      <c r="D1244">
        <v>5.3812150000000001</v>
      </c>
      <c r="E1244">
        <v>0.57769199999999998</v>
      </c>
      <c r="F1244" t="s">
        <v>43</v>
      </c>
      <c r="G1244">
        <v>-158.19499999999999</v>
      </c>
      <c r="H1244">
        <v>4.4343620000000001</v>
      </c>
      <c r="I1244">
        <v>356.28269999999998</v>
      </c>
      <c r="J1244">
        <v>-247.59960000000001</v>
      </c>
      <c r="K1244">
        <v>1.110568</v>
      </c>
      <c r="L1244">
        <v>367.4599</v>
      </c>
      <c r="M1244">
        <v>0.99988960000000005</v>
      </c>
      <c r="N1244">
        <v>-1.435703E-2</v>
      </c>
      <c r="O1244">
        <v>-3.8267349999999999E-3</v>
      </c>
      <c r="P1244">
        <v>0.98010430000000004</v>
      </c>
      <c r="Q1244">
        <v>0.18278330000000001</v>
      </c>
      <c r="R1244">
        <v>7.7368149999999997E-2</v>
      </c>
      <c r="S1244">
        <v>3.0700530000000001</v>
      </c>
      <c r="T1244">
        <v>0.11354060000000001</v>
      </c>
      <c r="U1244">
        <v>-0.3818665</v>
      </c>
      <c r="V1244">
        <v>-8.1111390000000005E-2</v>
      </c>
      <c r="W1244">
        <v>0.1968348</v>
      </c>
      <c r="X1244">
        <v>0.97707580000000005</v>
      </c>
      <c r="Y1244">
        <v>0.1195904</v>
      </c>
      <c r="Z1244">
        <v>1.1445590000000001E-3</v>
      </c>
      <c r="AA1244">
        <v>0.9928226</v>
      </c>
      <c r="AB1244">
        <v>31</v>
      </c>
      <c r="AC1244">
        <v>89.404600000000002</v>
      </c>
      <c r="AD1244">
        <v>3.3237939999999999</v>
      </c>
      <c r="AE1244">
        <v>-11.177199999999999</v>
      </c>
      <c r="AF1244">
        <v>10.820230354367601</v>
      </c>
      <c r="AG1244">
        <v>3.3237939999999999</v>
      </c>
      <c r="AH1244">
        <v>89.325162882451806</v>
      </c>
      <c r="AI1244">
        <v>87.884454394672701</v>
      </c>
      <c r="AJ1244">
        <v>83.093237181056296</v>
      </c>
      <c r="AK1244">
        <v>90.039489755620906</v>
      </c>
      <c r="AL1244">
        <v>78.648073187602293</v>
      </c>
      <c r="AM1244">
        <v>94.7454953746971</v>
      </c>
      <c r="AN1244">
        <v>1.0000000575121999</v>
      </c>
    </row>
    <row r="1245" spans="1:40" x14ac:dyDescent="0.25">
      <c r="A1245" t="str">
        <f>"20190304155035886"</f>
        <v>20190304155035886</v>
      </c>
      <c r="B1245" t="str">
        <f>"1551685835877848"</f>
        <v>1551685835877848</v>
      </c>
      <c r="C1245" t="s">
        <v>40</v>
      </c>
      <c r="D1245">
        <v>5.1583319999999997</v>
      </c>
      <c r="E1245">
        <v>0.57778059999999998</v>
      </c>
      <c r="F1245" t="s">
        <v>43</v>
      </c>
      <c r="G1245">
        <v>-158.19499999999999</v>
      </c>
      <c r="H1245">
        <v>3.883232</v>
      </c>
      <c r="I1245">
        <v>356.16129999999998</v>
      </c>
      <c r="J1245">
        <v>-247.43459999999999</v>
      </c>
      <c r="K1245">
        <v>1.1105689999999999</v>
      </c>
      <c r="L1245">
        <v>367.45929999999998</v>
      </c>
      <c r="M1245">
        <v>0.99988960000000005</v>
      </c>
      <c r="N1245">
        <v>-1.435532E-2</v>
      </c>
      <c r="O1245">
        <v>-3.8266039999999999E-3</v>
      </c>
      <c r="P1245">
        <v>0.97997820000000002</v>
      </c>
      <c r="Q1245">
        <v>0.183417</v>
      </c>
      <c r="R1245">
        <v>7.7465199999999998E-2</v>
      </c>
      <c r="S1245">
        <v>3.073807</v>
      </c>
      <c r="T1245">
        <v>9.5329520000000001E-2</v>
      </c>
      <c r="U1245">
        <v>-0.38845829999999998</v>
      </c>
      <c r="V1245">
        <v>-8.1207600000000005E-2</v>
      </c>
      <c r="W1245">
        <v>0.19746449999999999</v>
      </c>
      <c r="X1245">
        <v>0.9769407</v>
      </c>
      <c r="Y1245">
        <v>0.1215552</v>
      </c>
      <c r="Z1245">
        <v>8.2804869999999998E-4</v>
      </c>
      <c r="AA1245">
        <v>0.99258429999999997</v>
      </c>
      <c r="AB1245">
        <v>31</v>
      </c>
      <c r="AC1245">
        <v>89.239599999999996</v>
      </c>
      <c r="AD1245">
        <v>2.7726630000000001</v>
      </c>
      <c r="AE1245">
        <v>-11.298</v>
      </c>
      <c r="AF1245">
        <v>10.9459975678674</v>
      </c>
      <c r="AG1245">
        <v>2.7726630000000001</v>
      </c>
      <c r="AH1245">
        <v>89.197436699634395</v>
      </c>
      <c r="AI1245">
        <v>88.232807407380704</v>
      </c>
      <c r="AJ1245">
        <v>83.003841509672995</v>
      </c>
      <c r="AK1245">
        <v>89.909316739994296</v>
      </c>
      <c r="AL1245">
        <v>78.611271284439198</v>
      </c>
      <c r="AM1245">
        <v>94.751752491059904</v>
      </c>
      <c r="AN1245">
        <v>1.0000000171872401</v>
      </c>
    </row>
    <row r="1246" spans="1:40" x14ac:dyDescent="0.25">
      <c r="A1246" t="str">
        <f>"20190304155035897"</f>
        <v>20190304155035897</v>
      </c>
      <c r="B1246" t="str">
        <f>"1551685835887608"</f>
        <v>1551685835887608</v>
      </c>
      <c r="C1246" t="s">
        <v>40</v>
      </c>
      <c r="D1246">
        <v>5.2405379999999999</v>
      </c>
      <c r="E1246">
        <v>0.57777849999999997</v>
      </c>
      <c r="F1246" t="s">
        <v>43</v>
      </c>
      <c r="G1246">
        <v>-158.19499999999999</v>
      </c>
      <c r="H1246">
        <v>3.7636449999999999</v>
      </c>
      <c r="I1246">
        <v>356.1635</v>
      </c>
      <c r="J1246">
        <v>-247.2927</v>
      </c>
      <c r="K1246">
        <v>1.110574</v>
      </c>
      <c r="L1246">
        <v>367.45870000000002</v>
      </c>
      <c r="M1246">
        <v>0.9998899</v>
      </c>
      <c r="N1246">
        <v>-1.435386E-2</v>
      </c>
      <c r="O1246">
        <v>-3.8267119999999999E-3</v>
      </c>
      <c r="P1246">
        <v>0.9798943</v>
      </c>
      <c r="Q1246">
        <v>0.18380089999999999</v>
      </c>
      <c r="R1246">
        <v>7.7619759999999996E-2</v>
      </c>
      <c r="S1246">
        <v>3.074951</v>
      </c>
      <c r="T1246">
        <v>9.1420650000000006E-2</v>
      </c>
      <c r="U1246">
        <v>-0.38922119999999999</v>
      </c>
      <c r="V1246">
        <v>-8.1361929999999999E-2</v>
      </c>
      <c r="W1246">
        <v>0.19784640000000001</v>
      </c>
      <c r="X1246">
        <v>0.97685060000000001</v>
      </c>
      <c r="Y1246">
        <v>0.1217548</v>
      </c>
      <c r="Z1246">
        <v>7.5692139999999897E-4</v>
      </c>
      <c r="AA1246">
        <v>0.99255990000000005</v>
      </c>
      <c r="AB1246">
        <v>31</v>
      </c>
      <c r="AC1246">
        <v>89.097700000000003</v>
      </c>
      <c r="AD1246">
        <v>2.6530710000000002</v>
      </c>
      <c r="AE1246">
        <v>-11.295199999999999</v>
      </c>
      <c r="AF1246">
        <v>10.944580200210099</v>
      </c>
      <c r="AG1246">
        <v>2.6530710000000002</v>
      </c>
      <c r="AH1246">
        <v>89.062554908888004</v>
      </c>
      <c r="AI1246">
        <v>88.3064609724522</v>
      </c>
      <c r="AJ1246">
        <v>82.994249593737806</v>
      </c>
      <c r="AK1246">
        <v>89.771717753358004</v>
      </c>
      <c r="AL1246">
        <v>78.588949782629797</v>
      </c>
      <c r="AM1246">
        <v>94.761178523016596</v>
      </c>
      <c r="AN1246">
        <v>1.0000000281833199</v>
      </c>
    </row>
    <row r="1247" spans="1:40" x14ac:dyDescent="0.25">
      <c r="A1247" t="str">
        <f>"20190304155035909"</f>
        <v>20190304155035909</v>
      </c>
      <c r="B1247" t="str">
        <f>"1551685835897368"</f>
        <v>1551685835897368</v>
      </c>
      <c r="C1247" t="s">
        <v>40</v>
      </c>
      <c r="D1247">
        <v>5.2060719999999998</v>
      </c>
      <c r="E1247">
        <v>0.57772440000000003</v>
      </c>
      <c r="F1247" t="s">
        <v>43</v>
      </c>
      <c r="G1247">
        <v>-158.19499999999999</v>
      </c>
      <c r="H1247">
        <v>3.8147190000000002</v>
      </c>
      <c r="I1247">
        <v>356.20429999999999</v>
      </c>
      <c r="J1247">
        <v>-247.1285</v>
      </c>
      <c r="K1247">
        <v>1.110574</v>
      </c>
      <c r="L1247">
        <v>367.4581</v>
      </c>
      <c r="M1247">
        <v>0.9998899</v>
      </c>
      <c r="N1247">
        <v>-1.4352169999999999E-2</v>
      </c>
      <c r="O1247">
        <v>-3.8269390000000001E-3</v>
      </c>
      <c r="P1247">
        <v>0.9798367</v>
      </c>
      <c r="Q1247">
        <v>0.1840851</v>
      </c>
      <c r="R1247">
        <v>7.7672350000000001E-2</v>
      </c>
      <c r="S1247">
        <v>3.0748139999999999</v>
      </c>
      <c r="T1247">
        <v>9.3324539999999997E-2</v>
      </c>
      <c r="U1247">
        <v>-0.3883972</v>
      </c>
      <c r="V1247">
        <v>-8.1414490000000006E-2</v>
      </c>
      <c r="W1247">
        <v>0.19812779999999999</v>
      </c>
      <c r="X1247">
        <v>0.97678920000000002</v>
      </c>
      <c r="Y1247">
        <v>0.1214968</v>
      </c>
      <c r="Z1247">
        <v>7.9025370000000001E-4</v>
      </c>
      <c r="AA1247">
        <v>0.99259149999999996</v>
      </c>
      <c r="AB1247">
        <v>31</v>
      </c>
      <c r="AC1247">
        <v>88.933499999999995</v>
      </c>
      <c r="AD1247">
        <v>2.704145</v>
      </c>
      <c r="AE1247">
        <v>-11.2538</v>
      </c>
      <c r="AF1247">
        <v>10.903417662048501</v>
      </c>
      <c r="AG1247">
        <v>2.704145</v>
      </c>
      <c r="AH1247">
        <v>88.895028307272497</v>
      </c>
      <c r="AI1247">
        <v>88.270578998288897</v>
      </c>
      <c r="AJ1247">
        <v>83.007314447906396</v>
      </c>
      <c r="AK1247">
        <v>89.602025505257899</v>
      </c>
      <c r="AL1247">
        <v>78.572501312723105</v>
      </c>
      <c r="AM1247">
        <v>94.764538199050904</v>
      </c>
      <c r="AN1247">
        <v>1.0000000427757101</v>
      </c>
    </row>
    <row r="1248" spans="1:40" x14ac:dyDescent="0.25">
      <c r="A1248" t="str">
        <f>"20190304155035920"</f>
        <v>20190304155035920</v>
      </c>
      <c r="B1248" t="str">
        <f>"1551685835917864"</f>
        <v>1551685835917864</v>
      </c>
      <c r="C1248" t="s">
        <v>40</v>
      </c>
      <c r="D1248">
        <v>5.1912529999999997</v>
      </c>
      <c r="E1248">
        <v>0.57789369999999995</v>
      </c>
      <c r="F1248" t="s">
        <v>43</v>
      </c>
      <c r="G1248">
        <v>-158.19499999999999</v>
      </c>
      <c r="H1248">
        <v>3.9002469999999998</v>
      </c>
      <c r="I1248">
        <v>356.2448</v>
      </c>
      <c r="J1248">
        <v>-246.95910000000001</v>
      </c>
      <c r="K1248">
        <v>1.1105750000000001</v>
      </c>
      <c r="L1248">
        <v>367.45749999999998</v>
      </c>
      <c r="M1248">
        <v>0.99988980000000005</v>
      </c>
      <c r="N1248">
        <v>-1.4350480000000001E-2</v>
      </c>
      <c r="O1248">
        <v>-3.826688E-3</v>
      </c>
      <c r="P1248">
        <v>0.9798675</v>
      </c>
      <c r="Q1248">
        <v>0.18383640000000001</v>
      </c>
      <c r="R1248">
        <v>7.7870060000000005E-2</v>
      </c>
      <c r="S1248">
        <v>3.074341</v>
      </c>
      <c r="T1248">
        <v>9.6439120000000003E-2</v>
      </c>
      <c r="U1248">
        <v>-0.38763429999999999</v>
      </c>
      <c r="V1248">
        <v>-8.1611539999999996E-2</v>
      </c>
      <c r="W1248">
        <v>0.19787769999999999</v>
      </c>
      <c r="X1248">
        <v>0.97682340000000001</v>
      </c>
      <c r="Y1248">
        <v>0.1212709</v>
      </c>
      <c r="Z1248">
        <v>8.4616450000000001E-4</v>
      </c>
      <c r="AA1248">
        <v>0.99261909999999998</v>
      </c>
      <c r="AB1248">
        <v>31</v>
      </c>
      <c r="AC1248">
        <v>88.764099999999999</v>
      </c>
      <c r="AD1248">
        <v>2.7896719999999999</v>
      </c>
      <c r="AE1248">
        <v>-11.2126999999999</v>
      </c>
      <c r="AF1248">
        <v>10.862350027191701</v>
      </c>
      <c r="AG1248">
        <v>2.7896719999999999</v>
      </c>
      <c r="AH1248">
        <v>88.720108040234507</v>
      </c>
      <c r="AI1248">
        <v>88.212352591372706</v>
      </c>
      <c r="AJ1248">
        <v>83.019793070448699</v>
      </c>
      <c r="AK1248">
        <v>89.426117486178001</v>
      </c>
      <c r="AL1248">
        <v>78.5871198270669</v>
      </c>
      <c r="AM1248">
        <v>94.775850235689404</v>
      </c>
      <c r="AN1248">
        <v>0.99999999120300997</v>
      </c>
    </row>
    <row r="1249" spans="1:40" x14ac:dyDescent="0.25">
      <c r="A1249" t="str">
        <f>"20190304155035933"</f>
        <v>20190304155035933</v>
      </c>
      <c r="B1249" t="str">
        <f>"1551685835927624"</f>
        <v>1551685835927624</v>
      </c>
      <c r="C1249" t="s">
        <v>40</v>
      </c>
      <c r="D1249">
        <v>5.4772319999999999</v>
      </c>
      <c r="E1249">
        <v>0.57789369999999995</v>
      </c>
      <c r="F1249" t="s">
        <v>43</v>
      </c>
      <c r="G1249">
        <v>-158.19499999999999</v>
      </c>
      <c r="H1249">
        <v>3.5806469999999999</v>
      </c>
      <c r="I1249">
        <v>356.24579999999997</v>
      </c>
      <c r="J1249">
        <v>-246.79339999999999</v>
      </c>
      <c r="K1249">
        <v>1.110573</v>
      </c>
      <c r="L1249">
        <v>367.45679999999999</v>
      </c>
      <c r="M1249">
        <v>0.99988980000000005</v>
      </c>
      <c r="N1249">
        <v>-1.434881E-2</v>
      </c>
      <c r="O1249">
        <v>-3.8266760000000002E-3</v>
      </c>
      <c r="P1249">
        <v>0.97986479999999998</v>
      </c>
      <c r="Q1249">
        <v>0.1838003</v>
      </c>
      <c r="R1249">
        <v>7.7989230000000007E-2</v>
      </c>
      <c r="S1249">
        <v>3.0764469999999999</v>
      </c>
      <c r="T1249">
        <v>8.5612300000000002E-2</v>
      </c>
      <c r="U1249">
        <v>-0.38858029999999999</v>
      </c>
      <c r="V1249">
        <v>-8.1731419999999999E-2</v>
      </c>
      <c r="W1249">
        <v>0.19783990000000001</v>
      </c>
      <c r="X1249">
        <v>0.9768211</v>
      </c>
      <c r="Y1249">
        <v>0.1214959</v>
      </c>
      <c r="Z1249">
        <v>6.475443E-4</v>
      </c>
      <c r="AA1249">
        <v>0.99259169999999997</v>
      </c>
      <c r="AB1249">
        <v>31</v>
      </c>
      <c r="AC1249">
        <v>88.598399999999998</v>
      </c>
      <c r="AD1249">
        <v>2.4700739999999999</v>
      </c>
      <c r="AE1249">
        <v>-11.211</v>
      </c>
      <c r="AF1249">
        <v>10.8635348872004</v>
      </c>
      <c r="AG1249">
        <v>2.4700739999999999</v>
      </c>
      <c r="AH1249">
        <v>88.572896930030396</v>
      </c>
      <c r="AI1249">
        <v>88.414454893470406</v>
      </c>
      <c r="AJ1249">
        <v>83.007551365615896</v>
      </c>
      <c r="AK1249">
        <v>89.270799964986793</v>
      </c>
      <c r="AL1249">
        <v>78.589330039334399</v>
      </c>
      <c r="AM1249">
        <v>94.782844218163106</v>
      </c>
      <c r="AN1249">
        <v>1.0000000562262099</v>
      </c>
    </row>
    <row r="1250" spans="1:40" x14ac:dyDescent="0.25">
      <c r="A1250" t="str">
        <f>"20190304155035944"</f>
        <v>20190304155035944</v>
      </c>
      <c r="B1250" t="str">
        <f>"1551685835937384"</f>
        <v>1551685835937384</v>
      </c>
      <c r="C1250" t="s">
        <v>40</v>
      </c>
      <c r="D1250">
        <v>5.1916890000000002</v>
      </c>
      <c r="E1250">
        <v>0.57782019999999901</v>
      </c>
      <c r="F1250" t="s">
        <v>43</v>
      </c>
      <c r="G1250">
        <v>-158.19499999999999</v>
      </c>
      <c r="H1250">
        <v>3.577766</v>
      </c>
      <c r="I1250">
        <v>356.26900000000001</v>
      </c>
      <c r="J1250">
        <v>-246.63640000000001</v>
      </c>
      <c r="K1250">
        <v>1.1105750000000001</v>
      </c>
      <c r="L1250">
        <v>367.45620000000002</v>
      </c>
      <c r="M1250">
        <v>0.9998899</v>
      </c>
      <c r="N1250">
        <v>-1.4347199999999999E-2</v>
      </c>
      <c r="O1250">
        <v>-3.8266649999999999E-3</v>
      </c>
      <c r="P1250">
        <v>0.97992659999999998</v>
      </c>
      <c r="Q1250">
        <v>0.18339539999999999</v>
      </c>
      <c r="R1250">
        <v>7.8167029999999998E-2</v>
      </c>
      <c r="S1250">
        <v>3.076508</v>
      </c>
      <c r="T1250">
        <v>8.567429E-2</v>
      </c>
      <c r="U1250">
        <v>-0.38848880000000002</v>
      </c>
      <c r="V1250">
        <v>-8.1909190000000007E-2</v>
      </c>
      <c r="W1250">
        <v>0.1974341</v>
      </c>
      <c r="X1250">
        <v>0.97688819999999998</v>
      </c>
      <c r="Y1250">
        <v>0.1214643</v>
      </c>
      <c r="Z1250">
        <v>6.4855429999999996E-4</v>
      </c>
      <c r="AA1250">
        <v>0.99259560000000002</v>
      </c>
      <c r="AB1250">
        <v>31</v>
      </c>
      <c r="AC1250">
        <v>88.441400000000002</v>
      </c>
      <c r="AD1250">
        <v>2.4671910000000001</v>
      </c>
      <c r="AE1250">
        <v>-11.187200000000001</v>
      </c>
      <c r="AF1250">
        <v>10.8403445144692</v>
      </c>
      <c r="AG1250">
        <v>2.4671910000000001</v>
      </c>
      <c r="AH1250">
        <v>88.415844273305694</v>
      </c>
      <c r="AI1250">
        <v>88.413484368785006</v>
      </c>
      <c r="AJ1250">
        <v>83.010058936822603</v>
      </c>
      <c r="AK1250">
        <v>89.112073363738503</v>
      </c>
      <c r="AL1250">
        <v>78.613047248468405</v>
      </c>
      <c r="AM1250">
        <v>94.792871032277802</v>
      </c>
      <c r="AN1250">
        <v>0.99999994727425101</v>
      </c>
    </row>
    <row r="1251" spans="1:40" x14ac:dyDescent="0.25">
      <c r="A1251" t="str">
        <f>"20190304155035955"</f>
        <v>20190304155035955</v>
      </c>
      <c r="B1251" t="str">
        <f>"1551685835947144"</f>
        <v>1551685835947144</v>
      </c>
      <c r="C1251" t="s">
        <v>40</v>
      </c>
      <c r="D1251">
        <v>5.149483</v>
      </c>
      <c r="E1251">
        <v>0.57783580000000001</v>
      </c>
      <c r="F1251" t="s">
        <v>43</v>
      </c>
      <c r="G1251">
        <v>-158.19499999999999</v>
      </c>
      <c r="H1251">
        <v>3.5723229999999999</v>
      </c>
      <c r="I1251">
        <v>356.32350000000002</v>
      </c>
      <c r="J1251">
        <v>-246.4802</v>
      </c>
      <c r="K1251">
        <v>1.110574</v>
      </c>
      <c r="L1251">
        <v>367.4556</v>
      </c>
      <c r="M1251">
        <v>0.99988969999999999</v>
      </c>
      <c r="N1251">
        <v>-1.434561E-2</v>
      </c>
      <c r="O1251">
        <v>-3.8265339999999999E-3</v>
      </c>
      <c r="P1251">
        <v>0.979958</v>
      </c>
      <c r="Q1251">
        <v>0.1831576</v>
      </c>
      <c r="R1251">
        <v>7.8331399999999995E-2</v>
      </c>
      <c r="S1251">
        <v>3.0763240000000001</v>
      </c>
      <c r="T1251">
        <v>8.5631849999999995E-2</v>
      </c>
      <c r="U1251">
        <v>-0.38723750000000001</v>
      </c>
      <c r="V1251">
        <v>-8.2073430000000003E-2</v>
      </c>
      <c r="W1251">
        <v>0.1971957</v>
      </c>
      <c r="X1251">
        <v>0.97692259999999997</v>
      </c>
      <c r="Y1251">
        <v>0.1210745</v>
      </c>
      <c r="Z1251">
        <v>6.4543909999999996E-4</v>
      </c>
      <c r="AA1251">
        <v>0.99264319999999895</v>
      </c>
      <c r="AB1251">
        <v>31</v>
      </c>
      <c r="AC1251">
        <v>88.285200000000003</v>
      </c>
      <c r="AD1251">
        <v>2.4617490000000002</v>
      </c>
      <c r="AE1251">
        <v>-11.1320999999999</v>
      </c>
      <c r="AF1251">
        <v>10.785902362089701</v>
      </c>
      <c r="AG1251">
        <v>2.4617490000000002</v>
      </c>
      <c r="AH1251">
        <v>88.259605617710605</v>
      </c>
      <c r="AI1251">
        <v>88.414104758834398</v>
      </c>
      <c r="AJ1251">
        <v>83.032627704908606</v>
      </c>
      <c r="AK1251">
        <v>88.9502888230125</v>
      </c>
      <c r="AL1251">
        <v>78.626980856295901</v>
      </c>
      <c r="AM1251">
        <v>94.802268225530398</v>
      </c>
      <c r="AN1251">
        <v>0.99999997920060701</v>
      </c>
    </row>
    <row r="1252" spans="1:40" x14ac:dyDescent="0.25">
      <c r="A1252" t="str">
        <f>"20190304155035969"</f>
        <v>20190304155035969</v>
      </c>
      <c r="B1252" t="str">
        <f>"1551685835957880"</f>
        <v>1551685835957880</v>
      </c>
      <c r="C1252" t="s">
        <v>40</v>
      </c>
      <c r="D1252">
        <v>5.156549</v>
      </c>
      <c r="E1252">
        <v>0.57790050000000004</v>
      </c>
      <c r="F1252" t="s">
        <v>43</v>
      </c>
      <c r="G1252">
        <v>-158.19499999999999</v>
      </c>
      <c r="H1252">
        <v>3.4394010000000002</v>
      </c>
      <c r="I1252">
        <v>356.3603</v>
      </c>
      <c r="J1252">
        <v>-246.29830000000001</v>
      </c>
      <c r="K1252">
        <v>1.110571</v>
      </c>
      <c r="L1252">
        <v>367.45490000000001</v>
      </c>
      <c r="M1252">
        <v>0.9998899</v>
      </c>
      <c r="N1252">
        <v>-1.4343750000000001E-2</v>
      </c>
      <c r="O1252">
        <v>-3.8265209999999998E-3</v>
      </c>
      <c r="P1252">
        <v>0.9799947</v>
      </c>
      <c r="Q1252">
        <v>0.18300630000000001</v>
      </c>
      <c r="R1252">
        <v>7.8225080000000002E-2</v>
      </c>
      <c r="S1252">
        <v>3.0771030000000001</v>
      </c>
      <c r="T1252">
        <v>8.1172110000000006E-2</v>
      </c>
      <c r="U1252">
        <v>-0.38671879999999997</v>
      </c>
      <c r="V1252">
        <v>-8.1967449999999997E-2</v>
      </c>
      <c r="W1252">
        <v>0.1970433</v>
      </c>
      <c r="X1252">
        <v>0.97696229999999995</v>
      </c>
      <c r="Y1252">
        <v>0.1208819</v>
      </c>
      <c r="Z1252">
        <v>5.6223289999999995E-4</v>
      </c>
      <c r="AA1252">
        <v>0.99266670000000001</v>
      </c>
      <c r="AB1252">
        <v>31</v>
      </c>
      <c r="AC1252">
        <v>88.103300000000004</v>
      </c>
      <c r="AD1252">
        <v>2.32883</v>
      </c>
      <c r="AE1252">
        <v>-11.0946</v>
      </c>
      <c r="AF1252">
        <v>10.749961218780101</v>
      </c>
      <c r="AG1252">
        <v>2.32883</v>
      </c>
      <c r="AH1252">
        <v>88.084528924778795</v>
      </c>
      <c r="AI1252">
        <v>88.496682400032199</v>
      </c>
      <c r="AJ1252">
        <v>83.041950067430903</v>
      </c>
      <c r="AK1252">
        <v>88.768628193041096</v>
      </c>
      <c r="AL1252">
        <v>78.635888074281596</v>
      </c>
      <c r="AM1252">
        <v>94.7959020990304</v>
      </c>
      <c r="AN1252">
        <v>1.00000003027784</v>
      </c>
    </row>
    <row r="1253" spans="1:40" x14ac:dyDescent="0.25">
      <c r="A1253" t="str">
        <f>"20190304155035981"</f>
        <v>20190304155035981</v>
      </c>
      <c r="B1253" t="str">
        <f>"1551685835977400"</f>
        <v>1551685835977400</v>
      </c>
      <c r="C1253" t="s">
        <v>40</v>
      </c>
      <c r="D1253">
        <v>4.7912089999999896</v>
      </c>
      <c r="E1253">
        <v>0.5781307</v>
      </c>
      <c r="F1253" t="s">
        <v>43</v>
      </c>
      <c r="G1253">
        <v>-158.19499999999999</v>
      </c>
      <c r="H1253">
        <v>3.3091849999999998</v>
      </c>
      <c r="I1253">
        <v>356.35359999999997</v>
      </c>
      <c r="J1253">
        <v>-246.11969999999999</v>
      </c>
      <c r="K1253">
        <v>1.1105689999999999</v>
      </c>
      <c r="L1253">
        <v>367.45420000000001</v>
      </c>
      <c r="M1253">
        <v>0.9998899</v>
      </c>
      <c r="N1253">
        <v>-1.4341909999999999E-2</v>
      </c>
      <c r="O1253">
        <v>-3.8265069999999998E-3</v>
      </c>
      <c r="P1253">
        <v>0.97998649999999998</v>
      </c>
      <c r="Q1253">
        <v>0.1831421</v>
      </c>
      <c r="R1253">
        <v>7.8009239999999994E-2</v>
      </c>
      <c r="S1253">
        <v>3.0778349999999999</v>
      </c>
      <c r="T1253">
        <v>7.6810240000000002E-2</v>
      </c>
      <c r="U1253">
        <v>-0.38781739999999998</v>
      </c>
      <c r="V1253">
        <v>-8.1751399999999905E-2</v>
      </c>
      <c r="W1253">
        <v>0.19717699999999999</v>
      </c>
      <c r="X1253">
        <v>0.97695339999999997</v>
      </c>
      <c r="Y1253">
        <v>0.1212043</v>
      </c>
      <c r="Z1253">
        <v>4.8376840000000001E-4</v>
      </c>
      <c r="AA1253">
        <v>0.99262740000000005</v>
      </c>
      <c r="AB1253">
        <v>31</v>
      </c>
      <c r="AC1253">
        <v>87.924700000000001</v>
      </c>
      <c r="AD1253">
        <v>2.1986159999999901</v>
      </c>
      <c r="AE1253">
        <v>-11.1006</v>
      </c>
      <c r="AF1253">
        <v>10.757418748354601</v>
      </c>
      <c r="AG1253">
        <v>2.1986159999999901</v>
      </c>
      <c r="AH1253">
        <v>87.912429302141703</v>
      </c>
      <c r="AI1253">
        <v>88.577981468743104</v>
      </c>
      <c r="AJ1253">
        <v>83.023674032051403</v>
      </c>
      <c r="AK1253">
        <v>88.595435527158898</v>
      </c>
      <c r="AL1253">
        <v>78.628074022299302</v>
      </c>
      <c r="AM1253">
        <v>94.783363153734498</v>
      </c>
      <c r="AN1253">
        <v>1.0000000032512599</v>
      </c>
    </row>
    <row r="1254" spans="1:40" x14ac:dyDescent="0.25">
      <c r="A1254" t="str">
        <f>"20190304155035997"</f>
        <v>20190304155035997</v>
      </c>
      <c r="B1254" t="str">
        <f>"1551685835987160"</f>
        <v>1551685835987160</v>
      </c>
      <c r="C1254" t="s">
        <v>40</v>
      </c>
      <c r="D1254">
        <v>5.135167</v>
      </c>
      <c r="E1254">
        <v>0.57817759999999996</v>
      </c>
      <c r="F1254" t="s">
        <v>43</v>
      </c>
      <c r="G1254">
        <v>-158.19499999999999</v>
      </c>
      <c r="H1254">
        <v>3.221292</v>
      </c>
      <c r="I1254">
        <v>356.3091</v>
      </c>
      <c r="J1254">
        <v>-245.90260000000001</v>
      </c>
      <c r="K1254">
        <v>1.110574</v>
      </c>
      <c r="L1254">
        <v>367.45339999999999</v>
      </c>
      <c r="M1254">
        <v>0.9998899</v>
      </c>
      <c r="N1254">
        <v>-1.433968E-2</v>
      </c>
      <c r="O1254">
        <v>-3.8266110000000002E-3</v>
      </c>
      <c r="P1254">
        <v>0.97999760000000002</v>
      </c>
      <c r="Q1254">
        <v>0.18307029999999999</v>
      </c>
      <c r="R1254">
        <v>7.8038940000000001E-2</v>
      </c>
      <c r="S1254">
        <v>3.078522</v>
      </c>
      <c r="T1254">
        <v>7.3906059999999996E-2</v>
      </c>
      <c r="U1254">
        <v>-0.39022829999999997</v>
      </c>
      <c r="V1254">
        <v>-8.1781060000000003E-2</v>
      </c>
      <c r="W1254">
        <v>0.19710320000000001</v>
      </c>
      <c r="X1254">
        <v>0.9769658</v>
      </c>
      <c r="Y1254">
        <v>0.1219436</v>
      </c>
      <c r="Z1254">
        <v>4.336869E-4</v>
      </c>
      <c r="AA1254">
        <v>0.992537</v>
      </c>
      <c r="AB1254">
        <v>31</v>
      </c>
      <c r="AC1254">
        <v>87.707599999999999</v>
      </c>
      <c r="AD1254">
        <v>2.1107179999999999</v>
      </c>
      <c r="AE1254">
        <v>-11.1442999999999</v>
      </c>
      <c r="AF1254">
        <v>10.8024042849885</v>
      </c>
      <c r="AG1254">
        <v>2.1107179999999999</v>
      </c>
      <c r="AH1254">
        <v>87.699623332550999</v>
      </c>
      <c r="AI1254">
        <v>88.631632652278697</v>
      </c>
      <c r="AJ1254">
        <v>82.977960732202206</v>
      </c>
      <c r="AK1254">
        <v>88.387617919498098</v>
      </c>
      <c r="AL1254">
        <v>78.632386984524899</v>
      </c>
      <c r="AM1254">
        <v>94.785030083534394</v>
      </c>
      <c r="AN1254">
        <v>0.99999999379730098</v>
      </c>
    </row>
    <row r="1255" spans="1:40" x14ac:dyDescent="0.25">
      <c r="A1255" t="str">
        <f>"20190304155036009"</f>
        <v>20190304155036009</v>
      </c>
      <c r="B1255" t="str">
        <f>"1551685836007656"</f>
        <v>1551685836007656</v>
      </c>
      <c r="C1255" t="s">
        <v>40</v>
      </c>
      <c r="D1255">
        <v>5.2062010000000001</v>
      </c>
      <c r="E1255">
        <v>0.5785034</v>
      </c>
      <c r="F1255" t="s">
        <v>43</v>
      </c>
      <c r="G1255">
        <v>-158.19499999999999</v>
      </c>
      <c r="H1255">
        <v>3.1432500000000001</v>
      </c>
      <c r="I1255">
        <v>356.33049999999997</v>
      </c>
      <c r="J1255">
        <v>-245.73079999999999</v>
      </c>
      <c r="K1255">
        <v>1.110576</v>
      </c>
      <c r="L1255">
        <v>367.45269999999999</v>
      </c>
      <c r="M1255">
        <v>0.99988999999999995</v>
      </c>
      <c r="N1255">
        <v>-1.4337910000000001E-2</v>
      </c>
      <c r="O1255">
        <v>-3.8265980000000001E-3</v>
      </c>
      <c r="P1255">
        <v>0.98002339999999999</v>
      </c>
      <c r="Q1255">
        <v>0.182945</v>
      </c>
      <c r="R1255">
        <v>7.8008069999999999E-2</v>
      </c>
      <c r="S1255">
        <v>3.0789949999999999</v>
      </c>
      <c r="T1255">
        <v>7.1360590000000002E-2</v>
      </c>
      <c r="U1255">
        <v>-0.3904724</v>
      </c>
      <c r="V1255">
        <v>-8.175056E-2</v>
      </c>
      <c r="W1255">
        <v>0.1969765</v>
      </c>
      <c r="X1255">
        <v>0.97699389999999997</v>
      </c>
      <c r="Y1255">
        <v>0.1220035</v>
      </c>
      <c r="Z1255">
        <v>3.8681490000000001E-4</v>
      </c>
      <c r="AA1255">
        <v>0.99252960000000001</v>
      </c>
      <c r="AB1255">
        <v>31</v>
      </c>
      <c r="AC1255">
        <v>87.535799999999995</v>
      </c>
      <c r="AD1255">
        <v>2.0326740000000001</v>
      </c>
      <c r="AE1255">
        <v>-11.122199999999999</v>
      </c>
      <c r="AF1255">
        <v>10.7813986807453</v>
      </c>
      <c r="AG1255">
        <v>2.0326740000000001</v>
      </c>
      <c r="AH1255">
        <v>87.531274997604896</v>
      </c>
      <c r="AI1255">
        <v>88.6796758890723</v>
      </c>
      <c r="AJ1255">
        <v>82.978134369608696</v>
      </c>
      <c r="AK1255">
        <v>88.216180056777503</v>
      </c>
      <c r="AL1255">
        <v>78.639791456950704</v>
      </c>
      <c r="AM1255">
        <v>94.783116866447102</v>
      </c>
      <c r="AN1255">
        <v>0.999999988124886</v>
      </c>
    </row>
    <row r="1256" spans="1:40" x14ac:dyDescent="0.25">
      <c r="A1256" t="str">
        <f>"20190304155036022"</f>
        <v>20190304155036022</v>
      </c>
      <c r="B1256" t="str">
        <f>"1551685836017416"</f>
        <v>1551685836017416</v>
      </c>
      <c r="C1256" t="s">
        <v>40</v>
      </c>
      <c r="D1256">
        <v>5.360887</v>
      </c>
      <c r="E1256">
        <v>0.57882739999999999</v>
      </c>
      <c r="F1256" t="s">
        <v>43</v>
      </c>
      <c r="G1256">
        <v>-158.19499999999999</v>
      </c>
      <c r="H1256">
        <v>2.9648020000000002</v>
      </c>
      <c r="I1256">
        <v>356.2713</v>
      </c>
      <c r="J1256">
        <v>-245.55869999999999</v>
      </c>
      <c r="K1256">
        <v>1.110576</v>
      </c>
      <c r="L1256">
        <v>367.45209999999997</v>
      </c>
      <c r="M1256">
        <v>0.99988999999999995</v>
      </c>
      <c r="N1256">
        <v>-1.4336140000000001E-2</v>
      </c>
      <c r="O1256">
        <v>-3.8264660000000002E-3</v>
      </c>
      <c r="P1256">
        <v>0.9800565</v>
      </c>
      <c r="Q1256">
        <v>0.1828795</v>
      </c>
      <c r="R1256">
        <v>7.7746289999999996E-2</v>
      </c>
      <c r="S1256">
        <v>3.0803069999999999</v>
      </c>
      <c r="T1256">
        <v>6.5251589999999998E-2</v>
      </c>
      <c r="U1256">
        <v>-0.39346310000000001</v>
      </c>
      <c r="V1256">
        <v>-8.1488939999999996E-2</v>
      </c>
      <c r="W1256">
        <v>0.1969101</v>
      </c>
      <c r="X1256">
        <v>0.97702909999999998</v>
      </c>
      <c r="Y1256">
        <v>0.12290239999999999</v>
      </c>
      <c r="Z1256">
        <v>2.763792E-4</v>
      </c>
      <c r="AA1256">
        <v>0.99241869999999999</v>
      </c>
      <c r="AB1256">
        <v>31</v>
      </c>
      <c r="AC1256">
        <v>87.363699999999994</v>
      </c>
      <c r="AD1256">
        <v>1.8542259999999999</v>
      </c>
      <c r="AE1256">
        <v>-11.1807999999999</v>
      </c>
      <c r="AF1256">
        <v>10.841584495295301</v>
      </c>
      <c r="AG1256">
        <v>1.8542259999999999</v>
      </c>
      <c r="AH1256">
        <v>87.367125811693199</v>
      </c>
      <c r="AI1256">
        <v>88.793423944190593</v>
      </c>
      <c r="AJ1256">
        <v>82.926198620750995</v>
      </c>
      <c r="AK1256">
        <v>88.056758860543695</v>
      </c>
      <c r="AL1256">
        <v>78.643671440045097</v>
      </c>
      <c r="AM1256">
        <v>94.767709523591705</v>
      </c>
      <c r="AN1256">
        <v>0.99999994853556995</v>
      </c>
    </row>
    <row r="1257" spans="1:40" x14ac:dyDescent="0.25">
      <c r="A1257" t="str">
        <f>"20190304155036036"</f>
        <v>20190304155036036</v>
      </c>
      <c r="B1257" t="str">
        <f>"1551685836027176"</f>
        <v>1551685836027176</v>
      </c>
      <c r="C1257" t="s">
        <v>40</v>
      </c>
      <c r="D1257">
        <v>5.3506839999999896</v>
      </c>
      <c r="E1257">
        <v>0.5791946</v>
      </c>
      <c r="F1257" t="s">
        <v>43</v>
      </c>
      <c r="G1257">
        <v>-158.19499999999999</v>
      </c>
      <c r="H1257">
        <v>2.8685399999999999</v>
      </c>
      <c r="I1257">
        <v>356.20159999999998</v>
      </c>
      <c r="J1257">
        <v>-245.36750000000001</v>
      </c>
      <c r="K1257">
        <v>1.1105780000000001</v>
      </c>
      <c r="L1257">
        <v>367.4513</v>
      </c>
      <c r="M1257">
        <v>0.99988999999999995</v>
      </c>
      <c r="N1257">
        <v>-1.433416E-2</v>
      </c>
      <c r="O1257">
        <v>-3.8264520000000002E-3</v>
      </c>
      <c r="P1257">
        <v>0.98005350000000002</v>
      </c>
      <c r="Q1257">
        <v>0.18288170000000001</v>
      </c>
      <c r="R1257">
        <v>7.7779860000000006E-2</v>
      </c>
      <c r="S1257">
        <v>3.0809630000000001</v>
      </c>
      <c r="T1257">
        <v>6.1999319999999997E-2</v>
      </c>
      <c r="U1257">
        <v>-0.39675899999999997</v>
      </c>
      <c r="V1257">
        <v>-8.1521999999999997E-2</v>
      </c>
      <c r="W1257">
        <v>0.1969101</v>
      </c>
      <c r="X1257">
        <v>0.97702639999999996</v>
      </c>
      <c r="Y1257">
        <v>0.1239218</v>
      </c>
      <c r="Z1257">
        <v>2.1843820000000001E-4</v>
      </c>
      <c r="AA1257">
        <v>0.99229199999999995</v>
      </c>
      <c r="AB1257">
        <v>31</v>
      </c>
      <c r="AC1257">
        <v>87.172499999999999</v>
      </c>
      <c r="AD1257">
        <v>1.757962</v>
      </c>
      <c r="AE1257">
        <v>-11.249700000000001</v>
      </c>
      <c r="AF1257">
        <v>10.9116570537517</v>
      </c>
      <c r="AG1257">
        <v>1.757962</v>
      </c>
      <c r="AH1257">
        <v>87.180038384150805</v>
      </c>
      <c r="AI1257">
        <v>88.853743688217307</v>
      </c>
      <c r="AJ1257">
        <v>82.865825892715407</v>
      </c>
      <c r="AK1257">
        <v>87.877834422077896</v>
      </c>
      <c r="AL1257">
        <v>78.643672091317796</v>
      </c>
      <c r="AM1257">
        <v>94.769647977756406</v>
      </c>
      <c r="AN1257">
        <v>1.0000000051314799</v>
      </c>
    </row>
    <row r="1258" spans="1:40" x14ac:dyDescent="0.25">
      <c r="A1258" t="str">
        <f>"20190304155036049"</f>
        <v>20190304155036049</v>
      </c>
      <c r="B1258" t="str">
        <f>"1551685836037913"</f>
        <v>1551685836037913</v>
      </c>
      <c r="C1258" t="s">
        <v>40</v>
      </c>
      <c r="D1258">
        <v>5.3753900000000003</v>
      </c>
      <c r="E1258">
        <v>0.57929379999999997</v>
      </c>
      <c r="F1258" t="s">
        <v>43</v>
      </c>
      <c r="G1258">
        <v>-158.19499999999999</v>
      </c>
      <c r="H1258">
        <v>2.7807309999999998</v>
      </c>
      <c r="I1258">
        <v>356.14370000000002</v>
      </c>
      <c r="J1258">
        <v>-245.18719999999999</v>
      </c>
      <c r="K1258">
        <v>1.110579</v>
      </c>
      <c r="L1258">
        <v>367.45060000000001</v>
      </c>
      <c r="M1258">
        <v>0.99988999999999995</v>
      </c>
      <c r="N1258">
        <v>-1.4332289999999999E-2</v>
      </c>
      <c r="O1258">
        <v>-3.8265579999999999E-3</v>
      </c>
      <c r="P1258">
        <v>0.98006729999999997</v>
      </c>
      <c r="Q1258">
        <v>0.18288170000000001</v>
      </c>
      <c r="R1258">
        <v>7.7603930000000002E-2</v>
      </c>
      <c r="S1258">
        <v>3.0817570000000001</v>
      </c>
      <c r="T1258">
        <v>5.9046979999999999E-2</v>
      </c>
      <c r="U1258">
        <v>-0.39974979999999999</v>
      </c>
      <c r="V1258">
        <v>-8.1346370000000001E-2</v>
      </c>
      <c r="W1258">
        <v>0.19690869999999999</v>
      </c>
      <c r="X1258">
        <v>0.9770413</v>
      </c>
      <c r="Y1258">
        <v>0.1248377</v>
      </c>
      <c r="Z1258">
        <v>1.6484400000000001E-4</v>
      </c>
      <c r="AA1258">
        <v>0.99217719999999998</v>
      </c>
      <c r="AB1258">
        <v>31</v>
      </c>
      <c r="AC1258">
        <v>86.992199999999997</v>
      </c>
      <c r="AD1258">
        <v>1.6701520000000001</v>
      </c>
      <c r="AE1258">
        <v>-11.306899999999899</v>
      </c>
      <c r="AF1258">
        <v>10.969926016831501</v>
      </c>
      <c r="AG1258">
        <v>1.6701520000000001</v>
      </c>
      <c r="AH1258">
        <v>87.003297569801902</v>
      </c>
      <c r="AI1258">
        <v>88.908897848453506</v>
      </c>
      <c r="AJ1258">
        <v>82.8137076199625</v>
      </c>
      <c r="AK1258">
        <v>87.708052495408694</v>
      </c>
      <c r="AL1258">
        <v>78.643753675299095</v>
      </c>
      <c r="AM1258">
        <v>94.759347313121097</v>
      </c>
      <c r="AN1258">
        <v>0.999999984976778</v>
      </c>
    </row>
    <row r="1259" spans="1:40" x14ac:dyDescent="0.25">
      <c r="A1259" t="str">
        <f>"20190304155036065"</f>
        <v>20190304155036065</v>
      </c>
      <c r="B1259" t="str">
        <f>"1551685836057433"</f>
        <v>1551685836057433</v>
      </c>
      <c r="C1259" t="s">
        <v>40</v>
      </c>
      <c r="D1259">
        <v>5.1690959999999997</v>
      </c>
      <c r="E1259">
        <v>0.5793121</v>
      </c>
      <c r="F1259" t="s">
        <v>43</v>
      </c>
      <c r="G1259">
        <v>-158.19499999999999</v>
      </c>
      <c r="H1259">
        <v>2.8401000000000001</v>
      </c>
      <c r="I1259">
        <v>356.13900000000001</v>
      </c>
      <c r="J1259">
        <v>-244.9674</v>
      </c>
      <c r="K1259">
        <v>1.110584</v>
      </c>
      <c r="L1259">
        <v>367.44979999999998</v>
      </c>
      <c r="M1259">
        <v>0.99988999999999995</v>
      </c>
      <c r="N1259">
        <v>-1.4330010000000001E-2</v>
      </c>
      <c r="O1259">
        <v>-3.8264219999999999E-3</v>
      </c>
      <c r="P1259">
        <v>0.98004290000000005</v>
      </c>
      <c r="Q1259">
        <v>0.1832124</v>
      </c>
      <c r="R1259">
        <v>7.7131469999999994E-2</v>
      </c>
      <c r="S1259">
        <v>3.0813139999999999</v>
      </c>
      <c r="T1259">
        <v>6.1263680000000001E-2</v>
      </c>
      <c r="U1259">
        <v>-0.4006653</v>
      </c>
      <c r="V1259">
        <v>-8.0874119999999994E-2</v>
      </c>
      <c r="W1259">
        <v>0.19723640000000001</v>
      </c>
      <c r="X1259">
        <v>0.97701439999999995</v>
      </c>
      <c r="Y1259">
        <v>0.125144899999999</v>
      </c>
      <c r="Z1259">
        <v>2.079114E-4</v>
      </c>
      <c r="AA1259">
        <v>0.99213839999999998</v>
      </c>
      <c r="AB1259">
        <v>31</v>
      </c>
      <c r="AC1259">
        <v>86.772400000000005</v>
      </c>
      <c r="AD1259">
        <v>1.7295160000000001</v>
      </c>
      <c r="AE1259">
        <v>-11.310799999999899</v>
      </c>
      <c r="AF1259">
        <v>10.9743683143647</v>
      </c>
      <c r="AG1259">
        <v>1.7295160000000001</v>
      </c>
      <c r="AH1259">
        <v>86.781149398358494</v>
      </c>
      <c r="AI1259">
        <v>88.867286577942707</v>
      </c>
      <c r="AJ1259">
        <v>82.792617917656003</v>
      </c>
      <c r="AK1259">
        <v>87.489404366436304</v>
      </c>
      <c r="AL1259">
        <v>78.624602202376906</v>
      </c>
      <c r="AM1259">
        <v>94.731972809276201</v>
      </c>
      <c r="AN1259">
        <v>0.99999997928904705</v>
      </c>
    </row>
    <row r="1260" spans="1:40" x14ac:dyDescent="0.25">
      <c r="A1260" t="str">
        <f>"20190304155036079"</f>
        <v>20190304155036079</v>
      </c>
      <c r="B1260" t="str">
        <f>"1551685836067192"</f>
        <v>1551685836067192</v>
      </c>
      <c r="C1260" t="s">
        <v>40</v>
      </c>
      <c r="D1260">
        <v>5.2249359999999996</v>
      </c>
      <c r="E1260">
        <v>0.57953449999999995</v>
      </c>
      <c r="F1260" t="s">
        <v>43</v>
      </c>
      <c r="G1260">
        <v>-158.19499999999999</v>
      </c>
      <c r="H1260">
        <v>2.7738860000000001</v>
      </c>
      <c r="I1260">
        <v>356.1277</v>
      </c>
      <c r="J1260">
        <v>-244.7715</v>
      </c>
      <c r="K1260">
        <v>1.1105860000000001</v>
      </c>
      <c r="L1260">
        <v>367.44900000000001</v>
      </c>
      <c r="M1260">
        <v>0.99988999999999995</v>
      </c>
      <c r="N1260">
        <v>-1.4327970000000001E-2</v>
      </c>
      <c r="O1260">
        <v>-3.8264079999999999E-3</v>
      </c>
      <c r="P1260">
        <v>0.98001490000000002</v>
      </c>
      <c r="Q1260">
        <v>0.1834607</v>
      </c>
      <c r="R1260">
        <v>7.6895370000000005E-2</v>
      </c>
      <c r="S1260">
        <v>3.08168</v>
      </c>
      <c r="T1260">
        <v>5.9074399999999999E-2</v>
      </c>
      <c r="U1260">
        <v>-0.4020996</v>
      </c>
      <c r="V1260">
        <v>-8.0637100000000003E-2</v>
      </c>
      <c r="W1260">
        <v>0.1974823</v>
      </c>
      <c r="X1260">
        <v>0.97698430000000003</v>
      </c>
      <c r="Y1260">
        <v>0.1255848</v>
      </c>
      <c r="Z1260">
        <v>1.6734119999999901E-4</v>
      </c>
      <c r="AA1260">
        <v>0.99208289999999999</v>
      </c>
      <c r="AB1260">
        <v>31</v>
      </c>
      <c r="AC1260">
        <v>86.576499999999996</v>
      </c>
      <c r="AD1260">
        <v>1.6633</v>
      </c>
      <c r="AE1260">
        <v>-11.321300000000001</v>
      </c>
      <c r="AF1260">
        <v>10.9859193685961</v>
      </c>
      <c r="AG1260">
        <v>1.6633</v>
      </c>
      <c r="AH1260">
        <v>86.587768410012501</v>
      </c>
      <c r="AI1260">
        <v>88.908267076555802</v>
      </c>
      <c r="AJ1260">
        <v>82.769168670489293</v>
      </c>
      <c r="AK1260">
        <v>87.297758444814903</v>
      </c>
      <c r="AL1260">
        <v>78.6102302913892</v>
      </c>
      <c r="AM1260">
        <v>94.718312093689605</v>
      </c>
      <c r="AN1260">
        <v>0.99999996157809401</v>
      </c>
    </row>
    <row r="1261" spans="1:40" x14ac:dyDescent="0.25">
      <c r="A1261" t="str">
        <f>"20190304155036091"</f>
        <v>20190304155036091</v>
      </c>
      <c r="B1261" t="str">
        <f>"1551685836087688"</f>
        <v>1551685836087688</v>
      </c>
      <c r="C1261" t="s">
        <v>40</v>
      </c>
      <c r="D1261">
        <v>5.1790229999999999</v>
      </c>
      <c r="E1261">
        <v>0.57977709999999905</v>
      </c>
      <c r="F1261" t="s">
        <v>43</v>
      </c>
      <c r="G1261">
        <v>-158.19499999999999</v>
      </c>
      <c r="H1261">
        <v>2.6998739999999999</v>
      </c>
      <c r="I1261">
        <v>356.07350000000002</v>
      </c>
      <c r="J1261">
        <v>-244.61150000000001</v>
      </c>
      <c r="K1261">
        <v>1.1105879999999999</v>
      </c>
      <c r="L1261">
        <v>367.44839999999999</v>
      </c>
      <c r="M1261">
        <v>0.9998901</v>
      </c>
      <c r="N1261">
        <v>-1.432631E-2</v>
      </c>
      <c r="O1261">
        <v>-3.8263960000000001E-3</v>
      </c>
      <c r="P1261">
        <v>0.97996680000000003</v>
      </c>
      <c r="Q1261">
        <v>0.1838409</v>
      </c>
      <c r="R1261">
        <v>7.6601020000000006E-2</v>
      </c>
      <c r="S1261">
        <v>3.0823520000000002</v>
      </c>
      <c r="T1261">
        <v>5.6585910000000003E-2</v>
      </c>
      <c r="U1261">
        <v>-0.40499879999999999</v>
      </c>
      <c r="V1261">
        <v>-8.0342960000000005E-2</v>
      </c>
      <c r="W1261">
        <v>0.19786039999999999</v>
      </c>
      <c r="X1261">
        <v>0.97693200000000002</v>
      </c>
      <c r="Y1261">
        <v>0.12647549999999999</v>
      </c>
      <c r="Z1261">
        <v>1.214378E-4</v>
      </c>
      <c r="AA1261">
        <v>0.99196969999999995</v>
      </c>
      <c r="AB1261">
        <v>31</v>
      </c>
      <c r="AC1261">
        <v>86.416499999999999</v>
      </c>
      <c r="AD1261">
        <v>1.589286</v>
      </c>
      <c r="AE1261">
        <v>-11.374899999999901</v>
      </c>
      <c r="AF1261">
        <v>11.040448436627599</v>
      </c>
      <c r="AG1261">
        <v>1.589286</v>
      </c>
      <c r="AH1261">
        <v>86.430661103333804</v>
      </c>
      <c r="AI1261">
        <v>88.955053331102704</v>
      </c>
      <c r="AJ1261">
        <v>82.720594138532803</v>
      </c>
      <c r="AK1261">
        <v>87.147441215625904</v>
      </c>
      <c r="AL1261">
        <v>78.588130339441093</v>
      </c>
      <c r="AM1261">
        <v>94.701428936342595</v>
      </c>
      <c r="AN1261">
        <v>0.99999993086685801</v>
      </c>
    </row>
    <row r="1262" spans="1:40" x14ac:dyDescent="0.25">
      <c r="A1262" t="str">
        <f>"20190304155036104"</f>
        <v>20190304155036104</v>
      </c>
      <c r="B1262" t="str">
        <f>"1551685836097448"</f>
        <v>1551685836097448</v>
      </c>
      <c r="C1262" t="s">
        <v>40</v>
      </c>
      <c r="D1262">
        <v>5.2232000000000003</v>
      </c>
      <c r="E1262">
        <v>0.579928</v>
      </c>
      <c r="F1262" t="s">
        <v>43</v>
      </c>
      <c r="G1262">
        <v>-158.19499999999999</v>
      </c>
      <c r="H1262">
        <v>2.652555</v>
      </c>
      <c r="I1262">
        <v>356.02140000000003</v>
      </c>
      <c r="J1262">
        <v>-244.42230000000001</v>
      </c>
      <c r="K1262">
        <v>1.110592</v>
      </c>
      <c r="L1262">
        <v>367.4477</v>
      </c>
      <c r="M1262">
        <v>0.9998901</v>
      </c>
      <c r="N1262">
        <v>-1.432434E-2</v>
      </c>
      <c r="O1262">
        <v>-3.8263820000000001E-3</v>
      </c>
      <c r="P1262">
        <v>0.97993359999999996</v>
      </c>
      <c r="Q1262">
        <v>0.18404019999999999</v>
      </c>
      <c r="R1262">
        <v>7.6548060000000001E-2</v>
      </c>
      <c r="S1262">
        <v>3.0828700000000002</v>
      </c>
      <c r="T1262">
        <v>5.5012110000000003E-2</v>
      </c>
      <c r="U1262">
        <v>-0.40765380000000001</v>
      </c>
      <c r="V1262">
        <v>-8.0289379999999994E-2</v>
      </c>
      <c r="W1262">
        <v>0.19805719999999999</v>
      </c>
      <c r="X1262">
        <v>0.9768966</v>
      </c>
      <c r="Y1262">
        <v>0.1272943</v>
      </c>
      <c r="Z1262" s="1">
        <v>9.2477420000000005E-5</v>
      </c>
      <c r="AA1262">
        <v>0.991865</v>
      </c>
      <c r="AB1262">
        <v>31</v>
      </c>
      <c r="AC1262">
        <v>86.2273</v>
      </c>
      <c r="AD1262">
        <v>1.541963</v>
      </c>
      <c r="AE1262">
        <v>-11.4262999999999</v>
      </c>
      <c r="AF1262">
        <v>11.092757814121301</v>
      </c>
      <c r="AG1262">
        <v>1.541963</v>
      </c>
      <c r="AH1262">
        <v>86.2432911128748</v>
      </c>
      <c r="AI1262">
        <v>88.984072410406398</v>
      </c>
      <c r="AJ1262">
        <v>82.670760446431899</v>
      </c>
      <c r="AK1262">
        <v>86.967420266420405</v>
      </c>
      <c r="AL1262">
        <v>78.576627715360701</v>
      </c>
      <c r="AM1262">
        <v>94.698477127591005</v>
      </c>
      <c r="AN1262">
        <v>1.0000000030520899</v>
      </c>
    </row>
    <row r="1263" spans="1:40" x14ac:dyDescent="0.25">
      <c r="A1263" t="str">
        <f>"20190304155036119"</f>
        <v>20190304155036119</v>
      </c>
      <c r="B1263" t="str">
        <f>"1551685836117944"</f>
        <v>1551685836117944</v>
      </c>
      <c r="C1263" t="s">
        <v>40</v>
      </c>
      <c r="D1263">
        <v>5.2569990000000004</v>
      </c>
      <c r="E1263">
        <v>0.58017149999999995</v>
      </c>
      <c r="F1263" t="s">
        <v>43</v>
      </c>
      <c r="G1263">
        <v>-158.19499999999999</v>
      </c>
      <c r="H1263">
        <v>2.6082079999999999</v>
      </c>
      <c r="I1263">
        <v>356.00400000000002</v>
      </c>
      <c r="J1263">
        <v>-244.21279999999999</v>
      </c>
      <c r="K1263">
        <v>1.1105910000000001</v>
      </c>
      <c r="L1263">
        <v>367.44690000000003</v>
      </c>
      <c r="M1263">
        <v>0.9998901</v>
      </c>
      <c r="N1263">
        <v>-1.4322140000000001E-2</v>
      </c>
      <c r="O1263">
        <v>-3.8263659999999999E-3</v>
      </c>
      <c r="P1263">
        <v>0.97982619999999998</v>
      </c>
      <c r="Q1263">
        <v>0.1848072</v>
      </c>
      <c r="R1263">
        <v>7.6073210000000002E-2</v>
      </c>
      <c r="S1263">
        <v>3.0833590000000002</v>
      </c>
      <c r="T1263">
        <v>5.3555609999999997E-2</v>
      </c>
      <c r="U1263">
        <v>-0.40921020000000002</v>
      </c>
      <c r="V1263">
        <v>-7.9814239999999995E-2</v>
      </c>
      <c r="W1263">
        <v>0.19882040000000001</v>
      </c>
      <c r="X1263">
        <v>0.97678050000000005</v>
      </c>
      <c r="Y1263">
        <v>0.1277664</v>
      </c>
      <c r="Z1263" s="1">
        <v>6.4957999999999997E-5</v>
      </c>
      <c r="AA1263">
        <v>0.99180429999999997</v>
      </c>
      <c r="AB1263">
        <v>31</v>
      </c>
      <c r="AC1263">
        <v>86.017799999999994</v>
      </c>
      <c r="AD1263">
        <v>1.497617</v>
      </c>
      <c r="AE1263">
        <v>-11.4429</v>
      </c>
      <c r="AF1263">
        <v>11.1103375818834</v>
      </c>
      <c r="AG1263">
        <v>1.497617</v>
      </c>
      <c r="AH1263">
        <v>86.035333241982201</v>
      </c>
      <c r="AI1263">
        <v>89.010964112936804</v>
      </c>
      <c r="AJ1263">
        <v>82.641722475564805</v>
      </c>
      <c r="AK1263">
        <v>86.762670682275697</v>
      </c>
      <c r="AL1263">
        <v>78.532012341499595</v>
      </c>
      <c r="AM1263">
        <v>94.671348374976802</v>
      </c>
      <c r="AN1263">
        <v>1.00000000477159</v>
      </c>
    </row>
    <row r="1264" spans="1:40" x14ac:dyDescent="0.25">
      <c r="A1264" t="str">
        <f>"20190304155036132"</f>
        <v>20190304155036132</v>
      </c>
      <c r="B1264" t="str">
        <f>"1551685836127705"</f>
        <v>1551685836127705</v>
      </c>
      <c r="C1264" t="s">
        <v>40</v>
      </c>
      <c r="D1264">
        <v>5.1787749999999999</v>
      </c>
      <c r="E1264">
        <v>0.58017149999999995</v>
      </c>
      <c r="F1264" t="s">
        <v>43</v>
      </c>
      <c r="G1264">
        <v>-158.19499999999999</v>
      </c>
      <c r="H1264">
        <v>2.5058150000000001</v>
      </c>
      <c r="I1264">
        <v>355.93259999999998</v>
      </c>
      <c r="J1264">
        <v>-244.0505</v>
      </c>
      <c r="K1264">
        <v>1.11059</v>
      </c>
      <c r="L1264">
        <v>367.44630000000001</v>
      </c>
      <c r="M1264">
        <v>0.99989030000000001</v>
      </c>
      <c r="N1264">
        <v>-1.432042E-2</v>
      </c>
      <c r="O1264">
        <v>-3.8264729999999999E-3</v>
      </c>
      <c r="P1264">
        <v>0.97985889999999998</v>
      </c>
      <c r="Q1264">
        <v>0.18470529999999999</v>
      </c>
      <c r="R1264">
        <v>7.5898190000000004E-2</v>
      </c>
      <c r="S1264">
        <v>3.084381</v>
      </c>
      <c r="T1264">
        <v>5.0032260000000002E-2</v>
      </c>
      <c r="U1264">
        <v>-0.41287230000000003</v>
      </c>
      <c r="V1264">
        <v>-7.9639870000000001E-2</v>
      </c>
      <c r="W1264">
        <v>0.19871710000000001</v>
      </c>
      <c r="X1264">
        <v>0.97681580000000001</v>
      </c>
      <c r="Y1264">
        <v>0.12888160000000001</v>
      </c>
      <c r="Z1264" s="1">
        <v>-2.7131750000000001E-6</v>
      </c>
      <c r="AA1264">
        <v>0.99165999999999999</v>
      </c>
      <c r="AB1264">
        <v>31</v>
      </c>
      <c r="AC1264">
        <v>85.855500000000006</v>
      </c>
      <c r="AD1264">
        <v>1.3952249999999999</v>
      </c>
      <c r="AE1264">
        <v>-11.5137</v>
      </c>
      <c r="AF1264">
        <v>11.182157374612199</v>
      </c>
      <c r="AG1264">
        <v>1.3952249999999999</v>
      </c>
      <c r="AH1264">
        <v>85.876654180826193</v>
      </c>
      <c r="AI1264">
        <v>89.076996599669997</v>
      </c>
      <c r="AJ1264">
        <v>82.581152227595496</v>
      </c>
      <c r="AK1264">
        <v>86.612857184395097</v>
      </c>
      <c r="AL1264">
        <v>78.538052034511907</v>
      </c>
      <c r="AM1264">
        <v>94.661020205245407</v>
      </c>
      <c r="AN1264">
        <v>1.00000005092783</v>
      </c>
    </row>
    <row r="1265" spans="1:40" x14ac:dyDescent="0.25">
      <c r="A1265" t="str">
        <f>"20190304155036143"</f>
        <v>20190304155036143</v>
      </c>
      <c r="B1265" t="str">
        <f>"1551685836137466"</f>
        <v>1551685836137466</v>
      </c>
      <c r="C1265" t="s">
        <v>40</v>
      </c>
      <c r="D1265">
        <v>5.1285590000000001</v>
      </c>
      <c r="E1265">
        <v>0.58021350000000005</v>
      </c>
      <c r="F1265" t="s">
        <v>43</v>
      </c>
      <c r="G1265">
        <v>-158.19499999999999</v>
      </c>
      <c r="H1265">
        <v>2.4890379999999999</v>
      </c>
      <c r="I1265">
        <v>355.95010000000002</v>
      </c>
      <c r="J1265">
        <v>-243.88849999999999</v>
      </c>
      <c r="K1265">
        <v>1.1105910000000001</v>
      </c>
      <c r="L1265">
        <v>367.44560000000001</v>
      </c>
      <c r="M1265">
        <v>0.9998901</v>
      </c>
      <c r="N1265">
        <v>-1.43187E-2</v>
      </c>
      <c r="O1265">
        <v>-3.8263419999999999E-3</v>
      </c>
      <c r="P1265">
        <v>0.97985860000000002</v>
      </c>
      <c r="Q1265">
        <v>0.1848185</v>
      </c>
      <c r="R1265">
        <v>7.5626719999999995E-2</v>
      </c>
      <c r="S1265">
        <v>3.08432</v>
      </c>
      <c r="T1265">
        <v>4.9523230000000001E-2</v>
      </c>
      <c r="U1265">
        <v>-0.41299439999999998</v>
      </c>
      <c r="V1265">
        <v>-7.9368350000000004E-2</v>
      </c>
      <c r="W1265">
        <v>0.1988288</v>
      </c>
      <c r="X1265">
        <v>0.97681510000000005</v>
      </c>
      <c r="Y1265">
        <v>0.12892300000000001</v>
      </c>
      <c r="Z1265" s="1">
        <v>-1.2500680000000001E-5</v>
      </c>
      <c r="AA1265">
        <v>0.99165460000000005</v>
      </c>
      <c r="AB1265">
        <v>31</v>
      </c>
      <c r="AC1265">
        <v>85.6935</v>
      </c>
      <c r="AD1265">
        <v>1.378447</v>
      </c>
      <c r="AE1265">
        <v>-11.4954999999999</v>
      </c>
      <c r="AF1265">
        <v>11.164651740771401</v>
      </c>
      <c r="AG1265">
        <v>1.378447</v>
      </c>
      <c r="AH1265">
        <v>85.715075862756294</v>
      </c>
      <c r="AI1265">
        <v>89.086380221024498</v>
      </c>
      <c r="AJ1265">
        <v>82.578829488463597</v>
      </c>
      <c r="AK1265">
        <v>86.450123162333199</v>
      </c>
      <c r="AL1265">
        <v>78.531521000951301</v>
      </c>
      <c r="AM1265">
        <v>94.645202142542701</v>
      </c>
      <c r="AN1265">
        <v>0.99999998313958605</v>
      </c>
    </row>
    <row r="1266" spans="1:40" x14ac:dyDescent="0.25">
      <c r="A1266" t="str">
        <f>"20190304155036156"</f>
        <v>20190304155036156</v>
      </c>
      <c r="B1266" t="str">
        <f>"1551685836147225"</f>
        <v>1551685836147225</v>
      </c>
      <c r="C1266" t="s">
        <v>40</v>
      </c>
      <c r="D1266">
        <v>5.2374879999999999</v>
      </c>
      <c r="E1266">
        <v>0.58034589999999997</v>
      </c>
      <c r="F1266" t="s">
        <v>43</v>
      </c>
      <c r="G1266">
        <v>-158.19499999999999</v>
      </c>
      <c r="H1266">
        <v>2.4280620000000002</v>
      </c>
      <c r="I1266">
        <v>355.94029999999998</v>
      </c>
      <c r="J1266">
        <v>-243.72630000000001</v>
      </c>
      <c r="K1266">
        <v>1.11059</v>
      </c>
      <c r="L1266">
        <v>367.44510000000002</v>
      </c>
      <c r="M1266">
        <v>0.99989030000000001</v>
      </c>
      <c r="N1266">
        <v>-1.431699E-2</v>
      </c>
      <c r="O1266">
        <v>-3.8264480000000001E-3</v>
      </c>
      <c r="P1266">
        <v>0.97988459999999999</v>
      </c>
      <c r="Q1266">
        <v>0.1846547</v>
      </c>
      <c r="R1266">
        <v>7.5691670000000003E-2</v>
      </c>
      <c r="S1266">
        <v>3.0846710000000002</v>
      </c>
      <c r="T1266">
        <v>4.7427539999999997E-2</v>
      </c>
      <c r="U1266">
        <v>-0.41415410000000002</v>
      </c>
      <c r="V1266">
        <v>-7.9433489999999995E-2</v>
      </c>
      <c r="W1266">
        <v>0.1986639</v>
      </c>
      <c r="X1266">
        <v>0.97684340000000003</v>
      </c>
      <c r="Y1266">
        <v>0.129275</v>
      </c>
      <c r="Z1266" s="1">
        <v>-5.3378870000000003E-5</v>
      </c>
      <c r="AA1266">
        <v>0.99160879999999996</v>
      </c>
      <c r="AB1266">
        <v>31</v>
      </c>
      <c r="AC1266">
        <v>85.531300000000002</v>
      </c>
      <c r="AD1266">
        <v>1.31747199999999</v>
      </c>
      <c r="AE1266">
        <v>-11.504799999999999</v>
      </c>
      <c r="AF1266">
        <v>11.1747969125379</v>
      </c>
      <c r="AG1266">
        <v>1.31747199999999</v>
      </c>
      <c r="AH1266">
        <v>85.554762374174899</v>
      </c>
      <c r="AI1266">
        <v>89.125192090839803</v>
      </c>
      <c r="AJ1266">
        <v>82.558398724534399</v>
      </c>
      <c r="AK1266">
        <v>86.291535989393395</v>
      </c>
      <c r="AL1266">
        <v>78.541161893078794</v>
      </c>
      <c r="AM1266">
        <v>94.648863800286406</v>
      </c>
      <c r="AN1266">
        <v>1.00000002631017</v>
      </c>
    </row>
    <row r="1267" spans="1:40" x14ac:dyDescent="0.25">
      <c r="A1267" t="str">
        <f>"20190304155036166"</f>
        <v>20190304155036166</v>
      </c>
      <c r="B1267" t="str">
        <f>"1551685836157961"</f>
        <v>1551685836157961</v>
      </c>
      <c r="C1267" t="s">
        <v>40</v>
      </c>
      <c r="D1267">
        <v>5.2307649999999999</v>
      </c>
      <c r="E1267">
        <v>0.58043020000000001</v>
      </c>
      <c r="F1267" t="s">
        <v>43</v>
      </c>
      <c r="G1267">
        <v>-158.19499999999999</v>
      </c>
      <c r="H1267">
        <v>2.3885399999999999</v>
      </c>
      <c r="I1267">
        <v>355.9289</v>
      </c>
      <c r="J1267">
        <v>-243.56710000000001</v>
      </c>
      <c r="K1267">
        <v>1.1105929999999999</v>
      </c>
      <c r="L1267">
        <v>367.44450000000001</v>
      </c>
      <c r="M1267">
        <v>0.99989030000000001</v>
      </c>
      <c r="N1267">
        <v>-1.431529E-2</v>
      </c>
      <c r="O1267">
        <v>-3.8263170000000001E-3</v>
      </c>
      <c r="P1267">
        <v>0.97996609999999995</v>
      </c>
      <c r="Q1267">
        <v>0.1841448</v>
      </c>
      <c r="R1267">
        <v>7.5877799999999995E-2</v>
      </c>
      <c r="S1267">
        <v>3.0850070000000001</v>
      </c>
      <c r="T1267">
        <v>4.6097159999999998E-2</v>
      </c>
      <c r="U1267">
        <v>-0.41537479999999899</v>
      </c>
      <c r="V1267">
        <v>-7.9619800000000004E-2</v>
      </c>
      <c r="W1267">
        <v>0.19815350000000001</v>
      </c>
      <c r="X1267">
        <v>0.97693189999999996</v>
      </c>
      <c r="Y1267">
        <v>0.1296466</v>
      </c>
      <c r="Z1267" s="1">
        <v>-7.9414110000000003E-5</v>
      </c>
      <c r="AA1267">
        <v>0.99156029999999995</v>
      </c>
      <c r="AB1267">
        <v>31</v>
      </c>
      <c r="AC1267">
        <v>85.372100000000003</v>
      </c>
      <c r="AD1267">
        <v>1.2779469999999999</v>
      </c>
      <c r="AE1267">
        <v>-11.515599999999999</v>
      </c>
      <c r="AF1267">
        <v>11.1863597257035</v>
      </c>
      <c r="AG1267">
        <v>1.2779469999999999</v>
      </c>
      <c r="AH1267">
        <v>85.396748408224298</v>
      </c>
      <c r="AI1267">
        <v>89.149904292394794</v>
      </c>
      <c r="AJ1267">
        <v>82.537156731823899</v>
      </c>
      <c r="AK1267">
        <v>86.135779041843094</v>
      </c>
      <c r="AL1267">
        <v>78.570998874586394</v>
      </c>
      <c r="AM1267">
        <v>94.659299412550396</v>
      </c>
      <c r="AN1267">
        <v>1.0000000296759399</v>
      </c>
    </row>
    <row r="1268" spans="1:40" x14ac:dyDescent="0.25">
      <c r="A1268" t="str">
        <f>"20190304155036179"</f>
        <v>20190304155036179</v>
      </c>
      <c r="B1268" t="str">
        <f>"1551685836167310"</f>
        <v>1551685836167310</v>
      </c>
      <c r="C1268" t="s">
        <v>40</v>
      </c>
      <c r="D1268">
        <v>5.4115149999999996</v>
      </c>
      <c r="E1268">
        <v>0.58071149999999905</v>
      </c>
      <c r="F1268" t="s">
        <v>43</v>
      </c>
      <c r="G1268">
        <v>-158.19499999999999</v>
      </c>
      <c r="H1268">
        <v>2.3216380000000001</v>
      </c>
      <c r="I1268">
        <v>355.93819999999999</v>
      </c>
      <c r="J1268">
        <v>-243.41</v>
      </c>
      <c r="K1268">
        <v>1.1105910000000001</v>
      </c>
      <c r="L1268">
        <v>367.44380000000001</v>
      </c>
      <c r="M1268">
        <v>0.99989039999999996</v>
      </c>
      <c r="N1268">
        <v>-1.4313609999999999E-2</v>
      </c>
      <c r="O1268">
        <v>-3.8263049999999999E-3</v>
      </c>
      <c r="P1268">
        <v>0.97997270000000003</v>
      </c>
      <c r="Q1268">
        <v>0.1839519</v>
      </c>
      <c r="R1268">
        <v>7.6259770000000004E-2</v>
      </c>
      <c r="S1268">
        <v>3.0853120000000001</v>
      </c>
      <c r="T1268">
        <v>4.3769839999999997E-2</v>
      </c>
      <c r="U1268">
        <v>-0.41583249999999999</v>
      </c>
      <c r="V1268">
        <v>-8.0001729999999993E-2</v>
      </c>
      <c r="W1268">
        <v>0.1979591</v>
      </c>
      <c r="X1268">
        <v>0.97694009999999998</v>
      </c>
      <c r="Y1268">
        <v>0.1297788</v>
      </c>
      <c r="Z1268">
        <v>-1.252169E-4</v>
      </c>
      <c r="AA1268">
        <v>0.99154299999999995</v>
      </c>
      <c r="AB1268">
        <v>31</v>
      </c>
      <c r="AC1268">
        <v>85.215000000000003</v>
      </c>
      <c r="AD1268">
        <v>1.211047</v>
      </c>
      <c r="AE1268">
        <v>-11.505599999999999</v>
      </c>
      <c r="AF1268">
        <v>11.177206765800801</v>
      </c>
      <c r="AG1268">
        <v>1.211047</v>
      </c>
      <c r="AH1268">
        <v>85.241496397682695</v>
      </c>
      <c r="AI1268">
        <v>89.192947007260202</v>
      </c>
      <c r="AJ1268">
        <v>82.529766296346097</v>
      </c>
      <c r="AK1268">
        <v>85.979702802683704</v>
      </c>
      <c r="AL1268">
        <v>78.582362169625299</v>
      </c>
      <c r="AM1268">
        <v>94.681511480349002</v>
      </c>
      <c r="AN1268">
        <v>1.0000000205319</v>
      </c>
    </row>
    <row r="1269" spans="1:40" x14ac:dyDescent="0.25">
      <c r="A1269" t="str">
        <f>"20190304155036191"</f>
        <v>20190304155036191</v>
      </c>
      <c r="B1269" t="str">
        <f>"1551685836187805"</f>
        <v>1551685836187805</v>
      </c>
      <c r="C1269" t="s">
        <v>40</v>
      </c>
      <c r="D1269">
        <v>5.2976289999999997</v>
      </c>
      <c r="E1269">
        <v>0.5809569</v>
      </c>
      <c r="F1269" t="s">
        <v>43</v>
      </c>
      <c r="G1269">
        <v>-158.19499999999999</v>
      </c>
      <c r="H1269">
        <v>2.265841</v>
      </c>
      <c r="I1269">
        <v>355.9273</v>
      </c>
      <c r="J1269">
        <v>-243.239</v>
      </c>
      <c r="K1269">
        <v>1.11059</v>
      </c>
      <c r="L1269">
        <v>367.44319999999999</v>
      </c>
      <c r="M1269">
        <v>0.99989039999999996</v>
      </c>
      <c r="N1269">
        <v>-1.43118E-2</v>
      </c>
      <c r="O1269">
        <v>-3.826411E-3</v>
      </c>
      <c r="P1269">
        <v>0.97994150000000002</v>
      </c>
      <c r="Q1269">
        <v>0.18395800000000001</v>
      </c>
      <c r="R1269">
        <v>7.6643100000000006E-2</v>
      </c>
      <c r="S1269">
        <v>3.0859070000000002</v>
      </c>
      <c r="T1269">
        <v>4.1838409999999999E-2</v>
      </c>
      <c r="U1269">
        <v>-0.41705320000000001</v>
      </c>
      <c r="V1269">
        <v>-8.0384579999999997E-2</v>
      </c>
      <c r="W1269">
        <v>0.19796279999999999</v>
      </c>
      <c r="X1269">
        <v>0.97690790000000005</v>
      </c>
      <c r="Y1269">
        <v>0.13013910000000001</v>
      </c>
      <c r="Z1269">
        <v>-1.634998E-4</v>
      </c>
      <c r="AA1269">
        <v>0.99149569999999998</v>
      </c>
      <c r="AB1269">
        <v>31</v>
      </c>
      <c r="AC1269">
        <v>85.043999999999997</v>
      </c>
      <c r="AD1269">
        <v>1.155251</v>
      </c>
      <c r="AE1269">
        <v>-11.515899999999901</v>
      </c>
      <c r="AF1269">
        <v>11.188341692439099</v>
      </c>
      <c r="AG1269">
        <v>1.155251</v>
      </c>
      <c r="AH1269">
        <v>85.072030742070993</v>
      </c>
      <c r="AI1269">
        <v>89.228631013073397</v>
      </c>
      <c r="AJ1269">
        <v>82.507682003219202</v>
      </c>
      <c r="AK1269">
        <v>85.812376783769693</v>
      </c>
      <c r="AL1269">
        <v>78.582145634242195</v>
      </c>
      <c r="AM1269">
        <v>94.7039690097304</v>
      </c>
      <c r="AN1269">
        <v>0.99999999798401296</v>
      </c>
    </row>
    <row r="1270" spans="1:40" x14ac:dyDescent="0.25">
      <c r="A1270" t="str">
        <f>"20190304155036204"</f>
        <v>20190304155036204</v>
      </c>
      <c r="B1270" t="str">
        <f>"1551685836197565"</f>
        <v>1551685836197565</v>
      </c>
      <c r="C1270" t="s">
        <v>40</v>
      </c>
      <c r="D1270">
        <v>5.2742709999999997</v>
      </c>
      <c r="E1270">
        <v>0.58102540000000003</v>
      </c>
      <c r="F1270" t="s">
        <v>43</v>
      </c>
      <c r="G1270">
        <v>-158.19499999999999</v>
      </c>
      <c r="H1270">
        <v>2.1894279999999999</v>
      </c>
      <c r="I1270">
        <v>355.92849999999999</v>
      </c>
      <c r="J1270">
        <v>-243.06100000000001</v>
      </c>
      <c r="K1270">
        <v>1.1105860000000001</v>
      </c>
      <c r="L1270">
        <v>367.44260000000003</v>
      </c>
      <c r="M1270">
        <v>0.99989030000000001</v>
      </c>
      <c r="N1270">
        <v>-1.43099E-2</v>
      </c>
      <c r="O1270">
        <v>-3.8262790000000001E-3</v>
      </c>
      <c r="P1270">
        <v>0.97995239999999995</v>
      </c>
      <c r="Q1270">
        <v>0.18372740000000001</v>
      </c>
      <c r="R1270">
        <v>7.7054979999999995E-2</v>
      </c>
      <c r="S1270">
        <v>3.0867460000000002</v>
      </c>
      <c r="T1270">
        <v>3.9160489999999999E-2</v>
      </c>
      <c r="U1270">
        <v>-0.41793819999999998</v>
      </c>
      <c r="V1270">
        <v>-8.0796489999999999E-2</v>
      </c>
      <c r="W1270">
        <v>0.1977305</v>
      </c>
      <c r="X1270">
        <v>0.97692100000000004</v>
      </c>
      <c r="Y1270">
        <v>0.1303831</v>
      </c>
      <c r="Z1270">
        <v>-2.167135E-4</v>
      </c>
      <c r="AA1270">
        <v>0.99146369999999895</v>
      </c>
      <c r="AB1270">
        <v>31</v>
      </c>
      <c r="AC1270">
        <v>84.8659999999999</v>
      </c>
      <c r="AD1270">
        <v>1.0788420000000001</v>
      </c>
      <c r="AE1270">
        <v>-11.514099999999999</v>
      </c>
      <c r="AF1270">
        <v>11.1874862065723</v>
      </c>
      <c r="AG1270">
        <v>1.0788420000000001</v>
      </c>
      <c r="AH1270">
        <v>84.895967872551694</v>
      </c>
      <c r="AI1270">
        <v>89.278175027706098</v>
      </c>
      <c r="AJ1270">
        <v>82.492888512846093</v>
      </c>
      <c r="AK1270">
        <v>85.636727568844705</v>
      </c>
      <c r="AL1270">
        <v>78.595724235798102</v>
      </c>
      <c r="AM1270">
        <v>94.727901173920401</v>
      </c>
      <c r="AN1270">
        <v>1.0000000318337801</v>
      </c>
    </row>
    <row r="1271" spans="1:40" x14ac:dyDescent="0.25">
      <c r="A1271" t="str">
        <f>"20190304155036217"</f>
        <v>20190304155036217</v>
      </c>
      <c r="B1271" t="str">
        <f>"1551685836207325"</f>
        <v>1551685836207325</v>
      </c>
      <c r="C1271" t="s">
        <v>40</v>
      </c>
      <c r="D1271">
        <v>4.7835859999999997</v>
      </c>
      <c r="E1271">
        <v>0.58126339999999999</v>
      </c>
      <c r="F1271" t="s">
        <v>43</v>
      </c>
      <c r="G1271">
        <v>-158.19499999999999</v>
      </c>
      <c r="H1271">
        <v>2.1467830000000001</v>
      </c>
      <c r="I1271">
        <v>355.97750000000002</v>
      </c>
      <c r="J1271">
        <v>-242.88749999999999</v>
      </c>
      <c r="K1271">
        <v>1.110587</v>
      </c>
      <c r="L1271">
        <v>367.44189999999998</v>
      </c>
      <c r="M1271">
        <v>0.99989030000000001</v>
      </c>
      <c r="N1271">
        <v>-1.4308059999999999E-2</v>
      </c>
      <c r="O1271">
        <v>-3.8262650000000001E-3</v>
      </c>
      <c r="P1271">
        <v>0.97994740000000002</v>
      </c>
      <c r="Q1271">
        <v>0.1837501</v>
      </c>
      <c r="R1271">
        <v>7.7066049999999997E-2</v>
      </c>
      <c r="S1271">
        <v>3.087097</v>
      </c>
      <c r="T1271">
        <v>3.7696E-2</v>
      </c>
      <c r="U1271">
        <v>-0.41705320000000001</v>
      </c>
      <c r="V1271">
        <v>-8.0807809999999994E-2</v>
      </c>
      <c r="W1271">
        <v>0.19775110000000001</v>
      </c>
      <c r="X1271">
        <v>0.97691589999999995</v>
      </c>
      <c r="Y1271">
        <v>0.13008929999999999</v>
      </c>
      <c r="Z1271">
        <v>-2.4529009999999998E-4</v>
      </c>
      <c r="AA1271">
        <v>0.9915022</v>
      </c>
      <c r="AB1271">
        <v>31</v>
      </c>
      <c r="AC1271">
        <v>84.692499999999995</v>
      </c>
      <c r="AD1271">
        <v>1.0361959999999999</v>
      </c>
      <c r="AE1271">
        <v>-11.4643999999999</v>
      </c>
      <c r="AF1271">
        <v>11.138589595146399</v>
      </c>
      <c r="AG1271">
        <v>1.0361959999999999</v>
      </c>
      <c r="AH1271">
        <v>84.723296173719703</v>
      </c>
      <c r="AI1271">
        <v>89.305264934825402</v>
      </c>
      <c r="AJ1271">
        <v>82.510266574126504</v>
      </c>
      <c r="AK1271">
        <v>85.458637918348202</v>
      </c>
      <c r="AL1271">
        <v>78.594520235357507</v>
      </c>
      <c r="AM1271">
        <v>94.728585147072806</v>
      </c>
      <c r="AN1271">
        <v>1.0000000376905001</v>
      </c>
    </row>
    <row r="1272" spans="1:40" x14ac:dyDescent="0.25">
      <c r="A1272" t="str">
        <f>"20190304155036233"</f>
        <v>20190304155036233</v>
      </c>
      <c r="B1272" t="str">
        <f>"1551685836227822"</f>
        <v>1551685836227822</v>
      </c>
      <c r="C1272" t="s">
        <v>40</v>
      </c>
      <c r="D1272">
        <v>5.336373</v>
      </c>
      <c r="E1272">
        <v>0.58151600000000003</v>
      </c>
      <c r="F1272" t="s">
        <v>43</v>
      </c>
      <c r="G1272">
        <v>-158.19499999999999</v>
      </c>
      <c r="H1272">
        <v>2.1707299999999998</v>
      </c>
      <c r="I1272">
        <v>355.95830000000001</v>
      </c>
      <c r="J1272">
        <v>-242.66929999999999</v>
      </c>
      <c r="K1272">
        <v>1.11059</v>
      </c>
      <c r="L1272">
        <v>367.44110000000001</v>
      </c>
      <c r="M1272">
        <v>0.99989039999999996</v>
      </c>
      <c r="N1272">
        <v>-1.4305740000000001E-2</v>
      </c>
      <c r="O1272">
        <v>-3.8262489999999999E-3</v>
      </c>
      <c r="P1272">
        <v>0.97984950000000004</v>
      </c>
      <c r="Q1272">
        <v>0.18399380000000001</v>
      </c>
      <c r="R1272">
        <v>7.7726649999999994E-2</v>
      </c>
      <c r="S1272">
        <v>3.0870510000000002</v>
      </c>
      <c r="T1272">
        <v>3.8645510000000001E-2</v>
      </c>
      <c r="U1272">
        <v>-0.41857909999999998</v>
      </c>
      <c r="V1272">
        <v>-8.1468029999999997E-2</v>
      </c>
      <c r="W1272">
        <v>0.19799130000000001</v>
      </c>
      <c r="X1272">
        <v>0.97681240000000003</v>
      </c>
      <c r="Y1272">
        <v>0.1305723</v>
      </c>
      <c r="Z1272">
        <v>-2.268924E-4</v>
      </c>
      <c r="AA1272">
        <v>0.99143870000000001</v>
      </c>
      <c r="AB1272">
        <v>31</v>
      </c>
      <c r="AC1272">
        <v>84.474299999999999</v>
      </c>
      <c r="AD1272">
        <v>1.0601400000000001</v>
      </c>
      <c r="AE1272">
        <v>-11.4827999999999</v>
      </c>
      <c r="AF1272">
        <v>11.157737711385799</v>
      </c>
      <c r="AG1272">
        <v>1.0601400000000001</v>
      </c>
      <c r="AH1272">
        <v>84.504554156270899</v>
      </c>
      <c r="AI1272">
        <v>89.287425517521996</v>
      </c>
      <c r="AJ1272">
        <v>82.478339452737302</v>
      </c>
      <c r="AK1272">
        <v>85.244581533407796</v>
      </c>
      <c r="AL1272">
        <v>78.580480098825404</v>
      </c>
      <c r="AM1272">
        <v>94.767544314518403</v>
      </c>
      <c r="AN1272">
        <v>1.0000000297907601</v>
      </c>
    </row>
    <row r="1273" spans="1:40" x14ac:dyDescent="0.25">
      <c r="A1273" t="str">
        <f>"20190304155036246"</f>
        <v>20190304155036246</v>
      </c>
      <c r="B1273" t="str">
        <f>"1551685836237582"</f>
        <v>1551685836237582</v>
      </c>
      <c r="C1273" t="s">
        <v>40</v>
      </c>
      <c r="D1273">
        <v>5.297186</v>
      </c>
      <c r="E1273">
        <v>0.58168679999999995</v>
      </c>
      <c r="F1273" t="s">
        <v>43</v>
      </c>
      <c r="G1273">
        <v>-158.19499999999999</v>
      </c>
      <c r="H1273">
        <v>2.2861630000000002</v>
      </c>
      <c r="I1273">
        <v>355.99290000000002</v>
      </c>
      <c r="J1273">
        <v>-242.47550000000001</v>
      </c>
      <c r="K1273">
        <v>1.1105940000000001</v>
      </c>
      <c r="L1273">
        <v>367.44029999999998</v>
      </c>
      <c r="M1273">
        <v>0.99989039999999996</v>
      </c>
      <c r="N1273">
        <v>-1.4303669999999999E-2</v>
      </c>
      <c r="O1273">
        <v>-3.826234E-3</v>
      </c>
      <c r="P1273">
        <v>0.97981059999999998</v>
      </c>
      <c r="Q1273">
        <v>0.18396090000000001</v>
      </c>
      <c r="R1273">
        <v>7.8292669999999995E-2</v>
      </c>
      <c r="S1273">
        <v>3.0868229999999999</v>
      </c>
      <c r="T1273">
        <v>4.2960409999999997E-2</v>
      </c>
      <c r="U1273">
        <v>-0.41833500000000001</v>
      </c>
      <c r="V1273">
        <v>-8.2033599999999998E-2</v>
      </c>
      <c r="W1273">
        <v>0.19795579999999999</v>
      </c>
      <c r="X1273">
        <v>0.97677219999999998</v>
      </c>
      <c r="Y1273">
        <v>0.13050419999999999</v>
      </c>
      <c r="Z1273">
        <v>-1.411595E-4</v>
      </c>
      <c r="AA1273">
        <v>0.99144770000000004</v>
      </c>
      <c r="AB1273">
        <v>31</v>
      </c>
      <c r="AC1273">
        <v>84.280500000000004</v>
      </c>
      <c r="AD1273">
        <v>1.1755690000000001</v>
      </c>
      <c r="AE1273">
        <v>-11.447399999999901</v>
      </c>
      <c r="AF1273">
        <v>11.122681513700201</v>
      </c>
      <c r="AG1273">
        <v>1.1755690000000001</v>
      </c>
      <c r="AH1273">
        <v>84.307582516622205</v>
      </c>
      <c r="AI1273">
        <v>89.207992262320602</v>
      </c>
      <c r="AJ1273">
        <v>82.484383651311006</v>
      </c>
      <c r="AK1273">
        <v>85.046249043247201</v>
      </c>
      <c r="AL1273">
        <v>78.582554483871903</v>
      </c>
      <c r="AM1273">
        <v>94.800684215490193</v>
      </c>
      <c r="AN1273">
        <v>0.99999997048771905</v>
      </c>
    </row>
    <row r="1274" spans="1:40" x14ac:dyDescent="0.25">
      <c r="A1274" t="str">
        <f>"20190304155036260"</f>
        <v>20190304155036260</v>
      </c>
      <c r="B1274" t="str">
        <f>"1551685836258078"</f>
        <v>1551685836258078</v>
      </c>
      <c r="C1274" t="s">
        <v>40</v>
      </c>
      <c r="D1274">
        <v>5.399019</v>
      </c>
      <c r="E1274">
        <v>0.58188139999999999</v>
      </c>
      <c r="F1274" t="s">
        <v>43</v>
      </c>
      <c r="G1274">
        <v>-158.19499999999999</v>
      </c>
      <c r="H1274">
        <v>2.2650549999999998</v>
      </c>
      <c r="I1274">
        <v>356.0292</v>
      </c>
      <c r="J1274">
        <v>-242.29830000000001</v>
      </c>
      <c r="K1274">
        <v>1.1105940000000001</v>
      </c>
      <c r="L1274">
        <v>367.43970000000002</v>
      </c>
      <c r="M1274">
        <v>0.99989059999999996</v>
      </c>
      <c r="N1274">
        <v>-1.430178E-2</v>
      </c>
      <c r="O1274">
        <v>-3.8274210000000001E-3</v>
      </c>
      <c r="P1274">
        <v>0.97974099999999997</v>
      </c>
      <c r="Q1274">
        <v>0.1841576</v>
      </c>
      <c r="R1274">
        <v>7.870104E-2</v>
      </c>
      <c r="S1274">
        <v>3.0872649999999999</v>
      </c>
      <c r="T1274">
        <v>4.2292000000000003E-2</v>
      </c>
      <c r="U1274">
        <v>-0.41799930000000002</v>
      </c>
      <c r="V1274">
        <v>-8.2442959999999996E-2</v>
      </c>
      <c r="W1274">
        <v>0.19814970000000001</v>
      </c>
      <c r="X1274">
        <v>0.97669850000000002</v>
      </c>
      <c r="Y1274">
        <v>0.13037839999999901</v>
      </c>
      <c r="Z1274">
        <v>-1.5435889999999901E-4</v>
      </c>
      <c r="AA1274">
        <v>0.99146429999999997</v>
      </c>
      <c r="AB1274">
        <v>31</v>
      </c>
      <c r="AC1274">
        <v>84.103300000000004</v>
      </c>
      <c r="AD1274">
        <v>1.15446099999999</v>
      </c>
      <c r="AE1274">
        <v>-11.410500000000001</v>
      </c>
      <c r="AF1274">
        <v>11.086433631849699</v>
      </c>
      <c r="AG1274">
        <v>1.15446099999999</v>
      </c>
      <c r="AH1274">
        <v>84.130795489185402</v>
      </c>
      <c r="AI1274">
        <v>89.220561732531806</v>
      </c>
      <c r="AJ1274">
        <v>82.493035179651201</v>
      </c>
      <c r="AK1274">
        <v>84.865968093912997</v>
      </c>
      <c r="AL1274">
        <v>78.571221268368802</v>
      </c>
      <c r="AM1274">
        <v>94.824889885384906</v>
      </c>
      <c r="AN1274">
        <v>1.00000005258294</v>
      </c>
    </row>
    <row r="1275" spans="1:40" x14ac:dyDescent="0.25">
      <c r="A1275" t="str">
        <f>"20190304155036274"</f>
        <v>20190304155036274</v>
      </c>
      <c r="B1275" t="str">
        <f>"1551685836267837"</f>
        <v>1551685836267837</v>
      </c>
      <c r="C1275" t="s">
        <v>40</v>
      </c>
      <c r="D1275">
        <v>5.4328529999999997</v>
      </c>
      <c r="E1275">
        <v>0.58210919999999999</v>
      </c>
      <c r="F1275" t="s">
        <v>43</v>
      </c>
      <c r="G1275">
        <v>-158.19499999999999</v>
      </c>
      <c r="H1275">
        <v>2.254537</v>
      </c>
      <c r="I1275">
        <v>356.04430000000002</v>
      </c>
      <c r="J1275">
        <v>-242.10470000000001</v>
      </c>
      <c r="K1275">
        <v>1.1105959999999999</v>
      </c>
      <c r="L1275">
        <v>367.43889999999999</v>
      </c>
      <c r="M1275">
        <v>0.99989050000000002</v>
      </c>
      <c r="N1275">
        <v>-1.429971E-2</v>
      </c>
      <c r="O1275">
        <v>-3.831611E-3</v>
      </c>
      <c r="P1275">
        <v>0.9797785</v>
      </c>
      <c r="Q1275">
        <v>0.18387539999999999</v>
      </c>
      <c r="R1275">
        <v>7.8893679999999994E-2</v>
      </c>
      <c r="S1275">
        <v>3.087723</v>
      </c>
      <c r="T1275">
        <v>4.2001249999999997E-2</v>
      </c>
      <c r="U1275">
        <v>-0.4183655</v>
      </c>
      <c r="V1275">
        <v>-8.2638729999999994E-2</v>
      </c>
      <c r="W1275">
        <v>0.1978665</v>
      </c>
      <c r="X1275">
        <v>0.97673929999999998</v>
      </c>
      <c r="Y1275">
        <v>0.13047020000000001</v>
      </c>
      <c r="Z1275">
        <v>-1.6025659999999999E-4</v>
      </c>
      <c r="AA1275">
        <v>0.99145220000000001</v>
      </c>
      <c r="AB1275">
        <v>31</v>
      </c>
      <c r="AC1275">
        <v>83.909700000000001</v>
      </c>
      <c r="AD1275">
        <v>1.1439409999999901</v>
      </c>
      <c r="AE1275">
        <v>-11.394599999999899</v>
      </c>
      <c r="AF1275">
        <v>11.0709537850049</v>
      </c>
      <c r="AG1275">
        <v>1.1439409999999901</v>
      </c>
      <c r="AH1275">
        <v>83.937430028422298</v>
      </c>
      <c r="AI1275">
        <v>89.225896428271994</v>
      </c>
      <c r="AJ1275">
        <v>82.486325036561396</v>
      </c>
      <c r="AK1275">
        <v>84.672113346115793</v>
      </c>
      <c r="AL1275">
        <v>78.587774421765502</v>
      </c>
      <c r="AM1275">
        <v>94.836091782740795</v>
      </c>
      <c r="AN1275">
        <v>0.99999998584137595</v>
      </c>
    </row>
    <row r="1276" spans="1:40" x14ac:dyDescent="0.25">
      <c r="A1276" t="str">
        <f>"20190304155036288"</f>
        <v>20190304155036288</v>
      </c>
      <c r="B1276" t="str">
        <f>"1551685836277598"</f>
        <v>1551685836277598</v>
      </c>
      <c r="C1276" t="s">
        <v>40</v>
      </c>
      <c r="D1276">
        <v>5.2977629999999998</v>
      </c>
      <c r="E1276">
        <v>0.58226659999999997</v>
      </c>
      <c r="F1276" t="s">
        <v>43</v>
      </c>
      <c r="G1276">
        <v>-158.19499999999999</v>
      </c>
      <c r="H1276">
        <v>2.2039040000000001</v>
      </c>
      <c r="I1276">
        <v>356.03730000000002</v>
      </c>
      <c r="J1276">
        <v>-241.91480000000001</v>
      </c>
      <c r="K1276">
        <v>1.1105929999999999</v>
      </c>
      <c r="L1276">
        <v>367.43819999999999</v>
      </c>
      <c r="M1276">
        <v>0.99989059999999996</v>
      </c>
      <c r="N1276">
        <v>-1.429769E-2</v>
      </c>
      <c r="O1276">
        <v>-3.8394039999999998E-3</v>
      </c>
      <c r="P1276">
        <v>0.97974620000000001</v>
      </c>
      <c r="Q1276">
        <v>0.18403349999999999</v>
      </c>
      <c r="R1276">
        <v>7.8925259999999997E-2</v>
      </c>
      <c r="S1276">
        <v>3.0881349999999999</v>
      </c>
      <c r="T1276">
        <v>4.0240289999999998E-2</v>
      </c>
      <c r="U1276">
        <v>-0.41961670000000001</v>
      </c>
      <c r="V1276">
        <v>-8.267613E-2</v>
      </c>
      <c r="W1276">
        <v>0.19802259999999999</v>
      </c>
      <c r="X1276">
        <v>0.97670449999999998</v>
      </c>
      <c r="Y1276">
        <v>0.13083980000000001</v>
      </c>
      <c r="Z1276">
        <v>-1.9558879999999999E-4</v>
      </c>
      <c r="AA1276">
        <v>0.99140349999999999</v>
      </c>
      <c r="AB1276">
        <v>30</v>
      </c>
      <c r="AC1276">
        <v>83.719800000000006</v>
      </c>
      <c r="AD1276">
        <v>1.0933109999999999</v>
      </c>
      <c r="AE1276">
        <v>-11.400899999999901</v>
      </c>
      <c r="AF1276">
        <v>11.0774942379294</v>
      </c>
      <c r="AG1276">
        <v>1.0933109999999999</v>
      </c>
      <c r="AH1276">
        <v>83.748937286782095</v>
      </c>
      <c r="AI1276">
        <v>89.258524906181094</v>
      </c>
      <c r="AJ1276">
        <v>82.465210282039095</v>
      </c>
      <c r="AK1276">
        <v>84.485446700597194</v>
      </c>
      <c r="AL1276">
        <v>78.578650014720395</v>
      </c>
      <c r="AM1276">
        <v>94.838441645735202</v>
      </c>
      <c r="AN1276">
        <v>0.99999998645139299</v>
      </c>
    </row>
    <row r="1277" spans="1:40" x14ac:dyDescent="0.25">
      <c r="A1277" t="str">
        <f>"20190304155036303"</f>
        <v>20190304155036303</v>
      </c>
      <c r="B1277" t="str">
        <f>"1551685836298094"</f>
        <v>1551685836298094</v>
      </c>
      <c r="C1277" t="s">
        <v>40</v>
      </c>
      <c r="D1277">
        <v>5.4226679999999998</v>
      </c>
      <c r="E1277">
        <v>0.58254740000000005</v>
      </c>
      <c r="F1277" t="s">
        <v>43</v>
      </c>
      <c r="G1277">
        <v>-158.19499999999999</v>
      </c>
      <c r="H1277">
        <v>2.1960869999999999</v>
      </c>
      <c r="I1277">
        <v>356.02850000000001</v>
      </c>
      <c r="J1277">
        <v>-241.70599999999999</v>
      </c>
      <c r="K1277">
        <v>1.1105830000000001</v>
      </c>
      <c r="L1277">
        <v>367.43729999999999</v>
      </c>
      <c r="M1277">
        <v>0.99989039999999996</v>
      </c>
      <c r="N1277">
        <v>-1.4295449999999999E-2</v>
      </c>
      <c r="O1277">
        <v>-3.856431E-3</v>
      </c>
      <c r="P1277">
        <v>0.97980140000000004</v>
      </c>
      <c r="Q1277">
        <v>0.1836854</v>
      </c>
      <c r="R1277">
        <v>7.9051960000000004E-2</v>
      </c>
      <c r="S1277">
        <v>3.0883940000000001</v>
      </c>
      <c r="T1277">
        <v>4.0046690000000003E-2</v>
      </c>
      <c r="U1277">
        <v>-0.42089840000000001</v>
      </c>
      <c r="V1277">
        <v>-8.2816669999999995E-2</v>
      </c>
      <c r="W1277">
        <v>0.1976744</v>
      </c>
      <c r="X1277">
        <v>0.9767631</v>
      </c>
      <c r="Y1277">
        <v>0.13121579999999999</v>
      </c>
      <c r="Z1277">
        <v>-2.001227E-4</v>
      </c>
      <c r="AA1277">
        <v>0.99135379999999995</v>
      </c>
      <c r="AB1277">
        <v>30</v>
      </c>
      <c r="AC1277">
        <v>83.510999999999996</v>
      </c>
      <c r="AD1277">
        <v>1.08550399999999</v>
      </c>
      <c r="AE1277">
        <v>-11.4087999999999</v>
      </c>
      <c r="AF1277">
        <v>11.084789295222301</v>
      </c>
      <c r="AG1277">
        <v>1.08550399999999</v>
      </c>
      <c r="AH1277">
        <v>83.540524495809606</v>
      </c>
      <c r="AI1277">
        <v>89.262022674645905</v>
      </c>
      <c r="AJ1277">
        <v>82.441712866390603</v>
      </c>
      <c r="AK1277">
        <v>84.279713488409897</v>
      </c>
      <c r="AL1277">
        <v>78.599002435871</v>
      </c>
      <c r="AM1277">
        <v>94.846337915806004</v>
      </c>
      <c r="AN1277">
        <v>0.99999996138342795</v>
      </c>
    </row>
    <row r="1278" spans="1:40" x14ac:dyDescent="0.25">
      <c r="A1278" t="str">
        <f>"20190304155036317"</f>
        <v>20190304155036317</v>
      </c>
      <c r="B1278" t="str">
        <f>"1551685836307854"</f>
        <v>1551685836307854</v>
      </c>
      <c r="C1278" t="s">
        <v>40</v>
      </c>
      <c r="D1278">
        <v>5.3297480000000004</v>
      </c>
      <c r="E1278">
        <v>0.58273039999999998</v>
      </c>
      <c r="F1278" t="s">
        <v>43</v>
      </c>
      <c r="G1278">
        <v>-158.19499999999999</v>
      </c>
      <c r="H1278">
        <v>2.2312829999999999</v>
      </c>
      <c r="I1278">
        <v>356.00420000000003</v>
      </c>
      <c r="J1278">
        <v>-241.51990000000001</v>
      </c>
      <c r="K1278">
        <v>1.110576</v>
      </c>
      <c r="L1278">
        <v>367.4366</v>
      </c>
      <c r="M1278">
        <v>0.99989030000000001</v>
      </c>
      <c r="N1278">
        <v>-1.4293429999999999E-2</v>
      </c>
      <c r="O1278">
        <v>-3.8776420000000002E-3</v>
      </c>
      <c r="P1278">
        <v>0.97984800000000005</v>
      </c>
      <c r="Q1278">
        <v>0.18351419999999999</v>
      </c>
      <c r="R1278">
        <v>7.8870019999999999E-2</v>
      </c>
      <c r="S1278">
        <v>3.0881810000000001</v>
      </c>
      <c r="T1278">
        <v>4.1445969999999999E-2</v>
      </c>
      <c r="U1278">
        <v>-0.42279050000000001</v>
      </c>
      <c r="V1278">
        <v>-8.2652359999999994E-2</v>
      </c>
      <c r="W1278">
        <v>0.19750380000000001</v>
      </c>
      <c r="X1278">
        <v>0.9768116</v>
      </c>
      <c r="Y1278">
        <v>0.1317999</v>
      </c>
      <c r="Z1278">
        <v>-1.73029399999999E-4</v>
      </c>
      <c r="AA1278">
        <v>0.9912763</v>
      </c>
      <c r="AB1278">
        <v>30</v>
      </c>
      <c r="AC1278">
        <v>83.3249</v>
      </c>
      <c r="AD1278">
        <v>1.1207069999999999</v>
      </c>
      <c r="AE1278">
        <v>-11.4323999999999</v>
      </c>
      <c r="AF1278">
        <v>11.1072047323582</v>
      </c>
      <c r="AG1278">
        <v>1.1207069999999999</v>
      </c>
      <c r="AH1278">
        <v>83.353808751056505</v>
      </c>
      <c r="AI1278">
        <v>89.236442753448003</v>
      </c>
      <c r="AJ1278">
        <v>82.4098387522058</v>
      </c>
      <c r="AK1278">
        <v>84.098058327491003</v>
      </c>
      <c r="AL1278">
        <v>78.608974503972206</v>
      </c>
      <c r="AM1278">
        <v>94.836529328316502</v>
      </c>
      <c r="AN1278">
        <v>1.0000000327612799</v>
      </c>
    </row>
    <row r="1279" spans="1:40" x14ac:dyDescent="0.25">
      <c r="A1279" t="str">
        <f>"20190304155036333"</f>
        <v>20190304155036333</v>
      </c>
      <c r="B1279" t="str">
        <f>"1551685836327374"</f>
        <v>1551685836327374</v>
      </c>
      <c r="C1279" t="s">
        <v>40</v>
      </c>
      <c r="D1279">
        <v>5.3562479999999999</v>
      </c>
      <c r="E1279">
        <v>0.58309709999999904</v>
      </c>
      <c r="F1279" t="s">
        <v>43</v>
      </c>
      <c r="G1279">
        <v>-158.19499999999999</v>
      </c>
      <c r="H1279">
        <v>2.1737470000000001</v>
      </c>
      <c r="I1279">
        <v>355.97250000000003</v>
      </c>
      <c r="J1279">
        <v>-241.3049</v>
      </c>
      <c r="K1279">
        <v>1.110568</v>
      </c>
      <c r="L1279">
        <v>367.4357</v>
      </c>
      <c r="M1279">
        <v>0.99989039999999996</v>
      </c>
      <c r="N1279">
        <v>-1.4291119999999999E-2</v>
      </c>
      <c r="O1279">
        <v>-3.9096240000000004E-3</v>
      </c>
      <c r="P1279">
        <v>0.97986229999999996</v>
      </c>
      <c r="Q1279">
        <v>0.1834992</v>
      </c>
      <c r="R1279">
        <v>7.8729289999999993E-2</v>
      </c>
      <c r="S1279">
        <v>3.0885009999999999</v>
      </c>
      <c r="T1279">
        <v>3.9410470000000003E-2</v>
      </c>
      <c r="U1279">
        <v>-0.42492679999999999</v>
      </c>
      <c r="V1279">
        <v>-8.2538020000000004E-2</v>
      </c>
      <c r="W1279">
        <v>0.19748879999999999</v>
      </c>
      <c r="X1279">
        <v>0.97682429999999998</v>
      </c>
      <c r="Y1279">
        <v>0.13242770000000001</v>
      </c>
      <c r="Z1279">
        <v>-2.1509160000000001E-4</v>
      </c>
      <c r="AA1279">
        <v>0.99119259999999998</v>
      </c>
      <c r="AB1279">
        <v>30</v>
      </c>
      <c r="AC1279">
        <v>83.109899999999996</v>
      </c>
      <c r="AD1279">
        <v>1.0631790000000001</v>
      </c>
      <c r="AE1279">
        <v>-11.463199999999899</v>
      </c>
      <c r="AF1279">
        <v>11.1363623757079</v>
      </c>
      <c r="AG1279">
        <v>1.0631790000000001</v>
      </c>
      <c r="AH1279">
        <v>83.140734363921297</v>
      </c>
      <c r="AI1279">
        <v>89.273843047500904</v>
      </c>
      <c r="AJ1279">
        <v>82.370873698602793</v>
      </c>
      <c r="AK1279">
        <v>83.889991221368206</v>
      </c>
      <c r="AL1279">
        <v>78.609851199405895</v>
      </c>
      <c r="AM1279">
        <v>94.829807723860796</v>
      </c>
      <c r="AN1279">
        <v>1.0000000319707201</v>
      </c>
    </row>
    <row r="1280" spans="1:40" x14ac:dyDescent="0.25">
      <c r="A1280" t="str">
        <f>"20190304155036346"</f>
        <v>20190304155036346</v>
      </c>
      <c r="B1280" t="str">
        <f>"1551685836337134"</f>
        <v>1551685836337134</v>
      </c>
      <c r="C1280" t="s">
        <v>40</v>
      </c>
      <c r="D1280">
        <v>7.5649449999999998</v>
      </c>
      <c r="E1280">
        <v>0.58316759999999901</v>
      </c>
      <c r="F1280" t="s">
        <v>43</v>
      </c>
      <c r="G1280">
        <v>-158.19499999999999</v>
      </c>
      <c r="H1280">
        <v>2.1386280000000002</v>
      </c>
      <c r="I1280">
        <v>355.9051</v>
      </c>
      <c r="J1280">
        <v>-241.10919999999999</v>
      </c>
      <c r="K1280">
        <v>1.110555</v>
      </c>
      <c r="L1280">
        <v>367.435</v>
      </c>
      <c r="M1280">
        <v>0.99989019999999995</v>
      </c>
      <c r="N1280">
        <v>-1.4289039999999999E-2</v>
      </c>
      <c r="O1280">
        <v>-3.9459070000000002E-3</v>
      </c>
      <c r="P1280">
        <v>0.97986379999999995</v>
      </c>
      <c r="Q1280">
        <v>0.18355679999999999</v>
      </c>
      <c r="R1280">
        <v>7.857509E-2</v>
      </c>
      <c r="S1280">
        <v>3.0889280000000001</v>
      </c>
      <c r="T1280">
        <v>3.8212900000000001E-2</v>
      </c>
      <c r="U1280">
        <v>-0.4285583</v>
      </c>
      <c r="V1280">
        <v>-8.2414550000000003E-2</v>
      </c>
      <c r="W1280">
        <v>0.19754579999999999</v>
      </c>
      <c r="X1280">
        <v>0.9768232</v>
      </c>
      <c r="Y1280">
        <v>0.13351689999999999</v>
      </c>
      <c r="Z1280">
        <v>-2.4130089999999999E-4</v>
      </c>
      <c r="AA1280">
        <v>0.99104650000000005</v>
      </c>
      <c r="AB1280">
        <v>30</v>
      </c>
      <c r="AC1280">
        <v>82.914199999999994</v>
      </c>
      <c r="AD1280">
        <v>1.02807299999999</v>
      </c>
      <c r="AE1280">
        <v>-11.5298999999999</v>
      </c>
      <c r="AF1280">
        <v>11.200915744559</v>
      </c>
      <c r="AG1280">
        <v>1.02807299999999</v>
      </c>
      <c r="AH1280">
        <v>82.946544545782501</v>
      </c>
      <c r="AI1280">
        <v>89.296275946540902</v>
      </c>
      <c r="AJ1280">
        <v>82.309427361050496</v>
      </c>
      <c r="AK1280">
        <v>83.705714856845503</v>
      </c>
      <c r="AL1280">
        <v>78.606519715010094</v>
      </c>
      <c r="AM1280">
        <v>94.822622240615999</v>
      </c>
      <c r="AN1280">
        <v>1.0000000326037899</v>
      </c>
    </row>
    <row r="1281" spans="1:40" x14ac:dyDescent="0.25">
      <c r="A1281" t="str">
        <f>"20190304155036366"</f>
        <v>20190304155036366</v>
      </c>
      <c r="B1281" t="str">
        <f>"1551685836357629"</f>
        <v>1551685836357629</v>
      </c>
      <c r="C1281" t="s">
        <v>40</v>
      </c>
      <c r="D1281">
        <v>4.7721970000000002</v>
      </c>
      <c r="E1281">
        <v>0.58358929999999998</v>
      </c>
      <c r="F1281" t="s">
        <v>43</v>
      </c>
      <c r="G1281">
        <v>-158.19499999999999</v>
      </c>
      <c r="H1281">
        <v>2.2121080000000002</v>
      </c>
      <c r="I1281">
        <v>355.91140000000001</v>
      </c>
      <c r="J1281">
        <v>-240.85319999999999</v>
      </c>
      <c r="K1281">
        <v>1.1105389999999999</v>
      </c>
      <c r="L1281">
        <v>367.43389999999999</v>
      </c>
      <c r="M1281">
        <v>0.99988999999999995</v>
      </c>
      <c r="N1281">
        <v>-1.428656E-2</v>
      </c>
      <c r="O1281">
        <v>-4.0109849999999999E-3</v>
      </c>
      <c r="P1281">
        <v>0.97985699999999998</v>
      </c>
      <c r="Q1281">
        <v>0.1837232</v>
      </c>
      <c r="R1281">
        <v>7.8270380000000001E-2</v>
      </c>
      <c r="S1281">
        <v>3.0883790000000002</v>
      </c>
      <c r="T1281">
        <v>4.1033739999999999E-2</v>
      </c>
      <c r="U1281">
        <v>-0.42922969999999999</v>
      </c>
      <c r="V1281">
        <v>-8.2166729999999993E-2</v>
      </c>
      <c r="W1281">
        <v>0.19771269999999999</v>
      </c>
      <c r="X1281">
        <v>0.97681030000000002</v>
      </c>
      <c r="Y1281">
        <v>0.13368720000000001</v>
      </c>
      <c r="Z1281">
        <v>-1.858083E-4</v>
      </c>
      <c r="AA1281">
        <v>0.99102349999999995</v>
      </c>
      <c r="AB1281">
        <v>30</v>
      </c>
      <c r="AC1281">
        <v>82.658199999999994</v>
      </c>
      <c r="AD1281">
        <v>1.101569</v>
      </c>
      <c r="AE1281">
        <v>-11.5224999999999</v>
      </c>
      <c r="AF1281">
        <v>11.1888833820576</v>
      </c>
      <c r="AG1281">
        <v>1.101569</v>
      </c>
      <c r="AH1281">
        <v>82.689350267727093</v>
      </c>
      <c r="AI1281">
        <v>89.243655500807506</v>
      </c>
      <c r="AJ1281">
        <v>82.293981655086796</v>
      </c>
      <c r="AK1281">
        <v>83.450184021953504</v>
      </c>
      <c r="AL1281">
        <v>78.5967645347922</v>
      </c>
      <c r="AM1281">
        <v>94.808251937742796</v>
      </c>
      <c r="AN1281">
        <v>1.00000002272313</v>
      </c>
    </row>
    <row r="1282" spans="1:40" x14ac:dyDescent="0.25">
      <c r="A1282" t="str">
        <f>"20190304155036378"</f>
        <v>20190304155036378</v>
      </c>
      <c r="B1282" t="str">
        <f>"1551685836367102"</f>
        <v>1551685836367102</v>
      </c>
      <c r="C1282" t="s">
        <v>40</v>
      </c>
      <c r="D1282">
        <v>6.2305020000000004</v>
      </c>
      <c r="E1282">
        <v>0.58364759999999904</v>
      </c>
      <c r="F1282" t="s">
        <v>43</v>
      </c>
      <c r="G1282">
        <v>-158.19499999999999</v>
      </c>
      <c r="H1282">
        <v>2.2475879999999999</v>
      </c>
      <c r="I1282">
        <v>355.81849999999997</v>
      </c>
      <c r="J1282">
        <v>-240.68690000000001</v>
      </c>
      <c r="K1282">
        <v>1.1105309999999999</v>
      </c>
      <c r="L1282">
        <v>367.4332</v>
      </c>
      <c r="M1282">
        <v>0.9998899</v>
      </c>
      <c r="N1282">
        <v>-1.428482E-2</v>
      </c>
      <c r="O1282">
        <v>-4.0639509999999997E-3</v>
      </c>
      <c r="P1282">
        <v>0.97981110000000005</v>
      </c>
      <c r="Q1282">
        <v>0.18405340000000001</v>
      </c>
      <c r="R1282">
        <v>7.8069659999999999E-2</v>
      </c>
      <c r="S1282">
        <v>3.0883639999999999</v>
      </c>
      <c r="T1282">
        <v>4.2486910000000003E-2</v>
      </c>
      <c r="U1282">
        <v>-0.4339905</v>
      </c>
      <c r="V1282">
        <v>-8.2013039999999995E-2</v>
      </c>
      <c r="W1282">
        <v>0.19804269999999999</v>
      </c>
      <c r="X1282">
        <v>0.97675630000000002</v>
      </c>
      <c r="Y1282">
        <v>0.13513339999999999</v>
      </c>
      <c r="Z1282">
        <v>-1.5840820000000001E-4</v>
      </c>
      <c r="AA1282">
        <v>0.99082740000000002</v>
      </c>
      <c r="AB1282">
        <v>30</v>
      </c>
      <c r="AC1282">
        <v>82.491900000000001</v>
      </c>
      <c r="AD1282">
        <v>1.137057</v>
      </c>
      <c r="AE1282">
        <v>-11.614699999999999</v>
      </c>
      <c r="AF1282">
        <v>11.277225917816301</v>
      </c>
      <c r="AG1282">
        <v>1.137057</v>
      </c>
      <c r="AH1282">
        <v>82.523050855405401</v>
      </c>
      <c r="AI1282">
        <v>89.2178593608336</v>
      </c>
      <c r="AJ1282">
        <v>82.218419296989794</v>
      </c>
      <c r="AK1282">
        <v>83.297794961850897</v>
      </c>
      <c r="AL1282">
        <v>78.577474790853401</v>
      </c>
      <c r="AM1282">
        <v>94.799564408839402</v>
      </c>
      <c r="AN1282">
        <v>0.99999995967151001</v>
      </c>
    </row>
    <row r="1283" spans="1:40" x14ac:dyDescent="0.25">
      <c r="A1283" t="str">
        <f>"20190304155036390"</f>
        <v>20190304155036390</v>
      </c>
      <c r="B1283" t="str">
        <f>"1551685836387598"</f>
        <v>1551685836387598</v>
      </c>
      <c r="C1283" t="s">
        <v>40</v>
      </c>
      <c r="D1283">
        <v>4.4130039999999999</v>
      </c>
      <c r="E1283">
        <v>0.58389159999999996</v>
      </c>
      <c r="F1283" t="s">
        <v>43</v>
      </c>
      <c r="G1283">
        <v>-158.19499999999999</v>
      </c>
      <c r="H1283">
        <v>2.3148629999999999</v>
      </c>
      <c r="I1283">
        <v>355.81599999999997</v>
      </c>
      <c r="J1283">
        <v>-240.5318</v>
      </c>
      <c r="K1283">
        <v>1.110522</v>
      </c>
      <c r="L1283">
        <v>367.4325</v>
      </c>
      <c r="M1283">
        <v>0.99988960000000005</v>
      </c>
      <c r="N1283">
        <v>-1.428316E-2</v>
      </c>
      <c r="O1283">
        <v>-4.1169049999999997E-3</v>
      </c>
      <c r="P1283">
        <v>0.97977800000000004</v>
      </c>
      <c r="Q1283">
        <v>0.1842406</v>
      </c>
      <c r="R1283">
        <v>7.8041369999999999E-2</v>
      </c>
      <c r="S1283">
        <v>3.0879970000000001</v>
      </c>
      <c r="T1283">
        <v>4.5086149999999998E-2</v>
      </c>
      <c r="U1283">
        <v>-0.43487550000000003</v>
      </c>
      <c r="V1283">
        <v>-8.2031779999999999E-2</v>
      </c>
      <c r="W1283">
        <v>0.19822919999999999</v>
      </c>
      <c r="X1283">
        <v>0.9767169</v>
      </c>
      <c r="Y1283">
        <v>0.13537489999999999</v>
      </c>
      <c r="Z1283">
        <v>-1.065448E-4</v>
      </c>
      <c r="AA1283">
        <v>0.99079439999999996</v>
      </c>
      <c r="AB1283">
        <v>30</v>
      </c>
      <c r="AC1283">
        <v>82.336799999999997</v>
      </c>
      <c r="AD1283">
        <v>1.2043410000000001</v>
      </c>
      <c r="AE1283">
        <v>-11.6165</v>
      </c>
      <c r="AF1283">
        <v>11.275028993542101</v>
      </c>
      <c r="AG1283">
        <v>1.2043410000000001</v>
      </c>
      <c r="AH1283">
        <v>82.366652631584898</v>
      </c>
      <c r="AI1283">
        <v>89.170036542695499</v>
      </c>
      <c r="AJ1283">
        <v>82.205325233975998</v>
      </c>
      <c r="AK1283">
        <v>83.1435035452661</v>
      </c>
      <c r="AL1283">
        <v>78.566573064374595</v>
      </c>
      <c r="AM1283">
        <v>94.800848735097603</v>
      </c>
      <c r="AN1283">
        <v>0.99999996570410798</v>
      </c>
    </row>
    <row r="1284" spans="1:40" x14ac:dyDescent="0.25">
      <c r="A1284" t="str">
        <f>"20190304155036402"</f>
        <v>20190304155036402</v>
      </c>
      <c r="B1284" t="str">
        <f>"1551685836397359"</f>
        <v>1551685836397359</v>
      </c>
      <c r="C1284" t="s">
        <v>40</v>
      </c>
      <c r="D1284">
        <v>5.6507149999999999</v>
      </c>
      <c r="E1284">
        <v>0.58392040000000001</v>
      </c>
      <c r="F1284" t="s">
        <v>43</v>
      </c>
      <c r="G1284">
        <v>-158.19499999999999</v>
      </c>
      <c r="H1284">
        <v>2.3256199999999998</v>
      </c>
      <c r="I1284">
        <v>355.79059999999998</v>
      </c>
      <c r="J1284">
        <v>-240.36609999999999</v>
      </c>
      <c r="K1284">
        <v>1.110514</v>
      </c>
      <c r="L1284">
        <v>367.43180000000001</v>
      </c>
      <c r="M1284">
        <v>0.99988940000000004</v>
      </c>
      <c r="N1284">
        <v>-1.428128E-2</v>
      </c>
      <c r="O1284">
        <v>-4.1820210000000002E-3</v>
      </c>
      <c r="P1284">
        <v>0.97975659999999998</v>
      </c>
      <c r="Q1284">
        <v>0.1844488</v>
      </c>
      <c r="R1284">
        <v>7.7819029999999997E-2</v>
      </c>
      <c r="S1284">
        <v>3.0881349999999999</v>
      </c>
      <c r="T1284">
        <v>4.5576810000000002E-2</v>
      </c>
      <c r="U1284">
        <v>-0.43664550000000002</v>
      </c>
      <c r="V1284">
        <v>-8.1868979999999994E-2</v>
      </c>
      <c r="W1284">
        <v>0.19843669999999999</v>
      </c>
      <c r="X1284">
        <v>0.97668840000000001</v>
      </c>
      <c r="Y1284">
        <v>0.13586089999999901</v>
      </c>
      <c r="Z1284" s="1">
        <v>-9.8274089999999994E-5</v>
      </c>
      <c r="AA1284">
        <v>0.99072789999999999</v>
      </c>
      <c r="AB1284">
        <v>30</v>
      </c>
      <c r="AC1284">
        <v>82.171099999999996</v>
      </c>
      <c r="AD1284">
        <v>1.215106</v>
      </c>
      <c r="AE1284">
        <v>-11.6412</v>
      </c>
      <c r="AF1284">
        <v>11.2950006231489</v>
      </c>
      <c r="AG1284">
        <v>1.215106</v>
      </c>
      <c r="AH1284">
        <v>82.201448634748004</v>
      </c>
      <c r="AI1284">
        <v>89.160994790993996</v>
      </c>
      <c r="AJ1284">
        <v>82.176190014993495</v>
      </c>
      <c r="AK1284">
        <v>82.982719160794502</v>
      </c>
      <c r="AL1284">
        <v>78.554442954736899</v>
      </c>
      <c r="AM1284">
        <v>94.791504549829895</v>
      </c>
      <c r="AN1284">
        <v>0.99999994224384303</v>
      </c>
    </row>
    <row r="1285" spans="1:40" x14ac:dyDescent="0.25">
      <c r="A1285" t="str">
        <f>"20190304155036413"</f>
        <v>20190304155036413</v>
      </c>
      <c r="B1285" t="str">
        <f>"1551685836407119"</f>
        <v>1551685836407119</v>
      </c>
      <c r="C1285" t="s">
        <v>40</v>
      </c>
      <c r="D1285">
        <v>5.367388</v>
      </c>
      <c r="E1285">
        <v>0.58406409999999997</v>
      </c>
      <c r="F1285" t="s">
        <v>43</v>
      </c>
      <c r="G1285">
        <v>-158.19499999999999</v>
      </c>
      <c r="H1285">
        <v>2.3859750000000002</v>
      </c>
      <c r="I1285">
        <v>355.7953</v>
      </c>
      <c r="J1285">
        <v>-240.2165</v>
      </c>
      <c r="K1285">
        <v>1.110511</v>
      </c>
      <c r="L1285">
        <v>367.43110000000001</v>
      </c>
      <c r="M1285">
        <v>0.99988909999999998</v>
      </c>
      <c r="N1285">
        <v>-1.427957E-2</v>
      </c>
      <c r="O1285">
        <v>-4.2452080000000003E-3</v>
      </c>
      <c r="P1285">
        <v>0.97976909999999895</v>
      </c>
      <c r="Q1285">
        <v>0.1844413</v>
      </c>
      <c r="R1285">
        <v>7.768071E-2</v>
      </c>
      <c r="S1285">
        <v>3.0876769999999998</v>
      </c>
      <c r="T1285">
        <v>4.7930239999999999E-2</v>
      </c>
      <c r="U1285">
        <v>-0.43725589999999998</v>
      </c>
      <c r="V1285">
        <v>-8.1789000000000001E-2</v>
      </c>
      <c r="W1285">
        <v>0.1984292</v>
      </c>
      <c r="X1285">
        <v>0.97669669999999997</v>
      </c>
      <c r="Y1285">
        <v>0.13600999999999999</v>
      </c>
      <c r="Z1285" s="1">
        <v>-5.1493989999999998E-5</v>
      </c>
      <c r="AA1285">
        <v>0.99070749999999996</v>
      </c>
      <c r="AB1285">
        <v>30</v>
      </c>
      <c r="AC1285">
        <v>82.021500000000003</v>
      </c>
      <c r="AD1285">
        <v>1.2754639999999999</v>
      </c>
      <c r="AE1285">
        <v>-11.6358</v>
      </c>
      <c r="AF1285">
        <v>11.284786337954801</v>
      </c>
      <c r="AG1285">
        <v>1.2754639999999999</v>
      </c>
      <c r="AH1285">
        <v>82.050712616481306</v>
      </c>
      <c r="AI1285">
        <v>89.1177228550915</v>
      </c>
      <c r="AJ1285">
        <v>82.168995395527404</v>
      </c>
      <c r="AK1285">
        <v>82.832920098116801</v>
      </c>
      <c r="AL1285">
        <v>78.554882245622096</v>
      </c>
      <c r="AM1285">
        <v>94.786804873010297</v>
      </c>
      <c r="AN1285">
        <v>1.0000000158622599</v>
      </c>
    </row>
    <row r="1286" spans="1:40" x14ac:dyDescent="0.25">
      <c r="A1286" t="str">
        <f>"20190304155036425"</f>
        <v>20190304155036425</v>
      </c>
      <c r="B1286" t="str">
        <f>"1551685836417855"</f>
        <v>1551685836417855</v>
      </c>
      <c r="C1286" t="s">
        <v>40</v>
      </c>
      <c r="D1286">
        <v>5.3321839999999998</v>
      </c>
      <c r="E1286">
        <v>0.58419699999999997</v>
      </c>
      <c r="F1286" t="s">
        <v>43</v>
      </c>
      <c r="G1286">
        <v>-158.19499999999999</v>
      </c>
      <c r="H1286">
        <v>2.3625050000000001</v>
      </c>
      <c r="I1286">
        <v>355.7792</v>
      </c>
      <c r="J1286">
        <v>-240.0582</v>
      </c>
      <c r="K1286">
        <v>1.110503</v>
      </c>
      <c r="L1286">
        <v>367.43040000000002</v>
      </c>
      <c r="M1286">
        <v>0.99988869999999996</v>
      </c>
      <c r="N1286">
        <v>-1.427776E-2</v>
      </c>
      <c r="O1286">
        <v>-4.3159039999999997E-3</v>
      </c>
      <c r="P1286">
        <v>0.97970460000000004</v>
      </c>
      <c r="Q1286">
        <v>0.1848091</v>
      </c>
      <c r="R1286">
        <v>7.7616160000000003E-2</v>
      </c>
      <c r="S1286">
        <v>3.08786</v>
      </c>
      <c r="T1286">
        <v>4.7137020000000002E-2</v>
      </c>
      <c r="U1286">
        <v>-0.43865969999999999</v>
      </c>
      <c r="V1286">
        <v>-8.1788860000000005E-2</v>
      </c>
      <c r="W1286">
        <v>0.1987961</v>
      </c>
      <c r="X1286">
        <v>0.97662210000000005</v>
      </c>
      <c r="Y1286">
        <v>0.13637360000000001</v>
      </c>
      <c r="Z1286" s="1">
        <v>-6.9698779999999996E-5</v>
      </c>
      <c r="AA1286">
        <v>0.99065749999999997</v>
      </c>
      <c r="AB1286">
        <v>30</v>
      </c>
      <c r="AC1286">
        <v>81.863200000000006</v>
      </c>
      <c r="AD1286">
        <v>1.2520020000000001</v>
      </c>
      <c r="AE1286">
        <v>-11.651199999999999</v>
      </c>
      <c r="AF1286">
        <v>11.2951522183001</v>
      </c>
      <c r="AG1286">
        <v>1.2520020000000001</v>
      </c>
      <c r="AH1286">
        <v>81.893953206502403</v>
      </c>
      <c r="AI1286">
        <v>89.132337932107106</v>
      </c>
      <c r="AJ1286">
        <v>82.147074930959405</v>
      </c>
      <c r="AK1286">
        <v>82.678700669709301</v>
      </c>
      <c r="AL1286">
        <v>78.533433124780501</v>
      </c>
      <c r="AM1286">
        <v>94.787160661170503</v>
      </c>
      <c r="AN1286">
        <v>1.0000000166018499</v>
      </c>
    </row>
    <row r="1287" spans="1:40" x14ac:dyDescent="0.25">
      <c r="A1287" t="str">
        <f>"20190304155036438"</f>
        <v>20190304155036438</v>
      </c>
      <c r="B1287" t="str">
        <f>"1551685836427614"</f>
        <v>1551685836427614</v>
      </c>
      <c r="C1287" t="s">
        <v>40</v>
      </c>
      <c r="D1287">
        <v>5.3661699999999897</v>
      </c>
      <c r="E1287">
        <v>0.58434489999999994</v>
      </c>
      <c r="F1287" t="s">
        <v>43</v>
      </c>
      <c r="G1287">
        <v>-158.19499999999999</v>
      </c>
      <c r="H1287">
        <v>2.3796240000000002</v>
      </c>
      <c r="I1287">
        <v>355.76740000000001</v>
      </c>
      <c r="J1287">
        <v>-239.89189999999999</v>
      </c>
      <c r="K1287">
        <v>1.110492</v>
      </c>
      <c r="L1287">
        <v>367.42959999999999</v>
      </c>
      <c r="M1287">
        <v>0.99988849999999996</v>
      </c>
      <c r="N1287">
        <v>-1.427586E-2</v>
      </c>
      <c r="O1287">
        <v>-4.3964779999999997E-3</v>
      </c>
      <c r="P1287">
        <v>0.97967630000000006</v>
      </c>
      <c r="Q1287">
        <v>0.184999</v>
      </c>
      <c r="R1287">
        <v>7.7524399999999993E-2</v>
      </c>
      <c r="S1287">
        <v>3.0879819999999998</v>
      </c>
      <c r="T1287">
        <v>4.7876120000000001E-2</v>
      </c>
      <c r="U1287">
        <v>-0.43994139999999998</v>
      </c>
      <c r="V1287">
        <v>-8.1773090000000007E-2</v>
      </c>
      <c r="W1287">
        <v>0.19898489999999999</v>
      </c>
      <c r="X1287">
        <v>0.97658500000000004</v>
      </c>
      <c r="Y1287">
        <v>0.13669110000000001</v>
      </c>
      <c r="Z1287" s="1">
        <v>-5.6661430000000001E-5</v>
      </c>
      <c r="AA1287">
        <v>0.99061370000000004</v>
      </c>
      <c r="AB1287">
        <v>30</v>
      </c>
      <c r="AC1287">
        <v>81.696899999999999</v>
      </c>
      <c r="AD1287">
        <v>1.2691319999999999</v>
      </c>
      <c r="AE1287">
        <v>-11.662199999999901</v>
      </c>
      <c r="AF1287">
        <v>11.30019950164</v>
      </c>
      <c r="AG1287">
        <v>1.2691319999999999</v>
      </c>
      <c r="AH1287">
        <v>81.728058952004403</v>
      </c>
      <c r="AI1287">
        <v>89.118724139763899</v>
      </c>
      <c r="AJ1287">
        <v>82.127862214034195</v>
      </c>
      <c r="AK1287">
        <v>82.515336906981105</v>
      </c>
      <c r="AL1287">
        <v>78.522395497871301</v>
      </c>
      <c r="AM1287">
        <v>94.786422902541403</v>
      </c>
      <c r="AN1287">
        <v>1.00000004545057</v>
      </c>
    </row>
    <row r="1288" spans="1:40" x14ac:dyDescent="0.25">
      <c r="A1288" t="str">
        <f>"20190304155036456"</f>
        <v>20190304155036456</v>
      </c>
      <c r="B1288" t="str">
        <f>"1551685836447134"</f>
        <v>1551685836447134</v>
      </c>
      <c r="C1288" t="s">
        <v>40</v>
      </c>
      <c r="D1288">
        <v>5.3466360000000002</v>
      </c>
      <c r="E1288">
        <v>0.58460440000000002</v>
      </c>
      <c r="F1288" t="s">
        <v>43</v>
      </c>
      <c r="G1288">
        <v>-158.19499999999999</v>
      </c>
      <c r="H1288">
        <v>2.3768280000000002</v>
      </c>
      <c r="I1288">
        <v>355.74020000000002</v>
      </c>
      <c r="J1288">
        <v>-239.64</v>
      </c>
      <c r="K1288">
        <v>1.110484</v>
      </c>
      <c r="L1288">
        <v>367.42829999999998</v>
      </c>
      <c r="M1288">
        <v>0.99988809999999995</v>
      </c>
      <c r="N1288">
        <v>-1.427295E-2</v>
      </c>
      <c r="O1288">
        <v>-4.5248839999999999E-3</v>
      </c>
      <c r="P1288">
        <v>0.97968639999999996</v>
      </c>
      <c r="Q1288">
        <v>0.1850589</v>
      </c>
      <c r="R1288">
        <v>7.7254310000000007E-2</v>
      </c>
      <c r="S1288">
        <v>3.0881810000000001</v>
      </c>
      <c r="T1288">
        <v>4.787135E-2</v>
      </c>
      <c r="U1288">
        <v>-0.44186399999999998</v>
      </c>
      <c r="V1288">
        <v>-8.1624000000000002E-2</v>
      </c>
      <c r="W1288">
        <v>0.19904379999999999</v>
      </c>
      <c r="X1288">
        <v>0.97658540000000005</v>
      </c>
      <c r="Y1288">
        <v>0.13715949999999999</v>
      </c>
      <c r="Z1288" s="1">
        <v>-6.024446E-5</v>
      </c>
      <c r="AA1288">
        <v>0.99054900000000001</v>
      </c>
      <c r="AB1288">
        <v>30</v>
      </c>
      <c r="AC1288">
        <v>81.444999999999993</v>
      </c>
      <c r="AD1288">
        <v>1.2663439999999899</v>
      </c>
      <c r="AE1288">
        <v>-11.688099999999899</v>
      </c>
      <c r="AF1288">
        <v>11.316733011095399</v>
      </c>
      <c r="AG1288">
        <v>1.2663439999999899</v>
      </c>
      <c r="AH1288">
        <v>81.477758594205895</v>
      </c>
      <c r="AI1288">
        <v>89.118034149408402</v>
      </c>
      <c r="AJ1288">
        <v>82.092576756167801</v>
      </c>
      <c r="AK1288">
        <v>82.2696615934844</v>
      </c>
      <c r="AL1288">
        <v>78.518951103057901</v>
      </c>
      <c r="AM1288">
        <v>94.777734706210197</v>
      </c>
      <c r="AN1288">
        <v>0.99999997759379899</v>
      </c>
    </row>
    <row r="1289" spans="1:40" x14ac:dyDescent="0.25">
      <c r="A1289" t="str">
        <f>"20190304155036478"</f>
        <v>20190304155036478</v>
      </c>
      <c r="B1289" t="str">
        <f>"1551685836467630"</f>
        <v>1551685836467630</v>
      </c>
      <c r="C1289" t="s">
        <v>40</v>
      </c>
      <c r="D1289">
        <v>5.5671439999999999</v>
      </c>
      <c r="E1289">
        <v>0.58455000000000001</v>
      </c>
      <c r="F1289" t="s">
        <v>43</v>
      </c>
      <c r="G1289">
        <v>-158.19499999999999</v>
      </c>
      <c r="H1289">
        <v>2.3922310000000002</v>
      </c>
      <c r="I1289">
        <v>355.70139999999998</v>
      </c>
      <c r="J1289">
        <v>-239.3451</v>
      </c>
      <c r="K1289">
        <v>1.1104810000000001</v>
      </c>
      <c r="L1289">
        <v>367.42680000000001</v>
      </c>
      <c r="M1289">
        <v>0.99988719999999998</v>
      </c>
      <c r="N1289">
        <v>-1.4269560000000001E-2</v>
      </c>
      <c r="O1289">
        <v>-4.6834290000000002E-3</v>
      </c>
      <c r="P1289">
        <v>0.97971710000000001</v>
      </c>
      <c r="Q1289">
        <v>0.18496670000000001</v>
      </c>
      <c r="R1289">
        <v>7.7083570000000004E-2</v>
      </c>
      <c r="S1289">
        <v>3.0880890000000001</v>
      </c>
      <c r="T1289">
        <v>4.8602340000000001E-2</v>
      </c>
      <c r="U1289">
        <v>-0.44464110000000001</v>
      </c>
      <c r="V1289">
        <v>-8.1605109999999995E-2</v>
      </c>
      <c r="W1289">
        <v>0.1989503</v>
      </c>
      <c r="X1289">
        <v>0.97660610000000003</v>
      </c>
      <c r="Y1289">
        <v>0.1378791</v>
      </c>
      <c r="Z1289" s="1">
        <v>-4.9266499999999898E-5</v>
      </c>
      <c r="AA1289">
        <v>0.99044909999999997</v>
      </c>
      <c r="AB1289">
        <v>30</v>
      </c>
      <c r="AC1289">
        <v>81.150099999999995</v>
      </c>
      <c r="AD1289">
        <v>1.2817499999999999</v>
      </c>
      <c r="AE1289">
        <v>-11.7254</v>
      </c>
      <c r="AF1289">
        <v>11.342400152602</v>
      </c>
      <c r="AG1289">
        <v>1.2817499999999999</v>
      </c>
      <c r="AH1289">
        <v>81.184291164390004</v>
      </c>
      <c r="AI1289">
        <v>89.104179857805093</v>
      </c>
      <c r="AJ1289">
        <v>82.0465877463417</v>
      </c>
      <c r="AK1289">
        <v>81.982815614912198</v>
      </c>
      <c r="AL1289">
        <v>78.524418374173607</v>
      </c>
      <c r="AM1289">
        <v>94.776533349559898</v>
      </c>
      <c r="AN1289">
        <v>1.0000000452027</v>
      </c>
    </row>
    <row r="1290" spans="1:40" x14ac:dyDescent="0.25">
      <c r="A1290" t="str">
        <f>"20190304155036491"</f>
        <v>20190304155036491</v>
      </c>
      <c r="B1290" t="str">
        <f>"1551685836487150"</f>
        <v>1551685836487150</v>
      </c>
      <c r="C1290" t="s">
        <v>40</v>
      </c>
      <c r="D1290">
        <v>5.4359120000000001</v>
      </c>
      <c r="E1290">
        <v>0.54783110000000002</v>
      </c>
      <c r="F1290" t="s">
        <v>43</v>
      </c>
      <c r="G1290">
        <v>-158.19499999999999</v>
      </c>
      <c r="H1290">
        <v>2.368045</v>
      </c>
      <c r="I1290">
        <v>355.73450000000003</v>
      </c>
      <c r="J1290">
        <v>-239.18039999999999</v>
      </c>
      <c r="K1290">
        <v>1.1104780000000001</v>
      </c>
      <c r="L1290">
        <v>367.42599999999999</v>
      </c>
      <c r="M1290">
        <v>0.99988690000000002</v>
      </c>
      <c r="N1290">
        <v>-1.4267699999999999E-2</v>
      </c>
      <c r="O1290">
        <v>-4.774553E-3</v>
      </c>
      <c r="P1290">
        <v>0.97976459999999999</v>
      </c>
      <c r="Q1290">
        <v>0.18481739999999999</v>
      </c>
      <c r="R1290">
        <v>7.683885E-2</v>
      </c>
      <c r="S1290">
        <v>3.088104</v>
      </c>
      <c r="T1290">
        <v>4.7858949999999997E-2</v>
      </c>
      <c r="U1290">
        <v>-0.44494630000000002</v>
      </c>
      <c r="V1290">
        <v>-8.1447889999999995E-2</v>
      </c>
      <c r="W1290">
        <v>0.1988008</v>
      </c>
      <c r="X1290">
        <v>0.97664960000000001</v>
      </c>
      <c r="Y1290">
        <v>0.13788429999999999</v>
      </c>
      <c r="Z1290" s="1">
        <v>-6.7227749999999997E-5</v>
      </c>
      <c r="AA1290">
        <v>0.99044840000000001</v>
      </c>
      <c r="AB1290">
        <v>30</v>
      </c>
      <c r="AC1290">
        <v>80.985399999999998</v>
      </c>
      <c r="AD1290">
        <v>1.2575670000000001</v>
      </c>
      <c r="AE1290">
        <v>-11.6914999999999</v>
      </c>
      <c r="AF1290">
        <v>11.3019887022442</v>
      </c>
      <c r="AG1290">
        <v>1.2575670000000001</v>
      </c>
      <c r="AH1290">
        <v>81.021166417010903</v>
      </c>
      <c r="AI1290">
        <v>89.119283244740004</v>
      </c>
      <c r="AJ1290">
        <v>82.058810590276096</v>
      </c>
      <c r="AK1290">
        <v>81.815315381401007</v>
      </c>
      <c r="AL1290">
        <v>78.533157913473801</v>
      </c>
      <c r="AM1290">
        <v>94.767161999852902</v>
      </c>
      <c r="AN1290">
        <v>0.99999997902312499</v>
      </c>
    </row>
    <row r="1291" spans="1:40" x14ac:dyDescent="0.25">
      <c r="A1291" t="str">
        <f>"20190304155036511"</f>
        <v>20190304155036511</v>
      </c>
      <c r="B1291" t="str">
        <f>"1551685836507647"</f>
        <v>1551685836507647</v>
      </c>
      <c r="C1291" t="s">
        <v>40</v>
      </c>
      <c r="D1291">
        <v>5.4232760000000004</v>
      </c>
      <c r="E1291">
        <v>0.54558779999999996</v>
      </c>
      <c r="F1291" t="s">
        <v>50</v>
      </c>
      <c r="G1291">
        <v>-201.22020000000001</v>
      </c>
      <c r="H1291" s="1">
        <v>-1.8055900000000001E-6</v>
      </c>
      <c r="I1291">
        <v>365.52440000000001</v>
      </c>
      <c r="J1291">
        <v>-238.89709999999999</v>
      </c>
      <c r="K1291">
        <v>1.1104719999999999</v>
      </c>
      <c r="L1291">
        <v>367.42439999999999</v>
      </c>
      <c r="M1291">
        <v>0.99988600000000005</v>
      </c>
      <c r="N1291">
        <v>-1.4264499999999999E-2</v>
      </c>
      <c r="O1291">
        <v>-4.9336299999999996E-3</v>
      </c>
      <c r="P1291">
        <v>0.97980719999999999</v>
      </c>
      <c r="Q1291">
        <v>0.18459429999999999</v>
      </c>
      <c r="R1291">
        <v>7.6830109999999993E-2</v>
      </c>
      <c r="S1291">
        <v>3.0911710000000001</v>
      </c>
      <c r="T1291">
        <v>-9.0428469999999997E-2</v>
      </c>
      <c r="U1291">
        <v>-0.15484619999999999</v>
      </c>
      <c r="V1291">
        <v>-8.1593250000000006E-2</v>
      </c>
      <c r="W1291">
        <v>0.19857549999999999</v>
      </c>
      <c r="X1291">
        <v>0.97668330000000003</v>
      </c>
      <c r="Y1291">
        <v>4.5073670000000003E-2</v>
      </c>
      <c r="Z1291">
        <v>-9.0665950000000004E-4</v>
      </c>
      <c r="AA1291">
        <v>0.99898330000000002</v>
      </c>
      <c r="AB1291">
        <v>30</v>
      </c>
      <c r="AC1291">
        <v>37.676899999999897</v>
      </c>
      <c r="AD1291">
        <v>-1.1104738055900001</v>
      </c>
      <c r="AE1291">
        <v>-1.8999999999999699</v>
      </c>
      <c r="AF1291">
        <v>1.7125901158999399</v>
      </c>
      <c r="AG1291">
        <v>-1.1104738055900001</v>
      </c>
      <c r="AH1291">
        <v>37.653190122477902</v>
      </c>
      <c r="AI1291">
        <v>91.687542860631694</v>
      </c>
      <c r="AJ1291">
        <v>87.395795544806603</v>
      </c>
      <c r="AK1291">
        <v>37.708471771969798</v>
      </c>
      <c r="AL1291">
        <v>78.546329241995494</v>
      </c>
      <c r="AM1291">
        <v>94.775466616816004</v>
      </c>
      <c r="AN1291">
        <v>0.99999997807235097</v>
      </c>
    </row>
    <row r="1292" spans="1:40" x14ac:dyDescent="0.25">
      <c r="A1292" t="str">
        <f>"20190304155036524"</f>
        <v>20190304155036524</v>
      </c>
      <c r="B1292" t="str">
        <f>"1551685836517406"</f>
        <v>1551685836517406</v>
      </c>
      <c r="C1292" t="s">
        <v>40</v>
      </c>
      <c r="D1292">
        <v>5.615488</v>
      </c>
      <c r="E1292">
        <v>0.54674480000000003</v>
      </c>
      <c r="F1292" t="s">
        <v>50</v>
      </c>
      <c r="G1292">
        <v>-198.4152</v>
      </c>
      <c r="H1292" s="1">
        <v>-8.9178130000000001E-6</v>
      </c>
      <c r="I1292">
        <v>365.62920000000003</v>
      </c>
      <c r="J1292">
        <v>-238.7302</v>
      </c>
      <c r="K1292">
        <v>1.110471</v>
      </c>
      <c r="L1292">
        <v>367.42360000000002</v>
      </c>
      <c r="M1292">
        <v>0.99988569999999999</v>
      </c>
      <c r="N1292">
        <v>-1.426264E-2</v>
      </c>
      <c r="O1292">
        <v>-5.0284129999999998E-3</v>
      </c>
      <c r="P1292">
        <v>0.97978779999999999</v>
      </c>
      <c r="Q1292">
        <v>0.18471940000000001</v>
      </c>
      <c r="R1292">
        <v>7.6778589999999994E-2</v>
      </c>
      <c r="S1292">
        <v>3.0885470000000002</v>
      </c>
      <c r="T1292">
        <v>-8.4723590000000001E-2</v>
      </c>
      <c r="U1292">
        <v>-0.1369629</v>
      </c>
      <c r="V1292">
        <v>-8.1633109999999995E-2</v>
      </c>
      <c r="W1292">
        <v>0.19869890000000001</v>
      </c>
      <c r="X1292">
        <v>0.97665489999999999</v>
      </c>
      <c r="Y1292">
        <v>3.9255350000000001E-2</v>
      </c>
      <c r="Z1292">
        <v>-7.5206950000000002E-4</v>
      </c>
      <c r="AA1292">
        <v>0.99922900000000003</v>
      </c>
      <c r="AB1292">
        <v>30</v>
      </c>
      <c r="AC1292">
        <v>40.314999999999998</v>
      </c>
      <c r="AD1292">
        <v>-1.110479917813</v>
      </c>
      <c r="AE1292">
        <v>-1.79439999999999</v>
      </c>
      <c r="AF1292">
        <v>1.59043190478799</v>
      </c>
      <c r="AG1292">
        <v>-1.110479917813</v>
      </c>
      <c r="AH1292">
        <v>40.293002990217801</v>
      </c>
      <c r="AI1292">
        <v>91.577451081422595</v>
      </c>
      <c r="AJ1292">
        <v>87.739613616860396</v>
      </c>
      <c r="AK1292">
        <v>40.339666945344703</v>
      </c>
      <c r="AL1292">
        <v>78.539115508640805</v>
      </c>
      <c r="AM1292">
        <v>94.777927023915097</v>
      </c>
      <c r="AN1292">
        <v>1.00000000560174</v>
      </c>
    </row>
    <row r="1293" spans="1:40" x14ac:dyDescent="0.25">
      <c r="A1293" t="str">
        <f>"20190304155036534"</f>
        <v>20190304155036534</v>
      </c>
      <c r="B1293" t="str">
        <f>"1551685836527167"</f>
        <v>1551685836527167</v>
      </c>
      <c r="C1293" t="s">
        <v>40</v>
      </c>
      <c r="D1293">
        <v>5.3566969999999996</v>
      </c>
      <c r="E1293">
        <v>0.54679679999999997</v>
      </c>
      <c r="F1293" t="s">
        <v>50</v>
      </c>
      <c r="G1293">
        <v>-196.0615</v>
      </c>
      <c r="H1293" s="1">
        <v>-8.0951199999999995E-6</v>
      </c>
      <c r="I1293">
        <v>365.399</v>
      </c>
      <c r="J1293">
        <v>-238.58330000000001</v>
      </c>
      <c r="K1293">
        <v>1.110479</v>
      </c>
      <c r="L1293">
        <v>367.42270000000002</v>
      </c>
      <c r="M1293">
        <v>0.99988529999999998</v>
      </c>
      <c r="N1293">
        <v>-1.426111E-2</v>
      </c>
      <c r="O1293">
        <v>-5.1119809999999998E-3</v>
      </c>
      <c r="P1293">
        <v>0.97989959999999998</v>
      </c>
      <c r="Q1293">
        <v>0.18418809999999999</v>
      </c>
      <c r="R1293">
        <v>7.6626890000000003E-2</v>
      </c>
      <c r="S1293">
        <v>3.0885159999999998</v>
      </c>
      <c r="T1293">
        <v>-8.0380560000000004E-2</v>
      </c>
      <c r="U1293">
        <v>-0.14654539999999999</v>
      </c>
      <c r="V1293">
        <v>-8.1563330000000003E-2</v>
      </c>
      <c r="W1293">
        <v>0.19816800000000001</v>
      </c>
      <c r="X1293">
        <v>0.97676859999999999</v>
      </c>
      <c r="Y1293">
        <v>4.226601E-2</v>
      </c>
      <c r="Z1293">
        <v>-7.9116270000000001E-4</v>
      </c>
      <c r="AA1293">
        <v>0.9991061</v>
      </c>
      <c r="AB1293">
        <v>30</v>
      </c>
      <c r="AC1293">
        <v>42.521799999999999</v>
      </c>
      <c r="AD1293">
        <v>-1.1104870951200001</v>
      </c>
      <c r="AE1293">
        <v>-2.0237000000000198</v>
      </c>
      <c r="AF1293">
        <v>1.80505250601254</v>
      </c>
      <c r="AG1293">
        <v>-1.1104870951200001</v>
      </c>
      <c r="AH1293">
        <v>42.502667850635</v>
      </c>
      <c r="AI1293">
        <v>91.495305879757197</v>
      </c>
      <c r="AJ1293">
        <v>87.5681578458573</v>
      </c>
      <c r="AK1293">
        <v>42.555471687660699</v>
      </c>
      <c r="AL1293">
        <v>78.570151113182902</v>
      </c>
      <c r="AM1293">
        <v>94.773308604731497</v>
      </c>
      <c r="AN1293">
        <v>1.0000000154853199</v>
      </c>
    </row>
    <row r="1294" spans="1:40" x14ac:dyDescent="0.25">
      <c r="A1294" t="str">
        <f>"20190304155036546"</f>
        <v>20190304155036546</v>
      </c>
      <c r="B1294" t="str">
        <f>"1551685836537903"</f>
        <v>1551685836537903</v>
      </c>
      <c r="C1294" t="s">
        <v>40</v>
      </c>
      <c r="D1294">
        <v>5.423705</v>
      </c>
      <c r="E1294">
        <v>0.5458788</v>
      </c>
      <c r="F1294" t="s">
        <v>50</v>
      </c>
      <c r="G1294">
        <v>-195.96639999999999</v>
      </c>
      <c r="H1294" s="1">
        <v>-8.0622190000000008E-6</v>
      </c>
      <c r="I1294">
        <v>365.38740000000001</v>
      </c>
      <c r="J1294">
        <v>-238.4239</v>
      </c>
      <c r="K1294">
        <v>1.1104769999999999</v>
      </c>
      <c r="L1294">
        <v>367.42180000000002</v>
      </c>
      <c r="M1294">
        <v>0.99988480000000002</v>
      </c>
      <c r="N1294">
        <v>-1.425951E-2</v>
      </c>
      <c r="O1294">
        <v>-5.2025789999999997E-3</v>
      </c>
      <c r="P1294">
        <v>0.97995480000000001</v>
      </c>
      <c r="Q1294">
        <v>0.1839316</v>
      </c>
      <c r="R1294">
        <v>7.6537099999999997E-2</v>
      </c>
      <c r="S1294">
        <v>3.0881810000000001</v>
      </c>
      <c r="T1294">
        <v>-8.0470089999999994E-2</v>
      </c>
      <c r="U1294">
        <v>-0.1474915</v>
      </c>
      <c r="V1294">
        <v>-8.1562529999999994E-2</v>
      </c>
      <c r="W1294">
        <v>0.19791039999999999</v>
      </c>
      <c r="X1294">
        <v>0.97682089999999999</v>
      </c>
      <c r="Y1294">
        <v>4.248586E-2</v>
      </c>
      <c r="Z1294">
        <v>-7.9499189999999997E-4</v>
      </c>
      <c r="AA1294">
        <v>0.99909680000000001</v>
      </c>
      <c r="AB1294">
        <v>30</v>
      </c>
      <c r="AC1294">
        <v>42.457500000000003</v>
      </c>
      <c r="AD1294">
        <v>-1.1104850622189999</v>
      </c>
      <c r="AE1294">
        <v>-2.0344000000000002</v>
      </c>
      <c r="AF1294">
        <v>1.8122246105280899</v>
      </c>
      <c r="AG1294">
        <v>-1.1104850622189999</v>
      </c>
      <c r="AH1294">
        <v>42.438544981688402</v>
      </c>
      <c r="AI1294">
        <v>91.497546619609196</v>
      </c>
      <c r="AJ1294">
        <v>87.554822436537094</v>
      </c>
      <c r="AK1294">
        <v>42.4917337287526</v>
      </c>
      <c r="AL1294">
        <v>78.585208807467495</v>
      </c>
      <c r="AM1294">
        <v>94.773007618247604</v>
      </c>
      <c r="AN1294">
        <v>1.00000002170248</v>
      </c>
    </row>
    <row r="1295" spans="1:40" x14ac:dyDescent="0.25">
      <c r="A1295" t="str">
        <f>"20190304155036558"</f>
        <v>20190304155036558</v>
      </c>
      <c r="B1295" t="str">
        <f>"1551685836547663"</f>
        <v>1551685836547663</v>
      </c>
      <c r="C1295" t="s">
        <v>40</v>
      </c>
      <c r="D1295">
        <v>5.6352379999999904</v>
      </c>
      <c r="E1295">
        <v>0.54599119999999901</v>
      </c>
      <c r="F1295" t="s">
        <v>50</v>
      </c>
      <c r="G1295">
        <v>-198.21019999999999</v>
      </c>
      <c r="H1295" s="1">
        <v>-8.8491520000000003E-6</v>
      </c>
      <c r="I1295">
        <v>365.5883</v>
      </c>
      <c r="J1295">
        <v>-238.27529999999999</v>
      </c>
      <c r="K1295">
        <v>1.1104769999999999</v>
      </c>
      <c r="L1295">
        <v>367.42099999999999</v>
      </c>
      <c r="M1295">
        <v>0.99988440000000001</v>
      </c>
      <c r="N1295">
        <v>-1.425795E-2</v>
      </c>
      <c r="O1295">
        <v>-5.2865000000000004E-3</v>
      </c>
      <c r="P1295">
        <v>0.9800529</v>
      </c>
      <c r="Q1295">
        <v>0.18343570000000001</v>
      </c>
      <c r="R1295">
        <v>7.647002E-2</v>
      </c>
      <c r="S1295">
        <v>3.0883639999999999</v>
      </c>
      <c r="T1295">
        <v>-8.5283880000000006E-2</v>
      </c>
      <c r="U1295">
        <v>-0.14080809999999999</v>
      </c>
      <c r="V1295">
        <v>-8.1578310000000001E-2</v>
      </c>
      <c r="W1295">
        <v>0.19741449999999999</v>
      </c>
      <c r="X1295">
        <v>0.97691989999999995</v>
      </c>
      <c r="Y1295">
        <v>4.0240850000000002E-2</v>
      </c>
      <c r="Z1295">
        <v>-7.7180429999999995E-4</v>
      </c>
      <c r="AA1295">
        <v>0.99918969999999896</v>
      </c>
      <c r="AB1295">
        <v>30</v>
      </c>
      <c r="AC1295">
        <v>40.065100000000001</v>
      </c>
      <c r="AD1295">
        <v>-1.110485849152</v>
      </c>
      <c r="AE1295">
        <v>-1.83269999999998</v>
      </c>
      <c r="AF1295">
        <v>1.6196070680031101</v>
      </c>
      <c r="AG1295">
        <v>-1.110485849152</v>
      </c>
      <c r="AH1295">
        <v>40.043531011666801</v>
      </c>
      <c r="AI1295">
        <v>91.587220417098905</v>
      </c>
      <c r="AJ1295">
        <v>87.683868156205506</v>
      </c>
      <c r="AK1295">
        <v>40.091653517387101</v>
      </c>
      <c r="AL1295">
        <v>78.614193380344005</v>
      </c>
      <c r="AM1295">
        <v>94.773445241249505</v>
      </c>
      <c r="AN1295">
        <v>0.99999999824435704</v>
      </c>
    </row>
    <row r="1296" spans="1:40" x14ac:dyDescent="0.25">
      <c r="A1296" t="str">
        <f>"20190304155036570"</f>
        <v>20190304155036570</v>
      </c>
      <c r="B1296" t="str">
        <f>"1551685836568158"</f>
        <v>1551685836568158</v>
      </c>
      <c r="C1296" t="s">
        <v>40</v>
      </c>
      <c r="D1296">
        <v>6.363003</v>
      </c>
      <c r="E1296">
        <v>0.54623980000000005</v>
      </c>
      <c r="F1296" t="s">
        <v>50</v>
      </c>
      <c r="G1296">
        <v>-202.48320000000001</v>
      </c>
      <c r="H1296" s="1">
        <v>-2.4858500000000001E-6</v>
      </c>
      <c r="I1296">
        <v>365.77760000000001</v>
      </c>
      <c r="J1296">
        <v>-238.11189999999999</v>
      </c>
      <c r="K1296">
        <v>1.1104810000000001</v>
      </c>
      <c r="L1296">
        <v>367.42</v>
      </c>
      <c r="M1296">
        <v>0.99988410000000005</v>
      </c>
      <c r="N1296">
        <v>-1.425623E-2</v>
      </c>
      <c r="O1296">
        <v>-5.3791209999999997E-3</v>
      </c>
      <c r="P1296">
        <v>0.98014120000000005</v>
      </c>
      <c r="Q1296">
        <v>0.18305779999999999</v>
      </c>
      <c r="R1296">
        <v>7.624628E-2</v>
      </c>
      <c r="S1296">
        <v>3.0900729999999998</v>
      </c>
      <c r="T1296">
        <v>-9.5872159999999998E-2</v>
      </c>
      <c r="U1296">
        <v>-0.14187620000000001</v>
      </c>
      <c r="V1296">
        <v>-8.1445809999999993E-2</v>
      </c>
      <c r="W1296">
        <v>0.1970363</v>
      </c>
      <c r="X1296">
        <v>0.97700730000000002</v>
      </c>
      <c r="Y1296">
        <v>4.0462940000000003E-2</v>
      </c>
      <c r="Z1296">
        <v>-8.2579409999999995E-4</v>
      </c>
      <c r="AA1296">
        <v>0.99918070000000003</v>
      </c>
      <c r="AB1296">
        <v>30</v>
      </c>
      <c r="AC1296">
        <v>35.628699999999903</v>
      </c>
      <c r="AD1296">
        <v>-1.1104834858499999</v>
      </c>
      <c r="AE1296">
        <v>-1.6424000000000001</v>
      </c>
      <c r="AF1296">
        <v>1.4493007538977301</v>
      </c>
      <c r="AG1296">
        <v>-1.1104834858499999</v>
      </c>
      <c r="AH1296">
        <v>35.602506980692198</v>
      </c>
      <c r="AI1296">
        <v>91.785065127986499</v>
      </c>
      <c r="AJ1296">
        <v>87.6689002993418</v>
      </c>
      <c r="AK1296">
        <v>35.649293815696097</v>
      </c>
      <c r="AL1296">
        <v>78.636296745489901</v>
      </c>
      <c r="AM1296">
        <v>94.765303557253802</v>
      </c>
      <c r="AN1296">
        <v>0.99999999386876803</v>
      </c>
    </row>
    <row r="1297" spans="1:40" x14ac:dyDescent="0.25">
      <c r="A1297" t="str">
        <f>"20190304155036582"</f>
        <v>20190304155036582</v>
      </c>
      <c r="B1297" t="str">
        <f>"1551685836577919"</f>
        <v>1551685836577919</v>
      </c>
      <c r="C1297" t="s">
        <v>40</v>
      </c>
      <c r="D1297">
        <v>5.6670809999999996</v>
      </c>
      <c r="E1297">
        <v>0.54657349999999905</v>
      </c>
      <c r="F1297" t="s">
        <v>50</v>
      </c>
      <c r="G1297">
        <v>-202.1353</v>
      </c>
      <c r="H1297" s="1">
        <v>-2.2906959999999998E-6</v>
      </c>
      <c r="I1297">
        <v>365.7371</v>
      </c>
      <c r="J1297">
        <v>-237.94399999999999</v>
      </c>
      <c r="K1297">
        <v>1.1104799999999999</v>
      </c>
      <c r="L1297">
        <v>367.41899999999998</v>
      </c>
      <c r="M1297">
        <v>0.99988350000000004</v>
      </c>
      <c r="N1297">
        <v>-1.425445E-2</v>
      </c>
      <c r="O1297">
        <v>-5.474118E-3</v>
      </c>
      <c r="P1297">
        <v>0.98017019999999999</v>
      </c>
      <c r="Q1297">
        <v>0.18292820000000001</v>
      </c>
      <c r="R1297">
        <v>7.6183119999999993E-2</v>
      </c>
      <c r="S1297">
        <v>3.0898439999999998</v>
      </c>
      <c r="T1297">
        <v>-9.5373869999999999E-2</v>
      </c>
      <c r="U1297">
        <v>-0.144531299999999</v>
      </c>
      <c r="V1297">
        <v>-8.1475480000000003E-2</v>
      </c>
      <c r="W1297">
        <v>0.19690540000000001</v>
      </c>
      <c r="X1297">
        <v>0.97703119999999999</v>
      </c>
      <c r="Y1297">
        <v>4.1227840000000002E-2</v>
      </c>
      <c r="Z1297">
        <v>-8.3906080000000004E-4</v>
      </c>
      <c r="AA1297">
        <v>0.99914939999999997</v>
      </c>
      <c r="AB1297">
        <v>30</v>
      </c>
      <c r="AC1297">
        <v>35.808700000000002</v>
      </c>
      <c r="AD1297">
        <v>-1.1104822906959999</v>
      </c>
      <c r="AE1297">
        <v>-1.6819000000000399</v>
      </c>
      <c r="AF1297">
        <v>1.48440940879299</v>
      </c>
      <c r="AG1297">
        <v>-1.1104822906959999</v>
      </c>
      <c r="AH1297">
        <v>35.783033908234003</v>
      </c>
      <c r="AI1297">
        <v>91.776006780165503</v>
      </c>
      <c r="AJ1297">
        <v>87.624526269337494</v>
      </c>
      <c r="AK1297">
        <v>35.831022283611802</v>
      </c>
      <c r="AL1297">
        <v>78.643946447653803</v>
      </c>
      <c r="AM1297">
        <v>94.766915444109301</v>
      </c>
      <c r="AN1297">
        <v>0.99999997808191499</v>
      </c>
    </row>
    <row r="1298" spans="1:40" x14ac:dyDescent="0.25">
      <c r="A1298" t="str">
        <f>"20190304155036600"</f>
        <v>20190304155036600</v>
      </c>
      <c r="B1298" t="str">
        <f>"1551685836597438"</f>
        <v>1551685836597438</v>
      </c>
      <c r="C1298" t="s">
        <v>40</v>
      </c>
      <c r="D1298">
        <v>5.4535140000000002</v>
      </c>
      <c r="E1298">
        <v>0.54614110000000005</v>
      </c>
      <c r="F1298" t="s">
        <v>50</v>
      </c>
      <c r="G1298">
        <v>-204.37299999999999</v>
      </c>
      <c r="H1298" s="1">
        <v>-3.4819949999999999E-6</v>
      </c>
      <c r="I1298">
        <v>365.81630000000001</v>
      </c>
      <c r="J1298">
        <v>-237.7056</v>
      </c>
      <c r="K1298">
        <v>1.1104810000000001</v>
      </c>
      <c r="L1298">
        <v>367.41750000000002</v>
      </c>
      <c r="M1298">
        <v>0.99988279999999996</v>
      </c>
      <c r="N1298">
        <v>-1.425191E-2</v>
      </c>
      <c r="O1298">
        <v>-5.6086859999999999E-3</v>
      </c>
      <c r="P1298">
        <v>0.98019160000000005</v>
      </c>
      <c r="Q1298">
        <v>0.18277789999999999</v>
      </c>
      <c r="R1298">
        <v>7.6267520000000005E-2</v>
      </c>
      <c r="S1298">
        <v>3.0912480000000002</v>
      </c>
      <c r="T1298">
        <v>-0.1022544</v>
      </c>
      <c r="U1298">
        <v>-0.14758299999999999</v>
      </c>
      <c r="V1298">
        <v>-8.1691420000000001E-2</v>
      </c>
      <c r="W1298">
        <v>0.19675300000000001</v>
      </c>
      <c r="X1298">
        <v>0.97704389999999997</v>
      </c>
      <c r="Y1298">
        <v>4.2052409999999998E-2</v>
      </c>
      <c r="Z1298">
        <v>-8.8941879999999995E-4</v>
      </c>
      <c r="AA1298">
        <v>0.99911499999999998</v>
      </c>
      <c r="AB1298">
        <v>30</v>
      </c>
      <c r="AC1298">
        <v>33.332599999999999</v>
      </c>
      <c r="AD1298">
        <v>-1.1104844819949999</v>
      </c>
      <c r="AE1298">
        <v>-1.6012</v>
      </c>
      <c r="AF1298">
        <v>1.41263946228839</v>
      </c>
      <c r="AG1298">
        <v>-1.1104844819949999</v>
      </c>
      <c r="AH1298">
        <v>33.304177711181502</v>
      </c>
      <c r="AI1298">
        <v>91.9080313234074</v>
      </c>
      <c r="AJ1298">
        <v>87.571181837946895</v>
      </c>
      <c r="AK1298">
        <v>33.352615775274998</v>
      </c>
      <c r="AL1298">
        <v>78.652852878045607</v>
      </c>
      <c r="AM1298">
        <v>94.779429234541993</v>
      </c>
      <c r="AN1298">
        <v>1.0000000068189101</v>
      </c>
    </row>
    <row r="1299" spans="1:40" x14ac:dyDescent="0.25">
      <c r="A1299" t="str">
        <f>"20190304155036613"</f>
        <v>20190304155036613</v>
      </c>
      <c r="B1299" t="str">
        <f>"1551685836608176"</f>
        <v>1551685836608176</v>
      </c>
      <c r="C1299" t="s">
        <v>40</v>
      </c>
      <c r="D1299">
        <v>5.4883350000000002</v>
      </c>
      <c r="E1299">
        <v>0.54666809999999999</v>
      </c>
      <c r="F1299" t="s">
        <v>50</v>
      </c>
      <c r="G1299">
        <v>-204.2696</v>
      </c>
      <c r="H1299" s="1">
        <v>-3.4193640000000001E-6</v>
      </c>
      <c r="I1299">
        <v>365.86399999999998</v>
      </c>
      <c r="J1299">
        <v>-237.53710000000001</v>
      </c>
      <c r="K1299">
        <v>1.110482</v>
      </c>
      <c r="L1299">
        <v>367.41649999999998</v>
      </c>
      <c r="M1299">
        <v>0.9998823</v>
      </c>
      <c r="N1299">
        <v>-1.425013E-2</v>
      </c>
      <c r="O1299">
        <v>-5.7035619999999997E-3</v>
      </c>
      <c r="P1299">
        <v>0.98015819999999998</v>
      </c>
      <c r="Q1299">
        <v>0.18292639999999999</v>
      </c>
      <c r="R1299">
        <v>7.6342030000000005E-2</v>
      </c>
      <c r="S1299">
        <v>3.0909580000000001</v>
      </c>
      <c r="T1299">
        <v>-0.10265779999999999</v>
      </c>
      <c r="U1299">
        <v>-0.14361570000000001</v>
      </c>
      <c r="V1299">
        <v>-8.1858539999999994E-2</v>
      </c>
      <c r="W1299">
        <v>0.1968994</v>
      </c>
      <c r="X1299">
        <v>0.97700039999999999</v>
      </c>
      <c r="Y1299">
        <v>4.0683379999999998E-2</v>
      </c>
      <c r="Z1299">
        <v>-8.5716069999999995E-4</v>
      </c>
      <c r="AA1299">
        <v>0.9991717</v>
      </c>
      <c r="AB1299">
        <v>30</v>
      </c>
      <c r="AC1299">
        <v>33.267499999999998</v>
      </c>
      <c r="AD1299">
        <v>-1.1104854193639999</v>
      </c>
      <c r="AE1299">
        <v>-1.55249999999995</v>
      </c>
      <c r="AF1299">
        <v>1.3611988163881199</v>
      </c>
      <c r="AG1299">
        <v>-1.1104854193639999</v>
      </c>
      <c r="AH1299">
        <v>33.238858309713002</v>
      </c>
      <c r="AI1299">
        <v>91.911896129581606</v>
      </c>
      <c r="AJ1299">
        <v>87.654931718285596</v>
      </c>
      <c r="AK1299">
        <v>33.285248111100699</v>
      </c>
      <c r="AL1299">
        <v>78.644297200267999</v>
      </c>
      <c r="AM1299">
        <v>94.789373547640594</v>
      </c>
      <c r="AN1299">
        <v>0.99999998794572498</v>
      </c>
    </row>
    <row r="1300" spans="1:40" x14ac:dyDescent="0.25">
      <c r="A1300" t="str">
        <f>"20190304155036623"</f>
        <v>20190304155036623</v>
      </c>
      <c r="B1300" t="str">
        <f>"1551685836617935"</f>
        <v>1551685836617935</v>
      </c>
      <c r="C1300" t="s">
        <v>40</v>
      </c>
      <c r="D1300">
        <v>5.4408969999999997</v>
      </c>
      <c r="E1300">
        <v>0.54641359999999894</v>
      </c>
      <c r="F1300" t="s">
        <v>50</v>
      </c>
      <c r="G1300">
        <v>-204.1138</v>
      </c>
      <c r="H1300" s="1">
        <v>-3.3505739999999999E-6</v>
      </c>
      <c r="I1300">
        <v>365.82060000000001</v>
      </c>
      <c r="J1300">
        <v>-237.38929999999999</v>
      </c>
      <c r="K1300">
        <v>1.110484</v>
      </c>
      <c r="L1300">
        <v>367.41559999999998</v>
      </c>
      <c r="M1300">
        <v>0.99988180000000004</v>
      </c>
      <c r="N1300">
        <v>-1.424858E-2</v>
      </c>
      <c r="O1300">
        <v>-5.7863990000000002E-3</v>
      </c>
      <c r="P1300">
        <v>0.98015969999999997</v>
      </c>
      <c r="Q1300">
        <v>0.1828668</v>
      </c>
      <c r="R1300">
        <v>7.6463619999999996E-2</v>
      </c>
      <c r="S1300">
        <v>3.0914000000000001</v>
      </c>
      <c r="T1300">
        <v>-0.10271139999999999</v>
      </c>
      <c r="U1300">
        <v>-0.14761350000000001</v>
      </c>
      <c r="V1300">
        <v>-8.2061289999999995E-2</v>
      </c>
      <c r="W1300">
        <v>0.19683809999999999</v>
      </c>
      <c r="X1300">
        <v>0.97699579999999997</v>
      </c>
      <c r="Y1300">
        <v>4.1882269999999999E-2</v>
      </c>
      <c r="Z1300">
        <v>-8.8417599999999997E-4</v>
      </c>
      <c r="AA1300">
        <v>0.99912210000000001</v>
      </c>
      <c r="AB1300">
        <v>30</v>
      </c>
      <c r="AC1300">
        <v>33.275499999999901</v>
      </c>
      <c r="AD1300">
        <v>-1.1104873505740001</v>
      </c>
      <c r="AE1300">
        <v>-1.59499999999997</v>
      </c>
      <c r="AF1300">
        <v>1.4008518475377001</v>
      </c>
      <c r="AG1300">
        <v>-1.1104873505740001</v>
      </c>
      <c r="AH1300">
        <v>33.247229655880297</v>
      </c>
      <c r="AI1300">
        <v>91.911324757047694</v>
      </c>
      <c r="AJ1300">
        <v>87.587304179966694</v>
      </c>
      <c r="AK1300">
        <v>33.295252632250403</v>
      </c>
      <c r="AL1300">
        <v>78.647880172614293</v>
      </c>
      <c r="AM1300">
        <v>94.801203144750303</v>
      </c>
      <c r="AN1300">
        <v>1.00000004307285</v>
      </c>
    </row>
    <row r="1301" spans="1:40" x14ac:dyDescent="0.25">
      <c r="A1301" t="str">
        <f>"20190304155036636"</f>
        <v>20190304155036636</v>
      </c>
      <c r="B1301" t="str">
        <f>"1551685836627695"</f>
        <v>1551685836627695</v>
      </c>
      <c r="C1301" t="s">
        <v>40</v>
      </c>
      <c r="D1301">
        <v>5.7198169999999999</v>
      </c>
      <c r="E1301">
        <v>0.54645259999999996</v>
      </c>
      <c r="F1301" t="s">
        <v>50</v>
      </c>
      <c r="G1301">
        <v>-204.58500000000001</v>
      </c>
      <c r="H1301" s="1">
        <v>-3.5748480000000001E-6</v>
      </c>
      <c r="I1301">
        <v>365.8784</v>
      </c>
      <c r="J1301">
        <v>-237.23230000000001</v>
      </c>
      <c r="K1301">
        <v>1.1104849999999999</v>
      </c>
      <c r="L1301">
        <v>367.41460000000001</v>
      </c>
      <c r="M1301">
        <v>0.99988129999999997</v>
      </c>
      <c r="N1301">
        <v>-1.424695E-2</v>
      </c>
      <c r="O1301">
        <v>-5.8749630000000004E-3</v>
      </c>
      <c r="P1301">
        <v>0.98011570000000003</v>
      </c>
      <c r="Q1301">
        <v>0.1830582</v>
      </c>
      <c r="R1301">
        <v>7.6571230000000004E-2</v>
      </c>
      <c r="S1301">
        <v>3.0915530000000002</v>
      </c>
      <c r="T1301">
        <v>-0.1046549</v>
      </c>
      <c r="U1301">
        <v>-0.14486689999999999</v>
      </c>
      <c r="V1301">
        <v>-8.2255629999999996E-2</v>
      </c>
      <c r="W1301">
        <v>0.19702749999999999</v>
      </c>
      <c r="X1301">
        <v>0.97694119999999995</v>
      </c>
      <c r="Y1301">
        <v>4.0905549999999999E-2</v>
      </c>
      <c r="Z1301">
        <v>-8.6841360000000005E-4</v>
      </c>
      <c r="AA1301">
        <v>0.99916260000000001</v>
      </c>
      <c r="AB1301">
        <v>30</v>
      </c>
      <c r="AC1301">
        <v>32.647300000000001</v>
      </c>
      <c r="AD1301">
        <v>-1.110488574848</v>
      </c>
      <c r="AE1301">
        <v>-1.5362</v>
      </c>
      <c r="AF1301">
        <v>1.34280215446661</v>
      </c>
      <c r="AG1301">
        <v>-1.110488574848</v>
      </c>
      <c r="AH1301">
        <v>32.618106700433003</v>
      </c>
      <c r="AI1301">
        <v>91.948241783586397</v>
      </c>
      <c r="AJ1301">
        <v>87.642613717790496</v>
      </c>
      <c r="AK1301">
        <v>32.664616746898197</v>
      </c>
      <c r="AL1301">
        <v>78.636810712849396</v>
      </c>
      <c r="AM1301">
        <v>94.812787858931898</v>
      </c>
      <c r="AN1301">
        <v>0.99999996634019195</v>
      </c>
    </row>
    <row r="1302" spans="1:40" x14ac:dyDescent="0.25">
      <c r="A1302" t="str">
        <f>"20190304155036650"</f>
        <v>20190304155036650</v>
      </c>
      <c r="B1302" t="str">
        <f>"1551685836637454"</f>
        <v>1551685836637454</v>
      </c>
      <c r="C1302" t="s">
        <v>40</v>
      </c>
      <c r="D1302">
        <v>5.4354250000000004</v>
      </c>
      <c r="E1302">
        <v>0.54624519999999999</v>
      </c>
      <c r="F1302" t="s">
        <v>50</v>
      </c>
      <c r="G1302">
        <v>-204.2706</v>
      </c>
      <c r="H1302" s="1">
        <v>-3.4188190000000001E-6</v>
      </c>
      <c r="I1302">
        <v>365.86869999999999</v>
      </c>
      <c r="J1302">
        <v>-237.053</v>
      </c>
      <c r="K1302">
        <v>1.1104849999999999</v>
      </c>
      <c r="L1302">
        <v>367.41340000000002</v>
      </c>
      <c r="M1302">
        <v>0.99988069999999896</v>
      </c>
      <c r="N1302">
        <v>-1.42451E-2</v>
      </c>
      <c r="O1302">
        <v>-5.9764010000000001E-3</v>
      </c>
      <c r="P1302">
        <v>0.98010200000000003</v>
      </c>
      <c r="Q1302">
        <v>0.1831971</v>
      </c>
      <c r="R1302">
        <v>7.6412640000000004E-2</v>
      </c>
      <c r="S1302">
        <v>3.0916290000000002</v>
      </c>
      <c r="T1302">
        <v>-0.10415779999999999</v>
      </c>
      <c r="U1302">
        <v>-0.14498900000000001</v>
      </c>
      <c r="V1302">
        <v>-8.2195550000000006E-2</v>
      </c>
      <c r="W1302">
        <v>0.19716439999999999</v>
      </c>
      <c r="X1302">
        <v>0.97691870000000003</v>
      </c>
      <c r="Y1302">
        <v>4.0842730000000001E-2</v>
      </c>
      <c r="Z1302">
        <v>-8.6253519999999995E-4</v>
      </c>
      <c r="AA1302">
        <v>0.99916519999999998</v>
      </c>
      <c r="AB1302">
        <v>30</v>
      </c>
      <c r="AC1302">
        <v>32.782400000000003</v>
      </c>
      <c r="AD1302">
        <v>-1.1104884188189901</v>
      </c>
      <c r="AE1302">
        <v>-1.5447000000000299</v>
      </c>
      <c r="AF1302">
        <v>1.34718931032431</v>
      </c>
      <c r="AG1302">
        <v>-1.1104884188189901</v>
      </c>
      <c r="AH1302">
        <v>32.753546206049201</v>
      </c>
      <c r="AI1302">
        <v>91.940194377686396</v>
      </c>
      <c r="AJ1302">
        <v>87.644689306555804</v>
      </c>
      <c r="AK1302">
        <v>32.800044095061601</v>
      </c>
      <c r="AL1302">
        <v>78.628810687081298</v>
      </c>
      <c r="AM1302">
        <v>94.809399310416197</v>
      </c>
      <c r="AN1302">
        <v>1.00000002773842</v>
      </c>
    </row>
    <row r="1303" spans="1:40" x14ac:dyDescent="0.25">
      <c r="A1303" t="str">
        <f>"20190304155036662"</f>
        <v>20190304155036662</v>
      </c>
      <c r="B1303" t="str">
        <f>"1551685836657950"</f>
        <v>1551685836657950</v>
      </c>
      <c r="C1303" t="s">
        <v>40</v>
      </c>
      <c r="D1303">
        <v>5.103637</v>
      </c>
      <c r="E1303">
        <v>0.54543529999999996</v>
      </c>
      <c r="F1303" t="s">
        <v>50</v>
      </c>
      <c r="G1303">
        <v>-204.61019999999999</v>
      </c>
      <c r="H1303" s="1">
        <v>-3.5813739999999998E-6</v>
      </c>
      <c r="I1303">
        <v>365.90620000000001</v>
      </c>
      <c r="J1303">
        <v>-236.87270000000001</v>
      </c>
      <c r="K1303">
        <v>1.1104860000000001</v>
      </c>
      <c r="L1303">
        <v>367.41219999999998</v>
      </c>
      <c r="M1303">
        <v>0.99988010000000005</v>
      </c>
      <c r="N1303">
        <v>-1.4243240000000001E-2</v>
      </c>
      <c r="O1303">
        <v>-6.0795060000000001E-3</v>
      </c>
      <c r="P1303">
        <v>0.98011839999999995</v>
      </c>
      <c r="Q1303">
        <v>0.1831248</v>
      </c>
      <c r="R1303">
        <v>7.6374780000000003E-2</v>
      </c>
      <c r="S1303">
        <v>3.0918730000000001</v>
      </c>
      <c r="T1303">
        <v>-0.105832</v>
      </c>
      <c r="U1303">
        <v>-0.1436462</v>
      </c>
      <c r="V1303">
        <v>-8.225876E-2</v>
      </c>
      <c r="W1303">
        <v>0.19709009999999999</v>
      </c>
      <c r="X1303">
        <v>0.97692840000000003</v>
      </c>
      <c r="Y1303">
        <v>4.0302640000000001E-2</v>
      </c>
      <c r="Z1303">
        <v>-8.5511970000000002E-4</v>
      </c>
      <c r="AA1303">
        <v>0.99918720000000005</v>
      </c>
      <c r="AB1303">
        <v>30</v>
      </c>
      <c r="AC1303">
        <v>32.262500000000003</v>
      </c>
      <c r="AD1303">
        <v>-1.1104895813739999</v>
      </c>
      <c r="AE1303">
        <v>-1.50599999999997</v>
      </c>
      <c r="AF1303">
        <v>1.30826558668356</v>
      </c>
      <c r="AG1303">
        <v>-1.1104895813739999</v>
      </c>
      <c r="AH1303">
        <v>32.2329548116277</v>
      </c>
      <c r="AI1303">
        <v>91.971551459111296</v>
      </c>
      <c r="AJ1303">
        <v>87.675764558600903</v>
      </c>
      <c r="AK1303">
        <v>32.2786016091787</v>
      </c>
      <c r="AL1303">
        <v>78.633153281097094</v>
      </c>
      <c r="AM1303">
        <v>94.813032900052903</v>
      </c>
      <c r="AN1303">
        <v>1.00000005492065</v>
      </c>
    </row>
    <row r="1304" spans="1:40" x14ac:dyDescent="0.25">
      <c r="A1304" t="str">
        <f>"20190304155036679"</f>
        <v>20190304155036679</v>
      </c>
      <c r="B1304" t="str">
        <f>"1551685836667710"</f>
        <v>1551685836667710</v>
      </c>
      <c r="C1304" t="s">
        <v>40</v>
      </c>
      <c r="D1304">
        <v>5.5863069999999997</v>
      </c>
      <c r="E1304">
        <v>0.54560169999999997</v>
      </c>
      <c r="F1304" t="s">
        <v>50</v>
      </c>
      <c r="G1304">
        <v>-205.06739999999999</v>
      </c>
      <c r="H1304" s="1">
        <v>-3.7876520000000001E-6</v>
      </c>
      <c r="I1304">
        <v>366.00229999999999</v>
      </c>
      <c r="J1304">
        <v>-236.6557</v>
      </c>
      <c r="K1304">
        <v>1.110479</v>
      </c>
      <c r="L1304">
        <v>367.41079999999999</v>
      </c>
      <c r="M1304">
        <v>0.99987939999999997</v>
      </c>
      <c r="N1304">
        <v>-1.424101E-2</v>
      </c>
      <c r="O1304">
        <v>-6.2041880000000002E-3</v>
      </c>
      <c r="P1304">
        <v>0.98020010000000002</v>
      </c>
      <c r="Q1304">
        <v>0.18282950000000001</v>
      </c>
      <c r="R1304">
        <v>7.603501E-2</v>
      </c>
      <c r="S1304">
        <v>3.0917050000000001</v>
      </c>
      <c r="T1304">
        <v>-0.10794769999999899</v>
      </c>
      <c r="U1304">
        <v>-0.13705439999999999</v>
      </c>
      <c r="V1304">
        <v>-8.2041520000000007E-2</v>
      </c>
      <c r="W1304">
        <v>0.1967942</v>
      </c>
      <c r="X1304">
        <v>0.97700629999999999</v>
      </c>
      <c r="Y1304">
        <v>3.8055369999999998E-2</v>
      </c>
      <c r="Z1304">
        <v>-8.0692719999999999E-4</v>
      </c>
      <c r="AA1304">
        <v>0.99927529999999998</v>
      </c>
      <c r="AB1304">
        <v>30</v>
      </c>
      <c r="AC1304">
        <v>31.5883</v>
      </c>
      <c r="AD1304">
        <v>-1.110482787652</v>
      </c>
      <c r="AE1304">
        <v>-1.4085000000000001</v>
      </c>
      <c r="AF1304">
        <v>1.2109796314532</v>
      </c>
      <c r="AG1304">
        <v>-1.110482787652</v>
      </c>
      <c r="AH1304">
        <v>31.557507965106101</v>
      </c>
      <c r="AI1304">
        <v>92.013878845452297</v>
      </c>
      <c r="AJ1304">
        <v>87.802424859216799</v>
      </c>
      <c r="AK1304">
        <v>31.600252414454001</v>
      </c>
      <c r="AL1304">
        <v>78.650445592084495</v>
      </c>
      <c r="AM1304">
        <v>94.800000510512703</v>
      </c>
      <c r="AN1304">
        <v>1.0000000391986099</v>
      </c>
    </row>
    <row r="1305" spans="1:40" x14ac:dyDescent="0.25">
      <c r="A1305" t="str">
        <f>"20190304155036693"</f>
        <v>20190304155036693</v>
      </c>
      <c r="B1305" t="str">
        <f>"1551685836688206"</f>
        <v>1551685836688206</v>
      </c>
      <c r="C1305" t="s">
        <v>40</v>
      </c>
      <c r="D1305">
        <v>5.4370320000000003</v>
      </c>
      <c r="E1305">
        <v>0.54527859999999995</v>
      </c>
      <c r="F1305" t="s">
        <v>50</v>
      </c>
      <c r="G1305">
        <v>-205.8432</v>
      </c>
      <c r="H1305" s="1">
        <v>-4.1441909999999996E-6</v>
      </c>
      <c r="I1305">
        <v>366.02409999999998</v>
      </c>
      <c r="J1305">
        <v>-236.47630000000001</v>
      </c>
      <c r="K1305">
        <v>1.110479</v>
      </c>
      <c r="L1305">
        <v>367.40960000000001</v>
      </c>
      <c r="M1305">
        <v>0.99987879999999996</v>
      </c>
      <c r="N1305">
        <v>-1.4239170000000001E-2</v>
      </c>
      <c r="O1305">
        <v>-6.307773E-3</v>
      </c>
      <c r="P1305">
        <v>0.98028539999999997</v>
      </c>
      <c r="Q1305">
        <v>0.18245810000000001</v>
      </c>
      <c r="R1305">
        <v>7.5826279999999996E-2</v>
      </c>
      <c r="S1305">
        <v>3.0921630000000002</v>
      </c>
      <c r="T1305">
        <v>-0.1114415</v>
      </c>
      <c r="U1305">
        <v>-0.13916020000000001</v>
      </c>
      <c r="V1305">
        <v>-8.1934549999999995E-2</v>
      </c>
      <c r="W1305">
        <v>0.1964225</v>
      </c>
      <c r="X1305">
        <v>0.97709009999999996</v>
      </c>
      <c r="Y1305">
        <v>3.862227E-2</v>
      </c>
      <c r="Z1305">
        <v>-8.3327580000000002E-4</v>
      </c>
      <c r="AA1305">
        <v>0.99925350000000002</v>
      </c>
      <c r="AB1305">
        <v>30</v>
      </c>
      <c r="AC1305">
        <v>30.633099999999999</v>
      </c>
      <c r="AD1305">
        <v>-1.1104831441909999</v>
      </c>
      <c r="AE1305">
        <v>-1.3855000000000299</v>
      </c>
      <c r="AF1305">
        <v>1.1906647060462501</v>
      </c>
      <c r="AG1305">
        <v>-1.1104831441909999</v>
      </c>
      <c r="AH1305">
        <v>30.601098690823001</v>
      </c>
      <c r="AI1305">
        <v>92.076724298326397</v>
      </c>
      <c r="AJ1305">
        <v>87.771790233154405</v>
      </c>
      <c r="AK1305">
        <v>30.644381154483199</v>
      </c>
      <c r="AL1305">
        <v>78.672166687147893</v>
      </c>
      <c r="AM1305">
        <v>94.793361983947193</v>
      </c>
      <c r="AN1305">
        <v>1.0000000662539701</v>
      </c>
    </row>
    <row r="1306" spans="1:40" x14ac:dyDescent="0.25">
      <c r="A1306" t="str">
        <f>"20190304155036703"</f>
        <v>20190304155036703</v>
      </c>
      <c r="B1306" t="str">
        <f>"1551685836697967"</f>
        <v>1551685836697967</v>
      </c>
      <c r="C1306" t="s">
        <v>40</v>
      </c>
      <c r="D1306">
        <v>5.4056949999999997</v>
      </c>
      <c r="E1306">
        <v>0.54509189999999996</v>
      </c>
      <c r="F1306" t="s">
        <v>50</v>
      </c>
      <c r="G1306">
        <v>-206.4307</v>
      </c>
      <c r="H1306" s="1">
        <v>-4.4063109999999997E-6</v>
      </c>
      <c r="I1306">
        <v>366.0761</v>
      </c>
      <c r="J1306">
        <v>-236.3211</v>
      </c>
      <c r="K1306">
        <v>1.110476</v>
      </c>
      <c r="L1306">
        <v>367.40839999999997</v>
      </c>
      <c r="M1306">
        <v>0.99987820000000005</v>
      </c>
      <c r="N1306">
        <v>-1.423759E-2</v>
      </c>
      <c r="O1306">
        <v>-6.3977679999999999E-3</v>
      </c>
      <c r="P1306">
        <v>0.98039100000000001</v>
      </c>
      <c r="Q1306">
        <v>0.18202599999999999</v>
      </c>
      <c r="R1306">
        <v>7.5498289999999996E-2</v>
      </c>
      <c r="S1306">
        <v>3.0922239999999999</v>
      </c>
      <c r="T1306">
        <v>-0.11428820000000001</v>
      </c>
      <c r="U1306">
        <v>-0.13723750000000001</v>
      </c>
      <c r="V1306">
        <v>-8.1695299999999998E-2</v>
      </c>
      <c r="W1306">
        <v>0.19599</v>
      </c>
      <c r="X1306">
        <v>0.97719690000000003</v>
      </c>
      <c r="Y1306">
        <v>3.791067E-2</v>
      </c>
      <c r="Z1306">
        <v>-8.2493469999999995E-4</v>
      </c>
      <c r="AA1306">
        <v>0.99928079999999997</v>
      </c>
      <c r="AB1306">
        <v>30</v>
      </c>
      <c r="AC1306">
        <v>29.8904</v>
      </c>
      <c r="AD1306">
        <v>-1.1104804063110001</v>
      </c>
      <c r="AE1306">
        <v>-1.3322999999999701</v>
      </c>
      <c r="AF1306">
        <v>1.13945189101919</v>
      </c>
      <c r="AG1306">
        <v>-1.1104804063110001</v>
      </c>
      <c r="AH1306">
        <v>29.8571840290743</v>
      </c>
      <c r="AI1306">
        <v>92.128476249822299</v>
      </c>
      <c r="AJ1306">
        <v>87.814458428095605</v>
      </c>
      <c r="AK1306">
        <v>29.899547747261298</v>
      </c>
      <c r="AL1306">
        <v>78.697437470880701</v>
      </c>
      <c r="AM1306">
        <v>94.778910299975806</v>
      </c>
      <c r="AN1306">
        <v>0.99999999175584997</v>
      </c>
    </row>
    <row r="1307" spans="1:40" x14ac:dyDescent="0.25">
      <c r="A1307" t="str">
        <f>"20190304155036715"</f>
        <v>20190304155036715</v>
      </c>
      <c r="B1307" t="str">
        <f>"1551685836707726"</f>
        <v>1551685836707726</v>
      </c>
      <c r="C1307" t="s">
        <v>40</v>
      </c>
      <c r="D1307">
        <v>5.3677010000000003</v>
      </c>
      <c r="E1307">
        <v>0.5449176</v>
      </c>
      <c r="F1307" t="s">
        <v>50</v>
      </c>
      <c r="G1307">
        <v>-206.71360000000001</v>
      </c>
      <c r="H1307" s="1">
        <v>-4.5333600000000002E-6</v>
      </c>
      <c r="I1307">
        <v>366.0976</v>
      </c>
      <c r="J1307">
        <v>-236.16890000000001</v>
      </c>
      <c r="K1307">
        <v>1.1104750000000001</v>
      </c>
      <c r="L1307">
        <v>367.4074</v>
      </c>
      <c r="M1307">
        <v>0.99987769999999998</v>
      </c>
      <c r="N1307">
        <v>-1.423604E-2</v>
      </c>
      <c r="O1307">
        <v>-6.4865690000000002E-3</v>
      </c>
      <c r="P1307">
        <v>0.9805043</v>
      </c>
      <c r="Q1307">
        <v>0.18163660000000001</v>
      </c>
      <c r="R1307">
        <v>7.4965829999999997E-2</v>
      </c>
      <c r="S1307">
        <v>3.0920719999999999</v>
      </c>
      <c r="T1307">
        <v>-0.11597349999999999</v>
      </c>
      <c r="U1307">
        <v>-0.13690189999999999</v>
      </c>
      <c r="V1307">
        <v>-8.1250669999999997E-2</v>
      </c>
      <c r="W1307">
        <v>0.19560050000000001</v>
      </c>
      <c r="X1307">
        <v>0.97731199999999996</v>
      </c>
      <c r="Y1307">
        <v>3.7715199999999997E-2</v>
      </c>
      <c r="Z1307">
        <v>-8.2463600000000001E-4</v>
      </c>
      <c r="AA1307">
        <v>0.99928819999999996</v>
      </c>
      <c r="AB1307">
        <v>30</v>
      </c>
      <c r="AC1307">
        <v>29.455299999999902</v>
      </c>
      <c r="AD1307">
        <v>-1.1104795333599999</v>
      </c>
      <c r="AE1307">
        <v>-1.3097999999999901</v>
      </c>
      <c r="AF1307">
        <v>1.1171046155701601</v>
      </c>
      <c r="AG1307">
        <v>-1.1104795333599999</v>
      </c>
      <c r="AH1307">
        <v>29.421442176224598</v>
      </c>
      <c r="AI1307">
        <v>92.159984331557396</v>
      </c>
      <c r="AJ1307">
        <v>87.825577408467893</v>
      </c>
      <c r="AK1307">
        <v>29.4635766200417</v>
      </c>
      <c r="AL1307">
        <v>78.720194583146395</v>
      </c>
      <c r="AM1307">
        <v>94.752463162309397</v>
      </c>
      <c r="AN1307">
        <v>0.99999998615984897</v>
      </c>
    </row>
    <row r="1308" spans="1:40" x14ac:dyDescent="0.25">
      <c r="A1308" t="str">
        <f>"20190304155036727"</f>
        <v>20190304155036727</v>
      </c>
      <c r="B1308" t="str">
        <f>"1551685836717487"</f>
        <v>1551685836717487</v>
      </c>
      <c r="C1308" t="s">
        <v>40</v>
      </c>
      <c r="D1308">
        <v>5.401078</v>
      </c>
      <c r="E1308">
        <v>0.54464109999999999</v>
      </c>
      <c r="F1308" t="s">
        <v>50</v>
      </c>
      <c r="G1308">
        <v>-206.88849999999999</v>
      </c>
      <c r="H1308" s="1">
        <v>-4.6123220000000001E-6</v>
      </c>
      <c r="I1308">
        <v>366.10890000000001</v>
      </c>
      <c r="J1308">
        <v>-236.0163</v>
      </c>
      <c r="K1308">
        <v>1.110474</v>
      </c>
      <c r="L1308">
        <v>367.40629999999999</v>
      </c>
      <c r="M1308">
        <v>0.99987720000000002</v>
      </c>
      <c r="N1308">
        <v>-1.4234490000000001E-2</v>
      </c>
      <c r="O1308">
        <v>-6.5756080000000001E-3</v>
      </c>
      <c r="P1308">
        <v>0.98057030000000001</v>
      </c>
      <c r="Q1308">
        <v>0.18147179999999999</v>
      </c>
      <c r="R1308">
        <v>7.4500880000000005E-2</v>
      </c>
      <c r="S1308">
        <v>3.0918429999999999</v>
      </c>
      <c r="T1308">
        <v>-0.1172605</v>
      </c>
      <c r="U1308">
        <v>-0.1371155</v>
      </c>
      <c r="V1308">
        <v>-8.0873589999999995E-2</v>
      </c>
      <c r="W1308">
        <v>0.19543540000000001</v>
      </c>
      <c r="X1308">
        <v>0.97737629999999998</v>
      </c>
      <c r="Y1308">
        <v>3.7697790000000002E-2</v>
      </c>
      <c r="Z1308">
        <v>-8.2721300000000004E-4</v>
      </c>
      <c r="AA1308">
        <v>0.99928890000000004</v>
      </c>
      <c r="AB1308">
        <v>30</v>
      </c>
      <c r="AC1308">
        <v>29.127800000000001</v>
      </c>
      <c r="AD1308">
        <v>-1.1104786123220001</v>
      </c>
      <c r="AE1308">
        <v>-1.2973999999999799</v>
      </c>
      <c r="AF1308">
        <v>1.10421780372597</v>
      </c>
      <c r="AG1308">
        <v>-1.1104786123220001</v>
      </c>
      <c r="AH1308">
        <v>29.093499501091902</v>
      </c>
      <c r="AI1308">
        <v>92.184307705036503</v>
      </c>
      <c r="AJ1308">
        <v>87.826433116809596</v>
      </c>
      <c r="AK1308">
        <v>29.135616913436401</v>
      </c>
      <c r="AL1308">
        <v>78.729840235039305</v>
      </c>
      <c r="AM1308">
        <v>94.730197762166796</v>
      </c>
      <c r="AN1308">
        <v>0.99999998246716804</v>
      </c>
    </row>
    <row r="1309" spans="1:40" x14ac:dyDescent="0.25">
      <c r="A1309" t="str">
        <f>"20190304155036738"</f>
        <v>20190304155036738</v>
      </c>
      <c r="B1309" t="str">
        <f>"1551685836727247"</f>
        <v>1551685836727247</v>
      </c>
      <c r="C1309" t="s">
        <v>40</v>
      </c>
      <c r="D1309">
        <v>5.4421089999999896</v>
      </c>
      <c r="E1309">
        <v>0.54455929999999997</v>
      </c>
      <c r="F1309" t="s">
        <v>50</v>
      </c>
      <c r="G1309">
        <v>-206.8056</v>
      </c>
      <c r="H1309" s="1">
        <v>-4.5716840000000002E-6</v>
      </c>
      <c r="I1309">
        <v>366.11799999999999</v>
      </c>
      <c r="J1309">
        <v>-235.87049999999999</v>
      </c>
      <c r="K1309">
        <v>1.110473</v>
      </c>
      <c r="L1309">
        <v>367.40519999999998</v>
      </c>
      <c r="M1309">
        <v>0.99987669999999995</v>
      </c>
      <c r="N1309">
        <v>-1.4233000000000001E-2</v>
      </c>
      <c r="O1309">
        <v>-6.6611839999999997E-3</v>
      </c>
      <c r="P1309">
        <v>0.98063330000000004</v>
      </c>
      <c r="Q1309">
        <v>0.18133669999999999</v>
      </c>
      <c r="R1309">
        <v>7.3998209999999995E-2</v>
      </c>
      <c r="S1309">
        <v>3.0915530000000002</v>
      </c>
      <c r="T1309">
        <v>-0.11752899999999999</v>
      </c>
      <c r="U1309">
        <v>-0.13635249999999999</v>
      </c>
      <c r="V1309">
        <v>-8.0454970000000001E-2</v>
      </c>
      <c r="W1309">
        <v>0.19529879999999999</v>
      </c>
      <c r="X1309">
        <v>0.97743820000000003</v>
      </c>
      <c r="Y1309">
        <v>3.7370500000000001E-2</v>
      </c>
      <c r="Z1309">
        <v>-8.1770460000000003E-4</v>
      </c>
      <c r="AA1309">
        <v>0.99930110000000005</v>
      </c>
      <c r="AB1309">
        <v>30</v>
      </c>
      <c r="AC1309">
        <v>29.064899999999898</v>
      </c>
      <c r="AD1309">
        <v>-1.1104775716840001</v>
      </c>
      <c r="AE1309">
        <v>-1.28719999999992</v>
      </c>
      <c r="AF1309">
        <v>1.0919543390561499</v>
      </c>
      <c r="AG1309">
        <v>-1.1104775716840001</v>
      </c>
      <c r="AH1309">
        <v>29.030535476209099</v>
      </c>
      <c r="AI1309">
        <v>92.189066637820801</v>
      </c>
      <c r="AJ1309">
        <v>87.845892491251405</v>
      </c>
      <c r="AK1309">
        <v>29.0722808659938</v>
      </c>
      <c r="AL1309">
        <v>78.737821151813506</v>
      </c>
      <c r="AM1309">
        <v>94.705526758061893</v>
      </c>
      <c r="AN1309">
        <v>1.00000002914919</v>
      </c>
    </row>
    <row r="1310" spans="1:40" x14ac:dyDescent="0.25">
      <c r="A1310" t="str">
        <f>"20190304155036750"</f>
        <v>20190304155036750</v>
      </c>
      <c r="B1310" t="str">
        <f>"1551685836747744"</f>
        <v>1551685836747744</v>
      </c>
      <c r="C1310" t="s">
        <v>40</v>
      </c>
      <c r="D1310">
        <v>5.4416419999999999</v>
      </c>
      <c r="E1310">
        <v>0.54448369999999902</v>
      </c>
      <c r="F1310" t="s">
        <v>50</v>
      </c>
      <c r="G1310">
        <v>-206.94820000000001</v>
      </c>
      <c r="H1310" s="1">
        <v>-4.6371559999999999E-6</v>
      </c>
      <c r="I1310">
        <v>366.12220000000002</v>
      </c>
      <c r="J1310">
        <v>-235.7054</v>
      </c>
      <c r="K1310">
        <v>1.1104750000000001</v>
      </c>
      <c r="L1310">
        <v>367.404</v>
      </c>
      <c r="M1310">
        <v>0.99987599999999999</v>
      </c>
      <c r="N1310">
        <v>-1.423131E-2</v>
      </c>
      <c r="O1310">
        <v>-6.757964E-3</v>
      </c>
      <c r="P1310">
        <v>0.98070199999999996</v>
      </c>
      <c r="Q1310">
        <v>0.18121380000000001</v>
      </c>
      <c r="R1310">
        <v>7.3385889999999995E-2</v>
      </c>
      <c r="S1310">
        <v>3.0915680000000001</v>
      </c>
      <c r="T1310">
        <v>-0.11870120000000001</v>
      </c>
      <c r="U1310">
        <v>-0.13714599999999999</v>
      </c>
      <c r="V1310">
        <v>-7.9938220000000004E-2</v>
      </c>
      <c r="W1310">
        <v>0.19517490000000001</v>
      </c>
      <c r="X1310">
        <v>0.97750530000000002</v>
      </c>
      <c r="Y1310">
        <v>3.7528819999999997E-2</v>
      </c>
      <c r="Z1310">
        <v>-8.2404020000000002E-4</v>
      </c>
      <c r="AA1310">
        <v>0.99929520000000005</v>
      </c>
      <c r="AB1310">
        <v>30</v>
      </c>
      <c r="AC1310">
        <v>28.757199999999902</v>
      </c>
      <c r="AD1310">
        <v>-1.110479637156</v>
      </c>
      <c r="AE1310">
        <v>-1.2817999999999701</v>
      </c>
      <c r="AF1310">
        <v>1.0857950418209099</v>
      </c>
      <c r="AG1310">
        <v>-1.110479637156</v>
      </c>
      <c r="AH1310">
        <v>28.7224611915818</v>
      </c>
      <c r="AI1310">
        <v>92.212511520104997</v>
      </c>
      <c r="AJ1310">
        <v>87.835078842766507</v>
      </c>
      <c r="AK1310">
        <v>28.764420606007398</v>
      </c>
      <c r="AL1310">
        <v>78.745058899243901</v>
      </c>
      <c r="AM1310">
        <v>94.675118776650194</v>
      </c>
      <c r="AN1310">
        <v>0.99999998606743401</v>
      </c>
    </row>
    <row r="1311" spans="1:40" x14ac:dyDescent="0.25">
      <c r="A1311" t="str">
        <f>"20190304155036768"</f>
        <v>20190304155036768</v>
      </c>
      <c r="B1311" t="str">
        <f>"1551685836757504"</f>
        <v>1551685836757504</v>
      </c>
      <c r="C1311" t="s">
        <v>40</v>
      </c>
      <c r="D1311">
        <v>5.4324810000000001</v>
      </c>
      <c r="E1311">
        <v>0.54441909999999905</v>
      </c>
      <c r="F1311" t="s">
        <v>50</v>
      </c>
      <c r="G1311">
        <v>-207.3374</v>
      </c>
      <c r="H1311" s="1">
        <v>-4.8156829999999996E-6</v>
      </c>
      <c r="I1311">
        <v>366.13470000000001</v>
      </c>
      <c r="J1311">
        <v>-235.48060000000001</v>
      </c>
      <c r="K1311">
        <v>1.110479</v>
      </c>
      <c r="L1311">
        <v>367.40230000000003</v>
      </c>
      <c r="M1311">
        <v>0.99987510000000002</v>
      </c>
      <c r="N1311">
        <v>-1.422901E-2</v>
      </c>
      <c r="O1311">
        <v>-6.8896699999999996E-3</v>
      </c>
      <c r="P1311">
        <v>0.98077150000000002</v>
      </c>
      <c r="Q1311">
        <v>0.1813234</v>
      </c>
      <c r="R1311">
        <v>7.2175210000000004E-2</v>
      </c>
      <c r="S1311">
        <v>3.0917659999999998</v>
      </c>
      <c r="T1311">
        <v>-0.1210287</v>
      </c>
      <c r="U1311">
        <v>-0.13833619999999999</v>
      </c>
      <c r="V1311">
        <v>-7.8856919999999997E-2</v>
      </c>
      <c r="W1311">
        <v>0.19528290000000001</v>
      </c>
      <c r="X1311">
        <v>0.97757150000000004</v>
      </c>
      <c r="Y1311">
        <v>3.777689E-2</v>
      </c>
      <c r="Z1311">
        <v>-8.3631729999999896E-4</v>
      </c>
      <c r="AA1311">
        <v>0.99928589999999995</v>
      </c>
      <c r="AB1311">
        <v>30</v>
      </c>
      <c r="AC1311">
        <v>28.1432</v>
      </c>
      <c r="AD1311">
        <v>-1.1104838156829999</v>
      </c>
      <c r="AE1311">
        <v>-1.2676000000000101</v>
      </c>
      <c r="AF1311">
        <v>1.07198726815589</v>
      </c>
      <c r="AG1311">
        <v>-1.1104838156829999</v>
      </c>
      <c r="AH1311">
        <v>28.107592339960402</v>
      </c>
      <c r="AI1311">
        <v>92.260841472993903</v>
      </c>
      <c r="AJ1311">
        <v>87.815871544743302</v>
      </c>
      <c r="AK1311">
        <v>28.149939221202299</v>
      </c>
      <c r="AL1311">
        <v>78.738748923058395</v>
      </c>
      <c r="AM1311">
        <v>94.611843571705094</v>
      </c>
      <c r="AN1311">
        <v>0.99999993123827002</v>
      </c>
    </row>
    <row r="1312" spans="1:40" x14ac:dyDescent="0.25">
      <c r="A1312" t="str">
        <f>"20190304155036779"</f>
        <v>20190304155036779</v>
      </c>
      <c r="B1312" t="str">
        <f>"1551685836777998"</f>
        <v>1551685836777998</v>
      </c>
      <c r="C1312" t="s">
        <v>40</v>
      </c>
      <c r="D1312">
        <v>5.4183190000000003</v>
      </c>
      <c r="E1312">
        <v>0.54408000000000001</v>
      </c>
      <c r="F1312" t="s">
        <v>50</v>
      </c>
      <c r="G1312">
        <v>-207.19759999999999</v>
      </c>
      <c r="H1312" s="1">
        <v>-4.7559669999999996E-6</v>
      </c>
      <c r="I1312">
        <v>366.1103</v>
      </c>
      <c r="J1312">
        <v>-235.3151</v>
      </c>
      <c r="K1312">
        <v>1.1104830000000001</v>
      </c>
      <c r="L1312">
        <v>367.40109999999999</v>
      </c>
      <c r="M1312">
        <v>0.9998745</v>
      </c>
      <c r="N1312">
        <v>-1.42273E-2</v>
      </c>
      <c r="O1312">
        <v>-6.9876449999999998E-3</v>
      </c>
      <c r="P1312">
        <v>0.98083419999999999</v>
      </c>
      <c r="Q1312">
        <v>0.1811043</v>
      </c>
      <c r="R1312">
        <v>7.1875060000000005E-2</v>
      </c>
      <c r="S1312">
        <v>3.0916139999999999</v>
      </c>
      <c r="T1312">
        <v>-0.1213866</v>
      </c>
      <c r="U1312">
        <v>-0.14123540000000001</v>
      </c>
      <c r="V1312">
        <v>-7.8653920000000002E-2</v>
      </c>
      <c r="W1312">
        <v>0.19506309999999999</v>
      </c>
      <c r="X1312">
        <v>0.97763180000000005</v>
      </c>
      <c r="Y1312">
        <v>3.8615299999999998E-2</v>
      </c>
      <c r="Z1312">
        <v>-8.5764309999999998E-4</v>
      </c>
      <c r="AA1312">
        <v>0.99925379999999997</v>
      </c>
      <c r="AB1312">
        <v>30</v>
      </c>
      <c r="AC1312">
        <v>28.1175</v>
      </c>
      <c r="AD1312">
        <v>-1.1104877559669999</v>
      </c>
      <c r="AE1312">
        <v>-1.29079999999999</v>
      </c>
      <c r="AF1312">
        <v>1.0925728778411701</v>
      </c>
      <c r="AG1312">
        <v>-1.1104877559669999</v>
      </c>
      <c r="AH1312">
        <v>28.082123065158701</v>
      </c>
      <c r="AI1312">
        <v>92.262831101470496</v>
      </c>
      <c r="AJ1312">
        <v>87.771954158928693</v>
      </c>
      <c r="AK1312">
        <v>28.125300609882601</v>
      </c>
      <c r="AL1312">
        <v>78.751590193091502</v>
      </c>
      <c r="AM1312">
        <v>94.599739889068204</v>
      </c>
      <c r="AN1312">
        <v>0.99999999424210795</v>
      </c>
    </row>
    <row r="1313" spans="1:40" x14ac:dyDescent="0.25">
      <c r="A1313" t="str">
        <f>"20190304155036792"</f>
        <v>20190304155036792</v>
      </c>
      <c r="B1313" t="str">
        <f>"1551685836787758"</f>
        <v>1551685836787758</v>
      </c>
      <c r="C1313" t="s">
        <v>40</v>
      </c>
      <c r="D1313">
        <v>5.4050419999999999</v>
      </c>
      <c r="E1313">
        <v>0.54403009999999996</v>
      </c>
      <c r="F1313" t="s">
        <v>50</v>
      </c>
      <c r="G1313">
        <v>-207.23480000000001</v>
      </c>
      <c r="H1313" s="1">
        <v>-4.7678549999999999E-6</v>
      </c>
      <c r="I1313">
        <v>366.13479999999998</v>
      </c>
      <c r="J1313">
        <v>-235.16079999999999</v>
      </c>
      <c r="K1313">
        <v>1.1104830000000001</v>
      </c>
      <c r="L1313">
        <v>367.3999</v>
      </c>
      <c r="M1313">
        <v>0.99987380000000003</v>
      </c>
      <c r="N1313">
        <v>-1.4225700000000001E-2</v>
      </c>
      <c r="O1313">
        <v>-7.0789470000000004E-3</v>
      </c>
      <c r="P1313">
        <v>0.98088839999999999</v>
      </c>
      <c r="Q1313">
        <v>0.1810918</v>
      </c>
      <c r="R1313">
        <v>7.1160940000000006E-2</v>
      </c>
      <c r="S1313">
        <v>3.091415</v>
      </c>
      <c r="T1313">
        <v>-0.1222558</v>
      </c>
      <c r="U1313">
        <v>-0.13940429999999901</v>
      </c>
      <c r="V1313">
        <v>-7.8028979999999998E-2</v>
      </c>
      <c r="W1313">
        <v>0.19504959999999999</v>
      </c>
      <c r="X1313">
        <v>0.97768460000000001</v>
      </c>
      <c r="Y1313">
        <v>3.7936619999999997E-2</v>
      </c>
      <c r="Z1313">
        <v>-8.4054599999999996E-4</v>
      </c>
      <c r="AA1313">
        <v>0.99927980000000005</v>
      </c>
      <c r="AB1313">
        <v>30</v>
      </c>
      <c r="AC1313">
        <v>27.925999999999899</v>
      </c>
      <c r="AD1313">
        <v>-1.11048776785499</v>
      </c>
      <c r="AE1313">
        <v>-1.2651000000000101</v>
      </c>
      <c r="AF1313">
        <v>1.0656799327242401</v>
      </c>
      <c r="AG1313">
        <v>-1.11048776785499</v>
      </c>
      <c r="AH1313">
        <v>27.890244529694002</v>
      </c>
      <c r="AI1313">
        <v>92.278443578422795</v>
      </c>
      <c r="AJ1313">
        <v>87.811805726488302</v>
      </c>
      <c r="AK1313">
        <v>27.932679726938002</v>
      </c>
      <c r="AL1313">
        <v>78.752379157756593</v>
      </c>
      <c r="AM1313">
        <v>94.563102500947707</v>
      </c>
      <c r="AN1313">
        <v>1.0000000226285799</v>
      </c>
    </row>
    <row r="1314" spans="1:40" x14ac:dyDescent="0.25">
      <c r="A1314" t="str">
        <f>"20190304155036803"</f>
        <v>20190304155036803</v>
      </c>
      <c r="B1314" t="str">
        <f>"1551685836797519"</f>
        <v>1551685836797519</v>
      </c>
      <c r="C1314" t="s">
        <v>40</v>
      </c>
      <c r="D1314">
        <v>5.4913470000000002</v>
      </c>
      <c r="E1314">
        <v>0.54402450000000002</v>
      </c>
      <c r="F1314" t="s">
        <v>50</v>
      </c>
      <c r="G1314">
        <v>-207.19069999999999</v>
      </c>
      <c r="H1314" s="1">
        <v>-4.750275E-6</v>
      </c>
      <c r="I1314">
        <v>366.12150000000003</v>
      </c>
      <c r="J1314">
        <v>-235.00280000000001</v>
      </c>
      <c r="K1314">
        <v>1.110484</v>
      </c>
      <c r="L1314">
        <v>367.39870000000002</v>
      </c>
      <c r="M1314">
        <v>0.99987309999999996</v>
      </c>
      <c r="N1314">
        <v>-1.422407E-2</v>
      </c>
      <c r="O1314">
        <v>-7.1733530000000004E-3</v>
      </c>
      <c r="P1314">
        <v>0.98094990000000004</v>
      </c>
      <c r="Q1314">
        <v>0.18096719999999999</v>
      </c>
      <c r="R1314">
        <v>7.0625289999999993E-2</v>
      </c>
      <c r="S1314">
        <v>3.09137</v>
      </c>
      <c r="T1314">
        <v>-0.1227356</v>
      </c>
      <c r="U1314">
        <v>-0.14129639999999999</v>
      </c>
      <c r="V1314">
        <v>-7.7586199999999994E-2</v>
      </c>
      <c r="W1314">
        <v>0.19492419999999999</v>
      </c>
      <c r="X1314">
        <v>0.97774479999999997</v>
      </c>
      <c r="Y1314">
        <v>3.8452529999999999E-2</v>
      </c>
      <c r="Z1314">
        <v>-8.53852E-4</v>
      </c>
      <c r="AA1314">
        <v>0.99926009999999998</v>
      </c>
      <c r="AB1314">
        <v>30</v>
      </c>
      <c r="AC1314">
        <v>27.812100000000001</v>
      </c>
      <c r="AD1314">
        <v>-1.110488750275</v>
      </c>
      <c r="AE1314">
        <v>-1.2771999999999899</v>
      </c>
      <c r="AF1314">
        <v>1.0759292282128801</v>
      </c>
      <c r="AG1314">
        <v>-1.110488750275</v>
      </c>
      <c r="AH1314">
        <v>27.776357306539101</v>
      </c>
      <c r="AI1314">
        <v>92.287731504952703</v>
      </c>
      <c r="AJ1314">
        <v>87.781732180964994</v>
      </c>
      <c r="AK1314">
        <v>27.819360779664599</v>
      </c>
      <c r="AL1314">
        <v>78.759704147475205</v>
      </c>
      <c r="AM1314">
        <v>94.5370391394206</v>
      </c>
      <c r="AN1314">
        <v>0.99999997805155905</v>
      </c>
    </row>
    <row r="1315" spans="1:40" x14ac:dyDescent="0.25">
      <c r="A1315" t="str">
        <f>"20190304155036816"</f>
        <v>20190304155036816</v>
      </c>
      <c r="B1315" t="str">
        <f>"1551685836807279"</f>
        <v>1551685836807279</v>
      </c>
      <c r="C1315" t="s">
        <v>40</v>
      </c>
      <c r="D1315">
        <v>5.4521660000000001</v>
      </c>
      <c r="E1315">
        <v>0.54395979999999999</v>
      </c>
      <c r="F1315" t="s">
        <v>50</v>
      </c>
      <c r="G1315">
        <v>-207.31299999999999</v>
      </c>
      <c r="H1315" s="1">
        <v>-4.808356E-6</v>
      </c>
      <c r="I1315">
        <v>366.11649999999997</v>
      </c>
      <c r="J1315">
        <v>-234.8562</v>
      </c>
      <c r="K1315">
        <v>1.110484</v>
      </c>
      <c r="L1315">
        <v>367.39760000000001</v>
      </c>
      <c r="M1315">
        <v>0.99987250000000005</v>
      </c>
      <c r="N1315">
        <v>-1.422255E-2</v>
      </c>
      <c r="O1315">
        <v>-7.2624050000000004E-3</v>
      </c>
      <c r="P1315">
        <v>0.98106130000000003</v>
      </c>
      <c r="Q1315">
        <v>0.1804471</v>
      </c>
      <c r="R1315">
        <v>7.041037E-2</v>
      </c>
      <c r="S1315">
        <v>3.0914459999999999</v>
      </c>
      <c r="T1315">
        <v>-0.1239812</v>
      </c>
      <c r="U1315">
        <v>-0.14315799999999901</v>
      </c>
      <c r="V1315">
        <v>-7.7459130000000001E-2</v>
      </c>
      <c r="W1315">
        <v>0.19440460000000001</v>
      </c>
      <c r="X1315">
        <v>0.97785840000000002</v>
      </c>
      <c r="Y1315">
        <v>3.8961679999999999E-2</v>
      </c>
      <c r="Z1315">
        <v>-8.7016909999999999E-4</v>
      </c>
      <c r="AA1315">
        <v>0.99924029999999997</v>
      </c>
      <c r="AB1315">
        <v>30</v>
      </c>
      <c r="AC1315">
        <v>27.543199999999999</v>
      </c>
      <c r="AD1315">
        <v>-1.1104888083560001</v>
      </c>
      <c r="AE1315">
        <v>-1.2811000000000301</v>
      </c>
      <c r="AF1315">
        <v>1.0792654951719101</v>
      </c>
      <c r="AG1315">
        <v>-1.1104888083560001</v>
      </c>
      <c r="AH1315">
        <v>27.507160640878499</v>
      </c>
      <c r="AI1315">
        <v>92.310051246110106</v>
      </c>
      <c r="AJ1315">
        <v>87.753106686276993</v>
      </c>
      <c r="AK1315">
        <v>27.5507147988151</v>
      </c>
      <c r="AL1315">
        <v>78.790056569476604</v>
      </c>
      <c r="AM1315">
        <v>94.529115335509005</v>
      </c>
      <c r="AN1315">
        <v>1.00000005788603</v>
      </c>
    </row>
    <row r="1316" spans="1:40" x14ac:dyDescent="0.25">
      <c r="A1316" t="str">
        <f>"20190304155036829"</f>
        <v>20190304155036829</v>
      </c>
      <c r="B1316" t="str">
        <f>"1551685836818016"</f>
        <v>1551685836818016</v>
      </c>
      <c r="C1316" t="s">
        <v>40</v>
      </c>
      <c r="D1316">
        <v>5.3636530000000002</v>
      </c>
      <c r="E1316">
        <v>0.54408339999999999</v>
      </c>
      <c r="F1316" t="s">
        <v>50</v>
      </c>
      <c r="G1316">
        <v>-207.65010000000001</v>
      </c>
      <c r="H1316" s="1">
        <v>-4.9606670000000004E-6</v>
      </c>
      <c r="I1316">
        <v>366.1377</v>
      </c>
      <c r="J1316">
        <v>-234.672</v>
      </c>
      <c r="K1316">
        <v>1.110482</v>
      </c>
      <c r="L1316">
        <v>367.39609999999999</v>
      </c>
      <c r="M1316">
        <v>0.99987179999999998</v>
      </c>
      <c r="N1316">
        <v>-1.422065E-2</v>
      </c>
      <c r="O1316">
        <v>-7.3761429999999999E-3</v>
      </c>
      <c r="P1316">
        <v>0.98114900000000005</v>
      </c>
      <c r="Q1316">
        <v>0.18012349999999999</v>
      </c>
      <c r="R1316">
        <v>7.0016460000000003E-2</v>
      </c>
      <c r="S1316">
        <v>3.091415</v>
      </c>
      <c r="T1316">
        <v>-0.1261843</v>
      </c>
      <c r="U1316">
        <v>-0.14315799999999901</v>
      </c>
      <c r="V1316">
        <v>-7.717649E-2</v>
      </c>
      <c r="W1316">
        <v>0.19408039999999999</v>
      </c>
      <c r="X1316">
        <v>0.97794510000000001</v>
      </c>
      <c r="Y1316">
        <v>3.8847449999999999E-2</v>
      </c>
      <c r="Z1316">
        <v>-8.7265580000000001E-4</v>
      </c>
      <c r="AA1316">
        <v>0.99924469999999999</v>
      </c>
      <c r="AB1316">
        <v>30</v>
      </c>
      <c r="AC1316">
        <v>27.021899999999899</v>
      </c>
      <c r="AD1316">
        <v>-1.110486960667</v>
      </c>
      <c r="AE1316">
        <v>-1.25839999999999</v>
      </c>
      <c r="AF1316">
        <v>1.0572465455478399</v>
      </c>
      <c r="AG1316">
        <v>-1.110486960667</v>
      </c>
      <c r="AH1316">
        <v>26.984972445151001</v>
      </c>
      <c r="AI1316">
        <v>92.354704686821606</v>
      </c>
      <c r="AJ1316">
        <v>87.756351280785296</v>
      </c>
      <c r="AK1316">
        <v>27.028497727647501</v>
      </c>
      <c r="AL1316">
        <v>78.808992041910201</v>
      </c>
      <c r="AM1316">
        <v>94.512259047849398</v>
      </c>
      <c r="AN1316">
        <v>1.0000000154434401</v>
      </c>
    </row>
    <row r="1317" spans="1:40" x14ac:dyDescent="0.25">
      <c r="A1317" t="str">
        <f>"20190304155036842"</f>
        <v>20190304155036842</v>
      </c>
      <c r="B1317" t="str">
        <f>"1551685836837535"</f>
        <v>1551685836837535</v>
      </c>
      <c r="C1317" t="s">
        <v>40</v>
      </c>
      <c r="D1317">
        <v>5.3564889999999998</v>
      </c>
      <c r="E1317">
        <v>0.54435129999999998</v>
      </c>
      <c r="F1317" t="s">
        <v>50</v>
      </c>
      <c r="G1317">
        <v>-207.49870000000001</v>
      </c>
      <c r="H1317" s="1">
        <v>-4.8945810000000002E-6</v>
      </c>
      <c r="I1317">
        <v>366.11779999999999</v>
      </c>
      <c r="J1317">
        <v>-234.5009</v>
      </c>
      <c r="K1317">
        <v>1.1104799999999999</v>
      </c>
      <c r="L1317">
        <v>367.3947</v>
      </c>
      <c r="M1317">
        <v>0.99987079999999995</v>
      </c>
      <c r="N1317">
        <v>-1.421886E-2</v>
      </c>
      <c r="O1317">
        <v>-7.4857300000000003E-3</v>
      </c>
      <c r="P1317">
        <v>0.98123550000000004</v>
      </c>
      <c r="Q1317">
        <v>0.1798215</v>
      </c>
      <c r="R1317">
        <v>6.9578680000000004E-2</v>
      </c>
      <c r="S1317">
        <v>3.091202</v>
      </c>
      <c r="T1317">
        <v>-0.12632750000000001</v>
      </c>
      <c r="U1317">
        <v>-0.145416299999999</v>
      </c>
      <c r="V1317">
        <v>-7.6845899999999995E-2</v>
      </c>
      <c r="W1317">
        <v>0.1937778</v>
      </c>
      <c r="X1317">
        <v>0.97803110000000004</v>
      </c>
      <c r="Y1317">
        <v>3.9468799999999998E-2</v>
      </c>
      <c r="Z1317">
        <v>-8.8738369999999997E-4</v>
      </c>
      <c r="AA1317">
        <v>0.99922040000000001</v>
      </c>
      <c r="AB1317">
        <v>29</v>
      </c>
      <c r="AC1317">
        <v>27.002199999999899</v>
      </c>
      <c r="AD1317">
        <v>-1.110484894581</v>
      </c>
      <c r="AE1317">
        <v>-1.2769000000000099</v>
      </c>
      <c r="AF1317">
        <v>1.0729020070388999</v>
      </c>
      <c r="AG1317">
        <v>-1.110484894581</v>
      </c>
      <c r="AH1317">
        <v>26.965497129832901</v>
      </c>
      <c r="AI1317">
        <v>92.356342535759694</v>
      </c>
      <c r="AJ1317">
        <v>87.721519891784993</v>
      </c>
      <c r="AK1317">
        <v>27.009671061988701</v>
      </c>
      <c r="AL1317">
        <v>78.826664863747197</v>
      </c>
      <c r="AM1317">
        <v>94.492616372328698</v>
      </c>
      <c r="AN1317">
        <v>0.99999998034342896</v>
      </c>
    </row>
    <row r="1318" spans="1:40" x14ac:dyDescent="0.25">
      <c r="A1318" t="str">
        <f>"20190304155036859"</f>
        <v>20190304155036859</v>
      </c>
      <c r="B1318" t="str">
        <f>"1551685836847295"</f>
        <v>1551685836847295</v>
      </c>
      <c r="C1318" t="s">
        <v>40</v>
      </c>
      <c r="D1318">
        <v>5.3519350000000001</v>
      </c>
      <c r="E1318">
        <v>0.54442570000000001</v>
      </c>
      <c r="F1318" t="s">
        <v>50</v>
      </c>
      <c r="G1318">
        <v>-207.11160000000001</v>
      </c>
      <c r="H1318" s="1">
        <v>-4.7229360000000003E-6</v>
      </c>
      <c r="I1318">
        <v>366.07859999999999</v>
      </c>
      <c r="J1318">
        <v>-234.29</v>
      </c>
      <c r="K1318">
        <v>1.1104750000000001</v>
      </c>
      <c r="L1318">
        <v>367.39299999999997</v>
      </c>
      <c r="M1318">
        <v>0.99986989999999998</v>
      </c>
      <c r="N1318">
        <v>-1.4216629999999999E-2</v>
      </c>
      <c r="O1318">
        <v>-7.6255050000000003E-3</v>
      </c>
      <c r="P1318">
        <v>0.98129759999999999</v>
      </c>
      <c r="Q1318">
        <v>0.17962929999999999</v>
      </c>
      <c r="R1318">
        <v>6.9203920000000002E-2</v>
      </c>
      <c r="S1318">
        <v>3.0908660000000001</v>
      </c>
      <c r="T1318">
        <v>-0.1253175</v>
      </c>
      <c r="U1318">
        <v>-0.1485291</v>
      </c>
      <c r="V1318">
        <v>-7.6606809999999997E-2</v>
      </c>
      <c r="W1318">
        <v>0.19358500000000001</v>
      </c>
      <c r="X1318">
        <v>0.97808810000000002</v>
      </c>
      <c r="Y1318">
        <v>4.0337860000000003E-2</v>
      </c>
      <c r="Z1318">
        <v>-9.034828E-4</v>
      </c>
      <c r="AA1318">
        <v>0.99918569999999995</v>
      </c>
      <c r="AB1318">
        <v>29</v>
      </c>
      <c r="AC1318">
        <v>27.1783999999999</v>
      </c>
      <c r="AD1318">
        <v>-1.1104797229359999</v>
      </c>
      <c r="AE1318">
        <v>-1.31440000000003</v>
      </c>
      <c r="AF1318">
        <v>1.1052509566231501</v>
      </c>
      <c r="AG1318">
        <v>-1.1104797229359999</v>
      </c>
      <c r="AH1318">
        <v>27.1424264182527</v>
      </c>
      <c r="AI1318">
        <v>92.340901222731901</v>
      </c>
      <c r="AJ1318">
        <v>87.668180161309905</v>
      </c>
      <c r="AK1318">
        <v>27.187608514954601</v>
      </c>
      <c r="AL1318">
        <v>78.837925414741406</v>
      </c>
      <c r="AM1318">
        <v>94.478435547187701</v>
      </c>
      <c r="AN1318">
        <v>1.0000000434624901</v>
      </c>
    </row>
    <row r="1319" spans="1:40" x14ac:dyDescent="0.25">
      <c r="A1319" t="str">
        <f>"20190304155036880"</f>
        <v>20190304155036880</v>
      </c>
      <c r="B1319" t="str">
        <f>"1551685836877551"</f>
        <v>1551685836877551</v>
      </c>
      <c r="C1319" t="s">
        <v>40</v>
      </c>
      <c r="D1319">
        <v>5.7085100000000004</v>
      </c>
      <c r="E1319">
        <v>0.54436490000000004</v>
      </c>
      <c r="F1319" t="s">
        <v>50</v>
      </c>
      <c r="G1319">
        <v>-206.791</v>
      </c>
      <c r="H1319" s="1">
        <v>-4.5782170000000003E-6</v>
      </c>
      <c r="I1319">
        <v>366.05790000000002</v>
      </c>
      <c r="J1319">
        <v>-234.00309999999999</v>
      </c>
      <c r="K1319">
        <v>1.1104689999999999</v>
      </c>
      <c r="L1319">
        <v>367.39060000000001</v>
      </c>
      <c r="M1319">
        <v>0.99986830000000004</v>
      </c>
      <c r="N1319">
        <v>-1.42136E-2</v>
      </c>
      <c r="O1319">
        <v>-7.8254250000000004E-3</v>
      </c>
      <c r="P1319">
        <v>0.9812594</v>
      </c>
      <c r="Q1319">
        <v>0.180035</v>
      </c>
      <c r="R1319">
        <v>6.8684259999999997E-2</v>
      </c>
      <c r="S1319">
        <v>3.0905909999999999</v>
      </c>
      <c r="T1319">
        <v>-0.12480620000000001</v>
      </c>
      <c r="U1319">
        <v>-0.15005489999999999</v>
      </c>
      <c r="V1319">
        <v>-7.627834E-2</v>
      </c>
      <c r="W1319">
        <v>0.1939892</v>
      </c>
      <c r="X1319">
        <v>0.97803370000000001</v>
      </c>
      <c r="Y1319">
        <v>4.0634530000000002E-2</v>
      </c>
      <c r="Z1319">
        <v>-9.0423789999999999E-4</v>
      </c>
      <c r="AA1319">
        <v>0.9991736</v>
      </c>
      <c r="AB1319">
        <v>29</v>
      </c>
      <c r="AC1319">
        <v>27.2120999999999</v>
      </c>
      <c r="AD1319">
        <v>-1.1104735782170001</v>
      </c>
      <c r="AE1319">
        <v>-1.33269999999998</v>
      </c>
      <c r="AF1319">
        <v>1.1178343369878601</v>
      </c>
      <c r="AG1319">
        <v>-1.1104735782170001</v>
      </c>
      <c r="AH1319">
        <v>27.176547818522302</v>
      </c>
      <c r="AI1319">
        <v>92.337913152994005</v>
      </c>
      <c r="AJ1319">
        <v>87.644619656263004</v>
      </c>
      <c r="AK1319">
        <v>27.222186842818001</v>
      </c>
      <c r="AL1319">
        <v>78.814319117343501</v>
      </c>
      <c r="AM1319">
        <v>94.459557836000599</v>
      </c>
      <c r="AN1319">
        <v>1.0000000566027401</v>
      </c>
    </row>
    <row r="1320" spans="1:40" x14ac:dyDescent="0.25">
      <c r="A1320" t="str">
        <f>"20190304155036893"</f>
        <v>20190304155036893</v>
      </c>
      <c r="B1320" t="str">
        <f>"1551685836887311"</f>
        <v>1551685836887311</v>
      </c>
      <c r="C1320" t="s">
        <v>40</v>
      </c>
      <c r="D1320">
        <v>5.4956120000000004</v>
      </c>
      <c r="E1320">
        <v>0.54433830000000005</v>
      </c>
      <c r="F1320" t="s">
        <v>50</v>
      </c>
      <c r="G1320">
        <v>-206.3107</v>
      </c>
      <c r="H1320" s="1">
        <v>-4.3591889999999996E-6</v>
      </c>
      <c r="I1320">
        <v>366.03649999999999</v>
      </c>
      <c r="J1320">
        <v>-233.8331</v>
      </c>
      <c r="K1320">
        <v>1.110465</v>
      </c>
      <c r="L1320">
        <v>367.38909999999998</v>
      </c>
      <c r="M1320">
        <v>0.99986750000000002</v>
      </c>
      <c r="N1320">
        <v>-1.421184E-2</v>
      </c>
      <c r="O1320">
        <v>-7.9511649999999996E-3</v>
      </c>
      <c r="P1320">
        <v>0.98119310000000004</v>
      </c>
      <c r="Q1320">
        <v>0.18051049999999999</v>
      </c>
      <c r="R1320">
        <v>6.8384440000000005E-2</v>
      </c>
      <c r="S1320">
        <v>3.0906220000000002</v>
      </c>
      <c r="T1320">
        <v>-0.12393469999999999</v>
      </c>
      <c r="U1320">
        <v>-0.15112300000000001</v>
      </c>
      <c r="V1320">
        <v>-7.6098509999999994E-2</v>
      </c>
      <c r="W1320">
        <v>0.19446260000000001</v>
      </c>
      <c r="X1320">
        <v>0.97795359999999998</v>
      </c>
      <c r="Y1320">
        <v>4.0853180000000003E-2</v>
      </c>
      <c r="Z1320">
        <v>-9.0334789999999996E-4</v>
      </c>
      <c r="AA1320">
        <v>0.99916479999999996</v>
      </c>
      <c r="AB1320">
        <v>29</v>
      </c>
      <c r="AC1320">
        <v>27.522400000000001</v>
      </c>
      <c r="AD1320">
        <v>-1.110469359189</v>
      </c>
      <c r="AE1320">
        <v>-1.35259999999999</v>
      </c>
      <c r="AF1320">
        <v>1.1318618384961401</v>
      </c>
      <c r="AG1320">
        <v>-1.110469359189</v>
      </c>
      <c r="AH1320">
        <v>27.487645004322999</v>
      </c>
      <c r="AI1320">
        <v>92.311469173119207</v>
      </c>
      <c r="AJ1320">
        <v>87.642057338103399</v>
      </c>
      <c r="AK1320">
        <v>27.533341266595698</v>
      </c>
      <c r="AL1320">
        <v>78.786667704099798</v>
      </c>
      <c r="AM1320">
        <v>94.449449409237104</v>
      </c>
      <c r="AN1320">
        <v>0.99999996488796905</v>
      </c>
    </row>
    <row r="1321" spans="1:40" x14ac:dyDescent="0.25">
      <c r="A1321" t="str">
        <f>"20190304155036903"</f>
        <v>20190304155036903</v>
      </c>
      <c r="B1321" t="str">
        <f>"1551685836898047"</f>
        <v>1551685836898047</v>
      </c>
      <c r="C1321" t="s">
        <v>40</v>
      </c>
      <c r="D1321">
        <v>5.4646210000000002</v>
      </c>
      <c r="E1321">
        <v>0.544242</v>
      </c>
      <c r="F1321" t="s">
        <v>50</v>
      </c>
      <c r="G1321">
        <v>-206.03059999999999</v>
      </c>
      <c r="H1321" s="1">
        <v>-4.2301829999999999E-6</v>
      </c>
      <c r="I1321">
        <v>366.03</v>
      </c>
      <c r="J1321">
        <v>-233.6842</v>
      </c>
      <c r="K1321">
        <v>1.110463</v>
      </c>
      <c r="L1321">
        <v>367.38780000000003</v>
      </c>
      <c r="M1321">
        <v>0.99986649999999999</v>
      </c>
      <c r="N1321">
        <v>-1.421032E-2</v>
      </c>
      <c r="O1321">
        <v>-8.0653400000000007E-3</v>
      </c>
      <c r="P1321">
        <v>0.98120949999999996</v>
      </c>
      <c r="Q1321">
        <v>0.18060809999999999</v>
      </c>
      <c r="R1321">
        <v>6.7886799999999997E-2</v>
      </c>
      <c r="S1321">
        <v>3.0907589999999998</v>
      </c>
      <c r="T1321">
        <v>-0.1234492</v>
      </c>
      <c r="U1321">
        <v>-0.15109249999999999</v>
      </c>
      <c r="V1321">
        <v>-7.5709949999999998E-2</v>
      </c>
      <c r="W1321">
        <v>0.19456039999999999</v>
      </c>
      <c r="X1321">
        <v>0.97796430000000001</v>
      </c>
      <c r="Y1321">
        <v>4.0727529999999998E-2</v>
      </c>
      <c r="Z1321">
        <v>-8.9499100000000004E-4</v>
      </c>
      <c r="AA1321">
        <v>0.99916990000000006</v>
      </c>
      <c r="AB1321">
        <v>29</v>
      </c>
      <c r="AC1321">
        <v>27.653600000000001</v>
      </c>
      <c r="AD1321">
        <v>-1.1104672301829901</v>
      </c>
      <c r="AE1321">
        <v>-1.3578000000000501</v>
      </c>
      <c r="AF1321">
        <v>1.13287521623387</v>
      </c>
      <c r="AG1321">
        <v>-1.1104672301829901</v>
      </c>
      <c r="AH1321">
        <v>27.6192228518149</v>
      </c>
      <c r="AI1321">
        <v>92.300479834088407</v>
      </c>
      <c r="AJ1321">
        <v>87.651179263743003</v>
      </c>
      <c r="AK1321">
        <v>27.664743170018401</v>
      </c>
      <c r="AL1321">
        <v>78.7809549988811</v>
      </c>
      <c r="AM1321">
        <v>94.426772756227393</v>
      </c>
      <c r="AN1321">
        <v>0.99999995892582505</v>
      </c>
    </row>
    <row r="1322" spans="1:40" x14ac:dyDescent="0.25">
      <c r="A1322" t="str">
        <f>"20190304155036916"</f>
        <v>20190304155036916</v>
      </c>
      <c r="B1322" t="str">
        <f>"1551685836907808"</f>
        <v>1551685836907808</v>
      </c>
      <c r="C1322" t="s">
        <v>40</v>
      </c>
      <c r="D1322">
        <v>5.5004049999999998</v>
      </c>
      <c r="E1322">
        <v>0.54422530000000002</v>
      </c>
      <c r="F1322" t="s">
        <v>50</v>
      </c>
      <c r="G1322">
        <v>-205.93369999999999</v>
      </c>
      <c r="H1322" s="1">
        <v>-4.1858039999999999E-6</v>
      </c>
      <c r="I1322">
        <v>366.02659999999997</v>
      </c>
      <c r="J1322">
        <v>-233.5282</v>
      </c>
      <c r="K1322">
        <v>1.1104590000000001</v>
      </c>
      <c r="L1322">
        <v>367.38639999999998</v>
      </c>
      <c r="M1322">
        <v>0.99986569999999997</v>
      </c>
      <c r="N1322">
        <v>-1.4208709999999999E-2</v>
      </c>
      <c r="O1322">
        <v>-8.1922880000000007E-3</v>
      </c>
      <c r="P1322">
        <v>0.9812343</v>
      </c>
      <c r="Q1322">
        <v>0.180645</v>
      </c>
      <c r="R1322">
        <v>6.7432880000000001E-2</v>
      </c>
      <c r="S1322">
        <v>3.090668</v>
      </c>
      <c r="T1322">
        <v>-0.12367640000000001</v>
      </c>
      <c r="U1322">
        <v>-0.15161129999999901</v>
      </c>
      <c r="V1322">
        <v>-7.5377360000000004E-2</v>
      </c>
      <c r="W1322">
        <v>0.19459679999999999</v>
      </c>
      <c r="X1322">
        <v>0.97798280000000004</v>
      </c>
      <c r="Y1322">
        <v>4.0769300000000001E-2</v>
      </c>
      <c r="Z1322">
        <v>-8.9372170000000001E-4</v>
      </c>
      <c r="AA1322">
        <v>0.99916819999999895</v>
      </c>
      <c r="AB1322">
        <v>29</v>
      </c>
      <c r="AC1322">
        <v>27.5945</v>
      </c>
      <c r="AD1322">
        <v>-1.1104631858039999</v>
      </c>
      <c r="AE1322">
        <v>-1.3597999999999999</v>
      </c>
      <c r="AF1322">
        <v>1.1318409909888101</v>
      </c>
      <c r="AG1322">
        <v>-1.1104631858039999</v>
      </c>
      <c r="AH1322">
        <v>27.5601910159934</v>
      </c>
      <c r="AI1322">
        <v>92.305388839712293</v>
      </c>
      <c r="AJ1322">
        <v>87.648300382021006</v>
      </c>
      <c r="AK1322">
        <v>27.6057660888799</v>
      </c>
      <c r="AL1322">
        <v>78.778829363681595</v>
      </c>
      <c r="AM1322">
        <v>94.4073199130614</v>
      </c>
      <c r="AN1322">
        <v>1.0000000090333201</v>
      </c>
    </row>
    <row r="1323" spans="1:40" x14ac:dyDescent="0.25">
      <c r="A1323" t="str">
        <f>"20190304155036929"</f>
        <v>20190304155036929</v>
      </c>
      <c r="B1323" t="str">
        <f>"1551685836917567"</f>
        <v>1551685836917567</v>
      </c>
      <c r="C1323" t="s">
        <v>40</v>
      </c>
      <c r="D1323">
        <v>5.8996729999999999</v>
      </c>
      <c r="E1323">
        <v>0.54422530000000002</v>
      </c>
      <c r="F1323" t="s">
        <v>50</v>
      </c>
      <c r="G1323">
        <v>-206.0086</v>
      </c>
      <c r="H1323" s="1">
        <v>-4.2206270000000004E-6</v>
      </c>
      <c r="I1323">
        <v>366.02679999999998</v>
      </c>
      <c r="J1323">
        <v>-233.3647</v>
      </c>
      <c r="K1323">
        <v>1.110452</v>
      </c>
      <c r="L1323">
        <v>367.38490000000002</v>
      </c>
      <c r="M1323">
        <v>0.99986450000000004</v>
      </c>
      <c r="N1323">
        <v>-1.4207020000000001E-2</v>
      </c>
      <c r="O1323">
        <v>-8.3290229999999996E-3</v>
      </c>
      <c r="P1323">
        <v>0.98122679999999995</v>
      </c>
      <c r="Q1323">
        <v>0.18091989999999999</v>
      </c>
      <c r="R1323">
        <v>6.6800239999999997E-2</v>
      </c>
      <c r="S1323">
        <v>3.0908359999999999</v>
      </c>
      <c r="T1323">
        <v>-0.1247205</v>
      </c>
      <c r="U1323">
        <v>-0.15270999999999901</v>
      </c>
      <c r="V1323">
        <v>-7.4874689999999994E-2</v>
      </c>
      <c r="W1323">
        <v>0.19487090000000001</v>
      </c>
      <c r="X1323">
        <v>0.97796680000000002</v>
      </c>
      <c r="Y1323">
        <v>4.0983539999999999E-2</v>
      </c>
      <c r="Z1323">
        <v>-9.0002880000000004E-4</v>
      </c>
      <c r="AA1323">
        <v>0.99915940000000003</v>
      </c>
      <c r="AB1323">
        <v>29</v>
      </c>
      <c r="AC1323">
        <v>27.356100000000001</v>
      </c>
      <c r="AD1323">
        <v>-1.1104562206269999</v>
      </c>
      <c r="AE1323">
        <v>-1.3581000000000301</v>
      </c>
      <c r="AF1323">
        <v>1.1283256830834101</v>
      </c>
      <c r="AG1323">
        <v>-1.1104562206269999</v>
      </c>
      <c r="AH1323">
        <v>27.3215549572508</v>
      </c>
      <c r="AI1323">
        <v>92.325466364708305</v>
      </c>
      <c r="AJ1323">
        <v>87.635142504791901</v>
      </c>
      <c r="AK1323">
        <v>27.367381992932899</v>
      </c>
      <c r="AL1323">
        <v>78.762817677953507</v>
      </c>
      <c r="AM1323">
        <v>94.378114760098995</v>
      </c>
      <c r="AN1323">
        <v>0.999999974385822</v>
      </c>
    </row>
    <row r="1324" spans="1:40" x14ac:dyDescent="0.25">
      <c r="A1324" t="str">
        <f>"20190304155036940"</f>
        <v>20190304155036940</v>
      </c>
      <c r="B1324" t="str">
        <f>"1551685836938064"</f>
        <v>1551685836938064</v>
      </c>
      <c r="C1324" t="s">
        <v>40</v>
      </c>
      <c r="D1324">
        <v>5.5094799999999999</v>
      </c>
      <c r="E1324">
        <v>0.54429620000000001</v>
      </c>
      <c r="F1324" t="s">
        <v>50</v>
      </c>
      <c r="G1324">
        <v>-205.6611</v>
      </c>
      <c r="H1324" s="1">
        <v>-4.0648870000000001E-6</v>
      </c>
      <c r="I1324">
        <v>365.99919999999997</v>
      </c>
      <c r="J1324">
        <v>-233.21190000000001</v>
      </c>
      <c r="K1324">
        <v>1.110447</v>
      </c>
      <c r="L1324">
        <v>367.38350000000003</v>
      </c>
      <c r="M1324">
        <v>0.99986330000000001</v>
      </c>
      <c r="N1324">
        <v>-1.420542E-2</v>
      </c>
      <c r="O1324">
        <v>-8.4671950000000003E-3</v>
      </c>
      <c r="P1324">
        <v>0.98122790000000004</v>
      </c>
      <c r="Q1324">
        <v>0.1811112</v>
      </c>
      <c r="R1324">
        <v>6.6262589999999996E-2</v>
      </c>
      <c r="S1324">
        <v>3.0907900000000001</v>
      </c>
      <c r="T1324">
        <v>-0.12388970000000001</v>
      </c>
      <c r="U1324">
        <v>-0.15460209999999999</v>
      </c>
      <c r="V1324">
        <v>-7.4468419999999994E-2</v>
      </c>
      <c r="W1324">
        <v>0.1950617</v>
      </c>
      <c r="X1324">
        <v>0.97795980000000005</v>
      </c>
      <c r="Y1324">
        <v>4.145633E-2</v>
      </c>
      <c r="Z1324">
        <v>-9.0597829999999999E-4</v>
      </c>
      <c r="AA1324">
        <v>0.99913989999999997</v>
      </c>
      <c r="AB1324">
        <v>29</v>
      </c>
      <c r="AC1324">
        <v>27.550799999999999</v>
      </c>
      <c r="AD1324">
        <v>-1.1104510648870001</v>
      </c>
      <c r="AE1324">
        <v>-1.38430000000005</v>
      </c>
      <c r="AF1324">
        <v>1.1490868056357999</v>
      </c>
      <c r="AG1324">
        <v>-1.1104510648870001</v>
      </c>
      <c r="AH1324">
        <v>27.516944690814501</v>
      </c>
      <c r="AI1324">
        <v>92.308917035765504</v>
      </c>
      <c r="AJ1324">
        <v>87.608760896244803</v>
      </c>
      <c r="AK1324">
        <v>27.563304358725599</v>
      </c>
      <c r="AL1324">
        <v>78.751671945822395</v>
      </c>
      <c r="AM1324">
        <v>94.354481777572204</v>
      </c>
      <c r="AN1324">
        <v>0.99999999140011298</v>
      </c>
    </row>
    <row r="1325" spans="1:40" x14ac:dyDescent="0.25">
      <c r="A1325" t="str">
        <f>"20190304155036952"</f>
        <v>20190304155036952</v>
      </c>
      <c r="B1325" t="str">
        <f>"1551685836947823"</f>
        <v>1551685836947823</v>
      </c>
      <c r="C1325" t="s">
        <v>40</v>
      </c>
      <c r="D1325">
        <v>5.5086009999999996</v>
      </c>
      <c r="E1325">
        <v>0.54433599999999904</v>
      </c>
      <c r="F1325" t="s">
        <v>50</v>
      </c>
      <c r="G1325">
        <v>-205.67490000000001</v>
      </c>
      <c r="H1325" s="1">
        <v>-4.0741639999999997E-6</v>
      </c>
      <c r="I1325">
        <v>365.9864</v>
      </c>
      <c r="J1325">
        <v>-233.05340000000001</v>
      </c>
      <c r="K1325">
        <v>1.1104430000000001</v>
      </c>
      <c r="L1325">
        <v>367.38200000000001</v>
      </c>
      <c r="M1325">
        <v>0.99986209999999998</v>
      </c>
      <c r="N1325">
        <v>-1.4203769999999999E-2</v>
      </c>
      <c r="O1325">
        <v>-8.6149139999999996E-3</v>
      </c>
      <c r="P1325">
        <v>0.98124960000000006</v>
      </c>
      <c r="Q1325">
        <v>0.18129999999999999</v>
      </c>
      <c r="R1325">
        <v>6.5419679999999994E-2</v>
      </c>
      <c r="S1325">
        <v>3.0909879999999998</v>
      </c>
      <c r="T1325">
        <v>-0.1246467</v>
      </c>
      <c r="U1325">
        <v>-0.15682979999999899</v>
      </c>
      <c r="V1325">
        <v>-7.3766559999999995E-2</v>
      </c>
      <c r="W1325">
        <v>0.19525020000000001</v>
      </c>
      <c r="X1325">
        <v>0.97797540000000005</v>
      </c>
      <c r="Y1325">
        <v>4.2022820000000002E-2</v>
      </c>
      <c r="Z1325">
        <v>-9.2047660000000003E-4</v>
      </c>
      <c r="AA1325">
        <v>0.99911620000000001</v>
      </c>
      <c r="AB1325">
        <v>29</v>
      </c>
      <c r="AC1325">
        <v>27.378499999999999</v>
      </c>
      <c r="AD1325">
        <v>-1.110447074164</v>
      </c>
      <c r="AE1325">
        <v>-1.39559999999994</v>
      </c>
      <c r="AF1325">
        <v>1.15776137513165</v>
      </c>
      <c r="AG1325">
        <v>-1.110447074164</v>
      </c>
      <c r="AH1325">
        <v>27.344641545215801</v>
      </c>
      <c r="AI1325">
        <v>92.323385132962699</v>
      </c>
      <c r="AJ1325">
        <v>87.575567237390104</v>
      </c>
      <c r="AK1325">
        <v>27.3916579516941</v>
      </c>
      <c r="AL1325">
        <v>78.740660218551199</v>
      </c>
      <c r="AM1325">
        <v>94.313528160354096</v>
      </c>
      <c r="AN1325">
        <v>1.0000000144897101</v>
      </c>
    </row>
    <row r="1326" spans="1:40" x14ac:dyDescent="0.25">
      <c r="A1326" t="str">
        <f>"20190304155036964"</f>
        <v>20190304155036964</v>
      </c>
      <c r="B1326" t="str">
        <f>"1551685836957584"</f>
        <v>1551685836957584</v>
      </c>
      <c r="C1326" t="s">
        <v>40</v>
      </c>
      <c r="D1326">
        <v>5.8780400000000004</v>
      </c>
      <c r="E1326">
        <v>0.54433599999999904</v>
      </c>
      <c r="F1326" t="s">
        <v>50</v>
      </c>
      <c r="G1326">
        <v>-205.5624</v>
      </c>
      <c r="H1326" s="1">
        <v>-4.0270999999999999E-6</v>
      </c>
      <c r="I1326">
        <v>365.96230000000003</v>
      </c>
      <c r="J1326">
        <v>-232.88829999999999</v>
      </c>
      <c r="K1326">
        <v>1.1104350000000001</v>
      </c>
      <c r="L1326">
        <v>367.38049999999998</v>
      </c>
      <c r="M1326">
        <v>0.99986079999999999</v>
      </c>
      <c r="N1326">
        <v>-1.4202050000000001E-2</v>
      </c>
      <c r="O1326">
        <v>-8.7756440000000008E-3</v>
      </c>
      <c r="P1326">
        <v>0.98122200000000004</v>
      </c>
      <c r="Q1326">
        <v>0.18170739999999999</v>
      </c>
      <c r="R1326">
        <v>6.4698619999999998E-2</v>
      </c>
      <c r="S1326">
        <v>3.0910639999999998</v>
      </c>
      <c r="T1326">
        <v>-0.1248578</v>
      </c>
      <c r="U1326">
        <v>-0.15963749999999999</v>
      </c>
      <c r="V1326">
        <v>-7.3198089999999993E-2</v>
      </c>
      <c r="W1326">
        <v>0.195657</v>
      </c>
      <c r="X1326">
        <v>0.97793680000000005</v>
      </c>
      <c r="Y1326">
        <v>4.2765200000000003E-2</v>
      </c>
      <c r="Z1326">
        <v>-9.3730409999999995E-4</v>
      </c>
      <c r="AA1326">
        <v>0.99908470000000005</v>
      </c>
      <c r="AB1326">
        <v>29</v>
      </c>
      <c r="AC1326">
        <v>27.325899999999901</v>
      </c>
      <c r="AD1326">
        <v>-1.1104390271</v>
      </c>
      <c r="AE1326">
        <v>-1.4181999999999499</v>
      </c>
      <c r="AF1326">
        <v>1.17638145535699</v>
      </c>
      <c r="AG1326">
        <v>-1.1104390271</v>
      </c>
      <c r="AH1326">
        <v>27.2923461437173</v>
      </c>
      <c r="AI1326">
        <v>92.327739581180694</v>
      </c>
      <c r="AJ1326">
        <v>87.531908855391706</v>
      </c>
      <c r="AK1326">
        <v>27.340247003088599</v>
      </c>
      <c r="AL1326">
        <v>78.716893787060201</v>
      </c>
      <c r="AM1326">
        <v>94.280579003778996</v>
      </c>
      <c r="AN1326">
        <v>1.00000000341144</v>
      </c>
    </row>
    <row r="1327" spans="1:40" x14ac:dyDescent="0.25">
      <c r="A1327" t="str">
        <f>"20190304155036981"</f>
        <v>20190304155036981</v>
      </c>
      <c r="B1327" t="str">
        <f>"1551685836978079"</f>
        <v>1551685836978079</v>
      </c>
      <c r="C1327" t="s">
        <v>40</v>
      </c>
      <c r="D1327">
        <v>5.9481950000000001</v>
      </c>
      <c r="E1327">
        <v>0.54451039999999995</v>
      </c>
      <c r="F1327" t="s">
        <v>50</v>
      </c>
      <c r="G1327">
        <v>-205.13460000000001</v>
      </c>
      <c r="H1327" s="1">
        <v>-3.8356269999999999E-6</v>
      </c>
      <c r="I1327">
        <v>365.9271</v>
      </c>
      <c r="J1327">
        <v>-232.68629999999999</v>
      </c>
      <c r="K1327">
        <v>1.11043</v>
      </c>
      <c r="L1327">
        <v>367.37849999999997</v>
      </c>
      <c r="M1327">
        <v>0.99985889999999999</v>
      </c>
      <c r="N1327">
        <v>-1.4199959999999999E-2</v>
      </c>
      <c r="O1327">
        <v>-8.9852909999999994E-3</v>
      </c>
      <c r="P1327">
        <v>0.98130850000000003</v>
      </c>
      <c r="Q1327">
        <v>0.18170649999999999</v>
      </c>
      <c r="R1327">
        <v>6.3375130000000002E-2</v>
      </c>
      <c r="S1327">
        <v>3.0909879999999998</v>
      </c>
      <c r="T1327">
        <v>-0.12367209999999999</v>
      </c>
      <c r="U1327">
        <v>-0.16186519999999999</v>
      </c>
      <c r="V1327">
        <v>-7.2075169999999994E-2</v>
      </c>
      <c r="W1327">
        <v>0.19565660000000001</v>
      </c>
      <c r="X1327">
        <v>0.97802029999999995</v>
      </c>
      <c r="Y1327">
        <v>4.3275319999999999E-2</v>
      </c>
      <c r="Z1327">
        <v>-9.4083619999999998E-4</v>
      </c>
      <c r="AA1327">
        <v>0.99906269999999997</v>
      </c>
      <c r="AB1327">
        <v>29</v>
      </c>
      <c r="AC1327">
        <v>27.551699999999901</v>
      </c>
      <c r="AD1327">
        <v>-1.110433835627</v>
      </c>
      <c r="AE1327">
        <v>-1.45139999999997</v>
      </c>
      <c r="AF1327">
        <v>1.20180961947653</v>
      </c>
      <c r="AG1327">
        <v>-1.110433835627</v>
      </c>
      <c r="AH1327">
        <v>27.519052331786799</v>
      </c>
      <c r="AI1327">
        <v>92.308516540483495</v>
      </c>
      <c r="AJ1327">
        <v>87.499372738955799</v>
      </c>
      <c r="AK1327">
        <v>27.567655883378901</v>
      </c>
      <c r="AL1327">
        <v>78.716917360780599</v>
      </c>
      <c r="AM1327">
        <v>94.214791277186194</v>
      </c>
      <c r="AN1327">
        <v>1.00000002123308</v>
      </c>
    </row>
    <row r="1328" spans="1:40" x14ac:dyDescent="0.25">
      <c r="A1328" t="str">
        <f>"20190304155036993"</f>
        <v>20190304155036993</v>
      </c>
      <c r="B1328" t="str">
        <f>"1551685836987839"</f>
        <v>1551685836987839</v>
      </c>
      <c r="C1328" t="s">
        <v>40</v>
      </c>
      <c r="D1328">
        <v>5.1790330000000004</v>
      </c>
      <c r="E1328">
        <v>0.58937079999999997</v>
      </c>
      <c r="F1328" t="s">
        <v>50</v>
      </c>
      <c r="G1328">
        <v>-205.20480000000001</v>
      </c>
      <c r="H1328" s="1">
        <v>-3.876542E-6</v>
      </c>
      <c r="I1328">
        <v>365.89</v>
      </c>
      <c r="J1328">
        <v>-232.52369999999999</v>
      </c>
      <c r="K1328">
        <v>1.110419</v>
      </c>
      <c r="L1328">
        <v>367.37689999999998</v>
      </c>
      <c r="M1328">
        <v>0.9998572</v>
      </c>
      <c r="N1328">
        <v>-1.4198280000000001E-2</v>
      </c>
      <c r="O1328">
        <v>-9.1618849999999998E-3</v>
      </c>
      <c r="P1328">
        <v>0.98132520000000001</v>
      </c>
      <c r="Q1328">
        <v>0.18182680000000001</v>
      </c>
      <c r="R1328">
        <v>6.2768409999999997E-2</v>
      </c>
      <c r="S1328">
        <v>3.0910639999999998</v>
      </c>
      <c r="T1328">
        <v>-0.124899499999999</v>
      </c>
      <c r="U1328">
        <v>-0.1674194</v>
      </c>
      <c r="V1328">
        <v>-7.1636889999999995E-2</v>
      </c>
      <c r="W1328">
        <v>0.19577720000000001</v>
      </c>
      <c r="X1328">
        <v>0.97802840000000002</v>
      </c>
      <c r="Y1328">
        <v>4.48852E-2</v>
      </c>
      <c r="Z1328">
        <v>-9.8508480000000006E-4</v>
      </c>
      <c r="AA1328">
        <v>0.99899170000000004</v>
      </c>
      <c r="AB1328">
        <v>29</v>
      </c>
      <c r="AC1328">
        <v>27.3188999999999</v>
      </c>
      <c r="AD1328">
        <v>-1.1104228765419999</v>
      </c>
      <c r="AE1328">
        <v>-1.4868999999999899</v>
      </c>
      <c r="AF1328">
        <v>1.2344861858655001</v>
      </c>
      <c r="AG1328">
        <v>-1.1104228765419999</v>
      </c>
      <c r="AH1328">
        <v>27.2864291333483</v>
      </c>
      <c r="AI1328">
        <v>92.327990688749196</v>
      </c>
      <c r="AJ1328">
        <v>87.409604259889605</v>
      </c>
      <c r="AK1328">
        <v>27.336901981700201</v>
      </c>
      <c r="AL1328">
        <v>78.709871591203594</v>
      </c>
      <c r="AM1328">
        <v>94.189218615991194</v>
      </c>
      <c r="AN1328">
        <v>1.0000000536276299</v>
      </c>
    </row>
    <row r="1329" spans="1:40" x14ac:dyDescent="0.25">
      <c r="A1329" t="str">
        <f>"20190304155037005"</f>
        <v>20190304155037005</v>
      </c>
      <c r="B1329" t="str">
        <f>"1551685836997599"</f>
        <v>1551685836997599</v>
      </c>
      <c r="C1329" t="s">
        <v>40</v>
      </c>
      <c r="D1329">
        <v>5.8191829999999998</v>
      </c>
      <c r="E1329">
        <v>0.59236849999999996</v>
      </c>
      <c r="F1329" t="s">
        <v>41</v>
      </c>
      <c r="G1329">
        <v>-213.9297</v>
      </c>
      <c r="H1329" s="1">
        <v>-3.539073E-6</v>
      </c>
      <c r="I1329">
        <v>364.24599999999998</v>
      </c>
      <c r="J1329">
        <v>-232.36850000000001</v>
      </c>
      <c r="K1329">
        <v>1.110412</v>
      </c>
      <c r="L1329">
        <v>367.37529999999998</v>
      </c>
      <c r="M1329">
        <v>0.99985570000000001</v>
      </c>
      <c r="N1329">
        <v>-1.419668E-2</v>
      </c>
      <c r="O1329">
        <v>-9.3378799999999998E-3</v>
      </c>
      <c r="P1329">
        <v>0.98137989999999997</v>
      </c>
      <c r="Q1329">
        <v>0.18171200000000001</v>
      </c>
      <c r="R1329">
        <v>6.2245160000000001E-2</v>
      </c>
      <c r="S1329">
        <v>3.1253199999999999</v>
      </c>
      <c r="T1329">
        <v>-0.18664210000000001</v>
      </c>
      <c r="U1329">
        <v>-0.52624510000000002</v>
      </c>
      <c r="V1329">
        <v>-7.1281769999999994E-2</v>
      </c>
      <c r="W1329">
        <v>0.19566310000000001</v>
      </c>
      <c r="X1329">
        <v>0.97807710000000003</v>
      </c>
      <c r="Y1329">
        <v>0.15649969999999999</v>
      </c>
      <c r="Z1329">
        <v>-5.3346579999999999E-3</v>
      </c>
      <c r="AA1329">
        <v>0.98766359999999997</v>
      </c>
      <c r="AB1329">
        <v>29</v>
      </c>
      <c r="AC1329">
        <v>18.438800000000001</v>
      </c>
      <c r="AD1329">
        <v>-1.1104155390729999</v>
      </c>
      <c r="AE1329">
        <v>-3.1293000000000002</v>
      </c>
      <c r="AF1329">
        <v>2.94657985253526</v>
      </c>
      <c r="AG1329">
        <v>-1.1104155390729999</v>
      </c>
      <c r="AH1329">
        <v>18.402349426063399</v>
      </c>
      <c r="AI1329">
        <v>93.4097664896167</v>
      </c>
      <c r="AJ1329">
        <v>80.903032497784693</v>
      </c>
      <c r="AK1329">
        <v>18.669810387245899</v>
      </c>
      <c r="AL1329">
        <v>78.716537086616995</v>
      </c>
      <c r="AM1329">
        <v>94.1683182877387</v>
      </c>
      <c r="AN1329">
        <v>0.99999997649017602</v>
      </c>
    </row>
    <row r="1330" spans="1:40" x14ac:dyDescent="0.25">
      <c r="A1330" t="str">
        <f>"20190304155037017"</f>
        <v>20190304155037017</v>
      </c>
      <c r="B1330" t="str">
        <f>"1551685837007359"</f>
        <v>1551685837007359</v>
      </c>
      <c r="C1330" t="s">
        <v>40</v>
      </c>
      <c r="D1330">
        <v>5.1381969999999999</v>
      </c>
      <c r="E1330">
        <v>0.59446540000000003</v>
      </c>
      <c r="F1330" t="s">
        <v>41</v>
      </c>
      <c r="G1330">
        <v>-212.42930000000001</v>
      </c>
      <c r="H1330" s="1">
        <v>-4.252272E-6</v>
      </c>
      <c r="I1330">
        <v>363.85410000000002</v>
      </c>
      <c r="J1330">
        <v>-232.215</v>
      </c>
      <c r="K1330">
        <v>1.1104000000000001</v>
      </c>
      <c r="L1330">
        <v>367.37360000000001</v>
      </c>
      <c r="M1330">
        <v>0.99985400000000002</v>
      </c>
      <c r="N1330">
        <v>-1.41951E-2</v>
      </c>
      <c r="O1330">
        <v>-9.5207899999999995E-3</v>
      </c>
      <c r="P1330">
        <v>0.98146670000000003</v>
      </c>
      <c r="Q1330">
        <v>0.18138850000000001</v>
      </c>
      <c r="R1330">
        <v>6.1816240000000001E-2</v>
      </c>
      <c r="S1330">
        <v>3.1240999999999999</v>
      </c>
      <c r="T1330">
        <v>-0.17398050000000001</v>
      </c>
      <c r="U1330">
        <v>-0.55169679999999999</v>
      </c>
      <c r="V1330">
        <v>-7.1028499999999994E-2</v>
      </c>
      <c r="W1330">
        <v>0.1953404</v>
      </c>
      <c r="X1330">
        <v>0.97816000000000003</v>
      </c>
      <c r="Y1330">
        <v>0.16421520000000001</v>
      </c>
      <c r="Z1330">
        <v>-5.3181019999999999E-3</v>
      </c>
      <c r="AA1330">
        <v>0.98641020000000001</v>
      </c>
      <c r="AB1330">
        <v>29</v>
      </c>
      <c r="AC1330">
        <v>19.785699999999899</v>
      </c>
      <c r="AD1330">
        <v>-1.1104042522719999</v>
      </c>
      <c r="AE1330">
        <v>-3.5194999999999901</v>
      </c>
      <c r="AF1330">
        <v>3.3208074781372199</v>
      </c>
      <c r="AG1330">
        <v>-1.1104042522719999</v>
      </c>
      <c r="AH1330">
        <v>19.757993181290399</v>
      </c>
      <c r="AI1330">
        <v>93.172252184664401</v>
      </c>
      <c r="AJ1330">
        <v>80.459233644253402</v>
      </c>
      <c r="AK1330">
        <v>20.065867897059199</v>
      </c>
      <c r="AL1330">
        <v>78.735389965669199</v>
      </c>
      <c r="AM1330">
        <v>94.153209049016695</v>
      </c>
      <c r="AN1330">
        <v>0.99999995264220298</v>
      </c>
    </row>
    <row r="1331" spans="1:40" x14ac:dyDescent="0.25">
      <c r="A1331" t="str">
        <f>"20190304155037029"</f>
        <v>20190304155037029</v>
      </c>
      <c r="B1331" t="str">
        <f>"1551685837018094"</f>
        <v>1551685837018094</v>
      </c>
      <c r="C1331" t="s">
        <v>40</v>
      </c>
      <c r="D1331">
        <v>5.9051359999999997</v>
      </c>
      <c r="E1331">
        <v>0.59446540000000003</v>
      </c>
      <c r="F1331" t="s">
        <v>41</v>
      </c>
      <c r="G1331">
        <v>-210.7705</v>
      </c>
      <c r="H1331" s="1">
        <v>-5.0330139999999999E-6</v>
      </c>
      <c r="I1331">
        <v>363.46440000000001</v>
      </c>
      <c r="J1331">
        <v>-232.05199999999999</v>
      </c>
      <c r="K1331">
        <v>1.1103889999999901</v>
      </c>
      <c r="L1331">
        <v>367.37189999999998</v>
      </c>
      <c r="M1331">
        <v>0.99985210000000002</v>
      </c>
      <c r="N1331">
        <v>-1.419342E-2</v>
      </c>
      <c r="O1331">
        <v>-9.7193260000000004E-3</v>
      </c>
      <c r="P1331">
        <v>0.9815682</v>
      </c>
      <c r="Q1331">
        <v>0.18100079999999999</v>
      </c>
      <c r="R1331">
        <v>6.134237E-2</v>
      </c>
      <c r="S1331">
        <v>3.1223749999999999</v>
      </c>
      <c r="T1331">
        <v>-0.16167699999999999</v>
      </c>
      <c r="U1331">
        <v>-0.56918329999999995</v>
      </c>
      <c r="V1331">
        <v>-7.0745799999999998E-2</v>
      </c>
      <c r="W1331">
        <v>0.19495460000000001</v>
      </c>
      <c r="X1331">
        <v>0.9782575</v>
      </c>
      <c r="Y1331">
        <v>0.16949020000000001</v>
      </c>
      <c r="Z1331">
        <v>-5.2012070000000002E-3</v>
      </c>
      <c r="AA1331">
        <v>0.98551820000000001</v>
      </c>
      <c r="AB1331">
        <v>29</v>
      </c>
      <c r="AC1331">
        <v>21.281500000000001</v>
      </c>
      <c r="AD1331">
        <v>-1.1103940330140001</v>
      </c>
      <c r="AE1331">
        <v>-3.9074999999999598</v>
      </c>
      <c r="AF1331">
        <v>3.6907328212581998</v>
      </c>
      <c r="AG1331">
        <v>-1.1103940330140001</v>
      </c>
      <c r="AH1331">
        <v>21.2624798017725</v>
      </c>
      <c r="AI1331">
        <v>92.945486395074596</v>
      </c>
      <c r="AJ1331">
        <v>80.152737911044298</v>
      </c>
      <c r="AK1331">
        <v>21.608968762697799</v>
      </c>
      <c r="AL1331">
        <v>78.757928539648503</v>
      </c>
      <c r="AM1331">
        <v>94.1363255274658</v>
      </c>
      <c r="AN1331">
        <v>1.00000000029252</v>
      </c>
    </row>
    <row r="1332" spans="1:40" x14ac:dyDescent="0.25">
      <c r="A1332" t="str">
        <f>"20190304155037041"</f>
        <v>20190304155037041</v>
      </c>
      <c r="B1332" t="str">
        <f>"1551685837037615"</f>
        <v>1551685837037615</v>
      </c>
      <c r="C1332" t="s">
        <v>40</v>
      </c>
      <c r="D1332">
        <v>8.0137900000000002</v>
      </c>
      <c r="E1332">
        <v>0.59536250000000002</v>
      </c>
      <c r="F1332" t="s">
        <v>41</v>
      </c>
      <c r="G1332">
        <v>-210.7961</v>
      </c>
      <c r="H1332" s="1">
        <v>-5.018166E-6</v>
      </c>
      <c r="I1332">
        <v>363.48610000000002</v>
      </c>
      <c r="J1332">
        <v>-231.8938</v>
      </c>
      <c r="K1332">
        <v>1.1103769999999999</v>
      </c>
      <c r="L1332">
        <v>367.37009999999998</v>
      </c>
      <c r="M1332">
        <v>0.99985020000000002</v>
      </c>
      <c r="N1332">
        <v>-1.4191799999999999E-2</v>
      </c>
      <c r="O1332">
        <v>-9.9220149999999993E-3</v>
      </c>
      <c r="P1332">
        <v>0.98164830000000003</v>
      </c>
      <c r="Q1332">
        <v>0.18065970000000001</v>
      </c>
      <c r="R1332">
        <v>6.1065000000000001E-2</v>
      </c>
      <c r="S1332">
        <v>3.1220699999999999</v>
      </c>
      <c r="T1332">
        <v>-0.1630945</v>
      </c>
      <c r="U1332">
        <v>-0.57073969999999996</v>
      </c>
      <c r="V1332">
        <v>-7.0663420000000005E-2</v>
      </c>
      <c r="W1332">
        <v>0.1946146</v>
      </c>
      <c r="X1332">
        <v>0.97833110000000001</v>
      </c>
      <c r="Y1332">
        <v>0.16977829999999999</v>
      </c>
      <c r="Z1332">
        <v>-5.2369189999999996E-3</v>
      </c>
      <c r="AA1332">
        <v>0.98546840000000002</v>
      </c>
      <c r="AB1332">
        <v>29</v>
      </c>
      <c r="AC1332">
        <v>21.0977</v>
      </c>
      <c r="AD1332">
        <v>-1.110382018166</v>
      </c>
      <c r="AE1332">
        <v>-3.8839999999999502</v>
      </c>
      <c r="AF1332">
        <v>3.6646378477093502</v>
      </c>
      <c r="AG1332">
        <v>-1.110382018166</v>
      </c>
      <c r="AH1332">
        <v>21.078728823677501</v>
      </c>
      <c r="AI1332">
        <v>92.970947759754495</v>
      </c>
      <c r="AJ1332">
        <v>80.137433111180698</v>
      </c>
      <c r="AK1332">
        <v>21.423709473461098</v>
      </c>
      <c r="AL1332">
        <v>78.777788964723698</v>
      </c>
      <c r="AM1332">
        <v>94.131215929577095</v>
      </c>
      <c r="AN1332">
        <v>0.99999995134323205</v>
      </c>
    </row>
    <row r="1333" spans="1:40" x14ac:dyDescent="0.25">
      <c r="A1333" t="str">
        <f>"20190304155037055"</f>
        <v>20190304155037055</v>
      </c>
      <c r="B1333" t="str">
        <f>"1551685837047375"</f>
        <v>1551685837047375</v>
      </c>
      <c r="C1333" t="s">
        <v>40</v>
      </c>
      <c r="D1333">
        <v>5.9165020000000004</v>
      </c>
      <c r="E1333">
        <v>0.5935049</v>
      </c>
      <c r="F1333" t="s">
        <v>50</v>
      </c>
      <c r="G1333">
        <v>-208.35910000000001</v>
      </c>
      <c r="H1333" s="1">
        <v>-5.7685269999999996E-6</v>
      </c>
      <c r="I1333">
        <v>363.00439999999998</v>
      </c>
      <c r="J1333">
        <v>-231.7182</v>
      </c>
      <c r="K1333">
        <v>1.1103670000000001</v>
      </c>
      <c r="L1333">
        <v>367.3682</v>
      </c>
      <c r="M1333">
        <v>0.99984790000000001</v>
      </c>
      <c r="N1333">
        <v>-1.418997E-2</v>
      </c>
      <c r="O1333">
        <v>-1.0152599999999999E-2</v>
      </c>
      <c r="P1333">
        <v>0.98173829999999995</v>
      </c>
      <c r="Q1333">
        <v>0.18023230000000001</v>
      </c>
      <c r="R1333">
        <v>6.0881159999999997E-2</v>
      </c>
      <c r="S1333">
        <v>3.1191710000000001</v>
      </c>
      <c r="T1333">
        <v>-0.14716509999999999</v>
      </c>
      <c r="U1333">
        <v>-0.5786133</v>
      </c>
      <c r="V1333">
        <v>-7.0702639999999997E-2</v>
      </c>
      <c r="W1333">
        <v>0.194188</v>
      </c>
      <c r="X1333">
        <v>0.97841310000000004</v>
      </c>
      <c r="Y1333">
        <v>0.17216090000000001</v>
      </c>
      <c r="Z1333">
        <v>-4.9258000000000001E-3</v>
      </c>
      <c r="AA1333">
        <v>0.9850565</v>
      </c>
      <c r="AB1333">
        <v>29</v>
      </c>
      <c r="AC1333">
        <v>23.359099999999899</v>
      </c>
      <c r="AD1333">
        <v>-1.110372768527</v>
      </c>
      <c r="AE1333">
        <v>-4.3638000000000199</v>
      </c>
      <c r="AF1333">
        <v>4.1174057816250302</v>
      </c>
      <c r="AG1333">
        <v>-1.110372768527</v>
      </c>
      <c r="AH1333">
        <v>23.351219879784701</v>
      </c>
      <c r="AI1333">
        <v>92.681120330175901</v>
      </c>
      <c r="AJ1333">
        <v>80.000105456441702</v>
      </c>
      <c r="AK1333">
        <v>23.737426733529901</v>
      </c>
      <c r="AL1333">
        <v>78.802707485770895</v>
      </c>
      <c r="AM1333">
        <v>94.133155689601296</v>
      </c>
      <c r="AN1333">
        <v>1.0000000184492801</v>
      </c>
    </row>
    <row r="1334" spans="1:40" x14ac:dyDescent="0.25">
      <c r="A1334" t="str">
        <f>"20190304155037071"</f>
        <v>20190304155037071</v>
      </c>
      <c r="B1334" t="str">
        <f>"1551685837067872"</f>
        <v>1551685837067872</v>
      </c>
      <c r="C1334" t="s">
        <v>40</v>
      </c>
      <c r="D1334">
        <v>5.8987170000000004</v>
      </c>
      <c r="E1334">
        <v>0.59275540000000004</v>
      </c>
      <c r="F1334" t="s">
        <v>50</v>
      </c>
      <c r="G1334">
        <v>-207.3381</v>
      </c>
      <c r="H1334" s="1">
        <v>-5.4348650000000004E-6</v>
      </c>
      <c r="I1334">
        <v>362.95229999999998</v>
      </c>
      <c r="J1334">
        <v>-231.51840000000001</v>
      </c>
      <c r="K1334">
        <v>1.1103559999999999</v>
      </c>
      <c r="L1334">
        <v>367.36579999999998</v>
      </c>
      <c r="M1334">
        <v>0.99984499999999998</v>
      </c>
      <c r="N1334">
        <v>-1.418785E-2</v>
      </c>
      <c r="O1334">
        <v>-1.042182E-2</v>
      </c>
      <c r="P1334">
        <v>0.98186309999999999</v>
      </c>
      <c r="Q1334">
        <v>0.17974949999999901</v>
      </c>
      <c r="R1334">
        <v>6.0290749999999997E-2</v>
      </c>
      <c r="S1334">
        <v>3.1168979999999999</v>
      </c>
      <c r="T1334">
        <v>-0.14195659999999999</v>
      </c>
      <c r="U1334">
        <v>-0.56454469999999901</v>
      </c>
      <c r="V1334">
        <v>-7.0373099999999994E-2</v>
      </c>
      <c r="W1334">
        <v>0.1937062</v>
      </c>
      <c r="X1334">
        <v>0.97853230000000002</v>
      </c>
      <c r="Y1334">
        <v>0.1677411</v>
      </c>
      <c r="Z1334">
        <v>-4.6636669999999998E-3</v>
      </c>
      <c r="AA1334">
        <v>0.98582009999999998</v>
      </c>
      <c r="AB1334">
        <v>29</v>
      </c>
      <c r="AC1334">
        <v>24.180299999999999</v>
      </c>
      <c r="AD1334">
        <v>-1.1103614348649999</v>
      </c>
      <c r="AE1334">
        <v>-4.4134999999999902</v>
      </c>
      <c r="AF1334">
        <v>4.1527577473178798</v>
      </c>
      <c r="AG1334">
        <v>-1.1103614348649999</v>
      </c>
      <c r="AH1334">
        <v>24.1756533676492</v>
      </c>
      <c r="AI1334">
        <v>92.591778529568003</v>
      </c>
      <c r="AJ1334">
        <v>80.253175112020998</v>
      </c>
      <c r="AK1334">
        <v>24.5548470811095</v>
      </c>
      <c r="AL1334">
        <v>78.830846283570096</v>
      </c>
      <c r="AM1334">
        <v>94.1134582196281</v>
      </c>
      <c r="AN1334">
        <v>0.99999996363266896</v>
      </c>
    </row>
    <row r="1335" spans="1:40" x14ac:dyDescent="0.25">
      <c r="A1335" t="str">
        <f>"20190304155037093"</f>
        <v>20190304155037093</v>
      </c>
      <c r="B1335" t="str">
        <f>"1551685837087390"</f>
        <v>1551685837087390</v>
      </c>
      <c r="C1335" t="s">
        <v>40</v>
      </c>
      <c r="D1335">
        <v>5.1181619999999999</v>
      </c>
      <c r="E1335">
        <v>0.5939816</v>
      </c>
      <c r="F1335" t="s">
        <v>50</v>
      </c>
      <c r="G1335">
        <v>-209.88839999999999</v>
      </c>
      <c r="H1335" s="1">
        <v>-6.2060959999999996E-6</v>
      </c>
      <c r="I1335">
        <v>363.48039999999997</v>
      </c>
      <c r="J1335">
        <v>-231.2285</v>
      </c>
      <c r="K1335">
        <v>1.1103459999999901</v>
      </c>
      <c r="L1335">
        <v>367.36239999999998</v>
      </c>
      <c r="M1335">
        <v>0.99984090000000003</v>
      </c>
      <c r="N1335">
        <v>-1.418493E-2</v>
      </c>
      <c r="O1335">
        <v>-1.082575E-2</v>
      </c>
      <c r="P1335">
        <v>0.98193920000000001</v>
      </c>
      <c r="Q1335">
        <v>0.17966849999999901</v>
      </c>
      <c r="R1335">
        <v>5.9287489999999998E-2</v>
      </c>
      <c r="S1335">
        <v>3.1191559999999998</v>
      </c>
      <c r="T1335">
        <v>-0.16011989999999901</v>
      </c>
      <c r="U1335">
        <v>-0.56030269999999904</v>
      </c>
      <c r="V1335">
        <v>-6.9762060000000001E-2</v>
      </c>
      <c r="W1335">
        <v>0.19362480000000001</v>
      </c>
      <c r="X1335">
        <v>0.97859220000000002</v>
      </c>
      <c r="Y1335">
        <v>0.16587189999999999</v>
      </c>
      <c r="Z1335">
        <v>-5.0092499999999998E-3</v>
      </c>
      <c r="AA1335">
        <v>0.98613459999999997</v>
      </c>
      <c r="AB1335">
        <v>29</v>
      </c>
      <c r="AC1335">
        <v>21.3401</v>
      </c>
      <c r="AD1335">
        <v>-1.1103522060959901</v>
      </c>
      <c r="AE1335">
        <v>-3.8820000000000001</v>
      </c>
      <c r="AF1335">
        <v>3.6411848141023602</v>
      </c>
      <c r="AG1335">
        <v>-1.1103522060959901</v>
      </c>
      <c r="AH1335">
        <v>21.3249961263408</v>
      </c>
      <c r="AI1335">
        <v>92.938144818128507</v>
      </c>
      <c r="AJ1335">
        <v>80.310347170796305</v>
      </c>
      <c r="AK1335">
        <v>21.662099821127299</v>
      </c>
      <c r="AL1335">
        <v>78.835600585505205</v>
      </c>
      <c r="AM1335">
        <v>94.077613876072604</v>
      </c>
      <c r="AN1335">
        <v>1.00000000104566</v>
      </c>
    </row>
    <row r="1336" spans="1:40" x14ac:dyDescent="0.25">
      <c r="A1336" t="str">
        <f>"20190304155037105"</f>
        <v>20190304155037105</v>
      </c>
      <c r="B1336" t="str">
        <f>"1551685837098127"</f>
        <v>1551685837098127</v>
      </c>
      <c r="C1336" t="s">
        <v>40</v>
      </c>
      <c r="D1336">
        <v>5.8345310000000001</v>
      </c>
      <c r="E1336">
        <v>0.59412690000000001</v>
      </c>
      <c r="F1336" t="s">
        <v>50</v>
      </c>
      <c r="G1336">
        <v>-209.78149999999999</v>
      </c>
      <c r="H1336" s="1">
        <v>-6.179122E-6</v>
      </c>
      <c r="I1336">
        <v>363.42399999999998</v>
      </c>
      <c r="J1336">
        <v>-231.0617</v>
      </c>
      <c r="K1336">
        <v>1.110341</v>
      </c>
      <c r="L1336">
        <v>367.3603</v>
      </c>
      <c r="M1336">
        <v>0.99983820000000001</v>
      </c>
      <c r="N1336">
        <v>-1.4183390000000001E-2</v>
      </c>
      <c r="O1336">
        <v>-1.106209E-2</v>
      </c>
      <c r="P1336">
        <v>0.9819078</v>
      </c>
      <c r="Q1336">
        <v>0.1800426</v>
      </c>
      <c r="R1336">
        <v>5.8668459999999999E-2</v>
      </c>
      <c r="S1336">
        <v>3.1193080000000002</v>
      </c>
      <c r="T1336">
        <v>-0.16149249999999901</v>
      </c>
      <c r="U1336">
        <v>-0.57281490000000002</v>
      </c>
      <c r="V1336">
        <v>-6.9371390000000005E-2</v>
      </c>
      <c r="W1336">
        <v>0.19399759999999999</v>
      </c>
      <c r="X1336">
        <v>0.97854609999999997</v>
      </c>
      <c r="Y1336">
        <v>0.16944899999999999</v>
      </c>
      <c r="Z1336">
        <v>-5.1479849999999999E-3</v>
      </c>
      <c r="AA1336">
        <v>0.98552550000000005</v>
      </c>
      <c r="AB1336">
        <v>29</v>
      </c>
      <c r="AC1336">
        <v>21.280200000000001</v>
      </c>
      <c r="AD1336">
        <v>-1.1103471791220001</v>
      </c>
      <c r="AE1336">
        <v>-3.9362999999999602</v>
      </c>
      <c r="AF1336">
        <v>3.6909158905117798</v>
      </c>
      <c r="AG1336">
        <v>-1.1103471791220001</v>
      </c>
      <c r="AH1336">
        <v>21.266463508083199</v>
      </c>
      <c r="AI1336">
        <v>92.944823404210197</v>
      </c>
      <c r="AJ1336">
        <v>80.154067632039698</v>
      </c>
      <c r="AK1336">
        <v>21.612917459465098</v>
      </c>
      <c r="AL1336">
        <v>78.813827465652594</v>
      </c>
      <c r="AM1336">
        <v>94.055045866155993</v>
      </c>
      <c r="AN1336">
        <v>0.99999996419074999</v>
      </c>
    </row>
    <row r="1337" spans="1:40" x14ac:dyDescent="0.25">
      <c r="A1337" t="str">
        <f>"20190304155037117"</f>
        <v>20190304155037117</v>
      </c>
      <c r="B1337" t="str">
        <f>"1551685837107888"</f>
        <v>1551685837107888</v>
      </c>
      <c r="C1337" t="s">
        <v>40</v>
      </c>
      <c r="D1337">
        <v>8.8976220000000001</v>
      </c>
      <c r="E1337">
        <v>0.59549359999999996</v>
      </c>
      <c r="F1337" t="s">
        <v>50</v>
      </c>
      <c r="G1337">
        <v>-209.77019999999999</v>
      </c>
      <c r="H1337" s="1">
        <v>-6.1741059999999996E-6</v>
      </c>
      <c r="I1337">
        <v>363.43189999999998</v>
      </c>
      <c r="J1337">
        <v>-230.9092</v>
      </c>
      <c r="K1337">
        <v>1.1103419999999999</v>
      </c>
      <c r="L1337">
        <v>367.35840000000002</v>
      </c>
      <c r="M1337">
        <v>0.9998359</v>
      </c>
      <c r="N1337">
        <v>-1.4181859999999999E-2</v>
      </c>
      <c r="O1337">
        <v>-1.1280750000000001E-2</v>
      </c>
      <c r="P1337">
        <v>0.98194780000000004</v>
      </c>
      <c r="Q1337">
        <v>0.18001229999999999</v>
      </c>
      <c r="R1337">
        <v>5.808775E-2</v>
      </c>
      <c r="S1337">
        <v>3.1194920000000002</v>
      </c>
      <c r="T1337">
        <v>-0.16268089999999999</v>
      </c>
      <c r="U1337">
        <v>-0.57556149999999995</v>
      </c>
      <c r="V1337">
        <v>-6.9004620000000003E-2</v>
      </c>
      <c r="W1337">
        <v>0.19396579999999999</v>
      </c>
      <c r="X1337">
        <v>0.97857839999999996</v>
      </c>
      <c r="Y1337">
        <v>0.17005819999999999</v>
      </c>
      <c r="Z1337">
        <v>-5.1870680000000004E-3</v>
      </c>
      <c r="AA1337">
        <v>0.98542030000000003</v>
      </c>
      <c r="AB1337">
        <v>29</v>
      </c>
      <c r="AC1337">
        <v>21.138999999999999</v>
      </c>
      <c r="AD1337">
        <v>-1.110348174106</v>
      </c>
      <c r="AE1337">
        <v>-3.9265000000000301</v>
      </c>
      <c r="AF1337">
        <v>3.6779533808610099</v>
      </c>
      <c r="AG1337">
        <v>-1.110348174106</v>
      </c>
      <c r="AH1337">
        <v>21.125611593309198</v>
      </c>
      <c r="AI1337">
        <v>92.964153943059898</v>
      </c>
      <c r="AJ1337">
        <v>80.123837099258196</v>
      </c>
      <c r="AK1337">
        <v>21.472113993058201</v>
      </c>
      <c r="AL1337">
        <v>78.815685462448897</v>
      </c>
      <c r="AM1337">
        <v>94.033544892269205</v>
      </c>
      <c r="AN1337">
        <v>1.0000000270487699</v>
      </c>
    </row>
    <row r="1338" spans="1:40" x14ac:dyDescent="0.25">
      <c r="A1338" t="str">
        <f>"20190304155037130"</f>
        <v>20190304155037130</v>
      </c>
      <c r="B1338" t="str">
        <f>"1551685837127408"</f>
        <v>1551685837127408</v>
      </c>
      <c r="C1338" t="s">
        <v>40</v>
      </c>
      <c r="D1338">
        <v>5.8604629999999904</v>
      </c>
      <c r="E1338">
        <v>0.59569910000000004</v>
      </c>
      <c r="F1338" t="s">
        <v>50</v>
      </c>
      <c r="G1338">
        <v>-209.31559999999999</v>
      </c>
      <c r="H1338" s="1">
        <v>-6.04469399999999E-6</v>
      </c>
      <c r="I1338">
        <v>363.28609999999998</v>
      </c>
      <c r="J1338">
        <v>-230.73830000000001</v>
      </c>
      <c r="K1338">
        <v>1.110339</v>
      </c>
      <c r="L1338">
        <v>367.35629999999998</v>
      </c>
      <c r="M1338">
        <v>0.99983299999999997</v>
      </c>
      <c r="N1338">
        <v>-1.4180089999999999E-2</v>
      </c>
      <c r="O1338">
        <v>-1.152647E-2</v>
      </c>
      <c r="P1338">
        <v>0.98192919999999995</v>
      </c>
      <c r="Q1338">
        <v>0.18026439999999999</v>
      </c>
      <c r="R1338">
        <v>5.7619839999999999E-2</v>
      </c>
      <c r="S1338">
        <v>3.11937</v>
      </c>
      <c r="T1338">
        <v>-0.16039870000000001</v>
      </c>
      <c r="U1338">
        <v>-0.58828740000000002</v>
      </c>
      <c r="V1338">
        <v>-6.8776229999999994E-2</v>
      </c>
      <c r="W1338">
        <v>0.19421649999999999</v>
      </c>
      <c r="X1338">
        <v>0.97854470000000005</v>
      </c>
      <c r="Y1338">
        <v>0.1737078</v>
      </c>
      <c r="Z1338">
        <v>-5.2426390000000003E-3</v>
      </c>
      <c r="AA1338">
        <v>0.98478330000000003</v>
      </c>
      <c r="AB1338">
        <v>29</v>
      </c>
      <c r="AC1338">
        <v>21.422699999999999</v>
      </c>
      <c r="AD1338">
        <v>-1.110345044694</v>
      </c>
      <c r="AE1338">
        <v>-4.0701999999999998</v>
      </c>
      <c r="AF1338">
        <v>3.81309008488366</v>
      </c>
      <c r="AG1338">
        <v>-1.110345044694</v>
      </c>
      <c r="AH1338">
        <v>21.4126778270996</v>
      </c>
      <c r="AI1338">
        <v>92.922494321632698</v>
      </c>
      <c r="AJ1338">
        <v>79.902823736340494</v>
      </c>
      <c r="AK1338">
        <v>21.777862471805602</v>
      </c>
      <c r="AL1338">
        <v>78.801042363292098</v>
      </c>
      <c r="AM1338">
        <v>94.020376598344697</v>
      </c>
      <c r="AN1338">
        <v>0.99999997429167597</v>
      </c>
    </row>
    <row r="1339" spans="1:40" x14ac:dyDescent="0.25">
      <c r="A1339" t="str">
        <f>"20190304155037142"</f>
        <v>20190304155037142</v>
      </c>
      <c r="B1339" t="str">
        <f>"1551685837138145"</f>
        <v>1551685837138145</v>
      </c>
      <c r="C1339" t="s">
        <v>40</v>
      </c>
      <c r="D1339">
        <v>7.9974530000000001</v>
      </c>
      <c r="E1339">
        <v>0.59711910000000001</v>
      </c>
      <c r="F1339" t="s">
        <v>50</v>
      </c>
      <c r="G1339">
        <v>-209.27520000000001</v>
      </c>
      <c r="H1339" s="1">
        <v>-6.0313719999999996E-6</v>
      </c>
      <c r="I1339">
        <v>363.28489999999999</v>
      </c>
      <c r="J1339">
        <v>-230.58459999999999</v>
      </c>
      <c r="K1339">
        <v>1.1103379999999901</v>
      </c>
      <c r="L1339">
        <v>367.35419999999999</v>
      </c>
      <c r="M1339">
        <v>0.99983049999999996</v>
      </c>
      <c r="N1339">
        <v>-1.4178390000000001E-2</v>
      </c>
      <c r="O1339">
        <v>-1.174879E-2</v>
      </c>
      <c r="P1339">
        <v>0.98194459999999995</v>
      </c>
      <c r="Q1339">
        <v>0.18031069999999999</v>
      </c>
      <c r="R1339">
        <v>5.7211970000000001E-2</v>
      </c>
      <c r="S1339">
        <v>3.119583</v>
      </c>
      <c r="T1339">
        <v>-0.16138459999999999</v>
      </c>
      <c r="U1339">
        <v>-0.59176640000000003</v>
      </c>
      <c r="V1339">
        <v>-6.8586170000000002E-2</v>
      </c>
      <c r="W1339">
        <v>0.1942605</v>
      </c>
      <c r="X1339">
        <v>0.97854929999999996</v>
      </c>
      <c r="Y1339">
        <v>0.17453270000000001</v>
      </c>
      <c r="Z1339">
        <v>-5.284268E-3</v>
      </c>
      <c r="AA1339">
        <v>0.98463719999999999</v>
      </c>
      <c r="AB1339">
        <v>29</v>
      </c>
      <c r="AC1339">
        <v>21.309399999999901</v>
      </c>
      <c r="AD1339">
        <v>-1.1103440313720001</v>
      </c>
      <c r="AE1339">
        <v>-4.0692999999999904</v>
      </c>
      <c r="AF1339">
        <v>3.8086575069055302</v>
      </c>
      <c r="AG1339">
        <v>-1.1103440313720001</v>
      </c>
      <c r="AH1339">
        <v>21.2999480238209</v>
      </c>
      <c r="AI1339">
        <v>92.937559459995896</v>
      </c>
      <c r="AJ1339">
        <v>79.862046190963497</v>
      </c>
      <c r="AK1339">
        <v>21.6662530607021</v>
      </c>
      <c r="AL1339">
        <v>78.798472337193502</v>
      </c>
      <c r="AM1339">
        <v>94.009283966054795</v>
      </c>
      <c r="AN1339">
        <v>0.99999996855300299</v>
      </c>
    </row>
    <row r="1340" spans="1:40" x14ac:dyDescent="0.25">
      <c r="A1340" t="str">
        <f>"20190304155037153"</f>
        <v>20190304155037153</v>
      </c>
      <c r="B1340" t="str">
        <f>"1551685837147903"</f>
        <v>1551685837147903</v>
      </c>
      <c r="C1340" t="s">
        <v>40</v>
      </c>
      <c r="D1340">
        <v>6.4683260000000002</v>
      </c>
      <c r="E1340">
        <v>0.59711910000000001</v>
      </c>
      <c r="F1340" t="s">
        <v>50</v>
      </c>
      <c r="G1340">
        <v>-208.5127</v>
      </c>
      <c r="H1340" s="1">
        <v>-5.8083519999999997E-6</v>
      </c>
      <c r="I1340">
        <v>363.07850000000002</v>
      </c>
      <c r="J1340">
        <v>-230.44040000000001</v>
      </c>
      <c r="K1340">
        <v>1.110336</v>
      </c>
      <c r="L1340">
        <v>367.35239999999999</v>
      </c>
      <c r="M1340">
        <v>0.99982800000000005</v>
      </c>
      <c r="N1340">
        <v>-1.417675E-2</v>
      </c>
      <c r="O1340">
        <v>-1.195716E-2</v>
      </c>
      <c r="P1340">
        <v>0.9819698</v>
      </c>
      <c r="Q1340">
        <v>0.1803189</v>
      </c>
      <c r="R1340">
        <v>5.6751459999999997E-2</v>
      </c>
      <c r="S1340">
        <v>3.1191710000000001</v>
      </c>
      <c r="T1340">
        <v>-0.15691229999999901</v>
      </c>
      <c r="U1340">
        <v>-0.60424800000000001</v>
      </c>
      <c r="V1340">
        <v>-6.8329909999999994E-2</v>
      </c>
      <c r="W1340">
        <v>0.19426750000000001</v>
      </c>
      <c r="X1340">
        <v>0.97856589999999999</v>
      </c>
      <c r="Y1340">
        <v>0.1781586</v>
      </c>
      <c r="Z1340">
        <v>-5.2852609999999899E-3</v>
      </c>
      <c r="AA1340">
        <v>0.98398759999999996</v>
      </c>
      <c r="AB1340">
        <v>29</v>
      </c>
      <c r="AC1340">
        <v>21.927700000000002</v>
      </c>
      <c r="AD1340">
        <v>-1.110341808352</v>
      </c>
      <c r="AE1340">
        <v>-4.2738999999999603</v>
      </c>
      <c r="AF1340">
        <v>4.0014904972491498</v>
      </c>
      <c r="AG1340">
        <v>-1.110341808352</v>
      </c>
      <c r="AH1340">
        <v>21.9230862496429</v>
      </c>
      <c r="AI1340">
        <v>92.852346467507999</v>
      </c>
      <c r="AJ1340">
        <v>79.656009300824707</v>
      </c>
      <c r="AK1340">
        <v>22.312922171697601</v>
      </c>
      <c r="AL1340">
        <v>78.798064168078795</v>
      </c>
      <c r="AM1340">
        <v>93.994285031496602</v>
      </c>
      <c r="AN1340">
        <v>1.0000000293998299</v>
      </c>
    </row>
    <row r="1341" spans="1:40" x14ac:dyDescent="0.25">
      <c r="A1341" t="str">
        <f>"20190304155037165"</f>
        <v>20190304155037165</v>
      </c>
      <c r="B1341" t="str">
        <f>"1551685837157663"</f>
        <v>1551685837157663</v>
      </c>
      <c r="C1341" t="s">
        <v>40</v>
      </c>
      <c r="D1341">
        <v>6.3000379999999998</v>
      </c>
      <c r="E1341">
        <v>0.58262000000000003</v>
      </c>
      <c r="F1341" t="s">
        <v>50</v>
      </c>
      <c r="G1341">
        <v>-208.3357</v>
      </c>
      <c r="H1341" s="1">
        <v>-5.7522980000000003E-6</v>
      </c>
      <c r="I1341">
        <v>363.05810000000002</v>
      </c>
      <c r="J1341">
        <v>-230.27879999999999</v>
      </c>
      <c r="K1341">
        <v>1.1103369999999999</v>
      </c>
      <c r="L1341">
        <v>367.35019999999997</v>
      </c>
      <c r="M1341">
        <v>0.99982530000000003</v>
      </c>
      <c r="N1341">
        <v>-1.4174890000000001E-2</v>
      </c>
      <c r="O1341">
        <v>-1.2190919999999999E-2</v>
      </c>
      <c r="P1341">
        <v>0.98199179999999997</v>
      </c>
      <c r="Q1341">
        <v>0.18026729999999999</v>
      </c>
      <c r="R1341">
        <v>5.6534340000000002E-2</v>
      </c>
      <c r="S1341">
        <v>3.1188660000000001</v>
      </c>
      <c r="T1341">
        <v>-0.15666440000000001</v>
      </c>
      <c r="U1341">
        <v>-0.60589599999999999</v>
      </c>
      <c r="V1341">
        <v>-6.8342299999999995E-2</v>
      </c>
      <c r="W1341">
        <v>0.19421469999999999</v>
      </c>
      <c r="X1341">
        <v>0.97857550000000004</v>
      </c>
      <c r="Y1341">
        <v>0.178448</v>
      </c>
      <c r="Z1341">
        <v>-5.280173E-3</v>
      </c>
      <c r="AA1341">
        <v>0.98393520000000001</v>
      </c>
      <c r="AB1341">
        <v>29</v>
      </c>
      <c r="AC1341">
        <v>21.943099999999902</v>
      </c>
      <c r="AD1341">
        <v>-1.1103427522980001</v>
      </c>
      <c r="AE1341">
        <v>-4.2920999999999401</v>
      </c>
      <c r="AF1341">
        <v>4.01434773464179</v>
      </c>
      <c r="AG1341">
        <v>-1.1103427522980001</v>
      </c>
      <c r="AH1341">
        <v>21.939693284912501</v>
      </c>
      <c r="AI1341">
        <v>92.849968033550098</v>
      </c>
      <c r="AJ1341">
        <v>79.631177735341296</v>
      </c>
      <c r="AK1341">
        <v>22.331546972797</v>
      </c>
      <c r="AL1341">
        <v>78.801147952921895</v>
      </c>
      <c r="AM1341">
        <v>93.9949678900565</v>
      </c>
      <c r="AN1341">
        <v>1.0000000144328101</v>
      </c>
    </row>
    <row r="1342" spans="1:40" x14ac:dyDescent="0.25">
      <c r="A1342" t="str">
        <f>"20190304155037176"</f>
        <v>20190304155037176</v>
      </c>
      <c r="B1342" t="str">
        <f>"1551685837167423"</f>
        <v>1551685837167423</v>
      </c>
      <c r="C1342" t="s">
        <v>40</v>
      </c>
      <c r="D1342">
        <v>6.142703</v>
      </c>
      <c r="E1342">
        <v>0.58298269999999996</v>
      </c>
      <c r="F1342" t="s">
        <v>43</v>
      </c>
      <c r="G1342">
        <v>-168.84350000000001</v>
      </c>
      <c r="H1342">
        <v>9.0205140000000004</v>
      </c>
      <c r="I1342">
        <v>357.37090000000001</v>
      </c>
      <c r="J1342">
        <v>-230.1412</v>
      </c>
      <c r="K1342">
        <v>1.1103369999999999</v>
      </c>
      <c r="L1342">
        <v>367.34829999999999</v>
      </c>
      <c r="M1342">
        <v>0.99982289999999996</v>
      </c>
      <c r="N1342">
        <v>-1.417334E-2</v>
      </c>
      <c r="O1342">
        <v>-1.2389499999999999E-2</v>
      </c>
      <c r="P1342">
        <v>0.98202970000000001</v>
      </c>
      <c r="Q1342">
        <v>0.1802136</v>
      </c>
      <c r="R1342">
        <v>5.604601E-2</v>
      </c>
      <c r="S1342">
        <v>3.0120089999999999</v>
      </c>
      <c r="T1342">
        <v>0.38781880000000002</v>
      </c>
      <c r="U1342">
        <v>-0.48925780000000002</v>
      </c>
      <c r="V1342">
        <v>-6.804955E-2</v>
      </c>
      <c r="W1342">
        <v>0.19415950000000001</v>
      </c>
      <c r="X1342">
        <v>0.9786068</v>
      </c>
      <c r="Y1342">
        <v>0.14716489999999999</v>
      </c>
      <c r="Z1342">
        <v>6.5694319999999896E-3</v>
      </c>
      <c r="AA1342">
        <v>0.98909009999999997</v>
      </c>
      <c r="AB1342">
        <v>29</v>
      </c>
      <c r="AC1342">
        <v>61.297699999999899</v>
      </c>
      <c r="AD1342">
        <v>7.910177</v>
      </c>
      <c r="AE1342">
        <v>-9.9773999999999798</v>
      </c>
      <c r="AF1342">
        <v>9.0699690695007096</v>
      </c>
      <c r="AG1342">
        <v>7.910177</v>
      </c>
      <c r="AH1342">
        <v>60.436173567961298</v>
      </c>
      <c r="AI1342">
        <v>82.624906400412598</v>
      </c>
      <c r="AJ1342">
        <v>81.465022242439503</v>
      </c>
      <c r="AK1342">
        <v>61.622774317858898</v>
      </c>
      <c r="AL1342">
        <v>78.804371444576304</v>
      </c>
      <c r="AM1342">
        <v>93.977783342378004</v>
      </c>
      <c r="AN1342">
        <v>0.99999996085084497</v>
      </c>
    </row>
    <row r="1343" spans="1:40" x14ac:dyDescent="0.25">
      <c r="A1343" t="str">
        <f>"20190304155037203"</f>
        <v>20190304155037203</v>
      </c>
      <c r="B1343" t="str">
        <f>"1551685837197679"</f>
        <v>1551685837197679</v>
      </c>
      <c r="C1343" t="s">
        <v>40</v>
      </c>
      <c r="D1343">
        <v>6.891553</v>
      </c>
      <c r="E1343">
        <v>0.5842811</v>
      </c>
      <c r="F1343" t="s">
        <v>43</v>
      </c>
      <c r="G1343">
        <v>-170.08879999999999</v>
      </c>
      <c r="H1343">
        <v>8.1394409999999997</v>
      </c>
      <c r="I1343">
        <v>357.52929999999998</v>
      </c>
      <c r="J1343">
        <v>-229.79339999999999</v>
      </c>
      <c r="K1343">
        <v>1.1103320000000001</v>
      </c>
      <c r="L1343">
        <v>367.34339999999997</v>
      </c>
      <c r="M1343">
        <v>0.99981660000000006</v>
      </c>
      <c r="N1343">
        <v>-1.416947E-2</v>
      </c>
      <c r="O1343">
        <v>-1.2889400000000001E-2</v>
      </c>
      <c r="P1343">
        <v>0.98212770000000005</v>
      </c>
      <c r="Q1343">
        <v>0.17983969999999999</v>
      </c>
      <c r="R1343">
        <v>5.5524909999999997E-2</v>
      </c>
      <c r="S1343">
        <v>3.0182190000000002</v>
      </c>
      <c r="T1343">
        <v>0.35328530000000002</v>
      </c>
      <c r="U1343">
        <v>-0.49349979999999899</v>
      </c>
      <c r="V1343">
        <v>-6.8021129999999999E-2</v>
      </c>
      <c r="W1343">
        <v>0.19378239999999999</v>
      </c>
      <c r="X1343">
        <v>0.97868350000000004</v>
      </c>
      <c r="Y1343">
        <v>0.1478759</v>
      </c>
      <c r="Z1343">
        <v>5.8369240000000003E-3</v>
      </c>
      <c r="AA1343">
        <v>0.98898869999999905</v>
      </c>
      <c r="AB1343">
        <v>29</v>
      </c>
      <c r="AC1343">
        <v>59.704599999999999</v>
      </c>
      <c r="AD1343">
        <v>7.0291090000000001</v>
      </c>
      <c r="AE1343">
        <v>-9.8140999999999892</v>
      </c>
      <c r="AF1343">
        <v>8.9232227893312199</v>
      </c>
      <c r="AG1343">
        <v>7.0291090000000001</v>
      </c>
      <c r="AH1343">
        <v>59.0294860153925</v>
      </c>
      <c r="AI1343">
        <v>83.284894649266107</v>
      </c>
      <c r="AJ1343">
        <v>81.403935830440602</v>
      </c>
      <c r="AK1343">
        <v>60.112498679753301</v>
      </c>
      <c r="AL1343">
        <v>78.826395787348005</v>
      </c>
      <c r="AM1343">
        <v>93.975816791009507</v>
      </c>
      <c r="AN1343">
        <v>0.99999994292424099</v>
      </c>
    </row>
    <row r="1344" spans="1:40" x14ac:dyDescent="0.25">
      <c r="A1344" t="str">
        <f>"20190304155037216"</f>
        <v>20190304155037216</v>
      </c>
      <c r="B1344" t="str">
        <f>"1551685837207439"</f>
        <v>1551685837207439</v>
      </c>
      <c r="C1344" t="s">
        <v>40</v>
      </c>
      <c r="D1344">
        <v>5.119872</v>
      </c>
      <c r="E1344">
        <v>0.5842811</v>
      </c>
      <c r="F1344" t="s">
        <v>43</v>
      </c>
      <c r="G1344">
        <v>-168.84350000000001</v>
      </c>
      <c r="H1344">
        <v>9.5731929999999998</v>
      </c>
      <c r="I1344">
        <v>357.09719999999999</v>
      </c>
      <c r="J1344">
        <v>-229.63650000000001</v>
      </c>
      <c r="K1344">
        <v>1.1103289999999999</v>
      </c>
      <c r="L1344">
        <v>367.34120000000001</v>
      </c>
      <c r="M1344">
        <v>0.99981370000000003</v>
      </c>
      <c r="N1344">
        <v>-1.416771E-2</v>
      </c>
      <c r="O1344">
        <v>-1.3113959999999999E-2</v>
      </c>
      <c r="P1344">
        <v>0.98217339999999997</v>
      </c>
      <c r="Q1344">
        <v>0.17963409999999999</v>
      </c>
      <c r="R1344">
        <v>5.5382830000000001E-2</v>
      </c>
      <c r="S1344">
        <v>3.0067439999999999</v>
      </c>
      <c r="T1344">
        <v>0.4174891</v>
      </c>
      <c r="U1344">
        <v>-0.50546259999999998</v>
      </c>
      <c r="V1344">
        <v>-6.810049E-2</v>
      </c>
      <c r="W1344">
        <v>0.19357569999999999</v>
      </c>
      <c r="X1344">
        <v>0.97871889999999995</v>
      </c>
      <c r="Y1344">
        <v>0.15171760000000001</v>
      </c>
      <c r="Z1344">
        <v>7.3411869999999999E-3</v>
      </c>
      <c r="AA1344">
        <v>0.98839659999999996</v>
      </c>
      <c r="AB1344">
        <v>29</v>
      </c>
      <c r="AC1344">
        <v>60.792999999999999</v>
      </c>
      <c r="AD1344">
        <v>8.4628639999999997</v>
      </c>
      <c r="AE1344">
        <v>-10.244</v>
      </c>
      <c r="AF1344">
        <v>9.2710994794501893</v>
      </c>
      <c r="AG1344">
        <v>8.4628639999999997</v>
      </c>
      <c r="AH1344">
        <v>59.795353998614601</v>
      </c>
      <c r="AI1344">
        <v>82.038292863282607</v>
      </c>
      <c r="AJ1344">
        <v>81.186628675471198</v>
      </c>
      <c r="AK1344">
        <v>61.098753771742302</v>
      </c>
      <c r="AL1344">
        <v>78.838467559184096</v>
      </c>
      <c r="AM1344">
        <v>93.980296951203997</v>
      </c>
      <c r="AN1344">
        <v>0.99999995679296905</v>
      </c>
    </row>
    <row r="1345" spans="1:40" x14ac:dyDescent="0.25">
      <c r="A1345" t="str">
        <f>"20190304155037227"</f>
        <v>20190304155037227</v>
      </c>
      <c r="B1345" t="str">
        <f>"1551685837217198"</f>
        <v>1551685837217198</v>
      </c>
      <c r="C1345" t="s">
        <v>40</v>
      </c>
      <c r="D1345">
        <v>9.1202539999999992</v>
      </c>
      <c r="E1345">
        <v>0.6196874</v>
      </c>
      <c r="F1345" t="s">
        <v>43</v>
      </c>
      <c r="G1345">
        <v>-168.84350000000001</v>
      </c>
      <c r="H1345">
        <v>9.5415290000000006</v>
      </c>
      <c r="I1345">
        <v>357.11869999999999</v>
      </c>
      <c r="J1345">
        <v>-229.47559999999999</v>
      </c>
      <c r="K1345">
        <v>1.110325</v>
      </c>
      <c r="L1345">
        <v>367.33879999999999</v>
      </c>
      <c r="M1345">
        <v>0.99981070000000005</v>
      </c>
      <c r="N1345">
        <v>-1.416592E-2</v>
      </c>
      <c r="O1345">
        <v>-1.3344E-2</v>
      </c>
      <c r="P1345">
        <v>0.98221689999999995</v>
      </c>
      <c r="Q1345">
        <v>0.1793952</v>
      </c>
      <c r="R1345">
        <v>5.5385499999999997E-2</v>
      </c>
      <c r="S1345">
        <v>3.0067140000000001</v>
      </c>
      <c r="T1345">
        <v>0.41699619999999998</v>
      </c>
      <c r="U1345">
        <v>-0.5055847</v>
      </c>
      <c r="V1345">
        <v>-6.8329650000000006E-2</v>
      </c>
      <c r="W1345">
        <v>0.1933357</v>
      </c>
      <c r="X1345">
        <v>0.97875040000000002</v>
      </c>
      <c r="Y1345">
        <v>0.1515378</v>
      </c>
      <c r="Z1345">
        <v>7.2855649999999999E-3</v>
      </c>
      <c r="AA1345">
        <v>0.98842459999999999</v>
      </c>
      <c r="AB1345">
        <v>29</v>
      </c>
      <c r="AC1345">
        <v>60.632099999999902</v>
      </c>
      <c r="AD1345">
        <v>8.4312039999999993</v>
      </c>
      <c r="AE1345">
        <v>-10.2201</v>
      </c>
      <c r="AF1345">
        <v>9.2363706830981407</v>
      </c>
      <c r="AG1345">
        <v>8.4312039999999993</v>
      </c>
      <c r="AH1345">
        <v>59.641700984281698</v>
      </c>
      <c r="AI1345">
        <v>82.047306333638105</v>
      </c>
      <c r="AJ1345">
        <v>81.196859410357405</v>
      </c>
      <c r="AK1345">
        <v>60.938725295034502</v>
      </c>
      <c r="AL1345">
        <v>78.852483690363997</v>
      </c>
      <c r="AM1345">
        <v>93.993519376081395</v>
      </c>
      <c r="AN1345">
        <v>0.99999998973188597</v>
      </c>
    </row>
    <row r="1346" spans="1:40" x14ac:dyDescent="0.25">
      <c r="A1346" t="str">
        <f>"20190304155037240"</f>
        <v>20190304155037240</v>
      </c>
      <c r="B1346" t="str">
        <f>"1551685837237695"</f>
        <v>1551685837237695</v>
      </c>
      <c r="C1346" t="s">
        <v>40</v>
      </c>
      <c r="D1346">
        <v>5.1833980000000004</v>
      </c>
      <c r="E1346">
        <v>0.60853500000000005</v>
      </c>
      <c r="F1346" t="s">
        <v>50</v>
      </c>
      <c r="G1346">
        <v>-193.83199999999999</v>
      </c>
      <c r="H1346" s="1">
        <v>-5.4503519999999999E-6</v>
      </c>
      <c r="I1346">
        <v>358.29969999999997</v>
      </c>
      <c r="J1346">
        <v>-229.32</v>
      </c>
      <c r="K1346">
        <v>1.1103229999999999</v>
      </c>
      <c r="L1346">
        <v>367.3365</v>
      </c>
      <c r="M1346">
        <v>0.99980769999999997</v>
      </c>
      <c r="N1346">
        <v>-1.416418E-2</v>
      </c>
      <c r="O1346">
        <v>-1.356605E-2</v>
      </c>
      <c r="P1346">
        <v>0.98234750000000004</v>
      </c>
      <c r="Q1346">
        <v>0.1787628</v>
      </c>
      <c r="R1346">
        <v>5.5113780000000001E-2</v>
      </c>
      <c r="S1346">
        <v>3.116638</v>
      </c>
      <c r="T1346">
        <v>-9.7086190000000003E-2</v>
      </c>
      <c r="U1346">
        <v>-0.79037480000000004</v>
      </c>
      <c r="V1346">
        <v>-6.8278569999999997E-2</v>
      </c>
      <c r="W1346">
        <v>0.1927036</v>
      </c>
      <c r="X1346">
        <v>0.97887860000000004</v>
      </c>
      <c r="Y1346">
        <v>0.23248849999999999</v>
      </c>
      <c r="Z1346">
        <v>-5.0101759999999999E-3</v>
      </c>
      <c r="AA1346">
        <v>0.97258619999999996</v>
      </c>
      <c r="AB1346">
        <v>29</v>
      </c>
      <c r="AC1346">
        <v>35.488</v>
      </c>
      <c r="AD1346">
        <v>-1.1103284503519999</v>
      </c>
      <c r="AE1346">
        <v>-9.0368000000000208</v>
      </c>
      <c r="AF1346">
        <v>8.5466311185888806</v>
      </c>
      <c r="AG1346">
        <v>-1.1103284503519999</v>
      </c>
      <c r="AH1346">
        <v>35.574636077688297</v>
      </c>
      <c r="AI1346">
        <v>91.7382629609573</v>
      </c>
      <c r="AJ1346">
        <v>76.490990441118996</v>
      </c>
      <c r="AK1346">
        <v>36.603722007534401</v>
      </c>
      <c r="AL1346">
        <v>78.889394322176898</v>
      </c>
      <c r="AM1346">
        <v>93.990022721210195</v>
      </c>
      <c r="AN1346">
        <v>0.99999997705608201</v>
      </c>
    </row>
    <row r="1347" spans="1:40" x14ac:dyDescent="0.25">
      <c r="A1347" t="str">
        <f>"20190304155037254"</f>
        <v>20190304155037254</v>
      </c>
      <c r="B1347" t="str">
        <f>"1551685837247455"</f>
        <v>1551685837247455</v>
      </c>
      <c r="C1347" t="s">
        <v>40</v>
      </c>
      <c r="D1347">
        <v>5.97403</v>
      </c>
      <c r="E1347">
        <v>0.60517699999999996</v>
      </c>
      <c r="F1347" t="s">
        <v>50</v>
      </c>
      <c r="G1347">
        <v>-205.81639999999999</v>
      </c>
      <c r="H1347" s="1">
        <v>-5.0154450000000001E-6</v>
      </c>
      <c r="I1347">
        <v>362.0385</v>
      </c>
      <c r="J1347">
        <v>-229.1568</v>
      </c>
      <c r="K1347">
        <v>1.11032</v>
      </c>
      <c r="L1347">
        <v>367.334</v>
      </c>
      <c r="M1347">
        <v>0.99980440000000004</v>
      </c>
      <c r="N1347">
        <v>-1.4162350000000001E-2</v>
      </c>
      <c r="O1347">
        <v>-1.379847E-2</v>
      </c>
      <c r="P1347">
        <v>0.98250179999999998</v>
      </c>
      <c r="Q1347">
        <v>0.17819389999999999</v>
      </c>
      <c r="R1347">
        <v>5.419587E-2</v>
      </c>
      <c r="S1347">
        <v>3.120193</v>
      </c>
      <c r="T1347">
        <v>-0.14740059999999999</v>
      </c>
      <c r="U1347">
        <v>-0.70333859999999904</v>
      </c>
      <c r="V1347">
        <v>-6.7591699999999894E-2</v>
      </c>
      <c r="W1347">
        <v>0.1921341</v>
      </c>
      <c r="X1347">
        <v>0.97903819999999997</v>
      </c>
      <c r="Y1347">
        <v>0.2061347</v>
      </c>
      <c r="Z1347">
        <v>-5.8347850000000003E-3</v>
      </c>
      <c r="AA1347">
        <v>0.97850619999999999</v>
      </c>
      <c r="AB1347">
        <v>29</v>
      </c>
      <c r="AC1347">
        <v>23.340399999999999</v>
      </c>
      <c r="AD1347">
        <v>-1.110325015445</v>
      </c>
      <c r="AE1347">
        <v>-5.2954999999999997</v>
      </c>
      <c r="AF1347">
        <v>4.9622218619209599</v>
      </c>
      <c r="AG1347">
        <v>-1.110325015445</v>
      </c>
      <c r="AH1347">
        <v>23.360976872044802</v>
      </c>
      <c r="AI1347">
        <v>92.661865065793506</v>
      </c>
      <c r="AJ1347">
        <v>78.0077605928266</v>
      </c>
      <c r="AK1347">
        <v>23.907984186523599</v>
      </c>
      <c r="AL1347">
        <v>78.922645603060403</v>
      </c>
      <c r="AM1347">
        <v>93.949369639866802</v>
      </c>
      <c r="AN1347">
        <v>0.999999973675469</v>
      </c>
    </row>
    <row r="1348" spans="1:40" x14ac:dyDescent="0.25">
      <c r="A1348" t="str">
        <f>"20190304155037267"</f>
        <v>20190304155037267</v>
      </c>
      <c r="B1348" t="str">
        <f>"1551685837257215"</f>
        <v>1551685837257215</v>
      </c>
      <c r="C1348" t="s">
        <v>40</v>
      </c>
      <c r="D1348">
        <v>6.0093699999999997</v>
      </c>
      <c r="E1348">
        <v>0.60429639999999996</v>
      </c>
      <c r="F1348" t="s">
        <v>50</v>
      </c>
      <c r="G1348">
        <v>-208.9391</v>
      </c>
      <c r="H1348" s="1">
        <v>-5.9741589999999998E-6</v>
      </c>
      <c r="I1348">
        <v>362.9307</v>
      </c>
      <c r="J1348">
        <v>-228.96979999999999</v>
      </c>
      <c r="K1348">
        <v>1.1103240000000001</v>
      </c>
      <c r="L1348">
        <v>367.33120000000002</v>
      </c>
      <c r="M1348">
        <v>0.99980089999999999</v>
      </c>
      <c r="N1348">
        <v>-1.4160270000000001E-2</v>
      </c>
      <c r="O1348">
        <v>-1.4064979999999999E-2</v>
      </c>
      <c r="P1348">
        <v>0.98257950000000005</v>
      </c>
      <c r="Q1348">
        <v>0.17803920000000001</v>
      </c>
      <c r="R1348">
        <v>5.329068E-2</v>
      </c>
      <c r="S1348">
        <v>3.1220400000000001</v>
      </c>
      <c r="T1348">
        <v>-0.17145779999999999</v>
      </c>
      <c r="U1348">
        <v>-0.67996219999999996</v>
      </c>
      <c r="V1348">
        <v>-6.6949990000000001E-2</v>
      </c>
      <c r="W1348">
        <v>0.1919778</v>
      </c>
      <c r="X1348">
        <v>0.97911300000000001</v>
      </c>
      <c r="Y1348">
        <v>0.19868910000000001</v>
      </c>
      <c r="Z1348">
        <v>-6.2473509999999999E-3</v>
      </c>
      <c r="AA1348">
        <v>0.98004259999999999</v>
      </c>
      <c r="AB1348">
        <v>29</v>
      </c>
      <c r="AC1348">
        <v>20.0307</v>
      </c>
      <c r="AD1348">
        <v>-1.110329974159</v>
      </c>
      <c r="AE1348">
        <v>-4.4005000000000196</v>
      </c>
      <c r="AF1348">
        <v>4.1062688179251099</v>
      </c>
      <c r="AG1348">
        <v>-1.110329974159</v>
      </c>
      <c r="AH1348">
        <v>20.031900373206</v>
      </c>
      <c r="AI1348">
        <v>93.108052545386897</v>
      </c>
      <c r="AJ1348">
        <v>78.415616975191497</v>
      </c>
      <c r="AK1348">
        <v>20.478557293389301</v>
      </c>
      <c r="AL1348">
        <v>78.931771348190694</v>
      </c>
      <c r="AM1348">
        <v>93.911693695435503</v>
      </c>
      <c r="AN1348">
        <v>1.00000002181141</v>
      </c>
    </row>
    <row r="1349" spans="1:40" x14ac:dyDescent="0.25">
      <c r="A1349" t="str">
        <f>"20190304155037282"</f>
        <v>20190304155037282</v>
      </c>
      <c r="B1349" t="str">
        <f>"1551685837277710"</f>
        <v>1551685837277710</v>
      </c>
      <c r="C1349" t="s">
        <v>40</v>
      </c>
      <c r="D1349">
        <v>7.7539649999999902</v>
      </c>
      <c r="E1349">
        <v>0.60460700000000001</v>
      </c>
      <c r="F1349" t="s">
        <v>50</v>
      </c>
      <c r="G1349">
        <v>-209.4614</v>
      </c>
      <c r="H1349" s="1">
        <v>-6.121239E-6</v>
      </c>
      <c r="I1349">
        <v>363.10849999999999</v>
      </c>
      <c r="J1349">
        <v>-228.77969999999999</v>
      </c>
      <c r="K1349">
        <v>1.1103209999999999</v>
      </c>
      <c r="L1349">
        <v>367.32819999999998</v>
      </c>
      <c r="M1349">
        <v>0.99979709999999999</v>
      </c>
      <c r="N1349">
        <v>-1.415813E-2</v>
      </c>
      <c r="O1349">
        <v>-1.4335189999999999E-2</v>
      </c>
      <c r="P1349">
        <v>0.98270290000000005</v>
      </c>
      <c r="Q1349">
        <v>0.1778177</v>
      </c>
      <c r="R1349">
        <v>5.1731180000000002E-2</v>
      </c>
      <c r="S1349">
        <v>3.1220400000000001</v>
      </c>
      <c r="T1349">
        <v>-0.17769289999999999</v>
      </c>
      <c r="U1349">
        <v>-0.67578130000000003</v>
      </c>
      <c r="V1349">
        <v>-6.5657729999999997E-2</v>
      </c>
      <c r="W1349">
        <v>0.1917546</v>
      </c>
      <c r="X1349">
        <v>0.97924420000000001</v>
      </c>
      <c r="Y1349">
        <v>0.19715099999999999</v>
      </c>
      <c r="Z1349">
        <v>-6.3500020000000004E-3</v>
      </c>
      <c r="AA1349">
        <v>0.98035260000000002</v>
      </c>
      <c r="AB1349">
        <v>29</v>
      </c>
      <c r="AC1349">
        <v>19.318299999999901</v>
      </c>
      <c r="AD1349">
        <v>-1.11032712123899</v>
      </c>
      <c r="AE1349">
        <v>-4.21969999999998</v>
      </c>
      <c r="AF1349">
        <v>3.9299161101816802</v>
      </c>
      <c r="AG1349">
        <v>-1.11032712123899</v>
      </c>
      <c r="AH1349">
        <v>19.315908007179399</v>
      </c>
      <c r="AI1349">
        <v>93.223979295429302</v>
      </c>
      <c r="AJ1349">
        <v>78.499856982670295</v>
      </c>
      <c r="AK1349">
        <v>19.7428814789291</v>
      </c>
      <c r="AL1349">
        <v>78.9448014317218</v>
      </c>
      <c r="AM1349">
        <v>93.835905899154895</v>
      </c>
      <c r="AN1349">
        <v>0.99999998368177601</v>
      </c>
    </row>
    <row r="1350" spans="1:40" x14ac:dyDescent="0.25">
      <c r="A1350" t="str">
        <f>"20190304155037305"</f>
        <v>20190304155037305</v>
      </c>
      <c r="B1350" t="str">
        <f>"1551685837297231"</f>
        <v>1551685837297231</v>
      </c>
      <c r="C1350" t="s">
        <v>40</v>
      </c>
      <c r="D1350">
        <v>5.9740890000000002</v>
      </c>
      <c r="E1350">
        <v>0.60355939999999997</v>
      </c>
      <c r="F1350" t="s">
        <v>41</v>
      </c>
      <c r="G1350">
        <v>-209.96</v>
      </c>
      <c r="H1350" s="1">
        <v>-5.4261399999999999E-6</v>
      </c>
      <c r="I1350">
        <v>363.20830000000001</v>
      </c>
      <c r="J1350">
        <v>-228.4965</v>
      </c>
      <c r="K1350">
        <v>1.110317</v>
      </c>
      <c r="L1350">
        <v>367.32369999999997</v>
      </c>
      <c r="M1350">
        <v>0.99979130000000005</v>
      </c>
      <c r="N1350">
        <v>-1.4155030000000001E-2</v>
      </c>
      <c r="O1350">
        <v>-1.473793E-2</v>
      </c>
      <c r="P1350">
        <v>0.98293560000000002</v>
      </c>
      <c r="Q1350">
        <v>0.17707300000000001</v>
      </c>
      <c r="R1350">
        <v>4.9828339999999999E-2</v>
      </c>
      <c r="S1350">
        <v>3.122131</v>
      </c>
      <c r="T1350">
        <v>-0.18419920000000001</v>
      </c>
      <c r="U1350">
        <v>-0.68347170000000002</v>
      </c>
      <c r="V1350">
        <v>-6.4155680000000007E-2</v>
      </c>
      <c r="W1350">
        <v>0.1910095</v>
      </c>
      <c r="X1350">
        <v>0.97948939999999995</v>
      </c>
      <c r="Y1350">
        <v>0.1990278</v>
      </c>
      <c r="Z1350">
        <v>-6.5720780000000003E-3</v>
      </c>
      <c r="AA1350">
        <v>0.97997179999999995</v>
      </c>
      <c r="AB1350">
        <v>29</v>
      </c>
      <c r="AC1350">
        <v>18.536499999999901</v>
      </c>
      <c r="AD1350">
        <v>-1.11032242614</v>
      </c>
      <c r="AE1350">
        <v>-4.1153999999999602</v>
      </c>
      <c r="AF1350">
        <v>3.8286443856232202</v>
      </c>
      <c r="AG1350">
        <v>-1.11032242614</v>
      </c>
      <c r="AH1350">
        <v>18.531777809135399</v>
      </c>
      <c r="AI1350">
        <v>93.358001141366898</v>
      </c>
      <c r="AJ1350">
        <v>78.326987475757804</v>
      </c>
      <c r="AK1350">
        <v>18.955688393954901</v>
      </c>
      <c r="AL1350">
        <v>78.988297043000102</v>
      </c>
      <c r="AM1350">
        <v>93.747469403509598</v>
      </c>
      <c r="AN1350">
        <v>1.00000003253943</v>
      </c>
    </row>
    <row r="1351" spans="1:40" x14ac:dyDescent="0.25">
      <c r="A1351" t="str">
        <f>"20190304155037319"</f>
        <v>20190304155037319</v>
      </c>
      <c r="B1351" t="str">
        <f>"1551685837307967"</f>
        <v>1551685837307967</v>
      </c>
      <c r="C1351" t="s">
        <v>40</v>
      </c>
      <c r="D1351">
        <v>5.1738309999999998</v>
      </c>
      <c r="E1351">
        <v>0.60265840000000004</v>
      </c>
      <c r="F1351" t="s">
        <v>41</v>
      </c>
      <c r="G1351">
        <v>-210.43369999999999</v>
      </c>
      <c r="H1351" s="1">
        <v>-5.1920049999999999E-6</v>
      </c>
      <c r="I1351">
        <v>363.38260000000002</v>
      </c>
      <c r="J1351">
        <v>-228.30289999999999</v>
      </c>
      <c r="K1351">
        <v>1.1103160000000001</v>
      </c>
      <c r="L1351">
        <v>367.32049999999998</v>
      </c>
      <c r="M1351">
        <v>0.99978710000000004</v>
      </c>
      <c r="N1351">
        <v>-1.415303E-2</v>
      </c>
      <c r="O1351">
        <v>-1.501338E-2</v>
      </c>
      <c r="P1351">
        <v>0.98301689999999997</v>
      </c>
      <c r="Q1351">
        <v>0.17690890000000001</v>
      </c>
      <c r="R1351">
        <v>4.8797609999999998E-2</v>
      </c>
      <c r="S1351">
        <v>3.1211549999999999</v>
      </c>
      <c r="T1351">
        <v>-0.1918569</v>
      </c>
      <c r="U1351">
        <v>-0.68099980000000004</v>
      </c>
      <c r="V1351">
        <v>-6.3396919999999995E-2</v>
      </c>
      <c r="W1351">
        <v>0.1908434</v>
      </c>
      <c r="X1351">
        <v>0.97957119999999998</v>
      </c>
      <c r="Y1351">
        <v>0.19805339999999999</v>
      </c>
      <c r="Z1351">
        <v>-6.7294210000000002E-3</v>
      </c>
      <c r="AA1351">
        <v>0.98016809999999999</v>
      </c>
      <c r="AB1351">
        <v>29</v>
      </c>
      <c r="AC1351">
        <v>17.869199999999999</v>
      </c>
      <c r="AD1351">
        <v>-1.110321192005</v>
      </c>
      <c r="AE1351">
        <v>-3.9378999999999502</v>
      </c>
      <c r="AF1351">
        <v>3.6556916052494399</v>
      </c>
      <c r="AG1351">
        <v>-1.110321192005</v>
      </c>
      <c r="AH1351">
        <v>17.860548955633401</v>
      </c>
      <c r="AI1351">
        <v>93.485207429975304</v>
      </c>
      <c r="AJ1351">
        <v>78.432487196673407</v>
      </c>
      <c r="AK1351">
        <v>18.264613416623</v>
      </c>
      <c r="AL1351">
        <v>78.997992463534104</v>
      </c>
      <c r="AM1351">
        <v>93.7029643048472</v>
      </c>
      <c r="AN1351">
        <v>1.00000005432924</v>
      </c>
    </row>
    <row r="1352" spans="1:40" x14ac:dyDescent="0.25">
      <c r="A1352" t="str">
        <f>"20190304155037333"</f>
        <v>20190304155037333</v>
      </c>
      <c r="B1352" t="str">
        <f>"1551685837327487"</f>
        <v>1551685837327487</v>
      </c>
      <c r="C1352" t="s">
        <v>40</v>
      </c>
      <c r="D1352">
        <v>5.9857329999999997</v>
      </c>
      <c r="E1352">
        <v>0.60070069999999998</v>
      </c>
      <c r="F1352" t="s">
        <v>41</v>
      </c>
      <c r="G1352">
        <v>-210.2414</v>
      </c>
      <c r="H1352" s="1">
        <v>-5.27094399999999E-6</v>
      </c>
      <c r="I1352">
        <v>363.40269999999998</v>
      </c>
      <c r="J1352">
        <v>-228.1326</v>
      </c>
      <c r="K1352">
        <v>1.110311</v>
      </c>
      <c r="L1352">
        <v>367.3177</v>
      </c>
      <c r="M1352">
        <v>0.99978339999999999</v>
      </c>
      <c r="N1352">
        <v>-1.4151270000000001E-2</v>
      </c>
      <c r="O1352">
        <v>-1.5255339999999999E-2</v>
      </c>
      <c r="P1352">
        <v>0.98309020000000003</v>
      </c>
      <c r="Q1352">
        <v>0.1767685</v>
      </c>
      <c r="R1352">
        <v>4.7817409999999998E-2</v>
      </c>
      <c r="S1352">
        <v>3.1199340000000002</v>
      </c>
      <c r="T1352">
        <v>-0.19179560000000001</v>
      </c>
      <c r="U1352">
        <v>-0.67675779999999996</v>
      </c>
      <c r="V1352">
        <v>-6.2656420000000004E-2</v>
      </c>
      <c r="W1352">
        <v>0.19070200000000001</v>
      </c>
      <c r="X1352">
        <v>0.97964629999999997</v>
      </c>
      <c r="Y1352">
        <v>0.19662679999999999</v>
      </c>
      <c r="Z1352">
        <v>-6.6652839999999996E-3</v>
      </c>
      <c r="AA1352">
        <v>0.98045579999999999</v>
      </c>
      <c r="AB1352">
        <v>29</v>
      </c>
      <c r="AC1352">
        <v>17.891199999999898</v>
      </c>
      <c r="AD1352">
        <v>-1.110316270944</v>
      </c>
      <c r="AE1352">
        <v>-3.91500000000002</v>
      </c>
      <c r="AF1352">
        <v>3.6282454684505301</v>
      </c>
      <c r="AG1352">
        <v>-1.110316270944</v>
      </c>
      <c r="AH1352">
        <v>17.883121079301201</v>
      </c>
      <c r="AI1352">
        <v>93.482022217788696</v>
      </c>
      <c r="AJ1352">
        <v>78.531127827522297</v>
      </c>
      <c r="AK1352">
        <v>18.281219514512699</v>
      </c>
      <c r="AL1352">
        <v>79.006244795609803</v>
      </c>
      <c r="AM1352">
        <v>93.659550725717594</v>
      </c>
      <c r="AN1352">
        <v>0.99999997643745198</v>
      </c>
    </row>
    <row r="1353" spans="1:40" x14ac:dyDescent="0.25">
      <c r="A1353" t="str">
        <f>"20190304155037346"</f>
        <v>20190304155037346</v>
      </c>
      <c r="B1353" t="str">
        <f>"1551685837337247"</f>
        <v>1551685837337247</v>
      </c>
      <c r="C1353" t="s">
        <v>40</v>
      </c>
      <c r="D1353">
        <v>6.0005139999999999</v>
      </c>
      <c r="E1353">
        <v>0.60005620000000004</v>
      </c>
      <c r="F1353" t="s">
        <v>41</v>
      </c>
      <c r="G1353">
        <v>-210.86410000000001</v>
      </c>
      <c r="H1353" s="1">
        <v>-4.9618109999999997E-6</v>
      </c>
      <c r="I1353">
        <v>363.6395</v>
      </c>
      <c r="J1353">
        <v>-227.95650000000001</v>
      </c>
      <c r="K1353">
        <v>1.1103099999999999</v>
      </c>
      <c r="L1353">
        <v>367.31479999999999</v>
      </c>
      <c r="M1353">
        <v>0.9997798</v>
      </c>
      <c r="N1353">
        <v>-1.414938E-2</v>
      </c>
      <c r="O1353">
        <v>-1.5506000000000001E-2</v>
      </c>
      <c r="P1353">
        <v>0.9831896</v>
      </c>
      <c r="Q1353">
        <v>0.1764472</v>
      </c>
      <c r="R1353">
        <v>4.6956440000000002E-2</v>
      </c>
      <c r="S1353">
        <v>3.1199949999999999</v>
      </c>
      <c r="T1353">
        <v>-0.2006056</v>
      </c>
      <c r="U1353">
        <v>-0.6645508</v>
      </c>
      <c r="V1353">
        <v>-6.2044219999999997E-2</v>
      </c>
      <c r="W1353">
        <v>0.19037950000000001</v>
      </c>
      <c r="X1353">
        <v>0.97974799999999995</v>
      </c>
      <c r="Y1353">
        <v>0.1926831</v>
      </c>
      <c r="Z1353">
        <v>-6.7320469999999997E-3</v>
      </c>
      <c r="AA1353">
        <v>0.9812379</v>
      </c>
      <c r="AB1353">
        <v>29</v>
      </c>
      <c r="AC1353">
        <v>17.092399999999898</v>
      </c>
      <c r="AD1353">
        <v>-1.110314961811</v>
      </c>
      <c r="AE1353">
        <v>-3.6752999999999898</v>
      </c>
      <c r="AF1353">
        <v>3.39609943117072</v>
      </c>
      <c r="AG1353">
        <v>-1.110314961811</v>
      </c>
      <c r="AH1353">
        <v>17.078457619939901</v>
      </c>
      <c r="AI1353">
        <v>93.648476099133703</v>
      </c>
      <c r="AJ1353">
        <v>78.753282086238798</v>
      </c>
      <c r="AK1353">
        <v>17.448209230087301</v>
      </c>
      <c r="AL1353">
        <v>79.025067697006094</v>
      </c>
      <c r="AM1353">
        <v>93.623514769973895</v>
      </c>
      <c r="AN1353">
        <v>0.99999999137982898</v>
      </c>
    </row>
    <row r="1354" spans="1:40" x14ac:dyDescent="0.25">
      <c r="A1354" t="str">
        <f>"20190304155037360"</f>
        <v>20190304155037360</v>
      </c>
      <c r="B1354" t="str">
        <f>"1551685837357743"</f>
        <v>1551685837357743</v>
      </c>
      <c r="C1354" t="s">
        <v>40</v>
      </c>
      <c r="D1354">
        <v>5.2150259999999999</v>
      </c>
      <c r="E1354">
        <v>0.59997489999999998</v>
      </c>
      <c r="F1354" t="s">
        <v>41</v>
      </c>
      <c r="G1354">
        <v>-210.9418</v>
      </c>
      <c r="H1354" s="1">
        <v>-4.916729E-6</v>
      </c>
      <c r="I1354">
        <v>363.7056</v>
      </c>
      <c r="J1354">
        <v>-227.7878</v>
      </c>
      <c r="K1354">
        <v>1.110311</v>
      </c>
      <c r="L1354">
        <v>367.31189999999998</v>
      </c>
      <c r="M1354">
        <v>0.999776</v>
      </c>
      <c r="N1354">
        <v>-1.414757E-2</v>
      </c>
      <c r="O1354">
        <v>-1.5747130000000002E-2</v>
      </c>
      <c r="P1354">
        <v>0.98327980000000004</v>
      </c>
      <c r="Q1354">
        <v>0.17632310000000001</v>
      </c>
      <c r="R1354">
        <v>4.5513049999999999E-2</v>
      </c>
      <c r="S1354">
        <v>3.1194310000000001</v>
      </c>
      <c r="T1354">
        <v>-0.20356150000000001</v>
      </c>
      <c r="U1354">
        <v>-0.66168209999999905</v>
      </c>
      <c r="V1354">
        <v>-6.0838959999999997E-2</v>
      </c>
      <c r="W1354">
        <v>0.19025349999999999</v>
      </c>
      <c r="X1354">
        <v>0.97984800000000005</v>
      </c>
      <c r="Y1354">
        <v>0.19161010000000001</v>
      </c>
      <c r="Z1354">
        <v>-6.7542699999999997E-3</v>
      </c>
      <c r="AA1354">
        <v>0.98144790000000004</v>
      </c>
      <c r="AB1354">
        <v>29</v>
      </c>
      <c r="AC1354">
        <v>16.846</v>
      </c>
      <c r="AD1354">
        <v>-1.110315916729</v>
      </c>
      <c r="AE1354">
        <v>-3.6062999999999699</v>
      </c>
      <c r="AF1354">
        <v>3.3267316928295401</v>
      </c>
      <c r="AG1354">
        <v>-1.110315916729</v>
      </c>
      <c r="AH1354">
        <v>16.8307945930264</v>
      </c>
      <c r="AI1354">
        <v>93.702859835903197</v>
      </c>
      <c r="AJ1354">
        <v>78.819182273043793</v>
      </c>
      <c r="AK1354">
        <v>17.1923119976246</v>
      </c>
      <c r="AL1354">
        <v>79.032420779572007</v>
      </c>
      <c r="AM1354">
        <v>93.552945429891295</v>
      </c>
      <c r="AN1354">
        <v>0.99999993821006306</v>
      </c>
    </row>
    <row r="1355" spans="1:40" x14ac:dyDescent="0.25">
      <c r="A1355" t="str">
        <f>"20190304155037373"</f>
        <v>20190304155037373</v>
      </c>
      <c r="B1355" t="str">
        <f>"1551685837367503"</f>
        <v>1551685837367503</v>
      </c>
      <c r="C1355" t="s">
        <v>40</v>
      </c>
      <c r="D1355">
        <v>5.2164330000000003</v>
      </c>
      <c r="E1355">
        <v>0.59946639999999995</v>
      </c>
      <c r="F1355" t="s">
        <v>41</v>
      </c>
      <c r="G1355">
        <v>-210.86160000000001</v>
      </c>
      <c r="H1355" s="1">
        <v>-4.9526980000000004E-6</v>
      </c>
      <c r="I1355">
        <v>363.697</v>
      </c>
      <c r="J1355">
        <v>-227.6207</v>
      </c>
      <c r="K1355">
        <v>1.1103069999999999</v>
      </c>
      <c r="L1355">
        <v>367.30900000000003</v>
      </c>
      <c r="M1355">
        <v>0.99977210000000005</v>
      </c>
      <c r="N1355">
        <v>-1.414577E-2</v>
      </c>
      <c r="O1355">
        <v>-1.5987560000000001E-2</v>
      </c>
      <c r="P1355">
        <v>0.9833288</v>
      </c>
      <c r="Q1355">
        <v>0.17614639999999901</v>
      </c>
      <c r="R1355">
        <v>4.5132529999999997E-2</v>
      </c>
      <c r="S1355">
        <v>3.1185299999999998</v>
      </c>
      <c r="T1355">
        <v>-0.20456650000000001</v>
      </c>
      <c r="U1355">
        <v>-0.66601560000000004</v>
      </c>
      <c r="V1355">
        <v>-6.0695770000000003E-2</v>
      </c>
      <c r="W1355">
        <v>0.1900761</v>
      </c>
      <c r="X1355">
        <v>0.97989139999999997</v>
      </c>
      <c r="Y1355">
        <v>0.1927296</v>
      </c>
      <c r="Z1355">
        <v>-6.8124869999999999E-3</v>
      </c>
      <c r="AA1355">
        <v>0.98122830000000005</v>
      </c>
      <c r="AB1355">
        <v>29</v>
      </c>
      <c r="AC1355">
        <v>16.759099999999901</v>
      </c>
      <c r="AD1355">
        <v>-1.1103119526980001</v>
      </c>
      <c r="AE1355">
        <v>-3.61200000000008</v>
      </c>
      <c r="AF1355">
        <v>3.3296086179746398</v>
      </c>
      <c r="AG1355">
        <v>-1.1103119526980001</v>
      </c>
      <c r="AH1355">
        <v>16.744477423001001</v>
      </c>
      <c r="AI1355">
        <v>93.721038267670707</v>
      </c>
      <c r="AJ1355">
        <v>78.753538535250797</v>
      </c>
      <c r="AK1355">
        <v>17.108378367062901</v>
      </c>
      <c r="AL1355">
        <v>79.042774971205503</v>
      </c>
      <c r="AM1355">
        <v>93.544448003664101</v>
      </c>
      <c r="AN1355">
        <v>1.0000000280405299</v>
      </c>
    </row>
    <row r="1356" spans="1:40" x14ac:dyDescent="0.25">
      <c r="A1356" t="str">
        <f>"20190304155037385"</f>
        <v>20190304155037385</v>
      </c>
      <c r="B1356" t="str">
        <f>"1551685837377771"</f>
        <v>1551685837377771</v>
      </c>
      <c r="C1356" t="s">
        <v>40</v>
      </c>
      <c r="D1356">
        <v>5.213101</v>
      </c>
      <c r="E1356">
        <v>0.59928440000000005</v>
      </c>
      <c r="F1356" t="s">
        <v>41</v>
      </c>
      <c r="G1356">
        <v>-210.71119999999999</v>
      </c>
      <c r="H1356" s="1">
        <v>-5.0146630000000001E-6</v>
      </c>
      <c r="I1356">
        <v>363.71140000000003</v>
      </c>
      <c r="J1356">
        <v>-227.46539999999999</v>
      </c>
      <c r="K1356">
        <v>1.110301</v>
      </c>
      <c r="L1356">
        <v>367.30630000000002</v>
      </c>
      <c r="M1356">
        <v>0.99976849999999995</v>
      </c>
      <c r="N1356">
        <v>-1.414411E-2</v>
      </c>
      <c r="O1356">
        <v>-1.621334E-2</v>
      </c>
      <c r="P1356">
        <v>0.983429</v>
      </c>
      <c r="Q1356">
        <v>0.17569799999999999</v>
      </c>
      <c r="R1356">
        <v>4.469571E-2</v>
      </c>
      <c r="S1356">
        <v>3.1179960000000002</v>
      </c>
      <c r="T1356">
        <v>-0.20473250000000001</v>
      </c>
      <c r="U1356">
        <v>-0.66336059999999997</v>
      </c>
      <c r="V1356">
        <v>-6.048245E-2</v>
      </c>
      <c r="W1356">
        <v>0.18962709999999999</v>
      </c>
      <c r="X1356">
        <v>0.97999159999999996</v>
      </c>
      <c r="Y1356">
        <v>0.1917449</v>
      </c>
      <c r="Z1356">
        <v>-6.7672929999999997E-3</v>
      </c>
      <c r="AA1356">
        <v>0.98142149999999995</v>
      </c>
      <c r="AB1356">
        <v>29</v>
      </c>
      <c r="AC1356">
        <v>16.754199999999901</v>
      </c>
      <c r="AD1356">
        <v>-1.1103060146629999</v>
      </c>
      <c r="AE1356">
        <v>-3.5948999999999902</v>
      </c>
      <c r="AF1356">
        <v>3.3088665087865898</v>
      </c>
      <c r="AG1356">
        <v>-1.1103060146629999</v>
      </c>
      <c r="AH1356">
        <v>16.740006214032402</v>
      </c>
      <c r="AI1356">
        <v>93.722849264953695</v>
      </c>
      <c r="AJ1356">
        <v>78.818919366080493</v>
      </c>
      <c r="AK1356">
        <v>17.0999761714749</v>
      </c>
      <c r="AL1356">
        <v>79.068977565527902</v>
      </c>
      <c r="AM1356">
        <v>93.531662136506796</v>
      </c>
      <c r="AN1356">
        <v>1.0000000499414801</v>
      </c>
    </row>
    <row r="1357" spans="1:40" x14ac:dyDescent="0.25">
      <c r="A1357" t="str">
        <f>"20190304155037396"</f>
        <v>20190304155037396</v>
      </c>
      <c r="B1357" t="str">
        <f>"1551685837387531"</f>
        <v>1551685837387531</v>
      </c>
      <c r="C1357" t="s">
        <v>40</v>
      </c>
      <c r="D1357">
        <v>6.0139779999999998</v>
      </c>
      <c r="E1357">
        <v>0.59871869999999905</v>
      </c>
      <c r="F1357" t="s">
        <v>41</v>
      </c>
      <c r="G1357">
        <v>-210.7116</v>
      </c>
      <c r="H1357" s="1">
        <v>-5.0094379999999996E-6</v>
      </c>
      <c r="I1357">
        <v>363.73970000000003</v>
      </c>
      <c r="J1357">
        <v>-227.328</v>
      </c>
      <c r="K1357">
        <v>1.1102939999999999</v>
      </c>
      <c r="L1357">
        <v>367.30380000000002</v>
      </c>
      <c r="M1357">
        <v>0.99976520000000002</v>
      </c>
      <c r="N1357">
        <v>-1.414264E-2</v>
      </c>
      <c r="O1357">
        <v>-1.64177E-2</v>
      </c>
      <c r="P1357">
        <v>0.98352099999999998</v>
      </c>
      <c r="Q1357">
        <v>0.17524960000000001</v>
      </c>
      <c r="R1357">
        <v>4.4428589999999997E-2</v>
      </c>
      <c r="S1357">
        <v>3.1176149999999998</v>
      </c>
      <c r="T1357">
        <v>-0.20660909999999999</v>
      </c>
      <c r="U1357">
        <v>-0.66366579999999997</v>
      </c>
      <c r="V1357">
        <v>-6.0416270000000001E-2</v>
      </c>
      <c r="W1357">
        <v>0.18917909999999999</v>
      </c>
      <c r="X1357">
        <v>0.98008220000000001</v>
      </c>
      <c r="Y1357">
        <v>0.1916535</v>
      </c>
      <c r="Z1357">
        <v>-6.8008499999999998E-3</v>
      </c>
      <c r="AA1357">
        <v>0.98143910000000001</v>
      </c>
      <c r="AB1357">
        <v>29</v>
      </c>
      <c r="AC1357">
        <v>16.616399999999999</v>
      </c>
      <c r="AD1357">
        <v>-1.1102990094380001</v>
      </c>
      <c r="AE1357">
        <v>-3.5640999999999901</v>
      </c>
      <c r="AF1357">
        <v>3.27680227720285</v>
      </c>
      <c r="AG1357">
        <v>-1.1102990094380001</v>
      </c>
      <c r="AH1357">
        <v>16.601815969183001</v>
      </c>
      <c r="AI1357">
        <v>93.753929237809999</v>
      </c>
      <c r="AJ1357">
        <v>78.834694393811603</v>
      </c>
      <c r="AK1357">
        <v>16.958493167992899</v>
      </c>
      <c r="AL1357">
        <v>79.095118571446207</v>
      </c>
      <c r="AM1357">
        <v>93.527482259063106</v>
      </c>
      <c r="AN1357">
        <v>0.99999998815718105</v>
      </c>
    </row>
    <row r="1358" spans="1:40" x14ac:dyDescent="0.25">
      <c r="A1358" t="str">
        <f>"20190304155037407"</f>
        <v>20190304155037407</v>
      </c>
      <c r="B1358" t="str">
        <f>"1551685837397291"</f>
        <v>1551685837397291</v>
      </c>
      <c r="C1358" t="s">
        <v>40</v>
      </c>
      <c r="D1358">
        <v>5.1976100000000001</v>
      </c>
      <c r="E1358">
        <v>0.59879550000000004</v>
      </c>
      <c r="F1358" t="s">
        <v>41</v>
      </c>
      <c r="G1358">
        <v>-210.76089999999999</v>
      </c>
      <c r="H1358" s="1">
        <v>-4.9785120000000002E-6</v>
      </c>
      <c r="I1358">
        <v>363.79480000000001</v>
      </c>
      <c r="J1358">
        <v>-227.18190000000001</v>
      </c>
      <c r="K1358">
        <v>1.110287</v>
      </c>
      <c r="L1358">
        <v>367.30119999999999</v>
      </c>
      <c r="M1358">
        <v>0.99976160000000003</v>
      </c>
      <c r="N1358">
        <v>-1.414107E-2</v>
      </c>
      <c r="O1358">
        <v>-1.6636140000000001E-2</v>
      </c>
      <c r="P1358">
        <v>0.98360570000000003</v>
      </c>
      <c r="Q1358">
        <v>0.1748372</v>
      </c>
      <c r="R1358">
        <v>4.4178299999999997E-2</v>
      </c>
      <c r="S1358">
        <v>3.1173099999999998</v>
      </c>
      <c r="T1358">
        <v>-0.20891570000000001</v>
      </c>
      <c r="U1358">
        <v>-0.66024780000000005</v>
      </c>
      <c r="V1358">
        <v>-6.038048E-2</v>
      </c>
      <c r="W1358">
        <v>0.18876699999999999</v>
      </c>
      <c r="X1358">
        <v>0.98016389999999998</v>
      </c>
      <c r="Y1358">
        <v>0.1904227</v>
      </c>
      <c r="Z1358">
        <v>-6.798643E-3</v>
      </c>
      <c r="AA1358">
        <v>0.98167870000000002</v>
      </c>
      <c r="AB1358">
        <v>29</v>
      </c>
      <c r="AC1358">
        <v>16.420999999999999</v>
      </c>
      <c r="AD1358">
        <v>-1.110291978512</v>
      </c>
      <c r="AE1358">
        <v>-3.5063999999999802</v>
      </c>
      <c r="AF1358">
        <v>3.2186324028775699</v>
      </c>
      <c r="AG1358">
        <v>-1.110291978512</v>
      </c>
      <c r="AH1358">
        <v>16.4053365401825</v>
      </c>
      <c r="AI1358">
        <v>93.799581711721004</v>
      </c>
      <c r="AJ1358">
        <v>78.899887887627699</v>
      </c>
      <c r="AK1358">
        <v>16.754921958011298</v>
      </c>
      <c r="AL1358">
        <v>79.119163820861601</v>
      </c>
      <c r="AM1358">
        <v>93.525104772314705</v>
      </c>
      <c r="AN1358">
        <v>1.00000002675861</v>
      </c>
    </row>
    <row r="1359" spans="1:40" x14ac:dyDescent="0.25">
      <c r="A1359" t="str">
        <f>"20190304155037418"</f>
        <v>20190304155037418</v>
      </c>
      <c r="B1359" t="str">
        <f>"1551685837408027"</f>
        <v>1551685837408027</v>
      </c>
      <c r="C1359" t="s">
        <v>40</v>
      </c>
      <c r="D1359">
        <v>5.2044499999999996</v>
      </c>
      <c r="E1359">
        <v>0.5990415</v>
      </c>
      <c r="F1359" t="s">
        <v>41</v>
      </c>
      <c r="G1359">
        <v>-210.77369999999999</v>
      </c>
      <c r="H1359" s="1">
        <v>-4.9690320000000002E-6</v>
      </c>
      <c r="I1359">
        <v>363.81729999999999</v>
      </c>
      <c r="J1359">
        <v>-227.0401</v>
      </c>
      <c r="K1359">
        <v>1.1102730000000001</v>
      </c>
      <c r="L1359">
        <v>367.29860000000002</v>
      </c>
      <c r="M1359">
        <v>0.99975800000000004</v>
      </c>
      <c r="N1359">
        <v>-1.413962E-2</v>
      </c>
      <c r="O1359">
        <v>-1.6858930000000001E-2</v>
      </c>
      <c r="P1359">
        <v>0.98368449999999996</v>
      </c>
      <c r="Q1359">
        <v>0.17443510000000001</v>
      </c>
      <c r="R1359">
        <v>4.4017220000000003E-2</v>
      </c>
      <c r="S1359">
        <v>3.1172029999999999</v>
      </c>
      <c r="T1359">
        <v>-0.2109308</v>
      </c>
      <c r="U1359">
        <v>-0.66186519999999904</v>
      </c>
      <c r="V1359">
        <v>-6.0437110000000002E-2</v>
      </c>
      <c r="W1359">
        <v>0.18836520000000001</v>
      </c>
      <c r="X1359">
        <v>0.98023769999999999</v>
      </c>
      <c r="Y1359">
        <v>0.19068969999999999</v>
      </c>
      <c r="Z1359">
        <v>-6.8476120000000003E-3</v>
      </c>
      <c r="AA1359">
        <v>0.98162649999999996</v>
      </c>
      <c r="AB1359">
        <v>29</v>
      </c>
      <c r="AC1359">
        <v>16.266400000000001</v>
      </c>
      <c r="AD1359">
        <v>-1.1102779690319999</v>
      </c>
      <c r="AE1359">
        <v>-3.4813000000000298</v>
      </c>
      <c r="AF1359">
        <v>3.19232241497867</v>
      </c>
      <c r="AG1359">
        <v>-1.1102779690319999</v>
      </c>
      <c r="AH1359">
        <v>16.2503919708689</v>
      </c>
      <c r="AI1359">
        <v>93.835472241548899</v>
      </c>
      <c r="AJ1359">
        <v>78.886005063763605</v>
      </c>
      <c r="AK1359">
        <v>16.5981588971962</v>
      </c>
      <c r="AL1359">
        <v>79.142605735104198</v>
      </c>
      <c r="AM1359">
        <v>93.528137594955794</v>
      </c>
      <c r="AN1359">
        <v>1.0000000206687401</v>
      </c>
    </row>
    <row r="1360" spans="1:40" x14ac:dyDescent="0.25">
      <c r="A1360" t="str">
        <f>"20190304155037431"</f>
        <v>20190304155037431</v>
      </c>
      <c r="B1360" t="str">
        <f>"1551685837427546"</f>
        <v>1551685837427546</v>
      </c>
      <c r="C1360" t="s">
        <v>40</v>
      </c>
      <c r="D1360">
        <v>6.0193260000000004</v>
      </c>
      <c r="E1360">
        <v>0.59855760000000002</v>
      </c>
      <c r="F1360" t="s">
        <v>41</v>
      </c>
      <c r="G1360">
        <v>-210.5675</v>
      </c>
      <c r="H1360" s="1">
        <v>-5.0628790000000003E-6</v>
      </c>
      <c r="I1360">
        <v>363.78699999999998</v>
      </c>
      <c r="J1360">
        <v>-226.8809</v>
      </c>
      <c r="K1360">
        <v>1.1102590000000001</v>
      </c>
      <c r="L1360">
        <v>367.29570000000001</v>
      </c>
      <c r="M1360">
        <v>0.99975360000000002</v>
      </c>
      <c r="N1360">
        <v>-1.4138009999999999E-2</v>
      </c>
      <c r="O1360">
        <v>-1.7114420000000002E-2</v>
      </c>
      <c r="P1360">
        <v>0.98375279999999998</v>
      </c>
      <c r="Q1360">
        <v>0.17401329999999901</v>
      </c>
      <c r="R1360">
        <v>4.415401E-2</v>
      </c>
      <c r="S1360">
        <v>3.1167449999999999</v>
      </c>
      <c r="T1360">
        <v>-0.21007300000000001</v>
      </c>
      <c r="U1360">
        <v>-0.66442869999999998</v>
      </c>
      <c r="V1360">
        <v>-6.082212E-2</v>
      </c>
      <c r="W1360">
        <v>0.18794469999999999</v>
      </c>
      <c r="X1360">
        <v>0.98029460000000002</v>
      </c>
      <c r="Y1360">
        <v>0.19124289999999999</v>
      </c>
      <c r="Z1360">
        <v>-6.8354849999999997E-3</v>
      </c>
      <c r="AA1360">
        <v>0.98151889999999997</v>
      </c>
      <c r="AB1360">
        <v>28</v>
      </c>
      <c r="AC1360">
        <v>16.313400000000001</v>
      </c>
      <c r="AD1360">
        <v>-1.1102640628789999</v>
      </c>
      <c r="AE1360">
        <v>-3.5087000000000299</v>
      </c>
      <c r="AF1360">
        <v>3.2147316310892502</v>
      </c>
      <c r="AG1360">
        <v>-1.1102640628789999</v>
      </c>
      <c r="AH1360">
        <v>16.298907906896499</v>
      </c>
      <c r="AI1360">
        <v>93.823470767108006</v>
      </c>
      <c r="AJ1360">
        <v>78.842421920001698</v>
      </c>
      <c r="AK1360">
        <v>16.649972513693299</v>
      </c>
      <c r="AL1360">
        <v>79.167136760710406</v>
      </c>
      <c r="AM1360">
        <v>93.550350451294705</v>
      </c>
      <c r="AN1360">
        <v>1.0000000216642699</v>
      </c>
    </row>
    <row r="1361" spans="1:40" x14ac:dyDescent="0.25">
      <c r="A1361" t="str">
        <f>"20190304155037444"</f>
        <v>20190304155037444</v>
      </c>
      <c r="B1361" t="str">
        <f>"1551685837437307"</f>
        <v>1551685837437307</v>
      </c>
      <c r="C1361" t="s">
        <v>40</v>
      </c>
      <c r="D1361">
        <v>5.2044810000000004</v>
      </c>
      <c r="E1361">
        <v>0.59884510000000002</v>
      </c>
      <c r="F1361" t="s">
        <v>41</v>
      </c>
      <c r="G1361">
        <v>-210.53649999999999</v>
      </c>
      <c r="H1361" s="1">
        <v>-5.0683780000000003E-6</v>
      </c>
      <c r="I1361">
        <v>363.83089999999999</v>
      </c>
      <c r="J1361">
        <v>-226.7107</v>
      </c>
      <c r="K1361">
        <v>1.1102399999999999</v>
      </c>
      <c r="L1361">
        <v>367.29239999999999</v>
      </c>
      <c r="M1361">
        <v>0.99974870000000005</v>
      </c>
      <c r="N1361">
        <v>-1.4136330000000001E-2</v>
      </c>
      <c r="O1361">
        <v>-1.7402190000000001E-2</v>
      </c>
      <c r="P1361">
        <v>0.98378849999999995</v>
      </c>
      <c r="Q1361">
        <v>0.17379249999999999</v>
      </c>
      <c r="R1361">
        <v>4.4233069999999999E-2</v>
      </c>
      <c r="S1361">
        <v>3.116638</v>
      </c>
      <c r="T1361">
        <v>-0.21171090000000001</v>
      </c>
      <c r="U1361">
        <v>-0.66067500000000001</v>
      </c>
      <c r="V1361">
        <v>-6.1178099999999902E-2</v>
      </c>
      <c r="W1361">
        <v>0.187725</v>
      </c>
      <c r="X1361">
        <v>0.98031449999999998</v>
      </c>
      <c r="Y1361">
        <v>0.18983330000000001</v>
      </c>
      <c r="Z1361">
        <v>-6.8040219999999998E-3</v>
      </c>
      <c r="AA1361">
        <v>0.98179269999999996</v>
      </c>
      <c r="AB1361">
        <v>28</v>
      </c>
      <c r="AC1361">
        <v>16.174199999999999</v>
      </c>
      <c r="AD1361">
        <v>-1.1102450683780001</v>
      </c>
      <c r="AE1361">
        <v>-3.4615</v>
      </c>
      <c r="AF1361">
        <v>3.1652202221895398</v>
      </c>
      <c r="AG1361">
        <v>-1.1102450683780001</v>
      </c>
      <c r="AH1361">
        <v>16.159188782418401</v>
      </c>
      <c r="AI1361">
        <v>93.857353626339204</v>
      </c>
      <c r="AJ1361">
        <v>78.917368062614699</v>
      </c>
      <c r="AK1361">
        <v>16.5036555124206</v>
      </c>
      <c r="AL1361">
        <v>79.179952273376799</v>
      </c>
      <c r="AM1361">
        <v>93.571004039212795</v>
      </c>
      <c r="AN1361">
        <v>0.99999997722742895</v>
      </c>
    </row>
    <row r="1362" spans="1:40" x14ac:dyDescent="0.25">
      <c r="A1362" t="str">
        <f>"20190304155037456"</f>
        <v>20190304155037456</v>
      </c>
      <c r="B1362" t="str">
        <f>"1551685837448042"</f>
        <v>1551685837448042</v>
      </c>
      <c r="C1362" t="s">
        <v>40</v>
      </c>
      <c r="D1362">
        <v>5.2180359999999997</v>
      </c>
      <c r="E1362">
        <v>0.59894289999999994</v>
      </c>
      <c r="F1362" t="s">
        <v>41</v>
      </c>
      <c r="G1362">
        <v>-210.36699999999999</v>
      </c>
      <c r="H1362" s="1">
        <v>-5.1437410000000001E-6</v>
      </c>
      <c r="I1362">
        <v>363.81610000000001</v>
      </c>
      <c r="J1362">
        <v>-226.5539</v>
      </c>
      <c r="K1362">
        <v>1.1102190000000001</v>
      </c>
      <c r="L1362">
        <v>367.28949999999998</v>
      </c>
      <c r="M1362">
        <v>0.99974379999999996</v>
      </c>
      <c r="N1362">
        <v>-1.4134819999999999E-2</v>
      </c>
      <c r="O1362">
        <v>-1.7684040000000002E-2</v>
      </c>
      <c r="P1362">
        <v>0.9837939</v>
      </c>
      <c r="Q1362">
        <v>0.17375060000000001</v>
      </c>
      <c r="R1362">
        <v>4.4282219999999997E-2</v>
      </c>
      <c r="S1362">
        <v>3.116638</v>
      </c>
      <c r="T1362">
        <v>-0.21171470000000001</v>
      </c>
      <c r="U1362">
        <v>-0.66290280000000001</v>
      </c>
      <c r="V1362">
        <v>-6.1497389999999999E-2</v>
      </c>
      <c r="W1362">
        <v>0.1876843</v>
      </c>
      <c r="X1362">
        <v>0.98030229999999996</v>
      </c>
      <c r="Y1362">
        <v>0.19022739999999999</v>
      </c>
      <c r="Z1362">
        <v>-6.8047359999999996E-3</v>
      </c>
      <c r="AA1362">
        <v>0.98171649999999999</v>
      </c>
      <c r="AB1362">
        <v>28</v>
      </c>
      <c r="AC1362">
        <v>16.186899999999898</v>
      </c>
      <c r="AD1362">
        <v>-1.1102241437410001</v>
      </c>
      <c r="AE1362">
        <v>-3.4733999999999599</v>
      </c>
      <c r="AF1362">
        <v>3.1723118117713298</v>
      </c>
      <c r="AG1362">
        <v>-1.1102241437410001</v>
      </c>
      <c r="AH1362">
        <v>16.173064405031202</v>
      </c>
      <c r="AI1362">
        <v>93.853785650022104</v>
      </c>
      <c r="AJ1362">
        <v>78.902446897868401</v>
      </c>
      <c r="AK1362">
        <v>16.518600792129298</v>
      </c>
      <c r="AL1362">
        <v>79.182326248549202</v>
      </c>
      <c r="AM1362">
        <v>93.589637149208897</v>
      </c>
      <c r="AN1362">
        <v>0.99999996241429501</v>
      </c>
    </row>
    <row r="1363" spans="1:40" x14ac:dyDescent="0.25">
      <c r="A1363" t="str">
        <f>"20190304155037471"</f>
        <v>20190304155037471</v>
      </c>
      <c r="B1363" t="str">
        <f>"1551685837467563"</f>
        <v>1551685837467563</v>
      </c>
      <c r="C1363" t="s">
        <v>40</v>
      </c>
      <c r="D1363">
        <v>5.9999989999999999</v>
      </c>
      <c r="E1363">
        <v>0.59870019999999902</v>
      </c>
      <c r="F1363" t="s">
        <v>41</v>
      </c>
      <c r="G1363">
        <v>-210.21369999999999</v>
      </c>
      <c r="H1363" s="1">
        <v>-5.2107739999999999E-6</v>
      </c>
      <c r="I1363">
        <v>363.80889999999999</v>
      </c>
      <c r="J1363">
        <v>-226.3766</v>
      </c>
      <c r="K1363">
        <v>1.1102000000000001</v>
      </c>
      <c r="L1363">
        <v>367.286</v>
      </c>
      <c r="M1363">
        <v>0.99973789999999996</v>
      </c>
      <c r="N1363">
        <v>-1.4133130000000001E-2</v>
      </c>
      <c r="O1363">
        <v>-1.801784E-2</v>
      </c>
      <c r="P1363">
        <v>0.98385049999999996</v>
      </c>
      <c r="Q1363">
        <v>0.17347839999999901</v>
      </c>
      <c r="R1363">
        <v>4.4086090000000001E-2</v>
      </c>
      <c r="S1363">
        <v>3.116714</v>
      </c>
      <c r="T1363">
        <v>-0.21176220000000001</v>
      </c>
      <c r="U1363">
        <v>-0.66387940000000001</v>
      </c>
      <c r="V1363">
        <v>-6.1620759999999997E-2</v>
      </c>
      <c r="W1363">
        <v>0.187414</v>
      </c>
      <c r="X1363">
        <v>0.9803463</v>
      </c>
      <c r="Y1363">
        <v>0.19018950000000001</v>
      </c>
      <c r="Z1363">
        <v>-6.7861939999999997E-3</v>
      </c>
      <c r="AA1363">
        <v>0.98172400000000004</v>
      </c>
      <c r="AB1363">
        <v>28</v>
      </c>
      <c r="AC1363">
        <v>16.1629</v>
      </c>
      <c r="AD1363">
        <v>-1.1102052107739999</v>
      </c>
      <c r="AE1363">
        <v>-3.4771000000000001</v>
      </c>
      <c r="AF1363">
        <v>3.1709865512334301</v>
      </c>
      <c r="AG1363">
        <v>-1.1102052107739999</v>
      </c>
      <c r="AH1363">
        <v>16.150104287654798</v>
      </c>
      <c r="AI1363">
        <v>93.859039220816996</v>
      </c>
      <c r="AJ1363">
        <v>78.891589324776405</v>
      </c>
      <c r="AK1363">
        <v>16.495865537166001</v>
      </c>
      <c r="AL1363">
        <v>79.198093452031401</v>
      </c>
      <c r="AM1363">
        <v>93.5966584307522</v>
      </c>
      <c r="AN1363">
        <v>0.99999999669133299</v>
      </c>
    </row>
    <row r="1364" spans="1:40" x14ac:dyDescent="0.25">
      <c r="A1364" t="str">
        <f>"20190304155037484"</f>
        <v>20190304155037484</v>
      </c>
      <c r="B1364" t="str">
        <f>"1551685837477324"</f>
        <v>1551685837477324</v>
      </c>
      <c r="C1364" t="s">
        <v>40</v>
      </c>
      <c r="D1364">
        <v>4.6207409999999998</v>
      </c>
      <c r="E1364">
        <v>0.60036400000000001</v>
      </c>
      <c r="F1364" t="s">
        <v>41</v>
      </c>
      <c r="G1364">
        <v>-210.1027</v>
      </c>
      <c r="H1364" s="1">
        <v>-5.2553030000000002E-6</v>
      </c>
      <c r="I1364">
        <v>363.8263</v>
      </c>
      <c r="J1364">
        <v>-226.20959999999999</v>
      </c>
      <c r="K1364">
        <v>1.1101749999999999</v>
      </c>
      <c r="L1364">
        <v>367.28269999999998</v>
      </c>
      <c r="M1364">
        <v>0.9997317</v>
      </c>
      <c r="N1364">
        <v>-1.413157E-2</v>
      </c>
      <c r="O1364">
        <v>-1.8358139999999998E-2</v>
      </c>
      <c r="P1364">
        <v>0.98383799999999999</v>
      </c>
      <c r="Q1364">
        <v>0.17344479999999901</v>
      </c>
      <c r="R1364">
        <v>4.4499669999999998E-2</v>
      </c>
      <c r="S1364">
        <v>3.116409</v>
      </c>
      <c r="T1364">
        <v>-0.2126005</v>
      </c>
      <c r="U1364">
        <v>-0.66250609999999999</v>
      </c>
      <c r="V1364">
        <v>-6.2357379999999997E-2</v>
      </c>
      <c r="W1364">
        <v>0.18738260000000001</v>
      </c>
      <c r="X1364">
        <v>0.98030569999999895</v>
      </c>
      <c r="Y1364">
        <v>0.18945989999999999</v>
      </c>
      <c r="Z1364">
        <v>-6.7591910000000003E-3</v>
      </c>
      <c r="AA1364">
        <v>0.98186519999999999</v>
      </c>
      <c r="AB1364">
        <v>28</v>
      </c>
      <c r="AC1364">
        <v>16.1068999999999</v>
      </c>
      <c r="AD1364">
        <v>-1.110180255303</v>
      </c>
      <c r="AE1364">
        <v>-3.4563999999999702</v>
      </c>
      <c r="AF1364">
        <v>3.1458081008849699</v>
      </c>
      <c r="AG1364">
        <v>-1.110180255303</v>
      </c>
      <c r="AH1364">
        <v>16.0945491113001</v>
      </c>
      <c r="AI1364">
        <v>93.872878447570102</v>
      </c>
      <c r="AJ1364">
        <v>78.940513943141596</v>
      </c>
      <c r="AK1364">
        <v>16.4366395562751</v>
      </c>
      <c r="AL1364">
        <v>79.199924733904595</v>
      </c>
      <c r="AM1364">
        <v>93.639688647561897</v>
      </c>
      <c r="AN1364">
        <v>0.99999997353785597</v>
      </c>
    </row>
    <row r="1365" spans="1:40" x14ac:dyDescent="0.25">
      <c r="A1365" t="str">
        <f>"20190304155037505"</f>
        <v>20190304155037505</v>
      </c>
      <c r="B1365" t="str">
        <f>"1551685837497819"</f>
        <v>1551685837497819</v>
      </c>
      <c r="C1365" t="s">
        <v>40</v>
      </c>
      <c r="D1365">
        <v>7.9789070000000004</v>
      </c>
      <c r="E1365">
        <v>0.60045389999999998</v>
      </c>
      <c r="F1365" t="s">
        <v>50</v>
      </c>
      <c r="G1365">
        <v>-208.03739999999999</v>
      </c>
      <c r="H1365" s="1">
        <v>-5.6077770000000003E-6</v>
      </c>
      <c r="I1365">
        <v>363.34410000000003</v>
      </c>
      <c r="J1365">
        <v>-225.93510000000001</v>
      </c>
      <c r="K1365">
        <v>1.1101350000000001</v>
      </c>
      <c r="L1365">
        <v>367.27699999999999</v>
      </c>
      <c r="M1365">
        <v>0.99972030000000001</v>
      </c>
      <c r="N1365">
        <v>-1.412911E-2</v>
      </c>
      <c r="O1365">
        <v>-1.897018E-2</v>
      </c>
      <c r="P1365">
        <v>0.98382599999999998</v>
      </c>
      <c r="Q1365">
        <v>0.17357600000000001</v>
      </c>
      <c r="R1365">
        <v>4.4249110000000001E-2</v>
      </c>
      <c r="S1365">
        <v>3.1133419999999998</v>
      </c>
      <c r="T1365">
        <v>-0.1902018</v>
      </c>
      <c r="U1365">
        <v>-0.67477419999999899</v>
      </c>
      <c r="V1365">
        <v>-6.2686199999999997E-2</v>
      </c>
      <c r="W1365">
        <v>0.18751889999999999</v>
      </c>
      <c r="X1365">
        <v>0.98025870000000004</v>
      </c>
      <c r="Y1365">
        <v>0.1928329</v>
      </c>
      <c r="Z1365">
        <v>-6.3179350000000002E-3</v>
      </c>
      <c r="AA1365">
        <v>0.98121119999999995</v>
      </c>
      <c r="AB1365">
        <v>28</v>
      </c>
      <c r="AC1365">
        <v>17.8977</v>
      </c>
      <c r="AD1365">
        <v>-1.110140607777</v>
      </c>
      <c r="AE1365">
        <v>-3.9328999999999601</v>
      </c>
      <c r="AF1365">
        <v>3.5794984584787199</v>
      </c>
      <c r="AG1365">
        <v>-1.110140607777</v>
      </c>
      <c r="AH1365">
        <v>17.903386198780002</v>
      </c>
      <c r="AI1365">
        <v>93.479524611495606</v>
      </c>
      <c r="AJ1365">
        <v>78.6936949041974</v>
      </c>
      <c r="AK1365">
        <v>18.2914312935307</v>
      </c>
      <c r="AL1365">
        <v>79.191974770610699</v>
      </c>
      <c r="AM1365">
        <v>93.659004235237902</v>
      </c>
      <c r="AN1365">
        <v>1.00000000822666</v>
      </c>
    </row>
    <row r="1366" spans="1:40" x14ac:dyDescent="0.25">
      <c r="A1366" t="str">
        <f>"20190304155037519"</f>
        <v>20190304155037519</v>
      </c>
      <c r="B1366" t="str">
        <f>"1551685837507579"</f>
        <v>1551685837507579</v>
      </c>
      <c r="C1366" t="s">
        <v>40</v>
      </c>
      <c r="D1366">
        <v>5.994777</v>
      </c>
      <c r="E1366">
        <v>0.60058159999999905</v>
      </c>
      <c r="F1366" t="s">
        <v>50</v>
      </c>
      <c r="G1366">
        <v>-207.6276</v>
      </c>
      <c r="H1366" s="1">
        <v>-5.4777769999999999E-6</v>
      </c>
      <c r="I1366">
        <v>363.29820000000001</v>
      </c>
      <c r="J1366">
        <v>-225.7654</v>
      </c>
      <c r="K1366">
        <v>1.110101</v>
      </c>
      <c r="L1366">
        <v>367.27330000000001</v>
      </c>
      <c r="M1366">
        <v>0.99971200000000005</v>
      </c>
      <c r="N1366">
        <v>-1.412771E-2</v>
      </c>
      <c r="O1366">
        <v>-1.9399880000000001E-2</v>
      </c>
      <c r="P1366">
        <v>0.98378679999999996</v>
      </c>
      <c r="Q1366">
        <v>0.17393</v>
      </c>
      <c r="R1366">
        <v>4.372786E-2</v>
      </c>
      <c r="S1366">
        <v>3.1130680000000002</v>
      </c>
      <c r="T1366">
        <v>-0.1887723</v>
      </c>
      <c r="U1366">
        <v>-0.67657469999999997</v>
      </c>
      <c r="V1366">
        <v>-6.256921E-2</v>
      </c>
      <c r="W1366">
        <v>0.1878763</v>
      </c>
      <c r="X1366">
        <v>0.98019769999999995</v>
      </c>
      <c r="Y1366">
        <v>0.1929766</v>
      </c>
      <c r="Z1366">
        <v>-6.2685129999999999E-3</v>
      </c>
      <c r="AA1366">
        <v>0.98118340000000004</v>
      </c>
      <c r="AB1366">
        <v>28</v>
      </c>
      <c r="AC1366">
        <v>18.137799999999999</v>
      </c>
      <c r="AD1366">
        <v>-1.110106477777</v>
      </c>
      <c r="AE1366">
        <v>-3.9750999999999901</v>
      </c>
      <c r="AF1366">
        <v>3.6095440610487701</v>
      </c>
      <c r="AG1366">
        <v>-1.110106477777</v>
      </c>
      <c r="AH1366">
        <v>18.1466492527342</v>
      </c>
      <c r="AI1366">
        <v>93.433560203412</v>
      </c>
      <c r="AJ1366">
        <v>78.750148524917705</v>
      </c>
      <c r="AK1366">
        <v>18.535426183997298</v>
      </c>
      <c r="AL1366">
        <v>79.171126311648806</v>
      </c>
      <c r="AM1366">
        <v>93.652420677852305</v>
      </c>
      <c r="AN1366">
        <v>0.99999997061350099</v>
      </c>
    </row>
    <row r="1367" spans="1:40" x14ac:dyDescent="0.25">
      <c r="A1367" t="str">
        <f>"20190304155037549"</f>
        <v>20190304155037549</v>
      </c>
      <c r="B1367" t="str">
        <f>"1551685837547595"</f>
        <v>1551685837547595</v>
      </c>
      <c r="C1367" t="s">
        <v>40</v>
      </c>
      <c r="D1367">
        <v>6.0158909999999999</v>
      </c>
      <c r="E1367">
        <v>0.60076649999999998</v>
      </c>
      <c r="F1367" t="s">
        <v>50</v>
      </c>
      <c r="G1367">
        <v>-207.34020000000001</v>
      </c>
      <c r="H1367" s="1">
        <v>-5.3891809999999997E-6</v>
      </c>
      <c r="I1367">
        <v>363.24950000000001</v>
      </c>
      <c r="J1367">
        <v>-225.38030000000001</v>
      </c>
      <c r="K1367">
        <v>1.110004</v>
      </c>
      <c r="L1367">
        <v>367.26459999999997</v>
      </c>
      <c r="M1367">
        <v>0.99969010000000003</v>
      </c>
      <c r="N1367">
        <v>-1.4124899999999999E-2</v>
      </c>
      <c r="O1367">
        <v>-2.0498300000000001E-2</v>
      </c>
      <c r="P1367">
        <v>0.98386249999999997</v>
      </c>
      <c r="Q1367">
        <v>0.1736992</v>
      </c>
      <c r="R1367">
        <v>4.2933399999999997E-2</v>
      </c>
      <c r="S1367">
        <v>3.1128230000000001</v>
      </c>
      <c r="T1367">
        <v>-0.18754580000000001</v>
      </c>
      <c r="U1367">
        <v>-0.67980959999999901</v>
      </c>
      <c r="V1367">
        <v>-6.2810699999999997E-2</v>
      </c>
      <c r="W1367">
        <v>0.18765850000000001</v>
      </c>
      <c r="X1367">
        <v>0.98022399999999998</v>
      </c>
      <c r="Y1367">
        <v>0.19289390000000001</v>
      </c>
      <c r="Z1367">
        <v>-6.18522E-3</v>
      </c>
      <c r="AA1367">
        <v>0.98120010000000002</v>
      </c>
      <c r="AB1367">
        <v>28</v>
      </c>
      <c r="AC1367">
        <v>18.040099999999899</v>
      </c>
      <c r="AD1367">
        <v>-1.1100093891809999</v>
      </c>
      <c r="AE1367">
        <v>-4.0150999999999604</v>
      </c>
      <c r="AF1367">
        <v>3.6313287567525001</v>
      </c>
      <c r="AG1367">
        <v>-1.1100093891809999</v>
      </c>
      <c r="AH1367">
        <v>18.053495941727402</v>
      </c>
      <c r="AI1367">
        <v>93.449454827174193</v>
      </c>
      <c r="AJ1367">
        <v>78.627128136929997</v>
      </c>
      <c r="AK1367">
        <v>18.448506310854999</v>
      </c>
      <c r="AL1367">
        <v>79.183831559616294</v>
      </c>
      <c r="AM1367">
        <v>93.666380952286204</v>
      </c>
      <c r="AN1367">
        <v>0.99999999341636903</v>
      </c>
    </row>
    <row r="1368" spans="1:40" x14ac:dyDescent="0.25">
      <c r="A1368" t="str">
        <f>"20190304155037562"</f>
        <v>20190304155037562</v>
      </c>
      <c r="B1368" t="str">
        <f>"1551685837557355"</f>
        <v>1551685837557355</v>
      </c>
      <c r="C1368" t="s">
        <v>40</v>
      </c>
      <c r="D1368">
        <v>8.9078009999999992</v>
      </c>
      <c r="E1368">
        <v>0.6007633</v>
      </c>
      <c r="F1368" t="s">
        <v>50</v>
      </c>
      <c r="G1368">
        <v>-206.9511</v>
      </c>
      <c r="H1368" s="1">
        <v>-5.2654889999999997E-6</v>
      </c>
      <c r="I1368">
        <v>363.20749999999998</v>
      </c>
      <c r="J1368">
        <v>-225.21619999999999</v>
      </c>
      <c r="K1368">
        <v>1.109958</v>
      </c>
      <c r="L1368">
        <v>367.26069999999999</v>
      </c>
      <c r="M1368">
        <v>0.99967910000000004</v>
      </c>
      <c r="N1368">
        <v>-1.412384E-2</v>
      </c>
      <c r="O1368">
        <v>-2.1036590000000001E-2</v>
      </c>
      <c r="P1368">
        <v>0.98397369999999995</v>
      </c>
      <c r="Q1368">
        <v>0.17321539999999999</v>
      </c>
      <c r="R1368">
        <v>4.2340919999999997E-2</v>
      </c>
      <c r="S1368">
        <v>3.1121829999999999</v>
      </c>
      <c r="T1368">
        <v>-0.18745039999999999</v>
      </c>
      <c r="U1368">
        <v>-0.68515009999999998</v>
      </c>
      <c r="V1368">
        <v>-6.2728160000000005E-2</v>
      </c>
      <c r="W1368">
        <v>0.18718209999999999</v>
      </c>
      <c r="X1368">
        <v>0.98032039999999998</v>
      </c>
      <c r="Y1368">
        <v>0.19401260000000001</v>
      </c>
      <c r="Z1368">
        <v>-6.1999079999999996E-3</v>
      </c>
      <c r="AA1368">
        <v>0.98097939999999995</v>
      </c>
      <c r="AB1368">
        <v>28</v>
      </c>
      <c r="AC1368">
        <v>18.265099999999901</v>
      </c>
      <c r="AD1368">
        <v>-1.1099632654889999</v>
      </c>
      <c r="AE1368">
        <v>-4.0532000000000004</v>
      </c>
      <c r="AF1368">
        <v>3.6551643704730599</v>
      </c>
      <c r="AG1368">
        <v>-1.1099632654889999</v>
      </c>
      <c r="AH1368">
        <v>18.281985470131701</v>
      </c>
      <c r="AI1368">
        <v>93.407097133272998</v>
      </c>
      <c r="AJ1368">
        <v>78.693782341561999</v>
      </c>
      <c r="AK1368">
        <v>18.676810160089399</v>
      </c>
      <c r="AL1368">
        <v>79.2116200100876</v>
      </c>
      <c r="AM1368">
        <v>93.661216967755195</v>
      </c>
      <c r="AN1368">
        <v>1.0000000236367701</v>
      </c>
    </row>
    <row r="1369" spans="1:40" x14ac:dyDescent="0.25">
      <c r="A1369" t="str">
        <f>"20190304155037575"</f>
        <v>20190304155037575</v>
      </c>
      <c r="B1369" t="str">
        <f>"1551685837568090"</f>
        <v>1551685837568090</v>
      </c>
      <c r="C1369" t="s">
        <v>40</v>
      </c>
      <c r="D1369">
        <v>6.1036390000000003</v>
      </c>
      <c r="E1369">
        <v>0.60054839999999998</v>
      </c>
      <c r="F1369" t="s">
        <v>50</v>
      </c>
      <c r="G1369">
        <v>-206.9359</v>
      </c>
      <c r="H1369" s="1">
        <v>-5.2583180000000002E-6</v>
      </c>
      <c r="I1369">
        <v>363.2208</v>
      </c>
      <c r="J1369">
        <v>-225.0609</v>
      </c>
      <c r="K1369">
        <v>1.1099110000000001</v>
      </c>
      <c r="L1369">
        <v>367.25689999999997</v>
      </c>
      <c r="M1369">
        <v>0.99966739999999998</v>
      </c>
      <c r="N1369">
        <v>-1.4122910000000001E-2</v>
      </c>
      <c r="O1369">
        <v>-2.1579009999999999E-2</v>
      </c>
      <c r="P1369">
        <v>0.98402800000000001</v>
      </c>
      <c r="Q1369">
        <v>0.17304890000000001</v>
      </c>
      <c r="R1369">
        <v>4.175044E-2</v>
      </c>
      <c r="S1369">
        <v>3.11171</v>
      </c>
      <c r="T1369">
        <v>-0.1889402</v>
      </c>
      <c r="U1369">
        <v>-0.68768309999999999</v>
      </c>
      <c r="V1369">
        <v>-6.2652040000000006E-2</v>
      </c>
      <c r="W1369">
        <v>0.18702240000000001</v>
      </c>
      <c r="X1369">
        <v>0.98035570000000005</v>
      </c>
      <c r="Y1369">
        <v>0.19426760000000001</v>
      </c>
      <c r="Z1369">
        <v>-6.220611E-3</v>
      </c>
      <c r="AA1369">
        <v>0.98092880000000005</v>
      </c>
      <c r="AB1369">
        <v>28</v>
      </c>
      <c r="AC1369">
        <v>18.125</v>
      </c>
      <c r="AD1369">
        <v>-1.109916258318</v>
      </c>
      <c r="AE1369">
        <v>-4.03609999999997</v>
      </c>
      <c r="AF1369">
        <v>3.6310285703238199</v>
      </c>
      <c r="AG1369">
        <v>-1.109916258318</v>
      </c>
      <c r="AH1369">
        <v>18.1430612900479</v>
      </c>
      <c r="AI1369">
        <v>93.432846444330806</v>
      </c>
      <c r="AJ1369">
        <v>78.682730489686605</v>
      </c>
      <c r="AK1369">
        <v>18.536098714492802</v>
      </c>
      <c r="AL1369">
        <v>79.220934133377995</v>
      </c>
      <c r="AM1369">
        <v>93.656654865774101</v>
      </c>
      <c r="AN1369">
        <v>0.99999997737020496</v>
      </c>
    </row>
    <row r="1370" spans="1:40" x14ac:dyDescent="0.25">
      <c r="A1370" t="str">
        <f>"20190304155037588"</f>
        <v>20190304155037588</v>
      </c>
      <c r="B1370" t="str">
        <f>"1551685837577851"</f>
        <v>1551685837577851</v>
      </c>
      <c r="C1370" t="s">
        <v>40</v>
      </c>
      <c r="D1370">
        <v>6.0946999999999996</v>
      </c>
      <c r="E1370">
        <v>0.60041</v>
      </c>
      <c r="F1370" t="s">
        <v>50</v>
      </c>
      <c r="G1370">
        <v>-206.94229999999999</v>
      </c>
      <c r="H1370" s="1">
        <v>-5.2565460000000004E-6</v>
      </c>
      <c r="I1370">
        <v>363.2457</v>
      </c>
      <c r="J1370">
        <v>-224.90010000000001</v>
      </c>
      <c r="K1370">
        <v>1.109866</v>
      </c>
      <c r="L1370">
        <v>367.25290000000001</v>
      </c>
      <c r="M1370">
        <v>0.99965470000000001</v>
      </c>
      <c r="N1370">
        <v>-1.4121989999999999E-2</v>
      </c>
      <c r="O1370">
        <v>-2.2163800000000001E-2</v>
      </c>
      <c r="P1370">
        <v>0.98411249999999995</v>
      </c>
      <c r="Q1370">
        <v>0.1726973</v>
      </c>
      <c r="R1370">
        <v>4.1214000000000001E-2</v>
      </c>
      <c r="S1370">
        <v>3.1114649999999999</v>
      </c>
      <c r="T1370">
        <v>-0.19060340000000001</v>
      </c>
      <c r="U1370">
        <v>-0.68884279999999998</v>
      </c>
      <c r="V1370">
        <v>-6.2671180000000007E-2</v>
      </c>
      <c r="W1370">
        <v>0.18667819999999999</v>
      </c>
      <c r="X1370">
        <v>0.98042010000000002</v>
      </c>
      <c r="Y1370">
        <v>0.19405339999999999</v>
      </c>
      <c r="Z1370">
        <v>-6.22538E-3</v>
      </c>
      <c r="AA1370">
        <v>0.98097120000000004</v>
      </c>
      <c r="AB1370">
        <v>28</v>
      </c>
      <c r="AC1370">
        <v>17.957799999999999</v>
      </c>
      <c r="AD1370">
        <v>-1.1098712565460001</v>
      </c>
      <c r="AE1370">
        <v>-4.0072000000000099</v>
      </c>
      <c r="AF1370">
        <v>3.59508161923321</v>
      </c>
      <c r="AG1370">
        <v>-1.1098712565460001</v>
      </c>
      <c r="AH1370">
        <v>17.976800987281599</v>
      </c>
      <c r="AI1370">
        <v>93.464477212588406</v>
      </c>
      <c r="AJ1370">
        <v>78.690921265411603</v>
      </c>
      <c r="AK1370">
        <v>18.366322435136201</v>
      </c>
      <c r="AL1370">
        <v>79.241009134300199</v>
      </c>
      <c r="AM1370">
        <v>93.657529317540295</v>
      </c>
      <c r="AN1370">
        <v>0.99999999982092103</v>
      </c>
    </row>
    <row r="1371" spans="1:40" x14ac:dyDescent="0.25">
      <c r="A1371" t="str">
        <f>"20190304155037599"</f>
        <v>20190304155037599</v>
      </c>
      <c r="B1371" t="str">
        <f>"1551685837587612"</f>
        <v>1551685837587612</v>
      </c>
      <c r="C1371" t="s">
        <v>40</v>
      </c>
      <c r="D1371">
        <v>5.2106399999999997</v>
      </c>
      <c r="E1371">
        <v>0.60041009999999995</v>
      </c>
      <c r="F1371" t="s">
        <v>50</v>
      </c>
      <c r="G1371">
        <v>-207.00739999999999</v>
      </c>
      <c r="H1371" s="1">
        <v>-5.2723140000000003E-6</v>
      </c>
      <c r="I1371">
        <v>363.28440000000001</v>
      </c>
      <c r="J1371">
        <v>-224.74969999999999</v>
      </c>
      <c r="K1371">
        <v>1.109815</v>
      </c>
      <c r="L1371">
        <v>367.24900000000002</v>
      </c>
      <c r="M1371">
        <v>0.999641</v>
      </c>
      <c r="N1371">
        <v>-1.412119E-2</v>
      </c>
      <c r="O1371">
        <v>-2.2769419999999999E-2</v>
      </c>
      <c r="P1371">
        <v>0.98412480000000002</v>
      </c>
      <c r="Q1371">
        <v>0.1727631</v>
      </c>
      <c r="R1371">
        <v>4.0635499999999998E-2</v>
      </c>
      <c r="S1371">
        <v>3.1112060000000001</v>
      </c>
      <c r="T1371">
        <v>-0.1929864</v>
      </c>
      <c r="U1371">
        <v>-0.69006350000000005</v>
      </c>
      <c r="V1371">
        <v>-6.2667500000000001E-2</v>
      </c>
      <c r="W1371">
        <v>0.18675030000000001</v>
      </c>
      <c r="X1371">
        <v>0.98040660000000002</v>
      </c>
      <c r="Y1371">
        <v>0.19383539999999999</v>
      </c>
      <c r="Z1371">
        <v>-6.2452410000000003E-3</v>
      </c>
      <c r="AA1371">
        <v>0.98101419999999995</v>
      </c>
      <c r="AB1371">
        <v>28</v>
      </c>
      <c r="AC1371">
        <v>17.7423</v>
      </c>
      <c r="AD1371">
        <v>-1.109820272314</v>
      </c>
      <c r="AE1371">
        <v>-3.9646000000000101</v>
      </c>
      <c r="AF1371">
        <v>3.54633365919284</v>
      </c>
      <c r="AG1371">
        <v>-1.109820272314</v>
      </c>
      <c r="AH1371">
        <v>17.761787083033099</v>
      </c>
      <c r="AI1371">
        <v>93.506368996722202</v>
      </c>
      <c r="AJ1371">
        <v>78.708752754654</v>
      </c>
      <c r="AK1371">
        <v>18.146329211225201</v>
      </c>
      <c r="AL1371">
        <v>79.236804116331299</v>
      </c>
      <c r="AM1371">
        <v>93.657365357161893</v>
      </c>
      <c r="AN1371">
        <v>0.99999999571495002</v>
      </c>
    </row>
    <row r="1372" spans="1:40" x14ac:dyDescent="0.25">
      <c r="A1372" t="str">
        <f>"20190304155037612"</f>
        <v>20190304155037612</v>
      </c>
      <c r="B1372" t="str">
        <f>"1551685837608107"</f>
        <v>1551685837608107</v>
      </c>
      <c r="C1372" t="s">
        <v>40</v>
      </c>
      <c r="D1372">
        <v>6.0476010000000002</v>
      </c>
      <c r="E1372">
        <v>0.60056009999999904</v>
      </c>
      <c r="F1372" t="s">
        <v>50</v>
      </c>
      <c r="G1372">
        <v>-206.82040000000001</v>
      </c>
      <c r="H1372" s="1">
        <v>-5.2124229999999998E-6</v>
      </c>
      <c r="I1372">
        <v>363.25920000000002</v>
      </c>
      <c r="J1372">
        <v>-224.59309999999999</v>
      </c>
      <c r="K1372">
        <v>1.1097669999999999</v>
      </c>
      <c r="L1372">
        <v>367.2448</v>
      </c>
      <c r="M1372">
        <v>0.99962600000000001</v>
      </c>
      <c r="N1372">
        <v>-1.41204E-2</v>
      </c>
      <c r="O1372">
        <v>-2.3422289999999998E-2</v>
      </c>
      <c r="P1372">
        <v>0.98412630000000001</v>
      </c>
      <c r="Q1372">
        <v>0.17289560000000001</v>
      </c>
      <c r="R1372">
        <v>4.00328E-2</v>
      </c>
      <c r="S1372">
        <v>3.1107640000000001</v>
      </c>
      <c r="T1372">
        <v>-0.192555</v>
      </c>
      <c r="U1372">
        <v>-0.69223020000000002</v>
      </c>
      <c r="V1372">
        <v>-6.2684519999999994E-2</v>
      </c>
      <c r="W1372">
        <v>0.1868889</v>
      </c>
      <c r="X1372">
        <v>0.98037909999999995</v>
      </c>
      <c r="Y1372">
        <v>0.19387769999999999</v>
      </c>
      <c r="Z1372">
        <v>-6.2062609999999898E-3</v>
      </c>
      <c r="AA1372">
        <v>0.98100609999999999</v>
      </c>
      <c r="AB1372">
        <v>28</v>
      </c>
      <c r="AC1372">
        <v>17.772699999999901</v>
      </c>
      <c r="AD1372">
        <v>-1.1097722124229901</v>
      </c>
      <c r="AE1372">
        <v>-3.9855999999999701</v>
      </c>
      <c r="AF1372">
        <v>3.55499011011509</v>
      </c>
      <c r="AG1372">
        <v>-1.1097722124229901</v>
      </c>
      <c r="AH1372">
        <v>17.7951223113376</v>
      </c>
      <c r="AI1372">
        <v>93.499590371404906</v>
      </c>
      <c r="AJ1372">
        <v>78.7025580611961</v>
      </c>
      <c r="AK1372">
        <v>18.180647049045</v>
      </c>
      <c r="AL1372">
        <v>79.228720595475494</v>
      </c>
      <c r="AM1372">
        <v>93.658458311212001</v>
      </c>
      <c r="AN1372">
        <v>0.99999999485382496</v>
      </c>
    </row>
    <row r="1373" spans="1:40" x14ac:dyDescent="0.25">
      <c r="A1373" t="str">
        <f>"20190304155037650"</f>
        <v>20190304155037650</v>
      </c>
      <c r="B1373" t="str">
        <f>"1551685837648123"</f>
        <v>1551685837648123</v>
      </c>
      <c r="C1373" t="s">
        <v>40</v>
      </c>
      <c r="D1373">
        <v>8.2650100000000002</v>
      </c>
      <c r="E1373">
        <v>0.60048310000000005</v>
      </c>
      <c r="F1373" t="s">
        <v>50</v>
      </c>
      <c r="G1373">
        <v>-206.6592</v>
      </c>
      <c r="H1373" s="1">
        <v>-5.143185E-6</v>
      </c>
      <c r="I1373">
        <v>363.23289999999997</v>
      </c>
      <c r="J1373">
        <v>-224.11410000000001</v>
      </c>
      <c r="K1373">
        <v>1.109623</v>
      </c>
      <c r="L1373">
        <v>367.23099999999999</v>
      </c>
      <c r="M1373">
        <v>0.99957119999999999</v>
      </c>
      <c r="N1373">
        <v>-1.411837E-2</v>
      </c>
      <c r="O1373">
        <v>-2.5654280000000002E-2</v>
      </c>
      <c r="P1373">
        <v>0.98408090000000004</v>
      </c>
      <c r="Q1373">
        <v>0.17358380000000001</v>
      </c>
      <c r="R1373">
        <v>3.8127069999999999E-2</v>
      </c>
      <c r="S1373">
        <v>3.1105040000000002</v>
      </c>
      <c r="T1373">
        <v>-0.1924814</v>
      </c>
      <c r="U1373">
        <v>-0.69583130000000004</v>
      </c>
      <c r="V1373">
        <v>-6.2904950000000001E-2</v>
      </c>
      <c r="W1373">
        <v>0.18759619999999999</v>
      </c>
      <c r="X1373">
        <v>0.98022989999999999</v>
      </c>
      <c r="Y1373">
        <v>0.19279160000000001</v>
      </c>
      <c r="Z1373">
        <v>-6.0583800000000004E-3</v>
      </c>
      <c r="AA1373">
        <v>0.98122100000000001</v>
      </c>
      <c r="AB1373">
        <v>28</v>
      </c>
      <c r="AC1373">
        <v>17.454899999999999</v>
      </c>
      <c r="AD1373">
        <v>-1.1096281431849999</v>
      </c>
      <c r="AE1373">
        <v>-3.99810000000002</v>
      </c>
      <c r="AF1373">
        <v>3.5353711105115702</v>
      </c>
      <c r="AG1373">
        <v>-1.1096281431849999</v>
      </c>
      <c r="AH1373">
        <v>17.4845946735065</v>
      </c>
      <c r="AI1373">
        <v>93.559459363276403</v>
      </c>
      <c r="AJ1373">
        <v>78.568960214793606</v>
      </c>
      <c r="AK1373">
        <v>17.872917344462799</v>
      </c>
      <c r="AL1373">
        <v>79.187465829197293</v>
      </c>
      <c r="AM1373">
        <v>93.671845425150096</v>
      </c>
      <c r="AN1373">
        <v>1.00000001192147</v>
      </c>
    </row>
    <row r="1374" spans="1:40" x14ac:dyDescent="0.25">
      <c r="A1374" t="str">
        <f>"20190304155037661"</f>
        <v>20190304155037661</v>
      </c>
      <c r="B1374" t="str">
        <f>"1551685837657883"</f>
        <v>1551685837657883</v>
      </c>
      <c r="C1374" t="s">
        <v>40</v>
      </c>
      <c r="D1374">
        <v>5.1418460000000001</v>
      </c>
      <c r="E1374">
        <v>0.60083889999999995</v>
      </c>
      <c r="F1374" t="s">
        <v>50</v>
      </c>
      <c r="G1374">
        <v>-205.85400000000001</v>
      </c>
      <c r="H1374" s="1">
        <v>-4.796703E-6</v>
      </c>
      <c r="I1374">
        <v>363.10390000000001</v>
      </c>
      <c r="J1374">
        <v>-223.9631</v>
      </c>
      <c r="K1374">
        <v>1.1095809999999999</v>
      </c>
      <c r="L1374">
        <v>367.22629999999998</v>
      </c>
      <c r="M1374">
        <v>0.99955090000000002</v>
      </c>
      <c r="N1374">
        <v>-1.411782E-2</v>
      </c>
      <c r="O1374">
        <v>-2.6430840000000001E-2</v>
      </c>
      <c r="P1374">
        <v>0.98410620000000004</v>
      </c>
      <c r="Q1374">
        <v>0.17360909999999999</v>
      </c>
      <c r="R1374">
        <v>3.7349090000000001E-2</v>
      </c>
      <c r="S1374">
        <v>3.10907</v>
      </c>
      <c r="T1374">
        <v>-0.18893190000000001</v>
      </c>
      <c r="U1374">
        <v>-0.70269780000000004</v>
      </c>
      <c r="V1374">
        <v>-6.2871369999999996E-2</v>
      </c>
      <c r="W1374">
        <v>0.18762760000000001</v>
      </c>
      <c r="X1374">
        <v>0.98022600000000004</v>
      </c>
      <c r="Y1374">
        <v>0.19419900000000001</v>
      </c>
      <c r="Z1374">
        <v>-5.9964980000000003E-3</v>
      </c>
      <c r="AA1374">
        <v>0.98094380000000003</v>
      </c>
      <c r="AB1374">
        <v>28</v>
      </c>
      <c r="AC1374">
        <v>18.109099999999899</v>
      </c>
      <c r="AD1374">
        <v>-1.1095857967029901</v>
      </c>
      <c r="AE1374">
        <v>-4.1223999999999696</v>
      </c>
      <c r="AF1374">
        <v>3.62931885385182</v>
      </c>
      <c r="AG1374">
        <v>-1.1095857967029901</v>
      </c>
      <c r="AH1374">
        <v>18.1469691391639</v>
      </c>
      <c r="AI1374">
        <v>93.431179961555401</v>
      </c>
      <c r="AJ1374">
        <v>78.690295138479897</v>
      </c>
      <c r="AK1374">
        <v>18.539569167619199</v>
      </c>
      <c r="AL1374">
        <v>79.185633740419306</v>
      </c>
      <c r="AM1374">
        <v>93.669905235454706</v>
      </c>
      <c r="AN1374">
        <v>0.999999968261717</v>
      </c>
    </row>
    <row r="1375" spans="1:40" x14ac:dyDescent="0.25">
      <c r="A1375" t="str">
        <f>"20190304155037691"</f>
        <v>20190304155037691</v>
      </c>
      <c r="B1375" t="str">
        <f>"1551685837688139"</f>
        <v>1551685837688139</v>
      </c>
      <c r="C1375" t="s">
        <v>40</v>
      </c>
      <c r="D1375">
        <v>5.9696860000000003</v>
      </c>
      <c r="E1375">
        <v>0.60150579999999998</v>
      </c>
      <c r="F1375" t="s">
        <v>50</v>
      </c>
      <c r="G1375">
        <v>-205.55879999999999</v>
      </c>
      <c r="H1375" s="1">
        <v>-4.6749970000000003E-6</v>
      </c>
      <c r="I1375">
        <v>363.03269999999998</v>
      </c>
      <c r="J1375">
        <v>-223.61109999999999</v>
      </c>
      <c r="K1375">
        <v>1.1094889999999999</v>
      </c>
      <c r="L1375">
        <v>367.2149</v>
      </c>
      <c r="M1375">
        <v>0.99949880000000002</v>
      </c>
      <c r="N1375">
        <v>-1.411658E-2</v>
      </c>
      <c r="O1375">
        <v>-2.8340069999999998E-2</v>
      </c>
      <c r="P1375">
        <v>0.98411360000000003</v>
      </c>
      <c r="Q1375">
        <v>0.1739453</v>
      </c>
      <c r="R1375">
        <v>3.554744E-2</v>
      </c>
      <c r="S1375">
        <v>3.1084139999999998</v>
      </c>
      <c r="T1375">
        <v>-0.1874053</v>
      </c>
      <c r="U1375">
        <v>-0.70828250000000004</v>
      </c>
      <c r="V1375">
        <v>-6.2902639999999996E-2</v>
      </c>
      <c r="W1375">
        <v>0.18797649999999999</v>
      </c>
      <c r="X1375">
        <v>0.98015719999999995</v>
      </c>
      <c r="Y1375">
        <v>0.1940539</v>
      </c>
      <c r="Z1375">
        <v>-5.870335E-3</v>
      </c>
      <c r="AA1375">
        <v>0.98097330000000005</v>
      </c>
      <c r="AB1375">
        <v>28</v>
      </c>
      <c r="AC1375">
        <v>18.052299999999999</v>
      </c>
      <c r="AD1375">
        <v>-1.1094936749969999</v>
      </c>
      <c r="AE1375">
        <v>-4.1822000000000203</v>
      </c>
      <c r="AF1375">
        <v>3.6557598844543202</v>
      </c>
      <c r="AG1375">
        <v>-1.1094936749969999</v>
      </c>
      <c r="AH1375">
        <v>18.0987009262636</v>
      </c>
      <c r="AI1375">
        <v>93.438701904326294</v>
      </c>
      <c r="AJ1375">
        <v>78.580466339133395</v>
      </c>
      <c r="AK1375">
        <v>18.497527720373299</v>
      </c>
      <c r="AL1375">
        <v>79.1652816915594</v>
      </c>
      <c r="AM1375">
        <v>93.671982548493503</v>
      </c>
      <c r="AN1375">
        <v>1.0000000216915199</v>
      </c>
    </row>
    <row r="1376" spans="1:40" x14ac:dyDescent="0.25">
      <c r="A1376" t="str">
        <f>"20190304155037703"</f>
        <v>20190304155037703</v>
      </c>
      <c r="B1376" t="str">
        <f>"1551685837697899"</f>
        <v>1551685837697899</v>
      </c>
      <c r="C1376" t="s">
        <v>40</v>
      </c>
      <c r="D1376">
        <v>6.0539489999999896</v>
      </c>
      <c r="E1376">
        <v>0.60196939999999999</v>
      </c>
      <c r="F1376" t="s">
        <v>50</v>
      </c>
      <c r="G1376">
        <v>-205.12880000000001</v>
      </c>
      <c r="H1376" s="1">
        <v>-4.495746E-6</v>
      </c>
      <c r="I1376">
        <v>362.93770000000001</v>
      </c>
      <c r="J1376">
        <v>-223.4485</v>
      </c>
      <c r="K1376">
        <v>1.109451</v>
      </c>
      <c r="L1376">
        <v>367.20929999999998</v>
      </c>
      <c r="M1376">
        <v>0.99947169999999996</v>
      </c>
      <c r="N1376">
        <v>-1.411598E-2</v>
      </c>
      <c r="O1376">
        <v>-2.9275450000000001E-2</v>
      </c>
      <c r="P1376">
        <v>0.98419820000000002</v>
      </c>
      <c r="Q1376">
        <v>0.17364939999999901</v>
      </c>
      <c r="R1376">
        <v>3.4643769999999997E-2</v>
      </c>
      <c r="S1376">
        <v>3.1073909999999998</v>
      </c>
      <c r="T1376">
        <v>-0.1865366</v>
      </c>
      <c r="U1376">
        <v>-0.71911619999999998</v>
      </c>
      <c r="V1376">
        <v>-6.2903840000000003E-2</v>
      </c>
      <c r="W1376">
        <v>0.1876871</v>
      </c>
      <c r="X1376">
        <v>0.98021259999999999</v>
      </c>
      <c r="Y1376">
        <v>0.19645299999999999</v>
      </c>
      <c r="Z1376">
        <v>-5.8974459999999998E-3</v>
      </c>
      <c r="AA1376">
        <v>0.98049549999999996</v>
      </c>
      <c r="AB1376">
        <v>28</v>
      </c>
      <c r="AC1376">
        <v>18.319699999999902</v>
      </c>
      <c r="AD1376">
        <v>-1.1094554957460001</v>
      </c>
      <c r="AE1376">
        <v>-4.2715999999999701</v>
      </c>
      <c r="AF1376">
        <v>3.7204562752844899</v>
      </c>
      <c r="AG1376">
        <v>-1.1094554957460001</v>
      </c>
      <c r="AH1376">
        <v>18.373001452538301</v>
      </c>
      <c r="AI1376">
        <v>93.387035806067004</v>
      </c>
      <c r="AJ1376">
        <v>78.552632959211905</v>
      </c>
      <c r="AK1376">
        <v>18.7787078567275</v>
      </c>
      <c r="AL1376">
        <v>79.182163777068695</v>
      </c>
      <c r="AM1376">
        <v>93.671845437053904</v>
      </c>
      <c r="AN1376">
        <v>1.00000004089595</v>
      </c>
    </row>
    <row r="1377" spans="1:40" x14ac:dyDescent="0.25">
      <c r="A1377" t="str">
        <f>"20190304155037717"</f>
        <v>20190304155037717</v>
      </c>
      <c r="B1377" t="str">
        <f>"1551685837707659"</f>
        <v>1551685837707659</v>
      </c>
      <c r="C1377" t="s">
        <v>40</v>
      </c>
      <c r="D1377">
        <v>6.0038960000000001</v>
      </c>
      <c r="E1377">
        <v>0.60226780000000002</v>
      </c>
      <c r="F1377" t="s">
        <v>50</v>
      </c>
      <c r="G1377">
        <v>-204.93100000000001</v>
      </c>
      <c r="H1377" s="1">
        <v>-4.4135000000000002E-6</v>
      </c>
      <c r="I1377">
        <v>362.88130000000001</v>
      </c>
      <c r="J1377">
        <v>-223.2724</v>
      </c>
      <c r="K1377">
        <v>1.1094109999999999</v>
      </c>
      <c r="L1377">
        <v>367.20310000000001</v>
      </c>
      <c r="M1377">
        <v>0.99944069999999996</v>
      </c>
      <c r="N1377">
        <v>-1.4115290000000001E-2</v>
      </c>
      <c r="O1377">
        <v>-3.0318230000000002E-2</v>
      </c>
      <c r="P1377">
        <v>0.98440059999999996</v>
      </c>
      <c r="Q1377">
        <v>0.1726944</v>
      </c>
      <c r="R1377">
        <v>3.364955E-2</v>
      </c>
      <c r="S1377">
        <v>3.1065670000000001</v>
      </c>
      <c r="T1377">
        <v>-0.1861264</v>
      </c>
      <c r="U1377">
        <v>-0.726074199999999</v>
      </c>
      <c r="V1377">
        <v>-6.2925670000000003E-2</v>
      </c>
      <c r="W1377">
        <v>0.1867404</v>
      </c>
      <c r="X1377">
        <v>0.98039189999999998</v>
      </c>
      <c r="Y1377">
        <v>0.19757050000000001</v>
      </c>
      <c r="Z1377">
        <v>-5.8827710000000002E-3</v>
      </c>
      <c r="AA1377">
        <v>0.980271</v>
      </c>
      <c r="AB1377">
        <v>28</v>
      </c>
      <c r="AC1377">
        <v>18.3414</v>
      </c>
      <c r="AD1377">
        <v>-1.1094154134999901</v>
      </c>
      <c r="AE1377">
        <v>-4.3217999999999899</v>
      </c>
      <c r="AF1377">
        <v>3.7506780348045199</v>
      </c>
      <c r="AG1377">
        <v>-1.1094154134999901</v>
      </c>
      <c r="AH1377">
        <v>18.400229839952601</v>
      </c>
      <c r="AI1377">
        <v>93.381029566531595</v>
      </c>
      <c r="AJ1377">
        <v>78.478745136995499</v>
      </c>
      <c r="AK1377">
        <v>18.811348873580499</v>
      </c>
      <c r="AL1377">
        <v>79.237380974001098</v>
      </c>
      <c r="AM1377">
        <v>93.672446294564395</v>
      </c>
      <c r="AN1377">
        <v>0.99999994726135799</v>
      </c>
    </row>
    <row r="1378" spans="1:40" x14ac:dyDescent="0.25">
      <c r="A1378" t="str">
        <f>"20190304155037732"</f>
        <v>20190304155037732</v>
      </c>
      <c r="B1378" t="str">
        <f>"1551685837728155"</f>
        <v>1551685837728155</v>
      </c>
      <c r="C1378" t="s">
        <v>40</v>
      </c>
      <c r="D1378">
        <v>6.0488410000000004</v>
      </c>
      <c r="E1378">
        <v>0.60265819999999903</v>
      </c>
      <c r="F1378" t="s">
        <v>50</v>
      </c>
      <c r="G1378">
        <v>-205.00819999999999</v>
      </c>
      <c r="H1378" s="1">
        <v>-4.448699E-6</v>
      </c>
      <c r="I1378">
        <v>362.8965</v>
      </c>
      <c r="J1378">
        <v>-223.0934</v>
      </c>
      <c r="K1378">
        <v>1.109372</v>
      </c>
      <c r="L1378">
        <v>367.19659999999999</v>
      </c>
      <c r="M1378">
        <v>0.9994073</v>
      </c>
      <c r="N1378">
        <v>-1.411452E-2</v>
      </c>
      <c r="O1378">
        <v>-3.1402680000000002E-2</v>
      </c>
      <c r="P1378">
        <v>0.98451529999999998</v>
      </c>
      <c r="Q1378">
        <v>0.1722079</v>
      </c>
      <c r="R1378">
        <v>3.2779049999999997E-2</v>
      </c>
      <c r="S1378">
        <v>3.1056819999999998</v>
      </c>
      <c r="T1378">
        <v>-0.18864790000000001</v>
      </c>
      <c r="U1378">
        <v>-0.73229979999999995</v>
      </c>
      <c r="V1378">
        <v>-6.3111039999999993E-2</v>
      </c>
      <c r="W1378">
        <v>0.1862598</v>
      </c>
      <c r="X1378">
        <v>0.98047150000000005</v>
      </c>
      <c r="Y1378">
        <v>0.19842119999999999</v>
      </c>
      <c r="Z1378">
        <v>-5.9197590000000001E-3</v>
      </c>
      <c r="AA1378">
        <v>0.98009900000000005</v>
      </c>
      <c r="AB1378">
        <v>28</v>
      </c>
      <c r="AC1378">
        <v>18.0852</v>
      </c>
      <c r="AD1378">
        <v>-1.1093764486990001</v>
      </c>
      <c r="AE1378">
        <v>-4.30009999999998</v>
      </c>
      <c r="AF1378">
        <v>3.71676150011506</v>
      </c>
      <c r="AG1378">
        <v>-1.1093764486990001</v>
      </c>
      <c r="AH1378">
        <v>18.1466982686939</v>
      </c>
      <c r="AI1378">
        <v>93.427378162347097</v>
      </c>
      <c r="AJ1378">
        <v>78.424908517694305</v>
      </c>
      <c r="AK1378">
        <v>18.556607723630002</v>
      </c>
      <c r="AL1378">
        <v>79.265410082923097</v>
      </c>
      <c r="AM1378">
        <v>93.682936855866004</v>
      </c>
      <c r="AN1378">
        <v>1.00000003938908</v>
      </c>
    </row>
    <row r="1379" spans="1:40" x14ac:dyDescent="0.25">
      <c r="A1379" t="str">
        <f>"20190304155037744"</f>
        <v>20190304155037744</v>
      </c>
      <c r="B1379" t="str">
        <f>"1551685837737914"</f>
        <v>1551685837737914</v>
      </c>
      <c r="C1379" t="s">
        <v>40</v>
      </c>
      <c r="D1379">
        <v>6.059787</v>
      </c>
      <c r="E1379">
        <v>0.6028078</v>
      </c>
      <c r="F1379" t="s">
        <v>50</v>
      </c>
      <c r="G1379">
        <v>-205.0915</v>
      </c>
      <c r="H1379" s="1">
        <v>-4.4830899999999996E-6</v>
      </c>
      <c r="I1379">
        <v>362.91640000000001</v>
      </c>
      <c r="J1379">
        <v>-222.93010000000001</v>
      </c>
      <c r="K1379">
        <v>1.10934</v>
      </c>
      <c r="L1379">
        <v>367.19040000000001</v>
      </c>
      <c r="M1379">
        <v>0.99937489999999995</v>
      </c>
      <c r="N1379">
        <v>-1.4113789999999999E-2</v>
      </c>
      <c r="O1379">
        <v>-3.2417380000000003E-2</v>
      </c>
      <c r="P1379">
        <v>0.98460939999999997</v>
      </c>
      <c r="Q1379">
        <v>0.17183870000000001</v>
      </c>
      <c r="R1379">
        <v>3.1875939999999998E-2</v>
      </c>
      <c r="S1379">
        <v>3.1052399999999998</v>
      </c>
      <c r="T1379">
        <v>-0.19136210000000001</v>
      </c>
      <c r="U1379">
        <v>-0.73831179999999996</v>
      </c>
      <c r="V1379">
        <v>-6.3196829999999996E-2</v>
      </c>
      <c r="W1379">
        <v>0.18589620000000001</v>
      </c>
      <c r="X1379">
        <v>0.98053489999999999</v>
      </c>
      <c r="Y1379">
        <v>0.19924349999999999</v>
      </c>
      <c r="Z1379">
        <v>-5.9614430000000003E-3</v>
      </c>
      <c r="AA1379">
        <v>0.97993189999999997</v>
      </c>
      <c r="AB1379">
        <v>28</v>
      </c>
      <c r="AC1379">
        <v>17.8386</v>
      </c>
      <c r="AD1379">
        <v>-1.1093444830900001</v>
      </c>
      <c r="AE1379">
        <v>-4.274</v>
      </c>
      <c r="AF1379">
        <v>3.6799560206502302</v>
      </c>
      <c r="AG1379">
        <v>-1.1093444830900001</v>
      </c>
      <c r="AH1379">
        <v>17.902312603293499</v>
      </c>
      <c r="AI1379">
        <v>93.473446911164601</v>
      </c>
      <c r="AJ1379">
        <v>78.384218691690293</v>
      </c>
      <c r="AK1379">
        <v>18.310257181211899</v>
      </c>
      <c r="AL1379">
        <v>79.286612314812501</v>
      </c>
      <c r="AM1379">
        <v>93.687691651198506</v>
      </c>
      <c r="AN1379">
        <v>0.99999996330724805</v>
      </c>
    </row>
    <row r="1380" spans="1:40" x14ac:dyDescent="0.25">
      <c r="A1380" t="str">
        <f>"20190304155037755"</f>
        <v>20190304155037755</v>
      </c>
      <c r="B1380" t="str">
        <f>"1551685837747676"</f>
        <v>1551685837747676</v>
      </c>
      <c r="C1380" t="s">
        <v>40</v>
      </c>
      <c r="D1380">
        <v>10.465999999999999</v>
      </c>
      <c r="E1380">
        <v>0.60251499999999902</v>
      </c>
      <c r="F1380" t="s">
        <v>50</v>
      </c>
      <c r="G1380">
        <v>-205.11670000000001</v>
      </c>
      <c r="H1380" s="1">
        <v>-4.4918160000000004E-6</v>
      </c>
      <c r="I1380">
        <v>362.92989999999998</v>
      </c>
      <c r="J1380">
        <v>-222.79689999999999</v>
      </c>
      <c r="K1380">
        <v>1.1093189999999999</v>
      </c>
      <c r="L1380">
        <v>367.18520000000001</v>
      </c>
      <c r="M1380">
        <v>0.99934719999999999</v>
      </c>
      <c r="N1380">
        <v>-1.4113199999999999E-2</v>
      </c>
      <c r="O1380">
        <v>-3.3261180000000001E-2</v>
      </c>
      <c r="P1380">
        <v>0.98465320000000001</v>
      </c>
      <c r="Q1380">
        <v>0.1717475</v>
      </c>
      <c r="R1380">
        <v>3.1001560000000001E-2</v>
      </c>
      <c r="S1380">
        <v>3.1046749999999999</v>
      </c>
      <c r="T1380">
        <v>-0.1933464</v>
      </c>
      <c r="U1380">
        <v>-0.74255369999999998</v>
      </c>
      <c r="V1380">
        <v>-6.3145060000000003E-2</v>
      </c>
      <c r="W1380">
        <v>0.18580759999999999</v>
      </c>
      <c r="X1380">
        <v>0.98055510000000001</v>
      </c>
      <c r="Y1380">
        <v>0.19971549999999999</v>
      </c>
      <c r="Z1380">
        <v>-5.9818700000000002E-3</v>
      </c>
      <c r="AA1380">
        <v>0.97983569999999998</v>
      </c>
      <c r="AB1380">
        <v>28</v>
      </c>
      <c r="AC1380">
        <v>17.6801999999999</v>
      </c>
      <c r="AD1380">
        <v>-1.109323491816</v>
      </c>
      <c r="AE1380">
        <v>-4.2553000000000303</v>
      </c>
      <c r="AF1380">
        <v>3.6512351782177102</v>
      </c>
      <c r="AG1380">
        <v>-1.109323491816</v>
      </c>
      <c r="AH1380">
        <v>17.745929244345</v>
      </c>
      <c r="AI1380">
        <v>93.503780980024601</v>
      </c>
      <c r="AJ1380">
        <v>78.373609383955795</v>
      </c>
      <c r="AK1380">
        <v>18.151587304735902</v>
      </c>
      <c r="AL1380">
        <v>79.291779491858307</v>
      </c>
      <c r="AM1380">
        <v>93.684603371644499</v>
      </c>
      <c r="AN1380">
        <v>1.0000000334780801</v>
      </c>
    </row>
    <row r="1381" spans="1:40" x14ac:dyDescent="0.25">
      <c r="A1381" t="str">
        <f>"20190304155037768"</f>
        <v>20190304155037768</v>
      </c>
      <c r="B1381" t="str">
        <f>"1551685837757435"</f>
        <v>1551685837757435</v>
      </c>
      <c r="C1381" t="s">
        <v>40</v>
      </c>
      <c r="D1381">
        <v>6.0654729999999999</v>
      </c>
      <c r="E1381">
        <v>0.60261009999999904</v>
      </c>
      <c r="F1381" t="s">
        <v>50</v>
      </c>
      <c r="G1381">
        <v>-204.93620000000001</v>
      </c>
      <c r="H1381" s="1">
        <v>-4.4093310000000001E-6</v>
      </c>
      <c r="I1381">
        <v>362.91210000000001</v>
      </c>
      <c r="J1381">
        <v>-222.6422</v>
      </c>
      <c r="K1381">
        <v>1.1092959999999901</v>
      </c>
      <c r="L1381">
        <v>367.17910000000001</v>
      </c>
      <c r="M1381">
        <v>0.99931369999999997</v>
      </c>
      <c r="N1381">
        <v>-1.411248E-2</v>
      </c>
      <c r="O1381">
        <v>-3.4249630000000003E-2</v>
      </c>
      <c r="P1381">
        <v>0.98470119999999906</v>
      </c>
      <c r="Q1381">
        <v>0.17167360000000001</v>
      </c>
      <c r="R1381">
        <v>2.9860270000000001E-2</v>
      </c>
      <c r="S1381">
        <v>3.103745</v>
      </c>
      <c r="T1381">
        <v>-0.192773</v>
      </c>
      <c r="U1381">
        <v>-0.74255369999999998</v>
      </c>
      <c r="V1381">
        <v>-6.2967789999999996E-2</v>
      </c>
      <c r="W1381">
        <v>0.1857365</v>
      </c>
      <c r="X1381">
        <v>0.98058000000000001</v>
      </c>
      <c r="Y1381">
        <v>0.19881789999999999</v>
      </c>
      <c r="Z1381">
        <v>-5.8904119999999898E-3</v>
      </c>
      <c r="AA1381">
        <v>0.98001870000000002</v>
      </c>
      <c r="AB1381">
        <v>28</v>
      </c>
      <c r="AC1381">
        <v>17.7059999999999</v>
      </c>
      <c r="AD1381">
        <v>-1.1093004093309999</v>
      </c>
      <c r="AE1381">
        <v>-4.2669999999999897</v>
      </c>
      <c r="AF1381">
        <v>3.64449175423248</v>
      </c>
      <c r="AG1381">
        <v>-1.1093004093309999</v>
      </c>
      <c r="AH1381">
        <v>17.775824525418798</v>
      </c>
      <c r="AI1381">
        <v>93.498329210071603</v>
      </c>
      <c r="AJ1381">
        <v>78.413488852844694</v>
      </c>
      <c r="AK1381">
        <v>18.179461078461401</v>
      </c>
      <c r="AL1381">
        <v>79.295925711784193</v>
      </c>
      <c r="AM1381">
        <v>93.6741947466017</v>
      </c>
      <c r="AN1381">
        <v>1.00000006320486</v>
      </c>
    </row>
    <row r="1382" spans="1:40" x14ac:dyDescent="0.25">
      <c r="A1382" t="str">
        <f>"20190304155037779"</f>
        <v>20190304155037779</v>
      </c>
      <c r="B1382" t="str">
        <f>"1551685837767196"</f>
        <v>1551685837767196</v>
      </c>
      <c r="C1382" t="s">
        <v>40</v>
      </c>
      <c r="D1382">
        <v>6.1112070000000003</v>
      </c>
      <c r="E1382">
        <v>0.60275719999999899</v>
      </c>
      <c r="F1382" t="s">
        <v>50</v>
      </c>
      <c r="G1382">
        <v>-204.96209999999999</v>
      </c>
      <c r="H1382" s="1">
        <v>-4.4198840000000002E-6</v>
      </c>
      <c r="I1382">
        <v>362.92309999999998</v>
      </c>
      <c r="J1382">
        <v>-222.4933</v>
      </c>
      <c r="K1382">
        <v>1.109278</v>
      </c>
      <c r="L1382">
        <v>367.17290000000003</v>
      </c>
      <c r="M1382">
        <v>0.9992801</v>
      </c>
      <c r="N1382">
        <v>-1.4111739999999999E-2</v>
      </c>
      <c r="O1382">
        <v>-3.5220920000000003E-2</v>
      </c>
      <c r="P1382">
        <v>0.9847167</v>
      </c>
      <c r="Q1382">
        <v>0.1717214</v>
      </c>
      <c r="R1382">
        <v>2.9074900000000001E-2</v>
      </c>
      <c r="S1382">
        <v>3.1032259999999998</v>
      </c>
      <c r="T1382">
        <v>-0.19470509999999999</v>
      </c>
      <c r="U1382">
        <v>-0.74700929999999999</v>
      </c>
      <c r="V1382">
        <v>-6.3130820000000004E-2</v>
      </c>
      <c r="W1382">
        <v>0.18578610000000001</v>
      </c>
      <c r="X1382">
        <v>0.98056010000000005</v>
      </c>
      <c r="Y1382">
        <v>0.19922590000000001</v>
      </c>
      <c r="Z1382">
        <v>-5.8995999999999996E-3</v>
      </c>
      <c r="AA1382">
        <v>0.97993580000000002</v>
      </c>
      <c r="AB1382">
        <v>28</v>
      </c>
      <c r="AC1382">
        <v>17.531199999999998</v>
      </c>
      <c r="AD1382">
        <v>-1.1092824198839999</v>
      </c>
      <c r="AE1382">
        <v>-4.2498000000000502</v>
      </c>
      <c r="AF1382">
        <v>3.6159626367240398</v>
      </c>
      <c r="AG1382">
        <v>-1.1092824198839999</v>
      </c>
      <c r="AH1382">
        <v>17.603450289020401</v>
      </c>
      <c r="AI1382">
        <v>93.532173140967004</v>
      </c>
      <c r="AJ1382">
        <v>78.392213327777299</v>
      </c>
      <c r="AK1382">
        <v>18.005198009332201</v>
      </c>
      <c r="AL1382">
        <v>79.2930332783437</v>
      </c>
      <c r="AM1382">
        <v>93.683756003470606</v>
      </c>
      <c r="AN1382">
        <v>1.0000000425495399</v>
      </c>
    </row>
    <row r="1383" spans="1:40" x14ac:dyDescent="0.25">
      <c r="A1383" t="str">
        <f>"20190304155037820"</f>
        <v>20190304155037820</v>
      </c>
      <c r="B1383" t="str">
        <f>"1551685837817947"</f>
        <v>1551685837817947</v>
      </c>
      <c r="C1383" t="s">
        <v>40</v>
      </c>
      <c r="D1383">
        <v>6.1862830000000004</v>
      </c>
      <c r="E1383">
        <v>0.60292919999999905</v>
      </c>
      <c r="F1383" t="s">
        <v>50</v>
      </c>
      <c r="G1383">
        <v>-204.86869999999999</v>
      </c>
      <c r="H1383" s="1">
        <v>-4.3758039999999998E-6</v>
      </c>
      <c r="I1383">
        <v>362.91019999999997</v>
      </c>
      <c r="J1383">
        <v>-221.98429999999999</v>
      </c>
      <c r="K1383">
        <v>1.109232</v>
      </c>
      <c r="L1383">
        <v>367.15089999999998</v>
      </c>
      <c r="M1383">
        <v>0.99915549999999997</v>
      </c>
      <c r="N1383">
        <v>-1.410868E-2</v>
      </c>
      <c r="O1383">
        <v>-3.8592000000000001E-2</v>
      </c>
      <c r="P1383">
        <v>0.98476240000000004</v>
      </c>
      <c r="Q1383">
        <v>0.172039</v>
      </c>
      <c r="R1383">
        <v>2.541055E-2</v>
      </c>
      <c r="S1383">
        <v>3.1027680000000002</v>
      </c>
      <c r="T1383">
        <v>-0.1952875</v>
      </c>
      <c r="U1383">
        <v>-0.75045779999999995</v>
      </c>
      <c r="V1383">
        <v>-6.2765539999999995E-2</v>
      </c>
      <c r="W1383">
        <v>0.18610660000000001</v>
      </c>
      <c r="X1383">
        <v>0.98052280000000003</v>
      </c>
      <c r="Y1383">
        <v>0.19698850000000001</v>
      </c>
      <c r="Z1383">
        <v>-5.6644859999999998E-3</v>
      </c>
      <c r="AA1383">
        <v>0.98038939999999997</v>
      </c>
      <c r="AB1383">
        <v>28</v>
      </c>
      <c r="AC1383">
        <v>17.115600000000001</v>
      </c>
      <c r="AD1383">
        <v>-1.109236375804</v>
      </c>
      <c r="AE1383">
        <v>-4.2407000000000004</v>
      </c>
      <c r="AF1383">
        <v>3.5628503629842698</v>
      </c>
      <c r="AG1383">
        <v>-1.109236375804</v>
      </c>
      <c r="AH1383">
        <v>17.1984626260823</v>
      </c>
      <c r="AI1383">
        <v>93.613733314490503</v>
      </c>
      <c r="AJ1383">
        <v>78.296102910466601</v>
      </c>
      <c r="AK1383">
        <v>17.598619967121699</v>
      </c>
      <c r="AL1383">
        <v>79.274344342282404</v>
      </c>
      <c r="AM1383">
        <v>93.6626386236413</v>
      </c>
      <c r="AN1383">
        <v>1.0000000704474401</v>
      </c>
    </row>
    <row r="1384" spans="1:40" x14ac:dyDescent="0.25">
      <c r="A1384" t="str">
        <f>"20190304155037833"</f>
        <v>20190304155037833</v>
      </c>
      <c r="B1384" t="str">
        <f>"1551685837827707"</f>
        <v>1551685837827707</v>
      </c>
      <c r="C1384" t="s">
        <v>40</v>
      </c>
      <c r="D1384">
        <v>5.2250779999999999</v>
      </c>
      <c r="E1384">
        <v>0.60285440000000001</v>
      </c>
      <c r="F1384" t="s">
        <v>50</v>
      </c>
      <c r="G1384">
        <v>-204.59190000000001</v>
      </c>
      <c r="H1384" s="1">
        <v>-4.244632E-6</v>
      </c>
      <c r="I1384">
        <v>362.8734</v>
      </c>
      <c r="J1384">
        <v>-221.82490000000001</v>
      </c>
      <c r="K1384">
        <v>1.109224</v>
      </c>
      <c r="L1384">
        <v>367.14359999999999</v>
      </c>
      <c r="M1384">
        <v>0.99911349999999999</v>
      </c>
      <c r="N1384">
        <v>-1.410759E-2</v>
      </c>
      <c r="O1384">
        <v>-3.9664070000000003E-2</v>
      </c>
      <c r="P1384">
        <v>0.98475800000000002</v>
      </c>
      <c r="Q1384">
        <v>0.1722466</v>
      </c>
      <c r="R1384">
        <v>2.4149790000000001E-2</v>
      </c>
      <c r="S1384">
        <v>3.1006619999999998</v>
      </c>
      <c r="T1384">
        <v>-0.1977507</v>
      </c>
      <c r="U1384">
        <v>-0.76257319999999995</v>
      </c>
      <c r="V1384">
        <v>-6.2555449999999999E-2</v>
      </c>
      <c r="W1384">
        <v>0.18631320000000001</v>
      </c>
      <c r="X1384">
        <v>0.9804969</v>
      </c>
      <c r="Y1384">
        <v>0.19968939999999999</v>
      </c>
      <c r="Z1384">
        <v>-5.7643269999999996E-3</v>
      </c>
      <c r="AA1384">
        <v>0.97984230000000005</v>
      </c>
      <c r="AB1384">
        <v>28</v>
      </c>
      <c r="AC1384">
        <v>17.233000000000001</v>
      </c>
      <c r="AD1384">
        <v>-1.1092282446320001</v>
      </c>
      <c r="AE1384">
        <v>-4.2701999999999796</v>
      </c>
      <c r="AF1384">
        <v>3.5693076985705199</v>
      </c>
      <c r="AG1384">
        <v>-1.1092282446320001</v>
      </c>
      <c r="AH1384">
        <v>17.3212152683802</v>
      </c>
      <c r="AI1384">
        <v>93.588941115377494</v>
      </c>
      <c r="AJ1384">
        <v>78.356290592517993</v>
      </c>
      <c r="AK1384">
        <v>17.719899636265701</v>
      </c>
      <c r="AL1384">
        <v>79.262295352436396</v>
      </c>
      <c r="AM1384">
        <v>93.650508340676794</v>
      </c>
      <c r="AN1384">
        <v>0.99999998186427597</v>
      </c>
    </row>
    <row r="1385" spans="1:40" x14ac:dyDescent="0.25">
      <c r="A1385" t="str">
        <f>"20190304155037846"</f>
        <v>20190304155037846</v>
      </c>
      <c r="B1385" t="str">
        <f>"1551685837837468"</f>
        <v>1551685837837468</v>
      </c>
      <c r="C1385" t="s">
        <v>40</v>
      </c>
      <c r="D1385">
        <v>6.1871589999999896</v>
      </c>
      <c r="E1385">
        <v>0.60257269999999996</v>
      </c>
      <c r="F1385" t="s">
        <v>50</v>
      </c>
      <c r="G1385">
        <v>-204.39160000000001</v>
      </c>
      <c r="H1385" s="1">
        <v>-4.1521639999999997E-6</v>
      </c>
      <c r="I1385">
        <v>362.83589999999998</v>
      </c>
      <c r="J1385">
        <v>-221.66540000000001</v>
      </c>
      <c r="K1385">
        <v>1.1092169999999999</v>
      </c>
      <c r="L1385">
        <v>367.13619999999997</v>
      </c>
      <c r="M1385">
        <v>0.99907020000000002</v>
      </c>
      <c r="N1385">
        <v>-1.4106489999999999E-2</v>
      </c>
      <c r="O1385">
        <v>-4.0741840000000001E-2</v>
      </c>
      <c r="P1385">
        <v>0.98475979999999996</v>
      </c>
      <c r="Q1385">
        <v>0.1724195</v>
      </c>
      <c r="R1385">
        <v>2.2802369999999999E-2</v>
      </c>
      <c r="S1385">
        <v>3.099701</v>
      </c>
      <c r="T1385">
        <v>-0.19722490000000001</v>
      </c>
      <c r="U1385">
        <v>-0.76593020000000001</v>
      </c>
      <c r="V1385">
        <v>-6.2265359999999999E-2</v>
      </c>
      <c r="W1385">
        <v>0.1864856</v>
      </c>
      <c r="X1385">
        <v>0.98048259999999998</v>
      </c>
      <c r="Y1385">
        <v>0.1997063</v>
      </c>
      <c r="Z1385">
        <v>-5.7032929999999999E-3</v>
      </c>
      <c r="AA1385">
        <v>0.97983920000000002</v>
      </c>
      <c r="AB1385">
        <v>28</v>
      </c>
      <c r="AC1385">
        <v>17.273799999999898</v>
      </c>
      <c r="AD1385">
        <v>-1.1092211521640001</v>
      </c>
      <c r="AE1385">
        <v>-4.3002999999999902</v>
      </c>
      <c r="AF1385">
        <v>3.5789958509986501</v>
      </c>
      <c r="AG1385">
        <v>-1.1092211521640001</v>
      </c>
      <c r="AH1385">
        <v>17.367240717814099</v>
      </c>
      <c r="AI1385">
        <v>93.579423602084802</v>
      </c>
      <c r="AJ1385">
        <v>78.355645352704599</v>
      </c>
      <c r="AK1385">
        <v>17.76684082825</v>
      </c>
      <c r="AL1385">
        <v>79.252241458609006</v>
      </c>
      <c r="AM1385">
        <v>93.633678056647696</v>
      </c>
      <c r="AN1385">
        <v>0.99999999148302399</v>
      </c>
    </row>
    <row r="1386" spans="1:40" x14ac:dyDescent="0.25">
      <c r="A1386" t="str">
        <f>"20190304155037857"</f>
        <v>20190304155037857</v>
      </c>
      <c r="B1386" t="str">
        <f>"1551685837847227"</f>
        <v>1551685837847227</v>
      </c>
      <c r="C1386" t="s">
        <v>40</v>
      </c>
      <c r="D1386">
        <v>6.0777210000000004</v>
      </c>
      <c r="E1386">
        <v>0.60268690000000003</v>
      </c>
      <c r="F1386" t="s">
        <v>50</v>
      </c>
      <c r="G1386">
        <v>-204.19280000000001</v>
      </c>
      <c r="H1386" s="1">
        <v>-4.0590030000000003E-6</v>
      </c>
      <c r="I1386">
        <v>362.80489999999998</v>
      </c>
      <c r="J1386">
        <v>-221.52600000000001</v>
      </c>
      <c r="K1386">
        <v>1.1092120000000001</v>
      </c>
      <c r="L1386">
        <v>367.12950000000001</v>
      </c>
      <c r="M1386">
        <v>0.99903090000000005</v>
      </c>
      <c r="N1386">
        <v>-1.410555E-2</v>
      </c>
      <c r="O1386">
        <v>-4.1690459999999999E-2</v>
      </c>
      <c r="P1386">
        <v>0.98468160000000005</v>
      </c>
      <c r="Q1386">
        <v>0.17301029999999901</v>
      </c>
      <c r="R1386">
        <v>2.1675159999999999E-2</v>
      </c>
      <c r="S1386">
        <v>3.0986479999999998</v>
      </c>
      <c r="T1386">
        <v>-0.19671330000000001</v>
      </c>
      <c r="U1386">
        <v>-0.76812740000000002</v>
      </c>
      <c r="V1386">
        <v>-6.2064269999999998E-2</v>
      </c>
      <c r="W1386">
        <v>0.18707399999999999</v>
      </c>
      <c r="X1386">
        <v>0.98038329999999996</v>
      </c>
      <c r="Y1386">
        <v>0.19951150000000001</v>
      </c>
      <c r="Z1386">
        <v>-5.641213E-3</v>
      </c>
      <c r="AA1386">
        <v>0.97987930000000001</v>
      </c>
      <c r="AB1386">
        <v>28</v>
      </c>
      <c r="AC1386">
        <v>17.333199999999898</v>
      </c>
      <c r="AD1386">
        <v>-1.109216059003</v>
      </c>
      <c r="AE1386">
        <v>-4.3246000000000304</v>
      </c>
      <c r="AF1386">
        <v>3.58431996471431</v>
      </c>
      <c r="AG1386">
        <v>-1.109216059003</v>
      </c>
      <c r="AH1386">
        <v>17.431238463356799</v>
      </c>
      <c r="AI1386">
        <v>93.566616552514702</v>
      </c>
      <c r="AJ1386">
        <v>78.380444379921997</v>
      </c>
      <c r="AK1386">
        <v>17.8304734721602</v>
      </c>
      <c r="AL1386">
        <v>79.217925183071202</v>
      </c>
      <c r="AM1386">
        <v>93.622340030053195</v>
      </c>
      <c r="AN1386">
        <v>1.00000003500276</v>
      </c>
    </row>
    <row r="1387" spans="1:40" x14ac:dyDescent="0.25">
      <c r="A1387" t="str">
        <f>"20190304155037870"</f>
        <v>20190304155037870</v>
      </c>
      <c r="B1387" t="str">
        <f>"1551685837867724"</f>
        <v>1551685837867724</v>
      </c>
      <c r="C1387" t="s">
        <v>40</v>
      </c>
      <c r="D1387">
        <v>6.2597420000000001</v>
      </c>
      <c r="E1387">
        <v>0.60260159999999996</v>
      </c>
      <c r="F1387" t="s">
        <v>50</v>
      </c>
      <c r="G1387">
        <v>-203.92310000000001</v>
      </c>
      <c r="H1387" s="1">
        <v>-3.9377289999999998E-6</v>
      </c>
      <c r="I1387">
        <v>362.7396</v>
      </c>
      <c r="J1387">
        <v>-221.37370000000001</v>
      </c>
      <c r="K1387">
        <v>1.109208</v>
      </c>
      <c r="L1387">
        <v>367.12200000000001</v>
      </c>
      <c r="M1387">
        <v>0.99898719999999996</v>
      </c>
      <c r="N1387">
        <v>-1.4104520000000001E-2</v>
      </c>
      <c r="O1387">
        <v>-4.2728960000000003E-2</v>
      </c>
      <c r="P1387">
        <v>0.9846452</v>
      </c>
      <c r="Q1387">
        <v>0.17340559999999999</v>
      </c>
      <c r="R1387">
        <v>2.0119270000000002E-2</v>
      </c>
      <c r="S1387">
        <v>3.0979770000000002</v>
      </c>
      <c r="T1387">
        <v>-0.19521359999999999</v>
      </c>
      <c r="U1387">
        <v>-0.77258300000000002</v>
      </c>
      <c r="V1387">
        <v>-6.1526169999999998E-2</v>
      </c>
      <c r="W1387">
        <v>0.18746689999999999</v>
      </c>
      <c r="X1387">
        <v>0.98034209999999999</v>
      </c>
      <c r="Y1387">
        <v>0.19987559999999999</v>
      </c>
      <c r="Z1387">
        <v>-5.5779039999999998E-3</v>
      </c>
      <c r="AA1387">
        <v>0.97980540000000005</v>
      </c>
      <c r="AB1387">
        <v>28</v>
      </c>
      <c r="AC1387">
        <v>17.450600000000001</v>
      </c>
      <c r="AD1387">
        <v>-1.109211937729</v>
      </c>
      <c r="AE1387">
        <v>-4.3823999999999597</v>
      </c>
      <c r="AF1387">
        <v>3.6189227061498901</v>
      </c>
      <c r="AG1387">
        <v>-1.109211937729</v>
      </c>
      <c r="AH1387">
        <v>17.555213574397001</v>
      </c>
      <c r="AI1387">
        <v>93.541118219085803</v>
      </c>
      <c r="AJ1387">
        <v>78.351920085402696</v>
      </c>
      <c r="AK1387">
        <v>17.9586323621422</v>
      </c>
      <c r="AL1387">
        <v>79.195007530180206</v>
      </c>
      <c r="AM1387">
        <v>93.591167239598306</v>
      </c>
      <c r="AN1387">
        <v>0.99999997061144397</v>
      </c>
    </row>
    <row r="1388" spans="1:40" x14ac:dyDescent="0.25">
      <c r="A1388" t="str">
        <f>"20190304155037886"</f>
        <v>20190304155037886</v>
      </c>
      <c r="B1388" t="str">
        <f>"1551685837877349"</f>
        <v>1551685837877349</v>
      </c>
      <c r="C1388" t="s">
        <v>40</v>
      </c>
      <c r="D1388">
        <v>6.132085</v>
      </c>
      <c r="E1388">
        <v>0.60252299999999903</v>
      </c>
      <c r="F1388" t="s">
        <v>50</v>
      </c>
      <c r="G1388">
        <v>-203.73339999999999</v>
      </c>
      <c r="H1388" s="1">
        <v>-3.8518439999999996E-6</v>
      </c>
      <c r="I1388">
        <v>362.69659999999999</v>
      </c>
      <c r="J1388">
        <v>-221.16829999999999</v>
      </c>
      <c r="K1388">
        <v>1.1092029999999999</v>
      </c>
      <c r="L1388">
        <v>367.11180000000002</v>
      </c>
      <c r="M1388">
        <v>0.99892599999999998</v>
      </c>
      <c r="N1388">
        <v>-1.4103030000000001E-2</v>
      </c>
      <c r="O1388">
        <v>-4.4138589999999998E-2</v>
      </c>
      <c r="P1388">
        <v>0.98451820000000001</v>
      </c>
      <c r="Q1388">
        <v>0.17438229999999999</v>
      </c>
      <c r="R1388">
        <v>1.775094E-2</v>
      </c>
      <c r="S1388">
        <v>3.0969699999999998</v>
      </c>
      <c r="T1388">
        <v>-0.19473579999999999</v>
      </c>
      <c r="U1388">
        <v>-0.77694700000000005</v>
      </c>
      <c r="V1388">
        <v>-6.0534419999999999E-2</v>
      </c>
      <c r="W1388">
        <v>0.18843779999999999</v>
      </c>
      <c r="X1388">
        <v>0.98021769999999997</v>
      </c>
      <c r="Y1388">
        <v>0.19987050000000001</v>
      </c>
      <c r="Z1388">
        <v>-5.5022279999999996E-3</v>
      </c>
      <c r="AA1388">
        <v>0.97980690000000004</v>
      </c>
      <c r="AB1388">
        <v>28</v>
      </c>
      <c r="AC1388">
        <v>17.434899999999999</v>
      </c>
      <c r="AD1388">
        <v>-1.1092068518439999</v>
      </c>
      <c r="AE1388">
        <v>-4.41520000000002</v>
      </c>
      <c r="AF1388">
        <v>3.6274704865782001</v>
      </c>
      <c r="AG1388">
        <v>-1.1092068518439999</v>
      </c>
      <c r="AH1388">
        <v>17.546067235413499</v>
      </c>
      <c r="AI1388">
        <v>93.542527164524998</v>
      </c>
      <c r="AJ1388">
        <v>78.319243460586605</v>
      </c>
      <c r="AK1388">
        <v>17.951416584794298</v>
      </c>
      <c r="AL1388">
        <v>79.138369764411493</v>
      </c>
      <c r="AM1388">
        <v>93.533875797559503</v>
      </c>
      <c r="AN1388">
        <v>0.99999997993343204</v>
      </c>
    </row>
    <row r="1389" spans="1:40" x14ac:dyDescent="0.25">
      <c r="A1389" t="str">
        <f>"20190304155037900"</f>
        <v>20190304155037900</v>
      </c>
      <c r="B1389" t="str">
        <f>"1551685837897844"</f>
        <v>1551685837897844</v>
      </c>
      <c r="C1389" t="s">
        <v>40</v>
      </c>
      <c r="D1389">
        <v>6.1190389999999999</v>
      </c>
      <c r="E1389">
        <v>0.60268980000000005</v>
      </c>
      <c r="F1389" t="s">
        <v>50</v>
      </c>
      <c r="G1389">
        <v>-203.31360000000001</v>
      </c>
      <c r="H1389" s="1">
        <v>-3.6640800000000001E-6</v>
      </c>
      <c r="I1389">
        <v>362.59059999999999</v>
      </c>
      <c r="J1389">
        <v>-220.99709999999999</v>
      </c>
      <c r="K1389">
        <v>1.109194</v>
      </c>
      <c r="L1389">
        <v>367.10300000000001</v>
      </c>
      <c r="M1389">
        <v>0.99887309999999996</v>
      </c>
      <c r="N1389">
        <v>-1.410191E-2</v>
      </c>
      <c r="O1389">
        <v>-4.5321819999999999E-2</v>
      </c>
      <c r="P1389">
        <v>0.98445629999999995</v>
      </c>
      <c r="Q1389">
        <v>0.17489830000000001</v>
      </c>
      <c r="R1389">
        <v>1.6019530000000001E-2</v>
      </c>
      <c r="S1389">
        <v>3.0953520000000001</v>
      </c>
      <c r="T1389">
        <v>-0.19229540000000001</v>
      </c>
      <c r="U1389">
        <v>-0.78381350000000005</v>
      </c>
      <c r="V1389">
        <v>-5.9960949999999999E-2</v>
      </c>
      <c r="W1389">
        <v>0.18895100000000001</v>
      </c>
      <c r="X1389">
        <v>0.98015419999999998</v>
      </c>
      <c r="Y1389">
        <v>0.20088200000000001</v>
      </c>
      <c r="Z1389">
        <v>-5.4424729999999998E-3</v>
      </c>
      <c r="AA1389">
        <v>0.97960029999999998</v>
      </c>
      <c r="AB1389">
        <v>28</v>
      </c>
      <c r="AC1389">
        <v>17.683499999999899</v>
      </c>
      <c r="AD1389">
        <v>-1.1091976640799901</v>
      </c>
      <c r="AE1389">
        <v>-4.5124000000000102</v>
      </c>
      <c r="AF1389">
        <v>3.6925942930580802</v>
      </c>
      <c r="AG1389">
        <v>-1.1091976640799901</v>
      </c>
      <c r="AH1389">
        <v>17.804089464745999</v>
      </c>
      <c r="AI1389">
        <v>93.490829351504104</v>
      </c>
      <c r="AJ1389">
        <v>78.282891559690398</v>
      </c>
      <c r="AK1389">
        <v>18.216782749426599</v>
      </c>
      <c r="AL1389">
        <v>79.108428191815705</v>
      </c>
      <c r="AM1389">
        <v>93.500707648309699</v>
      </c>
      <c r="AN1389">
        <v>1.0000000258517701</v>
      </c>
    </row>
    <row r="1390" spans="1:40" x14ac:dyDescent="0.25">
      <c r="A1390" t="str">
        <f>"20190304155037914"</f>
        <v>20190304155037914</v>
      </c>
      <c r="B1390" t="str">
        <f>"1551685837907605"</f>
        <v>1551685837907605</v>
      </c>
      <c r="C1390" t="s">
        <v>40</v>
      </c>
      <c r="D1390">
        <v>6.2611150000000002</v>
      </c>
      <c r="E1390">
        <v>0.60289879999999996</v>
      </c>
      <c r="F1390" t="s">
        <v>50</v>
      </c>
      <c r="G1390">
        <v>-203.11510000000001</v>
      </c>
      <c r="H1390" s="1">
        <v>-3.5771309999999998E-6</v>
      </c>
      <c r="I1390">
        <v>362.53210000000001</v>
      </c>
      <c r="J1390">
        <v>-220.82740000000001</v>
      </c>
      <c r="K1390">
        <v>1.1091869999999999</v>
      </c>
      <c r="L1390">
        <v>367.09399999999999</v>
      </c>
      <c r="M1390">
        <v>0.99881869999999995</v>
      </c>
      <c r="N1390">
        <v>-1.410076E-2</v>
      </c>
      <c r="O1390">
        <v>-4.650162E-2</v>
      </c>
      <c r="P1390">
        <v>0.98439770000000004</v>
      </c>
      <c r="Q1390">
        <v>0.1753836</v>
      </c>
      <c r="R1390">
        <v>1.421555E-2</v>
      </c>
      <c r="S1390">
        <v>3.0943450000000001</v>
      </c>
      <c r="T1390">
        <v>-0.19193769999999999</v>
      </c>
      <c r="U1390">
        <v>-0.79095459999999995</v>
      </c>
      <c r="V1390">
        <v>-5.9311750000000003E-2</v>
      </c>
      <c r="W1390">
        <v>0.1894333</v>
      </c>
      <c r="X1390">
        <v>0.98010059999999999</v>
      </c>
      <c r="Y1390">
        <v>0.2019242</v>
      </c>
      <c r="Z1390">
        <v>-5.420411E-3</v>
      </c>
      <c r="AA1390">
        <v>0.97938619999999998</v>
      </c>
      <c r="AB1390">
        <v>28</v>
      </c>
      <c r="AC1390">
        <v>17.712299999999999</v>
      </c>
      <c r="AD1390">
        <v>-1.109190577131</v>
      </c>
      <c r="AE1390">
        <v>-4.5618999999999801</v>
      </c>
      <c r="AF1390">
        <v>3.7195523301461502</v>
      </c>
      <c r="AG1390">
        <v>-1.109190577131</v>
      </c>
      <c r="AH1390">
        <v>17.839684231127698</v>
      </c>
      <c r="AI1390">
        <v>93.483099161121601</v>
      </c>
      <c r="AJ1390">
        <v>78.222626498212307</v>
      </c>
      <c r="AK1390">
        <v>18.2570454000486</v>
      </c>
      <c r="AL1390">
        <v>79.0802861584434</v>
      </c>
      <c r="AM1390">
        <v>93.463086979330498</v>
      </c>
      <c r="AN1390">
        <v>1.0000000224786501</v>
      </c>
    </row>
    <row r="1391" spans="1:40" x14ac:dyDescent="0.25">
      <c r="A1391" t="str">
        <f>"20190304155037930"</f>
        <v>20190304155037930</v>
      </c>
      <c r="B1391" t="str">
        <f>"1551685837917364"</f>
        <v>1551685837917364</v>
      </c>
      <c r="C1391" t="s">
        <v>40</v>
      </c>
      <c r="D1391">
        <v>6.1530550000000002</v>
      </c>
      <c r="E1391">
        <v>0.60297190000000001</v>
      </c>
      <c r="F1391" t="s">
        <v>50</v>
      </c>
      <c r="G1391">
        <v>-202.8852</v>
      </c>
      <c r="H1391" s="1">
        <v>-3.4771070000000001E-6</v>
      </c>
      <c r="I1391">
        <v>362.46159999999998</v>
      </c>
      <c r="J1391">
        <v>-220.6371</v>
      </c>
      <c r="K1391">
        <v>1.109181</v>
      </c>
      <c r="L1391">
        <v>367.08370000000002</v>
      </c>
      <c r="M1391">
        <v>0.99875570000000002</v>
      </c>
      <c r="N1391">
        <v>-1.409943E-2</v>
      </c>
      <c r="O1391">
        <v>-4.7835830000000003E-2</v>
      </c>
      <c r="P1391">
        <v>0.98426880000000005</v>
      </c>
      <c r="Q1391">
        <v>0.1762841</v>
      </c>
      <c r="R1391">
        <v>1.1782290000000001E-2</v>
      </c>
      <c r="S1391">
        <v>3.0931549999999999</v>
      </c>
      <c r="T1391">
        <v>-0.19121940000000001</v>
      </c>
      <c r="U1391">
        <v>-0.7986145</v>
      </c>
      <c r="V1391">
        <v>-5.8179830000000002E-2</v>
      </c>
      <c r="W1391">
        <v>0.19032840000000001</v>
      </c>
      <c r="X1391">
        <v>0.97999499999999995</v>
      </c>
      <c r="Y1391">
        <v>0.2029831</v>
      </c>
      <c r="Z1391">
        <v>-5.3858680000000003E-3</v>
      </c>
      <c r="AA1391">
        <v>0.97916740000000002</v>
      </c>
      <c r="AB1391">
        <v>28</v>
      </c>
      <c r="AC1391">
        <v>17.751899999999999</v>
      </c>
      <c r="AD1391">
        <v>-1.1091844771070001</v>
      </c>
      <c r="AE1391">
        <v>-4.6221000000000396</v>
      </c>
      <c r="AF1391">
        <v>3.7538215934115899</v>
      </c>
      <c r="AG1391">
        <v>-1.1091844771070001</v>
      </c>
      <c r="AH1391">
        <v>17.887298123257899</v>
      </c>
      <c r="AI1391">
        <v>93.472886277858905</v>
      </c>
      <c r="AJ1391">
        <v>78.147924535751002</v>
      </c>
      <c r="AK1391">
        <v>18.310568011662699</v>
      </c>
      <c r="AL1391">
        <v>79.028050096020095</v>
      </c>
      <c r="AM1391">
        <v>93.397518066256495</v>
      </c>
      <c r="AN1391">
        <v>0.99999999624519398</v>
      </c>
    </row>
    <row r="1392" spans="1:40" x14ac:dyDescent="0.25">
      <c r="A1392" t="str">
        <f>"20190304155037941"</f>
        <v>20190304155037941</v>
      </c>
      <c r="B1392" t="str">
        <f>"1551685837937861"</f>
        <v>1551685837937861</v>
      </c>
      <c r="C1392" t="s">
        <v>40</v>
      </c>
      <c r="D1392">
        <v>6.0972710000000001</v>
      </c>
      <c r="E1392">
        <v>0.60324239999999996</v>
      </c>
      <c r="F1392" t="s">
        <v>50</v>
      </c>
      <c r="G1392">
        <v>-202.51130000000001</v>
      </c>
      <c r="H1392" s="1">
        <v>-3.3133059999999999E-6</v>
      </c>
      <c r="I1392">
        <v>362.35169999999999</v>
      </c>
      <c r="J1392">
        <v>-220.48410000000001</v>
      </c>
      <c r="K1392">
        <v>1.1091709999999999</v>
      </c>
      <c r="L1392">
        <v>367.0752</v>
      </c>
      <c r="M1392">
        <v>0.99870320000000001</v>
      </c>
      <c r="N1392">
        <v>-1.409826E-2</v>
      </c>
      <c r="O1392">
        <v>-4.8921149999999997E-2</v>
      </c>
      <c r="P1392">
        <v>0.98426429999999998</v>
      </c>
      <c r="Q1392">
        <v>0.176431</v>
      </c>
      <c r="R1392">
        <v>9.7918599999999995E-3</v>
      </c>
      <c r="S1392">
        <v>3.0914760000000001</v>
      </c>
      <c r="T1392">
        <v>-0.18917919999999999</v>
      </c>
      <c r="U1392">
        <v>-0.80706789999999995</v>
      </c>
      <c r="V1392">
        <v>-5.7254310000000003E-2</v>
      </c>
      <c r="W1392">
        <v>0.19047310000000001</v>
      </c>
      <c r="X1392">
        <v>0.98002140000000004</v>
      </c>
      <c r="Y1392">
        <v>0.20456070000000001</v>
      </c>
      <c r="Z1392">
        <v>-5.3606649999999997E-3</v>
      </c>
      <c r="AA1392">
        <v>0.97883920000000002</v>
      </c>
      <c r="AB1392">
        <v>28</v>
      </c>
      <c r="AC1392">
        <v>17.972799999999999</v>
      </c>
      <c r="AD1392">
        <v>-1.1091743133059999</v>
      </c>
      <c r="AE1392">
        <v>-4.7234999999999996</v>
      </c>
      <c r="AF1392">
        <v>3.8248794366135699</v>
      </c>
      <c r="AG1392">
        <v>-1.1091743133059999</v>
      </c>
      <c r="AH1392">
        <v>18.117832115840901</v>
      </c>
      <c r="AI1392">
        <v>93.427908654228204</v>
      </c>
      <c r="AJ1392">
        <v>78.079250053440802</v>
      </c>
      <c r="AK1392">
        <v>18.550358781967599</v>
      </c>
      <c r="AL1392">
        <v>79.019604958644805</v>
      </c>
      <c r="AM1392">
        <v>93.3435043692634</v>
      </c>
      <c r="AN1392">
        <v>1.00000000114757</v>
      </c>
    </row>
    <row r="1393" spans="1:40" x14ac:dyDescent="0.25">
      <c r="A1393" t="str">
        <f>"20190304155037953"</f>
        <v>20190304155037953</v>
      </c>
      <c r="B1393" t="str">
        <f>"1551685837947620"</f>
        <v>1551685837947620</v>
      </c>
      <c r="C1393" t="s">
        <v>40</v>
      </c>
      <c r="D1393">
        <v>6.0853330000000003</v>
      </c>
      <c r="E1393">
        <v>0.60333630000000005</v>
      </c>
      <c r="F1393" t="s">
        <v>50</v>
      </c>
      <c r="G1393">
        <v>-202.48869999999999</v>
      </c>
      <c r="H1393" s="1">
        <v>-3.307857E-6</v>
      </c>
      <c r="I1393">
        <v>362.32499999999999</v>
      </c>
      <c r="J1393">
        <v>-220.34350000000001</v>
      </c>
      <c r="K1393">
        <v>1.109162</v>
      </c>
      <c r="L1393">
        <v>367.06729999999999</v>
      </c>
      <c r="M1393">
        <v>0.99865349999999997</v>
      </c>
      <c r="N1393">
        <v>-1.4097220000000001E-2</v>
      </c>
      <c r="O1393">
        <v>-4.9925400000000002E-2</v>
      </c>
      <c r="P1393">
        <v>0.98424210000000001</v>
      </c>
      <c r="Q1393">
        <v>0.176641299999999</v>
      </c>
      <c r="R1393">
        <v>8.0861019999999995E-3</v>
      </c>
      <c r="S1393">
        <v>3.0902400000000001</v>
      </c>
      <c r="T1393">
        <v>-0.190472</v>
      </c>
      <c r="U1393">
        <v>-0.81573490000000004</v>
      </c>
      <c r="V1393">
        <v>-5.6532310000000002E-2</v>
      </c>
      <c r="W1393">
        <v>0.19068089999999999</v>
      </c>
      <c r="X1393">
        <v>0.98002290000000003</v>
      </c>
      <c r="Y1393">
        <v>0.2062329</v>
      </c>
      <c r="Z1393">
        <v>-5.398931E-3</v>
      </c>
      <c r="AA1393">
        <v>0.97848800000000002</v>
      </c>
      <c r="AB1393">
        <v>28</v>
      </c>
      <c r="AC1393">
        <v>17.854800000000001</v>
      </c>
      <c r="AD1393">
        <v>-1.1091653078569901</v>
      </c>
      <c r="AE1393">
        <v>-4.7423000000000002</v>
      </c>
      <c r="AF1393">
        <v>3.8310782023250001</v>
      </c>
      <c r="AG1393">
        <v>-1.1091653078569901</v>
      </c>
      <c r="AH1393">
        <v>18.004412720160701</v>
      </c>
      <c r="AI1393">
        <v>93.448254604805598</v>
      </c>
      <c r="AJ1393">
        <v>77.987449676156103</v>
      </c>
      <c r="AK1393">
        <v>18.4408862387459</v>
      </c>
      <c r="AL1393">
        <v>79.007476554271705</v>
      </c>
      <c r="AM1393">
        <v>93.301430242183898</v>
      </c>
      <c r="AN1393">
        <v>0.99999999611157797</v>
      </c>
    </row>
    <row r="1394" spans="1:40" x14ac:dyDescent="0.25">
      <c r="A1394" t="str">
        <f>"20190304155037965"</f>
        <v>20190304155037965</v>
      </c>
      <c r="B1394" t="str">
        <f>"1551685837957380"</f>
        <v>1551685837957380</v>
      </c>
      <c r="C1394" t="s">
        <v>40</v>
      </c>
      <c r="D1394">
        <v>6.148358</v>
      </c>
      <c r="E1394">
        <v>0.60341020000000001</v>
      </c>
      <c r="F1394" t="s">
        <v>50</v>
      </c>
      <c r="G1394">
        <v>-202.38030000000001</v>
      </c>
      <c r="H1394" s="1">
        <v>-3.261254E-6</v>
      </c>
      <c r="I1394">
        <v>362.28919999999999</v>
      </c>
      <c r="J1394">
        <v>-220.1942</v>
      </c>
      <c r="K1394">
        <v>1.1091500000000001</v>
      </c>
      <c r="L1394">
        <v>367.05869999999999</v>
      </c>
      <c r="M1394">
        <v>0.99859920000000002</v>
      </c>
      <c r="N1394">
        <v>-1.409614E-2</v>
      </c>
      <c r="O1394">
        <v>-5.1000259999999999E-2</v>
      </c>
      <c r="P1394">
        <v>0.98424829999999996</v>
      </c>
      <c r="Q1394">
        <v>0.17668110000000001</v>
      </c>
      <c r="R1394">
        <v>6.2582389999999996E-3</v>
      </c>
      <c r="S1394">
        <v>3.0889890000000002</v>
      </c>
      <c r="T1394">
        <v>-0.1907343</v>
      </c>
      <c r="U1394">
        <v>-0.82165529999999998</v>
      </c>
      <c r="V1394">
        <v>-5.5759410000000002E-2</v>
      </c>
      <c r="W1394">
        <v>0.19071930000000001</v>
      </c>
      <c r="X1394">
        <v>0.98005969999999998</v>
      </c>
      <c r="Y1394">
        <v>0.2070282</v>
      </c>
      <c r="Z1394">
        <v>-5.3837900000000003E-3</v>
      </c>
      <c r="AA1394">
        <v>0.97832019999999997</v>
      </c>
      <c r="AB1394">
        <v>28</v>
      </c>
      <c r="AC1394">
        <v>17.813899999999901</v>
      </c>
      <c r="AD1394">
        <v>-1.109153261254</v>
      </c>
      <c r="AE1394">
        <v>-4.7694999999999901</v>
      </c>
      <c r="AF1394">
        <v>3.8407944276821699</v>
      </c>
      <c r="AG1394">
        <v>-1.109153261254</v>
      </c>
      <c r="AH1394">
        <v>17.9689817812759</v>
      </c>
      <c r="AI1394">
        <v>93.454324841814895</v>
      </c>
      <c r="AJ1394">
        <v>77.934822761634507</v>
      </c>
      <c r="AK1394">
        <v>18.408319560690298</v>
      </c>
      <c r="AL1394">
        <v>79.005235190026198</v>
      </c>
      <c r="AM1394">
        <v>93.256269454511596</v>
      </c>
      <c r="AN1394">
        <v>0.99999998938006396</v>
      </c>
    </row>
    <row r="1395" spans="1:40" x14ac:dyDescent="0.25">
      <c r="A1395" t="str">
        <f>"20190304155037976"</f>
        <v>20190304155037976</v>
      </c>
      <c r="B1395" t="str">
        <f>"1551685837968117"</f>
        <v>1551685837968117</v>
      </c>
      <c r="C1395" t="s">
        <v>40</v>
      </c>
      <c r="D1395">
        <v>6.0846809999999998</v>
      </c>
      <c r="E1395">
        <v>0.60353699999999999</v>
      </c>
      <c r="F1395" t="s">
        <v>50</v>
      </c>
      <c r="G1395">
        <v>-202.29910000000001</v>
      </c>
      <c r="H1395" s="1">
        <v>-3.2267520000000001E-6</v>
      </c>
      <c r="I1395">
        <v>362.2604</v>
      </c>
      <c r="J1395">
        <v>-220.0617</v>
      </c>
      <c r="K1395">
        <v>1.1091390000000001</v>
      </c>
      <c r="L1395">
        <v>367.05099999999999</v>
      </c>
      <c r="M1395">
        <v>0.99854929999999997</v>
      </c>
      <c r="N1395">
        <v>-1.409524E-2</v>
      </c>
      <c r="O1395">
        <v>-5.1968319999999998E-2</v>
      </c>
      <c r="P1395">
        <v>0.98424820000000002</v>
      </c>
      <c r="Q1395">
        <v>0.1767301</v>
      </c>
      <c r="R1395">
        <v>4.7005570000000002E-3</v>
      </c>
      <c r="S1395">
        <v>3.0876160000000001</v>
      </c>
      <c r="T1395">
        <v>-0.19137309999999999</v>
      </c>
      <c r="U1395">
        <v>-0.82791139999999996</v>
      </c>
      <c r="V1395">
        <v>-5.5150419999999999E-2</v>
      </c>
      <c r="W1395">
        <v>0.19076660000000001</v>
      </c>
      <c r="X1395">
        <v>0.98008499999999998</v>
      </c>
      <c r="Y1395">
        <v>0.20803450000000001</v>
      </c>
      <c r="Z1395">
        <v>-5.3877719999999999E-3</v>
      </c>
      <c r="AA1395">
        <v>0.97810660000000005</v>
      </c>
      <c r="AB1395">
        <v>28</v>
      </c>
      <c r="AC1395">
        <v>17.7625999999999</v>
      </c>
      <c r="AD1395">
        <v>-1.1091422267519999</v>
      </c>
      <c r="AE1395">
        <v>-4.79059999999998</v>
      </c>
      <c r="AF1395">
        <v>3.8469586830786802</v>
      </c>
      <c r="AG1395">
        <v>-1.1091422267519999</v>
      </c>
      <c r="AH1395">
        <v>17.922434892799</v>
      </c>
      <c r="AI1395">
        <v>93.462603923336303</v>
      </c>
      <c r="AJ1395">
        <v>77.885569768919694</v>
      </c>
      <c r="AK1395">
        <v>18.364175997716298</v>
      </c>
      <c r="AL1395">
        <v>79.002474929362407</v>
      </c>
      <c r="AM1395">
        <v>93.220697631444807</v>
      </c>
      <c r="AN1395">
        <v>1.0000000358633601</v>
      </c>
    </row>
    <row r="1396" spans="1:40" x14ac:dyDescent="0.25">
      <c r="A1396" t="str">
        <f>"20190304155037987"</f>
        <v>20190304155037987</v>
      </c>
      <c r="B1396" t="str">
        <f>"1551685837977407"</f>
        <v>1551685837977407</v>
      </c>
      <c r="C1396" t="s">
        <v>40</v>
      </c>
      <c r="D1396">
        <v>6.0091580000000002</v>
      </c>
      <c r="E1396">
        <v>0.60359410000000002</v>
      </c>
      <c r="F1396" t="s">
        <v>50</v>
      </c>
      <c r="G1396">
        <v>-202.1703</v>
      </c>
      <c r="H1396" s="1">
        <v>-3.171852E-6</v>
      </c>
      <c r="I1396">
        <v>362.21589999999998</v>
      </c>
      <c r="J1396">
        <v>-219.92070000000001</v>
      </c>
      <c r="K1396">
        <v>1.109127</v>
      </c>
      <c r="L1396">
        <v>367.04259999999999</v>
      </c>
      <c r="M1396">
        <v>0.99849500000000002</v>
      </c>
      <c r="N1396">
        <v>-1.4094260000000001E-2</v>
      </c>
      <c r="O1396">
        <v>-5.3002689999999998E-2</v>
      </c>
      <c r="P1396">
        <v>0.98423680000000002</v>
      </c>
      <c r="Q1396">
        <v>0.1768304</v>
      </c>
      <c r="R1396">
        <v>3.0480709999999999E-3</v>
      </c>
      <c r="S1396">
        <v>3.0863339999999999</v>
      </c>
      <c r="T1396">
        <v>-0.1913321</v>
      </c>
      <c r="U1396">
        <v>-0.83407589999999998</v>
      </c>
      <c r="V1396">
        <v>-5.4511410000000003E-2</v>
      </c>
      <c r="W1396">
        <v>0.19086620000000001</v>
      </c>
      <c r="X1396">
        <v>0.98010129999999995</v>
      </c>
      <c r="Y1396">
        <v>0.20894370000000001</v>
      </c>
      <c r="Z1396">
        <v>-5.373559E-3</v>
      </c>
      <c r="AA1396">
        <v>0.97791289999999997</v>
      </c>
      <c r="AB1396">
        <v>28</v>
      </c>
      <c r="AC1396">
        <v>17.750399999999999</v>
      </c>
      <c r="AD1396">
        <v>-1.1091301718519999</v>
      </c>
      <c r="AE1396">
        <v>-4.8267000000000104</v>
      </c>
      <c r="AF1396">
        <v>3.8649506152506401</v>
      </c>
      <c r="AG1396">
        <v>-1.1091301718519999</v>
      </c>
      <c r="AH1396">
        <v>17.916163164863001</v>
      </c>
      <c r="AI1396">
        <v>93.463008588264302</v>
      </c>
      <c r="AJ1396">
        <v>77.826463446773005</v>
      </c>
      <c r="AK1396">
        <v>18.361833120536598</v>
      </c>
      <c r="AL1396">
        <v>78.996660820251194</v>
      </c>
      <c r="AM1396">
        <v>93.1834048219051</v>
      </c>
      <c r="AN1396">
        <v>0.999999979192158</v>
      </c>
    </row>
    <row r="1397" spans="1:40" x14ac:dyDescent="0.25">
      <c r="A1397" t="str">
        <f>"20190304155037998"</f>
        <v>20190304155037998</v>
      </c>
      <c r="B1397" t="str">
        <f>"1551685837988143"</f>
        <v>1551685837988143</v>
      </c>
      <c r="C1397" t="s">
        <v>40</v>
      </c>
      <c r="D1397">
        <v>6.0618319999999999</v>
      </c>
      <c r="E1397">
        <v>0.60369050000000002</v>
      </c>
      <c r="F1397" t="s">
        <v>50</v>
      </c>
      <c r="G1397">
        <v>-202.06530000000001</v>
      </c>
      <c r="H1397" s="1">
        <v>-3.1265239999999999E-6</v>
      </c>
      <c r="I1397">
        <v>362.18180000000001</v>
      </c>
      <c r="J1397">
        <v>-219.7808</v>
      </c>
      <c r="K1397">
        <v>1.109113</v>
      </c>
      <c r="L1397">
        <v>367.03399999999999</v>
      </c>
      <c r="M1397">
        <v>0.99843879999999996</v>
      </c>
      <c r="N1397">
        <v>-1.4093390000000001E-2</v>
      </c>
      <c r="O1397">
        <v>-5.405356E-2</v>
      </c>
      <c r="P1397">
        <v>0.98422310000000002</v>
      </c>
      <c r="Q1397">
        <v>0.17692849999999999</v>
      </c>
      <c r="R1397">
        <v>1.355881E-3</v>
      </c>
      <c r="S1397">
        <v>3.085083</v>
      </c>
      <c r="T1397">
        <v>-0.19163720000000001</v>
      </c>
      <c r="U1397">
        <v>-0.83984380000000003</v>
      </c>
      <c r="V1397">
        <v>-5.3848130000000001E-2</v>
      </c>
      <c r="W1397">
        <v>0.19096270000000001</v>
      </c>
      <c r="X1397">
        <v>0.98011919999999997</v>
      </c>
      <c r="Y1397">
        <v>0.2097156</v>
      </c>
      <c r="Z1397">
        <v>-5.3590419999999996E-3</v>
      </c>
      <c r="AA1397">
        <v>0.9777477</v>
      </c>
      <c r="AB1397">
        <v>28</v>
      </c>
      <c r="AC1397">
        <v>17.715499999999899</v>
      </c>
      <c r="AD1397">
        <v>-1.1091161265239999</v>
      </c>
      <c r="AE1397">
        <v>-4.8521999999999803</v>
      </c>
      <c r="AF1397">
        <v>3.87330159030234</v>
      </c>
      <c r="AG1397">
        <v>-1.1091161265239999</v>
      </c>
      <c r="AH1397">
        <v>17.8866831274566</v>
      </c>
      <c r="AI1397">
        <v>93.468070852834003</v>
      </c>
      <c r="AJ1397">
        <v>77.781444744447299</v>
      </c>
      <c r="AK1397">
        <v>18.3348312534802</v>
      </c>
      <c r="AL1397">
        <v>78.991028518324597</v>
      </c>
      <c r="AM1397">
        <v>93.144690923661301</v>
      </c>
      <c r="AN1397">
        <v>1.00000001005221</v>
      </c>
    </row>
    <row r="1398" spans="1:40" x14ac:dyDescent="0.25">
      <c r="A1398" t="str">
        <f>"20190304155038012"</f>
        <v>20190304155038012</v>
      </c>
      <c r="B1398" t="str">
        <f>"1551685838007663"</f>
        <v>1551685838007663</v>
      </c>
      <c r="C1398" t="s">
        <v>40</v>
      </c>
      <c r="D1398">
        <v>6.0288130000000004</v>
      </c>
      <c r="E1398">
        <v>0.60382069999999999</v>
      </c>
      <c r="F1398" t="s">
        <v>50</v>
      </c>
      <c r="G1398">
        <v>-201.90280000000001</v>
      </c>
      <c r="H1398" s="1">
        <v>-3.0570620000000001E-6</v>
      </c>
      <c r="I1398">
        <v>362.12630000000001</v>
      </c>
      <c r="J1398">
        <v>-219.6267</v>
      </c>
      <c r="K1398">
        <v>1.1090949999999999</v>
      </c>
      <c r="L1398">
        <v>367.02440000000001</v>
      </c>
      <c r="M1398">
        <v>0.99837489999999995</v>
      </c>
      <c r="N1398">
        <v>-1.4092449999999999E-2</v>
      </c>
      <c r="O1398">
        <v>-5.521976E-2</v>
      </c>
      <c r="P1398">
        <v>0.98427050000000005</v>
      </c>
      <c r="Q1398">
        <v>0.1766683</v>
      </c>
      <c r="R1398">
        <v>-5.6550470000000001E-4</v>
      </c>
      <c r="S1398">
        <v>3.0836790000000001</v>
      </c>
      <c r="T1398">
        <v>-0.19130530000000001</v>
      </c>
      <c r="U1398">
        <v>-0.84649660000000004</v>
      </c>
      <c r="V1398">
        <v>-5.307224E-2</v>
      </c>
      <c r="W1398">
        <v>0.1907025</v>
      </c>
      <c r="X1398">
        <v>0.98021219999999998</v>
      </c>
      <c r="Y1398">
        <v>0.21064930000000001</v>
      </c>
      <c r="Z1398">
        <v>-5.3349779999999998E-3</v>
      </c>
      <c r="AA1398">
        <v>0.97754719999999995</v>
      </c>
      <c r="AB1398">
        <v>27</v>
      </c>
      <c r="AC1398">
        <v>17.723899999999901</v>
      </c>
      <c r="AD1398">
        <v>-1.1090980570619999</v>
      </c>
      <c r="AE1398">
        <v>-4.8981000000000003</v>
      </c>
      <c r="AF1398">
        <v>3.8976390605502198</v>
      </c>
      <c r="AG1398">
        <v>-1.1090980570619999</v>
      </c>
      <c r="AH1398">
        <v>17.9022229882302</v>
      </c>
      <c r="AI1398">
        <v>93.464171891811901</v>
      </c>
      <c r="AJ1398">
        <v>77.717345102456704</v>
      </c>
      <c r="AK1398">
        <v>18.3551430576507</v>
      </c>
      <c r="AL1398">
        <v>79.006216226106105</v>
      </c>
      <c r="AM1398">
        <v>93.0991750164807</v>
      </c>
      <c r="AN1398">
        <v>1.00000003159685</v>
      </c>
    </row>
    <row r="1399" spans="1:40" x14ac:dyDescent="0.25">
      <c r="A1399" t="str">
        <f>"20190304155038025"</f>
        <v>20190304155038025</v>
      </c>
      <c r="B1399" t="str">
        <f>"1551685838017424"</f>
        <v>1551685838017424</v>
      </c>
      <c r="C1399" t="s">
        <v>40</v>
      </c>
      <c r="D1399">
        <v>9.4318980000000003</v>
      </c>
      <c r="E1399">
        <v>0.60403909999999905</v>
      </c>
      <c r="F1399" t="s">
        <v>50</v>
      </c>
      <c r="G1399">
        <v>-201.73759999999999</v>
      </c>
      <c r="H1399" s="1">
        <v>-2.9865570000000002E-6</v>
      </c>
      <c r="I1399">
        <v>362.06939999999997</v>
      </c>
      <c r="J1399">
        <v>-219.45230000000001</v>
      </c>
      <c r="K1399">
        <v>1.10907</v>
      </c>
      <c r="L1399">
        <v>367.01339999999999</v>
      </c>
      <c r="M1399">
        <v>0.99829950000000001</v>
      </c>
      <c r="N1399">
        <v>-1.409145E-2</v>
      </c>
      <c r="O1399">
        <v>-5.656286E-2</v>
      </c>
      <c r="P1399">
        <v>0.98428539999999998</v>
      </c>
      <c r="Q1399">
        <v>0.17656520000000001</v>
      </c>
      <c r="R1399">
        <v>-2.6651259999999999E-3</v>
      </c>
      <c r="S1399">
        <v>3.0817570000000001</v>
      </c>
      <c r="T1399">
        <v>-0.1910647</v>
      </c>
      <c r="U1399">
        <v>-0.85360720000000001</v>
      </c>
      <c r="V1399">
        <v>-5.228899E-2</v>
      </c>
      <c r="W1399">
        <v>0.19059950000000001</v>
      </c>
      <c r="X1399">
        <v>0.98027430000000004</v>
      </c>
      <c r="Y1399">
        <v>0.21158589999999999</v>
      </c>
      <c r="Z1399">
        <v>-5.3047930000000004E-3</v>
      </c>
      <c r="AA1399">
        <v>0.97734500000000002</v>
      </c>
      <c r="AB1399">
        <v>27</v>
      </c>
      <c r="AC1399">
        <v>17.714700000000001</v>
      </c>
      <c r="AD1399">
        <v>-1.1090729865569999</v>
      </c>
      <c r="AE1399">
        <v>-4.9440000000000097</v>
      </c>
      <c r="AF1399">
        <v>3.9197356699002799</v>
      </c>
      <c r="AG1399">
        <v>-1.1090729865569999</v>
      </c>
      <c r="AH1399">
        <v>17.900912624497099</v>
      </c>
      <c r="AI1399">
        <v>93.463446321633896</v>
      </c>
      <c r="AJ1399">
        <v>77.648966807426206</v>
      </c>
      <c r="AK1399">
        <v>18.358568664285301</v>
      </c>
      <c r="AL1399">
        <v>79.012227669456294</v>
      </c>
      <c r="AM1399">
        <v>93.053330943536906</v>
      </c>
      <c r="AN1399">
        <v>1.0000000055579801</v>
      </c>
    </row>
    <row r="1400" spans="1:40" x14ac:dyDescent="0.25">
      <c r="A1400" t="str">
        <f>"20190304155038036"</f>
        <v>20190304155038036</v>
      </c>
      <c r="B1400" t="str">
        <f>"1551685838027184"</f>
        <v>1551685838027184</v>
      </c>
      <c r="C1400" t="s">
        <v>40</v>
      </c>
      <c r="D1400">
        <v>5.9899559999999896</v>
      </c>
      <c r="E1400">
        <v>0.60434339999999998</v>
      </c>
      <c r="F1400" t="s">
        <v>50</v>
      </c>
      <c r="G1400">
        <v>-201.4837</v>
      </c>
      <c r="H1400" s="1">
        <v>-2.8777769999999998E-6</v>
      </c>
      <c r="I1400">
        <v>361.98379999999997</v>
      </c>
      <c r="J1400">
        <v>-219.30760000000001</v>
      </c>
      <c r="K1400">
        <v>1.1090519999999999</v>
      </c>
      <c r="L1400">
        <v>367.00400000000002</v>
      </c>
      <c r="M1400">
        <v>0.99823470000000003</v>
      </c>
      <c r="N1400">
        <v>-1.4090719999999999E-2</v>
      </c>
      <c r="O1400">
        <v>-5.7700149999999999E-2</v>
      </c>
      <c r="P1400">
        <v>0.98431970000000002</v>
      </c>
      <c r="Q1400">
        <v>0.17632990000000001</v>
      </c>
      <c r="R1400">
        <v>-4.7412740000000002E-3</v>
      </c>
      <c r="S1400">
        <v>3.0796510000000001</v>
      </c>
      <c r="T1400">
        <v>-0.1900849</v>
      </c>
      <c r="U1400">
        <v>-0.86202999999999996</v>
      </c>
      <c r="V1400">
        <v>-5.1328909999999998E-2</v>
      </c>
      <c r="W1400">
        <v>0.19036359999999999</v>
      </c>
      <c r="X1400">
        <v>0.98037090000000005</v>
      </c>
      <c r="Y1400">
        <v>0.21312600000000001</v>
      </c>
      <c r="Z1400">
        <v>-5.2955349999999997E-3</v>
      </c>
      <c r="AA1400">
        <v>0.97701039999999995</v>
      </c>
      <c r="AB1400">
        <v>27</v>
      </c>
      <c r="AC1400">
        <v>17.823899999999998</v>
      </c>
      <c r="AD1400">
        <v>-1.109054877777</v>
      </c>
      <c r="AE1400">
        <v>-5.02020000000004</v>
      </c>
      <c r="AF1400">
        <v>3.9690533666057402</v>
      </c>
      <c r="AG1400">
        <v>-1.109054877777</v>
      </c>
      <c r="AH1400">
        <v>18.0192564405816</v>
      </c>
      <c r="AI1400">
        <v>93.439764550302002</v>
      </c>
      <c r="AJ1400">
        <v>77.577972943411496</v>
      </c>
      <c r="AK1400">
        <v>18.484506756208699</v>
      </c>
      <c r="AL1400">
        <v>79.025996092849098</v>
      </c>
      <c r="AM1400">
        <v>92.997077003987698</v>
      </c>
      <c r="AN1400">
        <v>1.0000000293867699</v>
      </c>
    </row>
    <row r="1401" spans="1:40" x14ac:dyDescent="0.25">
      <c r="A1401" t="str">
        <f>"20190304155038054"</f>
        <v>20190304155038054</v>
      </c>
      <c r="B1401" t="str">
        <f>"1551685838047682"</f>
        <v>1551685838047682</v>
      </c>
      <c r="C1401" t="s">
        <v>40</v>
      </c>
      <c r="D1401">
        <v>8.0465879999999999</v>
      </c>
      <c r="E1401">
        <v>0.60461279999999995</v>
      </c>
      <c r="F1401" t="s">
        <v>50</v>
      </c>
      <c r="G1401">
        <v>-201.3185</v>
      </c>
      <c r="H1401" s="1">
        <v>-2.8104729999999999E-6</v>
      </c>
      <c r="I1401">
        <v>361.91239999999999</v>
      </c>
      <c r="J1401">
        <v>-219.1155</v>
      </c>
      <c r="K1401">
        <v>1.109024</v>
      </c>
      <c r="L1401">
        <v>366.99119999999999</v>
      </c>
      <c r="M1401">
        <v>0.9981449</v>
      </c>
      <c r="N1401">
        <v>-1.408975E-2</v>
      </c>
      <c r="O1401">
        <v>-5.9229909999999997E-2</v>
      </c>
      <c r="P1401">
        <v>0.98435150000000005</v>
      </c>
      <c r="Q1401">
        <v>0.1760418</v>
      </c>
      <c r="R1401">
        <v>-7.8329760000000002E-3</v>
      </c>
      <c r="S1401">
        <v>3.077591</v>
      </c>
      <c r="T1401">
        <v>-0.1897382</v>
      </c>
      <c r="U1401">
        <v>-0.87106319999999904</v>
      </c>
      <c r="V1401">
        <v>-4.9738989999999997E-2</v>
      </c>
      <c r="W1401">
        <v>0.19007379999999999</v>
      </c>
      <c r="X1401">
        <v>0.98050899999999996</v>
      </c>
      <c r="Y1401">
        <v>0.21445520000000001</v>
      </c>
      <c r="Z1401">
        <v>-5.2701229999999998E-3</v>
      </c>
      <c r="AA1401">
        <v>0.97671960000000002</v>
      </c>
      <c r="AB1401">
        <v>27</v>
      </c>
      <c r="AC1401">
        <v>17.796999999999901</v>
      </c>
      <c r="AD1401">
        <v>-1.1090268104729999</v>
      </c>
      <c r="AE1401">
        <v>-5.0788000000000002</v>
      </c>
      <c r="AF1401">
        <v>4.0012945705463796</v>
      </c>
      <c r="AG1401">
        <v>-1.1090268104729999</v>
      </c>
      <c r="AH1401">
        <v>18.001954489776899</v>
      </c>
      <c r="AI1401">
        <v>93.441525009360504</v>
      </c>
      <c r="AJ1401">
        <v>77.468583230985402</v>
      </c>
      <c r="AK1401">
        <v>18.474595101344701</v>
      </c>
      <c r="AL1401">
        <v>79.042908419658602</v>
      </c>
      <c r="AM1401">
        <v>92.9039952482823</v>
      </c>
      <c r="AN1401">
        <v>0.99999995782682904</v>
      </c>
    </row>
    <row r="1402" spans="1:40" x14ac:dyDescent="0.25">
      <c r="A1402" t="str">
        <f>"20190304155038066"</f>
        <v>20190304155038066</v>
      </c>
      <c r="B1402" t="str">
        <f>"1551685838057720"</f>
        <v>1551685838057720</v>
      </c>
      <c r="C1402" t="s">
        <v>40</v>
      </c>
      <c r="D1402">
        <v>5.9409749999999999</v>
      </c>
      <c r="E1402">
        <v>0.60474989999999995</v>
      </c>
      <c r="F1402" t="s">
        <v>50</v>
      </c>
      <c r="G1402">
        <v>-201.08629999999999</v>
      </c>
      <c r="H1402" s="1">
        <v>-2.713939E-6</v>
      </c>
      <c r="I1402">
        <v>361.81270000000001</v>
      </c>
      <c r="J1402">
        <v>-218.9513</v>
      </c>
      <c r="K1402">
        <v>1.1090009999999999</v>
      </c>
      <c r="L1402">
        <v>366.98009999999999</v>
      </c>
      <c r="M1402">
        <v>0.99806519999999999</v>
      </c>
      <c r="N1402">
        <v>-1.4088949999999999E-2</v>
      </c>
      <c r="O1402">
        <v>-6.0559090000000003E-2</v>
      </c>
      <c r="P1402">
        <v>0.98438760000000003</v>
      </c>
      <c r="Q1402">
        <v>0.1757252</v>
      </c>
      <c r="R1402">
        <v>-1.008183E-2</v>
      </c>
      <c r="S1402">
        <v>3.0744929999999999</v>
      </c>
      <c r="T1402">
        <v>-0.18912029999999999</v>
      </c>
      <c r="U1402">
        <v>-0.88308719999999996</v>
      </c>
      <c r="V1402">
        <v>-4.8795699999999997E-2</v>
      </c>
      <c r="W1402">
        <v>0.1897568</v>
      </c>
      <c r="X1402">
        <v>0.98061779999999998</v>
      </c>
      <c r="Y1402">
        <v>0.2169421</v>
      </c>
      <c r="Z1402">
        <v>-5.2939299999999996E-3</v>
      </c>
      <c r="AA1402">
        <v>0.97617010000000004</v>
      </c>
      <c r="AB1402">
        <v>27</v>
      </c>
      <c r="AC1402">
        <v>17.864999999999998</v>
      </c>
      <c r="AD1402">
        <v>-1.1090037139390001</v>
      </c>
      <c r="AE1402">
        <v>-5.1673999999999802</v>
      </c>
      <c r="AF1402">
        <v>4.0614757038173996</v>
      </c>
      <c r="AG1402">
        <v>-1.1090037139390001</v>
      </c>
      <c r="AH1402">
        <v>18.080872297133599</v>
      </c>
      <c r="AI1402">
        <v>93.424753203255307</v>
      </c>
      <c r="AJ1402">
        <v>77.339888467945499</v>
      </c>
      <c r="AK1402">
        <v>18.564574251931599</v>
      </c>
      <c r="AL1402">
        <v>79.061407960619505</v>
      </c>
      <c r="AM1402">
        <v>92.848697591551797</v>
      </c>
      <c r="AN1402">
        <v>0.99999996658078405</v>
      </c>
    </row>
    <row r="1403" spans="1:40" x14ac:dyDescent="0.25">
      <c r="A1403" t="str">
        <f>"20190304155038078"</f>
        <v>20190304155038078</v>
      </c>
      <c r="B1403" t="str">
        <f>"1551685838067791"</f>
        <v>1551685838067791</v>
      </c>
      <c r="C1403" t="s">
        <v>40</v>
      </c>
      <c r="D1403">
        <v>5.1702899999999996</v>
      </c>
      <c r="E1403">
        <v>0.60463789999999995</v>
      </c>
      <c r="F1403" t="s">
        <v>50</v>
      </c>
      <c r="G1403">
        <v>-200.93379999999999</v>
      </c>
      <c r="H1403" s="1">
        <v>-2.639796E-6</v>
      </c>
      <c r="I1403">
        <v>361.75220000000002</v>
      </c>
      <c r="J1403">
        <v>-218.797</v>
      </c>
      <c r="K1403">
        <v>1.1089789999999999</v>
      </c>
      <c r="L1403">
        <v>366.96940000000001</v>
      </c>
      <c r="M1403">
        <v>0.99798699999999996</v>
      </c>
      <c r="N1403">
        <v>-1.408828E-2</v>
      </c>
      <c r="O1403">
        <v>-6.1834939999999998E-2</v>
      </c>
      <c r="P1403">
        <v>0.98442629999999998</v>
      </c>
      <c r="Q1403">
        <v>0.17537449999999999</v>
      </c>
      <c r="R1403">
        <v>-1.2199110000000001E-2</v>
      </c>
      <c r="S1403">
        <v>3.0721889999999998</v>
      </c>
      <c r="T1403">
        <v>-0.1890985</v>
      </c>
      <c r="U1403">
        <v>-0.8914185</v>
      </c>
      <c r="V1403">
        <v>-4.7933009999999998E-2</v>
      </c>
      <c r="W1403">
        <v>0.18940660000000001</v>
      </c>
      <c r="X1403">
        <v>0.98072809999999999</v>
      </c>
      <c r="Y1403">
        <v>0.21833</v>
      </c>
      <c r="Z1403">
        <v>-5.2879270000000004E-3</v>
      </c>
      <c r="AA1403">
        <v>0.97586070000000003</v>
      </c>
      <c r="AB1403">
        <v>27</v>
      </c>
      <c r="AC1403">
        <v>17.863199999999999</v>
      </c>
      <c r="AD1403">
        <v>-1.108981639796</v>
      </c>
      <c r="AE1403">
        <v>-5.2171999999999903</v>
      </c>
      <c r="AF1403">
        <v>4.0880173199708798</v>
      </c>
      <c r="AG1403">
        <v>-1.108981639796</v>
      </c>
      <c r="AH1403">
        <v>18.087414533837599</v>
      </c>
      <c r="AI1403">
        <v>93.422434414306807</v>
      </c>
      <c r="AJ1403">
        <v>77.264304743750301</v>
      </c>
      <c r="AK1403">
        <v>18.5767674907306</v>
      </c>
      <c r="AL1403">
        <v>79.081844132501004</v>
      </c>
      <c r="AM1403">
        <v>92.798100212878097</v>
      </c>
      <c r="AN1403">
        <v>1.00000001985041</v>
      </c>
    </row>
    <row r="1404" spans="1:40" x14ac:dyDescent="0.25">
      <c r="A1404" t="str">
        <f>"20190304155038092"</f>
        <v>20190304155038092</v>
      </c>
      <c r="B1404" t="str">
        <f>"1551685838087882"</f>
        <v>1551685838087882</v>
      </c>
      <c r="C1404" t="s">
        <v>40</v>
      </c>
      <c r="D1404">
        <v>4.0450999999999997</v>
      </c>
      <c r="E1404">
        <v>0.60463789999999995</v>
      </c>
      <c r="F1404" t="s">
        <v>50</v>
      </c>
      <c r="G1404">
        <v>-200.8604</v>
      </c>
      <c r="H1404" s="1">
        <v>-2.6026319999999999E-6</v>
      </c>
      <c r="I1404">
        <v>361.7285</v>
      </c>
      <c r="J1404">
        <v>-218.6343</v>
      </c>
      <c r="K1404">
        <v>1.1089530000000001</v>
      </c>
      <c r="L1404">
        <v>366.9579</v>
      </c>
      <c r="M1404">
        <v>0.99790190000000001</v>
      </c>
      <c r="N1404">
        <v>-1.4087570000000001E-2</v>
      </c>
      <c r="O1404">
        <v>-6.3194849999999997E-2</v>
      </c>
      <c r="P1404">
        <v>0.98442260000000004</v>
      </c>
      <c r="Q1404">
        <v>0.17520179999999999</v>
      </c>
      <c r="R1404">
        <v>-1.4712029999999999E-2</v>
      </c>
      <c r="S1404">
        <v>3.07016</v>
      </c>
      <c r="T1404">
        <v>-0.1898212</v>
      </c>
      <c r="U1404">
        <v>-0.89706419999999998</v>
      </c>
      <c r="V1404">
        <v>-4.6754700000000003E-2</v>
      </c>
      <c r="W1404">
        <v>0.1892324</v>
      </c>
      <c r="X1404">
        <v>0.98081859999999998</v>
      </c>
      <c r="Y1404">
        <v>0.21882460000000001</v>
      </c>
      <c r="Z1404">
        <v>-5.255671E-3</v>
      </c>
      <c r="AA1404">
        <v>0.97575009999999995</v>
      </c>
      <c r="AB1404">
        <v>27</v>
      </c>
      <c r="AC1404">
        <v>17.773899999999902</v>
      </c>
      <c r="AD1404">
        <v>-1.108955602632</v>
      </c>
      <c r="AE1404">
        <v>-5.2293999999999903</v>
      </c>
      <c r="AF1404">
        <v>4.0809942872541303</v>
      </c>
      <c r="AG1404">
        <v>-1.108955602632</v>
      </c>
      <c r="AH1404">
        <v>18.004366720796401</v>
      </c>
      <c r="AI1404">
        <v>93.437620797231602</v>
      </c>
      <c r="AJ1404">
        <v>77.228743822882294</v>
      </c>
      <c r="AK1404">
        <v>18.4943644907882</v>
      </c>
      <c r="AL1404">
        <v>79.092008823605795</v>
      </c>
      <c r="AM1404">
        <v>92.729169962071893</v>
      </c>
      <c r="AN1404">
        <v>1.0000000146439001</v>
      </c>
    </row>
    <row r="1405" spans="1:40" x14ac:dyDescent="0.25">
      <c r="A1405" t="str">
        <f>"20190304155038407"</f>
        <v>20190304155038407</v>
      </c>
      <c r="B1405" t="str">
        <f>"1551685838397274"</f>
        <v>1551685838397274</v>
      </c>
      <c r="C1405" t="s">
        <v>40</v>
      </c>
      <c r="D1405">
        <v>5.485474</v>
      </c>
      <c r="E1405">
        <v>0.60489250000000006</v>
      </c>
      <c r="F1405" t="s">
        <v>50</v>
      </c>
      <c r="G1405">
        <v>-200.7296</v>
      </c>
      <c r="H1405" s="1">
        <v>-2.539822E-6</v>
      </c>
      <c r="I1405">
        <v>361.67360000000002</v>
      </c>
      <c r="J1405">
        <v>-214.8287</v>
      </c>
      <c r="K1405">
        <v>1.108803</v>
      </c>
      <c r="L1405">
        <v>366.61799999999999</v>
      </c>
      <c r="M1405">
        <v>0.99514499999999995</v>
      </c>
      <c r="N1405">
        <v>-1.4060319999999999E-2</v>
      </c>
      <c r="O1405">
        <v>-9.7409899999999994E-2</v>
      </c>
      <c r="P1405">
        <v>0.98170939999999995</v>
      </c>
      <c r="Q1405">
        <v>0.16717190000000001</v>
      </c>
      <c r="R1405">
        <v>-9.1106740000000005E-2</v>
      </c>
      <c r="S1405">
        <v>3.0677490000000001</v>
      </c>
      <c r="T1405">
        <v>-0.19000529999999999</v>
      </c>
      <c r="U1405">
        <v>-0.90539550000000002</v>
      </c>
      <c r="V1405">
        <v>-4.1646319999999997E-3</v>
      </c>
      <c r="W1405">
        <v>0.1810377</v>
      </c>
      <c r="X1405">
        <v>0.98346730000000004</v>
      </c>
      <c r="Y1405">
        <v>0.1879729</v>
      </c>
      <c r="Z1405">
        <v>-2.5175219999999999E-3</v>
      </c>
      <c r="AA1405">
        <v>0.98217100000000002</v>
      </c>
      <c r="AB1405">
        <v>27</v>
      </c>
      <c r="AC1405">
        <v>14.0990999999999</v>
      </c>
      <c r="AD1405">
        <v>-1.108805539822</v>
      </c>
      <c r="AE1405">
        <v>-4.9444000000000301</v>
      </c>
      <c r="AF1405">
        <v>3.5279237050282699</v>
      </c>
      <c r="AG1405">
        <v>-1.108805539822</v>
      </c>
      <c r="AH1405">
        <v>14.4342208831136</v>
      </c>
      <c r="AI1405">
        <v>94.267575663768994</v>
      </c>
      <c r="AJ1405">
        <v>76.265385025056801</v>
      </c>
      <c r="AK1405">
        <v>14.9004170376588</v>
      </c>
      <c r="AL1405">
        <v>79.569790872298796</v>
      </c>
      <c r="AM1405">
        <v>90.242625667918702</v>
      </c>
      <c r="AN1405">
        <v>0.99999996157513704</v>
      </c>
    </row>
    <row r="1406" spans="1:40" x14ac:dyDescent="0.25">
      <c r="A1406" t="str">
        <f>"20190304155038446"</f>
        <v>20190304155038446</v>
      </c>
      <c r="B1406" t="str">
        <f>"1551685838437290"</f>
        <v>1551685838437290</v>
      </c>
      <c r="C1406" t="s">
        <v>40</v>
      </c>
      <c r="D1406">
        <v>5.3143200000000004</v>
      </c>
      <c r="E1406">
        <v>0.60532339999999996</v>
      </c>
      <c r="F1406" t="s">
        <v>50</v>
      </c>
      <c r="G1406">
        <v>-198.7484</v>
      </c>
      <c r="H1406" s="1">
        <v>-9.7920319999999996E-6</v>
      </c>
      <c r="I1406">
        <v>360.423</v>
      </c>
      <c r="J1406">
        <v>-214.36420000000001</v>
      </c>
      <c r="K1406">
        <v>1.108762</v>
      </c>
      <c r="L1406">
        <v>366.56709999999998</v>
      </c>
      <c r="M1406">
        <v>0.99470670000000005</v>
      </c>
      <c r="N1406">
        <v>-1.405731E-2</v>
      </c>
      <c r="O1406">
        <v>-0.101789</v>
      </c>
      <c r="P1406">
        <v>0.98104380000000002</v>
      </c>
      <c r="Q1406">
        <v>0.16770060000000001</v>
      </c>
      <c r="R1406">
        <v>-9.7108029999999998E-2</v>
      </c>
      <c r="S1406">
        <v>2.9842379999999999</v>
      </c>
      <c r="T1406">
        <v>-0.2057773</v>
      </c>
      <c r="U1406">
        <v>-1.149689</v>
      </c>
      <c r="V1406">
        <v>-2.4452039999999999E-3</v>
      </c>
      <c r="W1406">
        <v>0.18155540000000001</v>
      </c>
      <c r="X1406">
        <v>0.98337770000000002</v>
      </c>
      <c r="Y1406">
        <v>0.2621077</v>
      </c>
      <c r="Z1406">
        <v>-5.2841930000000004E-3</v>
      </c>
      <c r="AA1406">
        <v>0.9650242</v>
      </c>
      <c r="AB1406">
        <v>27</v>
      </c>
      <c r="AC1406">
        <v>15.6158</v>
      </c>
      <c r="AD1406">
        <v>-1.1087717920319999</v>
      </c>
      <c r="AE1406">
        <v>-6.1440999999999804</v>
      </c>
      <c r="AF1406">
        <v>4.5028498007857802</v>
      </c>
      <c r="AG1406">
        <v>-1.1087717920319999</v>
      </c>
      <c r="AH1406">
        <v>16.089896709370102</v>
      </c>
      <c r="AI1406">
        <v>93.796658748162201</v>
      </c>
      <c r="AJ1406">
        <v>74.365418908648195</v>
      </c>
      <c r="AK1406">
        <v>16.744844201527801</v>
      </c>
      <c r="AL1406">
        <v>79.539629652375694</v>
      </c>
      <c r="AM1406">
        <v>90.142467721720905</v>
      </c>
      <c r="AN1406">
        <v>1.0000000215745199</v>
      </c>
    </row>
    <row r="1407" spans="1:40" x14ac:dyDescent="0.25">
      <c r="A1407" t="str">
        <f>"20190304155038456"</f>
        <v>20190304155038456</v>
      </c>
      <c r="B1407" t="str">
        <f>"1551685838448026"</f>
        <v>1551685838448026</v>
      </c>
      <c r="C1407" t="s">
        <v>40</v>
      </c>
      <c r="D1407">
        <v>5.3875359999999999</v>
      </c>
      <c r="E1407">
        <v>0.60543029999999998</v>
      </c>
      <c r="F1407" t="s">
        <v>50</v>
      </c>
      <c r="G1407">
        <v>-198.01140000000001</v>
      </c>
      <c r="H1407" s="1">
        <v>-9.5795670000000003E-6</v>
      </c>
      <c r="I1407">
        <v>360.12689999999998</v>
      </c>
      <c r="J1407">
        <v>-214.2362</v>
      </c>
      <c r="K1407">
        <v>1.108744</v>
      </c>
      <c r="L1407">
        <v>366.55270000000002</v>
      </c>
      <c r="M1407">
        <v>0.99457890000000004</v>
      </c>
      <c r="N1407">
        <v>-1.405671E-2</v>
      </c>
      <c r="O1407">
        <v>-0.10303089999999999</v>
      </c>
      <c r="P1407">
        <v>0.98087409999999997</v>
      </c>
      <c r="Q1407">
        <v>0.1677032</v>
      </c>
      <c r="R1407">
        <v>-9.8800390000000002E-2</v>
      </c>
      <c r="S1407">
        <v>2.9764249999999999</v>
      </c>
      <c r="T1407">
        <v>-0.20181060000000001</v>
      </c>
      <c r="U1407">
        <v>-1.1722109999999999</v>
      </c>
      <c r="V1407">
        <v>-1.9669150000000001E-3</v>
      </c>
      <c r="W1407">
        <v>0.18155540000000001</v>
      </c>
      <c r="X1407">
        <v>0.9833788</v>
      </c>
      <c r="Y1407">
        <v>0.2680881</v>
      </c>
      <c r="Z1407">
        <v>-5.4252889999999998E-3</v>
      </c>
      <c r="AA1407">
        <v>0.96337910000000004</v>
      </c>
      <c r="AB1407">
        <v>27</v>
      </c>
      <c r="AC1407">
        <v>16.224799999999899</v>
      </c>
      <c r="AD1407">
        <v>-1.108753579567</v>
      </c>
      <c r="AE1407">
        <v>-6.4258000000000299</v>
      </c>
      <c r="AF1407">
        <v>4.7007993281014802</v>
      </c>
      <c r="AG1407">
        <v>-1.108753579567</v>
      </c>
      <c r="AH1407">
        <v>16.733011241534602</v>
      </c>
      <c r="AI1407">
        <v>93.650064785989201</v>
      </c>
      <c r="AJ1407">
        <v>74.308371767716295</v>
      </c>
      <c r="AK1407">
        <v>17.4160992771805</v>
      </c>
      <c r="AL1407">
        <v>79.539629933565095</v>
      </c>
      <c r="AM1407">
        <v>90.114600576986206</v>
      </c>
      <c r="AN1407">
        <v>1.0000000481566</v>
      </c>
    </row>
    <row r="1408" spans="1:40" x14ac:dyDescent="0.25">
      <c r="A1408" t="str">
        <f>"20190304155038469"</f>
        <v>20190304155038469</v>
      </c>
      <c r="B1408" t="str">
        <f>"1551685838457786"</f>
        <v>1551685838457786</v>
      </c>
      <c r="C1408" t="s">
        <v>40</v>
      </c>
      <c r="D1408">
        <v>4.1024539999999998</v>
      </c>
      <c r="E1408">
        <v>0.60554770000000002</v>
      </c>
      <c r="F1408" t="s">
        <v>50</v>
      </c>
      <c r="G1408">
        <v>-197.8629</v>
      </c>
      <c r="H1408" s="1">
        <v>-9.5368789999999993E-6</v>
      </c>
      <c r="I1408">
        <v>360.06650000000002</v>
      </c>
      <c r="J1408">
        <v>-214.09469999999999</v>
      </c>
      <c r="K1408">
        <v>1.1087279999999999</v>
      </c>
      <c r="L1408">
        <v>366.53660000000002</v>
      </c>
      <c r="M1408">
        <v>0.99443490000000001</v>
      </c>
      <c r="N1408">
        <v>-1.405607E-2</v>
      </c>
      <c r="O1408">
        <v>-0.1044123</v>
      </c>
      <c r="P1408">
        <v>0.98068270000000002</v>
      </c>
      <c r="Q1408">
        <v>0.1676156</v>
      </c>
      <c r="R1408">
        <v>-0.10083060000000001</v>
      </c>
      <c r="S1408">
        <v>2.974243</v>
      </c>
      <c r="T1408">
        <v>-0.20140669999999999</v>
      </c>
      <c r="U1408">
        <v>-1.178223</v>
      </c>
      <c r="V1408">
        <v>-1.2884210000000001E-3</v>
      </c>
      <c r="W1408">
        <v>0.18146399999999999</v>
      </c>
      <c r="X1408">
        <v>0.98339679999999996</v>
      </c>
      <c r="Y1408">
        <v>0.2686772</v>
      </c>
      <c r="Z1408">
        <v>-5.3757269999999899E-3</v>
      </c>
      <c r="AA1408">
        <v>0.9632153</v>
      </c>
      <c r="AB1408">
        <v>27</v>
      </c>
      <c r="AC1408">
        <v>16.2317999999999</v>
      </c>
      <c r="AD1408">
        <v>-1.108737536879</v>
      </c>
      <c r="AE1408">
        <v>-6.4701000000000004</v>
      </c>
      <c r="AF1408">
        <v>4.7207551144352697</v>
      </c>
      <c r="AG1408">
        <v>-1.108737536879</v>
      </c>
      <c r="AH1408">
        <v>16.751243745795101</v>
      </c>
      <c r="AI1408">
        <v>93.645210616670695</v>
      </c>
      <c r="AJ1408">
        <v>74.261356812583202</v>
      </c>
      <c r="AK1408">
        <v>17.439007850425199</v>
      </c>
      <c r="AL1408">
        <v>79.544955295256401</v>
      </c>
      <c r="AM1408">
        <v>90.075067402392094</v>
      </c>
      <c r="AN1408">
        <v>1.0000000547874499</v>
      </c>
    </row>
    <row r="1409" spans="1:40" x14ac:dyDescent="0.25">
      <c r="A1409" t="str">
        <f>"20190304155038514"</f>
        <v>20190304155038514</v>
      </c>
      <c r="B1409" t="str">
        <f>"1551685838507562"</f>
        <v>1551685838507562</v>
      </c>
      <c r="C1409" t="s">
        <v>40</v>
      </c>
      <c r="D1409">
        <v>4.1000059999999996</v>
      </c>
      <c r="E1409">
        <v>0.6058057</v>
      </c>
      <c r="F1409" t="s">
        <v>50</v>
      </c>
      <c r="G1409">
        <v>-197.6173</v>
      </c>
      <c r="H1409" s="1">
        <v>-9.4673169999999998E-6</v>
      </c>
      <c r="I1409">
        <v>359.96</v>
      </c>
      <c r="J1409">
        <v>-213.55840000000001</v>
      </c>
      <c r="K1409">
        <v>1.1086259999999999</v>
      </c>
      <c r="L1409">
        <v>366.47329999999999</v>
      </c>
      <c r="M1409">
        <v>0.99384530000000004</v>
      </c>
      <c r="N1409">
        <v>-1.405501E-2</v>
      </c>
      <c r="O1409">
        <v>-0.10988239999999901</v>
      </c>
      <c r="P1409">
        <v>0.98004400000000003</v>
      </c>
      <c r="Q1409">
        <v>0.16676669999999999</v>
      </c>
      <c r="R1409">
        <v>-0.1081799</v>
      </c>
      <c r="S1409">
        <v>2.9713440000000002</v>
      </c>
      <c r="T1409">
        <v>-0.1999369</v>
      </c>
      <c r="U1409">
        <v>-1.1859440000000001</v>
      </c>
      <c r="V1409">
        <v>7.0417250000000004E-4</v>
      </c>
      <c r="W1409">
        <v>0.1806072</v>
      </c>
      <c r="X1409">
        <v>0.98355510000000002</v>
      </c>
      <c r="Y1409">
        <v>0.26587880000000003</v>
      </c>
      <c r="Z1409">
        <v>-4.9774789999999999E-3</v>
      </c>
      <c r="AA1409">
        <v>0.96399360000000001</v>
      </c>
      <c r="AB1409">
        <v>27</v>
      </c>
      <c r="AC1409">
        <v>15.9411</v>
      </c>
      <c r="AD1409">
        <v>-1.108635467317</v>
      </c>
      <c r="AE1409">
        <v>-6.5133000000000099</v>
      </c>
      <c r="AF1409">
        <v>4.7025417394096101</v>
      </c>
      <c r="AG1409">
        <v>-1.108635467317</v>
      </c>
      <c r="AH1409">
        <v>16.491964723274801</v>
      </c>
      <c r="AI1409">
        <v>93.698800256677899</v>
      </c>
      <c r="AJ1409">
        <v>74.084955892727095</v>
      </c>
      <c r="AK1409">
        <v>17.185106105113899</v>
      </c>
      <c r="AL1409">
        <v>79.594871003492997</v>
      </c>
      <c r="AM1409">
        <v>89.958979313507001</v>
      </c>
      <c r="AN1409">
        <v>1.00000004564337</v>
      </c>
    </row>
    <row r="1410" spans="1:40" x14ac:dyDescent="0.25">
      <c r="A1410" t="str">
        <f>"20190304155038629"</f>
        <v>20190304155038629</v>
      </c>
      <c r="B1410" t="str">
        <f>"1551685838617851"</f>
        <v>1551685838617851</v>
      </c>
      <c r="C1410" t="s">
        <v>40</v>
      </c>
      <c r="D1410">
        <v>6.3378030000000001</v>
      </c>
      <c r="E1410">
        <v>0.6058057</v>
      </c>
      <c r="F1410" t="s">
        <v>50</v>
      </c>
      <c r="G1410">
        <v>-197.0625</v>
      </c>
      <c r="H1410" s="1">
        <v>-9.3083909999999992E-6</v>
      </c>
      <c r="I1410">
        <v>359.73059999999998</v>
      </c>
      <c r="J1410">
        <v>-212.20060000000001</v>
      </c>
      <c r="K1410">
        <v>1.1082350000000001</v>
      </c>
      <c r="L1410">
        <v>366.2971</v>
      </c>
      <c r="M1410">
        <v>0.99197349999999995</v>
      </c>
      <c r="N1410">
        <v>-1.406114E-2</v>
      </c>
      <c r="O1410">
        <v>-0.1256623</v>
      </c>
      <c r="P1410">
        <v>0.9778287</v>
      </c>
      <c r="Q1410">
        <v>0.16490650000000001</v>
      </c>
      <c r="R1410">
        <v>-0.12906239999999999</v>
      </c>
      <c r="S1410">
        <v>2.9613339999999999</v>
      </c>
      <c r="T1410">
        <v>-0.19902149999999999</v>
      </c>
      <c r="U1410">
        <v>-1.2104490000000001</v>
      </c>
      <c r="V1410">
        <v>6.188509E-3</v>
      </c>
      <c r="W1410">
        <v>0.17872569999999999</v>
      </c>
      <c r="X1410">
        <v>0.98387950000000002</v>
      </c>
      <c r="Y1410">
        <v>0.25856829999999997</v>
      </c>
      <c r="Z1410">
        <v>-3.9020159999999999E-3</v>
      </c>
      <c r="AA1410">
        <v>0.96598510000000004</v>
      </c>
      <c r="AB1410">
        <v>26</v>
      </c>
      <c r="AC1410">
        <v>15.1381</v>
      </c>
      <c r="AD1410">
        <v>-1.1082443083910001</v>
      </c>
      <c r="AE1410">
        <v>-6.5665000000000102</v>
      </c>
      <c r="AF1410">
        <v>4.5912508996713903</v>
      </c>
      <c r="AG1410">
        <v>-1.1082443083910001</v>
      </c>
      <c r="AH1410">
        <v>15.772175478097701</v>
      </c>
      <c r="AI1410">
        <v>93.859637128698793</v>
      </c>
      <c r="AJ1410">
        <v>73.769820393529997</v>
      </c>
      <c r="AK1410">
        <v>16.464182627228102</v>
      </c>
      <c r="AL1410">
        <v>79.704455995768399</v>
      </c>
      <c r="AM1410">
        <v>89.639619718392794</v>
      </c>
      <c r="AN1410">
        <v>1.0000000220021901</v>
      </c>
    </row>
    <row r="1411" spans="1:40" x14ac:dyDescent="0.25">
      <c r="A1411" t="str">
        <f>"20190304155038645"</f>
        <v>20190304155038645</v>
      </c>
      <c r="B1411" t="str">
        <f>"1551685838637373"</f>
        <v>1551685838637373</v>
      </c>
      <c r="C1411" t="s">
        <v>40</v>
      </c>
      <c r="D1411">
        <v>4.8847329999999998</v>
      </c>
      <c r="E1411">
        <v>0.60565059999999904</v>
      </c>
      <c r="F1411" t="s">
        <v>50</v>
      </c>
      <c r="G1411">
        <v>-196.4982</v>
      </c>
      <c r="H1411" s="1">
        <v>-6.2669930000000003E-6</v>
      </c>
      <c r="I1411">
        <v>359.49520000000001</v>
      </c>
      <c r="J1411">
        <v>-212.0163</v>
      </c>
      <c r="K1411">
        <v>1.108176</v>
      </c>
      <c r="L1411">
        <v>366.27109999999999</v>
      </c>
      <c r="M1411">
        <v>0.99166699999999997</v>
      </c>
      <c r="N1411">
        <v>-1.4062939999999999E-2</v>
      </c>
      <c r="O1411">
        <v>-0.12805730000000001</v>
      </c>
      <c r="P1411">
        <v>0.97738780000000003</v>
      </c>
      <c r="Q1411">
        <v>0.16494539999999999</v>
      </c>
      <c r="R1411">
        <v>-0.13231109999999999</v>
      </c>
      <c r="S1411">
        <v>2.9351500000000001</v>
      </c>
      <c r="T1411">
        <v>-0.2071557</v>
      </c>
      <c r="U1411">
        <v>-1.271423</v>
      </c>
      <c r="V1411">
        <v>7.1113119999999998E-3</v>
      </c>
      <c r="W1411">
        <v>0.17876</v>
      </c>
      <c r="X1411">
        <v>0.98386700000000005</v>
      </c>
      <c r="Y1411">
        <v>0.2761557</v>
      </c>
      <c r="Z1411">
        <v>-4.51659E-3</v>
      </c>
      <c r="AA1411">
        <v>0.96110229999999996</v>
      </c>
      <c r="AB1411">
        <v>26</v>
      </c>
      <c r="AC1411">
        <v>15.5181</v>
      </c>
      <c r="AD1411">
        <v>-1.1081822669929999</v>
      </c>
      <c r="AE1411">
        <v>-6.7758999999999698</v>
      </c>
      <c r="AF1411">
        <v>4.7125145760993998</v>
      </c>
      <c r="AG1411">
        <v>-1.1081822669929999</v>
      </c>
      <c r="AH1411">
        <v>16.188761814465298</v>
      </c>
      <c r="AI1411">
        <v>93.760395926771594</v>
      </c>
      <c r="AJ1411">
        <v>73.769832889967901</v>
      </c>
      <c r="AK1411">
        <v>16.897096515446599</v>
      </c>
      <c r="AL1411">
        <v>79.702458261422294</v>
      </c>
      <c r="AM1411">
        <v>89.585877898935095</v>
      </c>
      <c r="AN1411">
        <v>0.99999999102367998</v>
      </c>
    </row>
    <row r="1412" spans="1:40" x14ac:dyDescent="0.25">
      <c r="A1412" t="str">
        <f>"20190304155038656"</f>
        <v>20190304155038656</v>
      </c>
      <c r="B1412" t="str">
        <f>"1551685838648107"</f>
        <v>1551685838648107</v>
      </c>
      <c r="C1412" t="s">
        <v>40</v>
      </c>
      <c r="D1412">
        <v>5.4157830000000002</v>
      </c>
      <c r="E1412">
        <v>0.54880909999999905</v>
      </c>
      <c r="F1412" t="s">
        <v>50</v>
      </c>
      <c r="G1412">
        <v>-196.19139999999999</v>
      </c>
      <c r="H1412" s="1">
        <v>-6.1755259999999999E-6</v>
      </c>
      <c r="I1412">
        <v>359.36509999999998</v>
      </c>
      <c r="J1412">
        <v>-211.87139999999999</v>
      </c>
      <c r="K1412">
        <v>1.1081289999999999</v>
      </c>
      <c r="L1412">
        <v>366.25029999999998</v>
      </c>
      <c r="M1412">
        <v>0.99141630000000003</v>
      </c>
      <c r="N1412">
        <v>-1.4064510000000001E-2</v>
      </c>
      <c r="O1412">
        <v>-0.12998560000000001</v>
      </c>
      <c r="P1412">
        <v>0.97709069999999998</v>
      </c>
      <c r="Q1412">
        <v>0.16485429999999901</v>
      </c>
      <c r="R1412">
        <v>-0.13460059999999999</v>
      </c>
      <c r="S1412">
        <v>2.9308930000000002</v>
      </c>
      <c r="T1412">
        <v>-0.2052437</v>
      </c>
      <c r="U1412">
        <v>-1.279053</v>
      </c>
      <c r="V1412">
        <v>7.5213369999999899E-3</v>
      </c>
      <c r="W1412">
        <v>0.17866750000000001</v>
      </c>
      <c r="X1412">
        <v>0.9838808</v>
      </c>
      <c r="Y1412">
        <v>0.27690730000000002</v>
      </c>
      <c r="Z1412">
        <v>-4.4419009999999998E-3</v>
      </c>
      <c r="AA1412">
        <v>0.96088640000000003</v>
      </c>
      <c r="AB1412">
        <v>26</v>
      </c>
      <c r="AC1412">
        <v>15.68</v>
      </c>
      <c r="AD1412">
        <v>-1.108135175526</v>
      </c>
      <c r="AE1412">
        <v>-6.8851999999999904</v>
      </c>
      <c r="AF1412">
        <v>4.7684318731844701</v>
      </c>
      <c r="AG1412">
        <v>-1.108135175526</v>
      </c>
      <c r="AH1412">
        <v>16.3734495074359</v>
      </c>
      <c r="AI1412">
        <v>93.717810888749497</v>
      </c>
      <c r="AJ1412">
        <v>73.762880899606401</v>
      </c>
      <c r="AK1412">
        <v>17.089638816224099</v>
      </c>
      <c r="AL1412">
        <v>79.707845320858695</v>
      </c>
      <c r="AM1412">
        <v>89.562007438238297</v>
      </c>
      <c r="AN1412">
        <v>1.0000000373375699</v>
      </c>
    </row>
    <row r="1413" spans="1:40" x14ac:dyDescent="0.25">
      <c r="A1413" t="str">
        <f>"20190304155038671"</f>
        <v>20190304155038671</v>
      </c>
      <c r="B1413" t="str">
        <f>"1551685838667626"</f>
        <v>1551685838667626</v>
      </c>
      <c r="C1413" t="s">
        <v>40</v>
      </c>
      <c r="D1413">
        <v>5.4276749999999998</v>
      </c>
      <c r="E1413">
        <v>0.54084600000000005</v>
      </c>
      <c r="F1413" t="s">
        <v>43</v>
      </c>
      <c r="G1413">
        <v>-169.2955</v>
      </c>
      <c r="H1413">
        <v>0.36161900000000002</v>
      </c>
      <c r="I1413">
        <v>354.38409999999999</v>
      </c>
      <c r="J1413">
        <v>-211.7039</v>
      </c>
      <c r="K1413">
        <v>1.1080810000000001</v>
      </c>
      <c r="L1413">
        <v>366.226</v>
      </c>
      <c r="M1413">
        <v>0.99111669999999996</v>
      </c>
      <c r="N1413">
        <v>-1.406632E-2</v>
      </c>
      <c r="O1413">
        <v>-0.13224849999999999</v>
      </c>
      <c r="P1413">
        <v>0.97681090000000004</v>
      </c>
      <c r="Q1413">
        <v>0.1644842</v>
      </c>
      <c r="R1413">
        <v>-0.1370596</v>
      </c>
      <c r="S1413">
        <v>2.965271</v>
      </c>
      <c r="T1413">
        <v>-5.1985740000000003E-2</v>
      </c>
      <c r="U1413">
        <v>-0.82644649999999997</v>
      </c>
      <c r="V1413">
        <v>7.7646410000000001E-3</v>
      </c>
      <c r="W1413">
        <v>0.17829779999999901</v>
      </c>
      <c r="X1413">
        <v>0.98394599999999999</v>
      </c>
      <c r="Y1413">
        <v>0.13867579999999999</v>
      </c>
      <c r="Z1413">
        <v>-1.7649479999999999E-3</v>
      </c>
      <c r="AA1413">
        <v>0.9903362</v>
      </c>
      <c r="AB1413">
        <v>26</v>
      </c>
      <c r="AC1413">
        <v>42.4084</v>
      </c>
      <c r="AD1413">
        <v>-0.74646199999999896</v>
      </c>
      <c r="AE1413">
        <v>-11.841900000000001</v>
      </c>
      <c r="AF1413">
        <v>6.1271034150723702</v>
      </c>
      <c r="AG1413">
        <v>-0.74646199999999896</v>
      </c>
      <c r="AH1413">
        <v>43.589536119737197</v>
      </c>
      <c r="AI1413">
        <v>90.971533710274201</v>
      </c>
      <c r="AJ1413">
        <v>81.998719242613305</v>
      </c>
      <c r="AK1413">
        <v>44.024382572732499</v>
      </c>
      <c r="AL1413">
        <v>79.729373509120094</v>
      </c>
      <c r="AM1413">
        <v>89.5478695737621</v>
      </c>
      <c r="AN1413">
        <v>1.0000000630253401</v>
      </c>
    </row>
    <row r="1414" spans="1:40" x14ac:dyDescent="0.25">
      <c r="A1414" t="str">
        <f>"20190304155038683"</f>
        <v>20190304155038683</v>
      </c>
      <c r="B1414" t="str">
        <f>"1551685838677386"</f>
        <v>1551685838677386</v>
      </c>
      <c r="C1414" t="s">
        <v>40</v>
      </c>
      <c r="D1414">
        <v>5.4295790000000004</v>
      </c>
      <c r="E1414">
        <v>0.53991</v>
      </c>
      <c r="F1414" t="s">
        <v>50</v>
      </c>
      <c r="G1414">
        <v>-180.81229999999999</v>
      </c>
      <c r="H1414" s="1">
        <v>-5.3280170000000003E-6</v>
      </c>
      <c r="I1414">
        <v>358.19470000000001</v>
      </c>
      <c r="J1414">
        <v>-211.56530000000001</v>
      </c>
      <c r="K1414">
        <v>1.1080380000000001</v>
      </c>
      <c r="L1414">
        <v>366.2054</v>
      </c>
      <c r="M1414">
        <v>0.99085919999999905</v>
      </c>
      <c r="N1414">
        <v>-1.406789E-2</v>
      </c>
      <c r="O1414">
        <v>-0.13416420000000001</v>
      </c>
      <c r="P1414">
        <v>0.97650029999999999</v>
      </c>
      <c r="Q1414">
        <v>0.16445709999999999</v>
      </c>
      <c r="R1414">
        <v>-0.139288</v>
      </c>
      <c r="S1414">
        <v>2.9804840000000001</v>
      </c>
      <c r="T1414">
        <v>-0.10691050000000001</v>
      </c>
      <c r="U1414">
        <v>-0.7748718</v>
      </c>
      <c r="V1414">
        <v>8.1265380000000009E-3</v>
      </c>
      <c r="W1414">
        <v>0.17826919999999999</v>
      </c>
      <c r="X1414">
        <v>0.98394820000000005</v>
      </c>
      <c r="Y1414">
        <v>0.1194095</v>
      </c>
      <c r="Z1414">
        <v>-1.2733260000000001E-4</v>
      </c>
      <c r="AA1414">
        <v>0.99284510000000004</v>
      </c>
      <c r="AB1414">
        <v>26</v>
      </c>
      <c r="AC1414">
        <v>30.753</v>
      </c>
      <c r="AD1414">
        <v>-1.1080433280169999</v>
      </c>
      <c r="AE1414">
        <v>-8.0106999999999804</v>
      </c>
      <c r="AF1414">
        <v>3.8072730623912201</v>
      </c>
      <c r="AG1414">
        <v>-1.1080433280169999</v>
      </c>
      <c r="AH1414">
        <v>31.511457373623301</v>
      </c>
      <c r="AI1414">
        <v>91.999344238888199</v>
      </c>
      <c r="AJ1414">
        <v>83.110810151480806</v>
      </c>
      <c r="AK1414">
        <v>31.759959603218199</v>
      </c>
      <c r="AL1414">
        <v>79.731038238700805</v>
      </c>
      <c r="AM1414">
        <v>89.526798521640899</v>
      </c>
      <c r="AN1414">
        <v>1.0000000042858701</v>
      </c>
    </row>
    <row r="1415" spans="1:40" x14ac:dyDescent="0.25">
      <c r="A1415" t="str">
        <f>"20190304155038696"</f>
        <v>20190304155038696</v>
      </c>
      <c r="B1415" t="str">
        <f>"1551685838688123"</f>
        <v>1551685838688123</v>
      </c>
      <c r="C1415" t="s">
        <v>40</v>
      </c>
      <c r="D1415">
        <v>5.2423760000000001</v>
      </c>
      <c r="E1415">
        <v>0.54023750000000004</v>
      </c>
      <c r="F1415" t="s">
        <v>50</v>
      </c>
      <c r="G1415">
        <v>-184.0377</v>
      </c>
      <c r="H1415" s="1">
        <v>-5.3778399999999998E-6</v>
      </c>
      <c r="I1415">
        <v>359.05189999999999</v>
      </c>
      <c r="J1415">
        <v>-211.40610000000001</v>
      </c>
      <c r="K1415">
        <v>1.10799</v>
      </c>
      <c r="L1415">
        <v>366.18150000000003</v>
      </c>
      <c r="M1415">
        <v>0.99055280000000001</v>
      </c>
      <c r="N1415">
        <v>-1.406983E-2</v>
      </c>
      <c r="O1415">
        <v>-0.1364088</v>
      </c>
      <c r="P1415">
        <v>0.9761166</v>
      </c>
      <c r="Q1415">
        <v>0.1646717</v>
      </c>
      <c r="R1415">
        <v>-0.14170360000000001</v>
      </c>
      <c r="S1415">
        <v>2.981903</v>
      </c>
      <c r="T1415">
        <v>-0.12002790000000001</v>
      </c>
      <c r="U1415">
        <v>-0.77490230000000004</v>
      </c>
      <c r="V1415">
        <v>8.3599150000000007E-3</v>
      </c>
      <c r="W1415">
        <v>0.17848269999999999</v>
      </c>
      <c r="X1415">
        <v>0.98390750000000005</v>
      </c>
      <c r="Y1415">
        <v>0.11704820000000001</v>
      </c>
      <c r="Z1415">
        <v>3.0874469999999998E-4</v>
      </c>
      <c r="AA1415">
        <v>0.99312619999999896</v>
      </c>
      <c r="AB1415">
        <v>26</v>
      </c>
      <c r="AC1415">
        <v>27.368400000000001</v>
      </c>
      <c r="AD1415">
        <v>-1.10799537784</v>
      </c>
      <c r="AE1415">
        <v>-7.1296000000000301</v>
      </c>
      <c r="AF1415">
        <v>3.3241818362846698</v>
      </c>
      <c r="AG1415">
        <v>-1.10799537784</v>
      </c>
      <c r="AH1415">
        <v>28.042123020840599</v>
      </c>
      <c r="AI1415">
        <v>92.246967480533399</v>
      </c>
      <c r="AJ1415">
        <v>83.239566959047593</v>
      </c>
      <c r="AK1415">
        <v>28.260192889539201</v>
      </c>
      <c r="AL1415">
        <v>79.718605806549107</v>
      </c>
      <c r="AM1415">
        <v>89.513189684435005</v>
      </c>
      <c r="AN1415">
        <v>0.99999996546717296</v>
      </c>
    </row>
    <row r="1416" spans="1:40" x14ac:dyDescent="0.25">
      <c r="A1416" t="str">
        <f>"20190304155038712"</f>
        <v>20190304155038712</v>
      </c>
      <c r="B1416" t="str">
        <f>"1551685838707642"</f>
        <v>1551685838707642</v>
      </c>
      <c r="C1416" t="s">
        <v>40</v>
      </c>
      <c r="D1416">
        <v>5.284662</v>
      </c>
      <c r="E1416">
        <v>0.53892359999999995</v>
      </c>
      <c r="F1416" t="s">
        <v>50</v>
      </c>
      <c r="G1416">
        <v>-184.0446</v>
      </c>
      <c r="H1416" s="1">
        <v>-5.3427399999999999E-6</v>
      </c>
      <c r="I1416">
        <v>358.97739999999999</v>
      </c>
      <c r="J1416">
        <v>-211.2277</v>
      </c>
      <c r="K1416">
        <v>1.1079300000000001</v>
      </c>
      <c r="L1416">
        <v>366.15410000000003</v>
      </c>
      <c r="M1416">
        <v>0.99019659999999998</v>
      </c>
      <c r="N1416">
        <v>-1.4072060000000001E-2</v>
      </c>
      <c r="O1416">
        <v>-0.1389705</v>
      </c>
      <c r="P1416">
        <v>0.97548570000000001</v>
      </c>
      <c r="Q1416">
        <v>0.1653346</v>
      </c>
      <c r="R1416">
        <v>-0.14523229999999901</v>
      </c>
      <c r="S1416">
        <v>2.9798580000000001</v>
      </c>
      <c r="T1416">
        <v>-0.12066880000000001</v>
      </c>
      <c r="U1416">
        <v>-0.78457639999999995</v>
      </c>
      <c r="V1416">
        <v>9.4191670000000009E-3</v>
      </c>
      <c r="W1416">
        <v>0.17913850000000001</v>
      </c>
      <c r="X1416">
        <v>0.98377879999999995</v>
      </c>
      <c r="Y1416">
        <v>0.1176625</v>
      </c>
      <c r="Z1416">
        <v>3.7309099999999998E-4</v>
      </c>
      <c r="AA1416">
        <v>0.99305359999999998</v>
      </c>
      <c r="AB1416">
        <v>26</v>
      </c>
      <c r="AC1416">
        <v>27.1831</v>
      </c>
      <c r="AD1416">
        <v>-1.1079353427399901</v>
      </c>
      <c r="AE1416">
        <v>-7.1767000000000296</v>
      </c>
      <c r="AF1416">
        <v>3.3238624400104499</v>
      </c>
      <c r="AG1416">
        <v>-1.1079353427399901</v>
      </c>
      <c r="AH1416">
        <v>27.873438120948201</v>
      </c>
      <c r="AI1416">
        <v>92.260242412535305</v>
      </c>
      <c r="AJ1416">
        <v>83.199683479770897</v>
      </c>
      <c r="AK1416">
        <v>28.092777273280198</v>
      </c>
      <c r="AL1416">
        <v>79.680416364837896</v>
      </c>
      <c r="AM1416">
        <v>89.451439667482703</v>
      </c>
      <c r="AN1416">
        <v>1.0000000251093299</v>
      </c>
    </row>
    <row r="1417" spans="1:40" x14ac:dyDescent="0.25">
      <c r="A1417" t="str">
        <f>"20190304155038727"</f>
        <v>20190304155038727</v>
      </c>
      <c r="B1417" t="str">
        <f>"1551685838717402"</f>
        <v>1551685838717402</v>
      </c>
      <c r="C1417" t="s">
        <v>40</v>
      </c>
      <c r="D1417">
        <v>5.2717299999999998</v>
      </c>
      <c r="E1417">
        <v>0.53935390000000005</v>
      </c>
      <c r="F1417" t="s">
        <v>50</v>
      </c>
      <c r="G1417">
        <v>-183.11429999999999</v>
      </c>
      <c r="H1417" s="1">
        <v>-5.2897320000000004E-6</v>
      </c>
      <c r="I1417">
        <v>358.74770000000001</v>
      </c>
      <c r="J1417">
        <v>-211.0471</v>
      </c>
      <c r="K1417">
        <v>1.107882</v>
      </c>
      <c r="L1417">
        <v>366.12599999999998</v>
      </c>
      <c r="M1417">
        <v>0.98982150000000002</v>
      </c>
      <c r="N1417">
        <v>-1.4074400000000001E-2</v>
      </c>
      <c r="O1417">
        <v>-0.14161689999999999</v>
      </c>
      <c r="P1417">
        <v>0.97500609999999999</v>
      </c>
      <c r="Q1417">
        <v>0.16557369999999999</v>
      </c>
      <c r="R1417">
        <v>-0.14815120000000001</v>
      </c>
      <c r="S1417">
        <v>2.9784549999999999</v>
      </c>
      <c r="T1417">
        <v>-0.117379399999999</v>
      </c>
      <c r="U1417">
        <v>-0.78466800000000003</v>
      </c>
      <c r="V1417">
        <v>9.7667220000000003E-3</v>
      </c>
      <c r="W1417">
        <v>0.1793759</v>
      </c>
      <c r="X1417">
        <v>0.9837321</v>
      </c>
      <c r="Y1417">
        <v>0.1151567</v>
      </c>
      <c r="Z1417">
        <v>4.1821080000000002E-4</v>
      </c>
      <c r="AA1417">
        <v>0.99334719999999999</v>
      </c>
      <c r="AB1417">
        <v>26</v>
      </c>
      <c r="AC1417">
        <v>27.9328</v>
      </c>
      <c r="AD1417">
        <v>-1.107887289732</v>
      </c>
      <c r="AE1417">
        <v>-7.3782999999999603</v>
      </c>
      <c r="AF1417">
        <v>3.34285922182044</v>
      </c>
      <c r="AG1417">
        <v>-1.107887289732</v>
      </c>
      <c r="AH1417">
        <v>28.654083385662901</v>
      </c>
      <c r="AI1417">
        <v>92.199291751185797</v>
      </c>
      <c r="AJ1417">
        <v>83.345806103593503</v>
      </c>
      <c r="AK1417">
        <v>28.869683349427</v>
      </c>
      <c r="AL1417">
        <v>79.666589857933403</v>
      </c>
      <c r="AM1417">
        <v>89.431172811101504</v>
      </c>
      <c r="AN1417">
        <v>0.99999997346492198</v>
      </c>
    </row>
    <row r="1418" spans="1:40" x14ac:dyDescent="0.25">
      <c r="A1418" t="str">
        <f>"20190304155038738"</f>
        <v>20190304155038738</v>
      </c>
      <c r="B1418" t="str">
        <f>"1551685838728139"</f>
        <v>1551685838728139</v>
      </c>
      <c r="C1418" t="s">
        <v>40</v>
      </c>
      <c r="D1418">
        <v>5.1212519999999904</v>
      </c>
      <c r="E1418">
        <v>0.53871139999999995</v>
      </c>
      <c r="F1418" t="s">
        <v>50</v>
      </c>
      <c r="G1418">
        <v>-182.76050000000001</v>
      </c>
      <c r="H1418" s="1">
        <v>-5.2169860000000002E-6</v>
      </c>
      <c r="I1418">
        <v>358.54739999999998</v>
      </c>
      <c r="J1418">
        <v>-210.9134</v>
      </c>
      <c r="K1418">
        <v>1.1078429999999999</v>
      </c>
      <c r="L1418">
        <v>366.1046</v>
      </c>
      <c r="M1418">
        <v>0.98953089999999999</v>
      </c>
      <c r="N1418">
        <v>-1.4076409999999999E-2</v>
      </c>
      <c r="O1418">
        <v>-0.1436336</v>
      </c>
      <c r="P1418">
        <v>0.9745935</v>
      </c>
      <c r="Q1418">
        <v>0.16609499999999999</v>
      </c>
      <c r="R1418">
        <v>-0.15026629999999999</v>
      </c>
      <c r="S1418">
        <v>2.9755400000000001</v>
      </c>
      <c r="T1418">
        <v>-0.11654150000000001</v>
      </c>
      <c r="U1418">
        <v>-0.79721070000000005</v>
      </c>
      <c r="V1418">
        <v>9.9315529999999992E-3</v>
      </c>
      <c r="W1418">
        <v>0.17989569999999999</v>
      </c>
      <c r="X1418">
        <v>0.9836355</v>
      </c>
      <c r="Y1418">
        <v>0.1172817</v>
      </c>
      <c r="Z1418">
        <v>3.8806810000000002E-4</v>
      </c>
      <c r="AA1418">
        <v>0.99309860000000005</v>
      </c>
      <c r="AB1418">
        <v>26</v>
      </c>
      <c r="AC1418">
        <v>28.152899999999899</v>
      </c>
      <c r="AD1418">
        <v>-1.107848216986</v>
      </c>
      <c r="AE1418">
        <v>-7.5572000000000203</v>
      </c>
      <c r="AF1418">
        <v>3.4297665150190699</v>
      </c>
      <c r="AG1418">
        <v>-1.107848216986</v>
      </c>
      <c r="AH1418">
        <v>28.904747096284598</v>
      </c>
      <c r="AI1418">
        <v>92.179656815531601</v>
      </c>
      <c r="AJ1418">
        <v>83.233063347471301</v>
      </c>
      <c r="AK1418">
        <v>29.1285947261381</v>
      </c>
      <c r="AL1418">
        <v>79.636314766080702</v>
      </c>
      <c r="AM1418">
        <v>89.421516674318198</v>
      </c>
      <c r="AN1418">
        <v>0.99999994774186396</v>
      </c>
    </row>
    <row r="1419" spans="1:40" x14ac:dyDescent="0.25">
      <c r="A1419" t="str">
        <f>"20190304155038750"</f>
        <v>20190304155038750</v>
      </c>
      <c r="B1419" t="str">
        <f>"1551685838747659"</f>
        <v>1551685838747659</v>
      </c>
      <c r="C1419" t="s">
        <v>40</v>
      </c>
      <c r="D1419">
        <v>5.2711180000000004</v>
      </c>
      <c r="E1419">
        <v>0.53863169999999905</v>
      </c>
      <c r="F1419" t="s">
        <v>50</v>
      </c>
      <c r="G1419">
        <v>-180.44810000000001</v>
      </c>
      <c r="H1419" s="1">
        <v>-5.2964769999999996E-6</v>
      </c>
      <c r="I1419">
        <v>357.92360000000002</v>
      </c>
      <c r="J1419">
        <v>-210.78380000000001</v>
      </c>
      <c r="K1419">
        <v>1.1078030000000001</v>
      </c>
      <c r="L1419">
        <v>366.0838</v>
      </c>
      <c r="M1419">
        <v>0.98924369999999995</v>
      </c>
      <c r="N1419">
        <v>-1.407827E-2</v>
      </c>
      <c r="O1419">
        <v>-0.14559910000000001</v>
      </c>
      <c r="P1419">
        <v>0.97408910000000004</v>
      </c>
      <c r="Q1419">
        <v>0.16686699999999999</v>
      </c>
      <c r="R1419">
        <v>-0.15266450000000001</v>
      </c>
      <c r="S1419">
        <v>2.9735109999999998</v>
      </c>
      <c r="T1419">
        <v>-0.1081295</v>
      </c>
      <c r="U1419">
        <v>-0.79849239999999999</v>
      </c>
      <c r="V1419">
        <v>1.044133E-2</v>
      </c>
      <c r="W1419">
        <v>0.18066299999999999</v>
      </c>
      <c r="X1419">
        <v>0.98348959999999996</v>
      </c>
      <c r="Y1419">
        <v>0.11588420000000001</v>
      </c>
      <c r="Z1419">
        <v>2.327982E-4</v>
      </c>
      <c r="AA1419">
        <v>0.99326270000000005</v>
      </c>
      <c r="AB1419">
        <v>26</v>
      </c>
      <c r="AC1419">
        <v>30.335699999999999</v>
      </c>
      <c r="AD1419">
        <v>-1.107808296477</v>
      </c>
      <c r="AE1419">
        <v>-8.1601999999999695</v>
      </c>
      <c r="AF1419">
        <v>3.6513965415817098</v>
      </c>
      <c r="AG1419">
        <v>-1.107808296477</v>
      </c>
      <c r="AH1419">
        <v>31.161850946128599</v>
      </c>
      <c r="AI1419">
        <v>92.022192351545797</v>
      </c>
      <c r="AJ1419">
        <v>83.316830313929898</v>
      </c>
      <c r="AK1419">
        <v>31.3945996998584</v>
      </c>
      <c r="AL1419">
        <v>79.591619601404901</v>
      </c>
      <c r="AM1419">
        <v>89.391735645713496</v>
      </c>
      <c r="AN1419">
        <v>0.99999996712466399</v>
      </c>
    </row>
    <row r="1420" spans="1:40" x14ac:dyDescent="0.25">
      <c r="A1420" t="str">
        <f>"20190304155038762"</f>
        <v>20190304155038762</v>
      </c>
      <c r="B1420" t="str">
        <f>"1551685838757418"</f>
        <v>1551685838757418</v>
      </c>
      <c r="C1420" t="s">
        <v>40</v>
      </c>
      <c r="D1420">
        <v>5.288894</v>
      </c>
      <c r="E1420">
        <v>0.53867949999999998</v>
      </c>
      <c r="F1420" t="s">
        <v>50</v>
      </c>
      <c r="G1420">
        <v>-179.97730000000001</v>
      </c>
      <c r="H1420">
        <v>7.2660059999999999E-2</v>
      </c>
      <c r="I1420">
        <v>357.73500000000001</v>
      </c>
      <c r="J1420">
        <v>-210.64660000000001</v>
      </c>
      <c r="K1420">
        <v>1.107764</v>
      </c>
      <c r="L1420">
        <v>366.06130000000002</v>
      </c>
      <c r="M1420">
        <v>0.9889289</v>
      </c>
      <c r="N1420">
        <v>-1.408041E-2</v>
      </c>
      <c r="O1420">
        <v>-0.1477205</v>
      </c>
      <c r="P1420">
        <v>0.97360659999999999</v>
      </c>
      <c r="Q1420">
        <v>0.1674475</v>
      </c>
      <c r="R1420">
        <v>-0.15508540000000001</v>
      </c>
      <c r="S1420">
        <v>2.9707029999999999</v>
      </c>
      <c r="T1420">
        <v>-9.9820019999999995E-2</v>
      </c>
      <c r="U1420">
        <v>-0.80508419999999903</v>
      </c>
      <c r="V1420">
        <v>1.081467E-2</v>
      </c>
      <c r="W1420">
        <v>0.18124080000000001</v>
      </c>
      <c r="X1420">
        <v>0.98337929999999996</v>
      </c>
      <c r="Y1420">
        <v>0.116048499999999</v>
      </c>
      <c r="Z1420" s="1">
        <v>3.1688720000000002E-5</v>
      </c>
      <c r="AA1420">
        <v>0.9932436</v>
      </c>
      <c r="AB1420">
        <v>26</v>
      </c>
      <c r="AC1420">
        <v>30.6693</v>
      </c>
      <c r="AD1420">
        <v>-1.0351039399999999</v>
      </c>
      <c r="AE1420">
        <v>-8.3262999999999998</v>
      </c>
      <c r="AF1420">
        <v>3.7000761927552199</v>
      </c>
      <c r="AG1420">
        <v>-1.0351039399999999</v>
      </c>
      <c r="AH1420">
        <v>31.529402076098499</v>
      </c>
      <c r="AI1420">
        <v>91.867527154429197</v>
      </c>
      <c r="AJ1420">
        <v>83.306770836235998</v>
      </c>
      <c r="AK1420">
        <v>31.7626384180389</v>
      </c>
      <c r="AL1420">
        <v>79.557958935631603</v>
      </c>
      <c r="AM1420">
        <v>89.369917620537905</v>
      </c>
      <c r="AN1420">
        <v>1.0000000161701601</v>
      </c>
    </row>
    <row r="1421" spans="1:40" x14ac:dyDescent="0.25">
      <c r="A1421" t="str">
        <f>"20190304155038774"</f>
        <v>20190304155038774</v>
      </c>
      <c r="B1421" t="str">
        <f>"1551685838768154"</f>
        <v>1551685838768154</v>
      </c>
      <c r="C1421" t="s">
        <v>40</v>
      </c>
      <c r="D1421">
        <v>5.2794549999999996</v>
      </c>
      <c r="E1421">
        <v>0.53845269999999901</v>
      </c>
      <c r="F1421" t="s">
        <v>50</v>
      </c>
      <c r="G1421">
        <v>-178.87360000000001</v>
      </c>
      <c r="H1421">
        <v>7.9987929999999999E-2</v>
      </c>
      <c r="I1421">
        <v>357.35680000000002</v>
      </c>
      <c r="J1421">
        <v>-210.50399999999999</v>
      </c>
      <c r="K1421">
        <v>1.1077250000000001</v>
      </c>
      <c r="L1421">
        <v>366.0376</v>
      </c>
      <c r="M1421">
        <v>0.98859200000000003</v>
      </c>
      <c r="N1421">
        <v>-1.408266E-2</v>
      </c>
      <c r="O1421">
        <v>-0.14995929999999999</v>
      </c>
      <c r="P1421">
        <v>0.97307390000000005</v>
      </c>
      <c r="Q1421">
        <v>0.16787360000000001</v>
      </c>
      <c r="R1421">
        <v>-0.15794269999999999</v>
      </c>
      <c r="S1421">
        <v>2.9683229999999998</v>
      </c>
      <c r="T1421">
        <v>-9.6017599999999995E-2</v>
      </c>
      <c r="U1421">
        <v>-0.81320190000000003</v>
      </c>
      <c r="V1421">
        <v>1.1509230000000001E-2</v>
      </c>
      <c r="W1421">
        <v>0.1816623</v>
      </c>
      <c r="X1421">
        <v>0.98329359999999999</v>
      </c>
      <c r="Y1421">
        <v>0.1165313</v>
      </c>
      <c r="Z1421" s="1">
        <v>-5.1635139999999999E-5</v>
      </c>
      <c r="AA1421">
        <v>0.99318700000000004</v>
      </c>
      <c r="AB1421">
        <v>26</v>
      </c>
      <c r="AC1421">
        <v>31.630400000000002</v>
      </c>
      <c r="AD1421">
        <v>-1.0277370699999999</v>
      </c>
      <c r="AE1421">
        <v>-8.6807999999999694</v>
      </c>
      <c r="AF1421">
        <v>3.8351117248587201</v>
      </c>
      <c r="AG1421">
        <v>-1.0277370699999999</v>
      </c>
      <c r="AH1421">
        <v>32.542603319900401</v>
      </c>
      <c r="AI1421">
        <v>91.796449209576707</v>
      </c>
      <c r="AJ1421">
        <v>83.278753703521602</v>
      </c>
      <c r="AK1421">
        <v>32.783919171807298</v>
      </c>
      <c r="AL1421">
        <v>79.533400705403395</v>
      </c>
      <c r="AM1421">
        <v>89.329396436067398</v>
      </c>
      <c r="AN1421">
        <v>0.99999997870872104</v>
      </c>
    </row>
    <row r="1422" spans="1:40" x14ac:dyDescent="0.25">
      <c r="A1422" t="str">
        <f>"20190304155038785"</f>
        <v>20190304155038785</v>
      </c>
      <c r="B1422" t="str">
        <f>"1551685838777914"</f>
        <v>1551685838777914</v>
      </c>
      <c r="C1422" t="s">
        <v>40</v>
      </c>
      <c r="D1422">
        <v>5.1672580000000004</v>
      </c>
      <c r="E1422">
        <v>0.53809249999999997</v>
      </c>
      <c r="F1422" t="s">
        <v>50</v>
      </c>
      <c r="G1422">
        <v>-178.15459999999999</v>
      </c>
      <c r="H1422">
        <v>7.9987959999999997E-2</v>
      </c>
      <c r="I1422">
        <v>357.0994</v>
      </c>
      <c r="J1422">
        <v>-210.3597</v>
      </c>
      <c r="K1422">
        <v>1.1076820000000001</v>
      </c>
      <c r="L1422">
        <v>366.01330000000002</v>
      </c>
      <c r="M1422">
        <v>0.9882417</v>
      </c>
      <c r="N1422">
        <v>-1.4084910000000001E-2</v>
      </c>
      <c r="O1422">
        <v>-0.15225050000000001</v>
      </c>
      <c r="P1422">
        <v>0.97255499999999995</v>
      </c>
      <c r="Q1422">
        <v>0.16818159999999999</v>
      </c>
      <c r="R1422">
        <v>-0.16078629999999999</v>
      </c>
      <c r="S1422">
        <v>2.9662480000000002</v>
      </c>
      <c r="T1422">
        <v>-9.4237570000000007E-2</v>
      </c>
      <c r="U1422">
        <v>-0.81958009999999903</v>
      </c>
      <c r="V1422">
        <v>1.213532E-2</v>
      </c>
      <c r="W1422">
        <v>0.18196570000000001</v>
      </c>
      <c r="X1422">
        <v>0.98323000000000005</v>
      </c>
      <c r="Y1422">
        <v>0.1163928</v>
      </c>
      <c r="Z1422" s="1">
        <v>-6.3203389999999998E-5</v>
      </c>
      <c r="AA1422">
        <v>0.99320330000000001</v>
      </c>
      <c r="AB1422">
        <v>26</v>
      </c>
      <c r="AC1422">
        <v>32.205100000000002</v>
      </c>
      <c r="AD1422">
        <v>-1.0276940400000001</v>
      </c>
      <c r="AE1422">
        <v>-8.9139000000000106</v>
      </c>
      <c r="AF1422">
        <v>3.9025408992461599</v>
      </c>
      <c r="AG1422">
        <v>-1.0276940400000001</v>
      </c>
      <c r="AH1422">
        <v>33.155496328233198</v>
      </c>
      <c r="AI1422">
        <v>91.763218119140802</v>
      </c>
      <c r="AJ1422">
        <v>83.286934424007796</v>
      </c>
      <c r="AK1422">
        <v>33.400193371919599</v>
      </c>
      <c r="AL1422">
        <v>79.515722826655704</v>
      </c>
      <c r="AM1422">
        <v>89.292874183490397</v>
      </c>
      <c r="AN1422">
        <v>1.0000000074339901</v>
      </c>
    </row>
    <row r="1423" spans="1:40" x14ac:dyDescent="0.25">
      <c r="A1423" t="str">
        <f>"20190304155038804"</f>
        <v>20190304155038804</v>
      </c>
      <c r="B1423" t="str">
        <f>"1551685838797435"</f>
        <v>1551685838797435</v>
      </c>
      <c r="C1423" t="s">
        <v>40</v>
      </c>
      <c r="D1423">
        <v>5.2861770000000003</v>
      </c>
      <c r="E1423">
        <v>0.53712299999999902</v>
      </c>
      <c r="F1423" t="s">
        <v>50</v>
      </c>
      <c r="G1423">
        <v>-177.7208</v>
      </c>
      <c r="H1423">
        <v>7.998798E-2</v>
      </c>
      <c r="I1423">
        <v>356.92759999999998</v>
      </c>
      <c r="J1423">
        <v>-210.1584</v>
      </c>
      <c r="K1423">
        <v>1.1076170000000001</v>
      </c>
      <c r="L1423">
        <v>365.97859999999997</v>
      </c>
      <c r="M1423">
        <v>0.98773040000000001</v>
      </c>
      <c r="N1423">
        <v>-1.408831E-2</v>
      </c>
      <c r="O1423">
        <v>-0.15553220000000001</v>
      </c>
      <c r="P1423">
        <v>0.97181930000000005</v>
      </c>
      <c r="Q1423">
        <v>0.16813989999999901</v>
      </c>
      <c r="R1423">
        <v>-0.16521569999999999</v>
      </c>
      <c r="S1423">
        <v>2.9643860000000002</v>
      </c>
      <c r="T1423">
        <v>-9.3338969999999993E-2</v>
      </c>
      <c r="U1423">
        <v>-0.82519529999999996</v>
      </c>
      <c r="V1423">
        <v>1.337912E-2</v>
      </c>
      <c r="W1423">
        <v>0.18191640000000001</v>
      </c>
      <c r="X1423">
        <v>0.98322299999999996</v>
      </c>
      <c r="Y1423">
        <v>0.11500249999999999</v>
      </c>
      <c r="Z1423" s="1">
        <v>-5.8021400000000002E-6</v>
      </c>
      <c r="AA1423">
        <v>0.99336519999999995</v>
      </c>
      <c r="AB1423">
        <v>26</v>
      </c>
      <c r="AC1423">
        <v>32.437600000000003</v>
      </c>
      <c r="AD1423">
        <v>-1.02762902</v>
      </c>
      <c r="AE1423">
        <v>-9.0509999999999806</v>
      </c>
      <c r="AF1423">
        <v>3.8916193341234102</v>
      </c>
      <c r="AG1423">
        <v>-1.02762902</v>
      </c>
      <c r="AH1423">
        <v>33.419525687257398</v>
      </c>
      <c r="AI1423">
        <v>91.749439723701599</v>
      </c>
      <c r="AJ1423">
        <v>83.357965461529005</v>
      </c>
      <c r="AK1423">
        <v>33.6610371142323</v>
      </c>
      <c r="AL1423">
        <v>79.5185956149285</v>
      </c>
      <c r="AM1423">
        <v>89.220400863373399</v>
      </c>
      <c r="AN1423">
        <v>1.0000000225849599</v>
      </c>
    </row>
    <row r="1424" spans="1:40" x14ac:dyDescent="0.25">
      <c r="A1424" t="str">
        <f>"20190304155038816"</f>
        <v>20190304155038816</v>
      </c>
      <c r="B1424" t="str">
        <f>"1551685838808171"</f>
        <v>1551685838808171</v>
      </c>
      <c r="C1424" t="s">
        <v>40</v>
      </c>
      <c r="D1424">
        <v>5.4575170000000002</v>
      </c>
      <c r="E1424">
        <v>0.53663689999999997</v>
      </c>
      <c r="F1424" t="s">
        <v>50</v>
      </c>
      <c r="G1424">
        <v>-178.78790000000001</v>
      </c>
      <c r="H1424">
        <v>7.9987939999999993E-2</v>
      </c>
      <c r="I1424">
        <v>357.17970000000003</v>
      </c>
      <c r="J1424">
        <v>-210.01609999999999</v>
      </c>
      <c r="K1424">
        <v>1.1075680000000001</v>
      </c>
      <c r="L1424">
        <v>365.95359999999999</v>
      </c>
      <c r="M1424">
        <v>0.98735419999999996</v>
      </c>
      <c r="N1424">
        <v>-1.4091080000000001E-2</v>
      </c>
      <c r="O1424">
        <v>-0.1579026</v>
      </c>
      <c r="P1424">
        <v>0.97130660000000002</v>
      </c>
      <c r="Q1424">
        <v>0.16817979999999999</v>
      </c>
      <c r="R1424">
        <v>-0.16816339999999999</v>
      </c>
      <c r="S1424">
        <v>2.962494</v>
      </c>
      <c r="T1424">
        <v>-9.7044939999999996E-2</v>
      </c>
      <c r="U1424">
        <v>-0.83093259999999902</v>
      </c>
      <c r="V1424">
        <v>1.402573E-2</v>
      </c>
      <c r="W1424">
        <v>0.18195259999999999</v>
      </c>
      <c r="X1424">
        <v>0.98320730000000001</v>
      </c>
      <c r="Y1424">
        <v>0.114565</v>
      </c>
      <c r="Z1424">
        <v>1.64790099999999E-4</v>
      </c>
      <c r="AA1424">
        <v>0.99341570000000001</v>
      </c>
      <c r="AB1424">
        <v>26</v>
      </c>
      <c r="AC1424">
        <v>31.228199999999902</v>
      </c>
      <c r="AD1424">
        <v>-1.02758006</v>
      </c>
      <c r="AE1424">
        <v>-8.7738999999999692</v>
      </c>
      <c r="AF1424">
        <v>3.72856159196524</v>
      </c>
      <c r="AG1424">
        <v>-1.02758006</v>
      </c>
      <c r="AH1424">
        <v>32.1896094744286</v>
      </c>
      <c r="AI1424">
        <v>91.8162809185079</v>
      </c>
      <c r="AJ1424">
        <v>83.392804525352702</v>
      </c>
      <c r="AK1424">
        <v>32.421120437779599</v>
      </c>
      <c r="AL1424">
        <v>79.516486407332707</v>
      </c>
      <c r="AM1424">
        <v>89.182714948505506</v>
      </c>
      <c r="AN1424">
        <v>1.0000000322610401</v>
      </c>
    </row>
    <row r="1425" spans="1:40" x14ac:dyDescent="0.25">
      <c r="A1425" t="str">
        <f>"20190304155038830"</f>
        <v>20190304155038830</v>
      </c>
      <c r="B1425" t="str">
        <f>"1551685838827691"</f>
        <v>1551685838827691</v>
      </c>
      <c r="C1425" t="s">
        <v>40</v>
      </c>
      <c r="D1425">
        <v>5.3519880000000004</v>
      </c>
      <c r="E1425">
        <v>0.53566590000000003</v>
      </c>
      <c r="F1425" t="s">
        <v>50</v>
      </c>
      <c r="G1425">
        <v>-179.97149999999999</v>
      </c>
      <c r="H1425">
        <v>7.8549560000000004E-2</v>
      </c>
      <c r="I1425">
        <v>357.46929999999998</v>
      </c>
      <c r="J1425">
        <v>-209.8571</v>
      </c>
      <c r="K1425">
        <v>1.1075140000000001</v>
      </c>
      <c r="L1425">
        <v>365.92540000000002</v>
      </c>
      <c r="M1425">
        <v>0.9869213</v>
      </c>
      <c r="N1425">
        <v>-1.4094300000000001E-2</v>
      </c>
      <c r="O1425">
        <v>-0.16058549999999999</v>
      </c>
      <c r="P1425">
        <v>0.97070429999999996</v>
      </c>
      <c r="Q1425">
        <v>0.1682129</v>
      </c>
      <c r="R1425">
        <v>-0.17157339999999999</v>
      </c>
      <c r="S1425">
        <v>2.961411</v>
      </c>
      <c r="T1425">
        <v>-0.1014274</v>
      </c>
      <c r="U1425">
        <v>-0.83627320000000005</v>
      </c>
      <c r="V1425">
        <v>1.483313E-2</v>
      </c>
      <c r="W1425">
        <v>0.18198110000000001</v>
      </c>
      <c r="X1425">
        <v>0.98319009999999996</v>
      </c>
      <c r="Y1425">
        <v>0.11361839999999999</v>
      </c>
      <c r="Z1425">
        <v>3.8160830000000002E-4</v>
      </c>
      <c r="AA1425">
        <v>0.99352439999999997</v>
      </c>
      <c r="AB1425">
        <v>26</v>
      </c>
      <c r="AC1425">
        <v>29.8856</v>
      </c>
      <c r="AD1425">
        <v>-1.02896444</v>
      </c>
      <c r="AE1425">
        <v>-8.4561000000000401</v>
      </c>
      <c r="AF1425">
        <v>3.5427750534525999</v>
      </c>
      <c r="AG1425">
        <v>-1.02896444</v>
      </c>
      <c r="AH1425">
        <v>30.821898139902299</v>
      </c>
      <c r="AI1425">
        <v>91.899565595432705</v>
      </c>
      <c r="AJ1425">
        <v>83.443001872121897</v>
      </c>
      <c r="AK1425">
        <v>31.041897942050198</v>
      </c>
      <c r="AL1425">
        <v>79.514824961007903</v>
      </c>
      <c r="AM1425">
        <v>89.135659243509195</v>
      </c>
      <c r="AN1425">
        <v>0.99999995762040705</v>
      </c>
    </row>
    <row r="1426" spans="1:40" x14ac:dyDescent="0.25">
      <c r="A1426" t="str">
        <f>"20190304155038842"</f>
        <v>20190304155038842</v>
      </c>
      <c r="B1426" t="str">
        <f>"1551685838837451"</f>
        <v>1551685838837451</v>
      </c>
      <c r="C1426" t="s">
        <v>40</v>
      </c>
      <c r="D1426">
        <v>5.2905139999999999</v>
      </c>
      <c r="E1426">
        <v>0.53489509999999996</v>
      </c>
      <c r="F1426" t="s">
        <v>50</v>
      </c>
      <c r="G1426">
        <v>-180</v>
      </c>
      <c r="H1426">
        <v>8.7176449999999996E-3</v>
      </c>
      <c r="I1426">
        <v>357.45929999999998</v>
      </c>
      <c r="J1426">
        <v>-209.7234</v>
      </c>
      <c r="K1426">
        <v>1.1074660000000001</v>
      </c>
      <c r="L1426">
        <v>365.90109999999999</v>
      </c>
      <c r="M1426">
        <v>0.98654319999999895</v>
      </c>
      <c r="N1426">
        <v>-1.409731E-2</v>
      </c>
      <c r="O1426">
        <v>-0.16289139999999999</v>
      </c>
      <c r="P1426">
        <v>0.97018369999999998</v>
      </c>
      <c r="Q1426">
        <v>0.16819210000000001</v>
      </c>
      <c r="R1426">
        <v>-0.17451369999999999</v>
      </c>
      <c r="S1426">
        <v>2.9609990000000002</v>
      </c>
      <c r="T1426">
        <v>-0.10897030000000001</v>
      </c>
      <c r="U1426">
        <v>-0.839599599999999</v>
      </c>
      <c r="V1426">
        <v>1.553562E-2</v>
      </c>
      <c r="W1426">
        <v>0.1819558</v>
      </c>
      <c r="X1426">
        <v>0.98318399999999995</v>
      </c>
      <c r="Y1426">
        <v>0.1123642</v>
      </c>
      <c r="Z1426">
        <v>7.1699679999999997E-4</v>
      </c>
      <c r="AA1426">
        <v>0.99366679999999996</v>
      </c>
      <c r="AB1426">
        <v>26</v>
      </c>
      <c r="AC1426">
        <v>29.723400000000002</v>
      </c>
      <c r="AD1426">
        <v>-1.0987483549999999</v>
      </c>
      <c r="AE1426">
        <v>-8.4418000000000006</v>
      </c>
      <c r="AF1426">
        <v>3.4824574726812001</v>
      </c>
      <c r="AG1426">
        <v>-1.0987483549999999</v>
      </c>
      <c r="AH1426">
        <v>30.662796035938801</v>
      </c>
      <c r="AI1426">
        <v>92.039119518286199</v>
      </c>
      <c r="AJ1426">
        <v>83.520525758801398</v>
      </c>
      <c r="AK1426">
        <v>30.8794724491568</v>
      </c>
      <c r="AL1426">
        <v>79.516299852738697</v>
      </c>
      <c r="AM1426">
        <v>89.094725517920295</v>
      </c>
      <c r="AN1426">
        <v>1.0000000232492099</v>
      </c>
    </row>
    <row r="1427" spans="1:40" x14ac:dyDescent="0.25">
      <c r="A1427" t="str">
        <f>"20190304155038856"</f>
        <v>20190304155038856</v>
      </c>
      <c r="B1427" t="str">
        <f>"1551685838847211"</f>
        <v>1551685838847211</v>
      </c>
      <c r="C1427" t="s">
        <v>40</v>
      </c>
      <c r="D1427">
        <v>5.7707860000000002</v>
      </c>
      <c r="E1427">
        <v>0.53460989999999997</v>
      </c>
      <c r="F1427" t="s">
        <v>50</v>
      </c>
      <c r="G1427">
        <v>-180.4186</v>
      </c>
      <c r="H1427" s="1">
        <v>-5.1901289999999998E-6</v>
      </c>
      <c r="I1427">
        <v>357.55959999999999</v>
      </c>
      <c r="J1427">
        <v>-209.5496</v>
      </c>
      <c r="K1427">
        <v>1.1074059999999999</v>
      </c>
      <c r="L1427">
        <v>365.86900000000003</v>
      </c>
      <c r="M1427">
        <v>0.98603620000000003</v>
      </c>
      <c r="N1427">
        <v>-1.4101239999999999E-2</v>
      </c>
      <c r="O1427">
        <v>-0.1659331</v>
      </c>
      <c r="P1427">
        <v>0.96930890000000003</v>
      </c>
      <c r="Q1427">
        <v>0.1679609</v>
      </c>
      <c r="R1427">
        <v>-0.1795264</v>
      </c>
      <c r="S1427">
        <v>2.9600369999999998</v>
      </c>
      <c r="T1427">
        <v>-0.11186400000000001</v>
      </c>
      <c r="U1427">
        <v>-0.84255979999999997</v>
      </c>
      <c r="V1427">
        <v>1.7608039999999998E-2</v>
      </c>
      <c r="W1427">
        <v>0.1817106</v>
      </c>
      <c r="X1427">
        <v>0.98319440000000002</v>
      </c>
      <c r="Y1427">
        <v>0.1103051</v>
      </c>
      <c r="Z1427">
        <v>9.3784260000000003E-4</v>
      </c>
      <c r="AA1427">
        <v>0.99389729999999998</v>
      </c>
      <c r="AB1427">
        <v>26</v>
      </c>
      <c r="AC1427">
        <v>29.131</v>
      </c>
      <c r="AD1427">
        <v>-1.10741119012899</v>
      </c>
      <c r="AE1427">
        <v>-8.3094000000000392</v>
      </c>
      <c r="AF1427">
        <v>3.3554219118566402</v>
      </c>
      <c r="AG1427">
        <v>-1.10741119012899</v>
      </c>
      <c r="AH1427">
        <v>30.0658381228221</v>
      </c>
      <c r="AI1427">
        <v>92.0964111856741</v>
      </c>
      <c r="AJ1427">
        <v>83.632000076153602</v>
      </c>
      <c r="AK1427">
        <v>30.272757353408199</v>
      </c>
      <c r="AL1427">
        <v>79.530586777126899</v>
      </c>
      <c r="AM1427">
        <v>88.973998896416802</v>
      </c>
      <c r="AN1427">
        <v>1.00000000670818</v>
      </c>
    </row>
    <row r="1428" spans="1:40" x14ac:dyDescent="0.25">
      <c r="A1428" t="str">
        <f>"20190304155038868"</f>
        <v>20190304155038868</v>
      </c>
      <c r="B1428" t="str">
        <f>"1551685838857947"</f>
        <v>1551685838857947</v>
      </c>
      <c r="C1428" t="s">
        <v>40</v>
      </c>
      <c r="D1428">
        <v>4.8236749999999997</v>
      </c>
      <c r="E1428">
        <v>0.53460989999999997</v>
      </c>
      <c r="F1428" t="s">
        <v>50</v>
      </c>
      <c r="G1428">
        <v>-180</v>
      </c>
      <c r="H1428">
        <v>1.6709769999999999E-2</v>
      </c>
      <c r="I1428">
        <v>357.32499999999999</v>
      </c>
      <c r="J1428">
        <v>-209.41810000000001</v>
      </c>
      <c r="K1428">
        <v>1.107364</v>
      </c>
      <c r="L1428">
        <v>365.84449999999998</v>
      </c>
      <c r="M1428">
        <v>0.98564189999999996</v>
      </c>
      <c r="N1428">
        <v>-1.4104169999999999E-2</v>
      </c>
      <c r="O1428">
        <v>-0.16825950000000001</v>
      </c>
      <c r="P1428">
        <v>0.96877009999999997</v>
      </c>
      <c r="Q1428">
        <v>0.16741829999999999</v>
      </c>
      <c r="R1428">
        <v>-0.18291089999999999</v>
      </c>
      <c r="S1428">
        <v>2.955597</v>
      </c>
      <c r="T1428">
        <v>-0.1090932</v>
      </c>
      <c r="U1428">
        <v>-0.85458369999999995</v>
      </c>
      <c r="V1428">
        <v>1.8723549999999999E-2</v>
      </c>
      <c r="W1428">
        <v>0.1811615</v>
      </c>
      <c r="X1428">
        <v>0.98327509999999996</v>
      </c>
      <c r="Y1428">
        <v>0.11208799999999999</v>
      </c>
      <c r="Z1428">
        <v>8.4500949999999895E-4</v>
      </c>
      <c r="AA1428">
        <v>0.99369790000000002</v>
      </c>
      <c r="AB1428">
        <v>26</v>
      </c>
      <c r="AC1428">
        <v>29.418099999999999</v>
      </c>
      <c r="AD1428">
        <v>-1.0906542299999999</v>
      </c>
      <c r="AE1428">
        <v>-8.5194999999999901</v>
      </c>
      <c r="AF1428">
        <v>3.4432774888678201</v>
      </c>
      <c r="AG1428">
        <v>-1.0906542299999999</v>
      </c>
      <c r="AH1428">
        <v>30.3936801412198</v>
      </c>
      <c r="AI1428">
        <v>92.042082346534997</v>
      </c>
      <c r="AJ1428">
        <v>83.536561185720601</v>
      </c>
      <c r="AK1428">
        <v>30.607539578370901</v>
      </c>
      <c r="AL1428">
        <v>79.562578708646001</v>
      </c>
      <c r="AM1428">
        <v>88.909104117698107</v>
      </c>
      <c r="AN1428">
        <v>0.99999999134343098</v>
      </c>
    </row>
    <row r="1429" spans="1:40" x14ac:dyDescent="0.25">
      <c r="A1429" t="str">
        <f>"20190304155038879"</f>
        <v>20190304155038879</v>
      </c>
      <c r="B1429" t="str">
        <f>"1551685838867707"</f>
        <v>1551685838867707</v>
      </c>
      <c r="C1429" t="s">
        <v>40</v>
      </c>
      <c r="D1429">
        <v>5.6186850000000002</v>
      </c>
      <c r="E1429">
        <v>0.58017869999999905</v>
      </c>
      <c r="F1429" t="s">
        <v>50</v>
      </c>
      <c r="G1429">
        <v>-180</v>
      </c>
      <c r="H1429">
        <v>1.1584410000000001E-3</v>
      </c>
      <c r="I1429">
        <v>357.23239999999998</v>
      </c>
      <c r="J1429">
        <v>-209.28540000000001</v>
      </c>
      <c r="K1429">
        <v>1.1073200000000001</v>
      </c>
      <c r="L1429">
        <v>365.81920000000002</v>
      </c>
      <c r="M1429">
        <v>0.98522880000000002</v>
      </c>
      <c r="N1429">
        <v>-1.410717E-2</v>
      </c>
      <c r="O1429">
        <v>-0.17066099999999901</v>
      </c>
      <c r="P1429">
        <v>0.96812310000000001</v>
      </c>
      <c r="Q1429">
        <v>0.16716589999999901</v>
      </c>
      <c r="R1429">
        <v>-0.18652969999999999</v>
      </c>
      <c r="S1429">
        <v>2.9527130000000001</v>
      </c>
      <c r="T1429">
        <v>-0.1110307</v>
      </c>
      <c r="U1429">
        <v>-0.86441039999999902</v>
      </c>
      <c r="V1429">
        <v>2.0014029999999999E-2</v>
      </c>
      <c r="W1429">
        <v>0.1808998</v>
      </c>
      <c r="X1429">
        <v>0.98329789999999995</v>
      </c>
      <c r="Y1429">
        <v>0.112973</v>
      </c>
      <c r="Z1429">
        <v>9.4720739999999996E-4</v>
      </c>
      <c r="AA1429">
        <v>0.99359759999999997</v>
      </c>
      <c r="AB1429">
        <v>26</v>
      </c>
      <c r="AC1429">
        <v>29.285399999999999</v>
      </c>
      <c r="AD1429">
        <v>-1.106161559</v>
      </c>
      <c r="AE1429">
        <v>-8.5868000000000393</v>
      </c>
      <c r="AF1429">
        <v>3.45788876501038</v>
      </c>
      <c r="AG1429">
        <v>-1.106161559</v>
      </c>
      <c r="AH1429">
        <v>30.2814864230395</v>
      </c>
      <c r="AI1429">
        <v>92.078548651900903</v>
      </c>
      <c r="AJ1429">
        <v>83.485526027079899</v>
      </c>
      <c r="AK1429">
        <v>30.498344350054801</v>
      </c>
      <c r="AL1429">
        <v>79.577825323630194</v>
      </c>
      <c r="AM1429">
        <v>88.833963610315195</v>
      </c>
      <c r="AN1429">
        <v>1.0000000295906399</v>
      </c>
    </row>
    <row r="1430" spans="1:40" x14ac:dyDescent="0.25">
      <c r="A1430" t="str">
        <f>"20190304155039247"</f>
        <v>20190304155039247</v>
      </c>
      <c r="B1430" t="str">
        <f>"1551685839237611"</f>
        <v>1551685839237611</v>
      </c>
      <c r="C1430" t="s">
        <v>40</v>
      </c>
      <c r="D1430">
        <v>4.5343</v>
      </c>
      <c r="E1430">
        <v>0.57947869999999901</v>
      </c>
      <c r="F1430" t="s">
        <v>45</v>
      </c>
      <c r="G1430">
        <v>-155.07220000000001</v>
      </c>
      <c r="H1430">
        <v>0.8061606</v>
      </c>
      <c r="I1430">
        <v>342.64400000000001</v>
      </c>
      <c r="J1430">
        <v>-205.14150000000001</v>
      </c>
      <c r="K1430">
        <v>1.105775</v>
      </c>
      <c r="L1430">
        <v>364.81110000000001</v>
      </c>
      <c r="M1430">
        <v>0.96413649999999995</v>
      </c>
      <c r="N1430">
        <v>-1.426964E-2</v>
      </c>
      <c r="O1430">
        <v>-0.26502290000000001</v>
      </c>
      <c r="P1430">
        <v>0.93927210000000005</v>
      </c>
      <c r="Q1430">
        <v>0.16844149999999999</v>
      </c>
      <c r="R1430">
        <v>-0.29899109999999901</v>
      </c>
      <c r="S1430">
        <v>2.865494</v>
      </c>
      <c r="T1430">
        <v>-1.5917779999999999E-2</v>
      </c>
      <c r="U1430">
        <v>-1.224945</v>
      </c>
      <c r="V1430">
        <v>4.1502190000000001E-2</v>
      </c>
      <c r="W1430">
        <v>0.18199989999999999</v>
      </c>
      <c r="X1430">
        <v>0.98242229999999997</v>
      </c>
      <c r="Y1430">
        <v>0.13530059999999999</v>
      </c>
      <c r="Z1430">
        <v>-3.698266E-3</v>
      </c>
      <c r="AA1430">
        <v>0.9907977</v>
      </c>
      <c r="AB1430">
        <v>25</v>
      </c>
      <c r="AC1430">
        <v>50.069299999999998</v>
      </c>
      <c r="AD1430">
        <v>-0.299614399999999</v>
      </c>
      <c r="AE1430">
        <v>-22.167100000000001</v>
      </c>
      <c r="AF1430">
        <v>8.1031817767017902</v>
      </c>
      <c r="AG1430">
        <v>-0.299614399999999</v>
      </c>
      <c r="AH1430">
        <v>54.152322576958703</v>
      </c>
      <c r="AI1430">
        <v>90.313512849384196</v>
      </c>
      <c r="AJ1430">
        <v>81.489585816279302</v>
      </c>
      <c r="AK1430">
        <v>54.756053219474701</v>
      </c>
      <c r="AL1430">
        <v>79.513729801727806</v>
      </c>
      <c r="AM1430">
        <v>87.580992113799894</v>
      </c>
      <c r="AN1430">
        <v>0.99999998545604796</v>
      </c>
    </row>
    <row r="1431" spans="1:40" x14ac:dyDescent="0.25">
      <c r="A1431" t="str">
        <f>"20190304155040481"</f>
        <v>20190304155040481</v>
      </c>
      <c r="B1431" t="str">
        <f>"1551685840477405"</f>
        <v>1551685840477405</v>
      </c>
      <c r="C1431" t="s">
        <v>40</v>
      </c>
      <c r="D1431">
        <v>7.1409119999999904</v>
      </c>
      <c r="E1431">
        <v>0.57947869999999901</v>
      </c>
      <c r="F1431" t="s">
        <v>45</v>
      </c>
      <c r="G1431">
        <v>-166.46190000000001</v>
      </c>
      <c r="H1431">
        <v>0.52465090000000003</v>
      </c>
      <c r="I1431">
        <v>342.64389999999997</v>
      </c>
      <c r="J1431">
        <v>-194.0985</v>
      </c>
      <c r="K1431">
        <v>1.1012390000000001</v>
      </c>
      <c r="L1431">
        <v>357.25889999999998</v>
      </c>
      <c r="M1431">
        <v>0.60642640000000003</v>
      </c>
      <c r="N1431">
        <v>-1.5662639999999999E-2</v>
      </c>
      <c r="O1431">
        <v>-0.79498530000000001</v>
      </c>
      <c r="P1431">
        <v>0.50488100000000002</v>
      </c>
      <c r="Q1431">
        <v>0.16718759999999999</v>
      </c>
      <c r="R1431">
        <v>-0.84684309999999996</v>
      </c>
      <c r="S1431">
        <v>2.7073520000000002</v>
      </c>
      <c r="T1431">
        <v>-4.0674920000000003E-2</v>
      </c>
      <c r="U1431">
        <v>-1.5515749999999999</v>
      </c>
      <c r="V1431">
        <v>0.1163642</v>
      </c>
      <c r="W1431">
        <v>0.17987600000000001</v>
      </c>
      <c r="X1431">
        <v>0.9767825</v>
      </c>
      <c r="Y1431">
        <v>-0.38818580000000003</v>
      </c>
      <c r="Z1431">
        <v>1.4262610000000001E-3</v>
      </c>
      <c r="AA1431">
        <v>0.92158010000000001</v>
      </c>
      <c r="AB1431">
        <v>23</v>
      </c>
      <c r="AC1431">
        <v>27.636599999999898</v>
      </c>
      <c r="AD1431">
        <v>-0.57658809999999905</v>
      </c>
      <c r="AE1431">
        <v>-14.615</v>
      </c>
      <c r="AF1431">
        <v>-13.1049198744455</v>
      </c>
      <c r="AG1431">
        <v>-0.57658809999999905</v>
      </c>
      <c r="AH1431">
        <v>28.372105862395699</v>
      </c>
      <c r="AI1431">
        <v>91.056951454165201</v>
      </c>
      <c r="AJ1431">
        <v>114.79195581169201</v>
      </c>
      <c r="AK1431">
        <v>31.257763352800701</v>
      </c>
      <c r="AL1431">
        <v>79.637463044879595</v>
      </c>
      <c r="AM1431">
        <v>83.206365520951906</v>
      </c>
      <c r="AN1431">
        <v>1.00000002736194</v>
      </c>
    </row>
    <row r="1432" spans="1:40" x14ac:dyDescent="0.25">
      <c r="A1432" t="str">
        <f>"20190304155040493"</f>
        <v>20190304155040493</v>
      </c>
      <c r="B1432" t="str">
        <f>"1551685840488141"</f>
        <v>1551685840488141</v>
      </c>
      <c r="C1432" t="s">
        <v>40</v>
      </c>
      <c r="D1432">
        <v>4.0313559999999997</v>
      </c>
      <c r="E1432">
        <v>0.63826090000000002</v>
      </c>
      <c r="F1432" t="s">
        <v>57</v>
      </c>
      <c r="G1432">
        <v>-165.7396</v>
      </c>
      <c r="H1432">
        <v>4.55389E-2</v>
      </c>
      <c r="I1432">
        <v>272.61509999999998</v>
      </c>
      <c r="J1432">
        <v>-194.03440000000001</v>
      </c>
      <c r="K1432">
        <v>1.1012230000000001</v>
      </c>
      <c r="L1432">
        <v>357.16199999999998</v>
      </c>
      <c r="M1432">
        <v>0.60055709999999995</v>
      </c>
      <c r="N1432">
        <v>-1.567211E-2</v>
      </c>
      <c r="O1432">
        <v>-0.79942819999999903</v>
      </c>
      <c r="P1432">
        <v>0.49906080000000003</v>
      </c>
      <c r="Q1432">
        <v>0.16685720000000001</v>
      </c>
      <c r="R1432">
        <v>-0.85035119999999897</v>
      </c>
      <c r="S1432">
        <v>0.99133300000000002</v>
      </c>
      <c r="T1432">
        <v>-3.6901000000000003E-2</v>
      </c>
      <c r="U1432">
        <v>-2.9588619999999999</v>
      </c>
      <c r="V1432">
        <v>0.1159097</v>
      </c>
      <c r="W1432">
        <v>0.17956259999999999</v>
      </c>
      <c r="X1432">
        <v>0.97689409999999999</v>
      </c>
      <c r="Y1432">
        <v>0.31545420000000002</v>
      </c>
      <c r="Z1432">
        <v>-5.750013E-3</v>
      </c>
      <c r="AA1432">
        <v>0.94892339999999997</v>
      </c>
      <c r="AB1432">
        <v>23</v>
      </c>
      <c r="AC1432">
        <v>28.294799999999999</v>
      </c>
      <c r="AD1432">
        <v>-1.0556840999999999</v>
      </c>
      <c r="AE1432">
        <v>-84.546899999999994</v>
      </c>
      <c r="AF1432">
        <v>28.155092390721698</v>
      </c>
      <c r="AG1432">
        <v>-1.0556840999999999</v>
      </c>
      <c r="AH1432">
        <v>84.580354160770199</v>
      </c>
      <c r="AI1432">
        <v>90.678495737002805</v>
      </c>
      <c r="AJ1432">
        <v>71.588440731301702</v>
      </c>
      <c r="AK1432">
        <v>89.149649502453897</v>
      </c>
      <c r="AL1432">
        <v>79.655715775942895</v>
      </c>
      <c r="AM1432">
        <v>83.233419731822906</v>
      </c>
      <c r="AN1432">
        <v>0.99999993424382705</v>
      </c>
    </row>
    <row r="1433" spans="1:40" x14ac:dyDescent="0.25">
      <c r="A1433" t="str">
        <f>"20190304155040883"</f>
        <v>20190304155040883</v>
      </c>
      <c r="B1433" t="str">
        <f>"1551685840877566"</f>
        <v>1551685840877566</v>
      </c>
      <c r="C1433" t="s">
        <v>40</v>
      </c>
      <c r="D1433">
        <v>5.6710190000000003</v>
      </c>
      <c r="E1433">
        <v>0.63728669999999898</v>
      </c>
      <c r="F1433" t="s">
        <v>58</v>
      </c>
      <c r="G1433">
        <v>-168.11170000000001</v>
      </c>
      <c r="H1433">
        <v>0.49795529999999999</v>
      </c>
      <c r="I1433">
        <v>210.23660000000001</v>
      </c>
      <c r="J1433">
        <v>-192.2867</v>
      </c>
      <c r="K1433">
        <v>1.1012029999999999</v>
      </c>
      <c r="L1433">
        <v>353.46890000000002</v>
      </c>
      <c r="M1433">
        <v>0.36394759999999998</v>
      </c>
      <c r="N1433">
        <v>-1.5857889999999999E-2</v>
      </c>
      <c r="O1433">
        <v>-0.93128449999999996</v>
      </c>
      <c r="P1433">
        <v>0.27432889999999999</v>
      </c>
      <c r="Q1433">
        <v>0.15825129999999901</v>
      </c>
      <c r="R1433">
        <v>-0.94852550000000002</v>
      </c>
      <c r="S1433">
        <v>0.56446839999999998</v>
      </c>
      <c r="T1433">
        <v>-1.313543E-2</v>
      </c>
      <c r="U1433">
        <v>-3.1993100000000001</v>
      </c>
      <c r="V1433">
        <v>9.3741699999999997E-2</v>
      </c>
      <c r="W1433">
        <v>0.17170350000000001</v>
      </c>
      <c r="X1433">
        <v>0.98067859999999996</v>
      </c>
      <c r="Y1433">
        <v>0.19660649999999999</v>
      </c>
      <c r="Z1433">
        <v>-1.172372E-2</v>
      </c>
      <c r="AA1433">
        <v>0.98041239999999996</v>
      </c>
      <c r="AB1433">
        <v>22</v>
      </c>
      <c r="AC1433">
        <v>24.174999999999901</v>
      </c>
      <c r="AD1433">
        <v>-0.60324770000000005</v>
      </c>
      <c r="AE1433">
        <v>-143.23230000000001</v>
      </c>
      <c r="AF1433">
        <v>29.6184604346704</v>
      </c>
      <c r="AG1433">
        <v>-0.60324770000000005</v>
      </c>
      <c r="AH1433">
        <v>142.203872637221</v>
      </c>
      <c r="AI1433">
        <v>90.237948445314998</v>
      </c>
      <c r="AJ1433">
        <v>78.234547916765493</v>
      </c>
      <c r="AK1433">
        <v>145.25687074741299</v>
      </c>
      <c r="AL1433">
        <v>80.113121640059504</v>
      </c>
      <c r="AM1433">
        <v>84.539766378117505</v>
      </c>
      <c r="AN1433">
        <v>1.00000005736454</v>
      </c>
    </row>
    <row r="1434" spans="1:40" x14ac:dyDescent="0.25">
      <c r="A1434" t="str">
        <f>"20190304155040904"</f>
        <v>20190304155040904</v>
      </c>
      <c r="B1434" t="str">
        <f>"1551685840898062"</f>
        <v>1551685840898062</v>
      </c>
      <c r="C1434" t="s">
        <v>40</v>
      </c>
      <c r="D1434">
        <v>5.6334609999999996</v>
      </c>
      <c r="E1434">
        <v>0.63242319999999996</v>
      </c>
      <c r="F1434" t="s">
        <v>41</v>
      </c>
      <c r="G1434">
        <v>-195.9666</v>
      </c>
      <c r="H1434" s="1">
        <v>-2.7565569999999999E-6</v>
      </c>
      <c r="I1434">
        <v>302.3141</v>
      </c>
      <c r="J1434">
        <v>-192.22409999999999</v>
      </c>
      <c r="K1434">
        <v>1.1012360000000001</v>
      </c>
      <c r="L1434">
        <v>353.26339999999999</v>
      </c>
      <c r="M1434">
        <v>0.35040399999999999</v>
      </c>
      <c r="N1434">
        <v>-1.5852930000000001E-2</v>
      </c>
      <c r="O1434">
        <v>-0.93646450000000003</v>
      </c>
      <c r="P1434">
        <v>0.26266240000000002</v>
      </c>
      <c r="Q1434">
        <v>0.15776709999999999</v>
      </c>
      <c r="R1434">
        <v>-0.95190240000000004</v>
      </c>
      <c r="S1434">
        <v>-0.23321529999999999</v>
      </c>
      <c r="T1434">
        <v>-6.9789050000000005E-2</v>
      </c>
      <c r="U1434">
        <v>-3.241943</v>
      </c>
      <c r="V1434">
        <v>9.1557700000000006E-2</v>
      </c>
      <c r="W1434">
        <v>0.1712765</v>
      </c>
      <c r="X1434">
        <v>0.98095949999999998</v>
      </c>
      <c r="Y1434">
        <v>0.41661710000000002</v>
      </c>
      <c r="Z1434">
        <v>2.4045429999999999E-3</v>
      </c>
      <c r="AA1434">
        <v>0.90907890000000002</v>
      </c>
      <c r="AB1434">
        <v>22</v>
      </c>
      <c r="AC1434">
        <v>-3.7425000000000002</v>
      </c>
      <c r="AD1434">
        <v>-1.1012387565569901</v>
      </c>
      <c r="AE1434">
        <v>-50.949300000000001</v>
      </c>
      <c r="AF1434">
        <v>21.350319781414999</v>
      </c>
      <c r="AG1434">
        <v>-1.1012387565569901</v>
      </c>
      <c r="AH1434">
        <v>46.385100602444297</v>
      </c>
      <c r="AI1434">
        <v>91.2354689342895</v>
      </c>
      <c r="AJ1434">
        <v>65.284140905967504</v>
      </c>
      <c r="AK1434">
        <v>51.074714286685001</v>
      </c>
      <c r="AL1434">
        <v>80.1379542102176</v>
      </c>
      <c r="AM1434">
        <v>84.667755421185305</v>
      </c>
      <c r="AN1434">
        <v>0.99999999626089497</v>
      </c>
    </row>
    <row r="1435" spans="1:40" x14ac:dyDescent="0.25">
      <c r="A1435" t="str">
        <f>"20190304155040917"</f>
        <v>20190304155040917</v>
      </c>
      <c r="B1435" t="str">
        <f>"1551685840907821"</f>
        <v>1551685840907821</v>
      </c>
      <c r="C1435" t="s">
        <v>40</v>
      </c>
      <c r="D1435">
        <v>5.6118259999999998</v>
      </c>
      <c r="E1435">
        <v>0.63184469999999904</v>
      </c>
      <c r="F1435" t="s">
        <v>41</v>
      </c>
      <c r="G1435">
        <v>-195.11519999999999</v>
      </c>
      <c r="H1435" s="1">
        <v>-3.2280540000000001E-6</v>
      </c>
      <c r="I1435">
        <v>313.54129999999998</v>
      </c>
      <c r="J1435">
        <v>-192.18559999999999</v>
      </c>
      <c r="K1435">
        <v>1.1012580000000001</v>
      </c>
      <c r="L1435">
        <v>353.1309</v>
      </c>
      <c r="M1435">
        <v>0.34167409999999998</v>
      </c>
      <c r="N1435">
        <v>-1.584926E-2</v>
      </c>
      <c r="O1435">
        <v>-0.93968490000000005</v>
      </c>
      <c r="P1435">
        <v>0.2549611</v>
      </c>
      <c r="Q1435">
        <v>0.1579806</v>
      </c>
      <c r="R1435">
        <v>-0.95395870000000005</v>
      </c>
      <c r="S1435">
        <v>-0.2351837</v>
      </c>
      <c r="T1435">
        <v>-8.9583159999999995E-2</v>
      </c>
      <c r="U1435">
        <v>-3.231293</v>
      </c>
      <c r="V1435">
        <v>9.0337169999999994E-2</v>
      </c>
      <c r="W1435">
        <v>0.1715198</v>
      </c>
      <c r="X1435">
        <v>0.98103019999999996</v>
      </c>
      <c r="Y1435">
        <v>0.40888560000000002</v>
      </c>
      <c r="Z1435">
        <v>7.9067719999999994E-3</v>
      </c>
      <c r="AA1435">
        <v>0.91255140000000001</v>
      </c>
      <c r="AB1435">
        <v>22</v>
      </c>
      <c r="AC1435">
        <v>-2.92959999999999</v>
      </c>
      <c r="AD1435">
        <v>-1.101261228054</v>
      </c>
      <c r="AE1435">
        <v>-39.589599999999997</v>
      </c>
      <c r="AF1435">
        <v>16.269165886972701</v>
      </c>
      <c r="AG1435">
        <v>-1.101261228054</v>
      </c>
      <c r="AH1435">
        <v>36.1774856802868</v>
      </c>
      <c r="AI1435">
        <v>91.5902616577673</v>
      </c>
      <c r="AJ1435">
        <v>65.786352092403604</v>
      </c>
      <c r="AK1435">
        <v>39.682603305448701</v>
      </c>
      <c r="AL1435">
        <v>80.123805294225207</v>
      </c>
      <c r="AM1435">
        <v>84.738813508716603</v>
      </c>
      <c r="AN1435">
        <v>1.0000000496938399</v>
      </c>
    </row>
    <row r="1436" spans="1:40" x14ac:dyDescent="0.25">
      <c r="A1436" t="str">
        <f>"20190304155040932"</f>
        <v>20190304155040932</v>
      </c>
      <c r="B1436" t="str">
        <f>"1551685840927342"</f>
        <v>1551685840927342</v>
      </c>
      <c r="C1436" t="s">
        <v>40</v>
      </c>
      <c r="D1436">
        <v>5.6396790000000001</v>
      </c>
      <c r="E1436">
        <v>0.62859580000000004</v>
      </c>
      <c r="F1436" t="s">
        <v>41</v>
      </c>
      <c r="G1436">
        <v>-194.98699999999999</v>
      </c>
      <c r="H1436" s="1">
        <v>-4.9279489999999997E-6</v>
      </c>
      <c r="I1436">
        <v>317.8152</v>
      </c>
      <c r="J1436">
        <v>-192.14699999999999</v>
      </c>
      <c r="K1436">
        <v>1.1012839999999999</v>
      </c>
      <c r="L1436">
        <v>352.9941</v>
      </c>
      <c r="M1436">
        <v>0.33264460000000001</v>
      </c>
      <c r="N1436">
        <v>-1.5845290000000001E-2</v>
      </c>
      <c r="O1436">
        <v>-0.94291910000000001</v>
      </c>
      <c r="P1436">
        <v>0.2467722</v>
      </c>
      <c r="Q1436">
        <v>0.15812809999999999</v>
      </c>
      <c r="R1436">
        <v>-0.95608510000000002</v>
      </c>
      <c r="S1436">
        <v>-0.2562103</v>
      </c>
      <c r="T1436">
        <v>-0.1007208</v>
      </c>
      <c r="U1436">
        <v>-3.2299500000000001</v>
      </c>
      <c r="V1436">
        <v>8.9321810000000001E-2</v>
      </c>
      <c r="W1436">
        <v>0.17169229999999899</v>
      </c>
      <c r="X1436">
        <v>0.98109290000000005</v>
      </c>
      <c r="Y1436">
        <v>0.40605000000000002</v>
      </c>
      <c r="Z1436">
        <v>1.105093E-2</v>
      </c>
      <c r="AA1436">
        <v>0.91378409999999999</v>
      </c>
      <c r="AB1436">
        <v>22</v>
      </c>
      <c r="AC1436">
        <v>-2.8399999999999701</v>
      </c>
      <c r="AD1436">
        <v>-1.1012889279489999</v>
      </c>
      <c r="AE1436">
        <v>-35.178899999999999</v>
      </c>
      <c r="AF1436">
        <v>14.3677777673016</v>
      </c>
      <c r="AG1436">
        <v>-1.1012889279489999</v>
      </c>
      <c r="AH1436">
        <v>32.198842072200101</v>
      </c>
      <c r="AI1436">
        <v>91.7890089051959</v>
      </c>
      <c r="AJ1436">
        <v>65.952600181955106</v>
      </c>
      <c r="AK1436">
        <v>35.276214452005398</v>
      </c>
      <c r="AL1436">
        <v>80.113772004155805</v>
      </c>
      <c r="AM1436">
        <v>84.797951852616606</v>
      </c>
      <c r="AN1436">
        <v>0.99999995502568695</v>
      </c>
    </row>
    <row r="1437" spans="1:40" x14ac:dyDescent="0.25">
      <c r="A1437" t="str">
        <f>"20190304155040950"</f>
        <v>20190304155040950</v>
      </c>
      <c r="B1437" t="str">
        <f>"1551685840947839"</f>
        <v>1551685840947839</v>
      </c>
      <c r="C1437" t="s">
        <v>40</v>
      </c>
      <c r="D1437">
        <v>5.6526579999999997</v>
      </c>
      <c r="E1437">
        <v>0.62722829999999996</v>
      </c>
      <c r="F1437" t="s">
        <v>41</v>
      </c>
      <c r="G1437">
        <v>-194.7568</v>
      </c>
      <c r="H1437" s="1">
        <v>-1.6328930000000001E-6</v>
      </c>
      <c r="I1437">
        <v>320.44510000000002</v>
      </c>
      <c r="J1437">
        <v>-192.09819999999999</v>
      </c>
      <c r="K1437">
        <v>1.1013170000000001</v>
      </c>
      <c r="L1437">
        <v>352.81290000000001</v>
      </c>
      <c r="M1437">
        <v>0.32068029999999997</v>
      </c>
      <c r="N1437">
        <v>-1.583934E-2</v>
      </c>
      <c r="O1437">
        <v>-0.94705499999999998</v>
      </c>
      <c r="P1437">
        <v>0.2369986</v>
      </c>
      <c r="Q1437">
        <v>0.15910250000000001</v>
      </c>
      <c r="R1437">
        <v>-0.95839370000000002</v>
      </c>
      <c r="S1437">
        <v>-0.25837710000000003</v>
      </c>
      <c r="T1437">
        <v>-0.10903160000000001</v>
      </c>
      <c r="U1437">
        <v>-3.2224729999999999</v>
      </c>
      <c r="V1437">
        <v>8.6868520000000005E-2</v>
      </c>
      <c r="W1437">
        <v>0.17272419999999999</v>
      </c>
      <c r="X1437">
        <v>0.98113209999999995</v>
      </c>
      <c r="Y1437">
        <v>0.39522309999999999</v>
      </c>
      <c r="Z1437">
        <v>1.3656110000000001E-2</v>
      </c>
      <c r="AA1437">
        <v>0.91848370000000001</v>
      </c>
      <c r="AB1437">
        <v>22</v>
      </c>
      <c r="AC1437">
        <v>-2.6585999999999999</v>
      </c>
      <c r="AD1437">
        <v>-1.101318632893</v>
      </c>
      <c r="AE1437">
        <v>-32.367799999999903</v>
      </c>
      <c r="AF1437">
        <v>12.8843586200434</v>
      </c>
      <c r="AG1437">
        <v>-1.101318632893</v>
      </c>
      <c r="AH1437">
        <v>29.771031326085399</v>
      </c>
      <c r="AI1437">
        <v>91.944440811362796</v>
      </c>
      <c r="AJ1437">
        <v>66.597920382963096</v>
      </c>
      <c r="AK1437">
        <v>32.458187041173503</v>
      </c>
      <c r="AL1437">
        <v>80.053752200916193</v>
      </c>
      <c r="AM1437">
        <v>84.940278987816896</v>
      </c>
      <c r="AN1437">
        <v>0.99999999334152001</v>
      </c>
    </row>
    <row r="1438" spans="1:40" x14ac:dyDescent="0.25">
      <c r="A1438" t="str">
        <f>"20190304155040975"</f>
        <v>20190304155040975</v>
      </c>
      <c r="B1438" t="str">
        <f>"1551685840967358"</f>
        <v>1551685840967358</v>
      </c>
      <c r="C1438" t="s">
        <v>40</v>
      </c>
      <c r="D1438">
        <v>5.5632539999999997</v>
      </c>
      <c r="E1438">
        <v>0.62540969999999996</v>
      </c>
      <c r="F1438" t="s">
        <v>41</v>
      </c>
      <c r="G1438">
        <v>-194.9196</v>
      </c>
      <c r="H1438" s="1">
        <v>-1.6238260000000001E-6</v>
      </c>
      <c r="I1438">
        <v>320.32299999999998</v>
      </c>
      <c r="J1438">
        <v>-192.0385</v>
      </c>
      <c r="K1438">
        <v>1.1013569999999999</v>
      </c>
      <c r="L1438">
        <v>352.57690000000002</v>
      </c>
      <c r="M1438">
        <v>0.30509629999999999</v>
      </c>
      <c r="N1438">
        <v>-1.583056E-2</v>
      </c>
      <c r="O1438">
        <v>-0.95218999999999998</v>
      </c>
      <c r="P1438">
        <v>0.22267419999999999</v>
      </c>
      <c r="Q1438">
        <v>0.15992519999999999</v>
      </c>
      <c r="R1438">
        <v>-0.96168640000000005</v>
      </c>
      <c r="S1438">
        <v>-0.27940369999999998</v>
      </c>
      <c r="T1438">
        <v>-0.1090624</v>
      </c>
      <c r="U1438">
        <v>-3.217438</v>
      </c>
      <c r="V1438">
        <v>8.5361690000000004E-2</v>
      </c>
      <c r="W1438">
        <v>0.17358129999999999</v>
      </c>
      <c r="X1438">
        <v>0.98111309999999996</v>
      </c>
      <c r="Y1438">
        <v>0.3862102</v>
      </c>
      <c r="Z1438">
        <v>1.4031790000000001E-2</v>
      </c>
      <c r="AA1438">
        <v>0.92230409999999996</v>
      </c>
      <c r="AB1438">
        <v>22</v>
      </c>
      <c r="AC1438">
        <v>-2.8811</v>
      </c>
      <c r="AD1438">
        <v>-1.101358623826</v>
      </c>
      <c r="AE1438">
        <v>-32.253900000000002</v>
      </c>
      <c r="AF1438">
        <v>12.570934788267399</v>
      </c>
      <c r="AG1438">
        <v>-1.101358623826</v>
      </c>
      <c r="AH1438">
        <v>29.8020909040054</v>
      </c>
      <c r="AI1438">
        <v>91.950193562136704</v>
      </c>
      <c r="AJ1438">
        <v>67.129309013278402</v>
      </c>
      <c r="AK1438">
        <v>32.363652675798903</v>
      </c>
      <c r="AL1438">
        <v>80.003890900727697</v>
      </c>
      <c r="AM1438">
        <v>85.027505731894394</v>
      </c>
      <c r="AN1438">
        <v>1.0000000004104701</v>
      </c>
    </row>
    <row r="1439" spans="1:40" x14ac:dyDescent="0.25">
      <c r="A1439" t="str">
        <f>"20190304155040995"</f>
        <v>20190304155040995</v>
      </c>
      <c r="B1439" t="str">
        <f>"1551685840987853"</f>
        <v>1551685840987853</v>
      </c>
      <c r="C1439" t="s">
        <v>40</v>
      </c>
      <c r="D1439">
        <v>5.5729069999999998</v>
      </c>
      <c r="E1439">
        <v>0.62380609999999903</v>
      </c>
      <c r="F1439" t="s">
        <v>41</v>
      </c>
      <c r="G1439">
        <v>-195.0975</v>
      </c>
      <c r="H1439" s="1">
        <v>-2.033151E-6</v>
      </c>
      <c r="I1439">
        <v>321.16680000000002</v>
      </c>
      <c r="J1439">
        <v>-191.98840000000001</v>
      </c>
      <c r="K1439">
        <v>1.101399</v>
      </c>
      <c r="L1439">
        <v>352.36559999999997</v>
      </c>
      <c r="M1439">
        <v>0.29113529999999999</v>
      </c>
      <c r="N1439">
        <v>-1.582209E-2</v>
      </c>
      <c r="O1439">
        <v>-0.95655120000000005</v>
      </c>
      <c r="P1439">
        <v>0.21014379999999999</v>
      </c>
      <c r="Q1439">
        <v>0.16090460000000001</v>
      </c>
      <c r="R1439">
        <v>-0.9643391</v>
      </c>
      <c r="S1439">
        <v>-0.31268309999999999</v>
      </c>
      <c r="T1439">
        <v>-0.1125761</v>
      </c>
      <c r="U1439">
        <v>-3.2106020000000002</v>
      </c>
      <c r="V1439">
        <v>8.3728839999999999E-2</v>
      </c>
      <c r="W1439">
        <v>0.17459649999999999</v>
      </c>
      <c r="X1439">
        <v>0.98107370000000005</v>
      </c>
      <c r="Y1439">
        <v>0.38235920000000001</v>
      </c>
      <c r="Z1439">
        <v>1.530202E-2</v>
      </c>
      <c r="AA1439">
        <v>0.92388700000000001</v>
      </c>
      <c r="AB1439">
        <v>22</v>
      </c>
      <c r="AC1439">
        <v>-3.1090999999999802</v>
      </c>
      <c r="AD1439">
        <v>-1.101401033151</v>
      </c>
      <c r="AE1439">
        <v>-31.198799999999899</v>
      </c>
      <c r="AF1439">
        <v>12.043730738196199</v>
      </c>
      <c r="AG1439">
        <v>-1.101401033151</v>
      </c>
      <c r="AH1439">
        <v>28.9060285966459</v>
      </c>
      <c r="AI1439">
        <v>92.014378038912398</v>
      </c>
      <c r="AJ1439">
        <v>67.380891429959107</v>
      </c>
      <c r="AK1439">
        <v>31.334055332179901</v>
      </c>
      <c r="AL1439">
        <v>79.9448225477758</v>
      </c>
      <c r="AM1439">
        <v>85.121964288370194</v>
      </c>
      <c r="AN1439">
        <v>1.0000000306458401</v>
      </c>
    </row>
    <row r="1440" spans="1:40" x14ac:dyDescent="0.25">
      <c r="A1440" t="str">
        <f>"20190304155041017"</f>
        <v>20190304155041017</v>
      </c>
      <c r="B1440" t="str">
        <f>"1551685841007377"</f>
        <v>1551685841007377</v>
      </c>
      <c r="C1440" t="s">
        <v>40</v>
      </c>
      <c r="D1440">
        <v>5.5180669999999896</v>
      </c>
      <c r="E1440">
        <v>0.59549160000000001</v>
      </c>
      <c r="F1440" t="s">
        <v>41</v>
      </c>
      <c r="G1440">
        <v>-195.34280000000001</v>
      </c>
      <c r="H1440" s="1">
        <v>-1.962214E-6</v>
      </c>
      <c r="I1440">
        <v>320.84930000000003</v>
      </c>
      <c r="J1440">
        <v>-191.9401</v>
      </c>
      <c r="K1440">
        <v>1.1014409999999999</v>
      </c>
      <c r="L1440">
        <v>352.1472</v>
      </c>
      <c r="M1440">
        <v>0.27670099999999997</v>
      </c>
      <c r="N1440">
        <v>-1.5812349999999999E-2</v>
      </c>
      <c r="O1440">
        <v>-0.96082599999999996</v>
      </c>
      <c r="P1440">
        <v>0.19813800000000001</v>
      </c>
      <c r="Q1440">
        <v>0.16151679999999999</v>
      </c>
      <c r="R1440">
        <v>-0.96677519999999995</v>
      </c>
      <c r="S1440">
        <v>-0.34100340000000001</v>
      </c>
      <c r="T1440">
        <v>-0.1119663</v>
      </c>
      <c r="U1440">
        <v>-3.2038880000000001</v>
      </c>
      <c r="V1440">
        <v>8.1116419999999995E-2</v>
      </c>
      <c r="W1440">
        <v>0.17526789999999901</v>
      </c>
      <c r="X1440">
        <v>0.98117350000000003</v>
      </c>
      <c r="Y1440">
        <v>0.37671339999999998</v>
      </c>
      <c r="Z1440">
        <v>1.544921E-2</v>
      </c>
      <c r="AA1440">
        <v>0.92620100000000005</v>
      </c>
      <c r="AB1440">
        <v>22</v>
      </c>
      <c r="AC1440">
        <v>-3.4026999999999998</v>
      </c>
      <c r="AD1440">
        <v>-1.1014429622139901</v>
      </c>
      <c r="AE1440">
        <v>-31.297899999999899</v>
      </c>
      <c r="AF1440">
        <v>11.9164680029183</v>
      </c>
      <c r="AG1440">
        <v>-1.1014429622139901</v>
      </c>
      <c r="AH1440">
        <v>29.0983297880538</v>
      </c>
      <c r="AI1440">
        <v>92.006187621432204</v>
      </c>
      <c r="AJ1440">
        <v>67.729716672197895</v>
      </c>
      <c r="AK1440">
        <v>31.463124172877801</v>
      </c>
      <c r="AL1440">
        <v>79.905752147785904</v>
      </c>
      <c r="AM1440">
        <v>85.273941676321996</v>
      </c>
      <c r="AN1440">
        <v>1.00000007373313</v>
      </c>
    </row>
    <row r="1441" spans="1:40" x14ac:dyDescent="0.25">
      <c r="A1441" t="str">
        <f>"20190304155041039"</f>
        <v>20190304155041039</v>
      </c>
      <c r="B1441" t="str">
        <f>"1551685841027873"</f>
        <v>1551685841027873</v>
      </c>
      <c r="C1441" t="s">
        <v>40</v>
      </c>
      <c r="D1441">
        <v>5.5497569999999996</v>
      </c>
      <c r="E1441">
        <v>0.59229149999999997</v>
      </c>
      <c r="F1441" t="s">
        <v>41</v>
      </c>
      <c r="G1441">
        <v>-193.11449999999999</v>
      </c>
      <c r="H1441" s="1">
        <v>-4.6166720000000003E-6</v>
      </c>
      <c r="I1441">
        <v>328.92970000000003</v>
      </c>
      <c r="J1441">
        <v>-191.8948</v>
      </c>
      <c r="K1441">
        <v>1.10149599999999</v>
      </c>
      <c r="L1441">
        <v>351.92720000000003</v>
      </c>
      <c r="M1441">
        <v>0.26215729999999998</v>
      </c>
      <c r="N1441">
        <v>-1.5800950000000001E-2</v>
      </c>
      <c r="O1441">
        <v>-0.96489579999999997</v>
      </c>
      <c r="P1441">
        <v>0.1868242</v>
      </c>
      <c r="Q1441">
        <v>0.16198100000000001</v>
      </c>
      <c r="R1441">
        <v>-0.96894749999999996</v>
      </c>
      <c r="S1441">
        <v>-0.15989690000000001</v>
      </c>
      <c r="T1441">
        <v>-0.14995459999999999</v>
      </c>
      <c r="U1441">
        <v>-3.1609189999999998</v>
      </c>
      <c r="V1441">
        <v>7.7726190000000001E-2</v>
      </c>
      <c r="W1441">
        <v>0.1758091</v>
      </c>
      <c r="X1441">
        <v>0.98135099999999997</v>
      </c>
      <c r="Y1441">
        <v>0.31042449999999999</v>
      </c>
      <c r="Z1441">
        <v>2.7801510000000001E-2</v>
      </c>
      <c r="AA1441">
        <v>0.95019140000000002</v>
      </c>
      <c r="AB1441">
        <v>22</v>
      </c>
      <c r="AC1441">
        <v>-1.21969999999998</v>
      </c>
      <c r="AD1441">
        <v>-1.1015006166719901</v>
      </c>
      <c r="AE1441">
        <v>-22.997499999999999</v>
      </c>
      <c r="AF1441">
        <v>7.1902966992630599</v>
      </c>
      <c r="AG1441">
        <v>-1.1015006166719901</v>
      </c>
      <c r="AH1441">
        <v>21.823244534027001</v>
      </c>
      <c r="AI1441">
        <v>92.744585892613202</v>
      </c>
      <c r="AJ1441">
        <v>71.764043469574503</v>
      </c>
      <c r="AK1441">
        <v>23.003644759557101</v>
      </c>
      <c r="AL1441">
        <v>79.874253768858097</v>
      </c>
      <c r="AM1441">
        <v>85.471441629542099</v>
      </c>
      <c r="AN1441">
        <v>0.999999992727863</v>
      </c>
    </row>
    <row r="1442" spans="1:40" x14ac:dyDescent="0.25">
      <c r="A1442" t="str">
        <f>"20190304155041063"</f>
        <v>20190304155041063</v>
      </c>
      <c r="B1442" t="str">
        <f>"1551685841058126"</f>
        <v>1551685841058126</v>
      </c>
      <c r="C1442" t="s">
        <v>40</v>
      </c>
      <c r="D1442">
        <v>5.5284050000000002</v>
      </c>
      <c r="E1442">
        <v>0.5890145</v>
      </c>
      <c r="F1442" t="s">
        <v>41</v>
      </c>
      <c r="G1442">
        <v>-193.1189</v>
      </c>
      <c r="H1442" s="1">
        <v>-4.7986180000000002E-6</v>
      </c>
      <c r="I1442">
        <v>329.46210000000002</v>
      </c>
      <c r="J1442">
        <v>-191.85140000000001</v>
      </c>
      <c r="K1442">
        <v>1.1015569999999999</v>
      </c>
      <c r="L1442">
        <v>351.69909999999999</v>
      </c>
      <c r="M1442">
        <v>0.24710579999999999</v>
      </c>
      <c r="N1442">
        <v>-1.5786959999999999E-2</v>
      </c>
      <c r="O1442">
        <v>-0.96886000000000005</v>
      </c>
      <c r="P1442">
        <v>0.17569089999999901</v>
      </c>
      <c r="Q1442">
        <v>0.16314619999999999</v>
      </c>
      <c r="R1442">
        <v>-0.97083280000000005</v>
      </c>
      <c r="S1442">
        <v>-0.17192079999999901</v>
      </c>
      <c r="T1442">
        <v>-0.15470229999999999</v>
      </c>
      <c r="U1442">
        <v>-3.155151</v>
      </c>
      <c r="V1442">
        <v>7.3656170000000007E-2</v>
      </c>
      <c r="W1442">
        <v>0.1770632</v>
      </c>
      <c r="X1442">
        <v>0.98143950000000002</v>
      </c>
      <c r="Y1442">
        <v>0.29930509999999999</v>
      </c>
      <c r="Z1442">
        <v>2.965166E-2</v>
      </c>
      <c r="AA1442">
        <v>0.95369660000000001</v>
      </c>
      <c r="AB1442">
        <v>22</v>
      </c>
      <c r="AC1442">
        <v>-1.2674999999999801</v>
      </c>
      <c r="AD1442">
        <v>-1.101561798618</v>
      </c>
      <c r="AE1442">
        <v>-22.236999999999899</v>
      </c>
      <c r="AF1442">
        <v>6.7073527740192</v>
      </c>
      <c r="AG1442">
        <v>-1.101561798618</v>
      </c>
      <c r="AH1442">
        <v>21.182165670343998</v>
      </c>
      <c r="AI1442">
        <v>92.838288136180395</v>
      </c>
      <c r="AJ1442">
        <v>72.429559920724998</v>
      </c>
      <c r="AK1442">
        <v>22.246036998018699</v>
      </c>
      <c r="AL1442">
        <v>79.801254502560397</v>
      </c>
      <c r="AM1442">
        <v>85.708048101939696</v>
      </c>
      <c r="AN1442">
        <v>1.0000000501667701</v>
      </c>
    </row>
    <row r="1443" spans="1:40" x14ac:dyDescent="0.25">
      <c r="A1443" t="str">
        <f>"20190304155041083"</f>
        <v>20190304155041083</v>
      </c>
      <c r="B1443" t="str">
        <f>"1551685841077646"</f>
        <v>1551685841077646</v>
      </c>
      <c r="C1443" t="s">
        <v>40</v>
      </c>
      <c r="D1443">
        <v>5.50847</v>
      </c>
      <c r="E1443">
        <v>0.58565659999999997</v>
      </c>
      <c r="F1443" t="s">
        <v>41</v>
      </c>
      <c r="G1443">
        <v>-193.21039999999999</v>
      </c>
      <c r="H1443" s="1">
        <v>-4.436699E-6</v>
      </c>
      <c r="I1443">
        <v>328.35079999999999</v>
      </c>
      <c r="J1443">
        <v>-191.8135</v>
      </c>
      <c r="K1443">
        <v>1.101631</v>
      </c>
      <c r="L1443">
        <v>351.48250000000002</v>
      </c>
      <c r="M1443">
        <v>0.2328385</v>
      </c>
      <c r="N1443">
        <v>-1.5771199999999999E-2</v>
      </c>
      <c r="O1443">
        <v>-0.97238769999999997</v>
      </c>
      <c r="P1443">
        <v>0.16523869999999999</v>
      </c>
      <c r="Q1443">
        <v>0.16427059999999999</v>
      </c>
      <c r="R1443">
        <v>-0.97247700000000004</v>
      </c>
      <c r="S1443">
        <v>-0.18325810000000001</v>
      </c>
      <c r="T1443">
        <v>-0.1485329</v>
      </c>
      <c r="U1443">
        <v>-3.1482540000000001</v>
      </c>
      <c r="V1443">
        <v>6.9729899999999997E-2</v>
      </c>
      <c r="W1443">
        <v>0.17827109999999999</v>
      </c>
      <c r="X1443">
        <v>0.98150760000000004</v>
      </c>
      <c r="Y1443">
        <v>0.2888135</v>
      </c>
      <c r="Z1443">
        <v>2.8270590000000002E-2</v>
      </c>
      <c r="AA1443">
        <v>0.95696789999999998</v>
      </c>
      <c r="AB1443">
        <v>22</v>
      </c>
      <c r="AC1443">
        <v>-1.39689999999998</v>
      </c>
      <c r="AD1443">
        <v>-1.101635436699</v>
      </c>
      <c r="AE1443">
        <v>-23.131699999999999</v>
      </c>
      <c r="AF1443">
        <v>6.7299078951524498</v>
      </c>
      <c r="AG1443">
        <v>-1.101635436699</v>
      </c>
      <c r="AH1443">
        <v>22.1204931206338</v>
      </c>
      <c r="AI1443">
        <v>92.727812713927705</v>
      </c>
      <c r="AJ1443">
        <v>73.078214677682496</v>
      </c>
      <c r="AK1443">
        <v>23.1478179708722</v>
      </c>
      <c r="AL1443">
        <v>79.730927627036806</v>
      </c>
      <c r="AM1443">
        <v>85.936325219513606</v>
      </c>
      <c r="AN1443">
        <v>1.00000000645349</v>
      </c>
    </row>
    <row r="1444" spans="1:40" x14ac:dyDescent="0.25">
      <c r="A1444" t="str">
        <f>"20190304155041106"</f>
        <v>20190304155041106</v>
      </c>
      <c r="B1444" t="str">
        <f>"1551685841098142"</f>
        <v>1551685841098142</v>
      </c>
      <c r="C1444" t="s">
        <v>40</v>
      </c>
      <c r="D1444">
        <v>5.5180689999999997</v>
      </c>
      <c r="E1444">
        <v>0.56475069999999905</v>
      </c>
      <c r="F1444" t="s">
        <v>41</v>
      </c>
      <c r="G1444">
        <v>-193.19820000000001</v>
      </c>
      <c r="H1444" s="1">
        <v>-4.545709E-6</v>
      </c>
      <c r="I1444">
        <v>328.67750000000001</v>
      </c>
      <c r="J1444">
        <v>-191.77610000000001</v>
      </c>
      <c r="K1444">
        <v>1.1017159999999999</v>
      </c>
      <c r="L1444">
        <v>351.24829999999997</v>
      </c>
      <c r="M1444">
        <v>0.2174635</v>
      </c>
      <c r="N1444">
        <v>-1.5751190000000002E-2</v>
      </c>
      <c r="O1444">
        <v>-0.97594139999999996</v>
      </c>
      <c r="P1444">
        <v>0.15435370000000001</v>
      </c>
      <c r="Q1444">
        <v>0.16599510000000001</v>
      </c>
      <c r="R1444">
        <v>-0.97397140000000004</v>
      </c>
      <c r="S1444">
        <v>-0.1908417</v>
      </c>
      <c r="T1444">
        <v>-0.1518272</v>
      </c>
      <c r="U1444">
        <v>-3.1429749999999999</v>
      </c>
      <c r="V1444">
        <v>6.5142920000000007E-2</v>
      </c>
      <c r="W1444">
        <v>0.18008940000000001</v>
      </c>
      <c r="X1444">
        <v>0.9814908</v>
      </c>
      <c r="Y1444">
        <v>0.27607579999999998</v>
      </c>
      <c r="Z1444">
        <v>2.96914E-2</v>
      </c>
      <c r="AA1444">
        <v>0.96067709999999995</v>
      </c>
      <c r="AB1444">
        <v>22</v>
      </c>
      <c r="AC1444">
        <v>-1.4220999999999999</v>
      </c>
      <c r="AD1444">
        <v>-1.101720545709</v>
      </c>
      <c r="AE1444">
        <v>-22.570799999999899</v>
      </c>
      <c r="AF1444">
        <v>6.28208390152205</v>
      </c>
      <c r="AG1444">
        <v>-1.101720545709</v>
      </c>
      <c r="AH1444">
        <v>21.669790974687398</v>
      </c>
      <c r="AI1444">
        <v>92.795576706957604</v>
      </c>
      <c r="AJ1444">
        <v>73.833098182378293</v>
      </c>
      <c r="AK1444">
        <v>22.5888956612147</v>
      </c>
      <c r="AL1444">
        <v>79.625032763968505</v>
      </c>
      <c r="AM1444">
        <v>86.202768084627706</v>
      </c>
      <c r="AN1444">
        <v>0.99999999125156303</v>
      </c>
    </row>
    <row r="1445" spans="1:40" x14ac:dyDescent="0.25">
      <c r="A1445" t="str">
        <f>"20190304155041130"</f>
        <v>20190304155041130</v>
      </c>
      <c r="B1445" t="str">
        <f>"1551685841117665"</f>
        <v>1551685841117665</v>
      </c>
      <c r="C1445" t="s">
        <v>40</v>
      </c>
      <c r="D1445">
        <v>5.4844429999999997</v>
      </c>
      <c r="E1445">
        <v>0.56214960000000003</v>
      </c>
      <c r="F1445" t="s">
        <v>41</v>
      </c>
      <c r="G1445">
        <v>-192.16669999999999</v>
      </c>
      <c r="H1445" s="1">
        <v>-1.308229E-6</v>
      </c>
      <c r="I1445">
        <v>331.29480000000001</v>
      </c>
      <c r="J1445">
        <v>-191.7439</v>
      </c>
      <c r="K1445">
        <v>1.1018159999999999</v>
      </c>
      <c r="L1445">
        <v>351.02370000000002</v>
      </c>
      <c r="M1445">
        <v>0.20279510000000001</v>
      </c>
      <c r="N1445">
        <v>-1.572745E-2</v>
      </c>
      <c r="O1445">
        <v>-0.97909500000000005</v>
      </c>
      <c r="P1445">
        <v>0.14531129999999901</v>
      </c>
      <c r="Q1445">
        <v>0.1677437</v>
      </c>
      <c r="R1445">
        <v>-0.97506250000000005</v>
      </c>
      <c r="S1445">
        <v>-6.1065670000000002E-2</v>
      </c>
      <c r="T1445">
        <v>-0.1722255</v>
      </c>
      <c r="U1445">
        <v>-3.1192319999999998</v>
      </c>
      <c r="V1445">
        <v>5.9442780000000001E-2</v>
      </c>
      <c r="W1445">
        <v>0.18195349999999999</v>
      </c>
      <c r="X1445">
        <v>0.98150879999999996</v>
      </c>
      <c r="Y1445">
        <v>0.22180569999999999</v>
      </c>
      <c r="Z1445">
        <v>3.697773E-2</v>
      </c>
      <c r="AA1445">
        <v>0.97438950000000002</v>
      </c>
      <c r="AB1445">
        <v>22</v>
      </c>
      <c r="AC1445">
        <v>-0.42279999999999501</v>
      </c>
      <c r="AD1445">
        <v>-1.1018173082289999</v>
      </c>
      <c r="AE1445">
        <v>-19.728899999999999</v>
      </c>
      <c r="AF1445">
        <v>4.4017086715059897</v>
      </c>
      <c r="AG1445">
        <v>-1.1018173082289999</v>
      </c>
      <c r="AH1445">
        <v>19.173328354577801</v>
      </c>
      <c r="AI1445">
        <v>93.205737532381804</v>
      </c>
      <c r="AJ1445">
        <v>77.070388142320496</v>
      </c>
      <c r="AK1445">
        <v>19.702932796971599</v>
      </c>
      <c r="AL1445">
        <v>79.516433860837793</v>
      </c>
      <c r="AM1445">
        <v>86.534248536383799</v>
      </c>
      <c r="AN1445">
        <v>1.0000000223669001</v>
      </c>
    </row>
    <row r="1446" spans="1:40" x14ac:dyDescent="0.25">
      <c r="A1446" t="str">
        <f>"20190304155041151"</f>
        <v>20190304155041151</v>
      </c>
      <c r="B1446" t="str">
        <f>"1551685841147918"</f>
        <v>1551685841147918</v>
      </c>
      <c r="C1446" t="s">
        <v>40</v>
      </c>
      <c r="D1446">
        <v>5.4509239999999997</v>
      </c>
      <c r="E1446">
        <v>0.55984679999999998</v>
      </c>
      <c r="F1446" t="s">
        <v>41</v>
      </c>
      <c r="G1446">
        <v>-192.19040000000001</v>
      </c>
      <c r="H1446" s="1">
        <v>-1.2155310000000001E-6</v>
      </c>
      <c r="I1446">
        <v>331.06400000000002</v>
      </c>
      <c r="J1446">
        <v>-191.71549999999999</v>
      </c>
      <c r="K1446">
        <v>1.1019330000000001</v>
      </c>
      <c r="L1446">
        <v>350.8032</v>
      </c>
      <c r="M1446">
        <v>0.18848880000000001</v>
      </c>
      <c r="N1446">
        <v>-1.5699870000000001E-2</v>
      </c>
      <c r="O1446">
        <v>-0.98194979999999998</v>
      </c>
      <c r="P1446">
        <v>0.13727879999999901</v>
      </c>
      <c r="Q1446">
        <v>0.16901920000000001</v>
      </c>
      <c r="R1446">
        <v>-0.97600589999999998</v>
      </c>
      <c r="S1446">
        <v>-6.9717409999999994E-2</v>
      </c>
      <c r="T1446">
        <v>-0.17205210000000001</v>
      </c>
      <c r="U1446">
        <v>-3.1167600000000002</v>
      </c>
      <c r="V1446">
        <v>5.3125239999999997E-2</v>
      </c>
      <c r="W1446">
        <v>0.1833534</v>
      </c>
      <c r="X1446">
        <v>0.98161050000000005</v>
      </c>
      <c r="Y1446">
        <v>0.21029</v>
      </c>
      <c r="Z1446">
        <v>3.729681E-2</v>
      </c>
      <c r="AA1446">
        <v>0.97692730000000005</v>
      </c>
      <c r="AB1446">
        <v>22</v>
      </c>
      <c r="AC1446">
        <v>-0.47490000000001897</v>
      </c>
      <c r="AD1446">
        <v>-1.1019342155309999</v>
      </c>
      <c r="AE1446">
        <v>-19.739199999999901</v>
      </c>
      <c r="AF1446">
        <v>4.1744606137215703</v>
      </c>
      <c r="AG1446">
        <v>-1.1019342155309999</v>
      </c>
      <c r="AH1446">
        <v>19.235857299020399</v>
      </c>
      <c r="AI1446">
        <v>93.204207009541705</v>
      </c>
      <c r="AJ1446">
        <v>77.755841059120598</v>
      </c>
      <c r="AK1446">
        <v>19.7144258465508</v>
      </c>
      <c r="AL1446">
        <v>79.434852498357301</v>
      </c>
      <c r="AM1446">
        <v>86.902146617649294</v>
      </c>
      <c r="AN1446">
        <v>0.99999996706343297</v>
      </c>
    </row>
    <row r="1447" spans="1:40" x14ac:dyDescent="0.25">
      <c r="A1447" t="str">
        <f>"20190304155041175"</f>
        <v>20190304155041175</v>
      </c>
      <c r="B1447" t="str">
        <f>"1551685841167438"</f>
        <v>1551685841167438</v>
      </c>
      <c r="C1447" t="s">
        <v>40</v>
      </c>
      <c r="D1447">
        <v>5.014818</v>
      </c>
      <c r="E1447">
        <v>0.55899319999999997</v>
      </c>
      <c r="F1447" t="s">
        <v>41</v>
      </c>
      <c r="G1447">
        <v>-192.23820000000001</v>
      </c>
      <c r="H1447" s="1">
        <v>-7.695765E-7</v>
      </c>
      <c r="I1447">
        <v>329.9948</v>
      </c>
      <c r="J1447">
        <v>-191.68860000000001</v>
      </c>
      <c r="K1447">
        <v>1.102066</v>
      </c>
      <c r="L1447">
        <v>350.56650000000002</v>
      </c>
      <c r="M1447">
        <v>0.17323429999999901</v>
      </c>
      <c r="N1447">
        <v>-1.566677E-2</v>
      </c>
      <c r="O1447">
        <v>-0.98475619999999997</v>
      </c>
      <c r="P1447">
        <v>0.13120200000000001</v>
      </c>
      <c r="Q1447">
        <v>0.1709927</v>
      </c>
      <c r="R1447">
        <v>-0.97649779999999997</v>
      </c>
      <c r="S1447">
        <v>-7.8201290000000007E-2</v>
      </c>
      <c r="T1447">
        <v>-0.16486779999999901</v>
      </c>
      <c r="U1447">
        <v>-3.1132810000000002</v>
      </c>
      <c r="V1447">
        <v>4.3911199999999997E-2</v>
      </c>
      <c r="W1447">
        <v>0.185505</v>
      </c>
      <c r="X1447">
        <v>0.98166169999999997</v>
      </c>
      <c r="Y1447">
        <v>0.1978065</v>
      </c>
      <c r="Z1447">
        <v>3.5466200000000003E-2</v>
      </c>
      <c r="AA1447">
        <v>0.97959929999999995</v>
      </c>
      <c r="AB1447">
        <v>22</v>
      </c>
      <c r="AC1447">
        <v>-0.54959999999999798</v>
      </c>
      <c r="AD1447">
        <v>-1.1020667695765001</v>
      </c>
      <c r="AE1447">
        <v>-20.5717</v>
      </c>
      <c r="AF1447">
        <v>4.0937088282980696</v>
      </c>
      <c r="AG1447">
        <v>-1.1020667695765001</v>
      </c>
      <c r="AH1447">
        <v>20.107703911836701</v>
      </c>
      <c r="AI1447">
        <v>93.074200013561494</v>
      </c>
      <c r="AJ1447">
        <v>78.492475057632504</v>
      </c>
      <c r="AK1447">
        <v>20.5497630093775</v>
      </c>
      <c r="AL1447">
        <v>79.309423540874903</v>
      </c>
      <c r="AM1447">
        <v>87.438781201244595</v>
      </c>
      <c r="AN1447">
        <v>0.99999999587866495</v>
      </c>
    </row>
    <row r="1448" spans="1:40" x14ac:dyDescent="0.25">
      <c r="A1448" t="str">
        <f>"20190304155041207"</f>
        <v>20190304155041207</v>
      </c>
      <c r="B1448" t="str">
        <f>"1551685841197697"</f>
        <v>1551685841197697</v>
      </c>
      <c r="C1448" t="s">
        <v>40</v>
      </c>
      <c r="D1448">
        <v>5.0581290000000001</v>
      </c>
      <c r="E1448">
        <v>0.59264629999999996</v>
      </c>
      <c r="F1448" t="s">
        <v>41</v>
      </c>
      <c r="G1448">
        <v>-192.34460000000001</v>
      </c>
      <c r="H1448" s="1">
        <v>-4.3045549999999996E-6</v>
      </c>
      <c r="I1448">
        <v>328.41379999999998</v>
      </c>
      <c r="J1448">
        <v>-191.65700000000001</v>
      </c>
      <c r="K1448">
        <v>1.1022419999999999</v>
      </c>
      <c r="L1448">
        <v>350.24189999999999</v>
      </c>
      <c r="M1448">
        <v>0.15251189999999901</v>
      </c>
      <c r="N1448">
        <v>-1.561863E-2</v>
      </c>
      <c r="O1448">
        <v>-0.98817809999999995</v>
      </c>
      <c r="P1448">
        <v>0.12009649999999999</v>
      </c>
      <c r="Q1448">
        <v>0.171101799999999</v>
      </c>
      <c r="R1448">
        <v>-0.97790650000000001</v>
      </c>
      <c r="S1448">
        <v>-9.214783E-2</v>
      </c>
      <c r="T1448">
        <v>-0.15480459999999999</v>
      </c>
      <c r="U1448">
        <v>-3.1117249999999999</v>
      </c>
      <c r="V1448">
        <v>3.4341379999999998E-2</v>
      </c>
      <c r="W1448">
        <v>0.18578800000000001</v>
      </c>
      <c r="X1448">
        <v>0.98198960000000002</v>
      </c>
      <c r="Y1448">
        <v>0.18160680000000001</v>
      </c>
      <c r="Z1448">
        <v>3.2750469999999997E-2</v>
      </c>
      <c r="AA1448">
        <v>0.98282570000000002</v>
      </c>
      <c r="AB1448">
        <v>22</v>
      </c>
      <c r="AC1448">
        <v>-0.68760000000000299</v>
      </c>
      <c r="AD1448">
        <v>-1.1022463045549999</v>
      </c>
      <c r="AE1448">
        <v>-21.828099999999999</v>
      </c>
      <c r="AF1448">
        <v>3.9988191866822702</v>
      </c>
      <c r="AG1448">
        <v>-1.1022463045549999</v>
      </c>
      <c r="AH1448">
        <v>21.413256362113</v>
      </c>
      <c r="AI1448">
        <v>92.896707532695004</v>
      </c>
      <c r="AJ1448">
        <v>79.4221379733238</v>
      </c>
      <c r="AK1448">
        <v>21.8113055508664</v>
      </c>
      <c r="AL1448">
        <v>79.292922491474997</v>
      </c>
      <c r="AM1448">
        <v>87.997112594686399</v>
      </c>
      <c r="AN1448">
        <v>1.0000000429162299</v>
      </c>
    </row>
    <row r="1449" spans="1:40" x14ac:dyDescent="0.25">
      <c r="A1449" t="str">
        <f>"20190304155041230"</f>
        <v>20190304155041230</v>
      </c>
      <c r="B1449" t="str">
        <f>"1551685841227949"</f>
        <v>1551685841227949</v>
      </c>
      <c r="C1449" t="s">
        <v>40</v>
      </c>
      <c r="D1449">
        <v>5.0706530000000001</v>
      </c>
      <c r="E1449">
        <v>0.58962079999999994</v>
      </c>
      <c r="F1449" t="s">
        <v>59</v>
      </c>
      <c r="G1449">
        <v>-223.21530000000001</v>
      </c>
      <c r="H1449">
        <v>8.0106520000000003</v>
      </c>
      <c r="I1449">
        <v>97.150019999999998</v>
      </c>
      <c r="J1449">
        <v>-191.63910000000001</v>
      </c>
      <c r="K1449">
        <v>1.102376</v>
      </c>
      <c r="L1449">
        <v>350.01510000000002</v>
      </c>
      <c r="M1449">
        <v>0.1382514</v>
      </c>
      <c r="N1449">
        <v>-1.5578430000000001E-2</v>
      </c>
      <c r="O1449">
        <v>-0.99027469999999995</v>
      </c>
      <c r="P1449">
        <v>0.11267629999999999</v>
      </c>
      <c r="Q1449">
        <v>0.16828650000000001</v>
      </c>
      <c r="R1449">
        <v>-0.97927730000000002</v>
      </c>
      <c r="S1449">
        <v>-0.38659670000000002</v>
      </c>
      <c r="T1449">
        <v>8.4629889999999999E-2</v>
      </c>
      <c r="U1449">
        <v>-3.1004330000000002</v>
      </c>
      <c r="V1449">
        <v>2.755964E-2</v>
      </c>
      <c r="W1449">
        <v>0.18309230000000001</v>
      </c>
      <c r="X1449">
        <v>0.98270930000000001</v>
      </c>
      <c r="Y1449">
        <v>0.25966250000000002</v>
      </c>
      <c r="Z1449">
        <v>-4.2026149999999998E-2</v>
      </c>
      <c r="AA1449">
        <v>0.96478459999999999</v>
      </c>
      <c r="AB1449">
        <v>22</v>
      </c>
      <c r="AC1449">
        <v>-31.5762</v>
      </c>
      <c r="AD1449">
        <v>6.9082759999999999</v>
      </c>
      <c r="AE1449">
        <v>-252.86508000000001</v>
      </c>
      <c r="AF1449">
        <v>66.187454527123094</v>
      </c>
      <c r="AG1449">
        <v>6.9082759999999999</v>
      </c>
      <c r="AH1449">
        <v>245.889573826255</v>
      </c>
      <c r="AI1449">
        <v>88.445981973663905</v>
      </c>
      <c r="AJ1449">
        <v>74.934463344971107</v>
      </c>
      <c r="AK1449">
        <v>254.73552153268599</v>
      </c>
      <c r="AL1449">
        <v>79.450069815799793</v>
      </c>
      <c r="AM1449">
        <v>88.393586710447806</v>
      </c>
      <c r="AN1449">
        <v>0.99999994619135302</v>
      </c>
    </row>
    <row r="1450" spans="1:40" x14ac:dyDescent="0.25">
      <c r="A1450" t="str">
        <f>"20190304155041252"</f>
        <v>20190304155041252</v>
      </c>
      <c r="B1450" t="str">
        <f>"1551685841247470"</f>
        <v>1551685841247470</v>
      </c>
      <c r="C1450" t="s">
        <v>40</v>
      </c>
      <c r="D1450">
        <v>5.0888619999999998</v>
      </c>
      <c r="E1450">
        <v>0.58800039999999998</v>
      </c>
      <c r="F1450" t="s">
        <v>60</v>
      </c>
      <c r="G1450">
        <v>-221.1028</v>
      </c>
      <c r="H1450">
        <v>6.322114</v>
      </c>
      <c r="I1450">
        <v>113.96129999999999</v>
      </c>
      <c r="J1450">
        <v>-191.6249</v>
      </c>
      <c r="K1450">
        <v>1.1025419999999999</v>
      </c>
      <c r="L1450">
        <v>349.79820000000001</v>
      </c>
      <c r="M1450">
        <v>0.1248374</v>
      </c>
      <c r="N1450">
        <v>-1.553188E-2</v>
      </c>
      <c r="O1450">
        <v>-0.99205589999999999</v>
      </c>
      <c r="P1450">
        <v>0.1060797</v>
      </c>
      <c r="Q1450">
        <v>0.16757729999999901</v>
      </c>
      <c r="R1450">
        <v>-0.98013530000000004</v>
      </c>
      <c r="S1450">
        <v>-0.38645940000000001</v>
      </c>
      <c r="T1450">
        <v>6.8464520000000001E-2</v>
      </c>
      <c r="U1450">
        <v>-3.0961910000000001</v>
      </c>
      <c r="V1450">
        <v>2.078528E-2</v>
      </c>
      <c r="W1450">
        <v>0.18248710000000001</v>
      </c>
      <c r="X1450">
        <v>0.98298850000000004</v>
      </c>
      <c r="Y1450">
        <v>0.2467048</v>
      </c>
      <c r="Z1450">
        <v>-3.7069070000000003E-2</v>
      </c>
      <c r="AA1450">
        <v>0.96838150000000001</v>
      </c>
      <c r="AB1450">
        <v>22</v>
      </c>
      <c r="AC1450">
        <v>-29.477900000000002</v>
      </c>
      <c r="AD1450">
        <v>5.2195720000000003</v>
      </c>
      <c r="AE1450">
        <v>-235.83690000000001</v>
      </c>
      <c r="AF1450">
        <v>58.663761186354897</v>
      </c>
      <c r="AG1450">
        <v>5.2195720000000003</v>
      </c>
      <c r="AH1450">
        <v>230.20014040688301</v>
      </c>
      <c r="AI1450">
        <v>88.741309367371798</v>
      </c>
      <c r="AJ1450">
        <v>75.703159539716097</v>
      </c>
      <c r="AK1450">
        <v>237.61478373986199</v>
      </c>
      <c r="AL1450">
        <v>79.485339808612494</v>
      </c>
      <c r="AM1450">
        <v>88.788661944355098</v>
      </c>
      <c r="AN1450">
        <v>0.99999998033166904</v>
      </c>
    </row>
    <row r="1451" spans="1:40" x14ac:dyDescent="0.25">
      <c r="A1451" t="str">
        <f>"20190304155041274"</f>
        <v>20190304155041274</v>
      </c>
      <c r="B1451" t="str">
        <f>"1551685841267966"</f>
        <v>1551685841267966</v>
      </c>
      <c r="C1451" t="s">
        <v>40</v>
      </c>
      <c r="D1451">
        <v>5.0924230000000001</v>
      </c>
      <c r="E1451">
        <v>0.58712339999999996</v>
      </c>
      <c r="F1451" t="s">
        <v>60</v>
      </c>
      <c r="G1451">
        <v>-221.07820000000001</v>
      </c>
      <c r="H1451">
        <v>5.3223370000000001</v>
      </c>
      <c r="I1451">
        <v>118.9044</v>
      </c>
      <c r="J1451">
        <v>-191.613</v>
      </c>
      <c r="K1451">
        <v>1.10273</v>
      </c>
      <c r="L1451">
        <v>349.57560000000001</v>
      </c>
      <c r="M1451">
        <v>0.11127620000000001</v>
      </c>
      <c r="N1451">
        <v>-1.5477619999999999E-2</v>
      </c>
      <c r="O1451">
        <v>-0.99366909999999997</v>
      </c>
      <c r="P1451">
        <v>9.8717050000000001E-2</v>
      </c>
      <c r="Q1451">
        <v>0.16941719999999999</v>
      </c>
      <c r="R1451">
        <v>-0.98058809999999996</v>
      </c>
      <c r="S1451">
        <v>-0.39465329999999998</v>
      </c>
      <c r="T1451">
        <v>5.6542160000000001E-2</v>
      </c>
      <c r="U1451">
        <v>-3.0938110000000001</v>
      </c>
      <c r="V1451">
        <v>1.4640770000000001E-2</v>
      </c>
      <c r="W1451">
        <v>0.1843986</v>
      </c>
      <c r="X1451">
        <v>0.98274249999999996</v>
      </c>
      <c r="Y1451">
        <v>0.2360796</v>
      </c>
      <c r="Z1451">
        <v>-3.3354889999999998E-2</v>
      </c>
      <c r="AA1451">
        <v>0.9711611</v>
      </c>
      <c r="AB1451">
        <v>22</v>
      </c>
      <c r="AC1451">
        <v>-29.465199999999999</v>
      </c>
      <c r="AD1451">
        <v>4.2196069999999999</v>
      </c>
      <c r="AE1451">
        <v>-230.6712</v>
      </c>
      <c r="AF1451">
        <v>54.935362098238997</v>
      </c>
      <c r="AG1451">
        <v>4.2196069999999999</v>
      </c>
      <c r="AH1451">
        <v>225.884735926307</v>
      </c>
      <c r="AI1451">
        <v>88.960122903131307</v>
      </c>
      <c r="AJ1451">
        <v>76.330985602304494</v>
      </c>
      <c r="AK1451">
        <v>232.50723218127399</v>
      </c>
      <c r="AL1451">
        <v>79.373928596820306</v>
      </c>
      <c r="AM1451">
        <v>89.146478067433094</v>
      </c>
      <c r="AN1451">
        <v>1.0000000085672001</v>
      </c>
    </row>
    <row r="1452" spans="1:40" x14ac:dyDescent="0.25">
      <c r="A1452" t="str">
        <f>"20190304155041298"</f>
        <v>20190304155041298</v>
      </c>
      <c r="B1452" t="str">
        <f>"1551685841287486"</f>
        <v>1551685841287486</v>
      </c>
      <c r="C1452" t="s">
        <v>40</v>
      </c>
      <c r="D1452">
        <v>5.1238250000000001</v>
      </c>
      <c r="E1452">
        <v>0.57221440000000001</v>
      </c>
      <c r="F1452" t="s">
        <v>60</v>
      </c>
      <c r="G1452">
        <v>-222.88939999999999</v>
      </c>
      <c r="H1452">
        <v>5.244065</v>
      </c>
      <c r="I1452">
        <v>113.6752</v>
      </c>
      <c r="J1452">
        <v>-191.60329999999999</v>
      </c>
      <c r="K1452">
        <v>1.1029519999999999</v>
      </c>
      <c r="L1452">
        <v>349.33609999999999</v>
      </c>
      <c r="M1452">
        <v>9.6957650000000006E-2</v>
      </c>
      <c r="N1452">
        <v>-1.541582E-2</v>
      </c>
      <c r="O1452">
        <v>-0.99516930000000003</v>
      </c>
      <c r="P1452">
        <v>9.0110869999999996E-2</v>
      </c>
      <c r="Q1452">
        <v>0.16938689999999901</v>
      </c>
      <c r="R1452">
        <v>-0.98142189999999996</v>
      </c>
      <c r="S1452">
        <v>-0.40985110000000002</v>
      </c>
      <c r="T1452">
        <v>5.4268719999999999E-2</v>
      </c>
      <c r="U1452">
        <v>-3.091278</v>
      </c>
      <c r="V1452">
        <v>8.9982080000000006E-3</v>
      </c>
      <c r="W1452">
        <v>0.18442159999999999</v>
      </c>
      <c r="X1452">
        <v>0.98280599999999996</v>
      </c>
      <c r="Y1452">
        <v>0.22687450000000001</v>
      </c>
      <c r="Z1452">
        <v>-3.2635160000000003E-2</v>
      </c>
      <c r="AA1452">
        <v>0.97337700000000005</v>
      </c>
      <c r="AB1452">
        <v>22</v>
      </c>
      <c r="AC1452">
        <v>-31.286100000000001</v>
      </c>
      <c r="AD1452">
        <v>4.1411129999999998</v>
      </c>
      <c r="AE1452">
        <v>-235.6609</v>
      </c>
      <c r="AF1452">
        <v>53.974121216729102</v>
      </c>
      <c r="AG1452">
        <v>4.1411129999999998</v>
      </c>
      <c r="AH1452">
        <v>231.446304899621</v>
      </c>
      <c r="AI1452">
        <v>89.001734359640594</v>
      </c>
      <c r="AJ1452">
        <v>76.873024990021506</v>
      </c>
      <c r="AK1452">
        <v>237.69254643275099</v>
      </c>
      <c r="AL1452">
        <v>79.372587318867303</v>
      </c>
      <c r="AM1452">
        <v>89.475435704887801</v>
      </c>
      <c r="AN1452">
        <v>0.999999963964884</v>
      </c>
    </row>
    <row r="1453" spans="1:40" x14ac:dyDescent="0.25">
      <c r="A1453" t="str">
        <f>"20190304155041320"</f>
        <v>20190304155041320</v>
      </c>
      <c r="B1453" t="str">
        <f>"1551685841317743"</f>
        <v>1551685841317743</v>
      </c>
      <c r="C1453" t="s">
        <v>40</v>
      </c>
      <c r="D1453">
        <v>5.2035809999999998</v>
      </c>
      <c r="E1453">
        <v>0.54910719999999902</v>
      </c>
      <c r="F1453" t="s">
        <v>61</v>
      </c>
      <c r="G1453">
        <v>-215.97900000000001</v>
      </c>
      <c r="H1453">
        <v>1.323332</v>
      </c>
      <c r="I1453">
        <v>112.9751</v>
      </c>
      <c r="J1453">
        <v>-191.59700000000001</v>
      </c>
      <c r="K1453">
        <v>1.10317</v>
      </c>
      <c r="L1453">
        <v>349.11590000000001</v>
      </c>
      <c r="M1453">
        <v>8.4085850000000004E-2</v>
      </c>
      <c r="N1453">
        <v>-1.5355590000000001E-2</v>
      </c>
      <c r="O1453">
        <v>-0.99634040000000001</v>
      </c>
      <c r="P1453">
        <v>8.3325380000000004E-2</v>
      </c>
      <c r="Q1453">
        <v>0.1687485</v>
      </c>
      <c r="R1453">
        <v>-0.98213090000000003</v>
      </c>
      <c r="S1453">
        <v>-0.31820680000000001</v>
      </c>
      <c r="T1453">
        <v>2.8772350000000001E-3</v>
      </c>
      <c r="U1453">
        <v>-3.0855100000000002</v>
      </c>
      <c r="V1453">
        <v>2.96904E-3</v>
      </c>
      <c r="W1453">
        <v>0.18384039999999999</v>
      </c>
      <c r="X1453">
        <v>0.98295160000000004</v>
      </c>
      <c r="Y1453">
        <v>0.1858398</v>
      </c>
      <c r="Z1453">
        <v>-1.6339119999999999E-2</v>
      </c>
      <c r="AA1453">
        <v>0.98244419999999999</v>
      </c>
      <c r="AB1453">
        <v>22</v>
      </c>
      <c r="AC1453">
        <v>-24.382000000000001</v>
      </c>
      <c r="AD1453">
        <v>0.220162</v>
      </c>
      <c r="AE1453">
        <v>-236.14080000000001</v>
      </c>
      <c r="AF1453">
        <v>44.154030279986202</v>
      </c>
      <c r="AG1453">
        <v>0.220162</v>
      </c>
      <c r="AH1453">
        <v>233.25369025202201</v>
      </c>
      <c r="AI1453">
        <v>89.946863680876007</v>
      </c>
      <c r="AJ1453">
        <v>79.280959336604198</v>
      </c>
      <c r="AK1453">
        <v>237.39610543869199</v>
      </c>
      <c r="AL1453">
        <v>79.406467060126701</v>
      </c>
      <c r="AM1453">
        <v>89.826936602109996</v>
      </c>
      <c r="AN1453">
        <v>0.99999997790661999</v>
      </c>
    </row>
    <row r="1454" spans="1:40" x14ac:dyDescent="0.25">
      <c r="A1454" t="str">
        <f>"20190304155041343"</f>
        <v>20190304155041343</v>
      </c>
      <c r="B1454" t="str">
        <f>"1551685841338239"</f>
        <v>1551685841338239</v>
      </c>
      <c r="C1454" t="s">
        <v>40</v>
      </c>
      <c r="D1454">
        <v>5.1244239999999897</v>
      </c>
      <c r="E1454">
        <v>0.54226739999999996</v>
      </c>
      <c r="F1454" t="s">
        <v>41</v>
      </c>
      <c r="G1454">
        <v>-193.20519999999999</v>
      </c>
      <c r="H1454" s="1">
        <v>-4.6136859999999996E-6</v>
      </c>
      <c r="I1454">
        <v>317.81990000000002</v>
      </c>
      <c r="J1454">
        <v>-191.5932</v>
      </c>
      <c r="K1454">
        <v>1.1034139999999999</v>
      </c>
      <c r="L1454">
        <v>348.89839999999998</v>
      </c>
      <c r="M1454">
        <v>7.1710919999999997E-2</v>
      </c>
      <c r="N1454">
        <v>-1.528912E-2</v>
      </c>
      <c r="O1454">
        <v>-0.99730839999999998</v>
      </c>
      <c r="P1454">
        <v>7.7408050000000006E-2</v>
      </c>
      <c r="Q1454">
        <v>0.1677688</v>
      </c>
      <c r="R1454">
        <v>-0.98278259999999995</v>
      </c>
      <c r="S1454">
        <v>-0.15861510000000001</v>
      </c>
      <c r="T1454">
        <v>-0.10880629999999999</v>
      </c>
      <c r="U1454">
        <v>-3.0867309999999999</v>
      </c>
      <c r="V1454">
        <v>-3.4449770000000001E-3</v>
      </c>
      <c r="W1454">
        <v>0.18291270000000001</v>
      </c>
      <c r="X1454">
        <v>0.98312310000000003</v>
      </c>
      <c r="Y1454">
        <v>0.1227536</v>
      </c>
      <c r="Z1454">
        <v>1.962351E-2</v>
      </c>
      <c r="AA1454">
        <v>0.99224319999999999</v>
      </c>
      <c r="AB1454">
        <v>22</v>
      </c>
      <c r="AC1454">
        <v>-1.6119999999999901</v>
      </c>
      <c r="AD1454">
        <v>-1.10341861368599</v>
      </c>
      <c r="AE1454">
        <v>-31.078499999999899</v>
      </c>
      <c r="AF1454">
        <v>3.8319595155919899</v>
      </c>
      <c r="AG1454">
        <v>-1.10341861368599</v>
      </c>
      <c r="AH1454">
        <v>30.844080655690501</v>
      </c>
      <c r="AI1454">
        <v>92.033212429812593</v>
      </c>
      <c r="AJ1454">
        <v>82.918062045483396</v>
      </c>
      <c r="AK1454">
        <v>31.1007838785602</v>
      </c>
      <c r="AL1454">
        <v>79.460537227293301</v>
      </c>
      <c r="AM1454">
        <v>90.200770213567196</v>
      </c>
      <c r="AN1454">
        <v>0.99999997672071494</v>
      </c>
    </row>
    <row r="1455" spans="1:40" x14ac:dyDescent="0.25">
      <c r="A1455" t="str">
        <f>"20190304155041365"</f>
        <v>20190304155041365</v>
      </c>
      <c r="B1455" t="str">
        <f>"1551685841357758"</f>
        <v>1551685841357758</v>
      </c>
      <c r="C1455" t="s">
        <v>40</v>
      </c>
      <c r="D1455">
        <v>5.136565</v>
      </c>
      <c r="E1455">
        <v>0.54046430000000001</v>
      </c>
      <c r="F1455" t="s">
        <v>41</v>
      </c>
      <c r="G1455">
        <v>-192.99979999999999</v>
      </c>
      <c r="H1455" s="1">
        <v>-2.734469E-6</v>
      </c>
      <c r="I1455">
        <v>313.68779999999998</v>
      </c>
      <c r="J1455">
        <v>-191.5917</v>
      </c>
      <c r="K1455">
        <v>1.103688</v>
      </c>
      <c r="L1455">
        <v>348.6755</v>
      </c>
      <c r="M1455">
        <v>5.9431539999999998E-2</v>
      </c>
      <c r="N1455">
        <v>-1.521232E-2</v>
      </c>
      <c r="O1455">
        <v>-0.99811669999999997</v>
      </c>
      <c r="P1455">
        <v>7.1738449999999995E-2</v>
      </c>
      <c r="Q1455">
        <v>0.16820760000000001</v>
      </c>
      <c r="R1455">
        <v>-0.98313799999999996</v>
      </c>
      <c r="S1455">
        <v>-0.12298580000000001</v>
      </c>
      <c r="T1455">
        <v>-9.6478460000000002E-2</v>
      </c>
      <c r="U1455">
        <v>-3.0786739999999999</v>
      </c>
      <c r="V1455">
        <v>-1.001639E-2</v>
      </c>
      <c r="W1455">
        <v>0.1833824</v>
      </c>
      <c r="X1455">
        <v>0.98299060000000005</v>
      </c>
      <c r="Y1455">
        <v>9.9196039999999999E-2</v>
      </c>
      <c r="Z1455">
        <v>1.5923010000000001E-2</v>
      </c>
      <c r="AA1455">
        <v>0.99494050000000001</v>
      </c>
      <c r="AB1455">
        <v>22</v>
      </c>
      <c r="AC1455">
        <v>-1.4080999999999899</v>
      </c>
      <c r="AD1455">
        <v>-1.1036907344689999</v>
      </c>
      <c r="AE1455">
        <v>-34.987699999999997</v>
      </c>
      <c r="AF1455">
        <v>3.4817644090801401</v>
      </c>
      <c r="AG1455">
        <v>-1.1036907344689999</v>
      </c>
      <c r="AH1455">
        <v>34.807564879082797</v>
      </c>
      <c r="AI1455">
        <v>91.807134221351504</v>
      </c>
      <c r="AJ1455">
        <v>84.287764182612307</v>
      </c>
      <c r="AK1455">
        <v>34.998676967126102</v>
      </c>
      <c r="AL1455">
        <v>79.433162359232696</v>
      </c>
      <c r="AM1455">
        <v>90.583807222148295</v>
      </c>
      <c r="AN1455">
        <v>0.999999976193375</v>
      </c>
    </row>
    <row r="1456" spans="1:40" x14ac:dyDescent="0.25">
      <c r="A1456" t="str">
        <f>"20190304155041388"</f>
        <v>20190304155041388</v>
      </c>
      <c r="B1456" t="str">
        <f>"1551685841378254"</f>
        <v>1551685841378254</v>
      </c>
      <c r="C1456" t="s">
        <v>40</v>
      </c>
      <c r="D1456">
        <v>5.1395059999999999</v>
      </c>
      <c r="E1456">
        <v>0.53871169999999902</v>
      </c>
      <c r="F1456" t="s">
        <v>41</v>
      </c>
      <c r="G1456">
        <v>-193.15260000000001</v>
      </c>
      <c r="H1456" s="1">
        <v>-1.373407E-6</v>
      </c>
      <c r="I1456">
        <v>310.72250000000003</v>
      </c>
      <c r="J1456">
        <v>-191.59229999999999</v>
      </c>
      <c r="K1456">
        <v>1.104006</v>
      </c>
      <c r="L1456">
        <v>348.45170000000002</v>
      </c>
      <c r="M1456">
        <v>4.7549250000000001E-2</v>
      </c>
      <c r="N1456">
        <v>-1.512779E-2</v>
      </c>
      <c r="O1456">
        <v>-0.99875440000000004</v>
      </c>
      <c r="P1456">
        <v>6.5235340000000003E-2</v>
      </c>
      <c r="Q1456">
        <v>0.16941539999999999</v>
      </c>
      <c r="R1456">
        <v>-0.98338340000000002</v>
      </c>
      <c r="S1456">
        <v>-0.1265106</v>
      </c>
      <c r="T1456">
        <v>-8.9450119999999994E-2</v>
      </c>
      <c r="U1456">
        <v>-3.075958</v>
      </c>
      <c r="V1456">
        <v>-1.5362290000000001E-2</v>
      </c>
      <c r="W1456">
        <v>0.18458040000000001</v>
      </c>
      <c r="X1456">
        <v>0.98269740000000005</v>
      </c>
      <c r="Y1456">
        <v>8.8528590000000004E-2</v>
      </c>
      <c r="Z1456">
        <v>1.380997E-2</v>
      </c>
      <c r="AA1456">
        <v>0.99597789999999997</v>
      </c>
      <c r="AB1456">
        <v>22</v>
      </c>
      <c r="AC1456">
        <v>-1.56030000000001</v>
      </c>
      <c r="AD1456">
        <v>-1.1040073734069999</v>
      </c>
      <c r="AE1456">
        <v>-37.729199999999899</v>
      </c>
      <c r="AF1456">
        <v>3.3498717371328199</v>
      </c>
      <c r="AG1456">
        <v>-1.1040073734069999</v>
      </c>
      <c r="AH1456">
        <v>37.580192727024198</v>
      </c>
      <c r="AI1456">
        <v>91.676073675929004</v>
      </c>
      <c r="AJ1456">
        <v>84.906157937977895</v>
      </c>
      <c r="AK1456">
        <v>37.745348830499204</v>
      </c>
      <c r="AL1456">
        <v>79.363330766217501</v>
      </c>
      <c r="AM1456">
        <v>90.895619230738404</v>
      </c>
      <c r="AN1456">
        <v>1.0000000519924801</v>
      </c>
    </row>
    <row r="1457" spans="1:40" x14ac:dyDescent="0.25">
      <c r="A1457" t="str">
        <f>"20190304155041409"</f>
        <v>20190304155041409</v>
      </c>
      <c r="B1457" t="str">
        <f>"1551685841397774"</f>
        <v>1551685841397774</v>
      </c>
      <c r="C1457" t="s">
        <v>40</v>
      </c>
      <c r="D1457">
        <v>5.320557</v>
      </c>
      <c r="E1457">
        <v>0.5381494</v>
      </c>
      <c r="F1457" t="s">
        <v>41</v>
      </c>
      <c r="G1457">
        <v>-193.29179999999999</v>
      </c>
      <c r="H1457" s="1">
        <v>-4.5404510000000001E-6</v>
      </c>
      <c r="I1457">
        <v>308.61329999999998</v>
      </c>
      <c r="J1457">
        <v>-191.5951</v>
      </c>
      <c r="K1457">
        <v>1.1043350000000001</v>
      </c>
      <c r="L1457">
        <v>348.2364</v>
      </c>
      <c r="M1457">
        <v>3.6618119999999997E-2</v>
      </c>
      <c r="N1457">
        <v>-1.504103E-2</v>
      </c>
      <c r="O1457">
        <v>-0.99921629999999995</v>
      </c>
      <c r="P1457">
        <v>5.9886130000000003E-2</v>
      </c>
      <c r="Q1457">
        <v>0.1701424</v>
      </c>
      <c r="R1457">
        <v>-0.98359839999999998</v>
      </c>
      <c r="S1457">
        <v>-0.131134</v>
      </c>
      <c r="T1457">
        <v>-8.5188390000000003E-2</v>
      </c>
      <c r="U1457">
        <v>-3.074036</v>
      </c>
      <c r="V1457">
        <v>-2.0931129999999999E-2</v>
      </c>
      <c r="W1457">
        <v>0.18529039999999999</v>
      </c>
      <c r="X1457">
        <v>0.98246089999999997</v>
      </c>
      <c r="Y1457">
        <v>7.9151410000000005E-2</v>
      </c>
      <c r="Z1457">
        <v>1.256759E-2</v>
      </c>
      <c r="AA1457">
        <v>0.99678339999999999</v>
      </c>
      <c r="AB1457">
        <v>22</v>
      </c>
      <c r="AC1457">
        <v>-1.6966999999999901</v>
      </c>
      <c r="AD1457">
        <v>-1.1043395404509999</v>
      </c>
      <c r="AE1457">
        <v>-39.623100000000001</v>
      </c>
      <c r="AF1457">
        <v>3.1442112114196901</v>
      </c>
      <c r="AG1457">
        <v>-1.1043395404509999</v>
      </c>
      <c r="AH1457">
        <v>39.503752766736604</v>
      </c>
      <c r="AI1457">
        <v>91.596258516434204</v>
      </c>
      <c r="AJ1457">
        <v>85.449266404492604</v>
      </c>
      <c r="AK1457">
        <v>39.644067811187902</v>
      </c>
      <c r="AL1457">
        <v>79.321936532294302</v>
      </c>
      <c r="AM1457">
        <v>91.220490313895297</v>
      </c>
      <c r="AN1457">
        <v>1.0000000322820199</v>
      </c>
    </row>
    <row r="1458" spans="1:40" x14ac:dyDescent="0.25">
      <c r="A1458" t="str">
        <f>"20190304155041430"</f>
        <v>20190304155041430</v>
      </c>
      <c r="B1458" t="str">
        <f>"1551685841428030"</f>
        <v>1551685841428030</v>
      </c>
      <c r="C1458" t="s">
        <v>40</v>
      </c>
      <c r="D1458">
        <v>5.0618829999999999</v>
      </c>
      <c r="E1458">
        <v>0.5376204</v>
      </c>
      <c r="F1458" t="s">
        <v>41</v>
      </c>
      <c r="G1458">
        <v>-193.4633</v>
      </c>
      <c r="H1458" s="1">
        <v>-4.2571399999999997E-6</v>
      </c>
      <c r="I1458">
        <v>307.69139999999999</v>
      </c>
      <c r="J1458">
        <v>-191.59960000000001</v>
      </c>
      <c r="K1458">
        <v>1.104673</v>
      </c>
      <c r="L1458">
        <v>348.02280000000002</v>
      </c>
      <c r="M1458">
        <v>2.6258239999999999E-2</v>
      </c>
      <c r="N1458">
        <v>-1.495314E-2</v>
      </c>
      <c r="O1458">
        <v>-0.99954350000000003</v>
      </c>
      <c r="P1458">
        <v>5.6202849999999999E-2</v>
      </c>
      <c r="Q1458">
        <v>0.16915429999999901</v>
      </c>
      <c r="R1458">
        <v>-0.98398629999999998</v>
      </c>
      <c r="S1458">
        <v>-0.14160159999999999</v>
      </c>
      <c r="T1458">
        <v>-8.3704589999999995E-2</v>
      </c>
      <c r="U1458">
        <v>-3.0731510000000002</v>
      </c>
      <c r="V1458">
        <v>-2.7621440000000001E-2</v>
      </c>
      <c r="W1458">
        <v>0.1842946</v>
      </c>
      <c r="X1458">
        <v>0.98248290000000005</v>
      </c>
      <c r="Y1458">
        <v>7.2219430000000001E-2</v>
      </c>
      <c r="Z1458">
        <v>1.220357E-2</v>
      </c>
      <c r="AA1458">
        <v>0.99731409999999998</v>
      </c>
      <c r="AB1458">
        <v>22</v>
      </c>
      <c r="AC1458">
        <v>-1.8636999999999899</v>
      </c>
      <c r="AD1458">
        <v>-1.1046772571400001</v>
      </c>
      <c r="AE1458">
        <v>-40.331400000000002</v>
      </c>
      <c r="AF1458">
        <v>2.9200211108807599</v>
      </c>
      <c r="AG1458">
        <v>-1.1046772571400001</v>
      </c>
      <c r="AH1458">
        <v>40.238424354976303</v>
      </c>
      <c r="AI1458">
        <v>91.568440535087504</v>
      </c>
      <c r="AJ1458">
        <v>85.849436680972502</v>
      </c>
      <c r="AK1458">
        <v>40.359356160642399</v>
      </c>
      <c r="AL1458">
        <v>79.379991668008799</v>
      </c>
      <c r="AM1458">
        <v>91.610384442928904</v>
      </c>
      <c r="AN1458">
        <v>1.0000000461646199</v>
      </c>
    </row>
    <row r="1459" spans="1:40" x14ac:dyDescent="0.25">
      <c r="A1459" t="str">
        <f>"20190304155041453"</f>
        <v>20190304155041453</v>
      </c>
      <c r="B1459" t="str">
        <f>"1551685841447550"</f>
        <v>1551685841447550</v>
      </c>
      <c r="C1459" t="s">
        <v>40</v>
      </c>
      <c r="D1459">
        <v>5.0871649999999997</v>
      </c>
      <c r="E1459">
        <v>0.53681299999999998</v>
      </c>
      <c r="F1459" t="s">
        <v>41</v>
      </c>
      <c r="G1459">
        <v>-193.64529999999999</v>
      </c>
      <c r="H1459" s="1">
        <v>-3.7149140000000002E-6</v>
      </c>
      <c r="I1459">
        <v>306.00310000000002</v>
      </c>
      <c r="J1459">
        <v>-191.60599999999999</v>
      </c>
      <c r="K1459">
        <v>1.104989</v>
      </c>
      <c r="L1459">
        <v>347.80500000000001</v>
      </c>
      <c r="M1459">
        <v>1.610733E-2</v>
      </c>
      <c r="N1459">
        <v>-1.486641E-2</v>
      </c>
      <c r="O1459">
        <v>-0.99975970000000003</v>
      </c>
      <c r="P1459">
        <v>5.3295259999999997E-2</v>
      </c>
      <c r="Q1459">
        <v>0.16890859999999999</v>
      </c>
      <c r="R1459">
        <v>-0.98419000000000001</v>
      </c>
      <c r="S1459">
        <v>-0.14952089999999901</v>
      </c>
      <c r="T1459">
        <v>-8.0741999999999994E-2</v>
      </c>
      <c r="U1459">
        <v>-3.071259</v>
      </c>
      <c r="V1459">
        <v>-3.4857140000000002E-2</v>
      </c>
      <c r="W1459">
        <v>0.18403910000000001</v>
      </c>
      <c r="X1459">
        <v>0.98230059999999997</v>
      </c>
      <c r="Y1459">
        <v>6.4687159999999994E-2</v>
      </c>
      <c r="Z1459">
        <v>1.1362300000000001E-2</v>
      </c>
      <c r="AA1459">
        <v>0.99784090000000003</v>
      </c>
      <c r="AB1459">
        <v>22</v>
      </c>
      <c r="AC1459">
        <v>-2.0392999999999901</v>
      </c>
      <c r="AD1459">
        <v>-1.104992714914</v>
      </c>
      <c r="AE1459">
        <v>-41.801899999999897</v>
      </c>
      <c r="AF1459">
        <v>2.71053731168446</v>
      </c>
      <c r="AG1459">
        <v>-1.104992714914</v>
      </c>
      <c r="AH1459">
        <v>41.7345313727442</v>
      </c>
      <c r="AI1459">
        <v>91.513461758883395</v>
      </c>
      <c r="AJ1459">
        <v>86.284023508616201</v>
      </c>
      <c r="AK1459">
        <v>41.837054512962801</v>
      </c>
      <c r="AL1459">
        <v>79.394884355367594</v>
      </c>
      <c r="AM1459">
        <v>92.032299851144899</v>
      </c>
      <c r="AN1459">
        <v>0.99999993964907297</v>
      </c>
    </row>
    <row r="1460" spans="1:40" x14ac:dyDescent="0.25">
      <c r="A1460" t="str">
        <f>"20190304155041476"</f>
        <v>20190304155041476</v>
      </c>
      <c r="B1460" t="str">
        <f>"1551685841468046"</f>
        <v>1551685841468046</v>
      </c>
      <c r="C1460" t="s">
        <v>40</v>
      </c>
      <c r="D1460">
        <v>5.0570519999999997</v>
      </c>
      <c r="E1460">
        <v>0.53659259999999998</v>
      </c>
      <c r="F1460" t="s">
        <v>41</v>
      </c>
      <c r="G1460">
        <v>-193.80260000000001</v>
      </c>
      <c r="H1460" s="1">
        <v>-2.9090739999999999E-6</v>
      </c>
      <c r="I1460">
        <v>304.01179999999999</v>
      </c>
      <c r="J1460">
        <v>-191.6146</v>
      </c>
      <c r="K1460">
        <v>1.1052879999999901</v>
      </c>
      <c r="L1460">
        <v>347.57330000000002</v>
      </c>
      <c r="M1460">
        <v>5.7790250000000001E-3</v>
      </c>
      <c r="N1460">
        <v>-1.477887E-2</v>
      </c>
      <c r="O1460">
        <v>-0.99987409999999999</v>
      </c>
      <c r="P1460">
        <v>4.9100829999999998E-2</v>
      </c>
      <c r="Q1460">
        <v>0.1700554</v>
      </c>
      <c r="R1460">
        <v>-0.98421080000000005</v>
      </c>
      <c r="S1460">
        <v>-0.15397640000000001</v>
      </c>
      <c r="T1460">
        <v>-7.7457189999999995E-2</v>
      </c>
      <c r="U1460">
        <v>-3.0697939999999999</v>
      </c>
      <c r="V1460">
        <v>-4.0950970000000003E-2</v>
      </c>
      <c r="W1460">
        <v>0.18514749999999999</v>
      </c>
      <c r="X1460">
        <v>0.98185710000000004</v>
      </c>
      <c r="Y1460">
        <v>5.5847939999999999E-2</v>
      </c>
      <c r="Z1460">
        <v>1.0408819999999999E-2</v>
      </c>
      <c r="AA1460">
        <v>0.99838499999999997</v>
      </c>
      <c r="AB1460">
        <v>22</v>
      </c>
      <c r="AC1460">
        <v>-2.1880000000000099</v>
      </c>
      <c r="AD1460">
        <v>-1.10529090907399</v>
      </c>
      <c r="AE1460">
        <v>-43.561500000000002</v>
      </c>
      <c r="AF1460">
        <v>2.4381682157691502</v>
      </c>
      <c r="AG1460">
        <v>-1.10529090907399</v>
      </c>
      <c r="AH1460">
        <v>43.5201789699206</v>
      </c>
      <c r="AI1460">
        <v>91.452563119388202</v>
      </c>
      <c r="AJ1460">
        <v>86.793421527134498</v>
      </c>
      <c r="AK1460">
        <v>43.602434677618497</v>
      </c>
      <c r="AL1460">
        <v>79.330267607176097</v>
      </c>
      <c r="AM1460">
        <v>92.388289161231299</v>
      </c>
      <c r="AN1460">
        <v>0.99999997176029998</v>
      </c>
    </row>
    <row r="1461" spans="1:40" x14ac:dyDescent="0.25">
      <c r="A1461" t="str">
        <f>"20190304155041498"</f>
        <v>20190304155041498</v>
      </c>
      <c r="B1461" t="str">
        <f>"1551685841487569"</f>
        <v>1551685841487569</v>
      </c>
      <c r="C1461" t="s">
        <v>40</v>
      </c>
      <c r="D1461">
        <v>5.087491</v>
      </c>
      <c r="E1461">
        <v>0.53646369999999999</v>
      </c>
      <c r="F1461" t="s">
        <v>62</v>
      </c>
      <c r="G1461">
        <v>-194.346</v>
      </c>
      <c r="H1461" s="1">
        <v>5.6347850000000003E-7</v>
      </c>
      <c r="I1461">
        <v>296.92129999999997</v>
      </c>
      <c r="J1461">
        <v>-191.6242</v>
      </c>
      <c r="K1461">
        <v>1.1055429999999999</v>
      </c>
      <c r="L1461">
        <v>347.35829999999999</v>
      </c>
      <c r="M1461">
        <v>-3.3451710000000001E-3</v>
      </c>
      <c r="N1461">
        <v>-1.469901E-2</v>
      </c>
      <c r="O1461">
        <v>-0.99988650000000001</v>
      </c>
      <c r="P1461">
        <v>4.5568030000000002E-2</v>
      </c>
      <c r="Q1461">
        <v>0.1696637</v>
      </c>
      <c r="R1461">
        <v>-0.9844484</v>
      </c>
      <c r="S1461">
        <v>-0.16543579999999999</v>
      </c>
      <c r="T1461">
        <v>-6.6944719999999999E-2</v>
      </c>
      <c r="U1461">
        <v>-3.0678709999999998</v>
      </c>
      <c r="V1461">
        <v>-4.6521760000000002E-2</v>
      </c>
      <c r="W1461">
        <v>0.18471870000000001</v>
      </c>
      <c r="X1461">
        <v>0.98168979999999995</v>
      </c>
      <c r="Y1461">
        <v>5.0491170000000002E-2</v>
      </c>
      <c r="Z1461">
        <v>7.0895759999999898E-3</v>
      </c>
      <c r="AA1461">
        <v>0.99869940000000001</v>
      </c>
      <c r="AB1461">
        <v>22</v>
      </c>
      <c r="AC1461">
        <v>-2.7217999999999698</v>
      </c>
      <c r="AD1461">
        <v>-1.1055424365215001</v>
      </c>
      <c r="AE1461">
        <v>-50.436999999999998</v>
      </c>
      <c r="AF1461">
        <v>2.55182369526224</v>
      </c>
      <c r="AG1461">
        <v>-1.1055424365215001</v>
      </c>
      <c r="AH1461">
        <v>50.421668629104403</v>
      </c>
      <c r="AI1461">
        <v>91.254457512904693</v>
      </c>
      <c r="AJ1461">
        <v>87.1027517877272</v>
      </c>
      <c r="AK1461">
        <v>50.498303888287801</v>
      </c>
      <c r="AL1461">
        <v>79.355268289297797</v>
      </c>
      <c r="AM1461">
        <v>92.713186821359997</v>
      </c>
      <c r="AN1461">
        <v>1.0000000678536101</v>
      </c>
    </row>
    <row r="1462" spans="1:40" x14ac:dyDescent="0.25">
      <c r="A1462" t="str">
        <f>"20190304155041520"</f>
        <v>20190304155041520</v>
      </c>
      <c r="B1462" t="str">
        <f>"1551685841517821"</f>
        <v>1551685841517821</v>
      </c>
      <c r="C1462" t="s">
        <v>40</v>
      </c>
      <c r="D1462">
        <v>5.0847699999999998</v>
      </c>
      <c r="E1462">
        <v>0.53608599999999995</v>
      </c>
      <c r="F1462" t="s">
        <v>62</v>
      </c>
      <c r="G1462">
        <v>-194.51840000000001</v>
      </c>
      <c r="H1462" s="1">
        <v>8.5009709999999998E-7</v>
      </c>
      <c r="I1462">
        <v>296.06729999999999</v>
      </c>
      <c r="J1462">
        <v>-191.6352</v>
      </c>
      <c r="K1462">
        <v>1.105809</v>
      </c>
      <c r="L1462">
        <v>347.1465</v>
      </c>
      <c r="M1462">
        <v>-1.18729E-2</v>
      </c>
      <c r="N1462">
        <v>-1.4618509999999999E-2</v>
      </c>
      <c r="O1462">
        <v>-0.99982280000000001</v>
      </c>
      <c r="P1462">
        <v>4.2592100000000001E-2</v>
      </c>
      <c r="Q1462">
        <v>0.16892009999999999</v>
      </c>
      <c r="R1462">
        <v>-0.98470919999999895</v>
      </c>
      <c r="S1462">
        <v>-0.17304990000000001</v>
      </c>
      <c r="T1462">
        <v>-6.6102739999999993E-2</v>
      </c>
      <c r="U1462">
        <v>-3.0668030000000002</v>
      </c>
      <c r="V1462">
        <v>-5.207403E-2</v>
      </c>
      <c r="W1462">
        <v>0.18392800000000001</v>
      </c>
      <c r="X1462">
        <v>0.98155930000000002</v>
      </c>
      <c r="Y1462">
        <v>4.446485E-2</v>
      </c>
      <c r="Z1462">
        <v>6.9067130000000001E-3</v>
      </c>
      <c r="AA1462">
        <v>0.99898710000000002</v>
      </c>
      <c r="AB1462">
        <v>22</v>
      </c>
      <c r="AC1462">
        <v>-2.8832000000000102</v>
      </c>
      <c r="AD1462">
        <v>-1.10580814990289</v>
      </c>
      <c r="AE1462">
        <v>-51.0792</v>
      </c>
      <c r="AF1462">
        <v>2.2754107390259901</v>
      </c>
      <c r="AG1462">
        <v>-1.10580814990289</v>
      </c>
      <c r="AH1462">
        <v>51.085967841421201</v>
      </c>
      <c r="AI1462">
        <v>91.238804411620805</v>
      </c>
      <c r="AJ1462">
        <v>87.449684795273598</v>
      </c>
      <c r="AK1462">
        <v>51.148571983882299</v>
      </c>
      <c r="AL1462">
        <v>79.401360435826106</v>
      </c>
      <c r="AM1462">
        <v>93.036828923292902</v>
      </c>
      <c r="AN1462">
        <v>0.99999993660046305</v>
      </c>
    </row>
    <row r="1463" spans="1:40" x14ac:dyDescent="0.25">
      <c r="A1463" t="str">
        <f>"20190304155041542"</f>
        <v>20190304155041542</v>
      </c>
      <c r="B1463" t="str">
        <f>"1551685841538318"</f>
        <v>1551685841538318</v>
      </c>
      <c r="C1463" t="s">
        <v>40</v>
      </c>
      <c r="D1463">
        <v>5.098719</v>
      </c>
      <c r="E1463">
        <v>0.5360589</v>
      </c>
      <c r="F1463" t="s">
        <v>62</v>
      </c>
      <c r="G1463">
        <v>-194.79409999999999</v>
      </c>
      <c r="H1463" s="1">
        <v>1.67034E-6</v>
      </c>
      <c r="I1463">
        <v>292.73239999999998</v>
      </c>
      <c r="J1463">
        <v>-191.64769999999999</v>
      </c>
      <c r="K1463">
        <v>1.1061299999999901</v>
      </c>
      <c r="L1463">
        <v>346.9307</v>
      </c>
      <c r="M1463">
        <v>-2.0091709999999999E-2</v>
      </c>
      <c r="N1463">
        <v>-1.453458E-2</v>
      </c>
      <c r="O1463">
        <v>-0.99969249999999998</v>
      </c>
      <c r="P1463">
        <v>4.0694380000000002E-2</v>
      </c>
      <c r="Q1463">
        <v>0.16859379999999999</v>
      </c>
      <c r="R1463">
        <v>-0.98484519999999998</v>
      </c>
      <c r="S1463">
        <v>-0.1779327</v>
      </c>
      <c r="T1463">
        <v>-6.2286500000000002E-2</v>
      </c>
      <c r="U1463">
        <v>-3.064972</v>
      </c>
      <c r="V1463">
        <v>-5.8411659999999997E-2</v>
      </c>
      <c r="W1463">
        <v>0.18354509999999999</v>
      </c>
      <c r="X1463">
        <v>0.98127430000000004</v>
      </c>
      <c r="Y1463">
        <v>3.7873749999999998E-2</v>
      </c>
      <c r="Z1463">
        <v>5.7620759999999997E-3</v>
      </c>
      <c r="AA1463">
        <v>0.99926590000000004</v>
      </c>
      <c r="AB1463">
        <v>21</v>
      </c>
      <c r="AC1463">
        <v>-3.1463999999999999</v>
      </c>
      <c r="AD1463">
        <v>-1.10612832965999</v>
      </c>
      <c r="AE1463">
        <v>-54.198300000000003</v>
      </c>
      <c r="AF1463">
        <v>2.0558597477211999</v>
      </c>
      <c r="AG1463">
        <v>-1.10612832965999</v>
      </c>
      <c r="AH1463">
        <v>54.228069112601702</v>
      </c>
      <c r="AI1463">
        <v>91.167701927399193</v>
      </c>
      <c r="AJ1463">
        <v>87.828878949504798</v>
      </c>
      <c r="AK1463">
        <v>54.2782973099293</v>
      </c>
      <c r="AL1463">
        <v>79.423679510879694</v>
      </c>
      <c r="AM1463">
        <v>93.406587785629299</v>
      </c>
      <c r="AN1463">
        <v>0.99999998879922702</v>
      </c>
    </row>
    <row r="1464" spans="1:40" x14ac:dyDescent="0.25">
      <c r="A1464" t="str">
        <f>"20190304155041566"</f>
        <v>20190304155041566</v>
      </c>
      <c r="B1464" t="str">
        <f>"1551685841557838"</f>
        <v>1551685841557838</v>
      </c>
      <c r="C1464" t="s">
        <v>40</v>
      </c>
      <c r="D1464">
        <v>5.0934499999999998</v>
      </c>
      <c r="E1464">
        <v>0.53590760000000004</v>
      </c>
      <c r="F1464" t="s">
        <v>62</v>
      </c>
      <c r="G1464">
        <v>-194.88390000000001</v>
      </c>
      <c r="H1464" s="1">
        <v>1.6062979999999999E-6</v>
      </c>
      <c r="I1464">
        <v>293.05079999999998</v>
      </c>
      <c r="J1464">
        <v>-191.66220000000001</v>
      </c>
      <c r="K1464">
        <v>1.1064969999999901</v>
      </c>
      <c r="L1464">
        <v>346.70240000000001</v>
      </c>
      <c r="M1464">
        <v>-2.8261290000000001E-2</v>
      </c>
      <c r="N1464">
        <v>-1.444719E-2</v>
      </c>
      <c r="O1464">
        <v>-0.99949639999999995</v>
      </c>
      <c r="P1464">
        <v>3.8858660000000003E-2</v>
      </c>
      <c r="Q1464">
        <v>0.16793910000000001</v>
      </c>
      <c r="R1464">
        <v>-0.9850312</v>
      </c>
      <c r="S1464">
        <v>-0.1840668</v>
      </c>
      <c r="T1464">
        <v>-6.2913659999999996E-2</v>
      </c>
      <c r="U1464">
        <v>-3.0645449999999999</v>
      </c>
      <c r="V1464">
        <v>-6.4792290000000002E-2</v>
      </c>
      <c r="W1464">
        <v>0.1828129</v>
      </c>
      <c r="X1464">
        <v>0.98101039999999995</v>
      </c>
      <c r="Y1464">
        <v>3.1708849999999997E-2</v>
      </c>
      <c r="Z1464">
        <v>6.055253E-3</v>
      </c>
      <c r="AA1464">
        <v>0.9994788</v>
      </c>
      <c r="AB1464">
        <v>21</v>
      </c>
      <c r="AC1464">
        <v>-3.22169999999999</v>
      </c>
      <c r="AD1464">
        <v>-1.1064953937019999</v>
      </c>
      <c r="AE1464">
        <v>-53.651600000000002</v>
      </c>
      <c r="AF1464">
        <v>1.7032696972764101</v>
      </c>
      <c r="AG1464">
        <v>-1.1064953937019999</v>
      </c>
      <c r="AH1464">
        <v>53.698466434780897</v>
      </c>
      <c r="AI1464">
        <v>91.179860341181396</v>
      </c>
      <c r="AJ1464">
        <v>88.183235712058902</v>
      </c>
      <c r="AK1464">
        <v>53.736865903820899</v>
      </c>
      <c r="AL1464">
        <v>79.466353675747698</v>
      </c>
      <c r="AM1464">
        <v>93.778696897107196</v>
      </c>
      <c r="AN1464">
        <v>1.000000001079</v>
      </c>
    </row>
    <row r="1465" spans="1:40" x14ac:dyDescent="0.25">
      <c r="A1465" t="str">
        <f>"20190304155041590"</f>
        <v>20190304155041590</v>
      </c>
      <c r="B1465" t="str">
        <f>"1551685841578334"</f>
        <v>1551685841578334</v>
      </c>
      <c r="C1465" t="s">
        <v>40</v>
      </c>
      <c r="D1465">
        <v>5.0363619999999996</v>
      </c>
      <c r="E1465">
        <v>0.53592150000000005</v>
      </c>
      <c r="F1465" t="s">
        <v>62</v>
      </c>
      <c r="G1465">
        <v>-195.15010000000001</v>
      </c>
      <c r="H1465" s="1">
        <v>2.3797510000000002E-6</v>
      </c>
      <c r="I1465">
        <v>290.27890000000002</v>
      </c>
      <c r="J1465">
        <v>-191.67779999999999</v>
      </c>
      <c r="K1465">
        <v>1.1068819999999999</v>
      </c>
      <c r="L1465">
        <v>346.47449999999998</v>
      </c>
      <c r="M1465">
        <v>-3.5815100000000002E-2</v>
      </c>
      <c r="N1465">
        <v>-1.436367E-2</v>
      </c>
      <c r="O1465">
        <v>-0.99925529999999996</v>
      </c>
      <c r="P1465">
        <v>3.671949E-2</v>
      </c>
      <c r="Q1465">
        <v>0.16731860000000001</v>
      </c>
      <c r="R1465">
        <v>-0.98521879999999995</v>
      </c>
      <c r="S1465">
        <v>-0.18936159999999999</v>
      </c>
      <c r="T1465">
        <v>-6.0072779999999999E-2</v>
      </c>
      <c r="U1465">
        <v>-3.0632929999999998</v>
      </c>
      <c r="V1465">
        <v>-7.0272899999999999E-2</v>
      </c>
      <c r="W1465">
        <v>0.1820946</v>
      </c>
      <c r="X1465">
        <v>0.98076669999999999</v>
      </c>
      <c r="Y1465">
        <v>2.5901270000000001E-2</v>
      </c>
      <c r="Z1465">
        <v>5.2188790000000001E-3</v>
      </c>
      <c r="AA1465">
        <v>0.99965090000000001</v>
      </c>
      <c r="AB1465">
        <v>21</v>
      </c>
      <c r="AC1465">
        <v>-3.4723000000000099</v>
      </c>
      <c r="AD1465">
        <v>-1.1068796202490001</v>
      </c>
      <c r="AE1465">
        <v>-56.195599999999899</v>
      </c>
      <c r="AF1465">
        <v>1.4566503511098099</v>
      </c>
      <c r="AG1465">
        <v>-1.1068796202490001</v>
      </c>
      <c r="AH1465">
        <v>56.262168028413399</v>
      </c>
      <c r="AI1465">
        <v>91.126691630000593</v>
      </c>
      <c r="AJ1465">
        <v>88.516920344998198</v>
      </c>
      <c r="AK1465">
        <v>56.291904959741203</v>
      </c>
      <c r="AL1465">
        <v>79.508212068267198</v>
      </c>
      <c r="AM1465">
        <v>94.098295244814594</v>
      </c>
      <c r="AN1465">
        <v>1.0000000218262199</v>
      </c>
    </row>
    <row r="1466" spans="1:40" x14ac:dyDescent="0.25">
      <c r="A1466" t="str">
        <f>"20190304155041610"</f>
        <v>20190304155041610</v>
      </c>
      <c r="B1466" t="str">
        <f>"1551685841607614"</f>
        <v>1551685841607614</v>
      </c>
      <c r="C1466" t="s">
        <v>40</v>
      </c>
      <c r="D1466">
        <v>5.3134300000000003</v>
      </c>
      <c r="E1466">
        <v>0.53473130000000002</v>
      </c>
      <c r="F1466" t="s">
        <v>62</v>
      </c>
      <c r="G1466">
        <v>-195.13759999999999</v>
      </c>
      <c r="H1466" s="1">
        <v>1.769776E-6</v>
      </c>
      <c r="I1466">
        <v>292.01069999999999</v>
      </c>
      <c r="J1466">
        <v>-191.6927</v>
      </c>
      <c r="K1466">
        <v>1.107219</v>
      </c>
      <c r="L1466">
        <v>346.27030000000002</v>
      </c>
      <c r="M1466">
        <v>-4.2058039999999998E-2</v>
      </c>
      <c r="N1466">
        <v>-1.429221E-2</v>
      </c>
      <c r="O1466">
        <v>-0.99901300000000004</v>
      </c>
      <c r="P1466">
        <v>3.5555549999999998E-2</v>
      </c>
      <c r="Q1466">
        <v>0.166315299999999</v>
      </c>
      <c r="R1466">
        <v>-0.98543130000000001</v>
      </c>
      <c r="S1466">
        <v>-0.19456480000000001</v>
      </c>
      <c r="T1466">
        <v>-6.2246679999999999E-2</v>
      </c>
      <c r="U1466">
        <v>-3.0628359999999999</v>
      </c>
      <c r="V1466">
        <v>-7.5423760000000006E-2</v>
      </c>
      <c r="W1466">
        <v>0.1810021</v>
      </c>
      <c r="X1466">
        <v>0.98058630000000002</v>
      </c>
      <c r="Y1466">
        <v>2.1356380000000001E-2</v>
      </c>
      <c r="Z1466">
        <v>5.9970589999999999E-3</v>
      </c>
      <c r="AA1466">
        <v>0.99975400000000003</v>
      </c>
      <c r="AB1466">
        <v>21</v>
      </c>
      <c r="AC1466">
        <v>-3.4448999999999899</v>
      </c>
      <c r="AD1466">
        <v>-1.107217230224</v>
      </c>
      <c r="AE1466">
        <v>-54.259599999999999</v>
      </c>
      <c r="AF1466">
        <v>1.1590851162187299</v>
      </c>
      <c r="AG1466">
        <v>-1.107217230224</v>
      </c>
      <c r="AH1466">
        <v>54.333946242844199</v>
      </c>
      <c r="AI1466">
        <v>91.167146427150101</v>
      </c>
      <c r="AJ1466">
        <v>88.777916596724907</v>
      </c>
      <c r="AK1466">
        <v>54.357585695299498</v>
      </c>
      <c r="AL1466">
        <v>79.5718652472641</v>
      </c>
      <c r="AM1466">
        <v>94.398359427875903</v>
      </c>
      <c r="AN1466">
        <v>0.99999999776231796</v>
      </c>
    </row>
    <row r="1467" spans="1:40" x14ac:dyDescent="0.25">
      <c r="A1467" t="str">
        <f>"20190304155041632"</f>
        <v>20190304155041632</v>
      </c>
      <c r="B1467" t="str">
        <f>"1551685841628110"</f>
        <v>1551685841628110</v>
      </c>
      <c r="C1467" t="s">
        <v>40</v>
      </c>
      <c r="D1467">
        <v>5.0914039999999998</v>
      </c>
      <c r="E1467">
        <v>0.53380280000000002</v>
      </c>
      <c r="F1467" t="s">
        <v>62</v>
      </c>
      <c r="G1467">
        <v>-194.9051</v>
      </c>
      <c r="H1467" s="1">
        <v>1.4866559999999999E-6</v>
      </c>
      <c r="I1467">
        <v>293.71949999999998</v>
      </c>
      <c r="J1467">
        <v>-191.70849999999999</v>
      </c>
      <c r="K1467">
        <v>1.1075219999999999</v>
      </c>
      <c r="L1467">
        <v>346.06310000000002</v>
      </c>
      <c r="M1467">
        <v>-4.795899E-2</v>
      </c>
      <c r="N1467">
        <v>-1.422411E-2</v>
      </c>
      <c r="O1467">
        <v>-0.99874810000000003</v>
      </c>
      <c r="P1467">
        <v>3.5751579999999998E-2</v>
      </c>
      <c r="Q1467">
        <v>0.16589509999999999</v>
      </c>
      <c r="R1467">
        <v>-0.98549520000000002</v>
      </c>
      <c r="S1467">
        <v>-0.1871796</v>
      </c>
      <c r="T1467">
        <v>-6.4514279999999993E-2</v>
      </c>
      <c r="U1467">
        <v>-3.0619809999999998</v>
      </c>
      <c r="V1467">
        <v>-8.1563579999999997E-2</v>
      </c>
      <c r="W1467">
        <v>0.18050169999999999</v>
      </c>
      <c r="X1467">
        <v>0.98018700000000003</v>
      </c>
      <c r="Y1467">
        <v>1.3066929999999999E-2</v>
      </c>
      <c r="Z1467">
        <v>6.8056770000000004E-3</v>
      </c>
      <c r="AA1467">
        <v>0.99989150000000004</v>
      </c>
      <c r="AB1467">
        <v>21</v>
      </c>
      <c r="AC1467">
        <v>-3.1966000000000099</v>
      </c>
      <c r="AD1467">
        <v>-1.10752051334399</v>
      </c>
      <c r="AE1467">
        <v>-52.343600000000002</v>
      </c>
      <c r="AF1467">
        <v>0.682016765848244</v>
      </c>
      <c r="AG1467">
        <v>-1.10752051334399</v>
      </c>
      <c r="AH1467">
        <v>52.413299863560802</v>
      </c>
      <c r="AI1467">
        <v>91.210407288514503</v>
      </c>
      <c r="AJ1467">
        <v>89.254493094615597</v>
      </c>
      <c r="AK1467">
        <v>52.429435922427402</v>
      </c>
      <c r="AL1467">
        <v>79.601016423414606</v>
      </c>
      <c r="AM1467">
        <v>94.756752733698306</v>
      </c>
      <c r="AN1467">
        <v>1.00000001812715</v>
      </c>
    </row>
    <row r="1468" spans="1:40" x14ac:dyDescent="0.25">
      <c r="A1468" t="str">
        <f>"20190304155041655"</f>
        <v>20190304155041655</v>
      </c>
      <c r="B1468" t="str">
        <f>"1551685841647630"</f>
        <v>1551685841647630</v>
      </c>
      <c r="C1468" t="s">
        <v>40</v>
      </c>
      <c r="D1468">
        <v>5.080165</v>
      </c>
      <c r="E1468">
        <v>0.53343109999999905</v>
      </c>
      <c r="F1468" t="s">
        <v>62</v>
      </c>
      <c r="G1468">
        <v>-194.63210000000001</v>
      </c>
      <c r="H1468" s="1">
        <v>7.5485460000000002E-7</v>
      </c>
      <c r="I1468">
        <v>296.3082</v>
      </c>
      <c r="J1468">
        <v>-191.72579999999999</v>
      </c>
      <c r="K1468">
        <v>1.1077870000000001</v>
      </c>
      <c r="L1468">
        <v>345.84780000000001</v>
      </c>
      <c r="M1468">
        <v>-5.3631640000000001E-2</v>
      </c>
      <c r="N1468">
        <v>-1.4158159999999999E-2</v>
      </c>
      <c r="O1468">
        <v>-0.99846060000000003</v>
      </c>
      <c r="P1468">
        <v>3.532209E-2</v>
      </c>
      <c r="Q1468">
        <v>0.16642409999999999</v>
      </c>
      <c r="R1468">
        <v>-0.98542180000000001</v>
      </c>
      <c r="S1468">
        <v>-0.1799316</v>
      </c>
      <c r="T1468">
        <v>-6.8162319999999998E-2</v>
      </c>
      <c r="U1468">
        <v>-3.0621640000000001</v>
      </c>
      <c r="V1468">
        <v>-8.6823629999999999E-2</v>
      </c>
      <c r="W1468">
        <v>0.18094350000000001</v>
      </c>
      <c r="X1468">
        <v>0.97965360000000001</v>
      </c>
      <c r="Y1468">
        <v>5.0261719999999998E-3</v>
      </c>
      <c r="Z1468">
        <v>8.0521259999999997E-3</v>
      </c>
      <c r="AA1468">
        <v>0.99995489999999998</v>
      </c>
      <c r="AB1468">
        <v>21</v>
      </c>
      <c r="AC1468">
        <v>-2.9063000000000101</v>
      </c>
      <c r="AD1468">
        <v>-1.1077862451453999</v>
      </c>
      <c r="AE1468">
        <v>-49.5396</v>
      </c>
      <c r="AF1468">
        <v>0.24483854583953699</v>
      </c>
      <c r="AG1468">
        <v>-1.1077862451453999</v>
      </c>
      <c r="AH1468">
        <v>49.599456192746899</v>
      </c>
      <c r="AI1468">
        <v>91.279452590946093</v>
      </c>
      <c r="AJ1468">
        <v>89.717172274166302</v>
      </c>
      <c r="AK1468">
        <v>49.612429802365803</v>
      </c>
      <c r="AL1468">
        <v>79.575279536763901</v>
      </c>
      <c r="AM1468">
        <v>95.064712496976</v>
      </c>
      <c r="AN1468">
        <v>1.00000003445579</v>
      </c>
    </row>
    <row r="1469" spans="1:40" x14ac:dyDescent="0.25">
      <c r="A1469" t="str">
        <f>"20190304155041676"</f>
        <v>20190304155041676</v>
      </c>
      <c r="B1469" t="str">
        <f>"1551685841668127"</f>
        <v>1551685841668127</v>
      </c>
      <c r="C1469" t="s">
        <v>40</v>
      </c>
      <c r="D1469">
        <v>5.1138830000000004</v>
      </c>
      <c r="E1469">
        <v>0.53294049999999904</v>
      </c>
      <c r="F1469" t="s">
        <v>62</v>
      </c>
      <c r="G1469">
        <v>-194.76589999999999</v>
      </c>
      <c r="H1469" s="1">
        <v>1.425516E-6</v>
      </c>
      <c r="I1469">
        <v>294.13670000000002</v>
      </c>
      <c r="J1469">
        <v>-191.7439</v>
      </c>
      <c r="K1469">
        <v>1.1080429999999999</v>
      </c>
      <c r="L1469">
        <v>345.63189999999997</v>
      </c>
      <c r="M1469">
        <v>-5.8835699999999998E-2</v>
      </c>
      <c r="N1469">
        <v>-1.4095760000000001E-2</v>
      </c>
      <c r="O1469">
        <v>-0.9981681</v>
      </c>
      <c r="P1469">
        <v>3.4291120000000001E-2</v>
      </c>
      <c r="Q1469">
        <v>0.16861180000000001</v>
      </c>
      <c r="R1469">
        <v>-0.98508580000000001</v>
      </c>
      <c r="S1469">
        <v>-0.1800079</v>
      </c>
      <c r="T1469">
        <v>-6.5593600000000002E-2</v>
      </c>
      <c r="U1469">
        <v>-3.06189</v>
      </c>
      <c r="V1469">
        <v>-9.0988410000000006E-2</v>
      </c>
      <c r="W1469">
        <v>0.18303369999999999</v>
      </c>
      <c r="X1469">
        <v>0.97888699999999995</v>
      </c>
      <c r="Y1469">
        <v>-1.5485149999999999E-4</v>
      </c>
      <c r="Z1469">
        <v>7.2733240000000003E-3</v>
      </c>
      <c r="AA1469">
        <v>0.99997349999999996</v>
      </c>
      <c r="AB1469">
        <v>21</v>
      </c>
      <c r="AC1469">
        <v>-3.02199999999999</v>
      </c>
      <c r="AD1469">
        <v>-1.108041574484</v>
      </c>
      <c r="AE1469">
        <v>-51.495199999999897</v>
      </c>
      <c r="AF1469">
        <v>-1.32873310198498E-2</v>
      </c>
      <c r="AG1469">
        <v>-1.108041574484</v>
      </c>
      <c r="AH1469">
        <v>51.560005010388601</v>
      </c>
      <c r="AI1469">
        <v>91.231115725764894</v>
      </c>
      <c r="AJ1469">
        <v>90.014765475127902</v>
      </c>
      <c r="AK1469">
        <v>51.571911437867499</v>
      </c>
      <c r="AL1469">
        <v>79.453485555523301</v>
      </c>
      <c r="AM1469">
        <v>95.310434501806995</v>
      </c>
      <c r="AN1469">
        <v>0.99999999242950899</v>
      </c>
    </row>
    <row r="1470" spans="1:40" x14ac:dyDescent="0.25">
      <c r="A1470" t="str">
        <f>"20190304155041699"</f>
        <v>20190304155041699</v>
      </c>
      <c r="B1470" t="str">
        <f>"1551685841687646"</f>
        <v>1551685841687646</v>
      </c>
      <c r="C1470" t="s">
        <v>40</v>
      </c>
      <c r="D1470">
        <v>5.0787690000000003</v>
      </c>
      <c r="E1470">
        <v>0.5324063</v>
      </c>
      <c r="F1470" t="s">
        <v>62</v>
      </c>
      <c r="G1470">
        <v>-195.26580000000001</v>
      </c>
      <c r="H1470" s="1">
        <v>2.946988E-6</v>
      </c>
      <c r="I1470">
        <v>285.572</v>
      </c>
      <c r="J1470">
        <v>-191.7621</v>
      </c>
      <c r="K1470">
        <v>1.1083069999999999</v>
      </c>
      <c r="L1470">
        <v>345.4205</v>
      </c>
      <c r="M1470">
        <v>-6.3455410000000004E-2</v>
      </c>
      <c r="N1470">
        <v>-1.4037269999999999E-2</v>
      </c>
      <c r="O1470">
        <v>-0.9978861</v>
      </c>
      <c r="P1470">
        <v>3.103067E-2</v>
      </c>
      <c r="Q1470">
        <v>0.170155</v>
      </c>
      <c r="R1470">
        <v>-0.98492880000000005</v>
      </c>
      <c r="S1470">
        <v>-0.1795197</v>
      </c>
      <c r="T1470">
        <v>-5.6478979999999998E-2</v>
      </c>
      <c r="U1470">
        <v>-3.0613709999999998</v>
      </c>
      <c r="V1470">
        <v>-9.2372369999999995E-2</v>
      </c>
      <c r="W1470">
        <v>0.18446419999999999</v>
      </c>
      <c r="X1470">
        <v>0.97848880000000005</v>
      </c>
      <c r="Y1470">
        <v>-4.9305390000000003E-3</v>
      </c>
      <c r="Z1470">
        <v>4.3635509999999898E-3</v>
      </c>
      <c r="AA1470">
        <v>0.99997829999999999</v>
      </c>
      <c r="AB1470">
        <v>21</v>
      </c>
      <c r="AC1470">
        <v>-3.5036999999999998</v>
      </c>
      <c r="AD1470">
        <v>-1.1083040530120001</v>
      </c>
      <c r="AE1470">
        <v>-59.848500000000001</v>
      </c>
      <c r="AF1470">
        <v>-0.30134424359596401</v>
      </c>
      <c r="AG1470">
        <v>-1.1083040530120001</v>
      </c>
      <c r="AH1470">
        <v>59.929730857627902</v>
      </c>
      <c r="AI1470">
        <v>91.059459194953703</v>
      </c>
      <c r="AJ1470">
        <v>90.288097536556904</v>
      </c>
      <c r="AK1470">
        <v>59.940735621902299</v>
      </c>
      <c r="AL1470">
        <v>79.370104446936296</v>
      </c>
      <c r="AM1470">
        <v>95.392916289538405</v>
      </c>
      <c r="AN1470">
        <v>1.0000000137732401</v>
      </c>
    </row>
    <row r="1471" spans="1:40" x14ac:dyDescent="0.25">
      <c r="A1471" t="str">
        <f>"20190304155041720"</f>
        <v>20190304155041720</v>
      </c>
      <c r="B1471" t="str">
        <f>"1551685841717902"</f>
        <v>1551685841717902</v>
      </c>
      <c r="C1471" t="s">
        <v>40</v>
      </c>
      <c r="D1471">
        <v>5.1226849999999997</v>
      </c>
      <c r="E1471">
        <v>0.53167379999999997</v>
      </c>
      <c r="F1471" t="s">
        <v>62</v>
      </c>
      <c r="G1471">
        <v>-195.87260000000001</v>
      </c>
      <c r="H1471" s="1">
        <v>3.9350730000000001E-6</v>
      </c>
      <c r="I1471">
        <v>277.44470000000001</v>
      </c>
      <c r="J1471">
        <v>-191.7807</v>
      </c>
      <c r="K1471">
        <v>1.108598</v>
      </c>
      <c r="L1471">
        <v>345.21109999999999</v>
      </c>
      <c r="M1471">
        <v>-6.7577109999999996E-2</v>
      </c>
      <c r="N1471">
        <v>-1.398222E-2</v>
      </c>
      <c r="O1471">
        <v>-0.99761619999999995</v>
      </c>
      <c r="P1471">
        <v>3.062366E-2</v>
      </c>
      <c r="Q1471">
        <v>0.17064960000000001</v>
      </c>
      <c r="R1471">
        <v>-0.98485579999999995</v>
      </c>
      <c r="S1471">
        <v>-0.18505859999999999</v>
      </c>
      <c r="T1471">
        <v>-4.989731E-2</v>
      </c>
      <c r="U1471">
        <v>-3.0603639999999999</v>
      </c>
      <c r="V1471">
        <v>-9.6139619999999995E-2</v>
      </c>
      <c r="W1471">
        <v>0.1848532</v>
      </c>
      <c r="X1471">
        <v>0.97805240000000004</v>
      </c>
      <c r="Y1471">
        <v>-7.2378869999999897E-3</v>
      </c>
      <c r="Z1471">
        <v>2.2778960000000002E-3</v>
      </c>
      <c r="AA1471">
        <v>0.99997119999999995</v>
      </c>
      <c r="AB1471">
        <v>21</v>
      </c>
      <c r="AC1471">
        <v>-4.0919000000000096</v>
      </c>
      <c r="AD1471">
        <v>-1.1085940649269901</v>
      </c>
      <c r="AE1471">
        <v>-67.766399999999905</v>
      </c>
      <c r="AF1471">
        <v>-0.49722771194637699</v>
      </c>
      <c r="AG1471">
        <v>-1.1085940649269901</v>
      </c>
      <c r="AH1471">
        <v>67.869907914563498</v>
      </c>
      <c r="AI1471">
        <v>90.935766836716795</v>
      </c>
      <c r="AJ1471">
        <v>90.419752148564299</v>
      </c>
      <c r="AK1471">
        <v>67.880782380064204</v>
      </c>
      <c r="AL1471">
        <v>79.347426396744893</v>
      </c>
      <c r="AM1471">
        <v>95.613968498376906</v>
      </c>
      <c r="AN1471">
        <v>1.00000001461487</v>
      </c>
    </row>
    <row r="1472" spans="1:40" x14ac:dyDescent="0.25">
      <c r="A1472" t="str">
        <f>"20190304155041745"</f>
        <v>20190304155041745</v>
      </c>
      <c r="B1472" t="str">
        <f>"1551685841738398"</f>
        <v>1551685841738398</v>
      </c>
      <c r="C1472" t="s">
        <v>40</v>
      </c>
      <c r="D1472">
        <v>5.1273970000000002</v>
      </c>
      <c r="E1472">
        <v>0.53129910000000002</v>
      </c>
      <c r="F1472" t="s">
        <v>62</v>
      </c>
      <c r="G1472">
        <v>-196.1902</v>
      </c>
      <c r="H1472" s="1">
        <v>5.882118E-6</v>
      </c>
      <c r="I1472">
        <v>270.75850000000003</v>
      </c>
      <c r="J1472">
        <v>-191.80099999999999</v>
      </c>
      <c r="K1472">
        <v>1.1089420000000001</v>
      </c>
      <c r="L1472">
        <v>344.98540000000003</v>
      </c>
      <c r="M1472">
        <v>-7.1518940000000003E-2</v>
      </c>
      <c r="N1472">
        <v>-1.392761E-2</v>
      </c>
      <c r="O1472">
        <v>-0.99734219999999896</v>
      </c>
      <c r="P1472">
        <v>3.0453830000000001E-2</v>
      </c>
      <c r="Q1472">
        <v>0.16907159999999999</v>
      </c>
      <c r="R1472">
        <v>-0.98513360000000005</v>
      </c>
      <c r="S1472">
        <v>-0.1812134</v>
      </c>
      <c r="T1472">
        <v>-4.5558090000000002E-2</v>
      </c>
      <c r="U1472">
        <v>-3.0596619999999999</v>
      </c>
      <c r="V1472">
        <v>-0.1000239</v>
      </c>
      <c r="W1472">
        <v>0.1831574</v>
      </c>
      <c r="X1472">
        <v>0.97798189999999996</v>
      </c>
      <c r="Y1472">
        <v>-1.2426710000000001E-2</v>
      </c>
      <c r="Z1472">
        <v>9.1952419999999997E-4</v>
      </c>
      <c r="AA1472">
        <v>0.99992230000000004</v>
      </c>
      <c r="AB1472">
        <v>21</v>
      </c>
      <c r="AC1472">
        <v>-4.3892000000000104</v>
      </c>
      <c r="AD1472">
        <v>-1.1089361178820001</v>
      </c>
      <c r="AE1472">
        <v>-74.226900000000001</v>
      </c>
      <c r="AF1472">
        <v>-0.93097788733517595</v>
      </c>
      <c r="AG1472">
        <v>-1.1089361178820001</v>
      </c>
      <c r="AH1472">
        <v>74.334193895609204</v>
      </c>
      <c r="AI1472">
        <v>90.854622370746299</v>
      </c>
      <c r="AJ1472">
        <v>90.717547500981794</v>
      </c>
      <c r="AK1472">
        <v>74.348294138132601</v>
      </c>
      <c r="AL1472">
        <v>79.4462763308793</v>
      </c>
      <c r="AM1472">
        <v>95.839667632897203</v>
      </c>
      <c r="AN1472">
        <v>1.0000000052367899</v>
      </c>
    </row>
    <row r="1473" spans="1:40" x14ac:dyDescent="0.25">
      <c r="A1473" t="str">
        <f>"20190304155041767"</f>
        <v>20190304155041767</v>
      </c>
      <c r="B1473" t="str">
        <f>"1551685841757919"</f>
        <v>1551685841757919</v>
      </c>
      <c r="C1473" t="s">
        <v>40</v>
      </c>
      <c r="D1473">
        <v>5.1928780000000003</v>
      </c>
      <c r="E1473">
        <v>0.53094529999999995</v>
      </c>
      <c r="F1473" t="s">
        <v>62</v>
      </c>
      <c r="G1473">
        <v>-195.91569999999999</v>
      </c>
      <c r="H1473" s="1">
        <v>4.7770119999999997E-6</v>
      </c>
      <c r="I1473">
        <v>274.83879999999999</v>
      </c>
      <c r="J1473">
        <v>-191.82069999999999</v>
      </c>
      <c r="K1473">
        <v>1.109281</v>
      </c>
      <c r="L1473">
        <v>344.76920000000001</v>
      </c>
      <c r="M1473">
        <v>-7.4783329999999995E-2</v>
      </c>
      <c r="N1473">
        <v>-1.3880480000000001E-2</v>
      </c>
      <c r="O1473">
        <v>-0.99710319999999997</v>
      </c>
      <c r="P1473">
        <v>3.0533439999999998E-2</v>
      </c>
      <c r="Q1473">
        <v>0.16860530000000001</v>
      </c>
      <c r="R1473">
        <v>-0.98521069999999999</v>
      </c>
      <c r="S1473">
        <v>-0.1794434</v>
      </c>
      <c r="T1473">
        <v>-4.8361540000000001E-2</v>
      </c>
      <c r="U1473">
        <v>-3.0591430000000002</v>
      </c>
      <c r="V1473">
        <v>-0.1034698</v>
      </c>
      <c r="W1473">
        <v>0.18257190000000001</v>
      </c>
      <c r="X1473">
        <v>0.97773279999999996</v>
      </c>
      <c r="Y1473">
        <v>-1.6265580000000002E-2</v>
      </c>
      <c r="Z1473">
        <v>1.8761209999999999E-3</v>
      </c>
      <c r="AA1473">
        <v>0.99986589999999997</v>
      </c>
      <c r="AB1473">
        <v>21</v>
      </c>
      <c r="AC1473">
        <v>-4.09499999999999</v>
      </c>
      <c r="AD1473">
        <v>-1.109276222988</v>
      </c>
      <c r="AE1473">
        <v>-69.930400000000006</v>
      </c>
      <c r="AF1473">
        <v>-1.1463135836235201</v>
      </c>
      <c r="AG1473">
        <v>-1.109276222988</v>
      </c>
      <c r="AH1473">
        <v>70.023251654160305</v>
      </c>
      <c r="AI1473">
        <v>90.907455966999905</v>
      </c>
      <c r="AJ1473">
        <v>90.937875099807499</v>
      </c>
      <c r="AK1473">
        <v>70.041418466452797</v>
      </c>
      <c r="AL1473">
        <v>79.480397925306903</v>
      </c>
      <c r="AM1473">
        <v>96.040913567531703</v>
      </c>
      <c r="AN1473">
        <v>0.99999996318874396</v>
      </c>
    </row>
    <row r="1474" spans="1:40" x14ac:dyDescent="0.25">
      <c r="A1474" t="str">
        <f>"20190304155041790"</f>
        <v>20190304155041790</v>
      </c>
      <c r="B1474" t="str">
        <f>"1551685841788174"</f>
        <v>1551685841788174</v>
      </c>
      <c r="C1474" t="s">
        <v>40</v>
      </c>
      <c r="D1474">
        <v>5.156123</v>
      </c>
      <c r="E1474">
        <v>0.53029669999999995</v>
      </c>
      <c r="F1474" t="s">
        <v>62</v>
      </c>
      <c r="G1474">
        <v>-195.8083</v>
      </c>
      <c r="H1474" s="1">
        <v>4.573902E-6</v>
      </c>
      <c r="I1474">
        <v>275.48070000000001</v>
      </c>
      <c r="J1474">
        <v>-191.84</v>
      </c>
      <c r="K1474">
        <v>1.1095969999999999</v>
      </c>
      <c r="L1474">
        <v>344.55720000000002</v>
      </c>
      <c r="M1474">
        <v>-7.7418490000000006E-2</v>
      </c>
      <c r="N1474">
        <v>-1.383885E-2</v>
      </c>
      <c r="O1474">
        <v>-0.99690279999999998</v>
      </c>
      <c r="P1474">
        <v>3.1085249999999998E-2</v>
      </c>
      <c r="Q1474">
        <v>0.16934779999999999</v>
      </c>
      <c r="R1474">
        <v>-0.98506649999999996</v>
      </c>
      <c r="S1474">
        <v>-0.17604059999999999</v>
      </c>
      <c r="T1474">
        <v>-4.8971059999999997E-2</v>
      </c>
      <c r="U1474">
        <v>-3.0588679999999999</v>
      </c>
      <c r="V1474">
        <v>-0.10673879999999999</v>
      </c>
      <c r="W1474">
        <v>0.18319489999999999</v>
      </c>
      <c r="X1474">
        <v>0.97726480000000004</v>
      </c>
      <c r="Y1474">
        <v>-2.0010630000000001E-2</v>
      </c>
      <c r="Z1474">
        <v>2.1128969999999999E-3</v>
      </c>
      <c r="AA1474">
        <v>0.99979750000000001</v>
      </c>
      <c r="AB1474">
        <v>21</v>
      </c>
      <c r="AC1474">
        <v>-3.9682999999999899</v>
      </c>
      <c r="AD1474">
        <v>-1.1095924260979999</v>
      </c>
      <c r="AE1474">
        <v>-69.076499999999996</v>
      </c>
      <c r="AF1474">
        <v>-1.39156412576199</v>
      </c>
      <c r="AG1474">
        <v>-1.1095924260979999</v>
      </c>
      <c r="AH1474">
        <v>69.158602973937207</v>
      </c>
      <c r="AI1474">
        <v>90.918998411071598</v>
      </c>
      <c r="AJ1474">
        <v>91.152712610659094</v>
      </c>
      <c r="AK1474">
        <v>69.181500499590499</v>
      </c>
      <c r="AL1474">
        <v>79.444090875142393</v>
      </c>
      <c r="AM1474">
        <v>96.233250653823006</v>
      </c>
      <c r="AN1474">
        <v>1.00000001606524</v>
      </c>
    </row>
    <row r="1475" spans="1:40" x14ac:dyDescent="0.25">
      <c r="A1475" t="str">
        <f>"20190304155041813"</f>
        <v>20190304155041813</v>
      </c>
      <c r="B1475" t="str">
        <f>"1551685841807694"</f>
        <v>1551685841807694</v>
      </c>
      <c r="C1475" t="s">
        <v>40</v>
      </c>
      <c r="D1475">
        <v>4.4984659999999996</v>
      </c>
      <c r="E1475">
        <v>0.53008750000000004</v>
      </c>
      <c r="F1475" t="s">
        <v>62</v>
      </c>
      <c r="G1475">
        <v>-195.87110000000001</v>
      </c>
      <c r="H1475" s="1">
        <v>5.7376509999999901E-6</v>
      </c>
      <c r="I1475">
        <v>271.4074</v>
      </c>
      <c r="J1475">
        <v>-191.8596</v>
      </c>
      <c r="K1475">
        <v>1.109896</v>
      </c>
      <c r="L1475">
        <v>344.34179999999998</v>
      </c>
      <c r="M1475">
        <v>-7.9576259999999996E-2</v>
      </c>
      <c r="N1475">
        <v>-1.3800689999999999E-2</v>
      </c>
      <c r="O1475">
        <v>-0.99673339999999999</v>
      </c>
      <c r="P1475">
        <v>3.2795919999999999E-2</v>
      </c>
      <c r="Q1475">
        <v>0.16988349999999999</v>
      </c>
      <c r="R1475">
        <v>-0.98491839999999997</v>
      </c>
      <c r="S1475">
        <v>-0.16856380000000001</v>
      </c>
      <c r="T1475">
        <v>-4.6397809999999998E-2</v>
      </c>
      <c r="U1475">
        <v>-3.0587770000000001</v>
      </c>
      <c r="V1475">
        <v>-0.1106848</v>
      </c>
      <c r="W1475">
        <v>0.1836168</v>
      </c>
      <c r="X1475">
        <v>0.97674649999999996</v>
      </c>
      <c r="Y1475">
        <v>-2.460816E-2</v>
      </c>
      <c r="Z1475">
        <v>1.310865E-3</v>
      </c>
      <c r="AA1475">
        <v>0.99969629999999998</v>
      </c>
      <c r="AB1475">
        <v>21</v>
      </c>
      <c r="AC1475">
        <v>-4.0115000000000096</v>
      </c>
      <c r="AD1475">
        <v>-1.1098902623489999</v>
      </c>
      <c r="AE1475">
        <v>-72.934399999999897</v>
      </c>
      <c r="AF1475">
        <v>-1.80520563619883</v>
      </c>
      <c r="AG1475">
        <v>-1.1098902623489999</v>
      </c>
      <c r="AH1475">
        <v>73.005460127286895</v>
      </c>
      <c r="AI1475">
        <v>90.870725307457306</v>
      </c>
      <c r="AJ1475">
        <v>91.416463804909995</v>
      </c>
      <c r="AK1475">
        <v>73.036209048528093</v>
      </c>
      <c r="AL1475">
        <v>79.419500387313306</v>
      </c>
      <c r="AM1475">
        <v>96.465171275555605</v>
      </c>
      <c r="AN1475">
        <v>0.99999998972776405</v>
      </c>
    </row>
    <row r="1476" spans="1:40" x14ac:dyDescent="0.25">
      <c r="A1476" t="str">
        <f>"20190304155041834"</f>
        <v>20190304155041834</v>
      </c>
      <c r="B1476" t="str">
        <f>"1551685841828191"</f>
        <v>1551685841828191</v>
      </c>
      <c r="C1476" t="s">
        <v>40</v>
      </c>
      <c r="D1476">
        <v>5.1911079999999998</v>
      </c>
      <c r="E1476">
        <v>0.52970059999999997</v>
      </c>
      <c r="F1476" t="s">
        <v>41</v>
      </c>
      <c r="G1476">
        <v>-195.88120000000001</v>
      </c>
      <c r="H1476" s="1">
        <v>-4.8304670000000003E-6</v>
      </c>
      <c r="I1476">
        <v>268.11579999999998</v>
      </c>
      <c r="J1476">
        <v>-191.87780000000001</v>
      </c>
      <c r="K1476">
        <v>1.1101209999999999</v>
      </c>
      <c r="L1476">
        <v>344.14100000000002</v>
      </c>
      <c r="M1476">
        <v>-8.1209729999999994E-2</v>
      </c>
      <c r="N1476">
        <v>-1.376879E-2</v>
      </c>
      <c r="O1476">
        <v>-0.99660190000000004</v>
      </c>
      <c r="P1476">
        <v>3.4672649999999999E-2</v>
      </c>
      <c r="Q1476">
        <v>0.16908119999999999</v>
      </c>
      <c r="R1476">
        <v>-0.98499210000000004</v>
      </c>
      <c r="S1476">
        <v>-0.16139220000000001</v>
      </c>
      <c r="T1476">
        <v>-4.4540879999999998E-2</v>
      </c>
      <c r="U1476">
        <v>-3.0589900000000001</v>
      </c>
      <c r="V1476">
        <v>-0.1142683</v>
      </c>
      <c r="W1476">
        <v>0.18272430000000001</v>
      </c>
      <c r="X1476">
        <v>0.97650119999999896</v>
      </c>
      <c r="Y1476">
        <v>-2.8586460000000001E-2</v>
      </c>
      <c r="Z1476">
        <v>7.347562E-4</v>
      </c>
      <c r="AA1476">
        <v>0.99959109999999995</v>
      </c>
      <c r="AB1476">
        <v>21</v>
      </c>
      <c r="AC1476">
        <v>-4.0033999999999903</v>
      </c>
      <c r="AD1476">
        <v>-1.1101258304670001</v>
      </c>
      <c r="AE1476">
        <v>-76.025199999999899</v>
      </c>
      <c r="AF1476">
        <v>-2.1839326732047502</v>
      </c>
      <c r="AG1476">
        <v>-1.1101258304670001</v>
      </c>
      <c r="AH1476">
        <v>76.083011979438993</v>
      </c>
      <c r="AI1476">
        <v>90.835598219186494</v>
      </c>
      <c r="AJ1476">
        <v>91.644201136034894</v>
      </c>
      <c r="AK1476">
        <v>76.122445133771294</v>
      </c>
      <c r="AL1476">
        <v>79.471517083988203</v>
      </c>
      <c r="AM1476">
        <v>96.674288627851894</v>
      </c>
      <c r="AN1476">
        <v>1.0000000038984</v>
      </c>
    </row>
    <row r="1477" spans="1:40" x14ac:dyDescent="0.25">
      <c r="A1477" t="str">
        <f>"20190304155041855"</f>
        <v>20190304155041855</v>
      </c>
      <c r="B1477" t="str">
        <f>"1551685841847711"</f>
        <v>1551685841847711</v>
      </c>
      <c r="C1477" t="s">
        <v>40</v>
      </c>
      <c r="D1477">
        <v>5.0798240000000003</v>
      </c>
      <c r="E1477">
        <v>0.52920219999999996</v>
      </c>
      <c r="F1477" t="s">
        <v>62</v>
      </c>
      <c r="G1477">
        <v>-195.47739999999999</v>
      </c>
      <c r="H1477" s="1">
        <v>5.6071019999999997E-6</v>
      </c>
      <c r="I1477">
        <v>272.1456</v>
      </c>
      <c r="J1477">
        <v>-191.89619999999999</v>
      </c>
      <c r="K1477">
        <v>1.1103050000000001</v>
      </c>
      <c r="L1477">
        <v>343.93759999999997</v>
      </c>
      <c r="M1477">
        <v>-8.251174E-2</v>
      </c>
      <c r="N1477">
        <v>-1.374013E-2</v>
      </c>
      <c r="O1477">
        <v>-0.99649549999999998</v>
      </c>
      <c r="P1477">
        <v>3.6137490000000001E-2</v>
      </c>
      <c r="Q1477">
        <v>0.16756799999999999</v>
      </c>
      <c r="R1477">
        <v>-0.98519829999999997</v>
      </c>
      <c r="S1477">
        <v>-0.15295410000000001</v>
      </c>
      <c r="T1477">
        <v>-4.7171119999999997E-2</v>
      </c>
      <c r="U1477">
        <v>-3.0592350000000001</v>
      </c>
      <c r="V1477">
        <v>-0.117109199999999</v>
      </c>
      <c r="W1477">
        <v>0.18113290000000001</v>
      </c>
      <c r="X1477">
        <v>0.97646109999999997</v>
      </c>
      <c r="Y1477">
        <v>-3.2645269999999997E-2</v>
      </c>
      <c r="Z1477">
        <v>1.613326E-3</v>
      </c>
      <c r="AA1477">
        <v>0.99946570000000001</v>
      </c>
      <c r="AB1477">
        <v>21</v>
      </c>
      <c r="AC1477">
        <v>-3.5811999999999902</v>
      </c>
      <c r="AD1477">
        <v>-1.1102993928979901</v>
      </c>
      <c r="AE1477">
        <v>-71.791999999999902</v>
      </c>
      <c r="AF1477">
        <v>-2.3546933817135902</v>
      </c>
      <c r="AG1477">
        <v>-1.1102993928979901</v>
      </c>
      <c r="AH1477">
        <v>71.825531874972896</v>
      </c>
      <c r="AI1477">
        <v>90.885148375050605</v>
      </c>
      <c r="AJ1477">
        <v>91.877684537903207</v>
      </c>
      <c r="AK1477">
        <v>71.872695613748206</v>
      </c>
      <c r="AL1477">
        <v>79.564244877610903</v>
      </c>
      <c r="AM1477">
        <v>96.838948041455197</v>
      </c>
      <c r="AN1477">
        <v>0.99999998600012996</v>
      </c>
    </row>
    <row r="1478" spans="1:40" x14ac:dyDescent="0.25">
      <c r="A1478" t="str">
        <f>"20190304155041878"</f>
        <v>20190304155041878</v>
      </c>
      <c r="B1478" t="str">
        <f>"1551685841868206"</f>
        <v>1551685841868206</v>
      </c>
      <c r="C1478" t="s">
        <v>40</v>
      </c>
      <c r="D1478">
        <v>5.2144009999999996</v>
      </c>
      <c r="E1478">
        <v>0.52912119999999996</v>
      </c>
      <c r="F1478" t="s">
        <v>62</v>
      </c>
      <c r="G1478">
        <v>-194.97819999999999</v>
      </c>
      <c r="H1478" s="1">
        <v>3.753733E-6</v>
      </c>
      <c r="I1478">
        <v>278.72859999999997</v>
      </c>
      <c r="J1478">
        <v>-191.91579999999999</v>
      </c>
      <c r="K1478">
        <v>1.110482</v>
      </c>
      <c r="L1478">
        <v>343.71879999999999</v>
      </c>
      <c r="M1478">
        <v>-8.3521750000000006E-2</v>
      </c>
      <c r="N1478">
        <v>-1.3712790000000001E-2</v>
      </c>
      <c r="O1478">
        <v>-0.99641179999999996</v>
      </c>
      <c r="P1478">
        <v>3.6844969999999998E-2</v>
      </c>
      <c r="Q1478">
        <v>0.1652711</v>
      </c>
      <c r="R1478">
        <v>-0.98555990000000004</v>
      </c>
      <c r="S1478">
        <v>-0.14459229999999901</v>
      </c>
      <c r="T1478">
        <v>-5.2089570000000002E-2</v>
      </c>
      <c r="U1478">
        <v>-3.0592649999999999</v>
      </c>
      <c r="V1478">
        <v>-0.1189201</v>
      </c>
      <c r="W1478">
        <v>0.1787609</v>
      </c>
      <c r="X1478">
        <v>0.97667930000000003</v>
      </c>
      <c r="Y1478">
        <v>-3.6382989999999997E-2</v>
      </c>
      <c r="Z1478">
        <v>3.234771E-3</v>
      </c>
      <c r="AA1478">
        <v>0.99933269999999996</v>
      </c>
      <c r="AB1478">
        <v>21</v>
      </c>
      <c r="AC1478">
        <v>-3.06239999999999</v>
      </c>
      <c r="AD1478">
        <v>-1.110478246267</v>
      </c>
      <c r="AE1478">
        <v>-64.990200000000002</v>
      </c>
      <c r="AF1478">
        <v>-2.3762145306746301</v>
      </c>
      <c r="AG1478">
        <v>-1.110478246267</v>
      </c>
      <c r="AH1478">
        <v>64.999944213255603</v>
      </c>
      <c r="AI1478">
        <v>90.978109562603194</v>
      </c>
      <c r="AJ1478">
        <v>92.093639676816395</v>
      </c>
      <c r="AK1478">
        <v>65.052842406443403</v>
      </c>
      <c r="AL1478">
        <v>79.7024054479228</v>
      </c>
      <c r="AM1478">
        <v>96.942140222091794</v>
      </c>
      <c r="AN1478">
        <v>0.99999995230065297</v>
      </c>
    </row>
    <row r="1479" spans="1:40" x14ac:dyDescent="0.25">
      <c r="A1479" t="str">
        <f>"20190304155041899"</f>
        <v>20190304155041899</v>
      </c>
      <c r="B1479" t="str">
        <f>"1551685841897994"</f>
        <v>1551685841897994</v>
      </c>
      <c r="C1479" t="s">
        <v>40</v>
      </c>
      <c r="D1479">
        <v>5.2739029999999998</v>
      </c>
      <c r="E1479">
        <v>0.5296052</v>
      </c>
      <c r="F1479" t="s">
        <v>62</v>
      </c>
      <c r="G1479">
        <v>-194.5643</v>
      </c>
      <c r="H1479" s="1">
        <v>2.9796069999999998E-6</v>
      </c>
      <c r="I1479">
        <v>286.6223</v>
      </c>
      <c r="J1479">
        <v>-191.93340000000001</v>
      </c>
      <c r="K1479">
        <v>1.1106510000000001</v>
      </c>
      <c r="L1479">
        <v>343.52069999999998</v>
      </c>
      <c r="M1479">
        <v>-8.4104109999999996E-2</v>
      </c>
      <c r="N1479">
        <v>-1.3691389999999999E-2</v>
      </c>
      <c r="O1479">
        <v>-0.996363</v>
      </c>
      <c r="P1479">
        <v>3.7078590000000002E-2</v>
      </c>
      <c r="Q1479">
        <v>0.16330600000000001</v>
      </c>
      <c r="R1479">
        <v>-0.98587829999999999</v>
      </c>
      <c r="S1479">
        <v>-0.1419067</v>
      </c>
      <c r="T1479">
        <v>-5.9499499999999997E-2</v>
      </c>
      <c r="U1479">
        <v>-3.0592350000000001</v>
      </c>
      <c r="V1479">
        <v>-0.1198277</v>
      </c>
      <c r="W1479">
        <v>0.1767281</v>
      </c>
      <c r="X1479">
        <v>0.97693830000000004</v>
      </c>
      <c r="Y1479">
        <v>-3.7841470000000002E-2</v>
      </c>
      <c r="Z1479">
        <v>5.660923E-3</v>
      </c>
      <c r="AA1479">
        <v>0.99926769999999998</v>
      </c>
      <c r="AB1479">
        <v>21</v>
      </c>
      <c r="AC1479">
        <v>-2.6308999999999898</v>
      </c>
      <c r="AD1479">
        <v>-1.110648020393</v>
      </c>
      <c r="AE1479">
        <v>-56.898399999999903</v>
      </c>
      <c r="AF1479">
        <v>-2.1634379727291999</v>
      </c>
      <c r="AG1479">
        <v>-1.110648020393</v>
      </c>
      <c r="AH1479">
        <v>56.896427144083297</v>
      </c>
      <c r="AI1479">
        <v>91.117494199095603</v>
      </c>
      <c r="AJ1479">
        <v>92.177573937989806</v>
      </c>
      <c r="AK1479">
        <v>56.948375083482603</v>
      </c>
      <c r="AL1479">
        <v>79.820761138051495</v>
      </c>
      <c r="AM1479">
        <v>96.992763852972701</v>
      </c>
      <c r="AN1479">
        <v>0.99999997051189404</v>
      </c>
    </row>
    <row r="1480" spans="1:40" x14ac:dyDescent="0.25">
      <c r="A1480" t="str">
        <f>"20190304155041921"</f>
        <v>20190304155041921</v>
      </c>
      <c r="B1480" t="str">
        <f>"1551685841917514"</f>
        <v>1551685841917514</v>
      </c>
      <c r="C1480" t="s">
        <v>40</v>
      </c>
      <c r="D1480">
        <v>5.2757199999999997</v>
      </c>
      <c r="E1480">
        <v>0.52977280000000004</v>
      </c>
      <c r="F1480" t="s">
        <v>62</v>
      </c>
      <c r="G1480">
        <v>-194.3252</v>
      </c>
      <c r="H1480" s="1">
        <v>1.658894E-6</v>
      </c>
      <c r="I1480">
        <v>293.0335</v>
      </c>
      <c r="J1480">
        <v>-191.9511</v>
      </c>
      <c r="K1480">
        <v>1.110838</v>
      </c>
      <c r="L1480">
        <v>343.31939999999997</v>
      </c>
      <c r="M1480">
        <v>-8.4401660000000003E-2</v>
      </c>
      <c r="N1480">
        <v>-1.3672989999999999E-2</v>
      </c>
      <c r="O1480">
        <v>-0.99633819999999995</v>
      </c>
      <c r="P1480">
        <v>3.6421219999999997E-2</v>
      </c>
      <c r="Q1480">
        <v>0.16224569999999999</v>
      </c>
      <c r="R1480">
        <v>-0.98607809999999996</v>
      </c>
      <c r="S1480">
        <v>-0.14494319999999999</v>
      </c>
      <c r="T1480">
        <v>-6.7306400000000002E-2</v>
      </c>
      <c r="U1480">
        <v>-3.0595699999999999</v>
      </c>
      <c r="V1480">
        <v>-0.1195621</v>
      </c>
      <c r="W1480">
        <v>0.17559829999999901</v>
      </c>
      <c r="X1480">
        <v>0.9771746</v>
      </c>
      <c r="Y1480">
        <v>-3.715574E-2</v>
      </c>
      <c r="Z1480">
        <v>8.2114400000000004E-3</v>
      </c>
      <c r="AA1480">
        <v>0.99927569999999999</v>
      </c>
      <c r="AB1480">
        <v>21</v>
      </c>
      <c r="AC1480">
        <v>-2.3740999999999901</v>
      </c>
      <c r="AD1480">
        <v>-1.110836341106</v>
      </c>
      <c r="AE1480">
        <v>-50.285899999999899</v>
      </c>
      <c r="AF1480">
        <v>-1.8780677519212701</v>
      </c>
      <c r="AG1480">
        <v>-1.110836341106</v>
      </c>
      <c r="AH1480">
        <v>50.282351154872302</v>
      </c>
      <c r="AI1480">
        <v>91.264689386356395</v>
      </c>
      <c r="AJ1480">
        <v>92.139028043242803</v>
      </c>
      <c r="AK1480">
        <v>50.3296724956503</v>
      </c>
      <c r="AL1480">
        <v>79.886522952746603</v>
      </c>
      <c r="AM1480">
        <v>96.975746583981305</v>
      </c>
      <c r="AN1480">
        <v>1.0000000288022199</v>
      </c>
    </row>
    <row r="1481" spans="1:40" x14ac:dyDescent="0.25">
      <c r="A1481" t="str">
        <f>"20190304155041945"</f>
        <v>20190304155041945</v>
      </c>
      <c r="B1481" t="str">
        <f>"1551685841938010"</f>
        <v>1551685841938010</v>
      </c>
      <c r="C1481" t="s">
        <v>40</v>
      </c>
      <c r="D1481">
        <v>4.9718169999999997</v>
      </c>
      <c r="E1481">
        <v>0.52997349999999999</v>
      </c>
      <c r="F1481" t="s">
        <v>62</v>
      </c>
      <c r="G1481">
        <v>-194.20699999999999</v>
      </c>
      <c r="H1481" s="1">
        <v>6.7355900000000003E-7</v>
      </c>
      <c r="I1481">
        <v>296.64479999999998</v>
      </c>
      <c r="J1481">
        <v>-191.97049999999999</v>
      </c>
      <c r="K1481">
        <v>1.111049</v>
      </c>
      <c r="L1481">
        <v>343.09320000000002</v>
      </c>
      <c r="M1481">
        <v>-8.4412020000000004E-2</v>
      </c>
      <c r="N1481">
        <v>-1.365589E-2</v>
      </c>
      <c r="O1481">
        <v>-0.99633749999999999</v>
      </c>
      <c r="P1481">
        <v>3.6139339999999999E-2</v>
      </c>
      <c r="Q1481">
        <v>0.16201119999999999</v>
      </c>
      <c r="R1481">
        <v>-0.98612719999999998</v>
      </c>
      <c r="S1481">
        <v>-0.1478882</v>
      </c>
      <c r="T1481">
        <v>-7.2821739999999996E-2</v>
      </c>
      <c r="U1481">
        <v>-3.0597840000000001</v>
      </c>
      <c r="V1481">
        <v>-0.1193866</v>
      </c>
      <c r="W1481">
        <v>0.1752861</v>
      </c>
      <c r="X1481">
        <v>0.97725209999999996</v>
      </c>
      <c r="Y1481">
        <v>-3.621042E-2</v>
      </c>
      <c r="Z1481">
        <v>1.001763E-2</v>
      </c>
      <c r="AA1481">
        <v>0.99929400000000002</v>
      </c>
      <c r="AB1481">
        <v>21</v>
      </c>
      <c r="AC1481">
        <v>-2.2364999999999999</v>
      </c>
      <c r="AD1481">
        <v>-1.111048326441</v>
      </c>
      <c r="AE1481">
        <v>-46.448399999999999</v>
      </c>
      <c r="AF1481">
        <v>-1.6916863499818</v>
      </c>
      <c r="AG1481">
        <v>-1.111048326441</v>
      </c>
      <c r="AH1481">
        <v>46.444883978023697</v>
      </c>
      <c r="AI1481">
        <v>91.369452883783794</v>
      </c>
      <c r="AJ1481">
        <v>92.085992054403206</v>
      </c>
      <c r="AK1481">
        <v>46.488960827517801</v>
      </c>
      <c r="AL1481">
        <v>79.904692440286894</v>
      </c>
      <c r="AM1481">
        <v>96.965060881789</v>
      </c>
      <c r="AN1481">
        <v>1.0000000220335801</v>
      </c>
    </row>
    <row r="1482" spans="1:40" x14ac:dyDescent="0.25">
      <c r="A1482" t="str">
        <f>"20190304155041968"</f>
        <v>20190304155041968</v>
      </c>
      <c r="B1482" t="str">
        <f>"1551685841958508"</f>
        <v>1551685841958508</v>
      </c>
      <c r="C1482" t="s">
        <v>40</v>
      </c>
      <c r="D1482">
        <v>5.2583520000000004</v>
      </c>
      <c r="E1482">
        <v>0.53009539999999999</v>
      </c>
      <c r="F1482" t="s">
        <v>62</v>
      </c>
      <c r="G1482">
        <v>-194.19919999999999</v>
      </c>
      <c r="H1482" s="1">
        <v>3.4420739999999998E-7</v>
      </c>
      <c r="I1482">
        <v>297.6619</v>
      </c>
      <c r="J1482">
        <v>-191.98779999999999</v>
      </c>
      <c r="K1482">
        <v>1.1112329999999999</v>
      </c>
      <c r="L1482">
        <v>342.88729999999998</v>
      </c>
      <c r="M1482">
        <v>-8.410289E-2</v>
      </c>
      <c r="N1482">
        <v>-1.364317E-2</v>
      </c>
      <c r="O1482">
        <v>-0.99636380000000002</v>
      </c>
      <c r="P1482">
        <v>3.6823920000000003E-2</v>
      </c>
      <c r="Q1482">
        <v>0.1624949</v>
      </c>
      <c r="R1482">
        <v>-0.98602210000000001</v>
      </c>
      <c r="S1482">
        <v>-0.150116</v>
      </c>
      <c r="T1482">
        <v>-7.4833990000000003E-2</v>
      </c>
      <c r="U1482">
        <v>-3.0599980000000002</v>
      </c>
      <c r="V1482">
        <v>-0.1198357</v>
      </c>
      <c r="W1482">
        <v>0.1757011</v>
      </c>
      <c r="X1482">
        <v>0.97712259999999995</v>
      </c>
      <c r="Y1482">
        <v>-3.5178359999999999E-2</v>
      </c>
      <c r="Z1482">
        <v>1.068303E-2</v>
      </c>
      <c r="AA1482">
        <v>0.99932399999999999</v>
      </c>
      <c r="AB1482">
        <v>21</v>
      </c>
      <c r="AC1482">
        <v>-2.21139999999999</v>
      </c>
      <c r="AD1482">
        <v>-1.1112326557926</v>
      </c>
      <c r="AE1482">
        <v>-45.225399999999901</v>
      </c>
      <c r="AF1482">
        <v>-1.5994133656298599</v>
      </c>
      <c r="AG1482">
        <v>-1.1112326557926</v>
      </c>
      <c r="AH1482">
        <v>45.2239043580797</v>
      </c>
      <c r="AI1482">
        <v>91.406697981727007</v>
      </c>
      <c r="AJ1482">
        <v>92.0255096967052</v>
      </c>
      <c r="AK1482">
        <v>45.265820289907403</v>
      </c>
      <c r="AL1482">
        <v>79.880539872693404</v>
      </c>
      <c r="AM1482">
        <v>96.991920114816494</v>
      </c>
      <c r="AN1482">
        <v>1.00000002348322</v>
      </c>
    </row>
    <row r="1483" spans="1:40" x14ac:dyDescent="0.25">
      <c r="A1483" t="str">
        <f>"20190304155041991"</f>
        <v>20190304155041991</v>
      </c>
      <c r="B1483" t="str">
        <f>"1551685841987786"</f>
        <v>1551685841987786</v>
      </c>
      <c r="C1483" t="s">
        <v>40</v>
      </c>
      <c r="D1483">
        <v>5.3150459999999997</v>
      </c>
      <c r="E1483">
        <v>0.53026319999999905</v>
      </c>
      <c r="F1483" t="s">
        <v>62</v>
      </c>
      <c r="G1483">
        <v>-194.20699999999999</v>
      </c>
      <c r="H1483" s="1">
        <v>4.135472E-7</v>
      </c>
      <c r="I1483">
        <v>297.38029999999998</v>
      </c>
      <c r="J1483">
        <v>-192.00550000000001</v>
      </c>
      <c r="K1483">
        <v>1.111405</v>
      </c>
      <c r="L1483">
        <v>342.66989999999998</v>
      </c>
      <c r="M1483">
        <v>-8.3429610000000001E-2</v>
      </c>
      <c r="N1483">
        <v>-1.363237E-2</v>
      </c>
      <c r="O1483">
        <v>-0.99642039999999998</v>
      </c>
      <c r="P1483">
        <v>3.7788120000000001E-2</v>
      </c>
      <c r="Q1483">
        <v>0.1635471</v>
      </c>
      <c r="R1483">
        <v>-0.98581149999999995</v>
      </c>
      <c r="S1483">
        <v>-0.1492462</v>
      </c>
      <c r="T1483">
        <v>-7.4732419999999994E-2</v>
      </c>
      <c r="U1483">
        <v>-3.060425</v>
      </c>
      <c r="V1483">
        <v>-0.1201924</v>
      </c>
      <c r="W1483">
        <v>0.17668919999999999</v>
      </c>
      <c r="X1483">
        <v>0.97690060000000001</v>
      </c>
      <c r="Y1483">
        <v>-3.4793289999999998E-2</v>
      </c>
      <c r="Z1483">
        <v>1.0659470000000001E-2</v>
      </c>
      <c r="AA1483">
        <v>0.9993377</v>
      </c>
      <c r="AB1483">
        <v>21</v>
      </c>
      <c r="AC1483">
        <v>-2.2014999999999798</v>
      </c>
      <c r="AD1483">
        <v>-1.1114045864527999</v>
      </c>
      <c r="AE1483">
        <v>-45.2896</v>
      </c>
      <c r="AF1483">
        <v>-1.58406978576182</v>
      </c>
      <c r="AG1483">
        <v>-1.1114045864527999</v>
      </c>
      <c r="AH1483">
        <v>45.288154936523597</v>
      </c>
      <c r="AI1483">
        <v>91.404939529904397</v>
      </c>
      <c r="AJ1483">
        <v>92.003250681910501</v>
      </c>
      <c r="AK1483">
        <v>45.329476886409303</v>
      </c>
      <c r="AL1483">
        <v>79.823026235561102</v>
      </c>
      <c r="AM1483">
        <v>97.014102897964094</v>
      </c>
      <c r="AN1483">
        <v>1.0000000343473701</v>
      </c>
    </row>
    <row r="1484" spans="1:40" x14ac:dyDescent="0.25">
      <c r="A1484" t="str">
        <f>"20190304155042013"</f>
        <v>20190304155042013</v>
      </c>
      <c r="B1484" t="str">
        <f>"1551685842007813"</f>
        <v>1551685842007813</v>
      </c>
      <c r="C1484" t="s">
        <v>40</v>
      </c>
      <c r="D1484">
        <v>5.3206199999999999</v>
      </c>
      <c r="E1484">
        <v>0.5304219</v>
      </c>
      <c r="F1484" t="s">
        <v>62</v>
      </c>
      <c r="G1484">
        <v>-194.25450000000001</v>
      </c>
      <c r="H1484" s="1">
        <v>8.4442730000000005E-7</v>
      </c>
      <c r="I1484">
        <v>296.14949999999999</v>
      </c>
      <c r="J1484">
        <v>-192.0214</v>
      </c>
      <c r="K1484">
        <v>1.1115299999999999</v>
      </c>
      <c r="L1484">
        <v>342.46949999999998</v>
      </c>
      <c r="M1484">
        <v>-8.2578399999999996E-2</v>
      </c>
      <c r="N1484">
        <v>-1.36241E-2</v>
      </c>
      <c r="O1484">
        <v>-0.99649140000000003</v>
      </c>
      <c r="P1484">
        <v>3.91337E-2</v>
      </c>
      <c r="Q1484">
        <v>0.16460320000000001</v>
      </c>
      <c r="R1484">
        <v>-0.98558290000000004</v>
      </c>
      <c r="S1484">
        <v>-0.14797969999999999</v>
      </c>
      <c r="T1484">
        <v>-7.3128100000000001E-2</v>
      </c>
      <c r="U1484">
        <v>-3.0609440000000001</v>
      </c>
      <c r="V1484">
        <v>-0.1207309</v>
      </c>
      <c r="W1484">
        <v>0.1776981</v>
      </c>
      <c r="X1484">
        <v>0.97665109999999999</v>
      </c>
      <c r="Y1484">
        <v>-3.4360309999999998E-2</v>
      </c>
      <c r="Z1484">
        <v>1.014547E-2</v>
      </c>
      <c r="AA1484">
        <v>0.99935799999999997</v>
      </c>
      <c r="AB1484">
        <v>21</v>
      </c>
      <c r="AC1484">
        <v>-2.2330999999999999</v>
      </c>
      <c r="AD1484">
        <v>-1.1115291555726901</v>
      </c>
      <c r="AE1484">
        <v>-46.319999999999901</v>
      </c>
      <c r="AF1484">
        <v>-1.5989964628301501</v>
      </c>
      <c r="AG1484">
        <v>-1.1115291555726901</v>
      </c>
      <c r="AH1484">
        <v>46.3195798726072</v>
      </c>
      <c r="AI1484">
        <v>91.373842719309806</v>
      </c>
      <c r="AJ1484">
        <v>91.977120308417199</v>
      </c>
      <c r="AK1484">
        <v>46.360497908528401</v>
      </c>
      <c r="AL1484">
        <v>79.764290412446798</v>
      </c>
      <c r="AM1484">
        <v>97.046994897634093</v>
      </c>
      <c r="AN1484">
        <v>0.99999996804481395</v>
      </c>
    </row>
    <row r="1485" spans="1:40" x14ac:dyDescent="0.25">
      <c r="A1485" t="str">
        <f>"20190304155042034"</f>
        <v>20190304155042034</v>
      </c>
      <c r="B1485" t="str">
        <f>"1551685842028309"</f>
        <v>1551685842028309</v>
      </c>
      <c r="C1485" t="s">
        <v>40</v>
      </c>
      <c r="D1485">
        <v>5.5280769999999997</v>
      </c>
      <c r="E1485">
        <v>0.53074560000000004</v>
      </c>
      <c r="F1485" t="s">
        <v>62</v>
      </c>
      <c r="G1485">
        <v>-194.2979</v>
      </c>
      <c r="H1485" s="1">
        <v>1.433941E-6</v>
      </c>
      <c r="I1485">
        <v>294.32459999999998</v>
      </c>
      <c r="J1485">
        <v>-192.03649999999999</v>
      </c>
      <c r="K1485">
        <v>1.1116189999999999</v>
      </c>
      <c r="L1485">
        <v>342.27370000000002</v>
      </c>
      <c r="M1485">
        <v>-8.1560759999999996E-2</v>
      </c>
      <c r="N1485">
        <v>-1.3616929999999999E-2</v>
      </c>
      <c r="O1485">
        <v>-0.99657549999999995</v>
      </c>
      <c r="P1485">
        <v>4.0670600000000001E-2</v>
      </c>
      <c r="Q1485">
        <v>0.16599050000000001</v>
      </c>
      <c r="R1485">
        <v>-0.98528859999999996</v>
      </c>
      <c r="S1485">
        <v>-0.1447601</v>
      </c>
      <c r="T1485">
        <v>-7.0679660000000005E-2</v>
      </c>
      <c r="U1485">
        <v>-3.0614319999999999</v>
      </c>
      <c r="V1485">
        <v>-0.1212796</v>
      </c>
      <c r="W1485">
        <v>0.17904800000000001</v>
      </c>
      <c r="X1485">
        <v>0.97633650000000005</v>
      </c>
      <c r="Y1485">
        <v>-3.4395809999999999E-2</v>
      </c>
      <c r="Z1485">
        <v>9.3568809999999992E-3</v>
      </c>
      <c r="AA1485">
        <v>0.99936449999999999</v>
      </c>
      <c r="AB1485">
        <v>21</v>
      </c>
      <c r="AC1485">
        <v>-2.2614000000000001</v>
      </c>
      <c r="AD1485">
        <v>-1.111617566059</v>
      </c>
      <c r="AE1485">
        <v>-47.949100000000001</v>
      </c>
      <c r="AF1485">
        <v>-1.6563743341572199</v>
      </c>
      <c r="AG1485">
        <v>-1.111617566059</v>
      </c>
      <c r="AH1485">
        <v>47.948067158032103</v>
      </c>
      <c r="AI1485">
        <v>91.327303524595607</v>
      </c>
      <c r="AJ1485">
        <v>91.978505907206099</v>
      </c>
      <c r="AK1485">
        <v>47.989544837799599</v>
      </c>
      <c r="AL1485">
        <v>79.685686004348796</v>
      </c>
      <c r="AM1485">
        <v>97.0809558031725</v>
      </c>
      <c r="AN1485">
        <v>0.99999994445620299</v>
      </c>
    </row>
    <row r="1486" spans="1:40" x14ac:dyDescent="0.25">
      <c r="A1486" t="str">
        <f>"20190304155042057"</f>
        <v>20190304155042057</v>
      </c>
      <c r="B1486" t="str">
        <f>"1551685842047830"</f>
        <v>1551685842047830</v>
      </c>
      <c r="C1486" t="s">
        <v>40</v>
      </c>
      <c r="D1486">
        <v>5.3329399999999998</v>
      </c>
      <c r="E1486">
        <v>0.53080919999999998</v>
      </c>
      <c r="F1486" t="s">
        <v>62</v>
      </c>
      <c r="G1486">
        <v>-194.3929</v>
      </c>
      <c r="H1486" s="1">
        <v>2.0797880000000001E-6</v>
      </c>
      <c r="I1486">
        <v>291.50740000000002</v>
      </c>
      <c r="J1486">
        <v>-192.05289999999999</v>
      </c>
      <c r="K1486">
        <v>1.111694</v>
      </c>
      <c r="L1486">
        <v>342.0564</v>
      </c>
      <c r="M1486">
        <v>-8.0255179999999995E-2</v>
      </c>
      <c r="N1486">
        <v>-1.3609980000000001E-2</v>
      </c>
      <c r="O1486">
        <v>-0.99668140000000005</v>
      </c>
      <c r="P1486">
        <v>4.2693109999999999E-2</v>
      </c>
      <c r="Q1486">
        <v>0.16696340000000001</v>
      </c>
      <c r="R1486">
        <v>-0.98503859999999999</v>
      </c>
      <c r="S1486">
        <v>-0.14212040000000001</v>
      </c>
      <c r="T1486">
        <v>-6.7046049999999996E-2</v>
      </c>
      <c r="U1486">
        <v>-3.0619200000000002</v>
      </c>
      <c r="V1486">
        <v>-0.122027</v>
      </c>
      <c r="W1486">
        <v>0.1799866</v>
      </c>
      <c r="X1486">
        <v>0.97607080000000002</v>
      </c>
      <c r="Y1486">
        <v>-3.395372E-2</v>
      </c>
      <c r="Z1486">
        <v>8.1842040000000005E-3</v>
      </c>
      <c r="AA1486">
        <v>0.99938990000000005</v>
      </c>
      <c r="AB1486">
        <v>21</v>
      </c>
      <c r="AC1486">
        <v>-2.34</v>
      </c>
      <c r="AD1486">
        <v>-1.1116919202119999</v>
      </c>
      <c r="AE1486">
        <v>-50.5489999999999</v>
      </c>
      <c r="AF1486">
        <v>-1.7239124053068999</v>
      </c>
      <c r="AG1486">
        <v>-1.1116919202119999</v>
      </c>
      <c r="AH1486">
        <v>50.549334292391997</v>
      </c>
      <c r="AI1486">
        <v>91.259126352477793</v>
      </c>
      <c r="AJ1486">
        <v>91.953233221525906</v>
      </c>
      <c r="AK1486">
        <v>50.590937234949799</v>
      </c>
      <c r="AL1486">
        <v>79.631020556118202</v>
      </c>
      <c r="AM1486">
        <v>97.126065368409499</v>
      </c>
      <c r="AN1486">
        <v>0.99999998576059901</v>
      </c>
    </row>
    <row r="1487" spans="1:40" x14ac:dyDescent="0.25">
      <c r="A1487" t="str">
        <f>"20190304155042080"</f>
        <v>20190304155042080</v>
      </c>
      <c r="B1487" t="str">
        <f>"1551685842068326"</f>
        <v>1551685842068326</v>
      </c>
      <c r="C1487" t="s">
        <v>40</v>
      </c>
      <c r="D1487">
        <v>5.3533179999999998</v>
      </c>
      <c r="E1487">
        <v>0.54288449999999999</v>
      </c>
      <c r="F1487" t="s">
        <v>62</v>
      </c>
      <c r="G1487">
        <v>-194.36709999999999</v>
      </c>
      <c r="H1487" s="1">
        <v>2.5757249999999998E-6</v>
      </c>
      <c r="I1487">
        <v>290.1173</v>
      </c>
      <c r="J1487">
        <v>-192.0675</v>
      </c>
      <c r="K1487">
        <v>1.111742</v>
      </c>
      <c r="L1487">
        <v>341.85599999999999</v>
      </c>
      <c r="M1487">
        <v>-7.8924750000000002E-2</v>
      </c>
      <c r="N1487">
        <v>-1.360461E-2</v>
      </c>
      <c r="O1487">
        <v>-0.99678789999999995</v>
      </c>
      <c r="P1487">
        <v>4.5415589999999999E-2</v>
      </c>
      <c r="Q1487">
        <v>0.16791829999999999</v>
      </c>
      <c r="R1487">
        <v>-0.98475429999999997</v>
      </c>
      <c r="S1487">
        <v>-0.13645940000000001</v>
      </c>
      <c r="T1487">
        <v>-6.5550330000000004E-2</v>
      </c>
      <c r="U1487">
        <v>-3.0625610000000001</v>
      </c>
      <c r="V1487">
        <v>-0.123435199999999</v>
      </c>
      <c r="W1487">
        <v>0.1809153</v>
      </c>
      <c r="X1487">
        <v>0.97572199999999998</v>
      </c>
      <c r="Y1487">
        <v>-3.4472699999999898E-2</v>
      </c>
      <c r="Z1487">
        <v>7.7023179999999997E-3</v>
      </c>
      <c r="AA1487">
        <v>0.99937589999999998</v>
      </c>
      <c r="AB1487">
        <v>21</v>
      </c>
      <c r="AC1487">
        <v>-2.2995999999999901</v>
      </c>
      <c r="AD1487">
        <v>-1.1117394242750001</v>
      </c>
      <c r="AE1487">
        <v>-51.738700000000001</v>
      </c>
      <c r="AF1487">
        <v>-1.79059089765198</v>
      </c>
      <c r="AG1487">
        <v>-1.1117394242750001</v>
      </c>
      <c r="AH1487">
        <v>51.734947574746897</v>
      </c>
      <c r="AI1487">
        <v>91.2303109852311</v>
      </c>
      <c r="AJ1487">
        <v>91.982264786173801</v>
      </c>
      <c r="AK1487">
        <v>51.777861880074298</v>
      </c>
      <c r="AL1487">
        <v>79.576922110576007</v>
      </c>
      <c r="AM1487">
        <v>97.209990117133799</v>
      </c>
      <c r="AN1487">
        <v>1.00000000782856</v>
      </c>
    </row>
    <row r="1488" spans="1:40" x14ac:dyDescent="0.25">
      <c r="A1488" t="str">
        <f>"20190304155042101"</f>
        <v>20190304155042101</v>
      </c>
      <c r="B1488" t="str">
        <f>"1551685842097605"</f>
        <v>1551685842097605</v>
      </c>
      <c r="C1488" t="s">
        <v>40</v>
      </c>
      <c r="D1488">
        <v>5.1260009999999996</v>
      </c>
      <c r="E1488">
        <v>0.53948399999999996</v>
      </c>
      <c r="F1488" t="s">
        <v>59</v>
      </c>
      <c r="G1488">
        <v>-212.23859999999999</v>
      </c>
      <c r="H1488">
        <v>40.423439999999999</v>
      </c>
      <c r="I1488">
        <v>53.565809999999999</v>
      </c>
      <c r="J1488">
        <v>-192.08179999999999</v>
      </c>
      <c r="K1488">
        <v>1.111777</v>
      </c>
      <c r="L1488">
        <v>341.654</v>
      </c>
      <c r="M1488">
        <v>-7.7498940000000002E-2</v>
      </c>
      <c r="N1488">
        <v>-1.3599780000000001E-2</v>
      </c>
      <c r="O1488">
        <v>-0.9968998</v>
      </c>
      <c r="P1488">
        <v>4.7944399999999998E-2</v>
      </c>
      <c r="Q1488">
        <v>0.16834389999999999</v>
      </c>
      <c r="R1488">
        <v>-0.98456189999999999</v>
      </c>
      <c r="S1488">
        <v>-0.20896909999999999</v>
      </c>
      <c r="T1488">
        <v>0.40726180000000001</v>
      </c>
      <c r="U1488">
        <v>-2.9866329999999999</v>
      </c>
      <c r="V1488">
        <v>-0.12455529999999999</v>
      </c>
      <c r="W1488">
        <v>0.18132239999999999</v>
      </c>
      <c r="X1488">
        <v>0.97550400000000004</v>
      </c>
      <c r="Y1488">
        <v>-8.5045380000000007E-3</v>
      </c>
      <c r="Z1488">
        <v>-0.1477687</v>
      </c>
      <c r="AA1488">
        <v>0.98898540000000001</v>
      </c>
      <c r="AB1488">
        <v>21</v>
      </c>
      <c r="AC1488">
        <v>-20.1568</v>
      </c>
      <c r="AD1488">
        <v>39.311663000000003</v>
      </c>
      <c r="AE1488">
        <v>-288.08819</v>
      </c>
      <c r="AF1488">
        <v>-2.19181177723789</v>
      </c>
      <c r="AG1488">
        <v>39.311663000000003</v>
      </c>
      <c r="AH1488">
        <v>283.53010065181701</v>
      </c>
      <c r="AI1488">
        <v>82.106456369225597</v>
      </c>
      <c r="AJ1488">
        <v>90.442912630979805</v>
      </c>
      <c r="AK1488">
        <v>286.25081460551701</v>
      </c>
      <c r="AL1488">
        <v>79.553204076010104</v>
      </c>
      <c r="AM1488">
        <v>97.276326931156603</v>
      </c>
      <c r="AN1488">
        <v>0.99999994475792298</v>
      </c>
    </row>
    <row r="1489" spans="1:40" x14ac:dyDescent="0.25">
      <c r="A1489" t="str">
        <f>"20190304155042122"</f>
        <v>20190304155042122</v>
      </c>
      <c r="B1489" t="str">
        <f>"1551685842118101"</f>
        <v>1551685842118101</v>
      </c>
      <c r="C1489" t="s">
        <v>40</v>
      </c>
      <c r="D1489">
        <v>4.9191000000000003</v>
      </c>
      <c r="E1489">
        <v>0.53865869999999905</v>
      </c>
      <c r="F1489" t="s">
        <v>41</v>
      </c>
      <c r="G1489">
        <v>-194.5624</v>
      </c>
      <c r="H1489" s="1">
        <v>-2.1902129999999999E-6</v>
      </c>
      <c r="I1489">
        <v>301.86489999999998</v>
      </c>
      <c r="J1489">
        <v>-192.09569999999999</v>
      </c>
      <c r="K1489">
        <v>1.1117840000000001</v>
      </c>
      <c r="L1489">
        <v>341.45429999999999</v>
      </c>
      <c r="M1489">
        <v>-7.6042899999999997E-2</v>
      </c>
      <c r="N1489">
        <v>-1.3595380000000001E-2</v>
      </c>
      <c r="O1489">
        <v>-0.99701200000000001</v>
      </c>
      <c r="P1489">
        <v>5.029368E-2</v>
      </c>
      <c r="Q1489">
        <v>0.16873360000000001</v>
      </c>
      <c r="R1489">
        <v>-0.98437810000000003</v>
      </c>
      <c r="S1489">
        <v>-0.19145200000000001</v>
      </c>
      <c r="T1489">
        <v>-8.5809590000000005E-2</v>
      </c>
      <c r="U1489">
        <v>-3.0710139999999999</v>
      </c>
      <c r="V1489">
        <v>-0.1254595</v>
      </c>
      <c r="W1489">
        <v>0.1817008</v>
      </c>
      <c r="X1489">
        <v>0.97531780000000001</v>
      </c>
      <c r="Y1489">
        <v>-1.3864329999999999E-2</v>
      </c>
      <c r="Z1489">
        <v>1.42209E-2</v>
      </c>
      <c r="AA1489">
        <v>0.99980279999999999</v>
      </c>
      <c r="AB1489">
        <v>21</v>
      </c>
      <c r="AC1489">
        <v>-2.4666999999999999</v>
      </c>
      <c r="AD1489">
        <v>-1.111786190213</v>
      </c>
      <c r="AE1489">
        <v>-39.589399999999998</v>
      </c>
      <c r="AF1489">
        <v>-0.550781455872287</v>
      </c>
      <c r="AG1489">
        <v>-1.111786190213</v>
      </c>
      <c r="AH1489">
        <v>39.631207578038101</v>
      </c>
      <c r="AI1489">
        <v>91.606759209263402</v>
      </c>
      <c r="AJ1489">
        <v>90.796226592513094</v>
      </c>
      <c r="AK1489">
        <v>39.650624747138899</v>
      </c>
      <c r="AL1489">
        <v>79.531158122410801</v>
      </c>
      <c r="AM1489">
        <v>97.3299605789244</v>
      </c>
      <c r="AN1489">
        <v>1.0000000389288599</v>
      </c>
    </row>
    <row r="1490" spans="1:40" x14ac:dyDescent="0.25">
      <c r="A1490" t="str">
        <f>"20190304155042146"</f>
        <v>20190304155042146</v>
      </c>
      <c r="B1490" t="str">
        <f>"1551685842137621"</f>
        <v>1551685842137621</v>
      </c>
      <c r="C1490" t="s">
        <v>40</v>
      </c>
      <c r="D1490">
        <v>5.3914970000000002</v>
      </c>
      <c r="E1490">
        <v>0.53815080000000004</v>
      </c>
      <c r="F1490" t="s">
        <v>41</v>
      </c>
      <c r="G1490">
        <v>-194.21119999999999</v>
      </c>
      <c r="H1490" s="1">
        <v>-3.379831E-6</v>
      </c>
      <c r="I1490">
        <v>304.85570000000001</v>
      </c>
      <c r="J1490">
        <v>-192.11009999999999</v>
      </c>
      <c r="K1490">
        <v>1.1117760000000001</v>
      </c>
      <c r="L1490">
        <v>341.24059999999997</v>
      </c>
      <c r="M1490">
        <v>-7.4466240000000003E-2</v>
      </c>
      <c r="N1490">
        <v>-1.3590659999999999E-2</v>
      </c>
      <c r="O1490">
        <v>-0.99713099999999999</v>
      </c>
      <c r="P1490">
        <v>5.2473329999999999E-2</v>
      </c>
      <c r="Q1490">
        <v>0.1692891</v>
      </c>
      <c r="R1490">
        <v>-0.98416879999999995</v>
      </c>
      <c r="S1490">
        <v>-0.177612299999999</v>
      </c>
      <c r="T1490">
        <v>-9.3341830000000001E-2</v>
      </c>
      <c r="U1490">
        <v>-3.0726930000000001</v>
      </c>
      <c r="V1490">
        <v>-0.12606489999999901</v>
      </c>
      <c r="W1490">
        <v>0.1822531</v>
      </c>
      <c r="X1490">
        <v>0.97513660000000002</v>
      </c>
      <c r="Y1490">
        <v>-1.680512E-2</v>
      </c>
      <c r="Z1490">
        <v>1.6652179999999999E-2</v>
      </c>
      <c r="AA1490">
        <v>0.9997201</v>
      </c>
      <c r="AB1490">
        <v>21</v>
      </c>
      <c r="AC1490">
        <v>-2.1011000000000002</v>
      </c>
      <c r="AD1490">
        <v>-1.1117793798310001</v>
      </c>
      <c r="AE1490">
        <v>-36.384899999999902</v>
      </c>
      <c r="AF1490">
        <v>-0.61386021042823802</v>
      </c>
      <c r="AG1490">
        <v>-1.1117793798310001</v>
      </c>
      <c r="AH1490">
        <v>36.406456632159099</v>
      </c>
      <c r="AI1490">
        <v>91.748904915011096</v>
      </c>
      <c r="AJ1490">
        <v>90.965989825831102</v>
      </c>
      <c r="AK1490">
        <v>36.428600882502302</v>
      </c>
      <c r="AL1490">
        <v>79.498975586723901</v>
      </c>
      <c r="AM1490">
        <v>97.366297127613706</v>
      </c>
      <c r="AN1490">
        <v>0.99999997006558905</v>
      </c>
    </row>
    <row r="1491" spans="1:40" x14ac:dyDescent="0.25">
      <c r="A1491" t="str">
        <f>"20190304155042168"</f>
        <v>20190304155042168</v>
      </c>
      <c r="B1491" t="str">
        <f>"1551685842158117"</f>
        <v>1551685842158117</v>
      </c>
      <c r="C1491" t="s">
        <v>40</v>
      </c>
      <c r="D1491">
        <v>5.288646</v>
      </c>
      <c r="E1491">
        <v>0.53913840000000002</v>
      </c>
      <c r="F1491" t="s">
        <v>41</v>
      </c>
      <c r="G1491">
        <v>-194.06950000000001</v>
      </c>
      <c r="H1491" s="1">
        <v>-3.4491090000000002E-6</v>
      </c>
      <c r="I1491">
        <v>305.10500000000002</v>
      </c>
      <c r="J1491">
        <v>-192.1234</v>
      </c>
      <c r="K1491">
        <v>1.1117379999999999</v>
      </c>
      <c r="L1491">
        <v>341.0378</v>
      </c>
      <c r="M1491">
        <v>-7.2975020000000002E-2</v>
      </c>
      <c r="N1491">
        <v>-1.3586030000000001E-2</v>
      </c>
      <c r="O1491">
        <v>-0.9972415</v>
      </c>
      <c r="P1491">
        <v>5.4976980000000002E-2</v>
      </c>
      <c r="Q1491">
        <v>0.16961200000000001</v>
      </c>
      <c r="R1491">
        <v>-0.98397659999999998</v>
      </c>
      <c r="S1491">
        <v>-0.16665650000000001</v>
      </c>
      <c r="T1491">
        <v>-9.4559909999999997E-2</v>
      </c>
      <c r="U1491">
        <v>-3.0734249999999999</v>
      </c>
      <c r="V1491">
        <v>-0.12707209999999999</v>
      </c>
      <c r="W1491">
        <v>0.18257660000000001</v>
      </c>
      <c r="X1491">
        <v>0.97494539999999996</v>
      </c>
      <c r="Y1491">
        <v>-1.8875820000000001E-2</v>
      </c>
      <c r="Z1491">
        <v>1.7048710000000002E-2</v>
      </c>
      <c r="AA1491">
        <v>0.99967649999999997</v>
      </c>
      <c r="AB1491">
        <v>21</v>
      </c>
      <c r="AC1491">
        <v>-1.9460999999999999</v>
      </c>
      <c r="AD1491">
        <v>-1.1117414491090001</v>
      </c>
      <c r="AE1491">
        <v>-35.932799999999901</v>
      </c>
      <c r="AF1491">
        <v>-0.68087796723218097</v>
      </c>
      <c r="AG1491">
        <v>-1.1117414491090001</v>
      </c>
      <c r="AH1491">
        <v>35.944699507161801</v>
      </c>
      <c r="AI1491">
        <v>91.771231364812806</v>
      </c>
      <c r="AJ1491">
        <v>91.085188344348694</v>
      </c>
      <c r="AK1491">
        <v>35.968333107277701</v>
      </c>
      <c r="AL1491">
        <v>79.480124776695106</v>
      </c>
      <c r="AM1491">
        <v>97.4259361582385</v>
      </c>
      <c r="AN1491">
        <v>1.0000000332235599</v>
      </c>
    </row>
    <row r="1492" spans="1:40" x14ac:dyDescent="0.25">
      <c r="A1492" t="str">
        <f>"20190304155042192"</f>
        <v>20190304155042192</v>
      </c>
      <c r="B1492" t="str">
        <f>"1551685842188374"</f>
        <v>1551685842188374</v>
      </c>
      <c r="C1492" t="s">
        <v>40</v>
      </c>
      <c r="D1492">
        <v>5.3643839999999896</v>
      </c>
      <c r="E1492">
        <v>0.53915480000000005</v>
      </c>
      <c r="F1492" t="s">
        <v>41</v>
      </c>
      <c r="G1492">
        <v>-194.07079999999999</v>
      </c>
      <c r="H1492" s="1">
        <v>-3.4705160000000001E-6</v>
      </c>
      <c r="I1492">
        <v>305.1542</v>
      </c>
      <c r="J1492">
        <v>-192.137</v>
      </c>
      <c r="K1492">
        <v>1.111691</v>
      </c>
      <c r="L1492">
        <v>340.82670000000002</v>
      </c>
      <c r="M1492">
        <v>-7.1443649999999997E-2</v>
      </c>
      <c r="N1492">
        <v>-1.3581579999999999E-2</v>
      </c>
      <c r="O1492">
        <v>-0.99735240000000003</v>
      </c>
      <c r="P1492">
        <v>5.7159679999999997E-2</v>
      </c>
      <c r="Q1492">
        <v>0.1689262</v>
      </c>
      <c r="R1492">
        <v>-0.98397049999999997</v>
      </c>
      <c r="S1492">
        <v>-0.1668549</v>
      </c>
      <c r="T1492">
        <v>-9.5256209999999994E-2</v>
      </c>
      <c r="U1492">
        <v>-3.0745849999999999</v>
      </c>
      <c r="V1492">
        <v>-0.1277267</v>
      </c>
      <c r="W1492">
        <v>0.18189859999999999</v>
      </c>
      <c r="X1492">
        <v>0.97498660000000004</v>
      </c>
      <c r="Y1492">
        <v>-1.7297299999999901E-2</v>
      </c>
      <c r="Z1492">
        <v>1.7271760000000001E-2</v>
      </c>
      <c r="AA1492">
        <v>0.99970119999999896</v>
      </c>
      <c r="AB1492">
        <v>21</v>
      </c>
      <c r="AC1492">
        <v>-1.93379999999999</v>
      </c>
      <c r="AD1492">
        <v>-1.1116944705159999</v>
      </c>
      <c r="AE1492">
        <v>-35.672499999999999</v>
      </c>
      <c r="AF1492">
        <v>-0.61935082576189604</v>
      </c>
      <c r="AG1492">
        <v>-1.1116944705159999</v>
      </c>
      <c r="AH1492">
        <v>35.684942197617502</v>
      </c>
      <c r="AI1492">
        <v>91.784092154526306</v>
      </c>
      <c r="AJ1492">
        <v>90.994330482320393</v>
      </c>
      <c r="AK1492">
        <v>35.707626071869399</v>
      </c>
      <c r="AL1492">
        <v>79.519632972856698</v>
      </c>
      <c r="AM1492">
        <v>97.4634481144912</v>
      </c>
      <c r="AN1492">
        <v>1.0000000403772</v>
      </c>
    </row>
    <row r="1493" spans="1:40" x14ac:dyDescent="0.25">
      <c r="A1493" t="str">
        <f>"20190304155042213"</f>
        <v>20190304155042213</v>
      </c>
      <c r="B1493" t="str">
        <f>"1551685842207893"</f>
        <v>1551685842207893</v>
      </c>
      <c r="C1493" t="s">
        <v>40</v>
      </c>
      <c r="D1493">
        <v>5.1854839999999998</v>
      </c>
      <c r="E1493">
        <v>0.53955549999999997</v>
      </c>
      <c r="F1493" t="s">
        <v>41</v>
      </c>
      <c r="G1493">
        <v>-194.00540000000001</v>
      </c>
      <c r="H1493" s="1">
        <v>-3.439952E-6</v>
      </c>
      <c r="I1493">
        <v>305.12349999999998</v>
      </c>
      <c r="J1493">
        <v>-192.15</v>
      </c>
      <c r="K1493">
        <v>1.1116440000000001</v>
      </c>
      <c r="L1493">
        <v>340.62009999999998</v>
      </c>
      <c r="M1493">
        <v>-6.9974120000000001E-2</v>
      </c>
      <c r="N1493">
        <v>-1.357715E-2</v>
      </c>
      <c r="O1493">
        <v>-0.99745649999999997</v>
      </c>
      <c r="P1493">
        <v>6.0232540000000001E-2</v>
      </c>
      <c r="Q1493">
        <v>0.16836760000000001</v>
      </c>
      <c r="R1493">
        <v>-0.98388249999999999</v>
      </c>
      <c r="S1493">
        <v>-0.16090389999999999</v>
      </c>
      <c r="T1493">
        <v>-9.5736500000000002E-2</v>
      </c>
      <c r="U1493">
        <v>-3.0746769999999999</v>
      </c>
      <c r="V1493">
        <v>-0.12932579999999999</v>
      </c>
      <c r="W1493">
        <v>0.1813439</v>
      </c>
      <c r="X1493">
        <v>0.9748791</v>
      </c>
      <c r="Y1493">
        <v>-1.7755150000000001E-2</v>
      </c>
      <c r="Z1493">
        <v>1.7435429999999998E-2</v>
      </c>
      <c r="AA1493">
        <v>0.99969039999999998</v>
      </c>
      <c r="AB1493">
        <v>21</v>
      </c>
      <c r="AC1493">
        <v>-1.8553999999999999</v>
      </c>
      <c r="AD1493">
        <v>-1.111647439952</v>
      </c>
      <c r="AE1493">
        <v>-35.496600000000001</v>
      </c>
      <c r="AF1493">
        <v>-0.63260212800992199</v>
      </c>
      <c r="AG1493">
        <v>-1.111647439952</v>
      </c>
      <c r="AH1493">
        <v>35.5046903452305</v>
      </c>
      <c r="AI1493">
        <v>91.793053473815206</v>
      </c>
      <c r="AJ1493">
        <v>91.020755199525894</v>
      </c>
      <c r="AK1493">
        <v>35.527721317216802</v>
      </c>
      <c r="AL1493">
        <v>79.551952204222005</v>
      </c>
      <c r="AM1493">
        <v>97.556638787975601</v>
      </c>
      <c r="AN1493">
        <v>1.0000000161148299</v>
      </c>
    </row>
    <row r="1494" spans="1:40" x14ac:dyDescent="0.25">
      <c r="A1494" t="str">
        <f>"20190304155042246"</f>
        <v>20190304155042246</v>
      </c>
      <c r="B1494" t="str">
        <f>"1551685842238150"</f>
        <v>1551685842238150</v>
      </c>
      <c r="C1494" t="s">
        <v>40</v>
      </c>
      <c r="D1494">
        <v>5.412363</v>
      </c>
      <c r="E1494">
        <v>0.54048260000000004</v>
      </c>
      <c r="F1494" t="s">
        <v>41</v>
      </c>
      <c r="G1494">
        <v>-193.94059999999999</v>
      </c>
      <c r="H1494" s="1">
        <v>-3.544887E-6</v>
      </c>
      <c r="I1494">
        <v>305.4083</v>
      </c>
      <c r="J1494">
        <v>-192.16810000000001</v>
      </c>
      <c r="K1494">
        <v>1.111586</v>
      </c>
      <c r="L1494">
        <v>340.32470000000001</v>
      </c>
      <c r="M1494">
        <v>-6.7920510000000003E-2</v>
      </c>
      <c r="N1494">
        <v>-1.3571649999999999E-2</v>
      </c>
      <c r="O1494">
        <v>-0.9975984</v>
      </c>
      <c r="P1494">
        <v>6.4154710000000004E-2</v>
      </c>
      <c r="Q1494">
        <v>0.16825879999999999</v>
      </c>
      <c r="R1494">
        <v>-0.983653</v>
      </c>
      <c r="S1494">
        <v>-0.15638729999999901</v>
      </c>
      <c r="T1494">
        <v>-9.708965E-2</v>
      </c>
      <c r="U1494">
        <v>-3.075348</v>
      </c>
      <c r="V1494">
        <v>-0.131188</v>
      </c>
      <c r="W1494">
        <v>0.18123929999999999</v>
      </c>
      <c r="X1494">
        <v>0.97464969999999995</v>
      </c>
      <c r="Y1494">
        <v>-1.7173009999999999E-2</v>
      </c>
      <c r="Z1494">
        <v>1.7878359999999999E-2</v>
      </c>
      <c r="AA1494">
        <v>0.99969269999999999</v>
      </c>
      <c r="AB1494">
        <v>21</v>
      </c>
      <c r="AC1494">
        <v>-1.77249999999997</v>
      </c>
      <c r="AD1494">
        <v>-1.1115895448869999</v>
      </c>
      <c r="AE1494">
        <v>-34.916400000000003</v>
      </c>
      <c r="AF1494">
        <v>-0.60274279532618502</v>
      </c>
      <c r="AG1494">
        <v>-1.1115895448869999</v>
      </c>
      <c r="AH1494">
        <v>34.920852309037002</v>
      </c>
      <c r="AI1494">
        <v>91.822934200434503</v>
      </c>
      <c r="AJ1494">
        <v>90.988841541873597</v>
      </c>
      <c r="AK1494">
        <v>34.943738440287099</v>
      </c>
      <c r="AL1494">
        <v>79.558046224052703</v>
      </c>
      <c r="AM1494">
        <v>97.665947158594193</v>
      </c>
      <c r="AN1494">
        <v>1.00000000645929</v>
      </c>
    </row>
    <row r="1495" spans="1:40" x14ac:dyDescent="0.25">
      <c r="A1495" t="str">
        <f>"20190304155042269"</f>
        <v>20190304155042269</v>
      </c>
      <c r="B1495" t="str">
        <f>"1551685842257683"</f>
        <v>1551685842257683</v>
      </c>
      <c r="C1495" t="s">
        <v>40</v>
      </c>
      <c r="D1495">
        <v>5.406148</v>
      </c>
      <c r="E1495">
        <v>0.54106019999999999</v>
      </c>
      <c r="F1495" t="s">
        <v>41</v>
      </c>
      <c r="G1495">
        <v>-193.74959999999999</v>
      </c>
      <c r="H1495" s="1">
        <v>-4.6676640000000001E-6</v>
      </c>
      <c r="I1495">
        <v>308.7484</v>
      </c>
      <c r="J1495">
        <v>-192.18049999999999</v>
      </c>
      <c r="K1495">
        <v>1.111567</v>
      </c>
      <c r="L1495">
        <v>340.11680000000001</v>
      </c>
      <c r="M1495">
        <v>-6.649832E-2</v>
      </c>
      <c r="N1495">
        <v>-1.3567910000000001E-2</v>
      </c>
      <c r="O1495">
        <v>-0.99769459999999999</v>
      </c>
      <c r="P1495">
        <v>6.6552299999999995E-2</v>
      </c>
      <c r="Q1495">
        <v>0.1680517</v>
      </c>
      <c r="R1495">
        <v>-0.9835296</v>
      </c>
      <c r="S1495">
        <v>-0.1541901</v>
      </c>
      <c r="T1495">
        <v>-0.108371</v>
      </c>
      <c r="U1495">
        <v>-3.07843</v>
      </c>
      <c r="V1495">
        <v>-0.1321686</v>
      </c>
      <c r="W1495">
        <v>0.18103259999999999</v>
      </c>
      <c r="X1495">
        <v>0.97455559999999997</v>
      </c>
      <c r="Y1495">
        <v>-1.6513509999999999E-2</v>
      </c>
      <c r="Z1495">
        <v>2.1500310000000002E-2</v>
      </c>
      <c r="AA1495">
        <v>0.99963250000000003</v>
      </c>
      <c r="AB1495">
        <v>21</v>
      </c>
      <c r="AC1495">
        <v>-1.5690999999999899</v>
      </c>
      <c r="AD1495">
        <v>-1.111571667664</v>
      </c>
      <c r="AE1495">
        <v>-31.368400000000001</v>
      </c>
      <c r="AF1495">
        <v>-0.51985988731244603</v>
      </c>
      <c r="AG1495">
        <v>-1.111571667664</v>
      </c>
      <c r="AH1495">
        <v>31.364020647968601</v>
      </c>
      <c r="AI1495">
        <v>92.029490561787895</v>
      </c>
      <c r="AJ1495">
        <v>90.949592865133297</v>
      </c>
      <c r="AK1495">
        <v>31.388017412397801</v>
      </c>
      <c r="AL1495">
        <v>79.570088177008799</v>
      </c>
      <c r="AM1495">
        <v>97.723296058487406</v>
      </c>
      <c r="AN1495">
        <v>0.99999997929003903</v>
      </c>
    </row>
    <row r="1496" spans="1:40" x14ac:dyDescent="0.25">
      <c r="A1496" t="str">
        <f>"20190304155042291"</f>
        <v>20190304155042291</v>
      </c>
      <c r="B1496" t="str">
        <f>"1551685842287926"</f>
        <v>1551685842287926</v>
      </c>
      <c r="C1496" t="s">
        <v>40</v>
      </c>
      <c r="D1496">
        <v>5.3225100000000003</v>
      </c>
      <c r="E1496">
        <v>0.54142380000000001</v>
      </c>
      <c r="F1496" t="s">
        <v>41</v>
      </c>
      <c r="G1496">
        <v>-193.6824</v>
      </c>
      <c r="H1496" s="1">
        <v>-1.073263E-6</v>
      </c>
      <c r="I1496">
        <v>309.7894</v>
      </c>
      <c r="J1496">
        <v>-192.1925</v>
      </c>
      <c r="K1496">
        <v>1.1115520000000001</v>
      </c>
      <c r="L1496">
        <v>339.91019999999997</v>
      </c>
      <c r="M1496">
        <v>-6.5077540000000003E-2</v>
      </c>
      <c r="N1496">
        <v>-1.356475E-2</v>
      </c>
      <c r="O1496">
        <v>-0.99778800000000001</v>
      </c>
      <c r="P1496">
        <v>6.8359779999999995E-2</v>
      </c>
      <c r="Q1496">
        <v>0.16670399999999999</v>
      </c>
      <c r="R1496">
        <v>-0.98363449999999997</v>
      </c>
      <c r="S1496">
        <v>-0.15252689999999999</v>
      </c>
      <c r="T1496">
        <v>-0.1128839</v>
      </c>
      <c r="U1496">
        <v>-3.0798649999999999</v>
      </c>
      <c r="V1496">
        <v>-0.13258200000000001</v>
      </c>
      <c r="W1496">
        <v>0.17968599999999901</v>
      </c>
      <c r="X1496">
        <v>0.97474870000000002</v>
      </c>
      <c r="Y1496">
        <v>-1.5653199999999999E-2</v>
      </c>
      <c r="Z1496">
        <v>2.2949509999999999E-2</v>
      </c>
      <c r="AA1496">
        <v>0.99961409999999995</v>
      </c>
      <c r="AB1496">
        <v>21</v>
      </c>
      <c r="AC1496">
        <v>-1.4899</v>
      </c>
      <c r="AD1496">
        <v>-1.1115530732629999</v>
      </c>
      <c r="AE1496">
        <v>-30.1207999999999</v>
      </c>
      <c r="AF1496">
        <v>-0.47298424756901603</v>
      </c>
      <c r="AG1496">
        <v>-1.1115530732629999</v>
      </c>
      <c r="AH1496">
        <v>30.112997302434302</v>
      </c>
      <c r="AI1496">
        <v>92.113723622278698</v>
      </c>
      <c r="AJ1496">
        <v>90.899869667998203</v>
      </c>
      <c r="AK1496">
        <v>30.1372173710438</v>
      </c>
      <c r="AL1496">
        <v>79.648529651187005</v>
      </c>
      <c r="AM1496">
        <v>97.745644149541505</v>
      </c>
      <c r="AN1496">
        <v>1.0000000367358399</v>
      </c>
    </row>
    <row r="1497" spans="1:40" x14ac:dyDescent="0.25">
      <c r="A1497" t="str">
        <f>"20190304155042314"</f>
        <v>20190304155042314</v>
      </c>
      <c r="B1497" t="str">
        <f>"1551685842307445"</f>
        <v>1551685842307445</v>
      </c>
      <c r="C1497" t="s">
        <v>40</v>
      </c>
      <c r="D1497">
        <v>5.3310559999999896</v>
      </c>
      <c r="E1497">
        <v>0.54183130000000002</v>
      </c>
      <c r="F1497" t="s">
        <v>41</v>
      </c>
      <c r="G1497">
        <v>-193.61369999999999</v>
      </c>
      <c r="H1497" s="1">
        <v>-1.6425299999999999E-6</v>
      </c>
      <c r="I1497">
        <v>311.03230000000002</v>
      </c>
      <c r="J1497">
        <v>-192.2038</v>
      </c>
      <c r="K1497">
        <v>1.111545</v>
      </c>
      <c r="L1497">
        <v>339.71050000000002</v>
      </c>
      <c r="M1497">
        <v>-6.3685770000000003E-2</v>
      </c>
      <c r="N1497">
        <v>-1.356191E-2</v>
      </c>
      <c r="O1497">
        <v>-0.99787789999999998</v>
      </c>
      <c r="P1497">
        <v>6.9820960000000001E-2</v>
      </c>
      <c r="Q1497">
        <v>0.1647296</v>
      </c>
      <c r="R1497">
        <v>-0.98386439999999997</v>
      </c>
      <c r="S1497">
        <v>-0.15161129999999901</v>
      </c>
      <c r="T1497">
        <v>-0.1185744</v>
      </c>
      <c r="U1497">
        <v>-3.0805359999999999</v>
      </c>
      <c r="V1497">
        <v>-0.1326889</v>
      </c>
      <c r="W1497">
        <v>0.17771319999999999</v>
      </c>
      <c r="X1497">
        <v>0.97509570000000001</v>
      </c>
      <c r="Y1497">
        <v>-1.4568040000000001E-2</v>
      </c>
      <c r="Z1497">
        <v>2.4786579999999999E-2</v>
      </c>
      <c r="AA1497">
        <v>0.99958659999999999</v>
      </c>
      <c r="AB1497">
        <v>20</v>
      </c>
      <c r="AC1497">
        <v>-1.4098999999999899</v>
      </c>
      <c r="AD1497">
        <v>-1.11154664253</v>
      </c>
      <c r="AE1497">
        <v>-28.6782</v>
      </c>
      <c r="AF1497">
        <v>-0.418895975327503</v>
      </c>
      <c r="AG1497">
        <v>-1.11154664253</v>
      </c>
      <c r="AH1497">
        <v>28.666809578350701</v>
      </c>
      <c r="AI1497">
        <v>92.220276885269101</v>
      </c>
      <c r="AJ1497">
        <v>90.837179432402905</v>
      </c>
      <c r="AK1497">
        <v>28.691409536272001</v>
      </c>
      <c r="AL1497">
        <v>79.7634113240819</v>
      </c>
      <c r="AM1497">
        <v>97.749088451525594</v>
      </c>
      <c r="AN1497">
        <v>0.99999997489796899</v>
      </c>
    </row>
    <row r="1498" spans="1:40" x14ac:dyDescent="0.25">
      <c r="A1498" t="str">
        <f>"20190304155042337"</f>
        <v>20190304155042337</v>
      </c>
      <c r="B1498" t="str">
        <f>"1551685842327941"</f>
        <v>1551685842327941</v>
      </c>
      <c r="C1498" t="s">
        <v>40</v>
      </c>
      <c r="D1498">
        <v>5.3716390000000001</v>
      </c>
      <c r="E1498">
        <v>0.54226949999999996</v>
      </c>
      <c r="F1498" t="s">
        <v>41</v>
      </c>
      <c r="G1498">
        <v>-193.5444</v>
      </c>
      <c r="H1498" s="1">
        <v>-2.2369699999999999E-6</v>
      </c>
      <c r="I1498">
        <v>312.32889999999998</v>
      </c>
      <c r="J1498">
        <v>-192.21549999999999</v>
      </c>
      <c r="K1498">
        <v>1.1115630000000001</v>
      </c>
      <c r="L1498">
        <v>339.49849999999998</v>
      </c>
      <c r="M1498">
        <v>-6.2174559999999997E-2</v>
      </c>
      <c r="N1498">
        <v>-1.355923E-2</v>
      </c>
      <c r="O1498">
        <v>-0.9979732</v>
      </c>
      <c r="P1498">
        <v>7.0873459999999999E-2</v>
      </c>
      <c r="Q1498">
        <v>0.16383049999999999</v>
      </c>
      <c r="R1498">
        <v>-0.98393960000000003</v>
      </c>
      <c r="S1498">
        <v>-0.1508331</v>
      </c>
      <c r="T1498">
        <v>-0.12506429999999999</v>
      </c>
      <c r="U1498">
        <v>-3.0808110000000002</v>
      </c>
      <c r="V1498">
        <v>-0.13226669999999999</v>
      </c>
      <c r="W1498">
        <v>0.17681069999999999</v>
      </c>
      <c r="X1498">
        <v>0.97531710000000005</v>
      </c>
      <c r="Y1498">
        <v>-1.3313E-2</v>
      </c>
      <c r="Z1498">
        <v>2.6886400000000001E-2</v>
      </c>
      <c r="AA1498">
        <v>0.99954989999999999</v>
      </c>
      <c r="AB1498">
        <v>20</v>
      </c>
      <c r="AC1498">
        <v>-1.3289</v>
      </c>
      <c r="AD1498">
        <v>-1.11156523696999</v>
      </c>
      <c r="AE1498">
        <v>-27.169599999999999</v>
      </c>
      <c r="AF1498">
        <v>-0.36247944195187598</v>
      </c>
      <c r="AG1498">
        <v>-1.11156523696999</v>
      </c>
      <c r="AH1498">
        <v>27.154314007885802</v>
      </c>
      <c r="AI1498">
        <v>92.3438925640326</v>
      </c>
      <c r="AJ1498">
        <v>90.764788560351704</v>
      </c>
      <c r="AK1498">
        <v>27.179472729630699</v>
      </c>
      <c r="AL1498">
        <v>79.815952827650307</v>
      </c>
      <c r="AM1498">
        <v>97.722997589085097</v>
      </c>
      <c r="AN1498">
        <v>0.99999997455789402</v>
      </c>
    </row>
    <row r="1499" spans="1:40" x14ac:dyDescent="0.25">
      <c r="A1499" t="str">
        <f>"20190304155042358"</f>
        <v>20190304155042358</v>
      </c>
      <c r="B1499" t="str">
        <f>"1551685842347465"</f>
        <v>1551685842347465</v>
      </c>
      <c r="C1499" t="s">
        <v>40</v>
      </c>
      <c r="D1499">
        <v>5.2809400000000002</v>
      </c>
      <c r="E1499">
        <v>0.54277189999999997</v>
      </c>
      <c r="F1499" t="s">
        <v>41</v>
      </c>
      <c r="G1499">
        <v>-193.52250000000001</v>
      </c>
      <c r="H1499" s="1">
        <v>-2.4417899999999998E-6</v>
      </c>
      <c r="I1499">
        <v>312.77440000000001</v>
      </c>
      <c r="J1499">
        <v>-192.22559999999999</v>
      </c>
      <c r="K1499">
        <v>1.111578</v>
      </c>
      <c r="L1499">
        <v>339.3098</v>
      </c>
      <c r="M1499">
        <v>-6.0789580000000003E-2</v>
      </c>
      <c r="N1499">
        <v>-1.355719E-2</v>
      </c>
      <c r="O1499">
        <v>-0.99805889999999997</v>
      </c>
      <c r="P1499">
        <v>7.1862090000000003E-2</v>
      </c>
      <c r="Q1499">
        <v>0.16467219999999999</v>
      </c>
      <c r="R1499">
        <v>-0.98372760000000004</v>
      </c>
      <c r="S1499">
        <v>-0.15069579999999999</v>
      </c>
      <c r="T1499">
        <v>-0.128159</v>
      </c>
      <c r="U1499">
        <v>-3.0811769999999998</v>
      </c>
      <c r="V1499">
        <v>-0.1318926</v>
      </c>
      <c r="W1499">
        <v>0.17764460000000001</v>
      </c>
      <c r="X1499">
        <v>0.97521630000000004</v>
      </c>
      <c r="Y1499">
        <v>-1.1977359999999999E-2</v>
      </c>
      <c r="Z1499">
        <v>2.7887680000000001E-2</v>
      </c>
      <c r="AA1499">
        <v>0.99953930000000002</v>
      </c>
      <c r="AB1499">
        <v>20</v>
      </c>
      <c r="AC1499">
        <v>-1.2969000000000199</v>
      </c>
      <c r="AD1499">
        <v>-1.1115804417899999</v>
      </c>
      <c r="AE1499">
        <v>-26.5353999999999</v>
      </c>
      <c r="AF1499">
        <v>-0.318165417665981</v>
      </c>
      <c r="AG1499">
        <v>-1.1115804417899999</v>
      </c>
      <c r="AH1499">
        <v>26.518737254233599</v>
      </c>
      <c r="AI1499">
        <v>92.400077741029804</v>
      </c>
      <c r="AJ1499">
        <v>90.687387971348002</v>
      </c>
      <c r="AK1499">
        <v>26.543930866973099</v>
      </c>
      <c r="AL1499">
        <v>79.767406109608402</v>
      </c>
      <c r="AM1499">
        <v>97.702203041853394</v>
      </c>
      <c r="AN1499">
        <v>1.0000000468148</v>
      </c>
    </row>
    <row r="1500" spans="1:40" x14ac:dyDescent="0.25">
      <c r="A1500" t="str">
        <f>"20190304155042381"</f>
        <v>20190304155042381</v>
      </c>
      <c r="B1500" t="str">
        <f>"1551685842377718"</f>
        <v>1551685842377718</v>
      </c>
      <c r="C1500" t="s">
        <v>40</v>
      </c>
      <c r="D1500">
        <v>5.3019270000000001</v>
      </c>
      <c r="E1500">
        <v>0.5435392</v>
      </c>
      <c r="F1500" t="s">
        <v>41</v>
      </c>
      <c r="G1500">
        <v>-193.52850000000001</v>
      </c>
      <c r="H1500" s="1">
        <v>-2.364656E-6</v>
      </c>
      <c r="I1500">
        <v>312.60789999999997</v>
      </c>
      <c r="J1500">
        <v>-192.23660000000001</v>
      </c>
      <c r="K1500">
        <v>1.1116090000000001</v>
      </c>
      <c r="L1500">
        <v>339.09890000000001</v>
      </c>
      <c r="M1500">
        <v>-5.9187110000000001E-2</v>
      </c>
      <c r="N1500">
        <v>-1.35551E-2</v>
      </c>
      <c r="O1500">
        <v>-0.99815480000000001</v>
      </c>
      <c r="P1500">
        <v>7.3183540000000005E-2</v>
      </c>
      <c r="Q1500">
        <v>0.16553519999999999</v>
      </c>
      <c r="R1500">
        <v>-0.98348480000000005</v>
      </c>
      <c r="S1500">
        <v>-0.15039060000000001</v>
      </c>
      <c r="T1500">
        <v>-0.1283048</v>
      </c>
      <c r="U1500">
        <v>-3.0820919999999998</v>
      </c>
      <c r="V1500">
        <v>-0.13164089999999901</v>
      </c>
      <c r="W1500">
        <v>0.17849670000000001</v>
      </c>
      <c r="X1500">
        <v>0.97509469999999998</v>
      </c>
      <c r="Y1500">
        <v>-1.048581E-2</v>
      </c>
      <c r="Z1500">
        <v>2.7930400000000001E-2</v>
      </c>
      <c r="AA1500">
        <v>0.99955490000000002</v>
      </c>
      <c r="AB1500">
        <v>20</v>
      </c>
      <c r="AC1500">
        <v>-1.2918999999999901</v>
      </c>
      <c r="AD1500">
        <v>-1.111611364656</v>
      </c>
      <c r="AE1500">
        <v>-26.491</v>
      </c>
      <c r="AF1500">
        <v>-0.27794689872841999</v>
      </c>
      <c r="AG1500">
        <v>-1.111611364656</v>
      </c>
      <c r="AH1500">
        <v>26.4745154652073</v>
      </c>
      <c r="AI1500">
        <v>92.404189305635995</v>
      </c>
      <c r="AJ1500">
        <v>90.601506727649607</v>
      </c>
      <c r="AK1500">
        <v>26.499300055323101</v>
      </c>
      <c r="AL1500">
        <v>79.717791309795203</v>
      </c>
      <c r="AM1500">
        <v>97.688627557468607</v>
      </c>
      <c r="AN1500">
        <v>1.0000000362158901</v>
      </c>
    </row>
    <row r="1501" spans="1:40" x14ac:dyDescent="0.25">
      <c r="A1501" t="str">
        <f>"20190304155042406"</f>
        <v>20190304155042406</v>
      </c>
      <c r="B1501" t="str">
        <f>"1551685842398213"</f>
        <v>1551685842398213</v>
      </c>
      <c r="C1501" t="s">
        <v>40</v>
      </c>
      <c r="D1501">
        <v>5.3168759999999997</v>
      </c>
      <c r="E1501">
        <v>0.54397079999999998</v>
      </c>
      <c r="F1501" t="s">
        <v>41</v>
      </c>
      <c r="G1501">
        <v>-193.5686</v>
      </c>
      <c r="H1501" s="1">
        <v>-2.069359E-6</v>
      </c>
      <c r="I1501">
        <v>311.9606</v>
      </c>
      <c r="J1501">
        <v>-192.2474</v>
      </c>
      <c r="K1501">
        <v>1.1116490000000001</v>
      </c>
      <c r="L1501">
        <v>338.88209999999998</v>
      </c>
      <c r="M1501">
        <v>-5.7477540000000001E-2</v>
      </c>
      <c r="N1501">
        <v>-1.355322E-2</v>
      </c>
      <c r="O1501">
        <v>-0.9982548</v>
      </c>
      <c r="P1501">
        <v>7.4692560000000005E-2</v>
      </c>
      <c r="Q1501">
        <v>0.1670692</v>
      </c>
      <c r="R1501">
        <v>-0.98311219999999999</v>
      </c>
      <c r="S1501">
        <v>-0.15132139999999999</v>
      </c>
      <c r="T1501">
        <v>-0.12627940000000001</v>
      </c>
      <c r="U1501">
        <v>-3.082916</v>
      </c>
      <c r="V1501">
        <v>-0.131469</v>
      </c>
      <c r="W1501">
        <v>0.1800158</v>
      </c>
      <c r="X1501">
        <v>0.9748386</v>
      </c>
      <c r="Y1501">
        <v>-8.4850759999999994E-3</v>
      </c>
      <c r="Z1501">
        <v>2.7273479999999999E-2</v>
      </c>
      <c r="AA1501">
        <v>0.99959200000000004</v>
      </c>
      <c r="AB1501">
        <v>20</v>
      </c>
      <c r="AC1501">
        <v>-1.3211999999999999</v>
      </c>
      <c r="AD1501">
        <v>-1.1116510693589901</v>
      </c>
      <c r="AE1501">
        <v>-26.921499999999899</v>
      </c>
      <c r="AF1501">
        <v>-0.228120316062037</v>
      </c>
      <c r="AG1501">
        <v>-1.1116510693589901</v>
      </c>
      <c r="AH1501">
        <v>26.907163512926701</v>
      </c>
      <c r="AI1501">
        <v>92.365705624084796</v>
      </c>
      <c r="AJ1501">
        <v>90.485744927559907</v>
      </c>
      <c r="AK1501">
        <v>26.931083440700601</v>
      </c>
      <c r="AL1501">
        <v>79.629320319422305</v>
      </c>
      <c r="AM1501">
        <v>97.680700615773404</v>
      </c>
      <c r="AN1501">
        <v>1.0000000411302901</v>
      </c>
    </row>
    <row r="1502" spans="1:40" x14ac:dyDescent="0.25">
      <c r="A1502" t="str">
        <f>"20190304155042425"</f>
        <v>20190304155042425</v>
      </c>
      <c r="B1502" t="str">
        <f>"1551685842417733"</f>
        <v>1551685842417733</v>
      </c>
      <c r="C1502" t="s">
        <v>40</v>
      </c>
      <c r="D1502">
        <v>5.3783110000000001</v>
      </c>
      <c r="E1502">
        <v>0.54390660000000002</v>
      </c>
      <c r="F1502" t="s">
        <v>41</v>
      </c>
      <c r="G1502">
        <v>-193.60990000000001</v>
      </c>
      <c r="H1502" s="1">
        <v>-1.4810749999999901E-6</v>
      </c>
      <c r="I1502">
        <v>310.69290000000001</v>
      </c>
      <c r="J1502">
        <v>-192.25630000000001</v>
      </c>
      <c r="K1502">
        <v>1.111683</v>
      </c>
      <c r="L1502">
        <v>338.69850000000002</v>
      </c>
      <c r="M1502">
        <v>-5.597771E-2</v>
      </c>
      <c r="N1502">
        <v>-1.3551830000000001E-2</v>
      </c>
      <c r="O1502">
        <v>-0.99834009999999995</v>
      </c>
      <c r="P1502">
        <v>7.5215089999999998E-2</v>
      </c>
      <c r="Q1502">
        <v>0.16873540000000001</v>
      </c>
      <c r="R1502">
        <v>-0.98278750000000004</v>
      </c>
      <c r="S1502">
        <v>-0.14903259999999999</v>
      </c>
      <c r="T1502">
        <v>-0.1216</v>
      </c>
      <c r="U1502">
        <v>-3.0835270000000001</v>
      </c>
      <c r="V1502">
        <v>-0.13052030000000001</v>
      </c>
      <c r="W1502">
        <v>0.1816712</v>
      </c>
      <c r="X1502">
        <v>0.97465889999999999</v>
      </c>
      <c r="Y1502">
        <v>-7.7310540000000002E-3</v>
      </c>
      <c r="Z1502">
        <v>2.576202E-2</v>
      </c>
      <c r="AA1502">
        <v>0.99963820000000003</v>
      </c>
      <c r="AB1502">
        <v>20</v>
      </c>
      <c r="AC1502">
        <v>-1.3535999999999999</v>
      </c>
      <c r="AD1502">
        <v>-1.111684481075</v>
      </c>
      <c r="AE1502">
        <v>-28.005600000000001</v>
      </c>
      <c r="AF1502">
        <v>-0.216016468117294</v>
      </c>
      <c r="AG1502">
        <v>-1.111684481075</v>
      </c>
      <c r="AH1502">
        <v>27.9934516016564</v>
      </c>
      <c r="AI1502">
        <v>92.274084826837594</v>
      </c>
      <c r="AJ1502">
        <v>90.442124338401399</v>
      </c>
      <c r="AK1502">
        <v>28.016349478014401</v>
      </c>
      <c r="AL1502">
        <v>79.532882078300403</v>
      </c>
      <c r="AM1502">
        <v>97.627319567731206</v>
      </c>
      <c r="AN1502">
        <v>0.99999997248536898</v>
      </c>
    </row>
    <row r="1503" spans="1:40" x14ac:dyDescent="0.25">
      <c r="A1503" t="str">
        <f>"20190304155042448"</f>
        <v>20190304155042448</v>
      </c>
      <c r="B1503" t="str">
        <f>"1551685842438229"</f>
        <v>1551685842438229</v>
      </c>
      <c r="C1503" t="s">
        <v>40</v>
      </c>
      <c r="D1503">
        <v>5.1907880000000004</v>
      </c>
      <c r="E1503">
        <v>0.52906209999999998</v>
      </c>
      <c r="F1503" t="s">
        <v>41</v>
      </c>
      <c r="G1503">
        <v>-193.6686</v>
      </c>
      <c r="H1503" s="1">
        <v>-4.7042790000000001E-6</v>
      </c>
      <c r="I1503">
        <v>308.89830000000001</v>
      </c>
      <c r="J1503">
        <v>-192.26599999999999</v>
      </c>
      <c r="K1503">
        <v>1.1117189999999999</v>
      </c>
      <c r="L1503">
        <v>338.48930000000001</v>
      </c>
      <c r="M1503">
        <v>-5.4218059999999998E-2</v>
      </c>
      <c r="N1503">
        <v>-1.355021E-2</v>
      </c>
      <c r="O1503">
        <v>-0.99843729999999997</v>
      </c>
      <c r="P1503">
        <v>7.5646729999999995E-2</v>
      </c>
      <c r="Q1503">
        <v>0.1704726</v>
      </c>
      <c r="R1503">
        <v>-0.98245459999999996</v>
      </c>
      <c r="S1503">
        <v>-0.1461334</v>
      </c>
      <c r="T1503">
        <v>-0.1150301</v>
      </c>
      <c r="U1503">
        <v>-3.0835270000000001</v>
      </c>
      <c r="V1503">
        <v>-0.12922919999999999</v>
      </c>
      <c r="W1503">
        <v>0.18339739999999999</v>
      </c>
      <c r="X1503">
        <v>0.97450769999999998</v>
      </c>
      <c r="Y1503">
        <v>-6.9042569999999996E-3</v>
      </c>
      <c r="Z1503">
        <v>2.364846E-2</v>
      </c>
      <c r="AA1503">
        <v>0.99969649999999999</v>
      </c>
      <c r="AB1503">
        <v>20</v>
      </c>
      <c r="AC1503">
        <v>-1.4026000000000001</v>
      </c>
      <c r="AD1503">
        <v>-1.111723704279</v>
      </c>
      <c r="AE1503">
        <v>-29.591000000000001</v>
      </c>
      <c r="AF1503">
        <v>-0.203690297854835</v>
      </c>
      <c r="AG1503">
        <v>-1.111723704279</v>
      </c>
      <c r="AH1503">
        <v>29.581859826250199</v>
      </c>
      <c r="AI1503">
        <v>92.152184028401507</v>
      </c>
      <c r="AJ1503">
        <v>90.394512381099204</v>
      </c>
      <c r="AK1503">
        <v>29.603443213788601</v>
      </c>
      <c r="AL1503">
        <v>79.432288615959493</v>
      </c>
      <c r="AM1503">
        <v>97.553904106326101</v>
      </c>
      <c r="AN1503">
        <v>1.0000000249093399</v>
      </c>
    </row>
    <row r="1504" spans="1:40" x14ac:dyDescent="0.25">
      <c r="A1504" t="str">
        <f>"20190304155042469"</f>
        <v>20190304155042469</v>
      </c>
      <c r="B1504" t="str">
        <f>"1551685842457753"</f>
        <v>1551685842457753</v>
      </c>
      <c r="C1504" t="s">
        <v>40</v>
      </c>
      <c r="D1504">
        <v>5.3419239999999997</v>
      </c>
      <c r="E1504">
        <v>0.52936609999999995</v>
      </c>
      <c r="F1504" t="s">
        <v>62</v>
      </c>
      <c r="G1504">
        <v>-192.64940000000001</v>
      </c>
      <c r="H1504" s="1">
        <v>3.1040080000000001E-6</v>
      </c>
      <c r="I1504">
        <v>289.0847</v>
      </c>
      <c r="J1504">
        <v>-192.27430000000001</v>
      </c>
      <c r="K1504">
        <v>1.111737</v>
      </c>
      <c r="L1504">
        <v>338.3005</v>
      </c>
      <c r="M1504">
        <v>-5.2590129999999999E-2</v>
      </c>
      <c r="N1504">
        <v>-1.354897E-2</v>
      </c>
      <c r="O1504">
        <v>-0.99852450000000004</v>
      </c>
      <c r="P1504">
        <v>7.5665070000000001E-2</v>
      </c>
      <c r="Q1504">
        <v>0.17135819999999999</v>
      </c>
      <c r="R1504">
        <v>-0.98229949999999999</v>
      </c>
      <c r="S1504">
        <v>-2.3803709999999999E-2</v>
      </c>
      <c r="T1504">
        <v>-6.9023849999999998E-2</v>
      </c>
      <c r="U1504">
        <v>-3.0674130000000002</v>
      </c>
      <c r="V1504">
        <v>-0.12765789999999999</v>
      </c>
      <c r="W1504">
        <v>0.18427950000000001</v>
      </c>
      <c r="X1504">
        <v>0.97454830000000003</v>
      </c>
      <c r="Y1504">
        <v>-4.4833499999999998E-2</v>
      </c>
      <c r="Z1504">
        <v>8.8934210000000003E-3</v>
      </c>
      <c r="AA1504">
        <v>0.99895489999999998</v>
      </c>
      <c r="AB1504">
        <v>20</v>
      </c>
      <c r="AC1504">
        <v>-0.37510000000000299</v>
      </c>
      <c r="AD1504">
        <v>-1.111733895992</v>
      </c>
      <c r="AE1504">
        <v>-49.215800000000002</v>
      </c>
      <c r="AF1504">
        <v>-2.21279243846773</v>
      </c>
      <c r="AG1504">
        <v>-1.111733895992</v>
      </c>
      <c r="AH1504">
        <v>49.142336181166598</v>
      </c>
      <c r="AI1504">
        <v>91.294654630781196</v>
      </c>
      <c r="AJ1504">
        <v>92.578186045130593</v>
      </c>
      <c r="AK1504">
        <v>49.204690914322697</v>
      </c>
      <c r="AL1504">
        <v>79.380870676623104</v>
      </c>
      <c r="AM1504">
        <v>97.462790281212406</v>
      </c>
      <c r="AN1504">
        <v>0.99999993129277198</v>
      </c>
    </row>
    <row r="1505" spans="1:40" x14ac:dyDescent="0.25">
      <c r="A1505" t="str">
        <f>"20190304155042492"</f>
        <v>20190304155042492</v>
      </c>
      <c r="B1505" t="str">
        <f>"1551685842488005"</f>
        <v>1551685842488005</v>
      </c>
      <c r="C1505" t="s">
        <v>40</v>
      </c>
      <c r="D1505">
        <v>5.3332870000000003</v>
      </c>
      <c r="E1505">
        <v>0.53038379999999996</v>
      </c>
      <c r="F1505" t="s">
        <v>62</v>
      </c>
      <c r="G1505">
        <v>-192.63069999999999</v>
      </c>
      <c r="H1505" s="1">
        <v>9.6323169999999995E-7</v>
      </c>
      <c r="I1505">
        <v>296.22089999999997</v>
      </c>
      <c r="J1505">
        <v>-192.28280000000001</v>
      </c>
      <c r="K1505">
        <v>1.11175</v>
      </c>
      <c r="L1505">
        <v>338.09980000000002</v>
      </c>
      <c r="M1505">
        <v>-5.0832189999999999E-2</v>
      </c>
      <c r="N1505">
        <v>-1.3547180000000001E-2</v>
      </c>
      <c r="O1505">
        <v>-0.99861560000000005</v>
      </c>
      <c r="P1505">
        <v>7.5969850000000005E-2</v>
      </c>
      <c r="Q1505">
        <v>0.17157999999999901</v>
      </c>
      <c r="R1505">
        <v>-0.98223689999999997</v>
      </c>
      <c r="S1505">
        <v>-2.600098E-2</v>
      </c>
      <c r="T1505">
        <v>-8.1113820000000003E-2</v>
      </c>
      <c r="U1505">
        <v>-3.0701900000000002</v>
      </c>
      <c r="V1505">
        <v>-0.12624579999999999</v>
      </c>
      <c r="W1505">
        <v>0.18450079999999999</v>
      </c>
      <c r="X1505">
        <v>0.97469039999999996</v>
      </c>
      <c r="Y1505">
        <v>-4.2366639999999997E-2</v>
      </c>
      <c r="Z1505">
        <v>1.280509E-2</v>
      </c>
      <c r="AA1505">
        <v>0.99902000000000002</v>
      </c>
      <c r="AB1505">
        <v>20</v>
      </c>
      <c r="AC1505">
        <v>-0.347899999999981</v>
      </c>
      <c r="AD1505">
        <v>-1.1117490367683001</v>
      </c>
      <c r="AE1505">
        <v>-41.878900000000002</v>
      </c>
      <c r="AF1505">
        <v>-1.78028629270561</v>
      </c>
      <c r="AG1505">
        <v>-1.1117490367683001</v>
      </c>
      <c r="AH1505">
        <v>41.812970702543502</v>
      </c>
      <c r="AI1505">
        <v>91.521678656844401</v>
      </c>
      <c r="AJ1505">
        <v>92.438031024671005</v>
      </c>
      <c r="AK1505">
        <v>41.8656174464979</v>
      </c>
      <c r="AL1505">
        <v>79.367970237214294</v>
      </c>
      <c r="AM1505">
        <v>97.380090993980005</v>
      </c>
      <c r="AN1505">
        <v>0.99999996153521897</v>
      </c>
    </row>
    <row r="1506" spans="1:40" x14ac:dyDescent="0.25">
      <c r="A1506" t="str">
        <f>"20190304155042515"</f>
        <v>20190304155042515</v>
      </c>
      <c r="B1506" t="str">
        <f>"1551685842508502"</f>
        <v>1551685842508502</v>
      </c>
      <c r="C1506" t="s">
        <v>40</v>
      </c>
      <c r="D1506">
        <v>5.3391279999999997</v>
      </c>
      <c r="E1506">
        <v>0.53013180000000004</v>
      </c>
      <c r="F1506" t="s">
        <v>62</v>
      </c>
      <c r="G1506">
        <v>-192.69589999999999</v>
      </c>
      <c r="H1506" s="1">
        <v>1.5735509999999999E-7</v>
      </c>
      <c r="I1506">
        <v>298.72280000000001</v>
      </c>
      <c r="J1506">
        <v>-192.2911</v>
      </c>
      <c r="K1506">
        <v>1.1117549999999901</v>
      </c>
      <c r="L1506">
        <v>337.89499999999998</v>
      </c>
      <c r="M1506">
        <v>-4.9022070000000001E-2</v>
      </c>
      <c r="N1506">
        <v>-1.3545379999999999E-2</v>
      </c>
      <c r="O1506">
        <v>-0.99870619999999999</v>
      </c>
      <c r="P1506">
        <v>7.6543849999999997E-2</v>
      </c>
      <c r="Q1506">
        <v>0.1716125</v>
      </c>
      <c r="R1506">
        <v>-0.98218700000000003</v>
      </c>
      <c r="S1506">
        <v>-3.2226560000000001E-2</v>
      </c>
      <c r="T1506">
        <v>-8.6731429999999998E-2</v>
      </c>
      <c r="U1506">
        <v>-3.07193</v>
      </c>
      <c r="V1506">
        <v>-0.1250472</v>
      </c>
      <c r="W1506">
        <v>0.18453539999999999</v>
      </c>
      <c r="X1506">
        <v>0.97483839999999999</v>
      </c>
      <c r="Y1506">
        <v>-3.8536590000000003E-2</v>
      </c>
      <c r="Z1506">
        <v>1.462105E-2</v>
      </c>
      <c r="AA1506">
        <v>0.99915019999999999</v>
      </c>
      <c r="AB1506">
        <v>20</v>
      </c>
      <c r="AC1506">
        <v>-0.404799999999994</v>
      </c>
      <c r="AD1506">
        <v>-1.11175484264489</v>
      </c>
      <c r="AE1506">
        <v>-39.172199999999897</v>
      </c>
      <c r="AF1506">
        <v>-1.5149444683347999</v>
      </c>
      <c r="AG1506">
        <v>-1.11175484264489</v>
      </c>
      <c r="AH1506">
        <v>39.113438160336997</v>
      </c>
      <c r="AI1506">
        <v>91.626909566816707</v>
      </c>
      <c r="AJ1506">
        <v>92.218075484098406</v>
      </c>
      <c r="AK1506">
        <v>39.158550794108699</v>
      </c>
      <c r="AL1506">
        <v>79.365953701494306</v>
      </c>
      <c r="AM1506">
        <v>97.309686800708207</v>
      </c>
      <c r="AN1506">
        <v>1.00000001109778</v>
      </c>
    </row>
    <row r="1507" spans="1:40" x14ac:dyDescent="0.25">
      <c r="A1507" t="str">
        <f>"20190304155042536"</f>
        <v>20190304155042536</v>
      </c>
      <c r="B1507" t="str">
        <f>"1551685842528022"</f>
        <v>1551685842528022</v>
      </c>
      <c r="C1507" t="s">
        <v>40</v>
      </c>
      <c r="D1507">
        <v>5.1644860000000001</v>
      </c>
      <c r="E1507">
        <v>0.53045509999999996</v>
      </c>
      <c r="F1507" t="s">
        <v>62</v>
      </c>
      <c r="G1507">
        <v>-192.65289999999999</v>
      </c>
      <c r="H1507" s="1">
        <v>5.6173379999999996E-7</v>
      </c>
      <c r="I1507">
        <v>297.351</v>
      </c>
      <c r="J1507">
        <v>-192.2988</v>
      </c>
      <c r="K1507">
        <v>1.1117509999999999</v>
      </c>
      <c r="L1507">
        <v>337.6977</v>
      </c>
      <c r="M1507">
        <v>-4.7272469999999997E-2</v>
      </c>
      <c r="N1507">
        <v>-1.3543349999999999E-2</v>
      </c>
      <c r="O1507">
        <v>-0.99879010000000001</v>
      </c>
      <c r="P1507">
        <v>7.7839710000000006E-2</v>
      </c>
      <c r="Q1507">
        <v>0.17146900000000001</v>
      </c>
      <c r="R1507">
        <v>-0.98210969999999997</v>
      </c>
      <c r="S1507">
        <v>-2.7404789999999998E-2</v>
      </c>
      <c r="T1507">
        <v>-8.4216949999999999E-2</v>
      </c>
      <c r="U1507">
        <v>-3.071259</v>
      </c>
      <c r="V1507">
        <v>-0.1246239</v>
      </c>
      <c r="W1507">
        <v>0.184393</v>
      </c>
      <c r="X1507">
        <v>0.9749196</v>
      </c>
      <c r="Y1507">
        <v>-3.8352480000000001E-2</v>
      </c>
      <c r="Z1507">
        <v>1.3816169999999999E-2</v>
      </c>
      <c r="AA1507">
        <v>0.99916879999999997</v>
      </c>
      <c r="AB1507">
        <v>20</v>
      </c>
      <c r="AC1507">
        <v>-0.35409999999998798</v>
      </c>
      <c r="AD1507">
        <v>-1.1117504382662</v>
      </c>
      <c r="AE1507">
        <v>-40.346699999999998</v>
      </c>
      <c r="AF1507">
        <v>-1.5525805278440801</v>
      </c>
      <c r="AG1507">
        <v>-1.1117504382662</v>
      </c>
      <c r="AH1507">
        <v>40.287739023554899</v>
      </c>
      <c r="AI1507">
        <v>91.579518645750895</v>
      </c>
      <c r="AJ1507">
        <v>92.206932330435393</v>
      </c>
      <c r="AK1507">
        <v>40.332969280261203</v>
      </c>
      <c r="AL1507">
        <v>79.374255611397601</v>
      </c>
      <c r="AM1507">
        <v>97.284608642785301</v>
      </c>
      <c r="AN1507">
        <v>1.0000000606821799</v>
      </c>
    </row>
    <row r="1508" spans="1:40" x14ac:dyDescent="0.25">
      <c r="A1508" t="str">
        <f>"20190304155042559"</f>
        <v>20190304155042559</v>
      </c>
      <c r="B1508" t="str">
        <f>"1551685842547545"</f>
        <v>1551685842547545</v>
      </c>
      <c r="C1508" t="s">
        <v>40</v>
      </c>
      <c r="D1508">
        <v>5.3577789999999998</v>
      </c>
      <c r="E1508">
        <v>0.52996679999999996</v>
      </c>
      <c r="F1508" t="s">
        <v>62</v>
      </c>
      <c r="G1508">
        <v>-192.65049999999999</v>
      </c>
      <c r="H1508" s="1">
        <v>6.2710179999999996E-7</v>
      </c>
      <c r="I1508">
        <v>297.16669999999999</v>
      </c>
      <c r="J1508">
        <v>-192.30619999999999</v>
      </c>
      <c r="K1508">
        <v>1.1117410000000001</v>
      </c>
      <c r="L1508">
        <v>337.49540000000002</v>
      </c>
      <c r="M1508">
        <v>-4.5482479999999999E-2</v>
      </c>
      <c r="N1508">
        <v>-1.354116E-2</v>
      </c>
      <c r="O1508">
        <v>-0.99887360000000003</v>
      </c>
      <c r="P1508">
        <v>7.9324430000000001E-2</v>
      </c>
      <c r="Q1508">
        <v>0.1716241</v>
      </c>
      <c r="R1508">
        <v>-0.98196430000000001</v>
      </c>
      <c r="S1508">
        <v>-2.66571E-2</v>
      </c>
      <c r="T1508">
        <v>-8.4250329999999998E-2</v>
      </c>
      <c r="U1508">
        <v>-3.0715029999999999</v>
      </c>
      <c r="V1508">
        <v>-0.12434539999999999</v>
      </c>
      <c r="W1508">
        <v>0.18454950000000001</v>
      </c>
      <c r="X1508">
        <v>0.9749255</v>
      </c>
      <c r="Y1508">
        <v>-3.6805989999999997E-2</v>
      </c>
      <c r="Z1508">
        <v>1.3831100000000001E-2</v>
      </c>
      <c r="AA1508">
        <v>0.99922670000000002</v>
      </c>
      <c r="AB1508">
        <v>20</v>
      </c>
      <c r="AC1508">
        <v>-0.34430000000000399</v>
      </c>
      <c r="AD1508">
        <v>-1.1117403728982</v>
      </c>
      <c r="AE1508">
        <v>-40.328699999999998</v>
      </c>
      <c r="AF1508">
        <v>-1.48934167703174</v>
      </c>
      <c r="AG1508">
        <v>-1.1117403728982</v>
      </c>
      <c r="AH1508">
        <v>40.2720166983637</v>
      </c>
      <c r="AI1508">
        <v>91.580213300825804</v>
      </c>
      <c r="AJ1508">
        <v>92.117950098345204</v>
      </c>
      <c r="AK1508">
        <v>40.3148785715766</v>
      </c>
      <c r="AL1508">
        <v>79.365131738838599</v>
      </c>
      <c r="AM1508">
        <v>97.2684603238623</v>
      </c>
      <c r="AN1508">
        <v>1.00000001350083</v>
      </c>
    </row>
    <row r="1509" spans="1:40" x14ac:dyDescent="0.25">
      <c r="A1509" t="str">
        <f>"20190304155042581"</f>
        <v>20190304155042581</v>
      </c>
      <c r="B1509" t="str">
        <f>"1551685842577798"</f>
        <v>1551685842577798</v>
      </c>
      <c r="C1509" t="s">
        <v>40</v>
      </c>
      <c r="D1509">
        <v>5.3268849999999999</v>
      </c>
      <c r="E1509">
        <v>0.52916879999999999</v>
      </c>
      <c r="F1509" t="s">
        <v>62</v>
      </c>
      <c r="G1509">
        <v>-192.548</v>
      </c>
      <c r="H1509" s="1">
        <v>8.3435369999999903E-7</v>
      </c>
      <c r="I1509">
        <v>296.6062</v>
      </c>
      <c r="J1509">
        <v>-192.31319999999999</v>
      </c>
      <c r="K1509">
        <v>1.1117319999999999</v>
      </c>
      <c r="L1509">
        <v>337.29820000000001</v>
      </c>
      <c r="M1509">
        <v>-4.3747189999999998E-2</v>
      </c>
      <c r="N1509">
        <v>-1.3538949999999999E-2</v>
      </c>
      <c r="O1509">
        <v>-0.99895100000000003</v>
      </c>
      <c r="P1509">
        <v>8.151688E-2</v>
      </c>
      <c r="Q1509">
        <v>0.171735</v>
      </c>
      <c r="R1509">
        <v>-0.98176470000000005</v>
      </c>
      <c r="S1509">
        <v>-1.8157960000000001E-2</v>
      </c>
      <c r="T1509">
        <v>-8.350146E-2</v>
      </c>
      <c r="U1509">
        <v>-3.0711360000000001</v>
      </c>
      <c r="V1509">
        <v>-0.1248244</v>
      </c>
      <c r="W1509">
        <v>0.18465909999999999</v>
      </c>
      <c r="X1509">
        <v>0.97484349999999997</v>
      </c>
      <c r="Y1509">
        <v>-3.7833850000000002E-2</v>
      </c>
      <c r="Z1509">
        <v>1.3595380000000001E-2</v>
      </c>
      <c r="AA1509">
        <v>0.99919159999999996</v>
      </c>
      <c r="AB1509">
        <v>20</v>
      </c>
      <c r="AC1509">
        <v>-0.234800000000007</v>
      </c>
      <c r="AD1509">
        <v>-1.1117311656463</v>
      </c>
      <c r="AE1509">
        <v>-40.692</v>
      </c>
      <c r="AF1509">
        <v>-1.54459559332659</v>
      </c>
      <c r="AG1509">
        <v>-1.1117311656463</v>
      </c>
      <c r="AH1509">
        <v>40.632980346923702</v>
      </c>
      <c r="AI1509">
        <v>91.566109062999701</v>
      </c>
      <c r="AJ1509">
        <v>92.176956190785802</v>
      </c>
      <c r="AK1509">
        <v>40.677522215654697</v>
      </c>
      <c r="AL1509">
        <v>79.358741964256097</v>
      </c>
      <c r="AM1509">
        <v>97.296765658619194</v>
      </c>
      <c r="AN1509">
        <v>0.99999998177020899</v>
      </c>
    </row>
    <row r="1510" spans="1:40" x14ac:dyDescent="0.25">
      <c r="A1510" t="str">
        <f>"20190304155042604"</f>
        <v>20190304155042604</v>
      </c>
      <c r="B1510" t="str">
        <f>"1551685842598294"</f>
        <v>1551685842598294</v>
      </c>
      <c r="C1510" t="s">
        <v>40</v>
      </c>
      <c r="D1510">
        <v>5.2708399999999997</v>
      </c>
      <c r="E1510">
        <v>0.52861329999999995</v>
      </c>
      <c r="F1510" t="s">
        <v>62</v>
      </c>
      <c r="G1510">
        <v>-192.3683</v>
      </c>
      <c r="H1510" s="1">
        <v>3.4048089999999997E-8</v>
      </c>
      <c r="I1510">
        <v>299.423</v>
      </c>
      <c r="J1510">
        <v>-192.32</v>
      </c>
      <c r="K1510">
        <v>1.111715</v>
      </c>
      <c r="L1510">
        <v>337.0951</v>
      </c>
      <c r="M1510">
        <v>-4.1971729999999999E-2</v>
      </c>
      <c r="N1510">
        <v>-1.3536589999999999E-2</v>
      </c>
      <c r="O1510">
        <v>-0.99902740000000001</v>
      </c>
      <c r="P1510">
        <v>8.3360180000000006E-2</v>
      </c>
      <c r="Q1510">
        <v>0.1714224</v>
      </c>
      <c r="R1510">
        <v>-0.98166509999999996</v>
      </c>
      <c r="S1510">
        <v>-4.4708250000000003E-3</v>
      </c>
      <c r="T1510">
        <v>-9.0168830000000005E-2</v>
      </c>
      <c r="U1510">
        <v>-3.07193</v>
      </c>
      <c r="V1510">
        <v>-0.12491869999999999</v>
      </c>
      <c r="W1510">
        <v>0.18434800000000001</v>
      </c>
      <c r="X1510">
        <v>0.97489029999999999</v>
      </c>
      <c r="Y1510">
        <v>-4.0509829999999997E-2</v>
      </c>
      <c r="Z1510">
        <v>1.5755999999999999E-2</v>
      </c>
      <c r="AA1510">
        <v>0.99905489999999997</v>
      </c>
      <c r="AB1510">
        <v>20</v>
      </c>
      <c r="AC1510">
        <v>-4.8300000000011702E-2</v>
      </c>
      <c r="AD1510">
        <v>-1.1117149659518999</v>
      </c>
      <c r="AE1510">
        <v>-37.6721</v>
      </c>
      <c r="AF1510">
        <v>-1.5317162767281201</v>
      </c>
      <c r="AG1510">
        <v>-1.1117149659518999</v>
      </c>
      <c r="AH1510">
        <v>37.608173332031498</v>
      </c>
      <c r="AI1510">
        <v>91.691794853875606</v>
      </c>
      <c r="AJ1510">
        <v>92.332269632586701</v>
      </c>
      <c r="AK1510">
        <v>37.6557667069738</v>
      </c>
      <c r="AL1510">
        <v>79.376878045793902</v>
      </c>
      <c r="AM1510">
        <v>97.301871843637898</v>
      </c>
      <c r="AN1510">
        <v>0.99999998187388905</v>
      </c>
    </row>
    <row r="1511" spans="1:40" x14ac:dyDescent="0.25">
      <c r="A1511" t="str">
        <f>"20190304155042626"</f>
        <v>20190304155042626</v>
      </c>
      <c r="B1511" t="str">
        <f>"1551685842617814"</f>
        <v>1551685842617814</v>
      </c>
      <c r="C1511" t="s">
        <v>40</v>
      </c>
      <c r="D1511">
        <v>5.2357110000000002</v>
      </c>
      <c r="E1511">
        <v>0.52797280000000002</v>
      </c>
      <c r="F1511" t="s">
        <v>62</v>
      </c>
      <c r="G1511">
        <v>-192.2355</v>
      </c>
      <c r="H1511" s="1">
        <v>8.2135629999999996E-8</v>
      </c>
      <c r="I1511">
        <v>299.14999999999998</v>
      </c>
      <c r="J1511">
        <v>-192.3263</v>
      </c>
      <c r="K1511">
        <v>1.1117030000000001</v>
      </c>
      <c r="L1511">
        <v>336.89400000000001</v>
      </c>
      <c r="M1511">
        <v>-4.0224459999999997E-2</v>
      </c>
      <c r="N1511">
        <v>-1.353422E-2</v>
      </c>
      <c r="O1511">
        <v>-0.99909910000000002</v>
      </c>
      <c r="P1511">
        <v>8.5491830000000005E-2</v>
      </c>
      <c r="Q1511">
        <v>0.17116229999999999</v>
      </c>
      <c r="R1511">
        <v>-0.98152680000000003</v>
      </c>
      <c r="S1511">
        <v>6.8359379999999997E-3</v>
      </c>
      <c r="T1511">
        <v>-8.9978929999999999E-2</v>
      </c>
      <c r="U1511">
        <v>-3.071167</v>
      </c>
      <c r="V1511">
        <v>-0.12532839999999901</v>
      </c>
      <c r="W1511">
        <v>0.1840878</v>
      </c>
      <c r="X1511">
        <v>0.9748869</v>
      </c>
      <c r="Y1511">
        <v>-4.2439499999999998E-2</v>
      </c>
      <c r="Z1511">
        <v>1.5704920000000001E-2</v>
      </c>
      <c r="AA1511">
        <v>0.99897559999999996</v>
      </c>
      <c r="AB1511">
        <v>20</v>
      </c>
      <c r="AC1511">
        <v>9.0800000000001505E-2</v>
      </c>
      <c r="AD1511">
        <v>-1.11170291786437</v>
      </c>
      <c r="AE1511">
        <v>-37.744</v>
      </c>
      <c r="AF1511">
        <v>-1.60770272744586</v>
      </c>
      <c r="AG1511">
        <v>-1.11170291786437</v>
      </c>
      <c r="AH1511">
        <v>37.677108681087802</v>
      </c>
      <c r="AI1511">
        <v>91.6885465441744</v>
      </c>
      <c r="AJ1511">
        <v>92.443359869197394</v>
      </c>
      <c r="AK1511">
        <v>37.727776372374898</v>
      </c>
      <c r="AL1511">
        <v>79.392046161965396</v>
      </c>
      <c r="AM1511">
        <v>97.3255855890622</v>
      </c>
      <c r="AN1511">
        <v>0.99999999687350405</v>
      </c>
    </row>
    <row r="1512" spans="1:40" x14ac:dyDescent="0.25">
      <c r="A1512" t="str">
        <f>"20190304155042649"</f>
        <v>20190304155042649</v>
      </c>
      <c r="B1512" t="str">
        <f>"1551685842638309"</f>
        <v>1551685842638309</v>
      </c>
      <c r="C1512" t="s">
        <v>40</v>
      </c>
      <c r="D1512">
        <v>5.4045230000000002</v>
      </c>
      <c r="E1512">
        <v>0.52811370000000002</v>
      </c>
      <c r="F1512" t="s">
        <v>62</v>
      </c>
      <c r="G1512">
        <v>-192.0872</v>
      </c>
      <c r="H1512" s="1">
        <v>4.9083590000000002E-7</v>
      </c>
      <c r="I1512">
        <v>297.69349999999997</v>
      </c>
      <c r="J1512">
        <v>-192.3322</v>
      </c>
      <c r="K1512">
        <v>1.111691</v>
      </c>
      <c r="L1512">
        <v>336.69529999999997</v>
      </c>
      <c r="M1512">
        <v>-3.8505959999999999E-2</v>
      </c>
      <c r="N1512">
        <v>-1.353189E-2</v>
      </c>
      <c r="O1512">
        <v>-0.99916669999999996</v>
      </c>
      <c r="P1512">
        <v>8.7519390000000002E-2</v>
      </c>
      <c r="Q1512">
        <v>0.17084269999999999</v>
      </c>
      <c r="R1512">
        <v>-0.98140360000000004</v>
      </c>
      <c r="S1512">
        <v>1.8722530000000001E-2</v>
      </c>
      <c r="T1512">
        <v>-8.7063669999999996E-2</v>
      </c>
      <c r="U1512">
        <v>-3.0700069999999999</v>
      </c>
      <c r="V1512">
        <v>-0.12566430000000001</v>
      </c>
      <c r="W1512">
        <v>0.18376770000000001</v>
      </c>
      <c r="X1512">
        <v>0.97490410000000005</v>
      </c>
      <c r="Y1512">
        <v>-4.458935E-2</v>
      </c>
      <c r="Z1512">
        <v>1.477151E-2</v>
      </c>
      <c r="AA1512">
        <v>0.99889620000000001</v>
      </c>
      <c r="AB1512">
        <v>20</v>
      </c>
      <c r="AC1512">
        <v>0.24500000000000399</v>
      </c>
      <c r="AD1512">
        <v>-1.1116905091641001</v>
      </c>
      <c r="AE1512">
        <v>-39.001800000000003</v>
      </c>
      <c r="AF1512">
        <v>-1.7453396483435999</v>
      </c>
      <c r="AG1512">
        <v>-1.1116905091641001</v>
      </c>
      <c r="AH1512">
        <v>38.931805956353699</v>
      </c>
      <c r="AI1512">
        <v>91.633985649700094</v>
      </c>
      <c r="AJ1512">
        <v>92.566890501561701</v>
      </c>
      <c r="AK1512">
        <v>38.986761615956603</v>
      </c>
      <c r="AL1512">
        <v>79.410705368038407</v>
      </c>
      <c r="AM1512">
        <v>97.344877032220197</v>
      </c>
      <c r="AN1512">
        <v>1.00000004402729</v>
      </c>
    </row>
    <row r="1513" spans="1:40" x14ac:dyDescent="0.25">
      <c r="A1513" t="str">
        <f>"20190304155042670"</f>
        <v>20190304155042670</v>
      </c>
      <c r="B1513" t="str">
        <f>"1551685842667590"</f>
        <v>1551685842667590</v>
      </c>
      <c r="C1513" t="s">
        <v>40</v>
      </c>
      <c r="D1513">
        <v>4.8742080000000003</v>
      </c>
      <c r="E1513">
        <v>0.52837009999999995</v>
      </c>
      <c r="F1513" t="s">
        <v>41</v>
      </c>
      <c r="G1513">
        <v>-192.04239999999999</v>
      </c>
      <c r="H1513" s="1">
        <v>-6.4544339999999999E-7</v>
      </c>
      <c r="I1513">
        <v>299.82690000000002</v>
      </c>
      <c r="J1513">
        <v>-192.33750000000001</v>
      </c>
      <c r="K1513">
        <v>1.111683</v>
      </c>
      <c r="L1513">
        <v>336.50900000000001</v>
      </c>
      <c r="M1513">
        <v>-3.6898350000000003E-2</v>
      </c>
      <c r="N1513">
        <v>-1.352973E-2</v>
      </c>
      <c r="O1513">
        <v>-0.99922739999999999</v>
      </c>
      <c r="P1513">
        <v>8.8828630000000006E-2</v>
      </c>
      <c r="Q1513">
        <v>0.17053450000000001</v>
      </c>
      <c r="R1513">
        <v>-0.98133990000000004</v>
      </c>
      <c r="S1513">
        <v>2.4139399999999998E-2</v>
      </c>
      <c r="T1513">
        <v>-9.2592949999999993E-2</v>
      </c>
      <c r="U1513">
        <v>-3.07077</v>
      </c>
      <c r="V1513">
        <v>-0.12539400000000001</v>
      </c>
      <c r="W1513">
        <v>0.18346170000000001</v>
      </c>
      <c r="X1513">
        <v>0.97499650000000004</v>
      </c>
      <c r="Y1513">
        <v>-4.4741719999999999E-2</v>
      </c>
      <c r="Z1513">
        <v>1.656467E-2</v>
      </c>
      <c r="AA1513">
        <v>0.99886129999999995</v>
      </c>
      <c r="AB1513">
        <v>20</v>
      </c>
      <c r="AC1513">
        <v>0.29510000000001901</v>
      </c>
      <c r="AD1513">
        <v>-1.11168364544339</v>
      </c>
      <c r="AE1513">
        <v>-36.682099999999899</v>
      </c>
      <c r="AF1513">
        <v>-1.64701931064268</v>
      </c>
      <c r="AG1513">
        <v>-1.11168364544339</v>
      </c>
      <c r="AH1513">
        <v>36.612601540070699</v>
      </c>
      <c r="AI1513">
        <v>91.737405258373201</v>
      </c>
      <c r="AJ1513">
        <v>92.575716363722506</v>
      </c>
      <c r="AK1513">
        <v>36.666484760188901</v>
      </c>
      <c r="AL1513">
        <v>79.428540780159807</v>
      </c>
      <c r="AM1513">
        <v>97.328563356513598</v>
      </c>
      <c r="AN1513">
        <v>1.0000000128075699</v>
      </c>
    </row>
    <row r="1514" spans="1:40" x14ac:dyDescent="0.25">
      <c r="A1514" t="str">
        <f>"20190304155042691"</f>
        <v>20190304155042691</v>
      </c>
      <c r="B1514" t="str">
        <f>"1551685842688085"</f>
        <v>1551685842688085</v>
      </c>
      <c r="C1514" t="s">
        <v>40</v>
      </c>
      <c r="D1514">
        <v>5.2102360000000001</v>
      </c>
      <c r="E1514">
        <v>0.52804759999999995</v>
      </c>
      <c r="F1514" t="s">
        <v>62</v>
      </c>
      <c r="G1514">
        <v>-192.0163</v>
      </c>
      <c r="H1514" s="1">
        <v>8.2931340000000006E-8</v>
      </c>
      <c r="I1514">
        <v>299.1454</v>
      </c>
      <c r="J1514">
        <v>-192.3425</v>
      </c>
      <c r="K1514">
        <v>1.11168</v>
      </c>
      <c r="L1514">
        <v>336.32049999999998</v>
      </c>
      <c r="M1514">
        <v>-3.5273810000000003E-2</v>
      </c>
      <c r="N1514">
        <v>-1.3527569999999999E-2</v>
      </c>
      <c r="O1514">
        <v>-0.99928620000000001</v>
      </c>
      <c r="P1514">
        <v>8.984926E-2</v>
      </c>
      <c r="Q1514">
        <v>0.1700779</v>
      </c>
      <c r="R1514">
        <v>-0.98132600000000003</v>
      </c>
      <c r="S1514">
        <v>2.6397710000000001E-2</v>
      </c>
      <c r="T1514">
        <v>-9.1357830000000001E-2</v>
      </c>
      <c r="U1514">
        <v>-3.0705260000000001</v>
      </c>
      <c r="V1514">
        <v>-0.1248204</v>
      </c>
      <c r="W1514">
        <v>0.1830079</v>
      </c>
      <c r="X1514">
        <v>0.97515540000000001</v>
      </c>
      <c r="Y1514">
        <v>-4.3853219999999998E-2</v>
      </c>
      <c r="Z1514">
        <v>1.6171020000000001E-2</v>
      </c>
      <c r="AA1514">
        <v>0.99890710000000005</v>
      </c>
      <c r="AB1514">
        <v>20</v>
      </c>
      <c r="AC1514">
        <v>0.32619999999999999</v>
      </c>
      <c r="AD1514">
        <v>-1.11167991706866</v>
      </c>
      <c r="AE1514">
        <v>-37.175099999999901</v>
      </c>
      <c r="AF1514">
        <v>-1.6359614465989001</v>
      </c>
      <c r="AG1514">
        <v>-1.11167991706866</v>
      </c>
      <c r="AH1514">
        <v>37.107273455705297</v>
      </c>
      <c r="AI1514">
        <v>91.714320676812505</v>
      </c>
      <c r="AJ1514">
        <v>92.524384533014597</v>
      </c>
      <c r="AK1514">
        <v>37.1599508262493</v>
      </c>
      <c r="AL1514">
        <v>79.454989680381502</v>
      </c>
      <c r="AM1514">
        <v>97.294225721455106</v>
      </c>
      <c r="AN1514">
        <v>1.0000000389338599</v>
      </c>
    </row>
    <row r="1515" spans="1:40" x14ac:dyDescent="0.25">
      <c r="A1515" t="str">
        <f>"20190304155042715"</f>
        <v>20190304155042715</v>
      </c>
      <c r="B1515" t="str">
        <f>"1551685842707606"</f>
        <v>1551685842707606</v>
      </c>
      <c r="C1515" t="s">
        <v>40</v>
      </c>
      <c r="D1515">
        <v>6.550135</v>
      </c>
      <c r="E1515">
        <v>0.52802609999999905</v>
      </c>
      <c r="F1515" t="s">
        <v>41</v>
      </c>
      <c r="G1515">
        <v>-191.95599999999999</v>
      </c>
      <c r="H1515" s="1">
        <v>-6.9993499999999997E-7</v>
      </c>
      <c r="I1515">
        <v>300.00749999999999</v>
      </c>
      <c r="J1515">
        <v>-192.34780000000001</v>
      </c>
      <c r="K1515">
        <v>1.1116729999999999</v>
      </c>
      <c r="L1515">
        <v>336.10789999999997</v>
      </c>
      <c r="M1515">
        <v>-3.3438719999999998E-2</v>
      </c>
      <c r="N1515">
        <v>-1.352513E-2</v>
      </c>
      <c r="O1515">
        <v>-0.9993495</v>
      </c>
      <c r="P1515">
        <v>9.0742290000000003E-2</v>
      </c>
      <c r="Q1515">
        <v>0.1699272</v>
      </c>
      <c r="R1515">
        <v>-0.98127019999999998</v>
      </c>
      <c r="S1515">
        <v>3.2684329999999998E-2</v>
      </c>
      <c r="T1515">
        <v>-9.3996880000000005E-2</v>
      </c>
      <c r="U1515">
        <v>-3.0704039999999999</v>
      </c>
      <c r="V1515">
        <v>-0.1239128</v>
      </c>
      <c r="W1515">
        <v>0.18286069999999999</v>
      </c>
      <c r="X1515">
        <v>0.97529869999999996</v>
      </c>
      <c r="Y1515">
        <v>-4.4063579999999998E-2</v>
      </c>
      <c r="Z1515">
        <v>1.703412E-2</v>
      </c>
      <c r="AA1515">
        <v>0.99888350000000004</v>
      </c>
      <c r="AB1515">
        <v>20</v>
      </c>
      <c r="AC1515">
        <v>0.39180000000001702</v>
      </c>
      <c r="AD1515">
        <v>-1.1116736999350001</v>
      </c>
      <c r="AE1515">
        <v>-36.100399999999901</v>
      </c>
      <c r="AF1515">
        <v>-1.5973276310328299</v>
      </c>
      <c r="AG1515">
        <v>-1.1116736999350001</v>
      </c>
      <c r="AH1515">
        <v>36.032940565731401</v>
      </c>
      <c r="AI1515">
        <v>91.765373055295697</v>
      </c>
      <c r="AJ1515">
        <v>92.538240055518003</v>
      </c>
      <c r="AK1515">
        <v>36.085455238773399</v>
      </c>
      <c r="AL1515">
        <v>79.463567818186405</v>
      </c>
      <c r="AM1515">
        <v>97.240699951963293</v>
      </c>
      <c r="AN1515">
        <v>0.99999998591500905</v>
      </c>
    </row>
    <row r="1516" spans="1:40" x14ac:dyDescent="0.25">
      <c r="A1516" t="str">
        <f>"20190304155042737"</f>
        <v>20190304155042737</v>
      </c>
      <c r="B1516" t="str">
        <f>"1551685842728106"</f>
        <v>1551685842728106</v>
      </c>
      <c r="C1516" t="s">
        <v>40</v>
      </c>
      <c r="D1516">
        <v>5.7392310000000002</v>
      </c>
      <c r="E1516">
        <v>0.52860989999999997</v>
      </c>
      <c r="F1516" t="s">
        <v>41</v>
      </c>
      <c r="G1516">
        <v>-191.9239</v>
      </c>
      <c r="H1516" s="1">
        <v>-8.7192629999999997E-7</v>
      </c>
      <c r="I1516">
        <v>300.42840000000001</v>
      </c>
      <c r="J1516">
        <v>-192.35239999999999</v>
      </c>
      <c r="K1516">
        <v>1.1116649999999999</v>
      </c>
      <c r="L1516">
        <v>335.9083</v>
      </c>
      <c r="M1516">
        <v>-3.1714289999999999E-2</v>
      </c>
      <c r="N1516">
        <v>-1.352277E-2</v>
      </c>
      <c r="O1516">
        <v>-0.9994054</v>
      </c>
      <c r="P1516">
        <v>9.1570330000000005E-2</v>
      </c>
      <c r="Q1516">
        <v>0.1705014</v>
      </c>
      <c r="R1516">
        <v>-0.98109360000000001</v>
      </c>
      <c r="S1516">
        <v>3.6483759999999997E-2</v>
      </c>
      <c r="T1516">
        <v>-9.5666169999999995E-2</v>
      </c>
      <c r="U1516">
        <v>-3.0704349999999998</v>
      </c>
      <c r="V1516">
        <v>-0.1230474</v>
      </c>
      <c r="W1516">
        <v>0.18343590000000001</v>
      </c>
      <c r="X1516">
        <v>0.97530030000000001</v>
      </c>
      <c r="Y1516">
        <v>-4.3575410000000002E-2</v>
      </c>
      <c r="Z1516">
        <v>1.758111E-2</v>
      </c>
      <c r="AA1516">
        <v>0.99889539999999999</v>
      </c>
      <c r="AB1516">
        <v>20</v>
      </c>
      <c r="AC1516">
        <v>0.428499999999985</v>
      </c>
      <c r="AD1516">
        <v>-1.1116658719263</v>
      </c>
      <c r="AE1516">
        <v>-35.479899999999901</v>
      </c>
      <c r="AF1516">
        <v>-1.5520837763811199</v>
      </c>
      <c r="AG1516">
        <v>-1.1116658719263</v>
      </c>
      <c r="AH1516">
        <v>35.413697695964501</v>
      </c>
      <c r="AI1516">
        <v>91.796249304813898</v>
      </c>
      <c r="AJ1516">
        <v>92.509508548265202</v>
      </c>
      <c r="AK1516">
        <v>35.465120182523997</v>
      </c>
      <c r="AL1516">
        <v>79.430044753500695</v>
      </c>
      <c r="AM1516">
        <v>97.190650784575496</v>
      </c>
      <c r="AN1516">
        <v>1.0000000336178201</v>
      </c>
    </row>
    <row r="1517" spans="1:40" x14ac:dyDescent="0.25">
      <c r="A1517" t="str">
        <f>"20190304155042760"</f>
        <v>20190304155042760</v>
      </c>
      <c r="B1517" t="str">
        <f>"1551685842747624"</f>
        <v>1551685842747624</v>
      </c>
      <c r="C1517" t="s">
        <v>40</v>
      </c>
      <c r="D1517">
        <v>5.3775120000000003</v>
      </c>
      <c r="E1517">
        <v>0.52847489999999997</v>
      </c>
      <c r="F1517" t="s">
        <v>62</v>
      </c>
      <c r="G1517">
        <v>-191.9417</v>
      </c>
      <c r="H1517" s="1">
        <v>1.361197E-8</v>
      </c>
      <c r="I1517">
        <v>299.53899999999999</v>
      </c>
      <c r="J1517">
        <v>-192.35650000000001</v>
      </c>
      <c r="K1517">
        <v>1.111661</v>
      </c>
      <c r="L1517">
        <v>335.71640000000002</v>
      </c>
      <c r="M1517">
        <v>-3.0054850000000001E-2</v>
      </c>
      <c r="N1517">
        <v>-1.3520539999999999E-2</v>
      </c>
      <c r="O1517">
        <v>-0.99945660000000003</v>
      </c>
      <c r="P1517">
        <v>9.2402020000000001E-2</v>
      </c>
      <c r="Q1517">
        <v>0.1700342</v>
      </c>
      <c r="R1517">
        <v>-0.98109639999999998</v>
      </c>
      <c r="S1517">
        <v>3.4683230000000002E-2</v>
      </c>
      <c r="T1517">
        <v>-9.3865160000000003E-2</v>
      </c>
      <c r="U1517">
        <v>-3.0708920000000002</v>
      </c>
      <c r="V1517">
        <v>-0.1222531</v>
      </c>
      <c r="W1517">
        <v>0.1829713</v>
      </c>
      <c r="X1517">
        <v>0.9754874</v>
      </c>
      <c r="Y1517">
        <v>-4.133009E-2</v>
      </c>
      <c r="Z1517">
        <v>1.6997769999999999E-2</v>
      </c>
      <c r="AA1517">
        <v>0.99900100000000003</v>
      </c>
      <c r="AB1517">
        <v>20</v>
      </c>
      <c r="AC1517">
        <v>0.41480000000001299</v>
      </c>
      <c r="AD1517">
        <v>-1.11166098638803</v>
      </c>
      <c r="AE1517">
        <v>-36.177399999999999</v>
      </c>
      <c r="AF1517">
        <v>-1.5006018256409701</v>
      </c>
      <c r="AG1517">
        <v>-1.11166098638803</v>
      </c>
      <c r="AH1517">
        <v>36.114490711493403</v>
      </c>
      <c r="AI1517">
        <v>91.761578683828105</v>
      </c>
      <c r="AJ1517">
        <v>92.379341927794201</v>
      </c>
      <c r="AK1517">
        <v>36.162743747375103</v>
      </c>
      <c r="AL1517">
        <v>79.457122225510702</v>
      </c>
      <c r="AM1517">
        <v>97.1433584524178</v>
      </c>
      <c r="AN1517">
        <v>0.99999999232102998</v>
      </c>
    </row>
    <row r="1518" spans="1:40" x14ac:dyDescent="0.25">
      <c r="A1518" t="str">
        <f>"20190304155042774"</f>
        <v>20190304155042774</v>
      </c>
      <c r="B1518" t="str">
        <f>"1551685842768118"</f>
        <v>1551685842768118</v>
      </c>
      <c r="C1518" t="s">
        <v>40</v>
      </c>
      <c r="D1518">
        <v>5.3361879999999999</v>
      </c>
      <c r="E1518">
        <v>0.52865200000000001</v>
      </c>
      <c r="F1518" t="s">
        <v>41</v>
      </c>
      <c r="G1518">
        <v>-191.92509999999999</v>
      </c>
      <c r="H1518" s="1">
        <v>-1.0916230000000001E-6</v>
      </c>
      <c r="I1518">
        <v>300.93970000000002</v>
      </c>
      <c r="J1518">
        <v>-192.35929999999999</v>
      </c>
      <c r="K1518">
        <v>1.1116649999999999</v>
      </c>
      <c r="L1518">
        <v>335.5822</v>
      </c>
      <c r="M1518">
        <v>-2.889274E-2</v>
      </c>
      <c r="N1518">
        <v>-1.3519049999999999E-2</v>
      </c>
      <c r="O1518">
        <v>-0.99949120000000002</v>
      </c>
      <c r="P1518">
        <v>9.3157009999999998E-2</v>
      </c>
      <c r="Q1518">
        <v>0.16967309999999999</v>
      </c>
      <c r="R1518">
        <v>-0.9810875</v>
      </c>
      <c r="S1518">
        <v>3.8101200000000002E-2</v>
      </c>
      <c r="T1518">
        <v>-9.817302E-2</v>
      </c>
      <c r="U1518">
        <v>-3.0711979999999999</v>
      </c>
      <c r="V1518">
        <v>-0.1218683</v>
      </c>
      <c r="W1518">
        <v>0.18261169999999999</v>
      </c>
      <c r="X1518">
        <v>0.97560290000000005</v>
      </c>
      <c r="Y1518">
        <v>-4.1278200000000001E-2</v>
      </c>
      <c r="Z1518">
        <v>1.839706E-2</v>
      </c>
      <c r="AA1518">
        <v>0.99897829999999999</v>
      </c>
      <c r="AB1518">
        <v>20</v>
      </c>
      <c r="AC1518">
        <v>0.43420000000000403</v>
      </c>
      <c r="AD1518">
        <v>-1.1116660916229999</v>
      </c>
      <c r="AE1518">
        <v>-34.642499999999899</v>
      </c>
      <c r="AF1518">
        <v>-1.43355085113268</v>
      </c>
      <c r="AG1518">
        <v>-1.1116660916229999</v>
      </c>
      <c r="AH1518">
        <v>34.5798854350626</v>
      </c>
      <c r="AI1518">
        <v>91.839718097550403</v>
      </c>
      <c r="AJ1518">
        <v>92.373906311032201</v>
      </c>
      <c r="AK1518">
        <v>34.627436322143502</v>
      </c>
      <c r="AL1518">
        <v>79.478078602547996</v>
      </c>
      <c r="AM1518">
        <v>97.120271029979705</v>
      </c>
      <c r="AN1518">
        <v>0.99999996700509397</v>
      </c>
    </row>
    <row r="1519" spans="1:40" x14ac:dyDescent="0.25">
      <c r="A1519" t="str">
        <f>"20190304155042793"</f>
        <v>20190304155042793</v>
      </c>
      <c r="B1519" t="str">
        <f>"1551685842787638"</f>
        <v>1551685842787638</v>
      </c>
      <c r="C1519" t="s">
        <v>40</v>
      </c>
      <c r="D1519">
        <v>5.6588609999999999</v>
      </c>
      <c r="E1519">
        <v>0.52933009999999903</v>
      </c>
      <c r="F1519" t="s">
        <v>41</v>
      </c>
      <c r="G1519">
        <v>-191.92580000000001</v>
      </c>
      <c r="H1519" s="1">
        <v>-1.207166E-6</v>
      </c>
      <c r="I1519">
        <v>301.20859999999999</v>
      </c>
      <c r="J1519">
        <v>-192.3623</v>
      </c>
      <c r="K1519">
        <v>1.111658</v>
      </c>
      <c r="L1519">
        <v>335.4178</v>
      </c>
      <c r="M1519">
        <v>-2.7468389999999999E-2</v>
      </c>
      <c r="N1519">
        <v>-1.351728E-2</v>
      </c>
      <c r="O1519">
        <v>-0.99953119999999995</v>
      </c>
      <c r="P1519">
        <v>9.3538049999999998E-2</v>
      </c>
      <c r="Q1519">
        <v>0.16877110000000001</v>
      </c>
      <c r="R1519">
        <v>-0.98120689999999999</v>
      </c>
      <c r="S1519">
        <v>3.872681E-2</v>
      </c>
      <c r="T1519">
        <v>-9.9330539999999995E-2</v>
      </c>
      <c r="U1519">
        <v>-3.0713810000000001</v>
      </c>
      <c r="V1519">
        <v>-0.1208564</v>
      </c>
      <c r="W1519">
        <v>0.18171480000000001</v>
      </c>
      <c r="X1519">
        <v>0.97589619999999999</v>
      </c>
      <c r="Y1519">
        <v>-4.0057250000000003E-2</v>
      </c>
      <c r="Z1519">
        <v>1.8775719999999999E-2</v>
      </c>
      <c r="AA1519">
        <v>0.99902100000000005</v>
      </c>
      <c r="AB1519">
        <v>20</v>
      </c>
      <c r="AC1519">
        <v>0.436499999999995</v>
      </c>
      <c r="AD1519">
        <v>-1.1116592071660001</v>
      </c>
      <c r="AE1519">
        <v>-34.209200000000003</v>
      </c>
      <c r="AF1519">
        <v>-1.3746414795998501</v>
      </c>
      <c r="AG1519">
        <v>-1.1116592071660001</v>
      </c>
      <c r="AH1519">
        <v>34.148244377702497</v>
      </c>
      <c r="AI1519">
        <v>91.863035914434505</v>
      </c>
      <c r="AJ1519">
        <v>92.305203514904406</v>
      </c>
      <c r="AK1519">
        <v>34.1939763623595</v>
      </c>
      <c r="AL1519">
        <v>79.530341625142995</v>
      </c>
      <c r="AM1519">
        <v>97.059648235723998</v>
      </c>
      <c r="AN1519">
        <v>0.99999996556721904</v>
      </c>
    </row>
    <row r="1520" spans="1:40" x14ac:dyDescent="0.25">
      <c r="A1520" t="str">
        <f>"20190304155042816"</f>
        <v>20190304155042816</v>
      </c>
      <c r="B1520" t="str">
        <f>"1551685842808134"</f>
        <v>1551685842808134</v>
      </c>
      <c r="C1520" t="s">
        <v>40</v>
      </c>
      <c r="D1520">
        <v>5.3299269999999996</v>
      </c>
      <c r="E1520">
        <v>0.53052330000000003</v>
      </c>
      <c r="F1520" t="s">
        <v>41</v>
      </c>
      <c r="G1520">
        <v>-191.9881</v>
      </c>
      <c r="H1520" s="1">
        <v>-1.560557E-6</v>
      </c>
      <c r="I1520">
        <v>301.99369999999999</v>
      </c>
      <c r="J1520">
        <v>-192.36580000000001</v>
      </c>
      <c r="K1520">
        <v>1.1116520000000001</v>
      </c>
      <c r="L1520">
        <v>335.21190000000001</v>
      </c>
      <c r="M1520">
        <v>-2.5681840000000001E-2</v>
      </c>
      <c r="N1520">
        <v>-1.351511E-2</v>
      </c>
      <c r="O1520">
        <v>-0.99957890000000005</v>
      </c>
      <c r="P1520">
        <v>9.4093510000000005E-2</v>
      </c>
      <c r="Q1520">
        <v>0.16695389999999999</v>
      </c>
      <c r="R1520">
        <v>-0.98146480000000003</v>
      </c>
      <c r="S1520">
        <v>3.4393310000000003E-2</v>
      </c>
      <c r="T1520">
        <v>-0.1021639</v>
      </c>
      <c r="U1520">
        <v>-3.0717469999999998</v>
      </c>
      <c r="V1520">
        <v>-0.1196641</v>
      </c>
      <c r="W1520">
        <v>0.17990499999999901</v>
      </c>
      <c r="X1520">
        <v>0.97637839999999998</v>
      </c>
      <c r="Y1520">
        <v>-3.686101E-2</v>
      </c>
      <c r="Z1520">
        <v>1.9699439999999999E-2</v>
      </c>
      <c r="AA1520">
        <v>0.99912619999999996</v>
      </c>
      <c r="AB1520">
        <v>20</v>
      </c>
      <c r="AC1520">
        <v>0.37770000000000398</v>
      </c>
      <c r="AD1520">
        <v>-1.1116535605569999</v>
      </c>
      <c r="AE1520">
        <v>-33.218200000000003</v>
      </c>
      <c r="AF1520">
        <v>-1.22938110904252</v>
      </c>
      <c r="AG1520">
        <v>-1.1116535605569999</v>
      </c>
      <c r="AH1520">
        <v>33.160408449165402</v>
      </c>
      <c r="AI1520">
        <v>91.918719901076102</v>
      </c>
      <c r="AJ1520">
        <v>92.123197728447195</v>
      </c>
      <c r="AK1520">
        <v>33.2018047712086</v>
      </c>
      <c r="AL1520">
        <v>79.635774074919198</v>
      </c>
      <c r="AM1520">
        <v>96.987275984517595</v>
      </c>
      <c r="AN1520">
        <v>1.0000000429201801</v>
      </c>
    </row>
    <row r="1521" spans="1:40" x14ac:dyDescent="0.25">
      <c r="A1521" t="str">
        <f>"20190304155042838"</f>
        <v>20190304155042838</v>
      </c>
      <c r="B1521" t="str">
        <f>"1551685842827654"</f>
        <v>1551685842827654</v>
      </c>
      <c r="C1521" t="s">
        <v>40</v>
      </c>
      <c r="D1521">
        <v>5.2882099999999896</v>
      </c>
      <c r="E1521">
        <v>0.53223399999999998</v>
      </c>
      <c r="F1521" t="s">
        <v>41</v>
      </c>
      <c r="G1521">
        <v>-192.0958</v>
      </c>
      <c r="H1521" s="1">
        <v>-2.4393589999999998E-6</v>
      </c>
      <c r="I1521">
        <v>303.97550000000001</v>
      </c>
      <c r="J1521">
        <v>-192.36869999999999</v>
      </c>
      <c r="K1521">
        <v>1.1116429999999999</v>
      </c>
      <c r="L1521">
        <v>335.02260000000001</v>
      </c>
      <c r="M1521">
        <v>-2.403953E-2</v>
      </c>
      <c r="N1521">
        <v>-1.3512919999999999E-2</v>
      </c>
      <c r="O1521">
        <v>-0.99961960000000005</v>
      </c>
      <c r="P1521">
        <v>9.4311919999999994E-2</v>
      </c>
      <c r="Q1521">
        <v>0.16539319999999999</v>
      </c>
      <c r="R1521">
        <v>-0.98170789999999997</v>
      </c>
      <c r="S1521">
        <v>2.656555E-2</v>
      </c>
      <c r="T1521">
        <v>-0.1093524</v>
      </c>
      <c r="U1521">
        <v>-3.0726930000000001</v>
      </c>
      <c r="V1521">
        <v>-0.1182761</v>
      </c>
      <c r="W1521">
        <v>0.17835179999999901</v>
      </c>
      <c r="X1521">
        <v>0.97683229999999999</v>
      </c>
      <c r="Y1521">
        <v>-3.267076E-2</v>
      </c>
      <c r="Z1521">
        <v>2.203134E-2</v>
      </c>
      <c r="AA1521">
        <v>0.99922330000000004</v>
      </c>
      <c r="AB1521">
        <v>20</v>
      </c>
      <c r="AC1521">
        <v>0.27289999999999198</v>
      </c>
      <c r="AD1521">
        <v>-1.1116454393589901</v>
      </c>
      <c r="AE1521">
        <v>-31.0471</v>
      </c>
      <c r="AF1521">
        <v>-1.01794211345556</v>
      </c>
      <c r="AG1521">
        <v>-1.1116454393589901</v>
      </c>
      <c r="AH1521">
        <v>30.991836340785301</v>
      </c>
      <c r="AI1521">
        <v>92.053154008554699</v>
      </c>
      <c r="AJ1521">
        <v>91.881231756270395</v>
      </c>
      <c r="AK1521">
        <v>31.028468887510599</v>
      </c>
      <c r="AL1521">
        <v>79.726228186257302</v>
      </c>
      <c r="AM1521">
        <v>96.903838600821203</v>
      </c>
      <c r="AN1521">
        <v>0.99999997135886898</v>
      </c>
    </row>
    <row r="1522" spans="1:40" x14ac:dyDescent="0.25">
      <c r="A1522" t="str">
        <f>"20190304155042860"</f>
        <v>20190304155042860</v>
      </c>
      <c r="B1522" t="str">
        <f>"1551685842857909"</f>
        <v>1551685842857909</v>
      </c>
      <c r="C1522" t="s">
        <v>40</v>
      </c>
      <c r="D1522">
        <v>5.3398750000000001</v>
      </c>
      <c r="E1522">
        <v>0.53456939999999997</v>
      </c>
      <c r="F1522" t="s">
        <v>41</v>
      </c>
      <c r="G1522">
        <v>-192.23230000000001</v>
      </c>
      <c r="H1522" s="1">
        <v>-2.7215499999999998E-6</v>
      </c>
      <c r="I1522">
        <v>304.54860000000002</v>
      </c>
      <c r="J1522">
        <v>-192.3715</v>
      </c>
      <c r="K1522">
        <v>1.111632</v>
      </c>
      <c r="L1522">
        <v>334.82279999999997</v>
      </c>
      <c r="M1522">
        <v>-2.230422E-2</v>
      </c>
      <c r="N1522">
        <v>-1.351071E-2</v>
      </c>
      <c r="O1522">
        <v>-0.99965979999999999</v>
      </c>
      <c r="P1522">
        <v>9.5068799999999995E-2</v>
      </c>
      <c r="Q1522">
        <v>0.16443070000000001</v>
      </c>
      <c r="R1522">
        <v>-0.98179629999999996</v>
      </c>
      <c r="S1522">
        <v>1.376343E-2</v>
      </c>
      <c r="T1522">
        <v>-0.11211500000000001</v>
      </c>
      <c r="U1522">
        <v>-3.0734560000000002</v>
      </c>
      <c r="V1522">
        <v>-0.11733150000000001</v>
      </c>
      <c r="W1522">
        <v>0.17739360000000001</v>
      </c>
      <c r="X1522">
        <v>0.97712069999999995</v>
      </c>
      <c r="Y1522">
        <v>-2.6772819999999999E-2</v>
      </c>
      <c r="Z1522">
        <v>2.2928190000000001E-2</v>
      </c>
      <c r="AA1522">
        <v>0.99937860000000001</v>
      </c>
      <c r="AB1522">
        <v>20</v>
      </c>
      <c r="AC1522">
        <v>0.139199999999988</v>
      </c>
      <c r="AD1522">
        <v>-1.11163472155</v>
      </c>
      <c r="AE1522">
        <v>-30.274199999999901</v>
      </c>
      <c r="AF1522">
        <v>-0.81337288157605203</v>
      </c>
      <c r="AG1522">
        <v>-1.11163472155</v>
      </c>
      <c r="AH1522">
        <v>30.2228144383432</v>
      </c>
      <c r="AI1522">
        <v>92.105702537898907</v>
      </c>
      <c r="AJ1522">
        <v>91.541603182599999</v>
      </c>
      <c r="AK1522">
        <v>30.254186813946401</v>
      </c>
      <c r="AL1522">
        <v>79.782019132833298</v>
      </c>
      <c r="AM1522">
        <v>96.847225278661199</v>
      </c>
      <c r="AN1522">
        <v>1.00000001629084</v>
      </c>
    </row>
    <row r="1523" spans="1:40" x14ac:dyDescent="0.25">
      <c r="A1523" t="str">
        <f>"20190304155042881"</f>
        <v>20190304155042881</v>
      </c>
      <c r="B1523" t="str">
        <f>"1551685842878407"</f>
        <v>1551685842878407</v>
      </c>
      <c r="C1523" t="s">
        <v>40</v>
      </c>
      <c r="D1523">
        <v>5.231522</v>
      </c>
      <c r="E1523">
        <v>0.53571550000000001</v>
      </c>
      <c r="F1523" t="s">
        <v>41</v>
      </c>
      <c r="G1523">
        <v>-192.39750000000001</v>
      </c>
      <c r="H1523" s="1">
        <v>-2.5870989999999999E-6</v>
      </c>
      <c r="I1523">
        <v>304.1327</v>
      </c>
      <c r="J1523">
        <v>-192.37370000000001</v>
      </c>
      <c r="K1523">
        <v>1.111632</v>
      </c>
      <c r="L1523">
        <v>334.6422</v>
      </c>
      <c r="M1523">
        <v>-2.0736460000000002E-2</v>
      </c>
      <c r="N1523">
        <v>-1.3508640000000001E-2</v>
      </c>
      <c r="O1523">
        <v>-0.99969390000000002</v>
      </c>
      <c r="P1523">
        <v>9.5489149999999995E-2</v>
      </c>
      <c r="Q1523">
        <v>0.16376479999999999</v>
      </c>
      <c r="R1523">
        <v>-0.98186719999999905</v>
      </c>
      <c r="S1523">
        <v>-2.6092530000000002E-3</v>
      </c>
      <c r="T1523">
        <v>-0.1113644</v>
      </c>
      <c r="U1523">
        <v>-3.074554</v>
      </c>
      <c r="V1523">
        <v>-0.1162152</v>
      </c>
      <c r="W1523">
        <v>0.17673229999999901</v>
      </c>
      <c r="X1523">
        <v>0.97737390000000002</v>
      </c>
      <c r="Y1523">
        <v>-1.9883399999999999E-2</v>
      </c>
      <c r="Z1523">
        <v>2.2679339999999999E-2</v>
      </c>
      <c r="AA1523">
        <v>0.99954500000000002</v>
      </c>
      <c r="AB1523">
        <v>20</v>
      </c>
      <c r="AC1523">
        <v>-2.3799999999994201E-2</v>
      </c>
      <c r="AD1523">
        <v>-1.1116345870990001</v>
      </c>
      <c r="AE1523">
        <v>-30.509499999999999</v>
      </c>
      <c r="AF1523">
        <v>-0.60811445059658698</v>
      </c>
      <c r="AG1523">
        <v>-1.1116345870990001</v>
      </c>
      <c r="AH1523">
        <v>30.4629907168475</v>
      </c>
      <c r="AI1523">
        <v>92.089455115914504</v>
      </c>
      <c r="AJ1523">
        <v>91.143609460691195</v>
      </c>
      <c r="AK1523">
        <v>30.489331544902601</v>
      </c>
      <c r="AL1523">
        <v>79.820517048305504</v>
      </c>
      <c r="AM1523">
        <v>96.780949324387294</v>
      </c>
      <c r="AN1523">
        <v>1.0000000094877699</v>
      </c>
    </row>
    <row r="1524" spans="1:40" x14ac:dyDescent="0.25">
      <c r="A1524" t="str">
        <f>"20190304155042905"</f>
        <v>20190304155042905</v>
      </c>
      <c r="B1524" t="str">
        <f>"1551685842897926"</f>
        <v>1551685842897926</v>
      </c>
      <c r="C1524" t="s">
        <v>40</v>
      </c>
      <c r="D1524">
        <v>5.3404420000000004</v>
      </c>
      <c r="E1524">
        <v>0.53684750000000003</v>
      </c>
      <c r="F1524" t="s">
        <v>41</v>
      </c>
      <c r="G1524">
        <v>-192.47800000000001</v>
      </c>
      <c r="H1524" s="1">
        <v>-2.3927200000000001E-6</v>
      </c>
      <c r="I1524">
        <v>303.62970000000001</v>
      </c>
      <c r="J1524">
        <v>-192.3759</v>
      </c>
      <c r="K1524">
        <v>1.111632</v>
      </c>
      <c r="L1524">
        <v>334.43040000000002</v>
      </c>
      <c r="M1524">
        <v>-1.8897609999999999E-2</v>
      </c>
      <c r="N1524">
        <v>-1.350638E-2</v>
      </c>
      <c r="O1524">
        <v>-0.99973009999999995</v>
      </c>
      <c r="P1524">
        <v>9.6459719999999999E-2</v>
      </c>
      <c r="Q1524">
        <v>0.16346179999999999</v>
      </c>
      <c r="R1524">
        <v>-0.98182290000000005</v>
      </c>
      <c r="S1524">
        <v>-1.0345460000000001E-2</v>
      </c>
      <c r="T1524">
        <v>-0.1102141</v>
      </c>
      <c r="U1524">
        <v>-3.0747680000000002</v>
      </c>
      <c r="V1524">
        <v>-0.1153807</v>
      </c>
      <c r="W1524">
        <v>0.17643149999999999</v>
      </c>
      <c r="X1524">
        <v>0.97752709999999998</v>
      </c>
      <c r="Y1524">
        <v>-1.553088E-2</v>
      </c>
      <c r="Z1524">
        <v>2.2309289999999999E-2</v>
      </c>
      <c r="AA1524">
        <v>0.99963049999999998</v>
      </c>
      <c r="AB1524">
        <v>20</v>
      </c>
      <c r="AC1524">
        <v>-0.102099999999978</v>
      </c>
      <c r="AD1524">
        <v>-1.1116343927200001</v>
      </c>
      <c r="AE1524">
        <v>-30.800699999999999</v>
      </c>
      <c r="AF1524">
        <v>-0.479406547570218</v>
      </c>
      <c r="AG1524">
        <v>-1.1116343927200001</v>
      </c>
      <c r="AH1524">
        <v>30.757065410853301</v>
      </c>
      <c r="AI1524">
        <v>92.069655260841898</v>
      </c>
      <c r="AJ1524">
        <v>90.892989865899906</v>
      </c>
      <c r="AK1524">
        <v>30.780880987204402</v>
      </c>
      <c r="AL1524">
        <v>79.838026728166597</v>
      </c>
      <c r="AM1524">
        <v>96.731660843088207</v>
      </c>
      <c r="AN1524">
        <v>1.0000000056795699</v>
      </c>
    </row>
    <row r="1525" spans="1:40" x14ac:dyDescent="0.25">
      <c r="A1525" t="str">
        <f>"20190304155042929"</f>
        <v>20190304155042929</v>
      </c>
      <c r="B1525" t="str">
        <f>"1551685842918421"</f>
        <v>1551685842918421</v>
      </c>
      <c r="C1525" t="s">
        <v>40</v>
      </c>
      <c r="D1525">
        <v>5.3252660000000001</v>
      </c>
      <c r="E1525">
        <v>0.53781009999999996</v>
      </c>
      <c r="F1525" t="s">
        <v>41</v>
      </c>
      <c r="G1525">
        <v>-192.54230000000001</v>
      </c>
      <c r="H1525" s="1">
        <v>-2.2197399999999999E-6</v>
      </c>
      <c r="I1525">
        <v>303.1866</v>
      </c>
      <c r="J1525">
        <v>-192.3775</v>
      </c>
      <c r="K1525">
        <v>1.1116330000000001</v>
      </c>
      <c r="L1525">
        <v>334.233</v>
      </c>
      <c r="M1525">
        <v>-1.7184370000000001E-2</v>
      </c>
      <c r="N1525">
        <v>-1.3504189999999999E-2</v>
      </c>
      <c r="O1525">
        <v>-0.99976100000000001</v>
      </c>
      <c r="P1525">
        <v>9.7318440000000006E-2</v>
      </c>
      <c r="Q1525">
        <v>0.1634418</v>
      </c>
      <c r="R1525">
        <v>-0.98174110000000003</v>
      </c>
      <c r="S1525">
        <v>-1.638794E-2</v>
      </c>
      <c r="T1525">
        <v>-0.10941969999999999</v>
      </c>
      <c r="U1525">
        <v>-3.0753780000000002</v>
      </c>
      <c r="V1525">
        <v>-0.1145574</v>
      </c>
      <c r="W1525">
        <v>0.17641270000000001</v>
      </c>
      <c r="X1525">
        <v>0.97762729999999998</v>
      </c>
      <c r="Y1525">
        <v>-1.185517E-2</v>
      </c>
      <c r="Z1525">
        <v>2.204911E-2</v>
      </c>
      <c r="AA1525">
        <v>0.99968659999999998</v>
      </c>
      <c r="AB1525">
        <v>20</v>
      </c>
      <c r="AC1525">
        <v>-0.16480000000001299</v>
      </c>
      <c r="AD1525">
        <v>-1.1116352197399999</v>
      </c>
      <c r="AE1525">
        <v>-31.046399999999998</v>
      </c>
      <c r="AF1525">
        <v>-0.36831371091562898</v>
      </c>
      <c r="AG1525">
        <v>-1.1116352197399999</v>
      </c>
      <c r="AH1525">
        <v>31.0048985778797</v>
      </c>
      <c r="AI1525">
        <v>92.053231945904002</v>
      </c>
      <c r="AJ1525">
        <v>90.680596601768499</v>
      </c>
      <c r="AK1525">
        <v>31.027006360202101</v>
      </c>
      <c r="AL1525">
        <v>79.839120873846099</v>
      </c>
      <c r="AM1525">
        <v>96.683384304542599</v>
      </c>
      <c r="AN1525">
        <v>0.99999998816066904</v>
      </c>
    </row>
    <row r="1526" spans="1:40" x14ac:dyDescent="0.25">
      <c r="A1526" t="str">
        <f>"20190304155042949"</f>
        <v>20190304155042949</v>
      </c>
      <c r="B1526" t="str">
        <f>"1551685842937945"</f>
        <v>1551685842937945</v>
      </c>
      <c r="C1526" t="s">
        <v>40</v>
      </c>
      <c r="D1526">
        <v>5.3289080000000002</v>
      </c>
      <c r="E1526">
        <v>0.53869699999999998</v>
      </c>
      <c r="F1526" t="s">
        <v>41</v>
      </c>
      <c r="G1526">
        <v>-192.59399999999999</v>
      </c>
      <c r="H1526" s="1">
        <v>-1.77785999999999E-6</v>
      </c>
      <c r="I1526">
        <v>302.12450000000001</v>
      </c>
      <c r="J1526">
        <v>-192.37880000000001</v>
      </c>
      <c r="K1526">
        <v>1.1116269999999999</v>
      </c>
      <c r="L1526">
        <v>334.05040000000002</v>
      </c>
      <c r="M1526">
        <v>-1.5598839999999999E-2</v>
      </c>
      <c r="N1526">
        <v>-1.3502139999999999E-2</v>
      </c>
      <c r="O1526">
        <v>-0.99978699999999998</v>
      </c>
      <c r="P1526">
        <v>9.8271250000000004E-2</v>
      </c>
      <c r="Q1526">
        <v>0.1636821</v>
      </c>
      <c r="R1526">
        <v>-0.98160619999999998</v>
      </c>
      <c r="S1526">
        <v>-2.0736689999999999E-2</v>
      </c>
      <c r="T1526">
        <v>-0.1064783</v>
      </c>
      <c r="U1526">
        <v>-3.0755309999999998</v>
      </c>
      <c r="V1526">
        <v>-0.1139529</v>
      </c>
      <c r="W1526">
        <v>0.17665349999999999</v>
      </c>
      <c r="X1526">
        <v>0.97765449999999998</v>
      </c>
      <c r="Y1526">
        <v>-8.8570319999999904E-3</v>
      </c>
      <c r="Z1526">
        <v>2.1096520000000001E-2</v>
      </c>
      <c r="AA1526">
        <v>0.99973820000000002</v>
      </c>
      <c r="AB1526">
        <v>20</v>
      </c>
      <c r="AC1526">
        <v>-0.21520000000000999</v>
      </c>
      <c r="AD1526">
        <v>-1.11162877786</v>
      </c>
      <c r="AE1526">
        <v>-31.925899999999999</v>
      </c>
      <c r="AF1526">
        <v>-0.28253615463466097</v>
      </c>
      <c r="AG1526">
        <v>-1.11162877786</v>
      </c>
      <c r="AH1526">
        <v>31.886715494990899</v>
      </c>
      <c r="AI1526">
        <v>91.996547955844207</v>
      </c>
      <c r="AJ1526">
        <v>90.507662998283806</v>
      </c>
      <c r="AK1526">
        <v>31.907337248302799</v>
      </c>
      <c r="AL1526">
        <v>79.825104256569603</v>
      </c>
      <c r="AM1526">
        <v>96.648250447987294</v>
      </c>
      <c r="AN1526">
        <v>1.0000000219254499</v>
      </c>
    </row>
    <row r="1527" spans="1:40" x14ac:dyDescent="0.25">
      <c r="A1527" t="str">
        <f>"20190304155042971"</f>
        <v>20190304155042971</v>
      </c>
      <c r="B1527" t="str">
        <f>"1551685842968198"</f>
        <v>1551685842968198</v>
      </c>
      <c r="C1527" t="s">
        <v>40</v>
      </c>
      <c r="D1527">
        <v>5.2984</v>
      </c>
      <c r="E1527">
        <v>0.53996959999999905</v>
      </c>
      <c r="F1527" t="s">
        <v>41</v>
      </c>
      <c r="G1527">
        <v>-192.64359999999999</v>
      </c>
      <c r="H1527" s="1">
        <v>-1.2621209999999999E-6</v>
      </c>
      <c r="I1527">
        <v>300.89150000000001</v>
      </c>
      <c r="J1527">
        <v>-192.37979999999999</v>
      </c>
      <c r="K1527">
        <v>1.1116299999999999</v>
      </c>
      <c r="L1527">
        <v>333.86160000000001</v>
      </c>
      <c r="M1527">
        <v>-1.396003E-2</v>
      </c>
      <c r="N1527">
        <v>-1.350004E-2</v>
      </c>
      <c r="O1527">
        <v>-0.99981149999999996</v>
      </c>
      <c r="P1527">
        <v>9.9363439999999997E-2</v>
      </c>
      <c r="Q1527">
        <v>0.164049</v>
      </c>
      <c r="R1527">
        <v>-0.9814351</v>
      </c>
      <c r="S1527">
        <v>-2.4566649999999999E-2</v>
      </c>
      <c r="T1527">
        <v>-0.10311629999999999</v>
      </c>
      <c r="U1527">
        <v>-3.0758670000000001</v>
      </c>
      <c r="V1527">
        <v>-0.1134362</v>
      </c>
      <c r="W1527">
        <v>0.1770205</v>
      </c>
      <c r="X1527">
        <v>0.97764819999999997</v>
      </c>
      <c r="Y1527">
        <v>-5.9746909999999999E-3</v>
      </c>
      <c r="Z1527">
        <v>2.000499E-2</v>
      </c>
      <c r="AA1527">
        <v>0.99978199999999995</v>
      </c>
      <c r="AB1527">
        <v>20</v>
      </c>
      <c r="AC1527">
        <v>-0.26380000000000298</v>
      </c>
      <c r="AD1527">
        <v>-1.1116312621209901</v>
      </c>
      <c r="AE1527">
        <v>-32.970100000000002</v>
      </c>
      <c r="AF1527">
        <v>-0.196308057491618</v>
      </c>
      <c r="AG1527">
        <v>-1.1116312621209901</v>
      </c>
      <c r="AH1527">
        <v>32.933133879217898</v>
      </c>
      <c r="AI1527">
        <v>91.933204330536199</v>
      </c>
      <c r="AJ1527">
        <v>90.341525043102195</v>
      </c>
      <c r="AK1527">
        <v>32.952474383919203</v>
      </c>
      <c r="AL1527">
        <v>79.803739946697505</v>
      </c>
      <c r="AM1527">
        <v>96.618415401345004</v>
      </c>
      <c r="AN1527">
        <v>1.00000001592696</v>
      </c>
    </row>
    <row r="1528" spans="1:40" x14ac:dyDescent="0.25">
      <c r="A1528" t="str">
        <f>"20190304155042984"</f>
        <v>20190304155042984</v>
      </c>
      <c r="B1528" t="str">
        <f>"1551685842977958"</f>
        <v>1551685842977958</v>
      </c>
      <c r="C1528" t="s">
        <v>40</v>
      </c>
      <c r="D1528">
        <v>5.3107449999999998</v>
      </c>
      <c r="E1528">
        <v>0.54032029999999998</v>
      </c>
      <c r="F1528" t="s">
        <v>62</v>
      </c>
      <c r="G1528">
        <v>-192.72730000000001</v>
      </c>
      <c r="H1528" s="1">
        <v>4.5143729999999997E-8</v>
      </c>
      <c r="I1528">
        <v>299.36</v>
      </c>
      <c r="J1528">
        <v>-192.3802</v>
      </c>
      <c r="K1528">
        <v>1.111629</v>
      </c>
      <c r="L1528">
        <v>333.73660000000001</v>
      </c>
      <c r="M1528">
        <v>-1.287453E-2</v>
      </c>
      <c r="N1528">
        <v>-1.349875E-2</v>
      </c>
      <c r="O1528">
        <v>-0.99982629999999995</v>
      </c>
      <c r="P1528">
        <v>0.1001541</v>
      </c>
      <c r="Q1528">
        <v>0.16434099999999999</v>
      </c>
      <c r="R1528">
        <v>-0.98130609999999996</v>
      </c>
      <c r="S1528">
        <v>-3.09906E-2</v>
      </c>
      <c r="T1528">
        <v>-9.9122050000000003E-2</v>
      </c>
      <c r="U1528">
        <v>-3.0764469999999999</v>
      </c>
      <c r="V1528">
        <v>-0.1131607</v>
      </c>
      <c r="W1528">
        <v>0.17731189999999999</v>
      </c>
      <c r="X1528">
        <v>0.97762729999999998</v>
      </c>
      <c r="Y1528">
        <v>-2.803781E-3</v>
      </c>
      <c r="Z1528">
        <v>1.870426E-2</v>
      </c>
      <c r="AA1528">
        <v>0.99982110000000002</v>
      </c>
      <c r="AB1528">
        <v>20</v>
      </c>
      <c r="AC1528">
        <v>-0.34710000000001101</v>
      </c>
      <c r="AD1528">
        <v>-1.1116289548562699</v>
      </c>
      <c r="AE1528">
        <v>-34.376600000000003</v>
      </c>
      <c r="AF1528">
        <v>-9.5451735859835699E-2</v>
      </c>
      <c r="AG1528">
        <v>-1.1116289548562699</v>
      </c>
      <c r="AH1528">
        <v>34.342312498338302</v>
      </c>
      <c r="AI1528">
        <v>91.853957017577599</v>
      </c>
      <c r="AJ1528">
        <v>90.159248668223498</v>
      </c>
      <c r="AK1528">
        <v>34.360431570349597</v>
      </c>
      <c r="AL1528">
        <v>79.786775389107305</v>
      </c>
      <c r="AM1528">
        <v>96.602623397130301</v>
      </c>
      <c r="AN1528">
        <v>0.99999999580569499</v>
      </c>
    </row>
    <row r="1529" spans="1:40" x14ac:dyDescent="0.25">
      <c r="A1529" t="str">
        <f>"20190304155043006"</f>
        <v>20190304155043006</v>
      </c>
      <c r="B1529" t="str">
        <f>"1551685842997478"</f>
        <v>1551685842997478</v>
      </c>
      <c r="C1529" t="s">
        <v>40</v>
      </c>
      <c r="D1529">
        <v>5.2501509999999998</v>
      </c>
      <c r="E1529">
        <v>0.54134079999999996</v>
      </c>
      <c r="F1529" t="s">
        <v>62</v>
      </c>
      <c r="G1529">
        <v>-192.7381</v>
      </c>
      <c r="H1529" s="1">
        <v>1.8306800000000001E-7</v>
      </c>
      <c r="I1529">
        <v>298.57679999999999</v>
      </c>
      <c r="J1529">
        <v>-192.38069999999999</v>
      </c>
      <c r="K1529">
        <v>1.111632</v>
      </c>
      <c r="L1529">
        <v>333.55739999999997</v>
      </c>
      <c r="M1529">
        <v>-1.13189E-2</v>
      </c>
      <c r="N1529">
        <v>-1.349679E-2</v>
      </c>
      <c r="O1529">
        <v>-0.99984510000000004</v>
      </c>
      <c r="P1529">
        <v>0.10118530000000001</v>
      </c>
      <c r="Q1529">
        <v>0.16425600000000001</v>
      </c>
      <c r="R1529">
        <v>-0.9812147</v>
      </c>
      <c r="S1529">
        <v>-3.1311039999999998E-2</v>
      </c>
      <c r="T1529">
        <v>-9.7272399999999995E-2</v>
      </c>
      <c r="U1529">
        <v>-3.0766300000000002</v>
      </c>
      <c r="V1529">
        <v>-0.1126646</v>
      </c>
      <c r="W1529">
        <v>0.17722750000000001</v>
      </c>
      <c r="X1529">
        <v>0.97769989999999996</v>
      </c>
      <c r="Y1529">
        <v>-1.1447849999999999E-3</v>
      </c>
      <c r="Z1529">
        <v>1.8104749999999999E-2</v>
      </c>
      <c r="AA1529">
        <v>0.99983540000000004</v>
      </c>
      <c r="AB1529">
        <v>20</v>
      </c>
      <c r="AC1529">
        <v>-0.35740000000001199</v>
      </c>
      <c r="AD1529">
        <v>-1.1116318169320001</v>
      </c>
      <c r="AE1529">
        <v>-34.980599999999903</v>
      </c>
      <c r="AF1529">
        <v>-3.8561842280936398E-2</v>
      </c>
      <c r="AG1529">
        <v>-1.1116318169320001</v>
      </c>
      <c r="AH1529">
        <v>34.947115930641701</v>
      </c>
      <c r="AI1529">
        <v>91.821904404180898</v>
      </c>
      <c r="AJ1529">
        <v>90.0632220959412</v>
      </c>
      <c r="AK1529">
        <v>34.964812657610601</v>
      </c>
      <c r="AL1529">
        <v>79.7916889814923</v>
      </c>
      <c r="AM1529">
        <v>96.573447334693995</v>
      </c>
      <c r="AN1529">
        <v>0.99999999665470996</v>
      </c>
    </row>
    <row r="1530" spans="1:40" x14ac:dyDescent="0.25">
      <c r="A1530" t="str">
        <f>"20190304155043095"</f>
        <v>20190304155043095</v>
      </c>
      <c r="B1530" t="str">
        <f>"1551685843088246"</f>
        <v>1551685843088246</v>
      </c>
      <c r="C1530" t="s">
        <v>40</v>
      </c>
      <c r="D1530">
        <v>3.7748740000000001</v>
      </c>
      <c r="E1530">
        <v>0.54317209999999905</v>
      </c>
      <c r="F1530" t="s">
        <v>62</v>
      </c>
      <c r="G1530">
        <v>-192.79239999999999</v>
      </c>
      <c r="H1530" s="1">
        <v>4.1643059999999998E-7</v>
      </c>
      <c r="I1530">
        <v>297.72710000000001</v>
      </c>
      <c r="J1530">
        <v>-192.37950000000001</v>
      </c>
      <c r="K1530">
        <v>1.1115980000000001</v>
      </c>
      <c r="L1530">
        <v>332.79059999999998</v>
      </c>
      <c r="M1530">
        <v>-4.660282E-3</v>
      </c>
      <c r="N1530">
        <v>-1.348821E-2</v>
      </c>
      <c r="O1530">
        <v>-0.99989830000000002</v>
      </c>
      <c r="P1530">
        <v>0.10314329999999999</v>
      </c>
      <c r="Q1530">
        <v>0.162051799999999</v>
      </c>
      <c r="R1530">
        <v>-0.9813769</v>
      </c>
      <c r="S1530">
        <v>-3.5354610000000002E-2</v>
      </c>
      <c r="T1530">
        <v>-9.5466380000000003E-2</v>
      </c>
      <c r="U1530">
        <v>-3.0770870000000001</v>
      </c>
      <c r="V1530">
        <v>-0.1080858</v>
      </c>
      <c r="W1530">
        <v>0.17503969999999999</v>
      </c>
      <c r="X1530">
        <v>0.97861050000000005</v>
      </c>
      <c r="Y1530">
        <v>6.8245429999999998E-3</v>
      </c>
      <c r="Z1530">
        <v>1.7523919999999998E-2</v>
      </c>
      <c r="AA1530">
        <v>0.99982320000000002</v>
      </c>
      <c r="AB1530">
        <v>19</v>
      </c>
      <c r="AC1530">
        <v>-0.41289999999997901</v>
      </c>
      <c r="AD1530">
        <v>-1.1115975835694001</v>
      </c>
      <c r="AE1530">
        <v>-35.063499999999898</v>
      </c>
      <c r="AF1530">
        <v>0.249224425876126</v>
      </c>
      <c r="AG1530">
        <v>-1.1115975835694001</v>
      </c>
      <c r="AH1530">
        <v>35.029841958111803</v>
      </c>
      <c r="AI1530">
        <v>91.8175039087903</v>
      </c>
      <c r="AJ1530">
        <v>89.592368505534097</v>
      </c>
      <c r="AK1530">
        <v>35.048360726466797</v>
      </c>
      <c r="AL1530">
        <v>79.919031322376497</v>
      </c>
      <c r="AM1530">
        <v>96.302672045513404</v>
      </c>
      <c r="AN1530">
        <v>0.99999997372398897</v>
      </c>
    </row>
    <row r="1531" spans="1:40" x14ac:dyDescent="0.25">
      <c r="A1531" t="str">
        <f>"20190304155043117"</f>
        <v>20190304155043117</v>
      </c>
      <c r="B1531" t="str">
        <f>"1551685843107769"</f>
        <v>1551685843107769</v>
      </c>
      <c r="C1531" t="s">
        <v>40</v>
      </c>
      <c r="D1531">
        <v>5.1816589999999998</v>
      </c>
      <c r="E1531">
        <v>0.54339079999999995</v>
      </c>
      <c r="F1531" t="s">
        <v>41</v>
      </c>
      <c r="G1531">
        <v>-192.83709999999999</v>
      </c>
      <c r="H1531" s="1">
        <v>-8.9018930000000001E-7</v>
      </c>
      <c r="I1531">
        <v>299.90449999999998</v>
      </c>
      <c r="J1531">
        <v>-192.3784</v>
      </c>
      <c r="K1531">
        <v>1.111591</v>
      </c>
      <c r="L1531">
        <v>332.59350000000001</v>
      </c>
      <c r="M1531">
        <v>-2.9474670000000001E-3</v>
      </c>
      <c r="N1531">
        <v>-1.348593E-2</v>
      </c>
      <c r="O1531">
        <v>-0.99990480000000004</v>
      </c>
      <c r="P1531">
        <v>0.10348400000000001</v>
      </c>
      <c r="Q1531">
        <v>0.16170100000000001</v>
      </c>
      <c r="R1531">
        <v>-0.98139889999999996</v>
      </c>
      <c r="S1531">
        <v>-4.2831420000000002E-2</v>
      </c>
      <c r="T1531">
        <v>-0.1040629</v>
      </c>
      <c r="U1531">
        <v>-3.0786440000000002</v>
      </c>
      <c r="V1531">
        <v>-0.1067442</v>
      </c>
      <c r="W1531">
        <v>0.17469319999999999</v>
      </c>
      <c r="X1531">
        <v>0.97881969999999996</v>
      </c>
      <c r="Y1531">
        <v>1.095721E-2</v>
      </c>
      <c r="Z1531">
        <v>2.0298360000000001E-2</v>
      </c>
      <c r="AA1531">
        <v>0.99973389999999995</v>
      </c>
      <c r="AB1531">
        <v>19</v>
      </c>
      <c r="AC1531">
        <v>-0.458699999999993</v>
      </c>
      <c r="AD1531">
        <v>-1.1115918901893</v>
      </c>
      <c r="AE1531">
        <v>-32.689</v>
      </c>
      <c r="AF1531">
        <v>0.36192108036475901</v>
      </c>
      <c r="AG1531">
        <v>-1.1115918901893</v>
      </c>
      <c r="AH1531">
        <v>32.652460026575902</v>
      </c>
      <c r="AI1531">
        <v>91.949654925430394</v>
      </c>
      <c r="AJ1531">
        <v>89.364957456037004</v>
      </c>
      <c r="AK1531">
        <v>32.673380131016202</v>
      </c>
      <c r="AL1531">
        <v>79.939195477192897</v>
      </c>
      <c r="AM1531">
        <v>96.223738985927895</v>
      </c>
      <c r="AN1531">
        <v>1.0000000217339799</v>
      </c>
    </row>
    <row r="1532" spans="1:40" x14ac:dyDescent="0.25">
      <c r="A1532" t="str">
        <f>"20190304155043162"</f>
        <v>20190304155043162</v>
      </c>
      <c r="B1532" t="str">
        <f>"1551685843157542"</f>
        <v>1551685843157542</v>
      </c>
      <c r="C1532" t="s">
        <v>40</v>
      </c>
      <c r="D1532">
        <v>5.5797990000000004</v>
      </c>
      <c r="E1532">
        <v>0.62042439999999999</v>
      </c>
      <c r="F1532" t="s">
        <v>41</v>
      </c>
      <c r="G1532">
        <v>-192.81</v>
      </c>
      <c r="H1532" s="1">
        <v>-1.72805999999999E-6</v>
      </c>
      <c r="I1532">
        <v>301.87439999999998</v>
      </c>
      <c r="J1532">
        <v>-192.37530000000001</v>
      </c>
      <c r="K1532">
        <v>1.1115889999999999</v>
      </c>
      <c r="L1532">
        <v>332.21230000000003</v>
      </c>
      <c r="M1532">
        <v>3.6521980000000002E-4</v>
      </c>
      <c r="N1532">
        <v>-1.3481760000000001E-2</v>
      </c>
      <c r="O1532">
        <v>-0.99990919999999905</v>
      </c>
      <c r="P1532">
        <v>0.1035686</v>
      </c>
      <c r="Q1532">
        <v>0.16055929999999999</v>
      </c>
      <c r="R1532">
        <v>-0.9815777</v>
      </c>
      <c r="S1532">
        <v>-4.3273930000000002E-2</v>
      </c>
      <c r="T1532">
        <v>-0.111445</v>
      </c>
      <c r="U1532">
        <v>-3.0798030000000001</v>
      </c>
      <c r="V1532">
        <v>-0.1035732</v>
      </c>
      <c r="W1532">
        <v>0.17356199999999999</v>
      </c>
      <c r="X1532">
        <v>0.97936140000000005</v>
      </c>
      <c r="Y1532">
        <v>1.4406270000000001E-2</v>
      </c>
      <c r="Z1532">
        <v>2.2682150000000002E-2</v>
      </c>
      <c r="AA1532">
        <v>0.9996389</v>
      </c>
      <c r="AB1532">
        <v>19</v>
      </c>
      <c r="AC1532">
        <v>-0.43469999999999198</v>
      </c>
      <c r="AD1532">
        <v>-1.1115907280599999</v>
      </c>
      <c r="AE1532">
        <v>-30.337900000000001</v>
      </c>
      <c r="AF1532">
        <v>0.44518343590748999</v>
      </c>
      <c r="AG1532">
        <v>-1.1115907280599999</v>
      </c>
      <c r="AH1532">
        <v>30.2970733070247</v>
      </c>
      <c r="AI1532">
        <v>92.100996230965507</v>
      </c>
      <c r="AJ1532">
        <v>89.158159727137502</v>
      </c>
      <c r="AK1532">
        <v>30.320726792238101</v>
      </c>
      <c r="AL1532">
        <v>80.005013382142195</v>
      </c>
      <c r="AM1532">
        <v>96.036924496004303</v>
      </c>
      <c r="AN1532">
        <v>0.999999963706099</v>
      </c>
    </row>
    <row r="1533" spans="1:40" x14ac:dyDescent="0.25">
      <c r="A1533" t="str">
        <f>"20190304155043183"</f>
        <v>20190304155043183</v>
      </c>
      <c r="B1533" t="str">
        <f>"1551685843178038"</f>
        <v>1551685843178038</v>
      </c>
      <c r="C1533" t="s">
        <v>40</v>
      </c>
      <c r="D1533">
        <v>5.1054440000000003</v>
      </c>
      <c r="E1533">
        <v>0.60613989999999995</v>
      </c>
      <c r="F1533" t="s">
        <v>63</v>
      </c>
      <c r="G1533">
        <v>-236.95179999999999</v>
      </c>
      <c r="H1533">
        <v>8.1825050000000008</v>
      </c>
      <c r="I1533">
        <v>119.3841</v>
      </c>
      <c r="J1533">
        <v>-192.3733</v>
      </c>
      <c r="K1533">
        <v>1.1115969999999999</v>
      </c>
      <c r="L1533">
        <v>332.0258</v>
      </c>
      <c r="M1533">
        <v>1.9854920000000002E-3</v>
      </c>
      <c r="N1533">
        <v>-1.3479700000000001E-2</v>
      </c>
      <c r="O1533">
        <v>-0.99990730000000005</v>
      </c>
      <c r="P1533">
        <v>0.1031338</v>
      </c>
      <c r="Q1533">
        <v>0.16156509999999999</v>
      </c>
      <c r="R1533">
        <v>-0.98145819999999995</v>
      </c>
      <c r="S1533">
        <v>-0.6509857</v>
      </c>
      <c r="T1533">
        <v>0.1032621</v>
      </c>
      <c r="U1533">
        <v>-3.1080930000000002</v>
      </c>
      <c r="V1533">
        <v>-0.10154879999999999</v>
      </c>
      <c r="W1533">
        <v>0.17457110000000001</v>
      </c>
      <c r="X1533">
        <v>0.97939410000000005</v>
      </c>
      <c r="Y1533">
        <v>0.20675299999999999</v>
      </c>
      <c r="Z1533">
        <v>-4.5966390000000003E-2</v>
      </c>
      <c r="AA1533">
        <v>0.97731279999999998</v>
      </c>
      <c r="AB1533">
        <v>19</v>
      </c>
      <c r="AC1533">
        <v>-44.578499999999899</v>
      </c>
      <c r="AD1533">
        <v>7.0709080000000002</v>
      </c>
      <c r="AE1533">
        <v>-212.64169999999999</v>
      </c>
      <c r="AF1533">
        <v>44.9530349989708</v>
      </c>
      <c r="AG1533">
        <v>7.0709080000000002</v>
      </c>
      <c r="AH1533">
        <v>212.327866877926</v>
      </c>
      <c r="AI1533">
        <v>88.133982100376798</v>
      </c>
      <c r="AJ1533">
        <v>78.046130987296493</v>
      </c>
      <c r="AK1533">
        <v>217.149478812392</v>
      </c>
      <c r="AL1533">
        <v>79.946300404751099</v>
      </c>
      <c r="AM1533">
        <v>95.919579151006204</v>
      </c>
      <c r="AN1533">
        <v>1.00000001542572</v>
      </c>
    </row>
    <row r="1534" spans="1:40" x14ac:dyDescent="0.25">
      <c r="A1534" t="str">
        <f>"20190304155043207"</f>
        <v>20190304155043207</v>
      </c>
      <c r="B1534" t="str">
        <f>"1551685843197558"</f>
        <v>1551685843197558</v>
      </c>
      <c r="C1534" t="s">
        <v>40</v>
      </c>
      <c r="D1534">
        <v>5.0407080000000004</v>
      </c>
      <c r="E1534">
        <v>0.59799150000000001</v>
      </c>
      <c r="F1534" t="s">
        <v>63</v>
      </c>
      <c r="G1534">
        <v>-229.35050000000001</v>
      </c>
      <c r="H1534">
        <v>4.9518979999999999</v>
      </c>
      <c r="I1534">
        <v>119.3841</v>
      </c>
      <c r="J1534">
        <v>-192.3707</v>
      </c>
      <c r="K1534">
        <v>1.1116010000000001</v>
      </c>
      <c r="L1534">
        <v>331.8184</v>
      </c>
      <c r="M1534">
        <v>3.7847279999999998E-3</v>
      </c>
      <c r="N1534">
        <v>-1.3477370000000001E-2</v>
      </c>
      <c r="O1534">
        <v>-0.99990219999999996</v>
      </c>
      <c r="P1534">
        <v>0.1032952</v>
      </c>
      <c r="Q1534">
        <v>0.16262360000000001</v>
      </c>
      <c r="R1534">
        <v>-0.98126650000000004</v>
      </c>
      <c r="S1534">
        <v>-0.53979489999999997</v>
      </c>
      <c r="T1534">
        <v>5.6061029999999998E-2</v>
      </c>
      <c r="U1534">
        <v>-3.1041560000000001</v>
      </c>
      <c r="V1534">
        <v>-9.9944930000000001E-2</v>
      </c>
      <c r="W1534">
        <v>0.1756317</v>
      </c>
      <c r="X1534">
        <v>0.9793695</v>
      </c>
      <c r="Y1534">
        <v>0.1749724</v>
      </c>
      <c r="Z1534">
        <v>-3.1262110000000003E-2</v>
      </c>
      <c r="AA1534">
        <v>0.98407690000000003</v>
      </c>
      <c r="AB1534">
        <v>19</v>
      </c>
      <c r="AC1534">
        <v>-36.979799999999997</v>
      </c>
      <c r="AD1534">
        <v>3.8402970000000001</v>
      </c>
      <c r="AE1534">
        <v>-212.43430000000001</v>
      </c>
      <c r="AF1534">
        <v>37.7716333456736</v>
      </c>
      <c r="AG1534">
        <v>3.8402970000000001</v>
      </c>
      <c r="AH1534">
        <v>212.22549188166499</v>
      </c>
      <c r="AI1534">
        <v>88.979360907107505</v>
      </c>
      <c r="AJ1534">
        <v>79.908238855138094</v>
      </c>
      <c r="AK1534">
        <v>215.594767030795</v>
      </c>
      <c r="AL1534">
        <v>79.884579283424998</v>
      </c>
      <c r="AM1534">
        <v>95.826878571570106</v>
      </c>
      <c r="AN1534">
        <v>1.0000000503039199</v>
      </c>
    </row>
    <row r="1535" spans="1:40" x14ac:dyDescent="0.25">
      <c r="A1535" t="str">
        <f>"20190304155043230"</f>
        <v>20190304155043230</v>
      </c>
      <c r="B1535" t="str">
        <f>"1551685843218054"</f>
        <v>1551685843218054</v>
      </c>
      <c r="C1535" t="s">
        <v>40</v>
      </c>
      <c r="D1535">
        <v>4.6683629999999896</v>
      </c>
      <c r="E1535">
        <v>0.59397440000000001</v>
      </c>
      <c r="F1535" t="s">
        <v>63</v>
      </c>
      <c r="G1535">
        <v>-226.18520000000001</v>
      </c>
      <c r="H1535">
        <v>3.359451</v>
      </c>
      <c r="I1535">
        <v>110.9297</v>
      </c>
      <c r="J1535">
        <v>-192.36799999999999</v>
      </c>
      <c r="K1535">
        <v>1.1115950000000001</v>
      </c>
      <c r="L1535">
        <v>331.62360000000001</v>
      </c>
      <c r="M1535">
        <v>5.4612810000000001E-3</v>
      </c>
      <c r="N1535">
        <v>-1.347493E-2</v>
      </c>
      <c r="O1535">
        <v>-0.99989450000000002</v>
      </c>
      <c r="P1535">
        <v>0.1025793</v>
      </c>
      <c r="Q1535">
        <v>0.163711299999999</v>
      </c>
      <c r="R1535">
        <v>-0.9811607</v>
      </c>
      <c r="S1535">
        <v>-0.47486879999999998</v>
      </c>
      <c r="T1535">
        <v>3.1567449999999997E-2</v>
      </c>
      <c r="U1535">
        <v>-3.10202</v>
      </c>
      <c r="V1535">
        <v>-9.7581860000000006E-2</v>
      </c>
      <c r="W1535">
        <v>0.17672479999999999</v>
      </c>
      <c r="X1535">
        <v>0.97941109999999998</v>
      </c>
      <c r="Y1535">
        <v>0.15667200000000001</v>
      </c>
      <c r="Z1535">
        <v>-2.3533180000000001E-2</v>
      </c>
      <c r="AA1535">
        <v>0.98737030000000003</v>
      </c>
      <c r="AB1535">
        <v>19</v>
      </c>
      <c r="AC1535">
        <v>-33.8172</v>
      </c>
      <c r="AD1535">
        <v>2.2478560000000001</v>
      </c>
      <c r="AE1535">
        <v>-220.69390000000001</v>
      </c>
      <c r="AF1535">
        <v>35.018526625954699</v>
      </c>
      <c r="AG1535">
        <v>2.2478560000000001</v>
      </c>
      <c r="AH1535">
        <v>220.483557502834</v>
      </c>
      <c r="AI1535">
        <v>89.423113346136404</v>
      </c>
      <c r="AJ1535">
        <v>80.975320004114494</v>
      </c>
      <c r="AK1535">
        <v>223.25848067375799</v>
      </c>
      <c r="AL1535">
        <v>79.820953423547294</v>
      </c>
      <c r="AM1535">
        <v>95.689784254554695</v>
      </c>
      <c r="AN1535">
        <v>0.999999988569654</v>
      </c>
    </row>
    <row r="1536" spans="1:40" x14ac:dyDescent="0.25">
      <c r="A1536" t="str">
        <f>"20190304155043261"</f>
        <v>20190304155043261</v>
      </c>
      <c r="B1536" t="str">
        <f>"1551685843258070"</f>
        <v>1551685843258070</v>
      </c>
      <c r="C1536" t="s">
        <v>40</v>
      </c>
      <c r="D1536">
        <v>5.253406</v>
      </c>
      <c r="E1536">
        <v>0.5575426</v>
      </c>
      <c r="F1536" t="s">
        <v>59</v>
      </c>
      <c r="G1536">
        <v>-226.0616</v>
      </c>
      <c r="H1536">
        <v>3.128145</v>
      </c>
      <c r="I1536">
        <v>97.150019999999998</v>
      </c>
      <c r="J1536">
        <v>-192.36359999999999</v>
      </c>
      <c r="K1536">
        <v>1.111572</v>
      </c>
      <c r="L1536">
        <v>331.35250000000002</v>
      </c>
      <c r="M1536">
        <v>7.758549E-3</v>
      </c>
      <c r="N1536">
        <v>-1.347157E-2</v>
      </c>
      <c r="O1536">
        <v>-0.99987910000000002</v>
      </c>
      <c r="P1536">
        <v>0.1025855</v>
      </c>
      <c r="Q1536">
        <v>0.16443239999999901</v>
      </c>
      <c r="R1536">
        <v>-0.98103949999999995</v>
      </c>
      <c r="S1536">
        <v>-0.44541930000000002</v>
      </c>
      <c r="T1536">
        <v>2.6658540000000001E-2</v>
      </c>
      <c r="U1536">
        <v>-3.0996700000000001</v>
      </c>
      <c r="V1536">
        <v>-9.5324850000000003E-2</v>
      </c>
      <c r="W1536">
        <v>0.1774541</v>
      </c>
      <c r="X1536">
        <v>0.97950150000000002</v>
      </c>
      <c r="Y1536">
        <v>0.1498746</v>
      </c>
      <c r="Z1536">
        <v>-2.198524E-2</v>
      </c>
      <c r="AA1536">
        <v>0.98846049999999996</v>
      </c>
      <c r="AB1536">
        <v>19</v>
      </c>
      <c r="AC1536">
        <v>-33.698</v>
      </c>
      <c r="AD1536">
        <v>2.0165730000000002</v>
      </c>
      <c r="AE1536">
        <v>-234.20248000000001</v>
      </c>
      <c r="AF1536">
        <v>35.511642607663198</v>
      </c>
      <c r="AG1536">
        <v>2.0165730000000002</v>
      </c>
      <c r="AH1536">
        <v>233.916967820135</v>
      </c>
      <c r="AI1536">
        <v>89.511666515742803</v>
      </c>
      <c r="AJ1536">
        <v>81.367668638425698</v>
      </c>
      <c r="AK1536">
        <v>236.60577161499</v>
      </c>
      <c r="AL1536">
        <v>79.778496548581401</v>
      </c>
      <c r="AM1536">
        <v>95.558507103085105</v>
      </c>
      <c r="AN1536">
        <v>0.99999998656829103</v>
      </c>
    </row>
    <row r="1537" spans="1:40" x14ac:dyDescent="0.25">
      <c r="A1537" t="str">
        <f>"20190304155043285"</f>
        <v>20190304155043285</v>
      </c>
      <c r="B1537" t="str">
        <f>"1551685843277592"</f>
        <v>1551685843277592</v>
      </c>
      <c r="C1537" t="s">
        <v>40</v>
      </c>
      <c r="D1537">
        <v>5.2913819999999996</v>
      </c>
      <c r="E1537">
        <v>0.56181499999999995</v>
      </c>
      <c r="F1537" t="s">
        <v>62</v>
      </c>
      <c r="G1537">
        <v>-194.39429999999999</v>
      </c>
      <c r="H1537" s="1">
        <v>2.045156E-6</v>
      </c>
      <c r="I1537">
        <v>291.6046</v>
      </c>
      <c r="J1537">
        <v>-192.36009999999999</v>
      </c>
      <c r="K1537">
        <v>1.111548</v>
      </c>
      <c r="L1537">
        <v>331.15339999999998</v>
      </c>
      <c r="M1537">
        <v>9.4169049999999997E-3</v>
      </c>
      <c r="N1537">
        <v>-1.346895E-2</v>
      </c>
      <c r="O1537">
        <v>-0.99986520000000001</v>
      </c>
      <c r="P1537">
        <v>0.10275239999999999</v>
      </c>
      <c r="Q1537">
        <v>0.16471959999999999</v>
      </c>
      <c r="R1537">
        <v>-0.98097409999999996</v>
      </c>
      <c r="S1537">
        <v>-0.15780640000000001</v>
      </c>
      <c r="T1537">
        <v>-8.6383459999999995E-2</v>
      </c>
      <c r="U1537">
        <v>-3.0889280000000001</v>
      </c>
      <c r="V1537">
        <v>-9.3854530000000005E-2</v>
      </c>
      <c r="W1537">
        <v>0.1777474</v>
      </c>
      <c r="X1537">
        <v>0.97959030000000002</v>
      </c>
      <c r="Y1537">
        <v>6.0402289999999997E-2</v>
      </c>
      <c r="Z1537">
        <v>1.4439560000000001E-2</v>
      </c>
      <c r="AA1537">
        <v>0.9980696</v>
      </c>
      <c r="AB1537">
        <v>19</v>
      </c>
      <c r="AC1537">
        <v>-2.03419999999999</v>
      </c>
      <c r="AD1537">
        <v>-1.1115459548440001</v>
      </c>
      <c r="AE1537">
        <v>-39.5487999999999</v>
      </c>
      <c r="AF1537">
        <v>2.4046762588059001</v>
      </c>
      <c r="AG1537">
        <v>-1.1115459548440001</v>
      </c>
      <c r="AH1537">
        <v>39.496771153033599</v>
      </c>
      <c r="AI1537">
        <v>91.609054861686502</v>
      </c>
      <c r="AJ1537">
        <v>86.515969796105097</v>
      </c>
      <c r="AK1537">
        <v>39.585514191866999</v>
      </c>
      <c r="AL1537">
        <v>79.761420194976907</v>
      </c>
      <c r="AM1537">
        <v>95.472802497969397</v>
      </c>
      <c r="AN1537">
        <v>0.99999998343118501</v>
      </c>
    </row>
    <row r="1538" spans="1:40" x14ac:dyDescent="0.25">
      <c r="A1538" t="str">
        <f>"20190304155043309"</f>
        <v>20190304155043309</v>
      </c>
      <c r="B1538" t="str">
        <f>"1551685843298087"</f>
        <v>1551685843298087</v>
      </c>
      <c r="C1538" t="s">
        <v>40</v>
      </c>
      <c r="D1538">
        <v>5.2547430000000004</v>
      </c>
      <c r="E1538">
        <v>0.56534949999999995</v>
      </c>
      <c r="F1538" t="s">
        <v>62</v>
      </c>
      <c r="G1538">
        <v>-195.8143</v>
      </c>
      <c r="H1538" s="1">
        <v>4.7103670000000004E-6</v>
      </c>
      <c r="I1538">
        <v>275.09089999999998</v>
      </c>
      <c r="J1538">
        <v>-192.3562</v>
      </c>
      <c r="K1538">
        <v>1.111515</v>
      </c>
      <c r="L1538">
        <v>330.95260000000002</v>
      </c>
      <c r="M1538">
        <v>1.1043829999999999E-2</v>
      </c>
      <c r="N1538">
        <v>-1.346613E-2</v>
      </c>
      <c r="O1538">
        <v>-0.99984830000000002</v>
      </c>
      <c r="P1538">
        <v>0.1033924</v>
      </c>
      <c r="Q1538">
        <v>0.1646841</v>
      </c>
      <c r="R1538">
        <v>-0.98091240000000002</v>
      </c>
      <c r="S1538">
        <v>-0.1902924</v>
      </c>
      <c r="T1538">
        <v>-6.1234709999999998E-2</v>
      </c>
      <c r="U1538">
        <v>-3.08847</v>
      </c>
      <c r="V1538">
        <v>-9.2885259999999997E-2</v>
      </c>
      <c r="W1538">
        <v>0.1777193</v>
      </c>
      <c r="X1538">
        <v>0.9796878</v>
      </c>
      <c r="Y1538">
        <v>7.2499889999999997E-2</v>
      </c>
      <c r="Z1538">
        <v>6.3064799999999997E-3</v>
      </c>
      <c r="AA1538">
        <v>0.99734849999999997</v>
      </c>
      <c r="AB1538">
        <v>19</v>
      </c>
      <c r="AC1538">
        <v>-3.4581</v>
      </c>
      <c r="AD1538">
        <v>-1.111510289633</v>
      </c>
      <c r="AE1538">
        <v>-55.861699999999999</v>
      </c>
      <c r="AF1538">
        <v>4.0732656558284397</v>
      </c>
      <c r="AG1538">
        <v>-1.111510289633</v>
      </c>
      <c r="AH1538">
        <v>55.798091725197096</v>
      </c>
      <c r="AI1538">
        <v>91.138165808108099</v>
      </c>
      <c r="AJ1538">
        <v>85.8248090413434</v>
      </c>
      <c r="AK1538">
        <v>55.957608851704997</v>
      </c>
      <c r="AL1538">
        <v>79.763056460150494</v>
      </c>
      <c r="AM1538">
        <v>95.416084898786295</v>
      </c>
      <c r="AN1538">
        <v>1.0000000032932901</v>
      </c>
    </row>
    <row r="1539" spans="1:40" x14ac:dyDescent="0.25">
      <c r="A1539" t="str">
        <f>"20190304155043330"</f>
        <v>20190304155043330</v>
      </c>
      <c r="B1539" t="str">
        <f>"1551685843327615"</f>
        <v>1551685843327615</v>
      </c>
      <c r="C1539" t="s">
        <v>40</v>
      </c>
      <c r="D1539">
        <v>5.2583960000000003</v>
      </c>
      <c r="E1539">
        <v>0.56786599999999998</v>
      </c>
      <c r="F1539" t="s">
        <v>41</v>
      </c>
      <c r="G1539">
        <v>-198.23560000000001</v>
      </c>
      <c r="H1539" s="1">
        <v>-5.2048700000000004E-6</v>
      </c>
      <c r="I1539">
        <v>247.03569999999999</v>
      </c>
      <c r="J1539">
        <v>-192.35249999999999</v>
      </c>
      <c r="K1539">
        <v>1.1114850000000001</v>
      </c>
      <c r="L1539">
        <v>330.76949999999999</v>
      </c>
      <c r="M1539">
        <v>1.2474020000000001E-2</v>
      </c>
      <c r="N1539">
        <v>-1.346324E-2</v>
      </c>
      <c r="O1539">
        <v>-0.99983169999999999</v>
      </c>
      <c r="P1539">
        <v>0.1040765</v>
      </c>
      <c r="Q1539">
        <v>0.16465879999999999</v>
      </c>
      <c r="R1539">
        <v>-0.98084459999999996</v>
      </c>
      <c r="S1539">
        <v>-0.2163544</v>
      </c>
      <c r="T1539">
        <v>-4.0902609999999999E-2</v>
      </c>
      <c r="U1539">
        <v>-3.0880429999999999</v>
      </c>
      <c r="V1539">
        <v>-9.2150700000000002E-2</v>
      </c>
      <c r="W1539">
        <v>0.177701</v>
      </c>
      <c r="X1539">
        <v>0.97976050000000003</v>
      </c>
      <c r="Y1539">
        <v>8.2315089999999994E-2</v>
      </c>
      <c r="Z1539">
        <v>-2.650153E-4</v>
      </c>
      <c r="AA1539">
        <v>0.99660629999999994</v>
      </c>
      <c r="AB1539">
        <v>19</v>
      </c>
      <c r="AC1539">
        <v>-5.8831000000000104</v>
      </c>
      <c r="AD1539">
        <v>-1.1114902048699999</v>
      </c>
      <c r="AE1539">
        <v>-83.733800000000002</v>
      </c>
      <c r="AF1539">
        <v>6.9260194304377398</v>
      </c>
      <c r="AG1539">
        <v>-1.1114902048699999</v>
      </c>
      <c r="AH1539">
        <v>83.639226512636199</v>
      </c>
      <c r="AI1539">
        <v>90.758767870825295</v>
      </c>
      <c r="AJ1539">
        <v>85.266236193079195</v>
      </c>
      <c r="AK1539">
        <v>83.932862260609099</v>
      </c>
      <c r="AL1539">
        <v>79.764122075382204</v>
      </c>
      <c r="AM1539">
        <v>95.373108452021697</v>
      </c>
      <c r="AN1539">
        <v>1.0000000171358601</v>
      </c>
    </row>
    <row r="1540" spans="1:40" x14ac:dyDescent="0.25">
      <c r="A1540" t="str">
        <f>"20190304155043353"</f>
        <v>20190304155043353</v>
      </c>
      <c r="B1540" t="str">
        <f>"1551685843348111"</f>
        <v>1551685843348111</v>
      </c>
      <c r="C1540" t="s">
        <v>40</v>
      </c>
      <c r="D1540">
        <v>5.2560789999999997</v>
      </c>
      <c r="E1540">
        <v>0.5689343</v>
      </c>
      <c r="F1540" t="s">
        <v>62</v>
      </c>
      <c r="G1540">
        <v>-200.46860000000001</v>
      </c>
      <c r="H1540">
        <v>8.0000070000000006E-2</v>
      </c>
      <c r="I1540">
        <v>223.66249999999999</v>
      </c>
      <c r="J1540">
        <v>-192.34829999999999</v>
      </c>
      <c r="K1540">
        <v>1.1114459999999999</v>
      </c>
      <c r="L1540">
        <v>330.57850000000002</v>
      </c>
      <c r="M1540">
        <v>1.391512E-2</v>
      </c>
      <c r="N1540">
        <v>-1.346026E-2</v>
      </c>
      <c r="O1540">
        <v>-0.99981299999999995</v>
      </c>
      <c r="P1540">
        <v>0.1045978</v>
      </c>
      <c r="Q1540">
        <v>0.16482629999999901</v>
      </c>
      <c r="R1540">
        <v>-0.98076110000000005</v>
      </c>
      <c r="S1540">
        <v>-0.23402400000000001</v>
      </c>
      <c r="T1540">
        <v>-2.9742359999999999E-2</v>
      </c>
      <c r="U1540">
        <v>-3.0883790000000002</v>
      </c>
      <c r="V1540">
        <v>-9.1242340000000005E-2</v>
      </c>
      <c r="W1540">
        <v>0.17787549999999999</v>
      </c>
      <c r="X1540">
        <v>0.97981379999999996</v>
      </c>
      <c r="Y1540">
        <v>8.9413919999999994E-2</v>
      </c>
      <c r="Z1540">
        <v>-3.8720640000000001E-3</v>
      </c>
      <c r="AA1540">
        <v>0.99598699999999996</v>
      </c>
      <c r="AB1540">
        <v>19</v>
      </c>
      <c r="AC1540">
        <v>-8.1203000000000092</v>
      </c>
      <c r="AD1540">
        <v>-1.0314459299999901</v>
      </c>
      <c r="AE1540">
        <v>-106.916</v>
      </c>
      <c r="AF1540">
        <v>9.6065078399114405</v>
      </c>
      <c r="AG1540">
        <v>-1.0314459299999901</v>
      </c>
      <c r="AH1540">
        <v>106.782760168031</v>
      </c>
      <c r="AI1540">
        <v>90.551193619598706</v>
      </c>
      <c r="AJ1540">
        <v>84.859332830830098</v>
      </c>
      <c r="AK1540">
        <v>107.218966338461</v>
      </c>
      <c r="AL1540">
        <v>79.753961616967104</v>
      </c>
      <c r="AM1540">
        <v>95.320161623877297</v>
      </c>
      <c r="AN1540">
        <v>0.99999997038968202</v>
      </c>
    </row>
    <row r="1541" spans="1:40" x14ac:dyDescent="0.25">
      <c r="A1541" t="str">
        <f>"20190304155043373"</f>
        <v>20190304155043373</v>
      </c>
      <c r="B1541" t="str">
        <f>"1551685843367630"</f>
        <v>1551685843367630</v>
      </c>
      <c r="C1541" t="s">
        <v>40</v>
      </c>
      <c r="D1541">
        <v>5.2503830000000002</v>
      </c>
      <c r="E1541">
        <v>0.56994560000000005</v>
      </c>
      <c r="F1541" t="s">
        <v>62</v>
      </c>
      <c r="G1541">
        <v>-202.47980000000001</v>
      </c>
      <c r="H1541">
        <v>8.0002399999999904E-2</v>
      </c>
      <c r="I1541">
        <v>200.5907</v>
      </c>
      <c r="J1541">
        <v>-192.34440000000001</v>
      </c>
      <c r="K1541">
        <v>1.1114139999999999</v>
      </c>
      <c r="L1541">
        <v>330.40730000000002</v>
      </c>
      <c r="M1541">
        <v>1.516048E-2</v>
      </c>
      <c r="N1541">
        <v>-1.3457780000000001E-2</v>
      </c>
      <c r="O1541">
        <v>-0.99979470000000004</v>
      </c>
      <c r="P1541">
        <v>0.10540140000000001</v>
      </c>
      <c r="Q1541">
        <v>0.16440850000000001</v>
      </c>
      <c r="R1541">
        <v>-0.98074499999999998</v>
      </c>
      <c r="S1541">
        <v>-0.2407379</v>
      </c>
      <c r="T1541">
        <v>-2.4508479999999999E-2</v>
      </c>
      <c r="U1541">
        <v>-3.0886840000000002</v>
      </c>
      <c r="V1541">
        <v>-9.0808120000000006E-2</v>
      </c>
      <c r="W1541">
        <v>0.17746489999999901</v>
      </c>
      <c r="X1541">
        <v>0.97992860000000004</v>
      </c>
      <c r="Y1541">
        <v>9.2798759999999994E-2</v>
      </c>
      <c r="Z1541">
        <v>-5.5618069999999898E-3</v>
      </c>
      <c r="AA1541">
        <v>0.99566940000000004</v>
      </c>
      <c r="AB1541">
        <v>19</v>
      </c>
      <c r="AC1541">
        <v>-10.135400000000001</v>
      </c>
      <c r="AD1541">
        <v>-1.0314116</v>
      </c>
      <c r="AE1541">
        <v>-129.81659999999999</v>
      </c>
      <c r="AF1541">
        <v>12.1017354898124</v>
      </c>
      <c r="AG1541">
        <v>-1.0314116</v>
      </c>
      <c r="AH1541">
        <v>129.63987252115001</v>
      </c>
      <c r="AI1541">
        <v>90.453861075635501</v>
      </c>
      <c r="AJ1541">
        <v>84.666958672972996</v>
      </c>
      <c r="AK1541">
        <v>130.20757412322001</v>
      </c>
      <c r="AL1541">
        <v>79.777867739967505</v>
      </c>
      <c r="AM1541">
        <v>95.294370569193006</v>
      </c>
      <c r="AN1541">
        <v>0.99999998324395201</v>
      </c>
    </row>
    <row r="1542" spans="1:40" x14ac:dyDescent="0.25">
      <c r="A1542" t="str">
        <f>"20190304155043397"</f>
        <v>20190304155043397</v>
      </c>
      <c r="B1542" t="str">
        <f>"1551685843388127"</f>
        <v>1551685843388127</v>
      </c>
      <c r="C1542" t="s">
        <v>40</v>
      </c>
      <c r="D1542">
        <v>5.2364389999999998</v>
      </c>
      <c r="E1542">
        <v>0.57089869999999898</v>
      </c>
      <c r="F1542" t="s">
        <v>41</v>
      </c>
      <c r="G1542">
        <v>-203.7654</v>
      </c>
      <c r="H1542">
        <v>7.998624E-2</v>
      </c>
      <c r="I1542">
        <v>187.15960000000001</v>
      </c>
      <c r="J1542">
        <v>-192.33940000000001</v>
      </c>
      <c r="K1542">
        <v>1.111375</v>
      </c>
      <c r="L1542">
        <v>330.19529999999997</v>
      </c>
      <c r="M1542">
        <v>1.6631819999999999E-2</v>
      </c>
      <c r="N1542">
        <v>-1.345445E-2</v>
      </c>
      <c r="O1542">
        <v>-0.99977139999999998</v>
      </c>
      <c r="P1542">
        <v>0.10666050000000001</v>
      </c>
      <c r="Q1542">
        <v>0.16411629999999899</v>
      </c>
      <c r="R1542">
        <v>-0.98065789999999997</v>
      </c>
      <c r="S1542">
        <v>-0.24629210000000001</v>
      </c>
      <c r="T1542">
        <v>-2.224278E-2</v>
      </c>
      <c r="U1542">
        <v>-3.0891419999999998</v>
      </c>
      <c r="V1542">
        <v>-9.0603980000000001E-2</v>
      </c>
      <c r="W1542">
        <v>0.17718010000000001</v>
      </c>
      <c r="X1542">
        <v>0.97999910000000001</v>
      </c>
      <c r="Y1542">
        <v>9.6030950000000004E-2</v>
      </c>
      <c r="Z1542">
        <v>-6.2930449999999997E-3</v>
      </c>
      <c r="AA1542">
        <v>0.99535850000000003</v>
      </c>
      <c r="AB1542">
        <v>19</v>
      </c>
      <c r="AC1542">
        <v>-11.425999999999901</v>
      </c>
      <c r="AD1542">
        <v>-1.03138876</v>
      </c>
      <c r="AE1542">
        <v>-143.035699999999</v>
      </c>
      <c r="AF1542">
        <v>13.8028649506611</v>
      </c>
      <c r="AG1542">
        <v>-1.03138876</v>
      </c>
      <c r="AH1542">
        <v>142.81848097834001</v>
      </c>
      <c r="AI1542">
        <v>90.411845466233601</v>
      </c>
      <c r="AJ1542">
        <v>84.479724798902097</v>
      </c>
      <c r="AK1542">
        <v>143.487634842104</v>
      </c>
      <c r="AL1542">
        <v>79.794449048850794</v>
      </c>
      <c r="AM1542">
        <v>95.282158167335993</v>
      </c>
      <c r="AN1542">
        <v>1.00000005251432</v>
      </c>
    </row>
    <row r="1543" spans="1:40" x14ac:dyDescent="0.25">
      <c r="A1543" t="str">
        <f>"20190304155043419"</f>
        <v>20190304155043419</v>
      </c>
      <c r="B1543" t="str">
        <f>"1551685843408153"</f>
        <v>1551685843408153</v>
      </c>
      <c r="C1543" t="s">
        <v>40</v>
      </c>
      <c r="D1543">
        <v>5.2520749999999996</v>
      </c>
      <c r="E1543">
        <v>0.57149819999999996</v>
      </c>
      <c r="F1543" t="s">
        <v>41</v>
      </c>
      <c r="G1543">
        <v>-203.87190000000001</v>
      </c>
      <c r="H1543">
        <v>7.9986080000000001E-2</v>
      </c>
      <c r="I1543">
        <v>187.68989999999999</v>
      </c>
      <c r="J1543">
        <v>-192.3348</v>
      </c>
      <c r="K1543">
        <v>1.1113409999999999</v>
      </c>
      <c r="L1543">
        <v>330.01029999999997</v>
      </c>
      <c r="M1543">
        <v>1.7847189999999999E-2</v>
      </c>
      <c r="N1543">
        <v>-1.3450409999999999E-2</v>
      </c>
      <c r="O1543">
        <v>-0.99975049999999999</v>
      </c>
      <c r="P1543">
        <v>0.1076587</v>
      </c>
      <c r="Q1543">
        <v>0.16431499999999999</v>
      </c>
      <c r="R1543">
        <v>-0.98051569999999999</v>
      </c>
      <c r="S1543">
        <v>-0.25007629999999997</v>
      </c>
      <c r="T1543">
        <v>-2.2365090000000001E-2</v>
      </c>
      <c r="U1543">
        <v>-3.0901489999999998</v>
      </c>
      <c r="V1543">
        <v>-9.0393580000000001E-2</v>
      </c>
      <c r="W1543">
        <v>0.17738380000000001</v>
      </c>
      <c r="X1543">
        <v>0.97998169999999996</v>
      </c>
      <c r="Y1543">
        <v>9.8425789999999999E-2</v>
      </c>
      <c r="Z1543">
        <v>-6.2541350000000001E-3</v>
      </c>
      <c r="AA1543">
        <v>0.99512480000000003</v>
      </c>
      <c r="AB1543">
        <v>19</v>
      </c>
      <c r="AC1543">
        <v>-11.537100000000001</v>
      </c>
      <c r="AD1543">
        <v>-1.0313549199999901</v>
      </c>
      <c r="AE1543">
        <v>-142.32039999999901</v>
      </c>
      <c r="AF1543">
        <v>14.0747761819944</v>
      </c>
      <c r="AG1543">
        <v>-1.0313549199999901</v>
      </c>
      <c r="AH1543">
        <v>142.08439178364401</v>
      </c>
      <c r="AI1543">
        <v>90.413862835305594</v>
      </c>
      <c r="AJ1543">
        <v>84.342777993463798</v>
      </c>
      <c r="AK1543">
        <v>142.78353338558401</v>
      </c>
      <c r="AL1543">
        <v>79.782590255893794</v>
      </c>
      <c r="AM1543">
        <v>95.270054159914395</v>
      </c>
      <c r="AN1543">
        <v>1.0000000720712701</v>
      </c>
    </row>
    <row r="1544" spans="1:40" x14ac:dyDescent="0.25">
      <c r="A1544" t="str">
        <f>"20190304155043441"</f>
        <v>20190304155043441</v>
      </c>
      <c r="B1544" t="str">
        <f>"1551685843437434"</f>
        <v>1551685843437434</v>
      </c>
      <c r="C1544" t="s">
        <v>40</v>
      </c>
      <c r="D1544">
        <v>5.2359470000000004</v>
      </c>
      <c r="E1544">
        <v>0.57229430000000003</v>
      </c>
      <c r="F1544" t="s">
        <v>42</v>
      </c>
      <c r="G1544">
        <v>-207.29599999999999</v>
      </c>
      <c r="H1544">
        <v>-0.05</v>
      </c>
      <c r="I1544">
        <v>146.226</v>
      </c>
      <c r="J1544">
        <v>-192.33019999999999</v>
      </c>
      <c r="K1544">
        <v>1.111302</v>
      </c>
      <c r="L1544">
        <v>329.83089999999999</v>
      </c>
      <c r="M1544">
        <v>1.8960270000000001E-2</v>
      </c>
      <c r="N1544">
        <v>-1.344118E-2</v>
      </c>
      <c r="O1544">
        <v>-0.99973009999999995</v>
      </c>
      <c r="P1544">
        <v>0.10815760000000001</v>
      </c>
      <c r="Q1544">
        <v>0.16453429999999999</v>
      </c>
      <c r="R1544">
        <v>-0.98042379999999996</v>
      </c>
      <c r="S1544">
        <v>-0.2515869</v>
      </c>
      <c r="T1544">
        <v>-1.9529100000000001E-2</v>
      </c>
      <c r="U1544">
        <v>-3.0905149999999999</v>
      </c>
      <c r="V1544">
        <v>-8.9782920000000002E-2</v>
      </c>
      <c r="W1544">
        <v>0.17760379999999901</v>
      </c>
      <c r="X1544">
        <v>0.97999789999999998</v>
      </c>
      <c r="Y1544">
        <v>0.10000729999999999</v>
      </c>
      <c r="Z1544">
        <v>-7.1608640000000003E-3</v>
      </c>
      <c r="AA1544">
        <v>0.99496099999999998</v>
      </c>
      <c r="AB1544">
        <v>19</v>
      </c>
      <c r="AC1544">
        <v>-14.9658</v>
      </c>
      <c r="AD1544">
        <v>-1.1613020000000001</v>
      </c>
      <c r="AE1544">
        <v>-183.60489999999999</v>
      </c>
      <c r="AF1544">
        <v>18.443888478333101</v>
      </c>
      <c r="AG1544">
        <v>-1.1613020000000001</v>
      </c>
      <c r="AH1544">
        <v>183.28082378568499</v>
      </c>
      <c r="AI1544">
        <v>90.361207770398494</v>
      </c>
      <c r="AJ1544">
        <v>84.253565175684699</v>
      </c>
      <c r="AK1544">
        <v>184.21016804752</v>
      </c>
      <c r="AL1544">
        <v>79.769780893365393</v>
      </c>
      <c r="AM1544">
        <v>95.234564348273594</v>
      </c>
      <c r="AN1544">
        <v>0.99999998325128803</v>
      </c>
    </row>
    <row r="1545" spans="1:40" x14ac:dyDescent="0.25">
      <c r="A1545" t="str">
        <f>"20190304155043463"</f>
        <v>20190304155043463</v>
      </c>
      <c r="B1545" t="str">
        <f>"1551685843457930"</f>
        <v>1551685843457930</v>
      </c>
      <c r="C1545" t="s">
        <v>40</v>
      </c>
      <c r="D1545">
        <v>5.2334160000000001</v>
      </c>
      <c r="E1545">
        <v>0.57288439999999996</v>
      </c>
      <c r="F1545" t="s">
        <v>59</v>
      </c>
      <c r="G1545">
        <v>-211.49870000000001</v>
      </c>
      <c r="H1545">
        <v>3.4622310000000003E-2</v>
      </c>
      <c r="I1545">
        <v>98.375470000000007</v>
      </c>
      <c r="J1545">
        <v>-192.3253</v>
      </c>
      <c r="K1545">
        <v>1.1112580000000001</v>
      </c>
      <c r="L1545">
        <v>329.64139999999998</v>
      </c>
      <c r="M1545">
        <v>2.006397E-2</v>
      </c>
      <c r="N1545">
        <v>-1.342108E-2</v>
      </c>
      <c r="O1545">
        <v>-0.99970879999999995</v>
      </c>
      <c r="P1545">
        <v>0.1086705</v>
      </c>
      <c r="Q1545">
        <v>0.164682299999999</v>
      </c>
      <c r="R1545">
        <v>-0.9803423</v>
      </c>
      <c r="S1545">
        <v>-0.25595089999999998</v>
      </c>
      <c r="T1545">
        <v>-1.4376160000000001E-2</v>
      </c>
      <c r="U1545">
        <v>-3.0905459999999998</v>
      </c>
      <c r="V1545">
        <v>-8.9192779999999999E-2</v>
      </c>
      <c r="W1545">
        <v>0.17774319999999999</v>
      </c>
      <c r="X1545">
        <v>0.98002650000000002</v>
      </c>
      <c r="Y1545">
        <v>0.10249999999999999</v>
      </c>
      <c r="Z1545">
        <v>-8.8024619999999901E-3</v>
      </c>
      <c r="AA1545">
        <v>0.99469410000000003</v>
      </c>
      <c r="AB1545">
        <v>19</v>
      </c>
      <c r="AC1545">
        <v>-19.173400000000001</v>
      </c>
      <c r="AD1545">
        <v>-1.07663569</v>
      </c>
      <c r="AE1545">
        <v>-231.26593</v>
      </c>
      <c r="AF1545">
        <v>23.809556944928001</v>
      </c>
      <c r="AG1545">
        <v>-1.07663569</v>
      </c>
      <c r="AH1545">
        <v>230.82966973602399</v>
      </c>
      <c r="AI1545">
        <v>90.265826659686198</v>
      </c>
      <c r="AJ1545">
        <v>84.110896968211506</v>
      </c>
      <c r="AK1545">
        <v>232.056869272954</v>
      </c>
      <c r="AL1545">
        <v>79.761664581013093</v>
      </c>
      <c r="AM1545">
        <v>95.200196077972393</v>
      </c>
      <c r="AN1545">
        <v>0.99999996892630805</v>
      </c>
    </row>
    <row r="1546" spans="1:40" x14ac:dyDescent="0.25">
      <c r="A1546" t="str">
        <f>"20190304155043486"</f>
        <v>20190304155043486</v>
      </c>
      <c r="B1546" t="str">
        <f>"1551685843477450"</f>
        <v>1551685843477450</v>
      </c>
      <c r="C1546" t="s">
        <v>40</v>
      </c>
      <c r="D1546">
        <v>4.8780359999999998</v>
      </c>
      <c r="E1546">
        <v>0.57273750000000001</v>
      </c>
      <c r="F1546" t="s">
        <v>64</v>
      </c>
      <c r="G1546">
        <v>-210.58869999999999</v>
      </c>
      <c r="H1546">
        <v>0.33425640000000001</v>
      </c>
      <c r="I1546">
        <v>111.7381</v>
      </c>
      <c r="J1546">
        <v>-192.3202</v>
      </c>
      <c r="K1546">
        <v>1.111205</v>
      </c>
      <c r="L1546">
        <v>329.4513</v>
      </c>
      <c r="M1546">
        <v>2.109807E-2</v>
      </c>
      <c r="N1546">
        <v>-1.338931E-2</v>
      </c>
      <c r="O1546">
        <v>-0.99968789999999996</v>
      </c>
      <c r="P1546">
        <v>0.1094546</v>
      </c>
      <c r="Q1546">
        <v>0.1640181</v>
      </c>
      <c r="R1546">
        <v>-0.98036630000000002</v>
      </c>
      <c r="S1546">
        <v>-0.25904850000000001</v>
      </c>
      <c r="T1546">
        <v>-1.1020540000000001E-2</v>
      </c>
      <c r="U1546">
        <v>-3.0907290000000001</v>
      </c>
      <c r="V1546">
        <v>-8.8939409999999997E-2</v>
      </c>
      <c r="W1546">
        <v>0.17705989999999999</v>
      </c>
      <c r="X1546">
        <v>0.98017319999999997</v>
      </c>
      <c r="Y1546">
        <v>0.1045136</v>
      </c>
      <c r="Z1546">
        <v>-9.8528910000000008E-3</v>
      </c>
      <c r="AA1546">
        <v>0.99447459999999999</v>
      </c>
      <c r="AB1546">
        <v>19</v>
      </c>
      <c r="AC1546">
        <v>-18.2684999999999</v>
      </c>
      <c r="AD1546">
        <v>-0.77694859999999999</v>
      </c>
      <c r="AE1546">
        <v>-217.7132</v>
      </c>
      <c r="AF1546">
        <v>22.857883265299598</v>
      </c>
      <c r="AG1546">
        <v>-0.77694859999999999</v>
      </c>
      <c r="AH1546">
        <v>217.27651839020101</v>
      </c>
      <c r="AI1546">
        <v>90.2037559211374</v>
      </c>
      <c r="AJ1546">
        <v>83.994470452025496</v>
      </c>
      <c r="AK1546">
        <v>218.47693681545499</v>
      </c>
      <c r="AL1546">
        <v>79.801445730165597</v>
      </c>
      <c r="AM1546">
        <v>95.184732653636104</v>
      </c>
      <c r="AN1546">
        <v>0.99999996441869798</v>
      </c>
    </row>
    <row r="1547" spans="1:40" x14ac:dyDescent="0.25">
      <c r="A1547" t="str">
        <f>"20190304155043508"</f>
        <v>20190304155043508</v>
      </c>
      <c r="B1547" t="str">
        <f>"1551685843497949"</f>
        <v>1551685843497949</v>
      </c>
      <c r="C1547" t="s">
        <v>40</v>
      </c>
      <c r="D1547">
        <v>5.2738120000000004</v>
      </c>
      <c r="E1547">
        <v>0.52780769999999899</v>
      </c>
      <c r="F1547" t="s">
        <v>64</v>
      </c>
      <c r="G1547">
        <v>-209.94280000000001</v>
      </c>
      <c r="H1547">
        <v>0.18053179999999999</v>
      </c>
      <c r="I1547">
        <v>116.3079</v>
      </c>
      <c r="J1547">
        <v>-192.3151</v>
      </c>
      <c r="K1547">
        <v>1.111146</v>
      </c>
      <c r="L1547">
        <v>329.26760000000002</v>
      </c>
      <c r="M1547">
        <v>2.2024780000000001E-2</v>
      </c>
      <c r="N1547">
        <v>-1.334399E-2</v>
      </c>
      <c r="O1547">
        <v>-0.99966869999999997</v>
      </c>
      <c r="P1547">
        <v>0.10979949999999999</v>
      </c>
      <c r="Q1547">
        <v>0.1633917</v>
      </c>
      <c r="R1547">
        <v>-0.98043259999999999</v>
      </c>
      <c r="S1547">
        <v>-0.25555420000000001</v>
      </c>
      <c r="T1547">
        <v>-1.3495679999999999E-2</v>
      </c>
      <c r="U1547">
        <v>-3.090881</v>
      </c>
      <c r="V1547">
        <v>-8.835316E-2</v>
      </c>
      <c r="W1547">
        <v>0.17640149999999999</v>
      </c>
      <c r="X1547">
        <v>0.98034500000000002</v>
      </c>
      <c r="Y1547">
        <v>0.10431509999999999</v>
      </c>
      <c r="Z1547">
        <v>-9.0110409999999991E-3</v>
      </c>
      <c r="AA1547">
        <v>0.99450349999999998</v>
      </c>
      <c r="AB1547">
        <v>19</v>
      </c>
      <c r="AC1547">
        <v>-17.627700000000001</v>
      </c>
      <c r="AD1547">
        <v>-0.93061419999999995</v>
      </c>
      <c r="AE1547">
        <v>-212.9597</v>
      </c>
      <c r="AF1547">
        <v>22.3138066297604</v>
      </c>
      <c r="AG1547">
        <v>-0.93061419999999995</v>
      </c>
      <c r="AH1547">
        <v>212.51572089792799</v>
      </c>
      <c r="AI1547">
        <v>90.249527045727604</v>
      </c>
      <c r="AJ1547">
        <v>84.005998801645305</v>
      </c>
      <c r="AK1547">
        <v>213.68599307831499</v>
      </c>
      <c r="AL1547">
        <v>79.839773389776596</v>
      </c>
      <c r="AM1547">
        <v>95.149843795327001</v>
      </c>
      <c r="AN1547">
        <v>1.00000004455461</v>
      </c>
    </row>
    <row r="1548" spans="1:40" x14ac:dyDescent="0.25">
      <c r="A1548" t="str">
        <f>"20190304155043530"</f>
        <v>20190304155043530</v>
      </c>
      <c r="B1548" t="str">
        <f>"1551685843527665"</f>
        <v>1551685843527665</v>
      </c>
      <c r="C1548" t="s">
        <v>40</v>
      </c>
      <c r="D1548">
        <v>5.6955650000000002</v>
      </c>
      <c r="E1548">
        <v>0.52746910000000002</v>
      </c>
      <c r="F1548" t="s">
        <v>62</v>
      </c>
      <c r="G1548">
        <v>-191.20570000000001</v>
      </c>
      <c r="H1548" s="1">
        <v>1.3381459999999999E-6</v>
      </c>
      <c r="I1548">
        <v>295.51780000000002</v>
      </c>
      <c r="J1548">
        <v>-192.3098</v>
      </c>
      <c r="K1548">
        <v>1.1110990000000001</v>
      </c>
      <c r="L1548">
        <v>329.07839999999999</v>
      </c>
      <c r="M1548">
        <v>2.2903159999999999E-2</v>
      </c>
      <c r="N1548">
        <v>-1.3283690000000001E-2</v>
      </c>
      <c r="O1548">
        <v>-0.99964960000000003</v>
      </c>
      <c r="P1548">
        <v>0.11028350000000001</v>
      </c>
      <c r="Q1548">
        <v>0.16306770000000001</v>
      </c>
      <c r="R1548">
        <v>-0.98043210000000003</v>
      </c>
      <c r="S1548">
        <v>0.100769</v>
      </c>
      <c r="T1548">
        <v>-0.1009222</v>
      </c>
      <c r="U1548">
        <v>-3.0653990000000002</v>
      </c>
      <c r="V1548">
        <v>-8.795617E-2</v>
      </c>
      <c r="W1548">
        <v>0.1760283</v>
      </c>
      <c r="X1548">
        <v>0.98044770000000003</v>
      </c>
      <c r="Y1548">
        <v>-9.9445130000000003E-3</v>
      </c>
      <c r="Z1548">
        <v>1.9608170000000001E-2</v>
      </c>
      <c r="AA1548">
        <v>0.99975829999999999</v>
      </c>
      <c r="AB1548">
        <v>19</v>
      </c>
      <c r="AC1548">
        <v>1.1040999999999801</v>
      </c>
      <c r="AD1548">
        <v>-1.1110976618540001</v>
      </c>
      <c r="AE1548">
        <v>-33.560599999999901</v>
      </c>
      <c r="AF1548">
        <v>-0.33473234327805501</v>
      </c>
      <c r="AG1548">
        <v>-1.1110976618540001</v>
      </c>
      <c r="AH1548">
        <v>33.540361306678498</v>
      </c>
      <c r="AI1548">
        <v>91.897259462547495</v>
      </c>
      <c r="AJ1548">
        <v>90.571792106344105</v>
      </c>
      <c r="AK1548">
        <v>33.560429382508602</v>
      </c>
      <c r="AL1548">
        <v>79.861495346700295</v>
      </c>
      <c r="AM1548">
        <v>95.126293852410797</v>
      </c>
      <c r="AN1548">
        <v>0.99999997133862395</v>
      </c>
    </row>
    <row r="1549" spans="1:40" x14ac:dyDescent="0.25">
      <c r="A1549" t="str">
        <f>"20190304155043553"</f>
        <v>20190304155043553</v>
      </c>
      <c r="B1549" t="str">
        <f>"1551685843548162"</f>
        <v>1551685843548162</v>
      </c>
      <c r="C1549" t="s">
        <v>40</v>
      </c>
      <c r="D1549">
        <v>5.2179970000000004</v>
      </c>
      <c r="E1549">
        <v>0.52794890000000005</v>
      </c>
      <c r="F1549" t="s">
        <v>62</v>
      </c>
      <c r="G1549">
        <v>-191.1969</v>
      </c>
      <c r="H1549" s="1">
        <v>9.3480750000000003E-7</v>
      </c>
      <c r="I1549">
        <v>296.661</v>
      </c>
      <c r="J1549">
        <v>-192.30449999999999</v>
      </c>
      <c r="K1549">
        <v>1.111054</v>
      </c>
      <c r="L1549">
        <v>328.89269999999999</v>
      </c>
      <c r="M1549">
        <v>2.371098E-2</v>
      </c>
      <c r="N1549">
        <v>-1.322186E-2</v>
      </c>
      <c r="O1549">
        <v>-0.99963139999999995</v>
      </c>
      <c r="P1549">
        <v>0.1103151</v>
      </c>
      <c r="Q1549">
        <v>0.16283789999999901</v>
      </c>
      <c r="R1549">
        <v>-0.98046639999999996</v>
      </c>
      <c r="S1549">
        <v>0.105239899999999</v>
      </c>
      <c r="T1549">
        <v>-0.10506889999999899</v>
      </c>
      <c r="U1549">
        <v>-3.0654910000000002</v>
      </c>
      <c r="V1549">
        <v>-8.7179380000000001E-2</v>
      </c>
      <c r="W1549">
        <v>0.17574670000000001</v>
      </c>
      <c r="X1549">
        <v>0.98056759999999998</v>
      </c>
      <c r="Y1549">
        <v>-1.059066E-2</v>
      </c>
      <c r="Z1549">
        <v>2.1017439999999998E-2</v>
      </c>
      <c r="AA1549">
        <v>0.99972300000000003</v>
      </c>
      <c r="AB1549">
        <v>19</v>
      </c>
      <c r="AC1549">
        <v>1.1075999999999899</v>
      </c>
      <c r="AD1549">
        <v>-1.1110530651924999</v>
      </c>
      <c r="AE1549">
        <v>-32.231699999999897</v>
      </c>
      <c r="AF1549">
        <v>-0.342569956928375</v>
      </c>
      <c r="AG1549">
        <v>-1.1110530651924999</v>
      </c>
      <c r="AH1549">
        <v>32.210672438358799</v>
      </c>
      <c r="AI1549">
        <v>91.975426845658305</v>
      </c>
      <c r="AJ1549">
        <v>90.6093344613423</v>
      </c>
      <c r="AK1549">
        <v>32.231649228984701</v>
      </c>
      <c r="AL1549">
        <v>79.877885468790097</v>
      </c>
      <c r="AM1549">
        <v>95.080640682751294</v>
      </c>
      <c r="AN1549">
        <v>0.99999998251391697</v>
      </c>
    </row>
    <row r="1550" spans="1:40" x14ac:dyDescent="0.25">
      <c r="A1550" t="str">
        <f>"20190304155043574"</f>
        <v>20190304155043574</v>
      </c>
      <c r="B1550" t="str">
        <f>"1551685843567682"</f>
        <v>1551685843567682</v>
      </c>
      <c r="C1550" t="s">
        <v>40</v>
      </c>
      <c r="D1550">
        <v>5.2466410000000003</v>
      </c>
      <c r="E1550">
        <v>0.52876040000000002</v>
      </c>
      <c r="F1550" t="s">
        <v>62</v>
      </c>
      <c r="G1550">
        <v>-191.27279999999999</v>
      </c>
      <c r="H1550" s="1">
        <v>5.0998029999999999E-7</v>
      </c>
      <c r="I1550">
        <v>297.84370000000001</v>
      </c>
      <c r="J1550">
        <v>-192.29920000000001</v>
      </c>
      <c r="K1550">
        <v>1.111019</v>
      </c>
      <c r="L1550">
        <v>328.70800000000003</v>
      </c>
      <c r="M1550">
        <v>2.4469709999999999E-2</v>
      </c>
      <c r="N1550">
        <v>-1.3159000000000001E-2</v>
      </c>
      <c r="O1550">
        <v>-0.99961420000000001</v>
      </c>
      <c r="P1550">
        <v>0.110459</v>
      </c>
      <c r="Q1550">
        <v>0.1621571</v>
      </c>
      <c r="R1550">
        <v>-0.98056330000000003</v>
      </c>
      <c r="S1550">
        <v>0.10189819999999999</v>
      </c>
      <c r="T1550">
        <v>-0.1097302</v>
      </c>
      <c r="U1550">
        <v>-3.0664669999999998</v>
      </c>
      <c r="V1550">
        <v>-8.6564310000000005E-2</v>
      </c>
      <c r="W1550">
        <v>0.175012</v>
      </c>
      <c r="X1550">
        <v>0.98075349999999994</v>
      </c>
      <c r="Y1550">
        <v>-8.7319379999999999E-3</v>
      </c>
      <c r="Z1550">
        <v>2.2586120000000001E-2</v>
      </c>
      <c r="AA1550">
        <v>0.99970669999999995</v>
      </c>
      <c r="AB1550">
        <v>19</v>
      </c>
      <c r="AC1550">
        <v>1.02640000000002</v>
      </c>
      <c r="AD1550">
        <v>-1.1110184900197</v>
      </c>
      <c r="AE1550">
        <v>-30.8643</v>
      </c>
      <c r="AF1550">
        <v>-0.27043688754421602</v>
      </c>
      <c r="AG1550">
        <v>-1.1110184900197</v>
      </c>
      <c r="AH1550">
        <v>30.8402567430653</v>
      </c>
      <c r="AI1550">
        <v>92.063105715245896</v>
      </c>
      <c r="AJ1550">
        <v>90.502411353785305</v>
      </c>
      <c r="AK1550">
        <v>30.861447376516502</v>
      </c>
      <c r="AL1550">
        <v>79.920643604911902</v>
      </c>
      <c r="AM1550">
        <v>95.044029932171995</v>
      </c>
      <c r="AN1550">
        <v>1.00000000383601</v>
      </c>
    </row>
    <row r="1551" spans="1:40" x14ac:dyDescent="0.25">
      <c r="A1551" t="str">
        <f>"20190304155043596"</f>
        <v>20190304155043596</v>
      </c>
      <c r="B1551" t="str">
        <f>"1551685843588178"</f>
        <v>1551685843588178</v>
      </c>
      <c r="C1551" t="s">
        <v>40</v>
      </c>
      <c r="D1551">
        <v>5.2186510000000004</v>
      </c>
      <c r="E1551">
        <v>0.52927939999999996</v>
      </c>
      <c r="F1551" t="s">
        <v>62</v>
      </c>
      <c r="G1551">
        <v>-191.25040000000001</v>
      </c>
      <c r="H1551" s="1">
        <v>1.4635390000000001E-6</v>
      </c>
      <c r="I1551">
        <v>295.15190000000001</v>
      </c>
      <c r="J1551">
        <v>-192.2936</v>
      </c>
      <c r="K1551">
        <v>1.110992</v>
      </c>
      <c r="L1551">
        <v>328.5163</v>
      </c>
      <c r="M1551">
        <v>2.521228E-2</v>
      </c>
      <c r="N1551">
        <v>-1.308702E-2</v>
      </c>
      <c r="O1551">
        <v>-0.99959679999999995</v>
      </c>
      <c r="P1551">
        <v>0.1107572</v>
      </c>
      <c r="Q1551">
        <v>0.1611292</v>
      </c>
      <c r="R1551">
        <v>-0.98069919999999999</v>
      </c>
      <c r="S1551">
        <v>9.5809939999999996E-2</v>
      </c>
      <c r="T1551">
        <v>-0.101495</v>
      </c>
      <c r="U1551">
        <v>-3.0654599999999999</v>
      </c>
      <c r="V1551">
        <v>-8.612011E-2</v>
      </c>
      <c r="W1551">
        <v>0.17391989999999999</v>
      </c>
      <c r="X1551">
        <v>0.98098680000000005</v>
      </c>
      <c r="Y1551">
        <v>-6.0192889999999997E-3</v>
      </c>
      <c r="Z1551">
        <v>1.9989429999999999E-2</v>
      </c>
      <c r="AA1551">
        <v>0.99978210000000001</v>
      </c>
      <c r="AB1551">
        <v>19</v>
      </c>
      <c r="AC1551">
        <v>1.0431999999999799</v>
      </c>
      <c r="AD1551">
        <v>-1.110990536461</v>
      </c>
      <c r="AE1551">
        <v>-33.364399999999897</v>
      </c>
      <c r="AF1551">
        <v>-0.20138090878509299</v>
      </c>
      <c r="AG1551">
        <v>-1.110990536461</v>
      </c>
      <c r="AH1551">
        <v>33.343161144516799</v>
      </c>
      <c r="AI1551">
        <v>91.908348390111797</v>
      </c>
      <c r="AJ1551">
        <v>90.346042050595699</v>
      </c>
      <c r="AK1551">
        <v>33.3622728445132</v>
      </c>
      <c r="AL1551">
        <v>79.9841904306017</v>
      </c>
      <c r="AM1551">
        <v>95.017091911158303</v>
      </c>
      <c r="AN1551">
        <v>0.99999995336833003</v>
      </c>
    </row>
    <row r="1552" spans="1:40" x14ac:dyDescent="0.25">
      <c r="A1552" t="str">
        <f>"20190304155043620"</f>
        <v>20190304155043620</v>
      </c>
      <c r="B1552" t="str">
        <f>"1551685843618434"</f>
        <v>1551685843618434</v>
      </c>
      <c r="C1552" t="s">
        <v>40</v>
      </c>
      <c r="D1552">
        <v>5.1374259999999996</v>
      </c>
      <c r="E1552">
        <v>0.5295318</v>
      </c>
      <c r="F1552" t="s">
        <v>62</v>
      </c>
      <c r="G1552">
        <v>-191.2715</v>
      </c>
      <c r="H1552" s="1">
        <v>1.6206119999999999E-6</v>
      </c>
      <c r="I1552">
        <v>294.7022</v>
      </c>
      <c r="J1552">
        <v>-192.2877</v>
      </c>
      <c r="K1552">
        <v>1.1109599999999999</v>
      </c>
      <c r="L1552">
        <v>328.32069999999999</v>
      </c>
      <c r="M1552">
        <v>2.5928610000000001E-2</v>
      </c>
      <c r="N1552">
        <v>-1.3004379999999999E-2</v>
      </c>
      <c r="O1552">
        <v>-0.99957949999999995</v>
      </c>
      <c r="P1552">
        <v>0.1107451</v>
      </c>
      <c r="Q1552">
        <v>0.16101650000000001</v>
      </c>
      <c r="R1552">
        <v>-0.98071940000000002</v>
      </c>
      <c r="S1552">
        <v>9.2651369999999997E-2</v>
      </c>
      <c r="T1552">
        <v>-0.1007084</v>
      </c>
      <c r="U1552">
        <v>-3.0651549999999999</v>
      </c>
      <c r="V1552">
        <v>-8.5396070000000004E-2</v>
      </c>
      <c r="W1552">
        <v>0.1737311</v>
      </c>
      <c r="X1552">
        <v>0.98108359999999994</v>
      </c>
      <c r="Y1552">
        <v>-4.2771789999999999E-3</v>
      </c>
      <c r="Z1552">
        <v>1.981892E-2</v>
      </c>
      <c r="AA1552">
        <v>0.99979439999999997</v>
      </c>
      <c r="AB1552">
        <v>19</v>
      </c>
      <c r="AC1552">
        <v>1.01619999999999</v>
      </c>
      <c r="AD1552">
        <v>-1.110958379388</v>
      </c>
      <c r="AE1552">
        <v>-33.618499999999898</v>
      </c>
      <c r="AF1552">
        <v>-0.14394680376170901</v>
      </c>
      <c r="AG1552">
        <v>-1.110958379388</v>
      </c>
      <c r="AH1552">
        <v>33.596890643189802</v>
      </c>
      <c r="AI1552">
        <v>91.893909117341295</v>
      </c>
      <c r="AJ1552">
        <v>90.245483844052202</v>
      </c>
      <c r="AK1552">
        <v>33.615562022573698</v>
      </c>
      <c r="AL1552">
        <v>79.995175642192393</v>
      </c>
      <c r="AM1552">
        <v>94.974635753189006</v>
      </c>
      <c r="AN1552">
        <v>1.0000000070338</v>
      </c>
    </row>
    <row r="1553" spans="1:40" x14ac:dyDescent="0.25">
      <c r="A1553" t="str">
        <f>"20190304155043641"</f>
        <v>20190304155043641</v>
      </c>
      <c r="B1553" t="str">
        <f>"1551685843637954"</f>
        <v>1551685843637954</v>
      </c>
      <c r="C1553" t="s">
        <v>40</v>
      </c>
      <c r="D1553">
        <v>5.2262320000000004</v>
      </c>
      <c r="E1553">
        <v>0.52962480000000001</v>
      </c>
      <c r="F1553" t="s">
        <v>62</v>
      </c>
      <c r="G1553">
        <v>-191.25299999999999</v>
      </c>
      <c r="H1553" s="1">
        <v>2.0431450000000002E-6</v>
      </c>
      <c r="I1553">
        <v>293.1866</v>
      </c>
      <c r="J1553">
        <v>-192.2824</v>
      </c>
      <c r="K1553">
        <v>1.1109340000000001</v>
      </c>
      <c r="L1553">
        <v>328.14530000000002</v>
      </c>
      <c r="M1553">
        <v>2.6544999999999999E-2</v>
      </c>
      <c r="N1553">
        <v>-1.2924120000000001E-2</v>
      </c>
      <c r="O1553">
        <v>-0.99956429999999996</v>
      </c>
      <c r="P1553">
        <v>0.11034430000000001</v>
      </c>
      <c r="Q1553">
        <v>0.16139389999999901</v>
      </c>
      <c r="R1553">
        <v>-0.98070219999999997</v>
      </c>
      <c r="S1553">
        <v>9.0255740000000001E-2</v>
      </c>
      <c r="T1553">
        <v>-9.6907259999999995E-2</v>
      </c>
      <c r="U1553">
        <v>-3.0646969999999998</v>
      </c>
      <c r="V1553">
        <v>-8.4384230000000005E-2</v>
      </c>
      <c r="W1553">
        <v>0.17403399999999999</v>
      </c>
      <c r="X1553">
        <v>0.98111749999999998</v>
      </c>
      <c r="Y1553">
        <v>-2.8853210000000002E-3</v>
      </c>
      <c r="Z1553">
        <v>1.8665850000000001E-2</v>
      </c>
      <c r="AA1553">
        <v>0.99982159999999998</v>
      </c>
      <c r="AB1553">
        <v>19</v>
      </c>
      <c r="AC1553">
        <v>1.0294000000000001</v>
      </c>
      <c r="AD1553">
        <v>-1.110931956855</v>
      </c>
      <c r="AE1553">
        <v>-34.9587</v>
      </c>
      <c r="AF1553">
        <v>-0.10087942306075499</v>
      </c>
      <c r="AG1553">
        <v>-1.110931956855</v>
      </c>
      <c r="AH1553">
        <v>34.938454238152097</v>
      </c>
      <c r="AI1553">
        <v>91.821202750756001</v>
      </c>
      <c r="AJ1553">
        <v>90.165432307900602</v>
      </c>
      <c r="AK1553">
        <v>34.956257394380899</v>
      </c>
      <c r="AL1553">
        <v>79.977552618399798</v>
      </c>
      <c r="AM1553">
        <v>94.915813891001093</v>
      </c>
      <c r="AN1553">
        <v>1.00000004011747</v>
      </c>
    </row>
    <row r="1554" spans="1:40" x14ac:dyDescent="0.25">
      <c r="A1554" t="str">
        <f>"20190304155043663"</f>
        <v>20190304155043663</v>
      </c>
      <c r="B1554" t="str">
        <f>"1551685843658450"</f>
        <v>1551685843658450</v>
      </c>
      <c r="C1554" t="s">
        <v>40</v>
      </c>
      <c r="D1554">
        <v>5.3703390000000004</v>
      </c>
      <c r="E1554">
        <v>0.52940659999999995</v>
      </c>
      <c r="F1554" t="s">
        <v>62</v>
      </c>
      <c r="G1554">
        <v>-191.20859999999999</v>
      </c>
      <c r="H1554" s="1">
        <v>2.7871840000000002E-6</v>
      </c>
      <c r="I1554">
        <v>291.10410000000002</v>
      </c>
      <c r="J1554">
        <v>-192.27670000000001</v>
      </c>
      <c r="K1554">
        <v>1.1109039999999999</v>
      </c>
      <c r="L1554">
        <v>327.96120000000002</v>
      </c>
      <c r="M1554">
        <v>2.7169479999999999E-2</v>
      </c>
      <c r="N1554">
        <v>-1.284015E-2</v>
      </c>
      <c r="O1554">
        <v>-0.99954860000000001</v>
      </c>
      <c r="P1554">
        <v>0.1100772</v>
      </c>
      <c r="Q1554">
        <v>0.16190370000000001</v>
      </c>
      <c r="R1554">
        <v>-0.98064819999999997</v>
      </c>
      <c r="S1554">
        <v>8.8821410000000003E-2</v>
      </c>
      <c r="T1554">
        <v>-9.189725E-2</v>
      </c>
      <c r="U1554">
        <v>-3.0640869999999998</v>
      </c>
      <c r="V1554">
        <v>-8.349819E-2</v>
      </c>
      <c r="W1554">
        <v>0.17446500000000001</v>
      </c>
      <c r="X1554">
        <v>0.98111669999999995</v>
      </c>
      <c r="Y1554">
        <v>-1.7999730000000001E-3</v>
      </c>
      <c r="Z1554">
        <v>1.712354E-2</v>
      </c>
      <c r="AA1554">
        <v>0.99985179999999996</v>
      </c>
      <c r="AB1554">
        <v>19</v>
      </c>
      <c r="AC1554">
        <v>1.06810000000001</v>
      </c>
      <c r="AD1554">
        <v>-1.1109012128160001</v>
      </c>
      <c r="AE1554">
        <v>-36.857100000000003</v>
      </c>
      <c r="AF1554">
        <v>-6.6174996341823E-2</v>
      </c>
      <c r="AG1554">
        <v>-1.1109012128160001</v>
      </c>
      <c r="AH1554">
        <v>36.839074803970803</v>
      </c>
      <c r="AI1554">
        <v>91.727257422809402</v>
      </c>
      <c r="AJ1554">
        <v>90.102921800878207</v>
      </c>
      <c r="AK1554">
        <v>36.855880304875797</v>
      </c>
      <c r="AL1554">
        <v>79.952473886026596</v>
      </c>
      <c r="AM1554">
        <v>94.864450451593299</v>
      </c>
      <c r="AN1554">
        <v>0.99999998148858205</v>
      </c>
    </row>
    <row r="1555" spans="1:40" x14ac:dyDescent="0.25">
      <c r="A1555" t="str">
        <f>"20190304155043687"</f>
        <v>20190304155043687</v>
      </c>
      <c r="B1555" t="str">
        <f>"1551685843677970"</f>
        <v>1551685843677970</v>
      </c>
      <c r="C1555" t="s">
        <v>40</v>
      </c>
      <c r="D1555">
        <v>5.1077409999999999</v>
      </c>
      <c r="E1555">
        <v>0.52954409999999996</v>
      </c>
      <c r="F1555" t="s">
        <v>62</v>
      </c>
      <c r="G1555">
        <v>-191.18100000000001</v>
      </c>
      <c r="H1555" s="1">
        <v>2.9286959999999999E-6</v>
      </c>
      <c r="I1555">
        <v>290.7176</v>
      </c>
      <c r="J1555">
        <v>-192.27029999999999</v>
      </c>
      <c r="K1555">
        <v>1.1108789999999999</v>
      </c>
      <c r="L1555">
        <v>327.75470000000001</v>
      </c>
      <c r="M1555">
        <v>2.7832860000000001E-2</v>
      </c>
      <c r="N1555">
        <v>-1.2753530000000001E-2</v>
      </c>
      <c r="O1555">
        <v>-0.99953130000000001</v>
      </c>
      <c r="P1555">
        <v>0.10971880000000001</v>
      </c>
      <c r="Q1555">
        <v>0.16284849999999901</v>
      </c>
      <c r="R1555">
        <v>-0.9805315</v>
      </c>
      <c r="S1555">
        <v>9.0148930000000002E-2</v>
      </c>
      <c r="T1555">
        <v>-9.1398240000000006E-2</v>
      </c>
      <c r="U1555">
        <v>-3.0641780000000001</v>
      </c>
      <c r="V1555">
        <v>-8.2481819999999997E-2</v>
      </c>
      <c r="W1555">
        <v>0.17532790000000001</v>
      </c>
      <c r="X1555">
        <v>0.9810489</v>
      </c>
      <c r="Y1555">
        <v>-1.5683540000000001E-3</v>
      </c>
      <c r="Z1555">
        <v>1.7045870000000001E-2</v>
      </c>
      <c r="AA1555">
        <v>0.99985349999999995</v>
      </c>
      <c r="AB1555">
        <v>19</v>
      </c>
      <c r="AC1555">
        <v>1.0892999999999999</v>
      </c>
      <c r="AD1555">
        <v>-1.110876071304</v>
      </c>
      <c r="AE1555">
        <v>-37.037100000000002</v>
      </c>
      <c r="AF1555">
        <v>-5.7893697523878601E-2</v>
      </c>
      <c r="AG1555">
        <v>-1.110876071304</v>
      </c>
      <c r="AH1555">
        <v>37.019795131370898</v>
      </c>
      <c r="AI1555">
        <v>91.718792297938904</v>
      </c>
      <c r="AJ1555">
        <v>90.089602381985898</v>
      </c>
      <c r="AK1555">
        <v>37.036504004760999</v>
      </c>
      <c r="AL1555">
        <v>79.902259923248593</v>
      </c>
      <c r="AM1555">
        <v>94.805848153655504</v>
      </c>
      <c r="AN1555">
        <v>1.0000000336700601</v>
      </c>
    </row>
    <row r="1556" spans="1:40" x14ac:dyDescent="0.25">
      <c r="A1556" t="str">
        <f>"20190304155043709"</f>
        <v>20190304155043709</v>
      </c>
      <c r="B1556" t="str">
        <f>"1551685843698466"</f>
        <v>1551685843698466</v>
      </c>
      <c r="C1556" t="s">
        <v>40</v>
      </c>
      <c r="D1556">
        <v>5.1336979999999999</v>
      </c>
      <c r="E1556">
        <v>0.52950629999999999</v>
      </c>
      <c r="F1556" t="s">
        <v>62</v>
      </c>
      <c r="G1556">
        <v>-191.1148</v>
      </c>
      <c r="H1556" s="1">
        <v>3.492728E-6</v>
      </c>
      <c r="I1556">
        <v>287.75200000000001</v>
      </c>
      <c r="J1556">
        <v>-192.2646</v>
      </c>
      <c r="K1556">
        <v>1.1108640000000001</v>
      </c>
      <c r="L1556">
        <v>327.57339999999999</v>
      </c>
      <c r="M1556">
        <v>2.837168E-2</v>
      </c>
      <c r="N1556">
        <v>-1.2686340000000001E-2</v>
      </c>
      <c r="O1556">
        <v>-0.99951730000000005</v>
      </c>
      <c r="P1556">
        <v>0.1091174</v>
      </c>
      <c r="Q1556">
        <v>0.16413829999999999</v>
      </c>
      <c r="R1556">
        <v>-0.98038409999999998</v>
      </c>
      <c r="S1556">
        <v>8.8500980000000007E-2</v>
      </c>
      <c r="T1556">
        <v>-8.5081219999999999E-2</v>
      </c>
      <c r="U1556">
        <v>-3.0637819999999998</v>
      </c>
      <c r="V1556">
        <v>-8.1347470000000005E-2</v>
      </c>
      <c r="W1556">
        <v>0.17655489999999999</v>
      </c>
      <c r="X1556">
        <v>0.98092349999999995</v>
      </c>
      <c r="Y1556">
        <v>-4.9698699999999995E-4</v>
      </c>
      <c r="Z1556">
        <v>1.505828E-2</v>
      </c>
      <c r="AA1556">
        <v>0.99988650000000001</v>
      </c>
      <c r="AB1556">
        <v>19</v>
      </c>
      <c r="AC1556">
        <v>1.1497999999999899</v>
      </c>
      <c r="AD1556">
        <v>-1.1108605072719999</v>
      </c>
      <c r="AE1556">
        <v>-39.821399999999898</v>
      </c>
      <c r="AF1556">
        <v>-1.9431422706082099E-2</v>
      </c>
      <c r="AG1556">
        <v>-1.1108605072719999</v>
      </c>
      <c r="AH1556">
        <v>39.807039751695598</v>
      </c>
      <c r="AI1556">
        <v>91.598488541776405</v>
      </c>
      <c r="AJ1556">
        <v>90.027968380203802</v>
      </c>
      <c r="AK1556">
        <v>39.822541386002499</v>
      </c>
      <c r="AL1556">
        <v>79.830843386125693</v>
      </c>
      <c r="AM1556">
        <v>94.740661077301695</v>
      </c>
      <c r="AN1556">
        <v>0.99999997822082998</v>
      </c>
    </row>
    <row r="1557" spans="1:40" x14ac:dyDescent="0.25">
      <c r="A1557" t="str">
        <f>"20190304155043731"</f>
        <v>20190304155043731</v>
      </c>
      <c r="B1557" t="str">
        <f>"1551685843728252"</f>
        <v>1551685843728252</v>
      </c>
      <c r="C1557" t="s">
        <v>40</v>
      </c>
      <c r="D1557">
        <v>5.3137230000000004</v>
      </c>
      <c r="E1557">
        <v>0.52926309999999999</v>
      </c>
      <c r="F1557" t="s">
        <v>62</v>
      </c>
      <c r="G1557">
        <v>-191.0086</v>
      </c>
      <c r="H1557" s="1">
        <v>3.8500859999999998E-6</v>
      </c>
      <c r="I1557">
        <v>283.87979999999999</v>
      </c>
      <c r="J1557">
        <v>-192.25880000000001</v>
      </c>
      <c r="K1557">
        <v>1.110846</v>
      </c>
      <c r="L1557">
        <v>327.39139999999998</v>
      </c>
      <c r="M1557">
        <v>2.888479E-2</v>
      </c>
      <c r="N1557">
        <v>-1.2624379999999999E-2</v>
      </c>
      <c r="O1557">
        <v>-0.99950320000000004</v>
      </c>
      <c r="P1557">
        <v>0.10878069999999999</v>
      </c>
      <c r="Q1557">
        <v>0.16417619999999999</v>
      </c>
      <c r="R1557">
        <v>-0.98041500000000004</v>
      </c>
      <c r="S1557">
        <v>8.805847E-2</v>
      </c>
      <c r="T1557">
        <v>-7.7880019999999994E-2</v>
      </c>
      <c r="U1557">
        <v>-3.0632630000000001</v>
      </c>
      <c r="V1557">
        <v>-8.0500169999999996E-2</v>
      </c>
      <c r="W1557">
        <v>0.17653569999999999</v>
      </c>
      <c r="X1557">
        <v>0.9809968</v>
      </c>
      <c r="Y1557">
        <v>1.5470419999999999E-4</v>
      </c>
      <c r="Z1557">
        <v>1.2777439999999999E-2</v>
      </c>
      <c r="AA1557">
        <v>0.99991830000000004</v>
      </c>
      <c r="AB1557">
        <v>19</v>
      </c>
      <c r="AC1557">
        <v>1.2502</v>
      </c>
      <c r="AD1557">
        <v>-1.110842149914</v>
      </c>
      <c r="AE1557">
        <v>-43.511599999999902</v>
      </c>
      <c r="AF1557">
        <v>7.2403888346761402E-3</v>
      </c>
      <c r="AG1557">
        <v>-1.110842149914</v>
      </c>
      <c r="AH1557">
        <v>43.501226997942403</v>
      </c>
      <c r="AI1557">
        <v>91.462780283966197</v>
      </c>
      <c r="AJ1557">
        <v>89.990463631785602</v>
      </c>
      <c r="AK1557">
        <v>43.515408455302001</v>
      </c>
      <c r="AL1557">
        <v>79.831960485532505</v>
      </c>
      <c r="AM1557">
        <v>94.691155820606696</v>
      </c>
      <c r="AN1557">
        <v>0.99999992617737599</v>
      </c>
    </row>
    <row r="1558" spans="1:40" x14ac:dyDescent="0.25">
      <c r="A1558" t="str">
        <f>"20190304155043753"</f>
        <v>20190304155043753</v>
      </c>
      <c r="B1558" t="str">
        <f>"1551685843747775"</f>
        <v>1551685843747775</v>
      </c>
      <c r="C1558" t="s">
        <v>40</v>
      </c>
      <c r="D1558">
        <v>5.1837350000000004</v>
      </c>
      <c r="E1558">
        <v>0.52947279999999997</v>
      </c>
      <c r="F1558" t="s">
        <v>62</v>
      </c>
      <c r="G1558">
        <v>-190.9665</v>
      </c>
      <c r="H1558" s="1">
        <v>3.928158E-6</v>
      </c>
      <c r="I1558">
        <v>283.07209999999998</v>
      </c>
      <c r="J1558">
        <v>-192.25280000000001</v>
      </c>
      <c r="K1558">
        <v>1.1108340000000001</v>
      </c>
      <c r="L1558">
        <v>327.2054</v>
      </c>
      <c r="M1558">
        <v>2.937946E-2</v>
      </c>
      <c r="N1558">
        <v>-1.256647E-2</v>
      </c>
      <c r="O1558">
        <v>-0.99948939999999997</v>
      </c>
      <c r="P1558">
        <v>0.1082016</v>
      </c>
      <c r="Q1558">
        <v>0.16456470000000001</v>
      </c>
      <c r="R1558">
        <v>-0.98041400000000001</v>
      </c>
      <c r="S1558">
        <v>8.9309689999999997E-2</v>
      </c>
      <c r="T1558">
        <v>-7.6768639999999999E-2</v>
      </c>
      <c r="U1558">
        <v>-3.0628359999999999</v>
      </c>
      <c r="V1558">
        <v>-7.9432059999999999E-2</v>
      </c>
      <c r="W1558">
        <v>0.1768689</v>
      </c>
      <c r="X1558">
        <v>0.98102389999999995</v>
      </c>
      <c r="Y1558">
        <v>2.373292E-4</v>
      </c>
      <c r="Z1558">
        <v>1.2476030000000001E-2</v>
      </c>
      <c r="AA1558">
        <v>0.99992219999999998</v>
      </c>
      <c r="AB1558">
        <v>19</v>
      </c>
      <c r="AC1558">
        <v>1.28630000000001</v>
      </c>
      <c r="AD1558">
        <v>-1.1108300718420001</v>
      </c>
      <c r="AE1558">
        <v>-44.133299999999998</v>
      </c>
      <c r="AF1558">
        <v>1.09632327391899E-2</v>
      </c>
      <c r="AG1558">
        <v>-1.1108300718420001</v>
      </c>
      <c r="AH1558">
        <v>44.124109857525397</v>
      </c>
      <c r="AI1558">
        <v>91.442123869449603</v>
      </c>
      <c r="AJ1558">
        <v>89.985764087822304</v>
      </c>
      <c r="AK1558">
        <v>44.138091648370498</v>
      </c>
      <c r="AL1558">
        <v>79.812564833420197</v>
      </c>
      <c r="AM1558">
        <v>94.629056606122901</v>
      </c>
      <c r="AN1558">
        <v>0.99999997615713099</v>
      </c>
    </row>
    <row r="1559" spans="1:40" x14ac:dyDescent="0.25">
      <c r="A1559" t="str">
        <f>"20190304155043776"</f>
        <v>20190304155043776</v>
      </c>
      <c r="B1559" t="str">
        <f>"1551685843768270"</f>
        <v>1551685843768270</v>
      </c>
      <c r="C1559" t="s">
        <v>40</v>
      </c>
      <c r="D1559">
        <v>5.1275519999999997</v>
      </c>
      <c r="E1559">
        <v>0.52954319999999999</v>
      </c>
      <c r="F1559" t="s">
        <v>62</v>
      </c>
      <c r="G1559">
        <v>-190.9547</v>
      </c>
      <c r="H1559" s="1">
        <v>4.120186E-6</v>
      </c>
      <c r="I1559">
        <v>280.89949999999999</v>
      </c>
      <c r="J1559">
        <v>-192.2466</v>
      </c>
      <c r="K1559">
        <v>1.1108180000000001</v>
      </c>
      <c r="L1559">
        <v>327.01280000000003</v>
      </c>
      <c r="M1559">
        <v>2.985463E-2</v>
      </c>
      <c r="N1559">
        <v>-1.2512509999999999E-2</v>
      </c>
      <c r="O1559">
        <v>-0.99947629999999998</v>
      </c>
      <c r="P1559">
        <v>0.1078717</v>
      </c>
      <c r="Q1559">
        <v>0.1641492</v>
      </c>
      <c r="R1559">
        <v>-0.9805199</v>
      </c>
      <c r="S1559">
        <v>8.5861209999999993E-2</v>
      </c>
      <c r="T1559">
        <v>-7.3472739999999995E-2</v>
      </c>
      <c r="U1559">
        <v>-3.0627749999999998</v>
      </c>
      <c r="V1559">
        <v>-7.8627509999999998E-2</v>
      </c>
      <c r="W1559">
        <v>0.17640520000000001</v>
      </c>
      <c r="X1559">
        <v>0.98117220000000005</v>
      </c>
      <c r="Y1559">
        <v>1.83636E-3</v>
      </c>
      <c r="Z1559">
        <v>1.1455740000000001E-2</v>
      </c>
      <c r="AA1559">
        <v>0.99993270000000001</v>
      </c>
      <c r="AB1559">
        <v>19</v>
      </c>
      <c r="AC1559">
        <v>1.2918999999999901</v>
      </c>
      <c r="AD1559">
        <v>-1.1108138798139999</v>
      </c>
      <c r="AE1559">
        <v>-46.113300000000002</v>
      </c>
      <c r="AF1559">
        <v>8.5429204672765796E-2</v>
      </c>
      <c r="AG1559">
        <v>-1.1108138798139999</v>
      </c>
      <c r="AH1559">
        <v>46.104581920411697</v>
      </c>
      <c r="AI1559">
        <v>91.380177945515896</v>
      </c>
      <c r="AJ1559">
        <v>89.893834255312996</v>
      </c>
      <c r="AK1559">
        <v>46.1180407181457</v>
      </c>
      <c r="AL1559">
        <v>79.839557385711203</v>
      </c>
      <c r="AM1559">
        <v>94.581680941407996</v>
      </c>
      <c r="AN1559">
        <v>0.99999998298433901</v>
      </c>
    </row>
    <row r="1560" spans="1:40" x14ac:dyDescent="0.25">
      <c r="A1560" t="str">
        <f>"20190304155043799"</f>
        <v>20190304155043799</v>
      </c>
      <c r="B1560" t="str">
        <f>"1551685843787792"</f>
        <v>1551685843787792</v>
      </c>
      <c r="C1560" t="s">
        <v>40</v>
      </c>
      <c r="D1560">
        <v>5.1152709999999999</v>
      </c>
      <c r="E1560">
        <v>0.52965859999999998</v>
      </c>
      <c r="F1560" t="s">
        <v>62</v>
      </c>
      <c r="G1560">
        <v>-190.97649999999999</v>
      </c>
      <c r="H1560" s="1">
        <v>4.122412E-6</v>
      </c>
      <c r="I1560">
        <v>280.82990000000001</v>
      </c>
      <c r="J1560">
        <v>-192.24029999999999</v>
      </c>
      <c r="K1560">
        <v>1.110795</v>
      </c>
      <c r="L1560">
        <v>326.82229999999998</v>
      </c>
      <c r="M1560">
        <v>3.0281209999999999E-2</v>
      </c>
      <c r="N1560">
        <v>-1.2465800000000001E-2</v>
      </c>
      <c r="O1560">
        <v>-0.99946380000000001</v>
      </c>
      <c r="P1560">
        <v>0.1073146</v>
      </c>
      <c r="Q1560">
        <v>0.16389210000000001</v>
      </c>
      <c r="R1560">
        <v>-0.9806241</v>
      </c>
      <c r="S1560">
        <v>8.4228520000000001E-2</v>
      </c>
      <c r="T1560">
        <v>-7.3664430000000003E-2</v>
      </c>
      <c r="U1560">
        <v>-3.0626530000000001</v>
      </c>
      <c r="V1560">
        <v>-7.7639360000000004E-2</v>
      </c>
      <c r="W1560">
        <v>0.17610719999999999</v>
      </c>
      <c r="X1560">
        <v>0.98130450000000002</v>
      </c>
      <c r="Y1560">
        <v>2.7945069999999999E-3</v>
      </c>
      <c r="Z1560">
        <v>1.1565539999999999E-2</v>
      </c>
      <c r="AA1560">
        <v>0.99992919999999996</v>
      </c>
      <c r="AB1560">
        <v>19</v>
      </c>
      <c r="AC1560">
        <v>1.2638</v>
      </c>
      <c r="AD1560">
        <v>-1.110790877588</v>
      </c>
      <c r="AE1560">
        <v>-45.992399999999897</v>
      </c>
      <c r="AF1560">
        <v>0.129517735869496</v>
      </c>
      <c r="AG1560">
        <v>-1.110790877588</v>
      </c>
      <c r="AH1560">
        <v>45.982776301913198</v>
      </c>
      <c r="AI1560">
        <v>91.3838007773534</v>
      </c>
      <c r="AJ1560">
        <v>89.838617834550107</v>
      </c>
      <c r="AK1560">
        <v>45.996373201040797</v>
      </c>
      <c r="AL1560">
        <v>79.856903967864696</v>
      </c>
      <c r="AM1560">
        <v>94.523733866249202</v>
      </c>
      <c r="AN1560">
        <v>1.00000006891664</v>
      </c>
    </row>
    <row r="1561" spans="1:40" x14ac:dyDescent="0.25">
      <c r="A1561" t="str">
        <f>"20190304155043823"</f>
        <v>20190304155043823</v>
      </c>
      <c r="B1561" t="str">
        <f>"1551685843817576"</f>
        <v>1551685843817576</v>
      </c>
      <c r="C1561" t="s">
        <v>40</v>
      </c>
      <c r="D1561">
        <v>5.4378909999999996</v>
      </c>
      <c r="E1561">
        <v>0.52985550000000003</v>
      </c>
      <c r="F1561" t="s">
        <v>62</v>
      </c>
      <c r="G1561">
        <v>-191.0136</v>
      </c>
      <c r="H1561" s="1">
        <v>4.1034800000000001E-6</v>
      </c>
      <c r="I1561">
        <v>280.97109999999998</v>
      </c>
      <c r="J1561">
        <v>-192.23390000000001</v>
      </c>
      <c r="K1561">
        <v>1.1107640000000001</v>
      </c>
      <c r="L1561">
        <v>326.62610000000001</v>
      </c>
      <c r="M1561">
        <v>3.067079E-2</v>
      </c>
      <c r="N1561">
        <v>-1.2424009999999999E-2</v>
      </c>
      <c r="O1561">
        <v>-0.99945240000000002</v>
      </c>
      <c r="P1561">
        <v>0.10643759999999999</v>
      </c>
      <c r="Q1561">
        <v>0.16383809999999999</v>
      </c>
      <c r="R1561">
        <v>-0.98072859999999995</v>
      </c>
      <c r="S1561">
        <v>8.1939699999999893E-2</v>
      </c>
      <c r="T1561">
        <v>-7.4197289999999999E-2</v>
      </c>
      <c r="U1561">
        <v>-3.0627140000000002</v>
      </c>
      <c r="V1561">
        <v>-7.6364009999999996E-2</v>
      </c>
      <c r="W1561">
        <v>0.17601989999999901</v>
      </c>
      <c r="X1561">
        <v>0.98142019999999996</v>
      </c>
      <c r="Y1561">
        <v>3.9313459999999996E-3</v>
      </c>
      <c r="Z1561">
        <v>1.1780240000000001E-2</v>
      </c>
      <c r="AA1561">
        <v>0.99992289999999995</v>
      </c>
      <c r="AB1561">
        <v>19</v>
      </c>
      <c r="AC1561">
        <v>1.2202999999999999</v>
      </c>
      <c r="AD1561">
        <v>-1.1107598965199901</v>
      </c>
      <c r="AE1561">
        <v>-45.655000000000001</v>
      </c>
      <c r="AF1561">
        <v>0.18055028798355299</v>
      </c>
      <c r="AG1561">
        <v>-1.1107598965199901</v>
      </c>
      <c r="AH1561">
        <v>45.6439499957282</v>
      </c>
      <c r="AI1561">
        <v>91.394024792521606</v>
      </c>
      <c r="AJ1561">
        <v>89.773360641704301</v>
      </c>
      <c r="AK1561">
        <v>45.657820328687897</v>
      </c>
      <c r="AL1561">
        <v>79.861984949223299</v>
      </c>
      <c r="AM1561">
        <v>94.449202778842803</v>
      </c>
      <c r="AN1561">
        <v>1.00000003809366</v>
      </c>
    </row>
    <row r="1562" spans="1:40" x14ac:dyDescent="0.25">
      <c r="A1562" t="str">
        <f>"20190304155043843"</f>
        <v>20190304155043843</v>
      </c>
      <c r="B1562" t="str">
        <f>"1551685843838072"</f>
        <v>1551685843838072</v>
      </c>
      <c r="C1562" t="s">
        <v>40</v>
      </c>
      <c r="D1562">
        <v>5.1541110000000003</v>
      </c>
      <c r="E1562">
        <v>0.56435539999999995</v>
      </c>
      <c r="F1562" t="s">
        <v>62</v>
      </c>
      <c r="G1562">
        <v>-191.05199999999999</v>
      </c>
      <c r="H1562" s="1">
        <v>4.1622669999999997E-6</v>
      </c>
      <c r="I1562">
        <v>280.22070000000002</v>
      </c>
      <c r="J1562">
        <v>-192.22819999999999</v>
      </c>
      <c r="K1562">
        <v>1.110727</v>
      </c>
      <c r="L1562">
        <v>326.45359999999999</v>
      </c>
      <c r="M1562">
        <v>3.0967359999999999E-2</v>
      </c>
      <c r="N1562">
        <v>-1.23917E-2</v>
      </c>
      <c r="O1562">
        <v>-0.99944379999999999</v>
      </c>
      <c r="P1562">
        <v>0.1053847</v>
      </c>
      <c r="Q1562">
        <v>0.16375479999999901</v>
      </c>
      <c r="R1562">
        <v>-0.98085630000000001</v>
      </c>
      <c r="S1562">
        <v>7.8002929999999998E-2</v>
      </c>
      <c r="T1562">
        <v>-7.3309899999999997E-2</v>
      </c>
      <c r="U1562">
        <v>-3.0627439999999999</v>
      </c>
      <c r="V1562">
        <v>-7.5002650000000004E-2</v>
      </c>
      <c r="W1562">
        <v>0.1759124</v>
      </c>
      <c r="X1562">
        <v>0.98154439999999998</v>
      </c>
      <c r="Y1562">
        <v>5.512299E-3</v>
      </c>
      <c r="Z1562">
        <v>1.15228E-2</v>
      </c>
      <c r="AA1562">
        <v>0.99991839999999999</v>
      </c>
      <c r="AB1562">
        <v>19</v>
      </c>
      <c r="AC1562">
        <v>1.1761999999999599</v>
      </c>
      <c r="AD1562">
        <v>-1.1107228377330001</v>
      </c>
      <c r="AE1562">
        <v>-46.232899999999901</v>
      </c>
      <c r="AF1562">
        <v>0.25603699085350101</v>
      </c>
      <c r="AG1562">
        <v>-1.1107228377330001</v>
      </c>
      <c r="AH1562">
        <v>46.220489575964201</v>
      </c>
      <c r="AI1562">
        <v>91.376586648746198</v>
      </c>
      <c r="AJ1562">
        <v>89.682615025047397</v>
      </c>
      <c r="AK1562">
        <v>46.2345424634522</v>
      </c>
      <c r="AL1562">
        <v>79.868241380262205</v>
      </c>
      <c r="AM1562">
        <v>94.369644949277998</v>
      </c>
      <c r="AN1562">
        <v>0.99999998957607095</v>
      </c>
    </row>
    <row r="1563" spans="1:40" x14ac:dyDescent="0.25">
      <c r="A1563" t="str">
        <f>"20190304155043866"</f>
        <v>20190304155043866</v>
      </c>
      <c r="B1563" t="str">
        <f>"1551685843858567"</f>
        <v>1551685843858567</v>
      </c>
      <c r="C1563" t="s">
        <v>40</v>
      </c>
      <c r="D1563">
        <v>5.1609850000000002</v>
      </c>
      <c r="E1563">
        <v>0.5664479</v>
      </c>
      <c r="F1563" t="s">
        <v>65</v>
      </c>
      <c r="G1563">
        <v>-211.40520000000001</v>
      </c>
      <c r="H1563">
        <v>1.659937</v>
      </c>
      <c r="I1563">
        <v>28.79354</v>
      </c>
      <c r="J1563">
        <v>-192.2217</v>
      </c>
      <c r="K1563">
        <v>1.1106819999999999</v>
      </c>
      <c r="L1563">
        <v>326.2577</v>
      </c>
      <c r="M1563">
        <v>3.1248959999999999E-2</v>
      </c>
      <c r="N1563">
        <v>-1.2359230000000001E-2</v>
      </c>
      <c r="O1563">
        <v>-0.99943539999999997</v>
      </c>
      <c r="P1563">
        <v>0.10483580000000001</v>
      </c>
      <c r="Q1563">
        <v>0.16343379999999999</v>
      </c>
      <c r="R1563">
        <v>-0.98096850000000002</v>
      </c>
      <c r="S1563">
        <v>-0.19836429999999999</v>
      </c>
      <c r="T1563">
        <v>5.6807990000000003E-3</v>
      </c>
      <c r="U1563">
        <v>-3.0789490000000002</v>
      </c>
      <c r="V1563">
        <v>-7.4156369999999999E-2</v>
      </c>
      <c r="W1563">
        <v>0.1755678</v>
      </c>
      <c r="X1563">
        <v>0.98167040000000005</v>
      </c>
      <c r="Y1563">
        <v>9.5435259999999994E-2</v>
      </c>
      <c r="Z1563">
        <v>-1.4209080000000001E-2</v>
      </c>
      <c r="AA1563">
        <v>0.99533419999999895</v>
      </c>
      <c r="AB1563">
        <v>19</v>
      </c>
      <c r="AC1563">
        <v>-19.183499999999999</v>
      </c>
      <c r="AD1563">
        <v>0.54925500000000005</v>
      </c>
      <c r="AE1563">
        <v>-297.46415999999999</v>
      </c>
      <c r="AF1563">
        <v>28.470187255378899</v>
      </c>
      <c r="AG1563">
        <v>0.54925500000000005</v>
      </c>
      <c r="AH1563">
        <v>296.71834832945802</v>
      </c>
      <c r="AI1563">
        <v>89.894424839575294</v>
      </c>
      <c r="AJ1563">
        <v>84.519236385393597</v>
      </c>
      <c r="AK1563">
        <v>298.08158527284598</v>
      </c>
      <c r="AL1563">
        <v>79.888297725038996</v>
      </c>
      <c r="AM1563">
        <v>94.319976082405404</v>
      </c>
      <c r="AN1563">
        <v>0.99999999692228803</v>
      </c>
    </row>
    <row r="1564" spans="1:40" x14ac:dyDescent="0.25">
      <c r="A1564" t="str">
        <f>"20190304155043888"</f>
        <v>20190304155043888</v>
      </c>
      <c r="B1564" t="str">
        <f>"1551685843878091"</f>
        <v>1551685843878091</v>
      </c>
      <c r="C1564" t="s">
        <v>40</v>
      </c>
      <c r="D1564">
        <v>5.1736149999999999</v>
      </c>
      <c r="E1564">
        <v>0.56736390000000003</v>
      </c>
      <c r="F1564" t="s">
        <v>59</v>
      </c>
      <c r="G1564">
        <v>-212.22569999999999</v>
      </c>
      <c r="H1564">
        <v>1.5534539999999999</v>
      </c>
      <c r="I1564">
        <v>42.111739999999998</v>
      </c>
      <c r="J1564">
        <v>-192.21549999999999</v>
      </c>
      <c r="K1564">
        <v>1.1106450000000001</v>
      </c>
      <c r="L1564">
        <v>326.06849999999997</v>
      </c>
      <c r="M1564">
        <v>3.145444E-2</v>
      </c>
      <c r="N1564">
        <v>-1.2332360000000001E-2</v>
      </c>
      <c r="O1564">
        <v>-0.99942920000000002</v>
      </c>
      <c r="P1564">
        <v>0.1042878</v>
      </c>
      <c r="Q1564">
        <v>0.16360539999999901</v>
      </c>
      <c r="R1564">
        <v>-0.9809985</v>
      </c>
      <c r="S1564">
        <v>-0.21687319999999999</v>
      </c>
      <c r="T1564">
        <v>4.8004390000000001E-3</v>
      </c>
      <c r="U1564">
        <v>-3.0805660000000001</v>
      </c>
      <c r="V1564">
        <v>-7.339039E-2</v>
      </c>
      <c r="W1564">
        <v>0.17571989999999901</v>
      </c>
      <c r="X1564">
        <v>0.98170080000000004</v>
      </c>
      <c r="Y1564">
        <v>0.10155749999999999</v>
      </c>
      <c r="Z1564">
        <v>-1.3897069999999999E-2</v>
      </c>
      <c r="AA1564">
        <v>0.99473259999999997</v>
      </c>
      <c r="AB1564">
        <v>19</v>
      </c>
      <c r="AC1564">
        <v>-20.010200000000001</v>
      </c>
      <c r="AD1564">
        <v>0.44280900000000001</v>
      </c>
      <c r="AE1564">
        <v>-283.95675999999997</v>
      </c>
      <c r="AF1564">
        <v>28.932606447269102</v>
      </c>
      <c r="AG1564">
        <v>0.44280900000000001</v>
      </c>
      <c r="AH1564">
        <v>283.18609037116801</v>
      </c>
      <c r="AI1564">
        <v>89.910872464862393</v>
      </c>
      <c r="AJ1564">
        <v>84.166436064040994</v>
      </c>
      <c r="AK1564">
        <v>284.66059364680302</v>
      </c>
      <c r="AL1564">
        <v>79.879445925657507</v>
      </c>
      <c r="AM1564">
        <v>94.275388367463606</v>
      </c>
      <c r="AN1564">
        <v>1.0000000466604999</v>
      </c>
    </row>
    <row r="1565" spans="1:40" x14ac:dyDescent="0.25">
      <c r="A1565" t="str">
        <f>"20190304155043911"</f>
        <v>20190304155043911</v>
      </c>
      <c r="B1565" t="str">
        <f>"1551685843908343"</f>
        <v>1551685843908343</v>
      </c>
      <c r="C1565" t="s">
        <v>40</v>
      </c>
      <c r="D1565">
        <v>5.1531229999999999</v>
      </c>
      <c r="E1565">
        <v>0.56838659999999996</v>
      </c>
      <c r="F1565" t="s">
        <v>59</v>
      </c>
      <c r="G1565">
        <v>-212.22579999999999</v>
      </c>
      <c r="H1565">
        <v>1.951424</v>
      </c>
      <c r="I1565">
        <v>53.166849999999997</v>
      </c>
      <c r="J1565">
        <v>-192.20939999999999</v>
      </c>
      <c r="K1565">
        <v>1.1106100000000001</v>
      </c>
      <c r="L1565">
        <v>325.8793</v>
      </c>
      <c r="M1565">
        <v>3.1593639999999999E-2</v>
      </c>
      <c r="N1565">
        <v>-1.2308960000000001E-2</v>
      </c>
      <c r="O1565">
        <v>-0.99942520000000001</v>
      </c>
      <c r="P1565">
        <v>0.1037655</v>
      </c>
      <c r="Q1565">
        <v>0.16420299999999999</v>
      </c>
      <c r="R1565">
        <v>-0.98095390000000005</v>
      </c>
      <c r="S1565">
        <v>-0.22587589999999999</v>
      </c>
      <c r="T1565">
        <v>9.4908479999999996E-3</v>
      </c>
      <c r="U1565">
        <v>-3.080505</v>
      </c>
      <c r="V1565">
        <v>-7.2719399999999906E-2</v>
      </c>
      <c r="W1565">
        <v>0.1762996</v>
      </c>
      <c r="X1565">
        <v>0.98164680000000004</v>
      </c>
      <c r="Y1565">
        <v>0.1045883</v>
      </c>
      <c r="Z1565">
        <v>-1.538897E-2</v>
      </c>
      <c r="AA1565">
        <v>0.99439650000000002</v>
      </c>
      <c r="AB1565">
        <v>19</v>
      </c>
      <c r="AC1565">
        <v>-20.016400000000001</v>
      </c>
      <c r="AD1565">
        <v>0.84081399999999995</v>
      </c>
      <c r="AE1565">
        <v>-272.71244999999999</v>
      </c>
      <c r="AF1565">
        <v>28.622765633841599</v>
      </c>
      <c r="AG1565">
        <v>0.84081399999999995</v>
      </c>
      <c r="AH1565">
        <v>271.94128047267799</v>
      </c>
      <c r="AI1565">
        <v>89.823821192449302</v>
      </c>
      <c r="AJ1565">
        <v>83.991542571274707</v>
      </c>
      <c r="AK1565">
        <v>273.44474708034198</v>
      </c>
      <c r="AL1565">
        <v>79.845704845862599</v>
      </c>
      <c r="AM1565">
        <v>94.236674721678398</v>
      </c>
      <c r="AN1565">
        <v>1.0000000500233699</v>
      </c>
    </row>
    <row r="1566" spans="1:40" x14ac:dyDescent="0.25">
      <c r="A1566" t="str">
        <f>"20190304155043930"</f>
        <v>20190304155043930</v>
      </c>
      <c r="B1566" t="str">
        <f>"1551685843927863"</f>
        <v>1551685843927863</v>
      </c>
      <c r="C1566" t="s">
        <v>40</v>
      </c>
      <c r="D1566">
        <v>5.1569019999999997</v>
      </c>
      <c r="E1566">
        <v>0.56832119999999997</v>
      </c>
      <c r="F1566" t="s">
        <v>59</v>
      </c>
      <c r="G1566">
        <v>-211.73410000000001</v>
      </c>
      <c r="H1566">
        <v>2.1356280000000001</v>
      </c>
      <c r="I1566">
        <v>70.567830000000001</v>
      </c>
      <c r="J1566">
        <v>-192.20400000000001</v>
      </c>
      <c r="K1566">
        <v>1.1105929999999999</v>
      </c>
      <c r="L1566">
        <v>325.71379999999999</v>
      </c>
      <c r="M1566">
        <v>3.1674420000000002E-2</v>
      </c>
      <c r="N1566">
        <v>-1.2291089999999999E-2</v>
      </c>
      <c r="O1566">
        <v>-0.99942279999999994</v>
      </c>
      <c r="P1566">
        <v>0.1034548</v>
      </c>
      <c r="Q1566">
        <v>0.16519259999999999</v>
      </c>
      <c r="R1566">
        <v>-0.98082049999999998</v>
      </c>
      <c r="S1566">
        <v>-0.23562620000000001</v>
      </c>
      <c r="T1566">
        <v>1.2370229999999999E-2</v>
      </c>
      <c r="U1566">
        <v>-3.0811160000000002</v>
      </c>
      <c r="V1566">
        <v>-7.2324109999999997E-2</v>
      </c>
      <c r="W1566">
        <v>0.17727390000000001</v>
      </c>
      <c r="X1566">
        <v>0.98150040000000005</v>
      </c>
      <c r="Y1566">
        <v>0.1077824</v>
      </c>
      <c r="Z1566">
        <v>-1.6299830000000001E-2</v>
      </c>
      <c r="AA1566">
        <v>0.99404090000000001</v>
      </c>
      <c r="AB1566">
        <v>19</v>
      </c>
      <c r="AC1566">
        <v>-19.530100000000001</v>
      </c>
      <c r="AD1566">
        <v>1.0250349999999999</v>
      </c>
      <c r="AE1566">
        <v>-255.14597000000001</v>
      </c>
      <c r="AF1566">
        <v>27.602066222138301</v>
      </c>
      <c r="AG1566">
        <v>1.0250349999999999</v>
      </c>
      <c r="AH1566">
        <v>254.395195337085</v>
      </c>
      <c r="AI1566">
        <v>89.770486263562006</v>
      </c>
      <c r="AJ1566">
        <v>83.807589733265999</v>
      </c>
      <c r="AK1566">
        <v>255.890289317661</v>
      </c>
      <c r="AL1566">
        <v>79.7889869329139</v>
      </c>
      <c r="AM1566">
        <v>94.214354323701997</v>
      </c>
      <c r="AN1566">
        <v>0.99999992385432801</v>
      </c>
    </row>
    <row r="1567" spans="1:40" x14ac:dyDescent="0.25">
      <c r="A1567" t="str">
        <f>"20190304155043954"</f>
        <v>20190304155043954</v>
      </c>
      <c r="B1567" t="str">
        <f>"1551685843948359"</f>
        <v>1551685843948359</v>
      </c>
      <c r="C1567" t="s">
        <v>40</v>
      </c>
      <c r="D1567">
        <v>5.1171089999999904</v>
      </c>
      <c r="E1567">
        <v>0.56824549999999996</v>
      </c>
      <c r="F1567" t="s">
        <v>59</v>
      </c>
      <c r="G1567">
        <v>-211.7388</v>
      </c>
      <c r="H1567">
        <v>2.5049790000000001</v>
      </c>
      <c r="I1567">
        <v>70.567830000000001</v>
      </c>
      <c r="J1567">
        <v>-192.1978</v>
      </c>
      <c r="K1567">
        <v>1.110573</v>
      </c>
      <c r="L1567">
        <v>325.52080000000001</v>
      </c>
      <c r="M1567">
        <v>3.1724580000000002E-2</v>
      </c>
      <c r="N1567">
        <v>-1.2272949999999999E-2</v>
      </c>
      <c r="O1567">
        <v>-0.99942140000000002</v>
      </c>
      <c r="P1567">
        <v>0.1031715</v>
      </c>
      <c r="Q1567">
        <v>0.1659582</v>
      </c>
      <c r="R1567">
        <v>-0.98072090000000001</v>
      </c>
      <c r="S1567">
        <v>-0.23587040000000001</v>
      </c>
      <c r="T1567">
        <v>1.6836520000000001E-2</v>
      </c>
      <c r="U1567">
        <v>-3.0807190000000002</v>
      </c>
      <c r="V1567">
        <v>-7.1986110000000006E-2</v>
      </c>
      <c r="W1567">
        <v>0.17802379999999901</v>
      </c>
      <c r="X1567">
        <v>0.98138959999999997</v>
      </c>
      <c r="Y1567">
        <v>0.1079194</v>
      </c>
      <c r="Z1567">
        <v>-1.772425E-2</v>
      </c>
      <c r="AA1567">
        <v>0.99400160000000004</v>
      </c>
      <c r="AB1567">
        <v>19</v>
      </c>
      <c r="AC1567">
        <v>-19.541</v>
      </c>
      <c r="AD1567">
        <v>1.394406</v>
      </c>
      <c r="AE1567">
        <v>-254.95296999999999</v>
      </c>
      <c r="AF1567">
        <v>27.619225454642098</v>
      </c>
      <c r="AG1567">
        <v>1.394406</v>
      </c>
      <c r="AH1567">
        <v>254.19708380581301</v>
      </c>
      <c r="AI1567">
        <v>89.687544263213297</v>
      </c>
      <c r="AJ1567">
        <v>83.798978566847595</v>
      </c>
      <c r="AK1567">
        <v>255.69693662261</v>
      </c>
      <c r="AL1567">
        <v>79.745327250609506</v>
      </c>
      <c r="AM1567">
        <v>94.195201296321798</v>
      </c>
      <c r="AN1567">
        <v>1.0000000101937601</v>
      </c>
    </row>
    <row r="1568" spans="1:40" x14ac:dyDescent="0.25">
      <c r="A1568" t="str">
        <f>"20190304155043977"</f>
        <v>20190304155043977</v>
      </c>
      <c r="B1568" t="str">
        <f>"1551685843967883"</f>
        <v>1551685843967883</v>
      </c>
      <c r="C1568" t="s">
        <v>40</v>
      </c>
      <c r="D1568">
        <v>5.1933259999999999</v>
      </c>
      <c r="E1568">
        <v>0.56837890000000002</v>
      </c>
      <c r="F1568" t="s">
        <v>59</v>
      </c>
      <c r="G1568">
        <v>-211.71449999999999</v>
      </c>
      <c r="H1568">
        <v>2.3555350000000002</v>
      </c>
      <c r="I1568">
        <v>70.567830000000001</v>
      </c>
      <c r="J1568">
        <v>-192.19159999999999</v>
      </c>
      <c r="K1568">
        <v>1.1105590000000001</v>
      </c>
      <c r="L1568">
        <v>325.32810000000001</v>
      </c>
      <c r="M1568">
        <v>3.1738910000000002E-2</v>
      </c>
      <c r="N1568">
        <v>-1.2257280000000001E-2</v>
      </c>
      <c r="O1568">
        <v>-0.99942120000000001</v>
      </c>
      <c r="P1568">
        <v>0.1031507</v>
      </c>
      <c r="Q1568">
        <v>0.16617409999999999</v>
      </c>
      <c r="R1568">
        <v>-0.98068679999999997</v>
      </c>
      <c r="S1568">
        <v>-0.23587040000000001</v>
      </c>
      <c r="T1568">
        <v>1.5046240000000001E-2</v>
      </c>
      <c r="U1568">
        <v>-3.0812379999999999</v>
      </c>
      <c r="V1568">
        <v>-7.1944590000000003E-2</v>
      </c>
      <c r="W1568">
        <v>0.17822650000000001</v>
      </c>
      <c r="X1568">
        <v>0.9813558</v>
      </c>
      <c r="Y1568">
        <v>0.1079214</v>
      </c>
      <c r="Z1568">
        <v>-1.7129709999999999E-2</v>
      </c>
      <c r="AA1568">
        <v>0.9940118</v>
      </c>
      <c r="AB1568">
        <v>19</v>
      </c>
      <c r="AC1568">
        <v>-19.5229</v>
      </c>
      <c r="AD1568">
        <v>1.2449759999999901</v>
      </c>
      <c r="AE1568">
        <v>-254.76026999999999</v>
      </c>
      <c r="AF1568">
        <v>27.5988269273473</v>
      </c>
      <c r="AG1568">
        <v>1.2449759999999901</v>
      </c>
      <c r="AH1568">
        <v>254.00618836365001</v>
      </c>
      <c r="AI1568">
        <v>89.720818066239502</v>
      </c>
      <c r="AJ1568">
        <v>83.798902144776505</v>
      </c>
      <c r="AK1568">
        <v>255.50418575834701</v>
      </c>
      <c r="AL1568">
        <v>79.7335241029744</v>
      </c>
      <c r="AM1568">
        <v>94.192934122039205</v>
      </c>
      <c r="AN1568">
        <v>0.99999995776307804</v>
      </c>
    </row>
    <row r="1569" spans="1:40" x14ac:dyDescent="0.25">
      <c r="A1569" t="str">
        <f>"20190304155043999"</f>
        <v>20190304155043999</v>
      </c>
      <c r="B1569" t="str">
        <f>"1551685843988375"</f>
        <v>1551685843988375</v>
      </c>
      <c r="C1569" t="s">
        <v>40</v>
      </c>
      <c r="D1569">
        <v>5.1631580000000001</v>
      </c>
      <c r="E1569">
        <v>0.56865919999999903</v>
      </c>
      <c r="F1569" t="s">
        <v>59</v>
      </c>
      <c r="G1569">
        <v>-211.77459999999999</v>
      </c>
      <c r="H1569">
        <v>2.5729649999999999</v>
      </c>
      <c r="I1569">
        <v>70.567830000000001</v>
      </c>
      <c r="J1569">
        <v>-192.1859</v>
      </c>
      <c r="K1569">
        <v>1.11054599999999</v>
      </c>
      <c r="L1569">
        <v>325.14760000000001</v>
      </c>
      <c r="M1569">
        <v>3.1729439999999998E-2</v>
      </c>
      <c r="N1569">
        <v>-1.224454E-2</v>
      </c>
      <c r="O1569">
        <v>-0.99942169999999997</v>
      </c>
      <c r="P1569">
        <v>0.10310660000000001</v>
      </c>
      <c r="Q1569">
        <v>0.1662691</v>
      </c>
      <c r="R1569">
        <v>-0.98067530000000003</v>
      </c>
      <c r="S1569">
        <v>-0.23683170000000001</v>
      </c>
      <c r="T1569">
        <v>1.7686130000000001E-2</v>
      </c>
      <c r="U1569">
        <v>-3.080994</v>
      </c>
      <c r="V1569">
        <v>-7.1903209999999995E-2</v>
      </c>
      <c r="W1569">
        <v>0.1783119</v>
      </c>
      <c r="X1569">
        <v>0.98134339999999998</v>
      </c>
      <c r="Y1569">
        <v>0.10822569999999999</v>
      </c>
      <c r="Z1569">
        <v>-1.7969510000000001E-2</v>
      </c>
      <c r="AA1569">
        <v>0.99396399999999996</v>
      </c>
      <c r="AB1569">
        <v>19</v>
      </c>
      <c r="AC1569">
        <v>-19.5886999999999</v>
      </c>
      <c r="AD1569">
        <v>1.4624189999999999</v>
      </c>
      <c r="AE1569">
        <v>-254.57977</v>
      </c>
      <c r="AF1569">
        <v>27.656205706786299</v>
      </c>
      <c r="AG1569">
        <v>1.4624189999999999</v>
      </c>
      <c r="AH1569">
        <v>253.82165711114499</v>
      </c>
      <c r="AI1569">
        <v>89.671830499135893</v>
      </c>
      <c r="AJ1569">
        <v>83.781628440318002</v>
      </c>
      <c r="AK1569">
        <v>255.32809873195501</v>
      </c>
      <c r="AL1569">
        <v>79.728552211814204</v>
      </c>
      <c r="AM1569">
        <v>94.190583849033104</v>
      </c>
      <c r="AN1569">
        <v>1.0000000370067299</v>
      </c>
    </row>
    <row r="1570" spans="1:40" x14ac:dyDescent="0.25">
      <c r="A1570" t="str">
        <f>"20190304155044023"</f>
        <v>20190304155044023</v>
      </c>
      <c r="B1570" t="str">
        <f>"1551685844017656"</f>
        <v>1551685844017656</v>
      </c>
      <c r="C1570" t="s">
        <v>40</v>
      </c>
      <c r="D1570">
        <v>5.2128969999999999</v>
      </c>
      <c r="E1570">
        <v>0.56887129999999997</v>
      </c>
      <c r="F1570" t="s">
        <v>59</v>
      </c>
      <c r="G1570">
        <v>-211.96549999999999</v>
      </c>
      <c r="H1570">
        <v>2.524305</v>
      </c>
      <c r="I1570">
        <v>70.567830000000001</v>
      </c>
      <c r="J1570">
        <v>-192.17930000000001</v>
      </c>
      <c r="K1570">
        <v>1.1105339999999999</v>
      </c>
      <c r="L1570">
        <v>324.94060000000002</v>
      </c>
      <c r="M1570">
        <v>3.1701809999999997E-2</v>
      </c>
      <c r="N1570">
        <v>-1.2231880000000001E-2</v>
      </c>
      <c r="O1570">
        <v>-0.99942260000000005</v>
      </c>
      <c r="P1570">
        <v>0.1029196</v>
      </c>
      <c r="Q1570">
        <v>0.16628189999999901</v>
      </c>
      <c r="R1570">
        <v>-0.98069269999999997</v>
      </c>
      <c r="S1570">
        <v>-0.2394104</v>
      </c>
      <c r="T1570">
        <v>1.7112140000000001E-2</v>
      </c>
      <c r="U1570">
        <v>-3.0813899999999999</v>
      </c>
      <c r="V1570">
        <v>-7.1738469999999999E-2</v>
      </c>
      <c r="W1570">
        <v>0.17831420000000001</v>
      </c>
      <c r="X1570">
        <v>0.98135499999999998</v>
      </c>
      <c r="Y1570">
        <v>0.1090154</v>
      </c>
      <c r="Z1570">
        <v>-1.7770560000000001E-2</v>
      </c>
      <c r="AA1570">
        <v>0.99388120000000002</v>
      </c>
      <c r="AB1570">
        <v>19</v>
      </c>
      <c r="AC1570">
        <v>-19.786199999999901</v>
      </c>
      <c r="AD1570">
        <v>1.4137709999999899</v>
      </c>
      <c r="AE1570">
        <v>-254.37277</v>
      </c>
      <c r="AF1570">
        <v>27.840078522193998</v>
      </c>
      <c r="AG1570">
        <v>1.4137709999999899</v>
      </c>
      <c r="AH1570">
        <v>253.60980372022701</v>
      </c>
      <c r="AI1570">
        <v>89.682509961138805</v>
      </c>
      <c r="AJ1570">
        <v>83.735425337714702</v>
      </c>
      <c r="AK1570">
        <v>255.13722045905899</v>
      </c>
      <c r="AL1570">
        <v>79.728417890694303</v>
      </c>
      <c r="AM1570">
        <v>94.180967494188707</v>
      </c>
      <c r="AN1570">
        <v>0.99999999901228998</v>
      </c>
    </row>
    <row r="1571" spans="1:40" x14ac:dyDescent="0.25">
      <c r="A1571" t="str">
        <f>"20190304155044044"</f>
        <v>20190304155044044</v>
      </c>
      <c r="B1571" t="str">
        <f>"1551685844038152"</f>
        <v>1551685844038152</v>
      </c>
      <c r="C1571" t="s">
        <v>40</v>
      </c>
      <c r="D1571">
        <v>5.1878909999999996</v>
      </c>
      <c r="E1571">
        <v>0.56914399999999998</v>
      </c>
      <c r="F1571" t="s">
        <v>59</v>
      </c>
      <c r="G1571">
        <v>-212.13910000000001</v>
      </c>
      <c r="H1571">
        <v>2.6887349999999999</v>
      </c>
      <c r="I1571">
        <v>70.567830000000001</v>
      </c>
      <c r="J1571">
        <v>-192.17359999999999</v>
      </c>
      <c r="K1571">
        <v>1.11053</v>
      </c>
      <c r="L1571">
        <v>324.76119999999997</v>
      </c>
      <c r="M1571">
        <v>3.1672279999999997E-2</v>
      </c>
      <c r="N1571">
        <v>-1.22224E-2</v>
      </c>
      <c r="O1571">
        <v>-0.99942379999999997</v>
      </c>
      <c r="P1571">
        <v>0.1026035</v>
      </c>
      <c r="Q1571">
        <v>0.166185</v>
      </c>
      <c r="R1571">
        <v>-0.98074249999999996</v>
      </c>
      <c r="S1571">
        <v>-0.2417755</v>
      </c>
      <c r="T1571">
        <v>1.9117120000000001E-2</v>
      </c>
      <c r="U1571">
        <v>-3.0812379999999999</v>
      </c>
      <c r="V1571">
        <v>-7.1450669999999994E-2</v>
      </c>
      <c r="W1571">
        <v>0.17820820000000001</v>
      </c>
      <c r="X1571">
        <v>0.98139520000000002</v>
      </c>
      <c r="Y1571">
        <v>0.1097476</v>
      </c>
      <c r="Z1571">
        <v>-1.8408230000000001E-2</v>
      </c>
      <c r="AA1571">
        <v>0.99378900000000003</v>
      </c>
      <c r="AB1571">
        <v>19</v>
      </c>
      <c r="AC1571">
        <v>-19.965499999999999</v>
      </c>
      <c r="AD1571">
        <v>1.5782050000000001</v>
      </c>
      <c r="AE1571">
        <v>-254.19336999999999</v>
      </c>
      <c r="AF1571">
        <v>28.005892206156801</v>
      </c>
      <c r="AG1571">
        <v>1.5782050000000001</v>
      </c>
      <c r="AH1571">
        <v>253.42371508632499</v>
      </c>
      <c r="AI1571">
        <v>89.645352092992795</v>
      </c>
      <c r="AJ1571">
        <v>83.693823245472899</v>
      </c>
      <c r="AK1571">
        <v>254.97137113299601</v>
      </c>
      <c r="AL1571">
        <v>79.734589590557306</v>
      </c>
      <c r="AM1571">
        <v>94.164083459179594</v>
      </c>
      <c r="AN1571">
        <v>0.99999994968686301</v>
      </c>
    </row>
    <row r="1572" spans="1:40" x14ac:dyDescent="0.25">
      <c r="A1572" t="str">
        <f>"20190304155044067"</f>
        <v>20190304155044067</v>
      </c>
      <c r="B1572" t="str">
        <f>"1551685844057671"</f>
        <v>1551685844057671</v>
      </c>
      <c r="C1572" t="s">
        <v>40</v>
      </c>
      <c r="D1572">
        <v>5.189324</v>
      </c>
      <c r="E1572">
        <v>0.56938120000000003</v>
      </c>
      <c r="F1572" t="s">
        <v>59</v>
      </c>
      <c r="G1572">
        <v>-212.226</v>
      </c>
      <c r="H1572">
        <v>2.555196</v>
      </c>
      <c r="I1572">
        <v>72.434939999999997</v>
      </c>
      <c r="J1572">
        <v>-192.1678</v>
      </c>
      <c r="K1572">
        <v>1.1105370000000001</v>
      </c>
      <c r="L1572">
        <v>324.5763</v>
      </c>
      <c r="M1572">
        <v>3.1644489999999997E-2</v>
      </c>
      <c r="N1572">
        <v>-1.221389E-2</v>
      </c>
      <c r="O1572">
        <v>-0.9994248</v>
      </c>
      <c r="P1572">
        <v>0.1023138</v>
      </c>
      <c r="Q1572">
        <v>0.16587879999999899</v>
      </c>
      <c r="R1572">
        <v>-0.98082449999999999</v>
      </c>
      <c r="S1572">
        <v>-0.2448883</v>
      </c>
      <c r="T1572">
        <v>1.764309E-2</v>
      </c>
      <c r="U1572">
        <v>-3.081512</v>
      </c>
      <c r="V1572">
        <v>-7.1190870000000003E-2</v>
      </c>
      <c r="W1572">
        <v>0.17789240000000001</v>
      </c>
      <c r="X1572">
        <v>0.98147139999999999</v>
      </c>
      <c r="Y1572">
        <v>0.110711</v>
      </c>
      <c r="Z1572">
        <v>-1.7923100000000001E-2</v>
      </c>
      <c r="AA1572">
        <v>0.99369099999999999</v>
      </c>
      <c r="AB1572">
        <v>19</v>
      </c>
      <c r="AC1572">
        <v>-20.058199999999999</v>
      </c>
      <c r="AD1572">
        <v>1.4446589999999999</v>
      </c>
      <c r="AE1572">
        <v>-252.14135999999999</v>
      </c>
      <c r="AF1572">
        <v>28.026716864698599</v>
      </c>
      <c r="AG1572">
        <v>1.4446589999999999</v>
      </c>
      <c r="AH1572">
        <v>251.372086908353</v>
      </c>
      <c r="AI1572">
        <v>89.672747130756605</v>
      </c>
      <c r="AJ1572">
        <v>83.638085335734203</v>
      </c>
      <c r="AK1572">
        <v>252.93380551935101</v>
      </c>
      <c r="AL1572">
        <v>79.752977698517199</v>
      </c>
      <c r="AM1572">
        <v>94.148674512392503</v>
      </c>
      <c r="AN1572">
        <v>0.99999997748353797</v>
      </c>
    </row>
    <row r="1573" spans="1:40" x14ac:dyDescent="0.25">
      <c r="A1573" t="str">
        <f>"20190304155044088"</f>
        <v>20190304155044088</v>
      </c>
      <c r="B1573" t="str">
        <f>"1551685844078167"</f>
        <v>1551685844078167</v>
      </c>
      <c r="C1573" t="s">
        <v>40</v>
      </c>
      <c r="D1573">
        <v>5.1952949999999998</v>
      </c>
      <c r="E1573">
        <v>0.56950449999999997</v>
      </c>
      <c r="F1573" t="s">
        <v>59</v>
      </c>
      <c r="G1573">
        <v>-212.226</v>
      </c>
      <c r="H1573">
        <v>2.4090199999999999</v>
      </c>
      <c r="I1573">
        <v>74.821069999999906</v>
      </c>
      <c r="J1573">
        <v>-192.16210000000001</v>
      </c>
      <c r="K1573">
        <v>1.1105480000000001</v>
      </c>
      <c r="L1573">
        <v>324.39330000000001</v>
      </c>
      <c r="M1573">
        <v>3.1624720000000002E-2</v>
      </c>
      <c r="N1573">
        <v>-1.220663E-2</v>
      </c>
      <c r="O1573">
        <v>-0.99942549999999997</v>
      </c>
      <c r="P1573">
        <v>0.1021663</v>
      </c>
      <c r="Q1573">
        <v>0.16515160000000001</v>
      </c>
      <c r="R1573">
        <v>-0.98096249999999996</v>
      </c>
      <c r="S1573">
        <v>-0.24749760000000001</v>
      </c>
      <c r="T1573">
        <v>1.6022209999999999E-2</v>
      </c>
      <c r="U1573">
        <v>-3.0817260000000002</v>
      </c>
      <c r="V1573">
        <v>-7.1066130000000005E-2</v>
      </c>
      <c r="W1573">
        <v>0.1771566</v>
      </c>
      <c r="X1573">
        <v>0.98161350000000003</v>
      </c>
      <c r="Y1573">
        <v>0.1115222</v>
      </c>
      <c r="Z1573">
        <v>-1.7392149999999999E-2</v>
      </c>
      <c r="AA1573">
        <v>0.99360970000000004</v>
      </c>
      <c r="AB1573">
        <v>19</v>
      </c>
      <c r="AC1573">
        <v>-20.063899999999901</v>
      </c>
      <c r="AD1573">
        <v>1.2984719999999901</v>
      </c>
      <c r="AE1573">
        <v>-249.57222999999999</v>
      </c>
      <c r="AF1573">
        <v>27.9463493668305</v>
      </c>
      <c r="AG1573">
        <v>1.2984719999999901</v>
      </c>
      <c r="AH1573">
        <v>248.80612473251901</v>
      </c>
      <c r="AI1573">
        <v>89.702855409313898</v>
      </c>
      <c r="AJ1573">
        <v>83.591296519527504</v>
      </c>
      <c r="AK1573">
        <v>250.37406450525401</v>
      </c>
      <c r="AL1573">
        <v>79.795816183481605</v>
      </c>
      <c r="AM1573">
        <v>94.140833122660595</v>
      </c>
      <c r="AN1573">
        <v>0.99999995956949195</v>
      </c>
    </row>
    <row r="1574" spans="1:40" x14ac:dyDescent="0.25">
      <c r="A1574" t="str">
        <f>"20190304155044110"</f>
        <v>20190304155044110</v>
      </c>
      <c r="B1574" t="str">
        <f>"1551685844108424"</f>
        <v>1551685844108424</v>
      </c>
      <c r="C1574" t="s">
        <v>40</v>
      </c>
      <c r="D1574">
        <v>5.1973770000000004</v>
      </c>
      <c r="E1574">
        <v>0.56967749999999995</v>
      </c>
      <c r="F1574" t="s">
        <v>59</v>
      </c>
      <c r="G1574">
        <v>-212.2259</v>
      </c>
      <c r="H1574">
        <v>2.2022370000000002</v>
      </c>
      <c r="I1574">
        <v>76.253230000000002</v>
      </c>
      <c r="J1574">
        <v>-192.15639999999999</v>
      </c>
      <c r="K1574">
        <v>1.110563</v>
      </c>
      <c r="L1574">
        <v>324.21260000000001</v>
      </c>
      <c r="M1574">
        <v>3.1615339999999999E-2</v>
      </c>
      <c r="N1574">
        <v>-1.220039E-2</v>
      </c>
      <c r="O1574">
        <v>-0.99942589999999998</v>
      </c>
      <c r="P1574">
        <v>0.10188750000000001</v>
      </c>
      <c r="Q1574">
        <v>0.16476830000000001</v>
      </c>
      <c r="R1574">
        <v>-0.98105609999999999</v>
      </c>
      <c r="S1574">
        <v>-0.2491913</v>
      </c>
      <c r="T1574">
        <v>1.355898E-2</v>
      </c>
      <c r="U1574">
        <v>-3.0818789999999998</v>
      </c>
      <c r="V1574">
        <v>-7.0800650000000007E-2</v>
      </c>
      <c r="W1574">
        <v>0.1767657</v>
      </c>
      <c r="X1574">
        <v>0.9817032</v>
      </c>
      <c r="Y1574">
        <v>0.112052</v>
      </c>
      <c r="Z1574">
        <v>-1.6590770000000001E-2</v>
      </c>
      <c r="AA1574">
        <v>0.9935638</v>
      </c>
      <c r="AB1574">
        <v>19</v>
      </c>
      <c r="AC1574">
        <v>-20.069500000000001</v>
      </c>
      <c r="AD1574">
        <v>1.09167399999999</v>
      </c>
      <c r="AE1574">
        <v>-247.95937000000001</v>
      </c>
      <c r="AF1574">
        <v>27.898830022854401</v>
      </c>
      <c r="AG1574">
        <v>1.09167399999999</v>
      </c>
      <c r="AH1574">
        <v>247.19608785133499</v>
      </c>
      <c r="AI1574">
        <v>89.7485667299797</v>
      </c>
      <c r="AJ1574">
        <v>83.560781416365103</v>
      </c>
      <c r="AK1574">
        <v>248.767848239622</v>
      </c>
      <c r="AL1574">
        <v>79.818572751367697</v>
      </c>
      <c r="AM1574">
        <v>94.125042175760996</v>
      </c>
      <c r="AN1574">
        <v>1.0000000088135701</v>
      </c>
    </row>
    <row r="1575" spans="1:40" x14ac:dyDescent="0.25">
      <c r="A1575" t="str">
        <f>"20190304155044132"</f>
        <v>20190304155044132</v>
      </c>
      <c r="B1575" t="str">
        <f>"1551685844127943"</f>
        <v>1551685844127943</v>
      </c>
      <c r="C1575" t="s">
        <v>40</v>
      </c>
      <c r="D1575">
        <v>5.2116800000000003</v>
      </c>
      <c r="E1575">
        <v>0.5697525</v>
      </c>
      <c r="F1575" t="s">
        <v>59</v>
      </c>
      <c r="G1575">
        <v>-212.2259</v>
      </c>
      <c r="H1575">
        <v>2.0904039999999999</v>
      </c>
      <c r="I1575">
        <v>78.370530000000002</v>
      </c>
      <c r="J1575">
        <v>-192.15049999999999</v>
      </c>
      <c r="K1575">
        <v>1.1105780000000001</v>
      </c>
      <c r="L1575">
        <v>324.0265</v>
      </c>
      <c r="M1575">
        <v>3.1617029999999997E-2</v>
      </c>
      <c r="N1575">
        <v>-1.219481E-2</v>
      </c>
      <c r="O1575">
        <v>-0.99942569999999997</v>
      </c>
      <c r="P1575">
        <v>0.1013218</v>
      </c>
      <c r="Q1575">
        <v>0.16488169999999999</v>
      </c>
      <c r="R1575">
        <v>-0.98109539999999995</v>
      </c>
      <c r="S1575">
        <v>-0.2516022</v>
      </c>
      <c r="T1575">
        <v>1.228404E-2</v>
      </c>
      <c r="U1575">
        <v>-3.082001</v>
      </c>
      <c r="V1575">
        <v>-7.0237090000000002E-2</v>
      </c>
      <c r="W1575">
        <v>0.1768718</v>
      </c>
      <c r="X1575">
        <v>0.98172459999999995</v>
      </c>
      <c r="Y1575">
        <v>0.1128229</v>
      </c>
      <c r="Z1575">
        <v>-1.617354E-2</v>
      </c>
      <c r="AA1575">
        <v>0.99348349999999996</v>
      </c>
      <c r="AB1575">
        <v>19</v>
      </c>
      <c r="AC1575">
        <v>-20.075399999999998</v>
      </c>
      <c r="AD1575">
        <v>0.97982599999999997</v>
      </c>
      <c r="AE1575">
        <v>-245.65597</v>
      </c>
      <c r="AF1575">
        <v>27.8324115474358</v>
      </c>
      <c r="AG1575">
        <v>0.97982599999999997</v>
      </c>
      <c r="AH1575">
        <v>244.89449580746</v>
      </c>
      <c r="AI1575">
        <v>89.772226358641902</v>
      </c>
      <c r="AJ1575">
        <v>83.516119831300699</v>
      </c>
      <c r="AK1575">
        <v>246.472954435829</v>
      </c>
      <c r="AL1575">
        <v>79.812396633801995</v>
      </c>
      <c r="AM1575">
        <v>94.092230705282901</v>
      </c>
      <c r="AN1575">
        <v>1.00000003634603</v>
      </c>
    </row>
    <row r="1576" spans="1:40" x14ac:dyDescent="0.25">
      <c r="A1576" t="str">
        <f>"20190304155044156"</f>
        <v>20190304155044156</v>
      </c>
      <c r="B1576" t="str">
        <f>"1551685844148440"</f>
        <v>1551685844148440</v>
      </c>
      <c r="C1576" t="s">
        <v>40</v>
      </c>
      <c r="D1576">
        <v>5.1885219999999999</v>
      </c>
      <c r="E1576">
        <v>0.56982549999999998</v>
      </c>
      <c r="F1576" t="s">
        <v>59</v>
      </c>
      <c r="G1576">
        <v>-212.2259</v>
      </c>
      <c r="H1576">
        <v>2.1943090000000001</v>
      </c>
      <c r="I1576">
        <v>80.828669999999903</v>
      </c>
      <c r="J1576">
        <v>-192.14439999999999</v>
      </c>
      <c r="K1576">
        <v>1.110584</v>
      </c>
      <c r="L1576">
        <v>323.83339999999998</v>
      </c>
      <c r="M1576">
        <v>3.1627479999999999E-2</v>
      </c>
      <c r="N1576">
        <v>-1.218986E-2</v>
      </c>
      <c r="O1576">
        <v>-0.99942569999999997</v>
      </c>
      <c r="P1576">
        <v>0.101089</v>
      </c>
      <c r="Q1576">
        <v>0.16525719999999999</v>
      </c>
      <c r="R1576">
        <v>-0.98105629999999999</v>
      </c>
      <c r="S1576">
        <v>-0.25439450000000002</v>
      </c>
      <c r="T1576">
        <v>1.3733270000000001E-2</v>
      </c>
      <c r="U1576">
        <v>-3.0817869999999998</v>
      </c>
      <c r="V1576">
        <v>-6.9998759999999993E-2</v>
      </c>
      <c r="W1576">
        <v>0.1772406</v>
      </c>
      <c r="X1576">
        <v>0.98167510000000002</v>
      </c>
      <c r="Y1576">
        <v>0.1137326</v>
      </c>
      <c r="Z1576">
        <v>-1.6636189999999999E-2</v>
      </c>
      <c r="AA1576">
        <v>0.99337209999999998</v>
      </c>
      <c r="AB1576">
        <v>19</v>
      </c>
      <c r="AC1576">
        <v>-20.081499999999998</v>
      </c>
      <c r="AD1576">
        <v>1.083725</v>
      </c>
      <c r="AE1576">
        <v>-243.00473</v>
      </c>
      <c r="AF1576">
        <v>27.757099884289499</v>
      </c>
      <c r="AG1576">
        <v>1.083725</v>
      </c>
      <c r="AH1576">
        <v>242.24318359962899</v>
      </c>
      <c r="AI1576">
        <v>89.745343457084701</v>
      </c>
      <c r="AJ1576">
        <v>83.463350375728993</v>
      </c>
      <c r="AK1576">
        <v>243.83066061171601</v>
      </c>
      <c r="AL1576">
        <v>79.790926670194295</v>
      </c>
      <c r="AM1576">
        <v>94.078596751423902</v>
      </c>
      <c r="AN1576">
        <v>1.00000002932495</v>
      </c>
    </row>
    <row r="1577" spans="1:40" x14ac:dyDescent="0.25">
      <c r="A1577" t="str">
        <f>"20190304155044177"</f>
        <v>20190304155044177</v>
      </c>
      <c r="B1577" t="str">
        <f>"1551685844167959"</f>
        <v>1551685844167959</v>
      </c>
      <c r="C1577" t="s">
        <v>40</v>
      </c>
      <c r="D1577">
        <v>5.2094680000000002</v>
      </c>
      <c r="E1577">
        <v>0.56985589999999997</v>
      </c>
      <c r="F1577" t="s">
        <v>59</v>
      </c>
      <c r="G1577">
        <v>-212.2259</v>
      </c>
      <c r="H1577">
        <v>2.2878750000000001</v>
      </c>
      <c r="I1577">
        <v>81.799989999999994</v>
      </c>
      <c r="J1577">
        <v>-192.13849999999999</v>
      </c>
      <c r="K1577">
        <v>1.1105969999999901</v>
      </c>
      <c r="L1577">
        <v>323.64699999999999</v>
      </c>
      <c r="M1577">
        <v>3.1639800000000003E-2</v>
      </c>
      <c r="N1577">
        <v>-1.2185619999999999E-2</v>
      </c>
      <c r="O1577">
        <v>-0.99942520000000001</v>
      </c>
      <c r="P1577">
        <v>0.1009999</v>
      </c>
      <c r="Q1577">
        <v>0.16584099999999999</v>
      </c>
      <c r="R1577">
        <v>-0.98096709999999998</v>
      </c>
      <c r="S1577">
        <v>-0.25569150000000002</v>
      </c>
      <c r="T1577">
        <v>1.499033E-2</v>
      </c>
      <c r="U1577">
        <v>-3.0817260000000002</v>
      </c>
      <c r="V1577">
        <v>-6.9901000000000005E-2</v>
      </c>
      <c r="W1577">
        <v>0.1778187</v>
      </c>
      <c r="X1577">
        <v>0.98157749999999999</v>
      </c>
      <c r="Y1577">
        <v>0.1141614</v>
      </c>
      <c r="Z1577">
        <v>-1.7037440000000001E-2</v>
      </c>
      <c r="AA1577">
        <v>0.99331610000000004</v>
      </c>
      <c r="AB1577">
        <v>19</v>
      </c>
      <c r="AC1577">
        <v>-20.087399999999999</v>
      </c>
      <c r="AD1577">
        <v>1.177278</v>
      </c>
      <c r="AE1577">
        <v>-241.84701000000001</v>
      </c>
      <c r="AF1577">
        <v>27.729246976684401</v>
      </c>
      <c r="AG1577">
        <v>1.177278</v>
      </c>
      <c r="AH1577">
        <v>241.084625967058</v>
      </c>
      <c r="AI1577">
        <v>89.722044759874507</v>
      </c>
      <c r="AJ1577">
        <v>83.4387445819345</v>
      </c>
      <c r="AK1577">
        <v>242.67693338893901</v>
      </c>
      <c r="AL1577">
        <v>79.757269192504097</v>
      </c>
      <c r="AM1577">
        <v>94.073323396533695</v>
      </c>
      <c r="AN1577">
        <v>1.00000001418847</v>
      </c>
    </row>
    <row r="1578" spans="1:40" x14ac:dyDescent="0.25">
      <c r="A1578" t="str">
        <f>"20190304155044200"</f>
        <v>20190304155044200</v>
      </c>
      <c r="B1578" t="str">
        <f>"1551685844188459"</f>
        <v>1551685844188459</v>
      </c>
      <c r="C1578" t="s">
        <v>40</v>
      </c>
      <c r="D1578">
        <v>5.1924700000000001</v>
      </c>
      <c r="E1578">
        <v>0.56984000000000001</v>
      </c>
      <c r="F1578" t="s">
        <v>59</v>
      </c>
      <c r="G1578">
        <v>-212.226</v>
      </c>
      <c r="H1578">
        <v>2.5077479999999999</v>
      </c>
      <c r="I1578">
        <v>82.213849999999994</v>
      </c>
      <c r="J1578">
        <v>-192.1327</v>
      </c>
      <c r="K1578">
        <v>1.1105989999999999</v>
      </c>
      <c r="L1578">
        <v>323.46440000000001</v>
      </c>
      <c r="M1578">
        <v>3.1645949999999999E-2</v>
      </c>
      <c r="N1578">
        <v>-1.2182E-2</v>
      </c>
      <c r="O1578">
        <v>-0.99942489999999995</v>
      </c>
      <c r="P1578">
        <v>0.1007982</v>
      </c>
      <c r="Q1578">
        <v>0.1665816</v>
      </c>
      <c r="R1578">
        <v>-0.98086200000000001</v>
      </c>
      <c r="S1578">
        <v>-0.25639339999999999</v>
      </c>
      <c r="T1578">
        <v>1.7833229999999999E-2</v>
      </c>
      <c r="U1578">
        <v>-3.081604</v>
      </c>
      <c r="V1578">
        <v>-6.9696850000000005E-2</v>
      </c>
      <c r="W1578">
        <v>0.17855399999999999</v>
      </c>
      <c r="X1578">
        <v>0.98145850000000001</v>
      </c>
      <c r="Y1578">
        <v>0.1143948</v>
      </c>
      <c r="Z1578">
        <v>-1.7950999999999901E-2</v>
      </c>
      <c r="AA1578">
        <v>0.99327319999999997</v>
      </c>
      <c r="AB1578">
        <v>19</v>
      </c>
      <c r="AC1578">
        <v>-20.093299999999999</v>
      </c>
      <c r="AD1578">
        <v>1.397149</v>
      </c>
      <c r="AE1578">
        <v>-241.25055</v>
      </c>
      <c r="AF1578">
        <v>27.717480801297601</v>
      </c>
      <c r="AG1578">
        <v>1.397149</v>
      </c>
      <c r="AH1578">
        <v>240.48577085268499</v>
      </c>
      <c r="AI1578">
        <v>89.669321805363097</v>
      </c>
      <c r="AJ1578">
        <v>83.425315335740606</v>
      </c>
      <c r="AK1578">
        <v>242.08183895102201</v>
      </c>
      <c r="AL1578">
        <v>79.714454121991196</v>
      </c>
      <c r="AM1578">
        <v>94.061957681294601</v>
      </c>
      <c r="AN1578">
        <v>0.999999984519086</v>
      </c>
    </row>
    <row r="1579" spans="1:40" x14ac:dyDescent="0.25">
      <c r="A1579" t="str">
        <f>"20190304155044223"</f>
        <v>20190304155044223</v>
      </c>
      <c r="B1579" t="str">
        <f>"1551685844217735"</f>
        <v>1551685844217735</v>
      </c>
      <c r="C1579" t="s">
        <v>40</v>
      </c>
      <c r="D1579">
        <v>5.2087700000000003</v>
      </c>
      <c r="E1579">
        <v>0.56982489999999997</v>
      </c>
      <c r="F1579" t="s">
        <v>59</v>
      </c>
      <c r="G1579">
        <v>-212.2261</v>
      </c>
      <c r="H1579">
        <v>2.740259</v>
      </c>
      <c r="I1579">
        <v>82.482169999999996</v>
      </c>
      <c r="J1579">
        <v>-192.1267</v>
      </c>
      <c r="K1579">
        <v>1.110595</v>
      </c>
      <c r="L1579">
        <v>323.27269999999999</v>
      </c>
      <c r="M1579">
        <v>3.1635110000000001E-2</v>
      </c>
      <c r="N1579">
        <v>-1.2178639999999999E-2</v>
      </c>
      <c r="O1579">
        <v>-0.99942549999999997</v>
      </c>
      <c r="P1579">
        <v>0.1008</v>
      </c>
      <c r="Q1579">
        <v>0.16727639999999999</v>
      </c>
      <c r="R1579">
        <v>-0.98074380000000005</v>
      </c>
      <c r="S1579">
        <v>-0.25692749999999998</v>
      </c>
      <c r="T1579">
        <v>2.0838260000000001E-2</v>
      </c>
      <c r="U1579">
        <v>-3.0813600000000001</v>
      </c>
      <c r="V1579">
        <v>-6.9710899999999895E-2</v>
      </c>
      <c r="W1579">
        <v>0.17924499999999999</v>
      </c>
      <c r="X1579">
        <v>0.98133150000000002</v>
      </c>
      <c r="Y1579">
        <v>0.1145606</v>
      </c>
      <c r="Z1579">
        <v>-1.8917420000000001E-2</v>
      </c>
      <c r="AA1579">
        <v>0.99323609999999896</v>
      </c>
      <c r="AB1579">
        <v>19</v>
      </c>
      <c r="AC1579">
        <v>-20.099399999999999</v>
      </c>
      <c r="AD1579">
        <v>1.629664</v>
      </c>
      <c r="AE1579">
        <v>-240.79052999999999</v>
      </c>
      <c r="AF1579">
        <v>27.706076381294</v>
      </c>
      <c r="AG1579">
        <v>1.629664</v>
      </c>
      <c r="AH1579">
        <v>240.02318076071899</v>
      </c>
      <c r="AI1579">
        <v>89.613555876015894</v>
      </c>
      <c r="AJ1579">
        <v>83.415441914709206</v>
      </c>
      <c r="AK1579">
        <v>241.622452962658</v>
      </c>
      <c r="AL1579">
        <v>79.674213150374101</v>
      </c>
      <c r="AM1579">
        <v>94.063297805555095</v>
      </c>
      <c r="AN1579">
        <v>0.99999994624802802</v>
      </c>
    </row>
    <row r="1580" spans="1:40" x14ac:dyDescent="0.25">
      <c r="A1580" t="str">
        <f>"20190304155044247"</f>
        <v>20190304155044247</v>
      </c>
      <c r="B1580" t="str">
        <f>"1551685844238232"</f>
        <v>1551685844238232</v>
      </c>
      <c r="C1580" t="s">
        <v>40</v>
      </c>
      <c r="D1580">
        <v>5.1907249999999996</v>
      </c>
      <c r="E1580">
        <v>0.56980839999999999</v>
      </c>
      <c r="F1580" t="s">
        <v>59</v>
      </c>
      <c r="G1580">
        <v>-212.22620000000001</v>
      </c>
      <c r="H1580">
        <v>2.99539</v>
      </c>
      <c r="I1580">
        <v>82.483639999999994</v>
      </c>
      <c r="J1580">
        <v>-192.12049999999999</v>
      </c>
      <c r="K1580">
        <v>1.1105799999999999</v>
      </c>
      <c r="L1580">
        <v>323.07530000000003</v>
      </c>
      <c r="M1580">
        <v>3.1598080000000001E-2</v>
      </c>
      <c r="N1580">
        <v>-1.217561E-2</v>
      </c>
      <c r="O1580">
        <v>-0.99942640000000005</v>
      </c>
      <c r="P1580">
        <v>0.1008791</v>
      </c>
      <c r="Q1580">
        <v>0.16747390000000001</v>
      </c>
      <c r="R1580">
        <v>-0.98070190000000002</v>
      </c>
      <c r="S1580">
        <v>-0.25720209999999999</v>
      </c>
      <c r="T1580">
        <v>2.4118899999999999E-2</v>
      </c>
      <c r="U1580">
        <v>-3.0812379999999999</v>
      </c>
      <c r="V1580">
        <v>-6.982207E-2</v>
      </c>
      <c r="W1580">
        <v>0.17944160000000001</v>
      </c>
      <c r="X1580">
        <v>0.98128769999999998</v>
      </c>
      <c r="Y1580">
        <v>0.1146141</v>
      </c>
      <c r="Z1580">
        <v>-1.9972940000000002E-2</v>
      </c>
      <c r="AA1580">
        <v>0.99320929999999996</v>
      </c>
      <c r="AB1580">
        <v>19</v>
      </c>
      <c r="AC1580">
        <v>-20.105699999999999</v>
      </c>
      <c r="AD1580">
        <v>1.8848099999999901</v>
      </c>
      <c r="AE1580">
        <v>-240.59165999999999</v>
      </c>
      <c r="AF1580">
        <v>27.696769607690101</v>
      </c>
      <c r="AG1580">
        <v>1.8848099999999901</v>
      </c>
      <c r="AH1580">
        <v>239.821539106399</v>
      </c>
      <c r="AI1580">
        <v>89.552682289045507</v>
      </c>
      <c r="AJ1580">
        <v>83.412148510408798</v>
      </c>
      <c r="AK1580">
        <v>241.42293630639099</v>
      </c>
      <c r="AL1580">
        <v>79.662763505401898</v>
      </c>
      <c r="AM1580">
        <v>94.069936952587099</v>
      </c>
      <c r="AN1580">
        <v>0.99999997972046695</v>
      </c>
    </row>
    <row r="1581" spans="1:40" x14ac:dyDescent="0.25">
      <c r="A1581" t="str">
        <f>"20190304155044268"</f>
        <v>20190304155044268</v>
      </c>
      <c r="B1581" t="str">
        <f>"1551685844257754"</f>
        <v>1551685844257754</v>
      </c>
      <c r="C1581" t="s">
        <v>40</v>
      </c>
      <c r="D1581">
        <v>5.1765309999999998</v>
      </c>
      <c r="E1581">
        <v>0.5697932</v>
      </c>
      <c r="F1581" t="s">
        <v>59</v>
      </c>
      <c r="G1581">
        <v>-212.22620000000001</v>
      </c>
      <c r="H1581">
        <v>3.054405</v>
      </c>
      <c r="I1581">
        <v>81.870480000000001</v>
      </c>
      <c r="J1581">
        <v>-192.1148</v>
      </c>
      <c r="K1581">
        <v>1.110555</v>
      </c>
      <c r="L1581">
        <v>322.89429999999999</v>
      </c>
      <c r="M1581">
        <v>3.1535849999999997E-2</v>
      </c>
      <c r="N1581">
        <v>-1.217323E-2</v>
      </c>
      <c r="O1581">
        <v>-0.99942880000000001</v>
      </c>
      <c r="P1581">
        <v>0.1008174</v>
      </c>
      <c r="Q1581">
        <v>0.1678451</v>
      </c>
      <c r="R1581">
        <v>-0.98064490000000004</v>
      </c>
      <c r="S1581">
        <v>-0.25683590000000001</v>
      </c>
      <c r="T1581">
        <v>2.4831180000000001E-2</v>
      </c>
      <c r="U1581">
        <v>-3.081207</v>
      </c>
      <c r="V1581">
        <v>-6.9815840000000004E-2</v>
      </c>
      <c r="W1581">
        <v>0.17981220000000001</v>
      </c>
      <c r="X1581">
        <v>0.98122030000000005</v>
      </c>
      <c r="Y1581">
        <v>0.1144356</v>
      </c>
      <c r="Z1581">
        <v>-2.0200490000000002E-2</v>
      </c>
      <c r="AA1581">
        <v>0.99322529999999998</v>
      </c>
      <c r="AB1581">
        <v>19</v>
      </c>
      <c r="AC1581">
        <v>-20.1114</v>
      </c>
      <c r="AD1581">
        <v>1.9438500000000001</v>
      </c>
      <c r="AE1581">
        <v>-241.02382</v>
      </c>
      <c r="AF1581">
        <v>27.7010581251803</v>
      </c>
      <c r="AG1581">
        <v>1.9438500000000001</v>
      </c>
      <c r="AH1581">
        <v>240.25412633835299</v>
      </c>
      <c r="AI1581">
        <v>89.539491692553895</v>
      </c>
      <c r="AJ1581">
        <v>83.422896903593298</v>
      </c>
      <c r="AK1581">
        <v>241.853617704351</v>
      </c>
      <c r="AL1581">
        <v>79.641178587993494</v>
      </c>
      <c r="AM1581">
        <v>94.069853625016805</v>
      </c>
      <c r="AN1581">
        <v>0.99999997795791695</v>
      </c>
    </row>
    <row r="1582" spans="1:40" x14ac:dyDescent="0.25">
      <c r="A1582" t="str">
        <f>"20190304155044289"</f>
        <v>20190304155044289</v>
      </c>
      <c r="B1582" t="str">
        <f>"1551685844288007"</f>
        <v>1551685844288007</v>
      </c>
      <c r="C1582" t="s">
        <v>40</v>
      </c>
      <c r="D1582">
        <v>5.2158949999999997</v>
      </c>
      <c r="E1582">
        <v>0.56970019999999999</v>
      </c>
      <c r="F1582" t="s">
        <v>59</v>
      </c>
      <c r="G1582">
        <v>-212.22620000000001</v>
      </c>
      <c r="H1582">
        <v>3.0985749999999999</v>
      </c>
      <c r="I1582">
        <v>81.971919999999997</v>
      </c>
      <c r="J1582">
        <v>-192.10910000000001</v>
      </c>
      <c r="K1582">
        <v>1.1105400000000001</v>
      </c>
      <c r="L1582">
        <v>322.7106</v>
      </c>
      <c r="M1582">
        <v>3.144069E-2</v>
      </c>
      <c r="N1582">
        <v>-1.2171120000000001E-2</v>
      </c>
      <c r="O1582">
        <v>-0.99943139999999997</v>
      </c>
      <c r="P1582">
        <v>0.1002557</v>
      </c>
      <c r="Q1582">
        <v>0.17024549999999999</v>
      </c>
      <c r="R1582">
        <v>-0.98028839999999995</v>
      </c>
      <c r="S1582">
        <v>-0.25721739999999998</v>
      </c>
      <c r="T1582">
        <v>2.5426270000000001E-2</v>
      </c>
      <c r="U1582">
        <v>-3.081299</v>
      </c>
      <c r="V1582">
        <v>-6.9349590000000003E-2</v>
      </c>
      <c r="W1582">
        <v>0.1822095</v>
      </c>
      <c r="X1582">
        <v>0.98081110000000005</v>
      </c>
      <c r="Y1582">
        <v>0.11446050000000001</v>
      </c>
      <c r="Z1582">
        <v>-2.0390080000000001E-2</v>
      </c>
      <c r="AA1582">
        <v>0.9932185</v>
      </c>
      <c r="AB1582">
        <v>19</v>
      </c>
      <c r="AC1582">
        <v>-20.117099999999901</v>
      </c>
      <c r="AD1582">
        <v>1.98803499999999</v>
      </c>
      <c r="AE1582">
        <v>-240.73867999999999</v>
      </c>
      <c r="AF1582">
        <v>27.674830541976299</v>
      </c>
      <c r="AG1582">
        <v>1.98803499999999</v>
      </c>
      <c r="AH1582">
        <v>239.97085187915599</v>
      </c>
      <c r="AI1582">
        <v>89.528469998445402</v>
      </c>
      <c r="AJ1582">
        <v>83.421380947648601</v>
      </c>
      <c r="AK1582">
        <v>241.56957233951499</v>
      </c>
      <c r="AL1582">
        <v>79.501516974006094</v>
      </c>
      <c r="AM1582">
        <v>94.044445478891106</v>
      </c>
      <c r="AN1582">
        <v>1.0000000407033101</v>
      </c>
    </row>
    <row r="1583" spans="1:40" x14ac:dyDescent="0.25">
      <c r="A1583" t="str">
        <f>"20190304155044324"</f>
        <v>20190304155044324</v>
      </c>
      <c r="B1583" t="str">
        <f>"1551685844318264"</f>
        <v>1551685844318264</v>
      </c>
      <c r="C1583" t="s">
        <v>40</v>
      </c>
      <c r="D1583">
        <v>5.1903739999999896</v>
      </c>
      <c r="E1583">
        <v>0.52547509999999997</v>
      </c>
      <c r="F1583" t="s">
        <v>59</v>
      </c>
      <c r="G1583">
        <v>-212.22630000000001</v>
      </c>
      <c r="H1583">
        <v>3.5226039999999998</v>
      </c>
      <c r="I1583">
        <v>82.780940000000001</v>
      </c>
      <c r="J1583">
        <v>-192.10040000000001</v>
      </c>
      <c r="K1583">
        <v>1.1105320000000001</v>
      </c>
      <c r="L1583">
        <v>322.42790000000002</v>
      </c>
      <c r="M1583">
        <v>3.1238559999999999E-2</v>
      </c>
      <c r="N1583">
        <v>-1.216832E-2</v>
      </c>
      <c r="O1583">
        <v>-0.99943820000000005</v>
      </c>
      <c r="P1583">
        <v>9.8767469999999996E-2</v>
      </c>
      <c r="Q1583">
        <v>0.1764887</v>
      </c>
      <c r="R1583">
        <v>-0.97933519999999996</v>
      </c>
      <c r="S1583">
        <v>-0.25836179999999997</v>
      </c>
      <c r="T1583">
        <v>3.0977850000000001E-2</v>
      </c>
      <c r="U1583">
        <v>-3.0813600000000001</v>
      </c>
      <c r="V1583">
        <v>-6.8074529999999994E-2</v>
      </c>
      <c r="W1583">
        <v>0.188442</v>
      </c>
      <c r="X1583">
        <v>0.97972210000000004</v>
      </c>
      <c r="Y1583">
        <v>0.1146223</v>
      </c>
      <c r="Z1583">
        <v>-2.217765E-2</v>
      </c>
      <c r="AA1583">
        <v>0.99316159999999998</v>
      </c>
      <c r="AB1583">
        <v>19</v>
      </c>
      <c r="AC1583">
        <v>-20.125900000000001</v>
      </c>
      <c r="AD1583">
        <v>2.4120720000000002</v>
      </c>
      <c r="AE1583">
        <v>-239.64696000000001</v>
      </c>
      <c r="AF1583">
        <v>27.600077639674701</v>
      </c>
      <c r="AG1583">
        <v>2.4120720000000002</v>
      </c>
      <c r="AH1583">
        <v>238.87720396739101</v>
      </c>
      <c r="AI1583">
        <v>89.425296346668503</v>
      </c>
      <c r="AJ1583">
        <v>83.409220950677593</v>
      </c>
      <c r="AK1583">
        <v>240.47848334586601</v>
      </c>
      <c r="AL1583">
        <v>79.138124525411101</v>
      </c>
      <c r="AM1583">
        <v>93.974723464413302</v>
      </c>
      <c r="AN1583">
        <v>0.99999996111356404</v>
      </c>
    </row>
    <row r="1584" spans="1:40" x14ac:dyDescent="0.25">
      <c r="A1584" t="str">
        <f>"20190304155044347"</f>
        <v>20190304155044347</v>
      </c>
      <c r="B1584" t="str">
        <f>"1551685844337785"</f>
        <v>1551685844337785</v>
      </c>
      <c r="C1584" t="s">
        <v>40</v>
      </c>
      <c r="D1584">
        <v>5.1587170000000002</v>
      </c>
      <c r="E1584">
        <v>0.52449979999999996</v>
      </c>
      <c r="F1584" t="s">
        <v>66</v>
      </c>
      <c r="G1584">
        <v>-180.48169999999999</v>
      </c>
      <c r="H1584">
        <v>5.1761309999999998</v>
      </c>
      <c r="I1584">
        <v>-81.816879999999998</v>
      </c>
      <c r="J1584">
        <v>-192.09469999999999</v>
      </c>
      <c r="K1584">
        <v>1.1105290000000001</v>
      </c>
      <c r="L1584">
        <v>322.2396</v>
      </c>
      <c r="M1584">
        <v>3.1064939999999999E-2</v>
      </c>
      <c r="N1584">
        <v>-1.216657E-2</v>
      </c>
      <c r="O1584">
        <v>-0.99944339999999998</v>
      </c>
      <c r="P1584">
        <v>9.7100759999999994E-2</v>
      </c>
      <c r="Q1584">
        <v>0.17988660000000001</v>
      </c>
      <c r="R1584">
        <v>-0.97888330000000001</v>
      </c>
      <c r="S1584">
        <v>8.7631230000000004E-2</v>
      </c>
      <c r="T1584">
        <v>3.0663849999999999E-2</v>
      </c>
      <c r="U1584">
        <v>-3.0489199999999999</v>
      </c>
      <c r="V1584">
        <v>-6.6583530000000002E-2</v>
      </c>
      <c r="W1584">
        <v>0.19183420000000001</v>
      </c>
      <c r="X1584">
        <v>0.97916619999999999</v>
      </c>
      <c r="Y1584">
        <v>2.34548E-3</v>
      </c>
      <c r="Z1584">
        <v>-2.2207190000000002E-2</v>
      </c>
      <c r="AA1584">
        <v>0.99975060000000004</v>
      </c>
      <c r="AB1584">
        <v>19</v>
      </c>
      <c r="AC1584">
        <v>11.613</v>
      </c>
      <c r="AD1584">
        <v>4.0656019999999904</v>
      </c>
      <c r="AE1584">
        <v>-404.05648000000002</v>
      </c>
      <c r="AF1584">
        <v>0.94542836951657105</v>
      </c>
      <c r="AG1584">
        <v>4.0656019999999904</v>
      </c>
      <c r="AH1584">
        <v>404.181337694484</v>
      </c>
      <c r="AI1584">
        <v>89.423690999720606</v>
      </c>
      <c r="AJ1584">
        <v>89.865978580506393</v>
      </c>
      <c r="AK1584">
        <v>404.20289050788199</v>
      </c>
      <c r="AL1584">
        <v>78.940155573317597</v>
      </c>
      <c r="AM1584">
        <v>93.890137707342703</v>
      </c>
      <c r="AN1584">
        <v>1.0000000869896599</v>
      </c>
    </row>
    <row r="1585" spans="1:40" x14ac:dyDescent="0.25">
      <c r="A1585" t="str">
        <f>"20190304155044369"</f>
        <v>20190304155044369</v>
      </c>
      <c r="B1585" t="str">
        <f>"1551685844358279"</f>
        <v>1551685844358279</v>
      </c>
      <c r="C1585" t="s">
        <v>40</v>
      </c>
      <c r="D1585">
        <v>5.1813399999999996</v>
      </c>
      <c r="E1585">
        <v>0.52300749999999996</v>
      </c>
      <c r="F1585" t="s">
        <v>66</v>
      </c>
      <c r="G1585">
        <v>-180.15960000000001</v>
      </c>
      <c r="H1585">
        <v>3.8737900000000001</v>
      </c>
      <c r="I1585">
        <v>-81.816450000000003</v>
      </c>
      <c r="J1585">
        <v>-192.08940000000001</v>
      </c>
      <c r="K1585">
        <v>1.11052</v>
      </c>
      <c r="L1585">
        <v>322.06</v>
      </c>
      <c r="M1585">
        <v>3.0867720000000001E-2</v>
      </c>
      <c r="N1585">
        <v>-1.2165270000000001E-2</v>
      </c>
      <c r="O1585">
        <v>-0.99944940000000004</v>
      </c>
      <c r="P1585">
        <v>9.6096989999999993E-2</v>
      </c>
      <c r="Q1585">
        <v>0.1825522</v>
      </c>
      <c r="R1585">
        <v>-0.97848889999999999</v>
      </c>
      <c r="S1585">
        <v>9.0148930000000002E-2</v>
      </c>
      <c r="T1585">
        <v>2.087164E-2</v>
      </c>
      <c r="U1585">
        <v>-3.0519409999999998</v>
      </c>
      <c r="V1585">
        <v>-6.5777530000000001E-2</v>
      </c>
      <c r="W1585">
        <v>0.1944958</v>
      </c>
      <c r="X1585">
        <v>0.97869539999999999</v>
      </c>
      <c r="Y1585">
        <v>1.3505520000000001E-3</v>
      </c>
      <c r="Z1585">
        <v>-1.89912E-2</v>
      </c>
      <c r="AA1585">
        <v>0.99981869999999995</v>
      </c>
      <c r="AB1585">
        <v>19</v>
      </c>
      <c r="AC1585">
        <v>11.9298</v>
      </c>
      <c r="AD1585">
        <v>2.7632699999999999</v>
      </c>
      <c r="AE1585">
        <v>-403.87644999999998</v>
      </c>
      <c r="AF1585">
        <v>0.54352854645815296</v>
      </c>
      <c r="AG1585">
        <v>2.7632699999999999</v>
      </c>
      <c r="AH1585">
        <v>404.03334184009702</v>
      </c>
      <c r="AI1585">
        <v>89.6081484358984</v>
      </c>
      <c r="AJ1585">
        <v>89.922922517163698</v>
      </c>
      <c r="AK1585">
        <v>404.04315660935401</v>
      </c>
      <c r="AL1585">
        <v>78.784728774814795</v>
      </c>
      <c r="AM1585">
        <v>93.845032415197096</v>
      </c>
      <c r="AN1585">
        <v>0.99999999282584995</v>
      </c>
    </row>
    <row r="1586" spans="1:40" x14ac:dyDescent="0.25">
      <c r="A1586" t="str">
        <f>"20190304155044389"</f>
        <v>20190304155044389</v>
      </c>
      <c r="B1586" t="str">
        <f>"1551685844377803"</f>
        <v>1551685844377803</v>
      </c>
      <c r="C1586" t="s">
        <v>40</v>
      </c>
      <c r="D1586">
        <v>5.1526120000000004</v>
      </c>
      <c r="E1586">
        <v>0.52257529999999996</v>
      </c>
      <c r="F1586" t="s">
        <v>66</v>
      </c>
      <c r="G1586">
        <v>-179.018</v>
      </c>
      <c r="H1586">
        <v>3.604508</v>
      </c>
      <c r="I1586">
        <v>-81.816360000000003</v>
      </c>
      <c r="J1586">
        <v>-192.08410000000001</v>
      </c>
      <c r="K1586">
        <v>1.110506</v>
      </c>
      <c r="L1586">
        <v>321.88220000000001</v>
      </c>
      <c r="M1586">
        <v>3.064652E-2</v>
      </c>
      <c r="N1586">
        <v>-1.216414E-2</v>
      </c>
      <c r="O1586">
        <v>-0.99945660000000003</v>
      </c>
      <c r="P1586">
        <v>9.5407710000000007E-2</v>
      </c>
      <c r="Q1586">
        <v>0.18440419999999999</v>
      </c>
      <c r="R1586">
        <v>-0.97820940000000001</v>
      </c>
      <c r="S1586">
        <v>9.8800659999999998E-2</v>
      </c>
      <c r="T1586">
        <v>1.8851039999999999E-2</v>
      </c>
      <c r="U1586">
        <v>-3.0527340000000001</v>
      </c>
      <c r="V1586">
        <v>-6.53059E-2</v>
      </c>
      <c r="W1586">
        <v>0.19634489999999999</v>
      </c>
      <c r="X1586">
        <v>0.9783577</v>
      </c>
      <c r="Y1586">
        <v>-1.6942750000000001E-3</v>
      </c>
      <c r="Z1586">
        <v>-1.8326459999999999E-2</v>
      </c>
      <c r="AA1586">
        <v>0.99983060000000001</v>
      </c>
      <c r="AB1586">
        <v>19</v>
      </c>
      <c r="AC1586">
        <v>13.0661</v>
      </c>
      <c r="AD1586">
        <v>2.4940020000000001</v>
      </c>
      <c r="AE1586">
        <v>-403.69855999999999</v>
      </c>
      <c r="AF1586">
        <v>-0.68706829772413303</v>
      </c>
      <c r="AG1586">
        <v>2.4940020000000001</v>
      </c>
      <c r="AH1586">
        <v>403.89396983848502</v>
      </c>
      <c r="AI1586">
        <v>89.646209707271197</v>
      </c>
      <c r="AJ1586">
        <v>90.097466361630396</v>
      </c>
      <c r="AK1586">
        <v>403.902254240692</v>
      </c>
      <c r="AL1586">
        <v>78.676700202917303</v>
      </c>
      <c r="AM1586">
        <v>93.818858852829706</v>
      </c>
      <c r="AN1586">
        <v>0.99999998474005403</v>
      </c>
    </row>
    <row r="1587" spans="1:40" x14ac:dyDescent="0.25">
      <c r="A1587" t="str">
        <f>"20190304155044411"</f>
        <v>20190304155044411</v>
      </c>
      <c r="B1587" t="str">
        <f>"1551685844408056"</f>
        <v>1551685844408056</v>
      </c>
      <c r="C1587" t="s">
        <v>40</v>
      </c>
      <c r="D1587">
        <v>5.1042550000000002</v>
      </c>
      <c r="E1587">
        <v>0.52238050000000003</v>
      </c>
      <c r="F1587" t="s">
        <v>66</v>
      </c>
      <c r="G1587">
        <v>-178.90099999999899</v>
      </c>
      <c r="H1587">
        <v>2.9361510000000002</v>
      </c>
      <c r="I1587">
        <v>-81.816140000000004</v>
      </c>
      <c r="J1587">
        <v>-192.0787</v>
      </c>
      <c r="K1587">
        <v>1.1105020000000001</v>
      </c>
      <c r="L1587">
        <v>321.69639999999998</v>
      </c>
      <c r="M1587">
        <v>3.0398089999999999E-2</v>
      </c>
      <c r="N1587">
        <v>-1.216223E-2</v>
      </c>
      <c r="O1587">
        <v>-0.99946400000000002</v>
      </c>
      <c r="P1587">
        <v>9.4582330000000006E-2</v>
      </c>
      <c r="Q1587">
        <v>0.1859432</v>
      </c>
      <c r="R1587">
        <v>-0.97799800000000003</v>
      </c>
      <c r="S1587">
        <v>9.9746699999999994E-2</v>
      </c>
      <c r="T1587">
        <v>1.3813260000000001E-2</v>
      </c>
      <c r="U1587">
        <v>-3.0544739999999999</v>
      </c>
      <c r="V1587">
        <v>-6.4724279999999995E-2</v>
      </c>
      <c r="W1587">
        <v>0.19788059999999999</v>
      </c>
      <c r="X1587">
        <v>0.97808689999999998</v>
      </c>
      <c r="Y1587">
        <v>-2.2346779999999999E-3</v>
      </c>
      <c r="Z1587">
        <v>-1.6673650000000002E-2</v>
      </c>
      <c r="AA1587">
        <v>0.99985849999999998</v>
      </c>
      <c r="AB1587">
        <v>19</v>
      </c>
      <c r="AC1587">
        <v>13.1777</v>
      </c>
      <c r="AD1587">
        <v>1.8256490000000001</v>
      </c>
      <c r="AE1587">
        <v>-403.51254</v>
      </c>
      <c r="AF1587">
        <v>-0.90467454662698199</v>
      </c>
      <c r="AG1587">
        <v>1.8256490000000001</v>
      </c>
      <c r="AH1587">
        <v>403.71838884849001</v>
      </c>
      <c r="AI1587">
        <v>89.740906013102503</v>
      </c>
      <c r="AJ1587">
        <v>90.128391344130605</v>
      </c>
      <c r="AK1587">
        <v>403.72353030846102</v>
      </c>
      <c r="AL1587">
        <v>78.586950119844005</v>
      </c>
      <c r="AM1587">
        <v>93.785991947929901</v>
      </c>
      <c r="AN1587">
        <v>0.99999997411474295</v>
      </c>
    </row>
    <row r="1588" spans="1:40" x14ac:dyDescent="0.25">
      <c r="A1588" t="str">
        <f>"20190304155044436"</f>
        <v>20190304155044436</v>
      </c>
      <c r="B1588" t="str">
        <f>"1551685844427575"</f>
        <v>1551685844427575</v>
      </c>
      <c r="C1588" t="s">
        <v>40</v>
      </c>
      <c r="D1588">
        <v>5.2116629999999997</v>
      </c>
      <c r="E1588">
        <v>0.52230710000000002</v>
      </c>
      <c r="F1588" t="s">
        <v>66</v>
      </c>
      <c r="G1588">
        <v>-178.9417</v>
      </c>
      <c r="H1588">
        <v>2.548511</v>
      </c>
      <c r="I1588">
        <v>-81.816009999999906</v>
      </c>
      <c r="J1588">
        <v>-192.07300000000001</v>
      </c>
      <c r="K1588">
        <v>1.1104940000000001</v>
      </c>
      <c r="L1588">
        <v>321.49650000000003</v>
      </c>
      <c r="M1588">
        <v>3.0115659999999999E-2</v>
      </c>
      <c r="N1588">
        <v>-1.215377E-2</v>
      </c>
      <c r="O1588">
        <v>-0.99947280000000005</v>
      </c>
      <c r="P1588">
        <v>9.3951030000000005E-2</v>
      </c>
      <c r="Q1588">
        <v>0.1878455</v>
      </c>
      <c r="R1588">
        <v>-0.97769499999999998</v>
      </c>
      <c r="S1588">
        <v>9.9487300000000001E-2</v>
      </c>
      <c r="T1588">
        <v>1.089013E-2</v>
      </c>
      <c r="U1588">
        <v>-3.0558169999999998</v>
      </c>
      <c r="V1588">
        <v>-6.437445E-2</v>
      </c>
      <c r="W1588">
        <v>0.1997717</v>
      </c>
      <c r="X1588">
        <v>0.97772550000000003</v>
      </c>
      <c r="Y1588">
        <v>-2.4186260000000001E-3</v>
      </c>
      <c r="Z1588">
        <v>-1.5707820000000001E-2</v>
      </c>
      <c r="AA1588">
        <v>0.99987369999999998</v>
      </c>
      <c r="AB1588">
        <v>19</v>
      </c>
      <c r="AC1588">
        <v>13.1312999999999</v>
      </c>
      <c r="AD1588">
        <v>1.4380170000000001</v>
      </c>
      <c r="AE1588">
        <v>-403.31250999999997</v>
      </c>
      <c r="AF1588">
        <v>-0.978414328153974</v>
      </c>
      <c r="AG1588">
        <v>1.4380170000000001</v>
      </c>
      <c r="AH1588">
        <v>403.519911231886</v>
      </c>
      <c r="AI1588">
        <v>89.795817475933802</v>
      </c>
      <c r="AJ1588">
        <v>90.138924747449295</v>
      </c>
      <c r="AK1588">
        <v>403.52365971288401</v>
      </c>
      <c r="AL1588">
        <v>78.4763907471349</v>
      </c>
      <c r="AM1588">
        <v>93.766975851817506</v>
      </c>
      <c r="AN1588">
        <v>0.99999997764197002</v>
      </c>
    </row>
    <row r="1589" spans="1:40" x14ac:dyDescent="0.25">
      <c r="A1589" t="str">
        <f>"20190304155044469"</f>
        <v>20190304155044469</v>
      </c>
      <c r="B1589" t="str">
        <f>"1551685844457835"</f>
        <v>1551685844457835</v>
      </c>
      <c r="C1589" t="s">
        <v>40</v>
      </c>
      <c r="D1589">
        <v>5.2110989999999999</v>
      </c>
      <c r="E1589">
        <v>0.52201940000000002</v>
      </c>
      <c r="F1589" t="s">
        <v>66</v>
      </c>
      <c r="G1589">
        <v>-178.99510000000001</v>
      </c>
      <c r="H1589">
        <v>2.2007669999999999</v>
      </c>
      <c r="I1589">
        <v>-81.815899999999999</v>
      </c>
      <c r="J1589">
        <v>-192.0652</v>
      </c>
      <c r="K1589">
        <v>1.110493</v>
      </c>
      <c r="L1589">
        <v>321.21969999999999</v>
      </c>
      <c r="M1589">
        <v>2.970764E-2</v>
      </c>
      <c r="N1589">
        <v>-1.213642E-2</v>
      </c>
      <c r="O1589">
        <v>-0.99948499999999996</v>
      </c>
      <c r="P1589">
        <v>9.3002340000000003E-2</v>
      </c>
      <c r="Q1589">
        <v>0.18994639999999999</v>
      </c>
      <c r="R1589">
        <v>-0.97737969999999996</v>
      </c>
      <c r="S1589">
        <v>9.9136349999999998E-2</v>
      </c>
      <c r="T1589">
        <v>8.2647799999999993E-3</v>
      </c>
      <c r="U1589">
        <v>-3.0572810000000001</v>
      </c>
      <c r="V1589">
        <v>-6.3835219999999998E-2</v>
      </c>
      <c r="W1589">
        <v>0.2018509</v>
      </c>
      <c r="X1589">
        <v>0.97733369999999997</v>
      </c>
      <c r="Y1589">
        <v>-2.6970240000000001E-3</v>
      </c>
      <c r="Z1589">
        <v>-1.483113E-2</v>
      </c>
      <c r="AA1589">
        <v>0.99988639999999995</v>
      </c>
      <c r="AB1589">
        <v>19</v>
      </c>
      <c r="AC1589">
        <v>13.070099999999901</v>
      </c>
      <c r="AD1589">
        <v>1.090274</v>
      </c>
      <c r="AE1589">
        <v>-403.03559999999999</v>
      </c>
      <c r="AF1589">
        <v>-1.09020465456657</v>
      </c>
      <c r="AG1589">
        <v>1.090274</v>
      </c>
      <c r="AH1589">
        <v>403.24304887556201</v>
      </c>
      <c r="AI1589">
        <v>89.845086683162407</v>
      </c>
      <c r="AJ1589">
        <v>90.154904029951794</v>
      </c>
      <c r="AK1589">
        <v>403.24599652078803</v>
      </c>
      <c r="AL1589">
        <v>78.354783771033993</v>
      </c>
      <c r="AM1589">
        <v>93.737004919670298</v>
      </c>
      <c r="AN1589">
        <v>0.99999994114947199</v>
      </c>
    </row>
    <row r="1590" spans="1:40" x14ac:dyDescent="0.25">
      <c r="A1590" t="str">
        <f>"20190304155044490"</f>
        <v>20190304155044490</v>
      </c>
      <c r="B1590" t="str">
        <f>"1551685844478328"</f>
        <v>1551685844478328</v>
      </c>
      <c r="C1590" t="s">
        <v>40</v>
      </c>
      <c r="D1590">
        <v>5.1310650000000004</v>
      </c>
      <c r="E1590">
        <v>0.52195539999999996</v>
      </c>
      <c r="F1590" t="s">
        <v>66</v>
      </c>
      <c r="G1590">
        <v>-179.0789</v>
      </c>
      <c r="H1590">
        <v>1.966615</v>
      </c>
      <c r="I1590">
        <v>-81.815809999999999</v>
      </c>
      <c r="J1590">
        <v>-192.06039999999999</v>
      </c>
      <c r="K1590">
        <v>1.1104989999999999</v>
      </c>
      <c r="L1590">
        <v>321.048</v>
      </c>
      <c r="M1590">
        <v>2.9450230000000001E-2</v>
      </c>
      <c r="N1590">
        <v>-1.2127529999999999E-2</v>
      </c>
      <c r="O1590">
        <v>-0.99949279999999996</v>
      </c>
      <c r="P1590">
        <v>9.2269139999999999E-2</v>
      </c>
      <c r="Q1590">
        <v>0.1907229</v>
      </c>
      <c r="R1590">
        <v>-0.97729809999999995</v>
      </c>
      <c r="S1590">
        <v>9.8556519999999995E-2</v>
      </c>
      <c r="T1590">
        <v>6.4973829999999998E-3</v>
      </c>
      <c r="U1590">
        <v>-3.0587460000000002</v>
      </c>
      <c r="V1590">
        <v>-6.3358979999999995E-2</v>
      </c>
      <c r="W1590">
        <v>0.20261580000000001</v>
      </c>
      <c r="X1590">
        <v>0.97720649999999998</v>
      </c>
      <c r="Y1590">
        <v>-2.749984E-3</v>
      </c>
      <c r="Z1590">
        <v>-1.4243840000000001E-2</v>
      </c>
      <c r="AA1590">
        <v>0.99989479999999997</v>
      </c>
      <c r="AB1590">
        <v>19</v>
      </c>
      <c r="AC1590">
        <v>12.981499999999899</v>
      </c>
      <c r="AD1590">
        <v>0.85611599999999999</v>
      </c>
      <c r="AE1590">
        <v>-402.86381</v>
      </c>
      <c r="AF1590">
        <v>-1.11056044331887</v>
      </c>
      <c r="AG1590">
        <v>0.85611599999999999</v>
      </c>
      <c r="AH1590">
        <v>403.06955919068798</v>
      </c>
      <c r="AI1590">
        <v>89.878304941400202</v>
      </c>
      <c r="AJ1590">
        <v>90.157864229214496</v>
      </c>
      <c r="AK1590">
        <v>403.07199831454398</v>
      </c>
      <c r="AL1590">
        <v>78.310034659420694</v>
      </c>
      <c r="AM1590">
        <v>93.709684739425299</v>
      </c>
      <c r="AN1590">
        <v>1.00000003319926</v>
      </c>
    </row>
    <row r="1591" spans="1:40" x14ac:dyDescent="0.25">
      <c r="A1591" t="str">
        <f>"20190304155044513"</f>
        <v>20190304155044513</v>
      </c>
      <c r="B1591" t="str">
        <f>"1551685844507608"</f>
        <v>1551685844507608</v>
      </c>
      <c r="C1591" t="s">
        <v>40</v>
      </c>
      <c r="D1591">
        <v>5.1611339999999997</v>
      </c>
      <c r="E1591">
        <v>0.52165150000000005</v>
      </c>
      <c r="F1591" t="s">
        <v>66</v>
      </c>
      <c r="G1591">
        <v>-179.20259999999999</v>
      </c>
      <c r="H1591">
        <v>1.888471</v>
      </c>
      <c r="I1591">
        <v>-81.815790000000007</v>
      </c>
      <c r="J1591">
        <v>-192.05500000000001</v>
      </c>
      <c r="K1591">
        <v>1.110514</v>
      </c>
      <c r="L1591">
        <v>320.85329999999999</v>
      </c>
      <c r="M1591">
        <v>2.9163919999999999E-2</v>
      </c>
      <c r="N1591">
        <v>-1.2119080000000001E-2</v>
      </c>
      <c r="O1591">
        <v>-0.99950139999999998</v>
      </c>
      <c r="P1591">
        <v>9.140094E-2</v>
      </c>
      <c r="Q1591">
        <v>0.1917104</v>
      </c>
      <c r="R1591">
        <v>-0.97718660000000002</v>
      </c>
      <c r="S1591">
        <v>9.7640989999999997E-2</v>
      </c>
      <c r="T1591">
        <v>5.907893E-3</v>
      </c>
      <c r="U1591">
        <v>-3.059326</v>
      </c>
      <c r="V1591">
        <v>-6.2777490000000005E-2</v>
      </c>
      <c r="W1591">
        <v>0.2035921</v>
      </c>
      <c r="X1591">
        <v>0.9770411</v>
      </c>
      <c r="Y1591">
        <v>-2.7315070000000002E-3</v>
      </c>
      <c r="Z1591">
        <v>-1.404266E-2</v>
      </c>
      <c r="AA1591">
        <v>0.9998977</v>
      </c>
      <c r="AB1591">
        <v>19</v>
      </c>
      <c r="AC1591">
        <v>12.852399999999999</v>
      </c>
      <c r="AD1591">
        <v>0.77795700000000001</v>
      </c>
      <c r="AE1591">
        <v>-402.66908999999998</v>
      </c>
      <c r="AF1591">
        <v>-1.1026592818809999</v>
      </c>
      <c r="AG1591">
        <v>0.77795700000000001</v>
      </c>
      <c r="AH1591">
        <v>402.87113813510899</v>
      </c>
      <c r="AI1591">
        <v>89.889360576702799</v>
      </c>
      <c r="AJ1591">
        <v>90.156818295863204</v>
      </c>
      <c r="AK1591">
        <v>402.87339824920701</v>
      </c>
      <c r="AL1591">
        <v>78.252906075025095</v>
      </c>
      <c r="AM1591">
        <v>93.676352664544396</v>
      </c>
      <c r="AN1591">
        <v>1.0000000337611501</v>
      </c>
    </row>
    <row r="1592" spans="1:40" x14ac:dyDescent="0.25">
      <c r="A1592" t="str">
        <f>"20190304155044534"</f>
        <v>20190304155044534</v>
      </c>
      <c r="B1592" t="str">
        <f>"1551685844528105"</f>
        <v>1551685844528105</v>
      </c>
      <c r="C1592" t="s">
        <v>40</v>
      </c>
      <c r="D1592">
        <v>5.2515090000000004</v>
      </c>
      <c r="E1592">
        <v>0.52198350000000004</v>
      </c>
      <c r="F1592" t="s">
        <v>66</v>
      </c>
      <c r="G1592">
        <v>-179.2527</v>
      </c>
      <c r="H1592">
        <v>1.057115</v>
      </c>
      <c r="I1592">
        <v>-81.815510000000003</v>
      </c>
      <c r="J1592">
        <v>-192.05</v>
      </c>
      <c r="K1592">
        <v>1.110522</v>
      </c>
      <c r="L1592">
        <v>320.67259999999999</v>
      </c>
      <c r="M1592">
        <v>2.8906910000000001E-2</v>
      </c>
      <c r="N1592">
        <v>-1.211112E-2</v>
      </c>
      <c r="O1592">
        <v>-0.99950879999999998</v>
      </c>
      <c r="P1592">
        <v>9.0191969999999996E-2</v>
      </c>
      <c r="Q1592">
        <v>0.19309779999999999</v>
      </c>
      <c r="R1592">
        <v>-0.97702549999999999</v>
      </c>
      <c r="S1592">
        <v>9.732056E-2</v>
      </c>
      <c r="T1592">
        <v>-4.0590759999999999E-4</v>
      </c>
      <c r="U1592">
        <v>-3.0610050000000002</v>
      </c>
      <c r="V1592">
        <v>-6.1827550000000002E-2</v>
      </c>
      <c r="W1592">
        <v>0.2049677</v>
      </c>
      <c r="X1592">
        <v>0.97681399999999996</v>
      </c>
      <c r="Y1592">
        <v>-2.8674030000000001E-3</v>
      </c>
      <c r="Z1592">
        <v>-1.1973070000000001E-2</v>
      </c>
      <c r="AA1592">
        <v>0.99992420000000004</v>
      </c>
      <c r="AB1592">
        <v>19</v>
      </c>
      <c r="AC1592">
        <v>12.7973</v>
      </c>
      <c r="AD1592">
        <v>-5.3406999999999899E-2</v>
      </c>
      <c r="AE1592">
        <v>-402.48811000000001</v>
      </c>
      <c r="AF1592">
        <v>-1.1564111127716401</v>
      </c>
      <c r="AG1592">
        <v>-5.3406999999999899E-2</v>
      </c>
      <c r="AH1592">
        <v>402.68983919064198</v>
      </c>
      <c r="AI1592">
        <v>90.007598858384895</v>
      </c>
      <c r="AJ1592">
        <v>90.164536791247201</v>
      </c>
      <c r="AK1592">
        <v>402.691503171291</v>
      </c>
      <c r="AL1592">
        <v>78.172391723028298</v>
      </c>
      <c r="AM1592">
        <v>93.621711328677705</v>
      </c>
      <c r="AN1592">
        <v>0.99999999728914601</v>
      </c>
    </row>
    <row r="1593" spans="1:40" x14ac:dyDescent="0.25">
      <c r="A1593" t="str">
        <f>"20190304155044558"</f>
        <v>20190304155044558</v>
      </c>
      <c r="B1593" t="str">
        <f>"1551685844547623"</f>
        <v>1551685844547623</v>
      </c>
      <c r="C1593" t="s">
        <v>40</v>
      </c>
      <c r="D1593">
        <v>5.1785209999999999</v>
      </c>
      <c r="E1593">
        <v>0.56243589999999999</v>
      </c>
      <c r="F1593" t="s">
        <v>66</v>
      </c>
      <c r="G1593">
        <v>-180.07769999999999</v>
      </c>
      <c r="H1593">
        <v>1.534305</v>
      </c>
      <c r="I1593">
        <v>-81.815669999999997</v>
      </c>
      <c r="J1593">
        <v>-192.04480000000001</v>
      </c>
      <c r="K1593">
        <v>1.1105320000000001</v>
      </c>
      <c r="L1593">
        <v>320.4812</v>
      </c>
      <c r="M1593">
        <v>2.8641690000000001E-2</v>
      </c>
      <c r="N1593">
        <v>-1.210261E-2</v>
      </c>
      <c r="O1593">
        <v>-0.99951639999999997</v>
      </c>
      <c r="P1593">
        <v>8.8341980000000001E-2</v>
      </c>
      <c r="Q1593">
        <v>0.19432060000000001</v>
      </c>
      <c r="R1593">
        <v>-0.97695200000000004</v>
      </c>
      <c r="S1593">
        <v>9.1064450000000005E-2</v>
      </c>
      <c r="T1593">
        <v>3.2234189999999999E-3</v>
      </c>
      <c r="U1593">
        <v>-3.0614319999999999</v>
      </c>
      <c r="V1593">
        <v>-6.0242120000000003E-2</v>
      </c>
      <c r="W1593">
        <v>0.2061791</v>
      </c>
      <c r="X1593">
        <v>0.97665809999999997</v>
      </c>
      <c r="Y1593">
        <v>-1.0865899999999999E-3</v>
      </c>
      <c r="Z1593">
        <v>-1.31494E-2</v>
      </c>
      <c r="AA1593">
        <v>0.99991300000000005</v>
      </c>
      <c r="AB1593">
        <v>19</v>
      </c>
      <c r="AC1593">
        <v>11.9671</v>
      </c>
      <c r="AD1593">
        <v>0.42377300000000001</v>
      </c>
      <c r="AE1593">
        <v>-402.29687000000001</v>
      </c>
      <c r="AF1593">
        <v>-0.43888216097495902</v>
      </c>
      <c r="AG1593">
        <v>0.42377300000000001</v>
      </c>
      <c r="AH1593">
        <v>402.47413744257102</v>
      </c>
      <c r="AI1593">
        <v>89.939672195790706</v>
      </c>
      <c r="AJ1593">
        <v>90.062478761294102</v>
      </c>
      <c r="AK1593">
        <v>402.47459983364001</v>
      </c>
      <c r="AL1593">
        <v>78.101468721351594</v>
      </c>
      <c r="AM1593">
        <v>93.529640293547899</v>
      </c>
      <c r="AN1593">
        <v>0.99999998929725697</v>
      </c>
    </row>
    <row r="1594" spans="1:40" x14ac:dyDescent="0.25">
      <c r="A1594" t="str">
        <f>"20190304155044579"</f>
        <v>20190304155044579</v>
      </c>
      <c r="B1594" t="str">
        <f>"1551685844568136"</f>
        <v>1551685844568136</v>
      </c>
      <c r="C1594" t="s">
        <v>40</v>
      </c>
      <c r="D1594">
        <v>5.1462789999999998</v>
      </c>
      <c r="E1594">
        <v>0.56554329999999997</v>
      </c>
      <c r="F1594" t="s">
        <v>59</v>
      </c>
      <c r="G1594">
        <v>-211.3595</v>
      </c>
      <c r="H1594">
        <v>2.5769340000000001</v>
      </c>
      <c r="I1594">
        <v>67.750690000000006</v>
      </c>
      <c r="J1594">
        <v>-192.03989999999999</v>
      </c>
      <c r="K1594">
        <v>1.110536</v>
      </c>
      <c r="L1594">
        <v>320.29680000000002</v>
      </c>
      <c r="M1594">
        <v>2.8389959999999999E-2</v>
      </c>
      <c r="N1594">
        <v>-1.209527E-2</v>
      </c>
      <c r="O1594">
        <v>-0.99952379999999996</v>
      </c>
      <c r="P1594">
        <v>8.7248329999999999E-2</v>
      </c>
      <c r="Q1594">
        <v>0.19643279999999999</v>
      </c>
      <c r="R1594">
        <v>-0.97662789999999999</v>
      </c>
      <c r="S1594">
        <v>-0.2360382</v>
      </c>
      <c r="T1594">
        <v>1.792061E-2</v>
      </c>
      <c r="U1594">
        <v>-3.0885310000000001</v>
      </c>
      <c r="V1594">
        <v>-5.940616E-2</v>
      </c>
      <c r="W1594">
        <v>0.20827879999999999</v>
      </c>
      <c r="X1594">
        <v>0.97626369999999896</v>
      </c>
      <c r="Y1594">
        <v>0.1044645</v>
      </c>
      <c r="Z1594">
        <v>-1.7882169999999999E-2</v>
      </c>
      <c r="AA1594">
        <v>0.99436780000000002</v>
      </c>
      <c r="AB1594">
        <v>19</v>
      </c>
      <c r="AC1594">
        <v>-19.319600000000001</v>
      </c>
      <c r="AD1594">
        <v>1.4663979999999901</v>
      </c>
      <c r="AE1594">
        <v>-252.54611</v>
      </c>
      <c r="AF1594">
        <v>26.481222042493201</v>
      </c>
      <c r="AG1594">
        <v>1.4663979999999901</v>
      </c>
      <c r="AH1594">
        <v>251.887334079064</v>
      </c>
      <c r="AI1594">
        <v>89.668276346324603</v>
      </c>
      <c r="AJ1594">
        <v>83.998470941661395</v>
      </c>
      <c r="AK1594">
        <v>253.279755435401</v>
      </c>
      <c r="AL1594">
        <v>77.9784951972714</v>
      </c>
      <c r="AM1594">
        <v>93.482184647693899</v>
      </c>
      <c r="AN1594">
        <v>0.99999998115653699</v>
      </c>
    </row>
    <row r="1595" spans="1:40" x14ac:dyDescent="0.25">
      <c r="A1595" t="str">
        <f>"20190304155044601"</f>
        <v>20190304155044601</v>
      </c>
      <c r="B1595" t="str">
        <f>"1551685844598376"</f>
        <v>1551685844598376</v>
      </c>
      <c r="C1595" t="s">
        <v>40</v>
      </c>
      <c r="D1595">
        <v>5.1929959999999999</v>
      </c>
      <c r="E1595">
        <v>0.5672142</v>
      </c>
      <c r="F1595" t="s">
        <v>67</v>
      </c>
      <c r="G1595">
        <v>-209.7345</v>
      </c>
      <c r="H1595">
        <v>3.381275</v>
      </c>
      <c r="I1595">
        <v>113.8978</v>
      </c>
      <c r="J1595">
        <v>-192.0352</v>
      </c>
      <c r="K1595">
        <v>1.1105499999999999</v>
      </c>
      <c r="L1595">
        <v>320.12220000000002</v>
      </c>
      <c r="M1595">
        <v>2.8152590000000002E-2</v>
      </c>
      <c r="N1595">
        <v>-1.208939E-2</v>
      </c>
      <c r="O1595">
        <v>-0.99953040000000004</v>
      </c>
      <c r="P1595">
        <v>8.6346000000000006E-2</v>
      </c>
      <c r="Q1595">
        <v>0.19854920000000001</v>
      </c>
      <c r="R1595">
        <v>-0.97627989999999998</v>
      </c>
      <c r="S1595">
        <v>-0.26478580000000002</v>
      </c>
      <c r="T1595">
        <v>3.3980129999999997E-2</v>
      </c>
      <c r="U1595">
        <v>-3.0885929999999999</v>
      </c>
      <c r="V1595">
        <v>-5.8747830000000001E-2</v>
      </c>
      <c r="W1595">
        <v>0.2103835</v>
      </c>
      <c r="X1595">
        <v>0.97585219999999995</v>
      </c>
      <c r="Y1595">
        <v>0.1134114</v>
      </c>
      <c r="Z1595">
        <v>-2.3041490000000001E-2</v>
      </c>
      <c r="AA1595">
        <v>0.99328090000000002</v>
      </c>
      <c r="AB1595">
        <v>19</v>
      </c>
      <c r="AC1595">
        <v>-17.699299999999901</v>
      </c>
      <c r="AD1595">
        <v>2.2707250000000001</v>
      </c>
      <c r="AE1595">
        <v>-206.2244</v>
      </c>
      <c r="AF1595">
        <v>23.495631870296901</v>
      </c>
      <c r="AG1595">
        <v>2.2707250000000001</v>
      </c>
      <c r="AH1595">
        <v>205.619583542583</v>
      </c>
      <c r="AI1595">
        <v>89.371379819310505</v>
      </c>
      <c r="AJ1595">
        <v>83.481229467748705</v>
      </c>
      <c r="AK1595">
        <v>206.97008007254499</v>
      </c>
      <c r="AL1595">
        <v>77.855172987546595</v>
      </c>
      <c r="AM1595">
        <v>93.445137641347102</v>
      </c>
      <c r="AN1595">
        <v>1.0000000204233901</v>
      </c>
    </row>
    <row r="1596" spans="1:40" x14ac:dyDescent="0.25">
      <c r="A1596" t="str">
        <f>"20190304155044623"</f>
        <v>20190304155044623</v>
      </c>
      <c r="B1596" t="str">
        <f>"1551685844617896"</f>
        <v>1551685844617896</v>
      </c>
      <c r="C1596" t="s">
        <v>40</v>
      </c>
      <c r="D1596">
        <v>5.1638279999999996</v>
      </c>
      <c r="E1596">
        <v>0.56775159999999902</v>
      </c>
      <c r="F1596" t="s">
        <v>67</v>
      </c>
      <c r="G1596">
        <v>-210.65549999999999</v>
      </c>
      <c r="H1596">
        <v>4.1736319999999996</v>
      </c>
      <c r="I1596">
        <v>115.27200000000001</v>
      </c>
      <c r="J1596">
        <v>-192.03020000000001</v>
      </c>
      <c r="K1596">
        <v>1.1105609999999999</v>
      </c>
      <c r="L1596">
        <v>319.93200000000002</v>
      </c>
      <c r="M1596">
        <v>2.7894660000000002E-2</v>
      </c>
      <c r="N1596">
        <v>-1.208383E-2</v>
      </c>
      <c r="O1596">
        <v>-0.99953780000000003</v>
      </c>
      <c r="P1596">
        <v>8.5790839999999993E-2</v>
      </c>
      <c r="Q1596">
        <v>0.20019200000000001</v>
      </c>
      <c r="R1596">
        <v>-0.97599329999999995</v>
      </c>
      <c r="S1596">
        <v>-0.28071590000000002</v>
      </c>
      <c r="T1596">
        <v>4.6178940000000002E-2</v>
      </c>
      <c r="U1596">
        <v>-3.0882869999999998</v>
      </c>
      <c r="V1596">
        <v>-5.8454979999999997E-2</v>
      </c>
      <c r="W1596">
        <v>0.21201629999999999</v>
      </c>
      <c r="X1596">
        <v>0.9755163</v>
      </c>
      <c r="Y1596">
        <v>0.11823980000000001</v>
      </c>
      <c r="Z1596">
        <v>-2.6956150000000002E-2</v>
      </c>
      <c r="AA1596">
        <v>0.99261909999999998</v>
      </c>
      <c r="AB1596">
        <v>19</v>
      </c>
      <c r="AC1596">
        <v>-18.6252999999999</v>
      </c>
      <c r="AD1596">
        <v>3.0630709999999901</v>
      </c>
      <c r="AE1596">
        <v>-204.66</v>
      </c>
      <c r="AF1596">
        <v>24.321985994522102</v>
      </c>
      <c r="AG1596">
        <v>3.0630709999999901</v>
      </c>
      <c r="AH1596">
        <v>204.01544020197699</v>
      </c>
      <c r="AI1596">
        <v>89.145877825543096</v>
      </c>
      <c r="AJ1596">
        <v>83.201490407373896</v>
      </c>
      <c r="AK1596">
        <v>205.482946366542</v>
      </c>
      <c r="AL1596">
        <v>77.759460873883896</v>
      </c>
      <c r="AM1596">
        <v>93.429182701895598</v>
      </c>
      <c r="AN1596">
        <v>0.99999997385908901</v>
      </c>
    </row>
    <row r="1597" spans="1:40" x14ac:dyDescent="0.25">
      <c r="A1597" t="str">
        <f>"20190304155044649"</f>
        <v>20190304155044649</v>
      </c>
      <c r="B1597" t="str">
        <f>"1551685844638392"</f>
        <v>1551685844638392</v>
      </c>
      <c r="C1597" t="s">
        <v>40</v>
      </c>
      <c r="D1597">
        <v>5.1693499999999997</v>
      </c>
      <c r="E1597">
        <v>0.56768799999999997</v>
      </c>
      <c r="F1597" t="s">
        <v>67</v>
      </c>
      <c r="G1597">
        <v>-211.06880000000001</v>
      </c>
      <c r="H1597">
        <v>4.2251070000000004</v>
      </c>
      <c r="I1597">
        <v>115.0703</v>
      </c>
      <c r="J1597">
        <v>-192.0249</v>
      </c>
      <c r="K1597">
        <v>1.110571</v>
      </c>
      <c r="L1597">
        <v>319.72840000000002</v>
      </c>
      <c r="M1597">
        <v>2.7619629999999999E-2</v>
      </c>
      <c r="N1597">
        <v>-1.2078490000000001E-2</v>
      </c>
      <c r="O1597">
        <v>-0.99954569999999998</v>
      </c>
      <c r="P1597">
        <v>8.5272689999999998E-2</v>
      </c>
      <c r="Q1597">
        <v>0.20163800000000001</v>
      </c>
      <c r="R1597">
        <v>-0.97574130000000003</v>
      </c>
      <c r="S1597">
        <v>-0.28710940000000001</v>
      </c>
      <c r="T1597">
        <v>4.6968820000000001E-2</v>
      </c>
      <c r="U1597">
        <v>-3.0893860000000002</v>
      </c>
      <c r="V1597">
        <v>-5.821399E-2</v>
      </c>
      <c r="W1597">
        <v>0.21345320000000001</v>
      </c>
      <c r="X1597">
        <v>0.97521729999999995</v>
      </c>
      <c r="Y1597">
        <v>0.1199712</v>
      </c>
      <c r="Z1597">
        <v>-2.7196850000000002E-2</v>
      </c>
      <c r="AA1597">
        <v>0.99240479999999998</v>
      </c>
      <c r="AB1597">
        <v>19</v>
      </c>
      <c r="AC1597">
        <v>-19.043900000000001</v>
      </c>
      <c r="AD1597">
        <v>3.1145360000000002</v>
      </c>
      <c r="AE1597">
        <v>-204.65809999999999</v>
      </c>
      <c r="AF1597">
        <v>24.683958600698599</v>
      </c>
      <c r="AG1597">
        <v>3.1145360000000002</v>
      </c>
      <c r="AH1597">
        <v>204.00714747618301</v>
      </c>
      <c r="AI1597">
        <v>89.131676850354296</v>
      </c>
      <c r="AJ1597">
        <v>83.101001701790594</v>
      </c>
      <c r="AK1597">
        <v>205.51864725144799</v>
      </c>
      <c r="AL1597">
        <v>77.675203737666294</v>
      </c>
      <c r="AM1597">
        <v>93.416123455094706</v>
      </c>
      <c r="AN1597">
        <v>0.99999995972062405</v>
      </c>
    </row>
    <row r="1598" spans="1:40" x14ac:dyDescent="0.25">
      <c r="A1598" t="str">
        <f>"20190304155044670"</f>
        <v>20190304155044670</v>
      </c>
      <c r="B1598" t="str">
        <f>"1551685844667672"</f>
        <v>1551685844667672</v>
      </c>
      <c r="C1598" t="s">
        <v>40</v>
      </c>
      <c r="D1598">
        <v>5.2148320000000004</v>
      </c>
      <c r="E1598">
        <v>0.56786230000000004</v>
      </c>
      <c r="F1598" t="s">
        <v>67</v>
      </c>
      <c r="G1598">
        <v>-211.11109999999999</v>
      </c>
      <c r="H1598">
        <v>4.5851989999999896</v>
      </c>
      <c r="I1598">
        <v>115.66</v>
      </c>
      <c r="J1598">
        <v>-192.02010000000001</v>
      </c>
      <c r="K1598">
        <v>1.110571</v>
      </c>
      <c r="L1598">
        <v>319.54599999999999</v>
      </c>
      <c r="M1598">
        <v>2.737295E-2</v>
      </c>
      <c r="N1598">
        <v>-1.207425E-2</v>
      </c>
      <c r="O1598">
        <v>-0.99955260000000001</v>
      </c>
      <c r="P1598">
        <v>8.4900290000000003E-2</v>
      </c>
      <c r="Q1598">
        <v>0.2033095</v>
      </c>
      <c r="R1598">
        <v>-0.97542700000000004</v>
      </c>
      <c r="S1598">
        <v>-0.2889099</v>
      </c>
      <c r="T1598">
        <v>5.2595969999999999E-2</v>
      </c>
      <c r="U1598">
        <v>-3.0889890000000002</v>
      </c>
      <c r="V1598">
        <v>-5.8091379999999998E-2</v>
      </c>
      <c r="W1598">
        <v>0.2151159</v>
      </c>
      <c r="X1598">
        <v>0.97485920000000004</v>
      </c>
      <c r="Y1598">
        <v>0.120308</v>
      </c>
      <c r="Z1598">
        <v>-2.900283E-2</v>
      </c>
      <c r="AA1598">
        <v>0.99231279999999999</v>
      </c>
      <c r="AB1598">
        <v>19</v>
      </c>
      <c r="AC1598">
        <v>-19.090999999999902</v>
      </c>
      <c r="AD1598">
        <v>3.4746279999999898</v>
      </c>
      <c r="AE1598">
        <v>-203.886</v>
      </c>
      <c r="AF1598">
        <v>24.658113009444101</v>
      </c>
      <c r="AG1598">
        <v>3.4746279999999898</v>
      </c>
      <c r="AH1598">
        <v>203.22846524056601</v>
      </c>
      <c r="AI1598">
        <v>89.027630580600103</v>
      </c>
      <c r="AJ1598">
        <v>83.082004754495898</v>
      </c>
      <c r="AK1598">
        <v>204.74839354915801</v>
      </c>
      <c r="AL1598">
        <v>77.577672497276893</v>
      </c>
      <c r="AM1598">
        <v>93.410194690132002</v>
      </c>
      <c r="AN1598">
        <v>0.99999995934387598</v>
      </c>
    </row>
    <row r="1599" spans="1:40" x14ac:dyDescent="0.25">
      <c r="A1599" t="str">
        <f>"20190304155044691"</f>
        <v>20190304155044691</v>
      </c>
      <c r="B1599" t="str">
        <f>"1551685844688168"</f>
        <v>1551685844688168</v>
      </c>
      <c r="C1599" t="s">
        <v>40</v>
      </c>
      <c r="D1599">
        <v>5.1720319999999997</v>
      </c>
      <c r="E1599">
        <v>0.567758599999999</v>
      </c>
      <c r="F1599" t="s">
        <v>67</v>
      </c>
      <c r="G1599">
        <v>-211.24860000000001</v>
      </c>
      <c r="H1599">
        <v>4.7561309999999999</v>
      </c>
      <c r="I1599">
        <v>115.84990000000001</v>
      </c>
      <c r="J1599">
        <v>-192.01570000000001</v>
      </c>
      <c r="K1599">
        <v>1.110574</v>
      </c>
      <c r="L1599">
        <v>319.37360000000001</v>
      </c>
      <c r="M1599">
        <v>2.713952E-2</v>
      </c>
      <c r="N1599">
        <v>-1.207075E-2</v>
      </c>
      <c r="O1599">
        <v>-0.99955899999999998</v>
      </c>
      <c r="P1599">
        <v>8.4372589999999997E-2</v>
      </c>
      <c r="Q1599">
        <v>0.20398579999999999</v>
      </c>
      <c r="R1599">
        <v>-0.97533170000000002</v>
      </c>
      <c r="S1599">
        <v>-0.29164119999999999</v>
      </c>
      <c r="T1599">
        <v>5.5292960000000002E-2</v>
      </c>
      <c r="U1599">
        <v>-3.0894780000000002</v>
      </c>
      <c r="V1599">
        <v>-5.7794390000000001E-2</v>
      </c>
      <c r="W1599">
        <v>0.21578739999999999</v>
      </c>
      <c r="X1599">
        <v>0.9747285</v>
      </c>
      <c r="Y1599">
        <v>0.12092940000000001</v>
      </c>
      <c r="Z1599">
        <v>-2.986221E-2</v>
      </c>
      <c r="AA1599">
        <v>0.99221179999999998</v>
      </c>
      <c r="AB1599">
        <v>19</v>
      </c>
      <c r="AC1599">
        <v>-19.232900000000001</v>
      </c>
      <c r="AD1599">
        <v>3.6455570000000002</v>
      </c>
      <c r="AE1599">
        <v>-203.52369999999999</v>
      </c>
      <c r="AF1599">
        <v>24.7418832656776</v>
      </c>
      <c r="AG1599">
        <v>3.6455570000000002</v>
      </c>
      <c r="AH1599">
        <v>202.86220105908001</v>
      </c>
      <c r="AI1599">
        <v>88.978042089072403</v>
      </c>
      <c r="AJ1599">
        <v>83.046321614711005</v>
      </c>
      <c r="AK1599">
        <v>204.39795373708401</v>
      </c>
      <c r="AL1599">
        <v>77.538273845913594</v>
      </c>
      <c r="AM1599">
        <v>93.393254902318702</v>
      </c>
      <c r="AN1599">
        <v>1.00000002111324</v>
      </c>
    </row>
    <row r="1600" spans="1:40" x14ac:dyDescent="0.25">
      <c r="A1600" t="str">
        <f>"20190304155044714"</f>
        <v>20190304155044714</v>
      </c>
      <c r="B1600" t="str">
        <f>"1551685844707688"</f>
        <v>1551685844707688</v>
      </c>
      <c r="C1600" t="s">
        <v>40</v>
      </c>
      <c r="D1600">
        <v>5.2029990000000002</v>
      </c>
      <c r="E1600">
        <v>0.56786199999999998</v>
      </c>
      <c r="F1600" t="s">
        <v>67</v>
      </c>
      <c r="G1600">
        <v>-211.298</v>
      </c>
      <c r="H1600">
        <v>4.8487099999999996</v>
      </c>
      <c r="I1600">
        <v>115.9759</v>
      </c>
      <c r="J1600">
        <v>-192.01070000000001</v>
      </c>
      <c r="K1600">
        <v>1.110576</v>
      </c>
      <c r="L1600">
        <v>319.1782</v>
      </c>
      <c r="M1600">
        <v>2.6873830000000001E-2</v>
      </c>
      <c r="N1600">
        <v>-1.2065799999999899E-2</v>
      </c>
      <c r="O1600">
        <v>-0.99956619999999996</v>
      </c>
      <c r="P1600">
        <v>8.4381349999999994E-2</v>
      </c>
      <c r="Q1600">
        <v>0.20404030000000001</v>
      </c>
      <c r="R1600">
        <v>-0.9753193</v>
      </c>
      <c r="S1600">
        <v>-0.2928772</v>
      </c>
      <c r="T1600">
        <v>5.6778549999999997E-2</v>
      </c>
      <c r="U1600">
        <v>-3.0893860000000002</v>
      </c>
      <c r="V1600">
        <v>-5.8062860000000001E-2</v>
      </c>
      <c r="W1600">
        <v>0.21583669999999999</v>
      </c>
      <c r="X1600">
        <v>0.97470159999999995</v>
      </c>
      <c r="Y1600">
        <v>0.1210608</v>
      </c>
      <c r="Z1600">
        <v>-3.033479E-2</v>
      </c>
      <c r="AA1600">
        <v>0.99218150000000005</v>
      </c>
      <c r="AB1600">
        <v>19</v>
      </c>
      <c r="AC1600">
        <v>-19.287299999999899</v>
      </c>
      <c r="AD1600">
        <v>3.7381340000000001</v>
      </c>
      <c r="AE1600">
        <v>-203.20230000000001</v>
      </c>
      <c r="AF1600">
        <v>24.733258223208999</v>
      </c>
      <c r="AG1600">
        <v>3.7381340000000001</v>
      </c>
      <c r="AH1600">
        <v>202.542606299152</v>
      </c>
      <c r="AI1600">
        <v>88.950461498124298</v>
      </c>
      <c r="AJ1600">
        <v>83.037861001708094</v>
      </c>
      <c r="AK1600">
        <v>204.08139325913899</v>
      </c>
      <c r="AL1600">
        <v>77.535380636572199</v>
      </c>
      <c r="AM1600">
        <v>93.4090742275433</v>
      </c>
      <c r="AN1600">
        <v>0.99999999291041397</v>
      </c>
    </row>
    <row r="1601" spans="1:40" x14ac:dyDescent="0.25">
      <c r="A1601" t="str">
        <f>"20190304155044736"</f>
        <v>20190304155044736</v>
      </c>
      <c r="B1601" t="str">
        <f>"1551685844728184"</f>
        <v>1551685844728184</v>
      </c>
      <c r="C1601" t="s">
        <v>40</v>
      </c>
      <c r="D1601">
        <v>5.189038</v>
      </c>
      <c r="E1601">
        <v>0.56770859999999901</v>
      </c>
      <c r="F1601" t="s">
        <v>67</v>
      </c>
      <c r="G1601">
        <v>-211.37110000000001</v>
      </c>
      <c r="H1601">
        <v>4.86517</v>
      </c>
      <c r="I1601">
        <v>115.9391</v>
      </c>
      <c r="J1601">
        <v>-192.006</v>
      </c>
      <c r="K1601">
        <v>1.1105769999999999</v>
      </c>
      <c r="L1601">
        <v>318.99180000000001</v>
      </c>
      <c r="M1601">
        <v>2.6619750000000001E-2</v>
      </c>
      <c r="N1601">
        <v>-1.205581E-2</v>
      </c>
      <c r="O1601">
        <v>-0.99957309999999999</v>
      </c>
      <c r="P1601">
        <v>8.4440609999999999E-2</v>
      </c>
      <c r="Q1601">
        <v>0.20351959999999999</v>
      </c>
      <c r="R1601">
        <v>-0.97542300000000004</v>
      </c>
      <c r="S1601">
        <v>-0.29429630000000001</v>
      </c>
      <c r="T1601">
        <v>5.707359E-2</v>
      </c>
      <c r="U1601">
        <v>-3.0894170000000001</v>
      </c>
      <c r="V1601">
        <v>-5.8367759999999998E-2</v>
      </c>
      <c r="W1601">
        <v>0.21530779999999999</v>
      </c>
      <c r="X1601">
        <v>0.97480029999999995</v>
      </c>
      <c r="Y1601">
        <v>0.12125900000000001</v>
      </c>
      <c r="Z1601">
        <v>-3.041893E-2</v>
      </c>
      <c r="AA1601">
        <v>0.99215469999999895</v>
      </c>
      <c r="AB1601">
        <v>19</v>
      </c>
      <c r="AC1601">
        <v>-19.365100000000002</v>
      </c>
      <c r="AD1601">
        <v>3.7545929999999998</v>
      </c>
      <c r="AE1601">
        <v>-203.05269999999999</v>
      </c>
      <c r="AF1601">
        <v>24.755452899345499</v>
      </c>
      <c r="AG1601">
        <v>3.7545929999999998</v>
      </c>
      <c r="AH1601">
        <v>202.396625497115</v>
      </c>
      <c r="AI1601">
        <v>88.945106381744495</v>
      </c>
      <c r="AJ1601">
        <v>83.026698329546406</v>
      </c>
      <c r="AK1601">
        <v>203.93950924101699</v>
      </c>
      <c r="AL1601">
        <v>77.566413297916498</v>
      </c>
      <c r="AM1601">
        <v>93.426587268147301</v>
      </c>
      <c r="AN1601">
        <v>0.99999993451417102</v>
      </c>
    </row>
    <row r="1602" spans="1:40" x14ac:dyDescent="0.25">
      <c r="A1602" t="str">
        <f>"20190304155044759"</f>
        <v>20190304155044759</v>
      </c>
      <c r="B1602" t="str">
        <f>"1551685844747707"</f>
        <v>1551685844747707</v>
      </c>
      <c r="C1602" t="s">
        <v>40</v>
      </c>
      <c r="D1602">
        <v>5.1763399999999997</v>
      </c>
      <c r="E1602">
        <v>0.56772319999999998</v>
      </c>
      <c r="F1602" t="s">
        <v>67</v>
      </c>
      <c r="G1602">
        <v>-211.36660000000001</v>
      </c>
      <c r="H1602">
        <v>4.6558999999999999</v>
      </c>
      <c r="I1602">
        <v>115.5557</v>
      </c>
      <c r="J1602">
        <v>-192.00139999999999</v>
      </c>
      <c r="K1602">
        <v>1.110565</v>
      </c>
      <c r="L1602">
        <v>318.80700000000002</v>
      </c>
      <c r="M1602">
        <v>2.6363029999999999E-2</v>
      </c>
      <c r="N1602">
        <v>-1.204275E-2</v>
      </c>
      <c r="O1602">
        <v>-0.99958000000000002</v>
      </c>
      <c r="P1602">
        <v>8.4372489999999994E-2</v>
      </c>
      <c r="Q1602">
        <v>0.20302819999999999</v>
      </c>
      <c r="R1602">
        <v>-0.97553140000000005</v>
      </c>
      <c r="S1602">
        <v>-0.29405209999999998</v>
      </c>
      <c r="T1602">
        <v>5.3847190000000003E-2</v>
      </c>
      <c r="U1602">
        <v>-3.0898129999999999</v>
      </c>
      <c r="V1602">
        <v>-5.8547309999999998E-2</v>
      </c>
      <c r="W1602">
        <v>0.21480489999999999</v>
      </c>
      <c r="X1602">
        <v>0.97490049999999995</v>
      </c>
      <c r="Y1602">
        <v>0.1209166</v>
      </c>
      <c r="Z1602">
        <v>-2.9367310000000001E-2</v>
      </c>
      <c r="AA1602">
        <v>0.9922282</v>
      </c>
      <c r="AB1602">
        <v>19</v>
      </c>
      <c r="AC1602">
        <v>-19.365200000000002</v>
      </c>
      <c r="AD1602">
        <v>3.5453350000000001</v>
      </c>
      <c r="AE1602">
        <v>-203.25129999999999</v>
      </c>
      <c r="AF1602">
        <v>24.709725900774</v>
      </c>
      <c r="AG1602">
        <v>3.5453350000000001</v>
      </c>
      <c r="AH1602">
        <v>202.60899272615799</v>
      </c>
      <c r="AI1602">
        <v>89.004888998683199</v>
      </c>
      <c r="AJ1602">
        <v>83.046676905913898</v>
      </c>
      <c r="AK1602">
        <v>204.140990219657</v>
      </c>
      <c r="AL1602">
        <v>77.5959180076444</v>
      </c>
      <c r="AM1602">
        <v>93.436750433497195</v>
      </c>
      <c r="AN1602">
        <v>0.99999995873624703</v>
      </c>
    </row>
    <row r="1603" spans="1:40" x14ac:dyDescent="0.25">
      <c r="A1603" t="str">
        <f>"20190304155044779"</f>
        <v>20190304155044779</v>
      </c>
      <c r="B1603" t="str">
        <f>"1551685844777960"</f>
        <v>1551685844777960</v>
      </c>
      <c r="C1603" t="s">
        <v>40</v>
      </c>
      <c r="D1603">
        <v>5.1258119999999998</v>
      </c>
      <c r="E1603">
        <v>0.56731200000000004</v>
      </c>
      <c r="F1603" t="s">
        <v>67</v>
      </c>
      <c r="G1603">
        <v>-211.43430000000001</v>
      </c>
      <c r="H1603">
        <v>4.4659399999999998</v>
      </c>
      <c r="I1603">
        <v>115.1417</v>
      </c>
      <c r="J1603">
        <v>-191.99700000000001</v>
      </c>
      <c r="K1603">
        <v>1.110557</v>
      </c>
      <c r="L1603">
        <v>318.63069999999999</v>
      </c>
      <c r="M1603">
        <v>2.6109839999999999E-2</v>
      </c>
      <c r="N1603">
        <v>-1.2028540000000001E-2</v>
      </c>
      <c r="O1603">
        <v>-0.99958689999999994</v>
      </c>
      <c r="P1603">
        <v>8.3950479999999994E-2</v>
      </c>
      <c r="Q1603">
        <v>0.2021655</v>
      </c>
      <c r="R1603">
        <v>-0.97574680000000003</v>
      </c>
      <c r="S1603">
        <v>-0.29484559999999999</v>
      </c>
      <c r="T1603">
        <v>5.09094E-2</v>
      </c>
      <c r="U1603">
        <v>-3.0900880000000002</v>
      </c>
      <c r="V1603">
        <v>-5.8365840000000002E-2</v>
      </c>
      <c r="W1603">
        <v>0.2139316</v>
      </c>
      <c r="X1603">
        <v>0.97510339999999995</v>
      </c>
      <c r="Y1603">
        <v>0.1209113</v>
      </c>
      <c r="Z1603">
        <v>-2.8407490000000001E-2</v>
      </c>
      <c r="AA1603">
        <v>0.99225680000000005</v>
      </c>
      <c r="AB1603">
        <v>19</v>
      </c>
      <c r="AC1603">
        <v>-19.4373</v>
      </c>
      <c r="AD1603">
        <v>3.3553829999999998</v>
      </c>
      <c r="AE1603">
        <v>-203.489</v>
      </c>
      <c r="AF1603">
        <v>24.737455911435401</v>
      </c>
      <c r="AG1603">
        <v>3.3553829999999998</v>
      </c>
      <c r="AH1603">
        <v>202.85741774545701</v>
      </c>
      <c r="AI1603">
        <v>89.059346916075</v>
      </c>
      <c r="AJ1603">
        <v>83.047391406337297</v>
      </c>
      <c r="AK1603">
        <v>204.38770083936501</v>
      </c>
      <c r="AL1603">
        <v>77.647145451735796</v>
      </c>
      <c r="AM1603">
        <v>93.425412274600106</v>
      </c>
      <c r="AN1603">
        <v>0.99999997072451197</v>
      </c>
    </row>
    <row r="1604" spans="1:40" x14ac:dyDescent="0.25">
      <c r="A1604" t="str">
        <f>"20190304155044802"</f>
        <v>20190304155044802</v>
      </c>
      <c r="B1604" t="str">
        <f>"1551685844798456"</f>
        <v>1551685844798456</v>
      </c>
      <c r="C1604" t="s">
        <v>40</v>
      </c>
      <c r="D1604">
        <v>5.1510160000000003</v>
      </c>
      <c r="E1604">
        <v>0.56713239999999998</v>
      </c>
      <c r="F1604" t="s">
        <v>67</v>
      </c>
      <c r="G1604">
        <v>-211.33109999999999</v>
      </c>
      <c r="H1604">
        <v>4.2462619999999998</v>
      </c>
      <c r="I1604">
        <v>114.9348</v>
      </c>
      <c r="J1604">
        <v>-191.99250000000001</v>
      </c>
      <c r="K1604">
        <v>1.1105400000000001</v>
      </c>
      <c r="L1604">
        <v>318.44760000000002</v>
      </c>
      <c r="M1604">
        <v>2.583618E-2</v>
      </c>
      <c r="N1604">
        <v>-1.201063E-2</v>
      </c>
      <c r="O1604">
        <v>-0.99959410000000004</v>
      </c>
      <c r="P1604">
        <v>8.3796529999999994E-2</v>
      </c>
      <c r="Q1604">
        <v>0.2012785</v>
      </c>
      <c r="R1604">
        <v>-0.97594340000000002</v>
      </c>
      <c r="S1604">
        <v>-0.29328920000000003</v>
      </c>
      <c r="T1604">
        <v>4.7567489999999997E-2</v>
      </c>
      <c r="U1604">
        <v>-3.089966</v>
      </c>
      <c r="V1604">
        <v>-5.8470620000000001E-2</v>
      </c>
      <c r="W1604">
        <v>0.2130302</v>
      </c>
      <c r="X1604">
        <v>0.97529449999999995</v>
      </c>
      <c r="Y1604">
        <v>0.1201499</v>
      </c>
      <c r="Z1604">
        <v>-2.7317319999999999E-2</v>
      </c>
      <c r="AA1604">
        <v>0.99237980000000003</v>
      </c>
      <c r="AB1604">
        <v>19</v>
      </c>
      <c r="AC1604">
        <v>-19.3385999999999</v>
      </c>
      <c r="AD1604">
        <v>3.1357219999999999</v>
      </c>
      <c r="AE1604">
        <v>-203.5128</v>
      </c>
      <c r="AF1604">
        <v>24.584731606230999</v>
      </c>
      <c r="AG1604">
        <v>3.1357219999999999</v>
      </c>
      <c r="AH1604">
        <v>202.89744606313801</v>
      </c>
      <c r="AI1604">
        <v>89.121008637246405</v>
      </c>
      <c r="AJ1604">
        <v>83.091249259609697</v>
      </c>
      <c r="AK1604">
        <v>204.40551704774501</v>
      </c>
      <c r="AL1604">
        <v>77.700011181142003</v>
      </c>
      <c r="AM1604">
        <v>93.430876215653001</v>
      </c>
      <c r="AN1604">
        <v>1.00000002062273</v>
      </c>
    </row>
    <row r="1605" spans="1:40" x14ac:dyDescent="0.25">
      <c r="A1605" t="str">
        <f>"20190304155044826"</f>
        <v>20190304155044826</v>
      </c>
      <c r="B1605" t="str">
        <f>"1551685844817977"</f>
        <v>1551685844817977</v>
      </c>
      <c r="C1605" t="s">
        <v>40</v>
      </c>
      <c r="D1605">
        <v>5.0837909999999997</v>
      </c>
      <c r="E1605">
        <v>0.56690289999999999</v>
      </c>
      <c r="F1605" t="s">
        <v>67</v>
      </c>
      <c r="G1605">
        <v>-211.27789999999999</v>
      </c>
      <c r="H1605">
        <v>4.0488330000000001</v>
      </c>
      <c r="I1605">
        <v>114.83410000000001</v>
      </c>
      <c r="J1605">
        <v>-191.98779999999999</v>
      </c>
      <c r="K1605">
        <v>1.1105210000000001</v>
      </c>
      <c r="L1605">
        <v>318.24919999999997</v>
      </c>
      <c r="M1605">
        <v>2.5523299999999999E-2</v>
      </c>
      <c r="N1605">
        <v>-1.1989440000000001E-2</v>
      </c>
      <c r="O1605">
        <v>-0.99960249999999995</v>
      </c>
      <c r="P1605">
        <v>8.3458740000000003E-2</v>
      </c>
      <c r="Q1605">
        <v>0.20061619999999999</v>
      </c>
      <c r="R1605">
        <v>-0.97610870000000005</v>
      </c>
      <c r="S1605">
        <v>-0.29266360000000002</v>
      </c>
      <c r="T1605">
        <v>4.4589999999999998E-2</v>
      </c>
      <c r="U1605">
        <v>-3.0899049999999999</v>
      </c>
      <c r="V1605">
        <v>-5.842878E-2</v>
      </c>
      <c r="W1605">
        <v>0.21235039999999999</v>
      </c>
      <c r="X1605">
        <v>0.97544520000000001</v>
      </c>
      <c r="Y1605">
        <v>0.11964370000000001</v>
      </c>
      <c r="Z1605">
        <v>-2.634003E-2</v>
      </c>
      <c r="AA1605">
        <v>0.9924674</v>
      </c>
      <c r="AB1605">
        <v>19</v>
      </c>
      <c r="AC1605">
        <v>-19.290099999999899</v>
      </c>
      <c r="AD1605">
        <v>2.9383119999999998</v>
      </c>
      <c r="AE1605">
        <v>-203.4151</v>
      </c>
      <c r="AF1605">
        <v>24.470951353413099</v>
      </c>
      <c r="AG1605">
        <v>2.9383119999999998</v>
      </c>
      <c r="AH1605">
        <v>202.81449998903699</v>
      </c>
      <c r="AI1605">
        <v>89.175950805000696</v>
      </c>
      <c r="AJ1605">
        <v>83.120131035863807</v>
      </c>
      <c r="AK1605">
        <v>204.306589573987</v>
      </c>
      <c r="AL1605">
        <v>77.739872351814398</v>
      </c>
      <c r="AM1605">
        <v>93.4278986244165</v>
      </c>
      <c r="AN1605">
        <v>0.99999997645774397</v>
      </c>
    </row>
    <row r="1606" spans="1:40" x14ac:dyDescent="0.25">
      <c r="A1606" t="str">
        <f>"20190304155044851"</f>
        <v>20190304155044851</v>
      </c>
      <c r="B1606" t="str">
        <f>"1551685844848232"</f>
        <v>1551685844848232</v>
      </c>
      <c r="C1606" t="s">
        <v>40</v>
      </c>
      <c r="D1606">
        <v>5.0762600000000004</v>
      </c>
      <c r="E1606">
        <v>0.56652919999999996</v>
      </c>
      <c r="F1606" t="s">
        <v>67</v>
      </c>
      <c r="G1606">
        <v>-211.30420000000001</v>
      </c>
      <c r="H1606">
        <v>3.8379099999999999</v>
      </c>
      <c r="I1606">
        <v>114.2948</v>
      </c>
      <c r="J1606">
        <v>-191.983</v>
      </c>
      <c r="K1606">
        <v>1.1104969999999901</v>
      </c>
      <c r="L1606">
        <v>318.04790000000003</v>
      </c>
      <c r="M1606">
        <v>2.517757E-2</v>
      </c>
      <c r="N1606">
        <v>-1.196994E-2</v>
      </c>
      <c r="O1606">
        <v>-0.99961129999999998</v>
      </c>
      <c r="P1606">
        <v>8.3157010000000003E-2</v>
      </c>
      <c r="Q1606">
        <v>0.2001212</v>
      </c>
      <c r="R1606">
        <v>-0.97623599999999999</v>
      </c>
      <c r="S1606">
        <v>-0.29264829999999997</v>
      </c>
      <c r="T1606">
        <v>4.1320679999999999E-2</v>
      </c>
      <c r="U1606">
        <v>-3.0899350000000001</v>
      </c>
      <c r="V1606">
        <v>-5.8453529999999997E-2</v>
      </c>
      <c r="W1606">
        <v>0.21184059999999999</v>
      </c>
      <c r="X1606">
        <v>0.97555460000000005</v>
      </c>
      <c r="Y1606">
        <v>0.1192964</v>
      </c>
      <c r="Z1606">
        <v>-2.526979E-2</v>
      </c>
      <c r="AA1606">
        <v>0.99253709999999995</v>
      </c>
      <c r="AB1606">
        <v>19</v>
      </c>
      <c r="AC1606">
        <v>-19.321200000000001</v>
      </c>
      <c r="AD1606">
        <v>2.7274129999999999</v>
      </c>
      <c r="AE1606">
        <v>-203.75309999999999</v>
      </c>
      <c r="AF1606">
        <v>24.4411094743074</v>
      </c>
      <c r="AG1606">
        <v>2.7274129999999999</v>
      </c>
      <c r="AH1606">
        <v>203.16592503536</v>
      </c>
      <c r="AI1606">
        <v>89.236380801162298</v>
      </c>
      <c r="AJ1606">
        <v>83.140213325018195</v>
      </c>
      <c r="AK1606">
        <v>204.64896703741499</v>
      </c>
      <c r="AL1606">
        <v>77.769762251394297</v>
      </c>
      <c r="AM1606">
        <v>93.428963538386995</v>
      </c>
      <c r="AN1606">
        <v>1.00000001627949</v>
      </c>
    </row>
    <row r="1607" spans="1:40" x14ac:dyDescent="0.25">
      <c r="A1607" t="str">
        <f>"20190304155044872"</f>
        <v>20190304155044872</v>
      </c>
      <c r="B1607" t="str">
        <f>"1551685844867752"</f>
        <v>1551685844867752</v>
      </c>
      <c r="C1607" t="s">
        <v>40</v>
      </c>
      <c r="D1607">
        <v>5.0546119999999997</v>
      </c>
      <c r="E1607">
        <v>0.56633789999999995</v>
      </c>
      <c r="F1607" t="s">
        <v>67</v>
      </c>
      <c r="G1607">
        <v>-211.13820000000001</v>
      </c>
      <c r="H1607">
        <v>3.6822309999999998</v>
      </c>
      <c r="I1607">
        <v>114.5311</v>
      </c>
      <c r="J1607">
        <v>-191.97890000000001</v>
      </c>
      <c r="K1607">
        <v>1.1104810000000001</v>
      </c>
      <c r="L1607">
        <v>317.86669999999998</v>
      </c>
      <c r="M1607">
        <v>2.483687E-2</v>
      </c>
      <c r="N1607">
        <v>-1.1954640000000001E-2</v>
      </c>
      <c r="O1607">
        <v>-0.99962019999999996</v>
      </c>
      <c r="P1607">
        <v>8.2806740000000004E-2</v>
      </c>
      <c r="Q1607">
        <v>0.19973299999999999</v>
      </c>
      <c r="R1607">
        <v>-0.97634540000000003</v>
      </c>
      <c r="S1607">
        <v>-0.2908173</v>
      </c>
      <c r="T1607">
        <v>3.9044740000000001E-2</v>
      </c>
      <c r="U1607">
        <v>-3.0898129999999999</v>
      </c>
      <c r="V1607">
        <v>-5.8424280000000002E-2</v>
      </c>
      <c r="W1607">
        <v>0.21144070000000001</v>
      </c>
      <c r="X1607">
        <v>0.97564309999999999</v>
      </c>
      <c r="Y1607">
        <v>0.11837979999999999</v>
      </c>
      <c r="Z1607">
        <v>-2.4524299999999999E-2</v>
      </c>
      <c r="AA1607">
        <v>0.99266549999999998</v>
      </c>
      <c r="AB1607">
        <v>19</v>
      </c>
      <c r="AC1607">
        <v>-19.159300000000002</v>
      </c>
      <c r="AD1607">
        <v>2.5717500000000002</v>
      </c>
      <c r="AE1607">
        <v>-203.3356</v>
      </c>
      <c r="AF1607">
        <v>24.200131635062402</v>
      </c>
      <c r="AG1607">
        <v>2.5717500000000002</v>
      </c>
      <c r="AH1607">
        <v>202.764824321162</v>
      </c>
      <c r="AI1607">
        <v>89.278453284918896</v>
      </c>
      <c r="AJ1607">
        <v>83.193901237224296</v>
      </c>
      <c r="AK1607">
        <v>204.22006329253901</v>
      </c>
      <c r="AL1607">
        <v>77.793205840443505</v>
      </c>
      <c r="AM1607">
        <v>93.426941641624794</v>
      </c>
      <c r="AN1607">
        <v>1.0000000123438</v>
      </c>
    </row>
    <row r="1608" spans="1:40" x14ac:dyDescent="0.25">
      <c r="A1608" t="str">
        <f>"20190304155044892"</f>
        <v>20190304155044892</v>
      </c>
      <c r="B1608" t="str">
        <f>"1551685844888248"</f>
        <v>1551685844888248</v>
      </c>
      <c r="C1608" t="s">
        <v>40</v>
      </c>
      <c r="D1608">
        <v>5.0197370000000001</v>
      </c>
      <c r="E1608">
        <v>0.56615629999999995</v>
      </c>
      <c r="F1608" t="s">
        <v>67</v>
      </c>
      <c r="G1608">
        <v>-211.12139999999999</v>
      </c>
      <c r="H1608">
        <v>3.65178</v>
      </c>
      <c r="I1608">
        <v>114.5641</v>
      </c>
      <c r="J1608">
        <v>-191.9752</v>
      </c>
      <c r="K1608">
        <v>1.1104609999999999</v>
      </c>
      <c r="L1608">
        <v>317.7029</v>
      </c>
      <c r="M1608">
        <v>2.4507359999999999E-2</v>
      </c>
      <c r="N1608">
        <v>-1.1941719999999999E-2</v>
      </c>
      <c r="O1608">
        <v>-0.99962850000000003</v>
      </c>
      <c r="P1608">
        <v>8.2301150000000003E-2</v>
      </c>
      <c r="Q1608">
        <v>0.19939789999999999</v>
      </c>
      <c r="R1608">
        <v>-0.97645680000000001</v>
      </c>
      <c r="S1608">
        <v>-0.29089359999999997</v>
      </c>
      <c r="T1608">
        <v>3.8618329999999999E-2</v>
      </c>
      <c r="U1608">
        <v>-3.0894170000000001</v>
      </c>
      <c r="V1608">
        <v>-5.8229599999999902E-2</v>
      </c>
      <c r="W1608">
        <v>0.21109629999999999</v>
      </c>
      <c r="X1608">
        <v>0.97572930000000002</v>
      </c>
      <c r="Y1608">
        <v>0.118089</v>
      </c>
      <c r="Z1608">
        <v>-2.4376040000000002E-2</v>
      </c>
      <c r="AA1608">
        <v>0.99270380000000003</v>
      </c>
      <c r="AB1608">
        <v>19</v>
      </c>
      <c r="AC1608">
        <v>-19.1462</v>
      </c>
      <c r="AD1608">
        <v>2.5413190000000001</v>
      </c>
      <c r="AE1608">
        <v>-203.1388</v>
      </c>
      <c r="AF1608">
        <v>24.115457447866198</v>
      </c>
      <c r="AG1608">
        <v>2.5413190000000001</v>
      </c>
      <c r="AH1608">
        <v>202.57709681111399</v>
      </c>
      <c r="AI1608">
        <v>89.286303860097206</v>
      </c>
      <c r="AJ1608">
        <v>83.2112662685022</v>
      </c>
      <c r="AK1608">
        <v>204.02326765003801</v>
      </c>
      <c r="AL1608">
        <v>77.813394050926703</v>
      </c>
      <c r="AM1608">
        <v>93.415248517369506</v>
      </c>
      <c r="AN1608">
        <v>1.00000000053417</v>
      </c>
    </row>
    <row r="1609" spans="1:40" x14ac:dyDescent="0.25">
      <c r="A1609" t="str">
        <f>"20190304155044915"</f>
        <v>20190304155044915</v>
      </c>
      <c r="B1609" t="str">
        <f>"1551685844907770"</f>
        <v>1551685844907770</v>
      </c>
      <c r="C1609" t="s">
        <v>40</v>
      </c>
      <c r="D1609">
        <v>4.9677030000000002</v>
      </c>
      <c r="E1609">
        <v>0.56596990000000003</v>
      </c>
      <c r="F1609" t="s">
        <v>67</v>
      </c>
      <c r="G1609">
        <v>-211.1361</v>
      </c>
      <c r="H1609">
        <v>3.6287929999999999</v>
      </c>
      <c r="I1609">
        <v>114.56570000000001</v>
      </c>
      <c r="J1609">
        <v>-191.9709</v>
      </c>
      <c r="K1609">
        <v>1.110439</v>
      </c>
      <c r="L1609">
        <v>317.50709999999998</v>
      </c>
      <c r="M1609">
        <v>2.408155E-2</v>
      </c>
      <c r="N1609">
        <v>-1.192704E-2</v>
      </c>
      <c r="O1609">
        <v>-0.99963880000000005</v>
      </c>
      <c r="P1609">
        <v>8.1843070000000004E-2</v>
      </c>
      <c r="Q1609">
        <v>0.1992621</v>
      </c>
      <c r="R1609">
        <v>-0.97652260000000002</v>
      </c>
      <c r="S1609">
        <v>-0.29138180000000002</v>
      </c>
      <c r="T1609">
        <v>3.8296700000000003E-2</v>
      </c>
      <c r="U1609">
        <v>-3.0891109999999999</v>
      </c>
      <c r="V1609">
        <v>-5.8177529999999998E-2</v>
      </c>
      <c r="W1609">
        <v>0.210949</v>
      </c>
      <c r="X1609">
        <v>0.97576430000000003</v>
      </c>
      <c r="Y1609">
        <v>0.1178309</v>
      </c>
      <c r="Z1609">
        <v>-2.4259220000000001E-2</v>
      </c>
      <c r="AA1609">
        <v>0.99273730000000004</v>
      </c>
      <c r="AB1609">
        <v>19</v>
      </c>
      <c r="AC1609">
        <v>-19.165199999999999</v>
      </c>
      <c r="AD1609">
        <v>2.518354</v>
      </c>
      <c r="AE1609">
        <v>-202.94139999999999</v>
      </c>
      <c r="AF1609">
        <v>24.043462875647201</v>
      </c>
      <c r="AG1609">
        <v>2.518354</v>
      </c>
      <c r="AH1609">
        <v>202.39008697952701</v>
      </c>
      <c r="AI1609">
        <v>89.292078790511994</v>
      </c>
      <c r="AJ1609">
        <v>83.225148941147197</v>
      </c>
      <c r="AK1609">
        <v>203.828794632903</v>
      </c>
      <c r="AL1609">
        <v>77.822028604566896</v>
      </c>
      <c r="AM1609">
        <v>93.412079653064197</v>
      </c>
      <c r="AN1609">
        <v>1.0000000373761899</v>
      </c>
    </row>
    <row r="1610" spans="1:40" x14ac:dyDescent="0.25">
      <c r="A1610" t="str">
        <f>"20190304155044938"</f>
        <v>20190304155044938</v>
      </c>
      <c r="B1610" t="str">
        <f>"1551685844928264"</f>
        <v>1551685844928264</v>
      </c>
      <c r="C1610" t="s">
        <v>40</v>
      </c>
      <c r="D1610">
        <v>4.9742610000000003</v>
      </c>
      <c r="E1610">
        <v>0.56580220000000003</v>
      </c>
      <c r="F1610" t="s">
        <v>67</v>
      </c>
      <c r="G1610">
        <v>-211.1335</v>
      </c>
      <c r="H1610">
        <v>3.668952</v>
      </c>
      <c r="I1610">
        <v>114.5433</v>
      </c>
      <c r="J1610">
        <v>-191.96690000000001</v>
      </c>
      <c r="K1610">
        <v>1.11042</v>
      </c>
      <c r="L1610">
        <v>317.32</v>
      </c>
      <c r="M1610">
        <v>2.3639859999999999E-2</v>
      </c>
      <c r="N1610">
        <v>-1.191442E-2</v>
      </c>
      <c r="O1610">
        <v>-0.99964960000000003</v>
      </c>
      <c r="P1610">
        <v>8.1501190000000001E-2</v>
      </c>
      <c r="Q1610">
        <v>0.19996900000000001</v>
      </c>
      <c r="R1610">
        <v>-0.97640680000000002</v>
      </c>
      <c r="S1610">
        <v>-0.2916107</v>
      </c>
      <c r="T1610">
        <v>3.8934829999999997E-2</v>
      </c>
      <c r="U1610">
        <v>-3.0886230000000001</v>
      </c>
      <c r="V1610">
        <v>-5.8260680000000002E-2</v>
      </c>
      <c r="W1610">
        <v>0.21164479999999999</v>
      </c>
      <c r="X1610">
        <v>0.97560860000000005</v>
      </c>
      <c r="Y1610">
        <v>0.117479399999999</v>
      </c>
      <c r="Z1610">
        <v>-2.4453949999999999E-2</v>
      </c>
      <c r="AA1610">
        <v>0.99277420000000005</v>
      </c>
      <c r="AB1610">
        <v>19</v>
      </c>
      <c r="AC1610">
        <v>-19.166599999999899</v>
      </c>
      <c r="AD1610">
        <v>2.558532</v>
      </c>
      <c r="AE1610">
        <v>-202.77670000000001</v>
      </c>
      <c r="AF1610">
        <v>23.951416393643498</v>
      </c>
      <c r="AG1610">
        <v>2.558532</v>
      </c>
      <c r="AH1610">
        <v>202.234985097264</v>
      </c>
      <c r="AI1610">
        <v>89.280203560592795</v>
      </c>
      <c r="AJ1610">
        <v>83.245717258408504</v>
      </c>
      <c r="AK1610">
        <v>203.66444370716101</v>
      </c>
      <c r="AL1610">
        <v>77.781240644471296</v>
      </c>
      <c r="AM1610">
        <v>93.417488834755005</v>
      </c>
      <c r="AN1610">
        <v>0.99999998429753101</v>
      </c>
    </row>
    <row r="1611" spans="1:40" x14ac:dyDescent="0.25">
      <c r="A1611" t="str">
        <f>"20190304155044952"</f>
        <v>20190304155044952</v>
      </c>
      <c r="B1611" t="str">
        <f>"1551685844947785"</f>
        <v>1551685844947785</v>
      </c>
      <c r="C1611" t="s">
        <v>40</v>
      </c>
      <c r="D1611">
        <v>4.7936180000000004</v>
      </c>
      <c r="E1611">
        <v>0.56558799999999998</v>
      </c>
      <c r="F1611" t="s">
        <v>67</v>
      </c>
      <c r="G1611">
        <v>-211.14359999999999</v>
      </c>
      <c r="H1611">
        <v>3.8703210000000001</v>
      </c>
      <c r="I1611">
        <v>114.4113</v>
      </c>
      <c r="J1611">
        <v>-191.96430000000001</v>
      </c>
      <c r="K1611">
        <v>1.1104080000000001</v>
      </c>
      <c r="L1611">
        <v>317.1979</v>
      </c>
      <c r="M1611">
        <v>2.3332640000000002E-2</v>
      </c>
      <c r="N1611">
        <v>-1.1907070000000001E-2</v>
      </c>
      <c r="O1611">
        <v>-0.99965700000000002</v>
      </c>
      <c r="P1611">
        <v>8.0981200000000003E-2</v>
      </c>
      <c r="Q1611">
        <v>0.19981560000000001</v>
      </c>
      <c r="R1611">
        <v>-0.9764815</v>
      </c>
      <c r="S1611">
        <v>-0.29187010000000002</v>
      </c>
      <c r="T1611">
        <v>4.2005899999999999E-2</v>
      </c>
      <c r="U1611">
        <v>-3.088257</v>
      </c>
      <c r="V1611">
        <v>-5.8033380000000002E-2</v>
      </c>
      <c r="W1611">
        <v>0.21148639999999999</v>
      </c>
      <c r="X1611">
        <v>0.97565650000000004</v>
      </c>
      <c r="Y1611">
        <v>0.1172662</v>
      </c>
      <c r="Z1611">
        <v>-2.543608E-2</v>
      </c>
      <c r="AA1611">
        <v>0.99277470000000001</v>
      </c>
      <c r="AB1611">
        <v>19</v>
      </c>
      <c r="AC1611">
        <v>-19.179299999999898</v>
      </c>
      <c r="AD1611">
        <v>2.7599130000000001</v>
      </c>
      <c r="AE1611">
        <v>-202.78659999999999</v>
      </c>
      <c r="AF1611">
        <v>23.901571239638798</v>
      </c>
      <c r="AG1611">
        <v>2.7599130000000001</v>
      </c>
      <c r="AH1611">
        <v>202.24671946660601</v>
      </c>
      <c r="AI1611">
        <v>89.223577460646595</v>
      </c>
      <c r="AJ1611">
        <v>83.260031572673896</v>
      </c>
      <c r="AK1611">
        <v>203.67286948068201</v>
      </c>
      <c r="AL1611">
        <v>77.790526541865503</v>
      </c>
      <c r="AM1611">
        <v>93.404020419906601</v>
      </c>
      <c r="AN1611">
        <v>0.99999998828571701</v>
      </c>
    </row>
    <row r="1612" spans="1:40" x14ac:dyDescent="0.25">
      <c r="A1612" t="str">
        <f>"20190304155044970"</f>
        <v>20190304155044970</v>
      </c>
      <c r="B1612" t="str">
        <f>"1551685844968280"</f>
        <v>1551685844968280</v>
      </c>
      <c r="C1612" t="s">
        <v>40</v>
      </c>
      <c r="D1612">
        <v>4.8894190000000002</v>
      </c>
      <c r="E1612">
        <v>0.56548580000000004</v>
      </c>
      <c r="F1612" t="s">
        <v>67</v>
      </c>
      <c r="G1612">
        <v>-211.13910000000001</v>
      </c>
      <c r="H1612">
        <v>3.9021340000000002</v>
      </c>
      <c r="I1612">
        <v>114.3956</v>
      </c>
      <c r="J1612">
        <v>-191.96119999999999</v>
      </c>
      <c r="K1612">
        <v>1.110387</v>
      </c>
      <c r="L1612">
        <v>317.04660000000001</v>
      </c>
      <c r="M1612">
        <v>2.292845E-2</v>
      </c>
      <c r="N1612">
        <v>-1.189905E-2</v>
      </c>
      <c r="O1612">
        <v>-0.99966630000000001</v>
      </c>
      <c r="P1612">
        <v>8.0600140000000001E-2</v>
      </c>
      <c r="Q1612">
        <v>0.1999542</v>
      </c>
      <c r="R1612">
        <v>-0.97648480000000004</v>
      </c>
      <c r="S1612">
        <v>-0.29194639999999999</v>
      </c>
      <c r="T1612">
        <v>4.2505859999999999E-2</v>
      </c>
      <c r="U1612">
        <v>-3.0877690000000002</v>
      </c>
      <c r="V1612">
        <v>-5.8039109999999998E-2</v>
      </c>
      <c r="W1612">
        <v>0.21161920000000001</v>
      </c>
      <c r="X1612">
        <v>0.97562740000000003</v>
      </c>
      <c r="Y1612">
        <v>0.11690349999999999</v>
      </c>
      <c r="Z1612">
        <v>-2.5591289999999999E-2</v>
      </c>
      <c r="AA1612">
        <v>0.99281350000000002</v>
      </c>
      <c r="AB1612">
        <v>19</v>
      </c>
      <c r="AC1612">
        <v>-19.177900000000001</v>
      </c>
      <c r="AD1612">
        <v>2.791747</v>
      </c>
      <c r="AE1612">
        <v>-202.65099999999899</v>
      </c>
      <c r="AF1612">
        <v>23.8151802773159</v>
      </c>
      <c r="AG1612">
        <v>2.791747</v>
      </c>
      <c r="AH1612">
        <v>202.11994837731399</v>
      </c>
      <c r="AI1612">
        <v>89.214098148617794</v>
      </c>
      <c r="AJ1612">
        <v>83.279996207422897</v>
      </c>
      <c r="AK1612">
        <v>203.537294359047</v>
      </c>
      <c r="AL1612">
        <v>77.782741900508597</v>
      </c>
      <c r="AM1612">
        <v>93.404457032520398</v>
      </c>
      <c r="AN1612">
        <v>1.0000000238644899</v>
      </c>
    </row>
    <row r="1613" spans="1:40" x14ac:dyDescent="0.25">
      <c r="A1613" t="str">
        <f>"20190304155044994"</f>
        <v>20190304155044994</v>
      </c>
      <c r="B1613" t="str">
        <f>"1551685844987801"</f>
        <v>1551685844987801</v>
      </c>
      <c r="C1613" t="s">
        <v>40</v>
      </c>
      <c r="D1613">
        <v>4.7487399999999997</v>
      </c>
      <c r="E1613">
        <v>0.56526449999999995</v>
      </c>
      <c r="F1613" t="s">
        <v>67</v>
      </c>
      <c r="G1613">
        <v>-211.1369</v>
      </c>
      <c r="H1613">
        <v>4.0087640000000002</v>
      </c>
      <c r="I1613">
        <v>114.8879</v>
      </c>
      <c r="J1613">
        <v>-191.95740000000001</v>
      </c>
      <c r="K1613">
        <v>1.11036</v>
      </c>
      <c r="L1613">
        <v>316.85410000000002</v>
      </c>
      <c r="M1613">
        <v>2.237505E-2</v>
      </c>
      <c r="N1613">
        <v>-1.1890080000000001E-2</v>
      </c>
      <c r="O1613">
        <v>-0.99967899999999998</v>
      </c>
      <c r="P1613">
        <v>7.9396040000000001E-2</v>
      </c>
      <c r="Q1613">
        <v>0.1998924</v>
      </c>
      <c r="R1613">
        <v>-0.97659580000000001</v>
      </c>
      <c r="S1613">
        <v>-0.29284670000000002</v>
      </c>
      <c r="T1613">
        <v>4.42636E-2</v>
      </c>
      <c r="U1613">
        <v>-3.0873110000000001</v>
      </c>
      <c r="V1613">
        <v>-5.7361189999999999E-2</v>
      </c>
      <c r="W1613">
        <v>0.21155260000000001</v>
      </c>
      <c r="X1613">
        <v>0.97568189999999999</v>
      </c>
      <c r="Y1613">
        <v>0.1166534</v>
      </c>
      <c r="Z1613">
        <v>-2.6149929999999998E-2</v>
      </c>
      <c r="AA1613">
        <v>0.99282840000000006</v>
      </c>
      <c r="AB1613">
        <v>19</v>
      </c>
      <c r="AC1613">
        <v>-19.179499999999901</v>
      </c>
      <c r="AD1613">
        <v>2.8984040000000002</v>
      </c>
      <c r="AE1613">
        <v>-201.96619999999999</v>
      </c>
      <c r="AF1613">
        <v>23.689185533237101</v>
      </c>
      <c r="AG1613">
        <v>2.8984040000000002</v>
      </c>
      <c r="AH1613">
        <v>201.44534073182999</v>
      </c>
      <c r="AI1613">
        <v>89.1813232673302</v>
      </c>
      <c r="AJ1613">
        <v>83.293043327542094</v>
      </c>
      <c r="AK1613">
        <v>202.85414356019101</v>
      </c>
      <c r="AL1613">
        <v>77.786645766665799</v>
      </c>
      <c r="AM1613">
        <v>93.364595997988602</v>
      </c>
      <c r="AN1613">
        <v>0.99999998933629197</v>
      </c>
    </row>
    <row r="1614" spans="1:40" x14ac:dyDescent="0.25">
      <c r="A1614" t="str">
        <f>"20190304155045009"</f>
        <v>20190304155045009</v>
      </c>
      <c r="B1614" t="str">
        <f>"1551685844998536"</f>
        <v>1551685844998536</v>
      </c>
      <c r="C1614" t="s">
        <v>40</v>
      </c>
      <c r="D1614">
        <v>4.8410070000000003</v>
      </c>
      <c r="E1614">
        <v>0.56528400000000001</v>
      </c>
      <c r="F1614" t="s">
        <v>67</v>
      </c>
      <c r="G1614">
        <v>-211.25370000000001</v>
      </c>
      <c r="H1614">
        <v>4.0663819999999999</v>
      </c>
      <c r="I1614">
        <v>114.8595</v>
      </c>
      <c r="J1614">
        <v>-191.95509999999999</v>
      </c>
      <c r="K1614">
        <v>1.110347</v>
      </c>
      <c r="L1614">
        <v>316.73140000000001</v>
      </c>
      <c r="M1614">
        <v>2.2004159999999998E-2</v>
      </c>
      <c r="N1614">
        <v>-1.1884830000000001E-2</v>
      </c>
      <c r="O1614">
        <v>-0.9996874</v>
      </c>
      <c r="P1614">
        <v>7.8850660000000003E-2</v>
      </c>
      <c r="Q1614">
        <v>0.1996356</v>
      </c>
      <c r="R1614">
        <v>-0.97669269999999997</v>
      </c>
      <c r="S1614">
        <v>-0.29486079999999998</v>
      </c>
      <c r="T1614">
        <v>4.5170309999999998E-2</v>
      </c>
      <c r="U1614">
        <v>-3.0866090000000002</v>
      </c>
      <c r="V1614">
        <v>-5.71686E-2</v>
      </c>
      <c r="W1614">
        <v>0.21129339999999999</v>
      </c>
      <c r="X1614">
        <v>0.97574939999999999</v>
      </c>
      <c r="Y1614">
        <v>0.1169477</v>
      </c>
      <c r="Z1614">
        <v>-2.6439089999999998E-2</v>
      </c>
      <c r="AA1614">
        <v>0.9927861</v>
      </c>
      <c r="AB1614">
        <v>19</v>
      </c>
      <c r="AC1614">
        <v>-19.2986</v>
      </c>
      <c r="AD1614">
        <v>2.956035</v>
      </c>
      <c r="AE1614">
        <v>-201.87190000000001</v>
      </c>
      <c r="AF1614">
        <v>23.731218961260101</v>
      </c>
      <c r="AG1614">
        <v>2.956035</v>
      </c>
      <c r="AH1614">
        <v>201.355552445874</v>
      </c>
      <c r="AI1614">
        <v>89.164700287351195</v>
      </c>
      <c r="AJ1614">
        <v>83.278282782791294</v>
      </c>
      <c r="AK1614">
        <v>202.77072618376499</v>
      </c>
      <c r="AL1614">
        <v>77.801840698725201</v>
      </c>
      <c r="AM1614">
        <v>93.353093754966096</v>
      </c>
      <c r="AN1614">
        <v>1.00000002065493</v>
      </c>
    </row>
    <row r="1615" spans="1:40" x14ac:dyDescent="0.25">
      <c r="A1615" t="str">
        <f>"20190304155045027"</f>
        <v>20190304155045027</v>
      </c>
      <c r="B1615" t="str">
        <f>"1551685845018056"</f>
        <v>1551685845018056</v>
      </c>
      <c r="C1615" t="s">
        <v>40</v>
      </c>
      <c r="D1615">
        <v>4.7731849999999998</v>
      </c>
      <c r="E1615">
        <v>0.56533619999999996</v>
      </c>
      <c r="F1615" t="s">
        <v>67</v>
      </c>
      <c r="G1615">
        <v>-211.37860000000001</v>
      </c>
      <c r="H1615">
        <v>4.035819</v>
      </c>
      <c r="I1615">
        <v>114.768</v>
      </c>
      <c r="J1615">
        <v>-191.9521</v>
      </c>
      <c r="K1615">
        <v>1.1103209999999999</v>
      </c>
      <c r="L1615">
        <v>316.56790000000001</v>
      </c>
      <c r="M1615">
        <v>2.1481739999999999E-2</v>
      </c>
      <c r="N1615">
        <v>-1.187861E-2</v>
      </c>
      <c r="O1615">
        <v>-0.99969889999999995</v>
      </c>
      <c r="P1615">
        <v>7.7891479999999999E-2</v>
      </c>
      <c r="Q1615">
        <v>0.1988598</v>
      </c>
      <c r="R1615">
        <v>-0.97692809999999997</v>
      </c>
      <c r="S1615">
        <v>-0.29682920000000002</v>
      </c>
      <c r="T1615">
        <v>4.4707299999999998E-2</v>
      </c>
      <c r="U1615">
        <v>-3.086395</v>
      </c>
      <c r="V1615">
        <v>-5.6705129999999999E-2</v>
      </c>
      <c r="W1615">
        <v>0.21051639999999999</v>
      </c>
      <c r="X1615">
        <v>0.97594429999999999</v>
      </c>
      <c r="Y1615">
        <v>0.117062899999999</v>
      </c>
      <c r="Z1615">
        <v>-2.6284330000000002E-2</v>
      </c>
      <c r="AA1615">
        <v>0.99277660000000001</v>
      </c>
      <c r="AB1615">
        <v>19</v>
      </c>
      <c r="AC1615">
        <v>-19.426500000000001</v>
      </c>
      <c r="AD1615">
        <v>2.9254980000000002</v>
      </c>
      <c r="AE1615">
        <v>-201.79990000000001</v>
      </c>
      <c r="AF1615">
        <v>23.752388334873501</v>
      </c>
      <c r="AG1615">
        <v>2.9254980000000002</v>
      </c>
      <c r="AH1615">
        <v>201.294065631862</v>
      </c>
      <c r="AI1615">
        <v>89.173089154186201</v>
      </c>
      <c r="AJ1615">
        <v>83.270305460430095</v>
      </c>
      <c r="AK1615">
        <v>202.711705011731</v>
      </c>
      <c r="AL1615">
        <v>77.847383090499704</v>
      </c>
      <c r="AM1615">
        <v>93.325308535618504</v>
      </c>
      <c r="AN1615">
        <v>0.99999995156988197</v>
      </c>
    </row>
    <row r="1616" spans="1:40" x14ac:dyDescent="0.25">
      <c r="A1616" t="str">
        <f>"20190304155045052"</f>
        <v>20190304155045052</v>
      </c>
      <c r="B1616" t="str">
        <f>"1551685845048312"</f>
        <v>1551685845048312</v>
      </c>
      <c r="C1616" t="s">
        <v>40</v>
      </c>
      <c r="D1616">
        <v>4.7714699999999999</v>
      </c>
      <c r="E1616">
        <v>0.565407199999999</v>
      </c>
      <c r="F1616" t="s">
        <v>67</v>
      </c>
      <c r="G1616">
        <v>-211.63310000000001</v>
      </c>
      <c r="H1616">
        <v>3.8914200000000001</v>
      </c>
      <c r="I1616">
        <v>114.527</v>
      </c>
      <c r="J1616">
        <v>-191.9487</v>
      </c>
      <c r="K1616">
        <v>1.110298</v>
      </c>
      <c r="L1616">
        <v>316.37389999999999</v>
      </c>
      <c r="M1616">
        <v>2.0819190000000001E-2</v>
      </c>
      <c r="N1616">
        <v>-1.1872199999999999E-2</v>
      </c>
      <c r="O1616">
        <v>-0.99971299999999996</v>
      </c>
      <c r="P1616">
        <v>7.6566699999999904E-2</v>
      </c>
      <c r="Q1616">
        <v>0.19756170000000001</v>
      </c>
      <c r="R1616">
        <v>-0.9772961</v>
      </c>
      <c r="S1616">
        <v>-0.30062870000000003</v>
      </c>
      <c r="T1616">
        <v>4.2481779999999997E-2</v>
      </c>
      <c r="U1616">
        <v>-3.086182</v>
      </c>
      <c r="V1616">
        <v>-5.601047E-2</v>
      </c>
      <c r="W1616">
        <v>0.20921799999999999</v>
      </c>
      <c r="X1616">
        <v>0.97626360000000001</v>
      </c>
      <c r="Y1616">
        <v>0.1176234</v>
      </c>
      <c r="Z1616">
        <v>-2.556135E-2</v>
      </c>
      <c r="AA1616">
        <v>0.99272919999999998</v>
      </c>
      <c r="AB1616">
        <v>19</v>
      </c>
      <c r="AC1616">
        <v>-19.6844</v>
      </c>
      <c r="AD1616">
        <v>2.7811219999999999</v>
      </c>
      <c r="AE1616">
        <v>-201.84690000000001</v>
      </c>
      <c r="AF1616">
        <v>23.878226685572798</v>
      </c>
      <c r="AG1616">
        <v>2.7811219999999999</v>
      </c>
      <c r="AH1616">
        <v>201.35543701794001</v>
      </c>
      <c r="AI1616">
        <v>89.2141862646981</v>
      </c>
      <c r="AJ1616">
        <v>83.237024448151899</v>
      </c>
      <c r="AK1616">
        <v>202.785394853555</v>
      </c>
      <c r="AL1616">
        <v>77.923470767237404</v>
      </c>
      <c r="AM1616">
        <v>93.283590011695793</v>
      </c>
      <c r="AN1616">
        <v>0.99999998047928995</v>
      </c>
    </row>
    <row r="1617" spans="1:40" x14ac:dyDescent="0.25">
      <c r="A1617" t="str">
        <f>"20190304155045073"</f>
        <v>20190304155045073</v>
      </c>
      <c r="B1617" t="str">
        <f>"1551685845067832"</f>
        <v>1551685845067832</v>
      </c>
      <c r="C1617" t="s">
        <v>40</v>
      </c>
      <c r="D1617">
        <v>5.3521179999999999</v>
      </c>
      <c r="E1617">
        <v>0.56526709999999902</v>
      </c>
      <c r="F1617" t="s">
        <v>67</v>
      </c>
      <c r="G1617">
        <v>-211.9248</v>
      </c>
      <c r="H1617">
        <v>3.765374</v>
      </c>
      <c r="I1617">
        <v>115.05119999999999</v>
      </c>
      <c r="J1617">
        <v>-191.94579999999999</v>
      </c>
      <c r="K1617">
        <v>1.1102639999999999</v>
      </c>
      <c r="L1617">
        <v>316.19760000000002</v>
      </c>
      <c r="M1617">
        <v>2.0181649999999999E-2</v>
      </c>
      <c r="N1617">
        <v>-1.186716E-2</v>
      </c>
      <c r="O1617">
        <v>-0.99972620000000001</v>
      </c>
      <c r="P1617">
        <v>7.5631290000000004E-2</v>
      </c>
      <c r="Q1617">
        <v>0.19674800000000001</v>
      </c>
      <c r="R1617">
        <v>-0.97753290000000004</v>
      </c>
      <c r="S1617">
        <v>-0.30615229999999999</v>
      </c>
      <c r="T1617">
        <v>4.0691850000000002E-2</v>
      </c>
      <c r="U1617">
        <v>-3.0854490000000001</v>
      </c>
      <c r="V1617">
        <v>-5.5685650000000003E-2</v>
      </c>
      <c r="W1617">
        <v>0.20840429999999999</v>
      </c>
      <c r="X1617">
        <v>0.9764562</v>
      </c>
      <c r="Y1617">
        <v>0.11877409999999999</v>
      </c>
      <c r="Z1617">
        <v>-2.4981340000000001E-2</v>
      </c>
      <c r="AA1617">
        <v>0.99260700000000002</v>
      </c>
      <c r="AB1617">
        <v>19</v>
      </c>
      <c r="AC1617">
        <v>-19.978999999999999</v>
      </c>
      <c r="AD1617">
        <v>2.6551099999999899</v>
      </c>
      <c r="AE1617">
        <v>-201.1464</v>
      </c>
      <c r="AF1617">
        <v>24.0305350907215</v>
      </c>
      <c r="AG1617">
        <v>2.6551099999999899</v>
      </c>
      <c r="AH1617">
        <v>200.66756710305901</v>
      </c>
      <c r="AI1617">
        <v>89.247318848522198</v>
      </c>
      <c r="AJ1617">
        <v>83.171180427912105</v>
      </c>
      <c r="AK1617">
        <v>202.11874903857699</v>
      </c>
      <c r="AL1617">
        <v>77.971143198215799</v>
      </c>
      <c r="AM1617">
        <v>93.263946356138206</v>
      </c>
      <c r="AN1617">
        <v>0.99999997719642597</v>
      </c>
    </row>
    <row r="1618" spans="1:40" x14ac:dyDescent="0.25">
      <c r="A1618" t="str">
        <f>"20190304155045094"</f>
        <v>20190304155045094</v>
      </c>
      <c r="B1618" t="str">
        <f>"1551685845088329"</f>
        <v>1551685845088329</v>
      </c>
      <c r="C1618" t="s">
        <v>40</v>
      </c>
      <c r="D1618">
        <v>5.1731850000000001</v>
      </c>
      <c r="E1618">
        <v>0.5658588</v>
      </c>
      <c r="F1618" t="s">
        <v>67</v>
      </c>
      <c r="G1618">
        <v>-212.07550000000001</v>
      </c>
      <c r="H1618">
        <v>3.4899819999999999</v>
      </c>
      <c r="I1618">
        <v>114.78230000000001</v>
      </c>
      <c r="J1618">
        <v>-191.94300000000001</v>
      </c>
      <c r="K1618">
        <v>1.1102399999999999</v>
      </c>
      <c r="L1618">
        <v>316.01940000000002</v>
      </c>
      <c r="M1618">
        <v>1.9502829999999999E-2</v>
      </c>
      <c r="N1618">
        <v>-1.186276E-2</v>
      </c>
      <c r="O1618">
        <v>-0.99973959999999995</v>
      </c>
      <c r="P1618">
        <v>7.4557540000000005E-2</v>
      </c>
      <c r="Q1618">
        <v>0.19564870000000001</v>
      </c>
      <c r="R1618">
        <v>-0.97783600000000004</v>
      </c>
      <c r="S1618">
        <v>-0.3083649</v>
      </c>
      <c r="T1618">
        <v>3.6454920000000002E-2</v>
      </c>
      <c r="U1618">
        <v>-3.0854490000000001</v>
      </c>
      <c r="V1618">
        <v>-5.5263489999999998E-2</v>
      </c>
      <c r="W1618">
        <v>0.2073054</v>
      </c>
      <c r="X1618">
        <v>0.97671410000000003</v>
      </c>
      <c r="Y1618">
        <v>0.118807</v>
      </c>
      <c r="Z1618">
        <v>-2.3612480000000002E-2</v>
      </c>
      <c r="AA1618">
        <v>0.99263659999999998</v>
      </c>
      <c r="AB1618">
        <v>19</v>
      </c>
      <c r="AC1618">
        <v>-20.1325</v>
      </c>
      <c r="AD1618">
        <v>2.3797419999999998</v>
      </c>
      <c r="AE1618">
        <v>-201.2371</v>
      </c>
      <c r="AF1618">
        <v>24.050308772468</v>
      </c>
      <c r="AG1618">
        <v>2.3797419999999998</v>
      </c>
      <c r="AH1618">
        <v>200.77835199178801</v>
      </c>
      <c r="AI1618">
        <v>89.325748422028099</v>
      </c>
      <c r="AJ1618">
        <v>83.169349834503393</v>
      </c>
      <c r="AK1618">
        <v>202.227661689928</v>
      </c>
      <c r="AL1618">
        <v>78.035511726668105</v>
      </c>
      <c r="AM1618">
        <v>93.238401356900894</v>
      </c>
      <c r="AN1618">
        <v>1.00000000766747</v>
      </c>
    </row>
    <row r="1619" spans="1:40" x14ac:dyDescent="0.25">
      <c r="A1619" t="str">
        <f>"20190304155045116"</f>
        <v>20190304155045116</v>
      </c>
      <c r="B1619" t="str">
        <f>"1551685845107848"</f>
        <v>1551685845107848</v>
      </c>
      <c r="C1619" t="s">
        <v>40</v>
      </c>
      <c r="D1619">
        <v>5.1398380000000001</v>
      </c>
      <c r="E1619">
        <v>0.56667140000000005</v>
      </c>
      <c r="F1619" t="s">
        <v>59</v>
      </c>
      <c r="G1619">
        <v>-214.28819999999999</v>
      </c>
      <c r="H1619">
        <v>3.2025410000000001</v>
      </c>
      <c r="I1619">
        <v>98.375470000000007</v>
      </c>
      <c r="J1619">
        <v>-191.9402</v>
      </c>
      <c r="K1619">
        <v>1.1102259999999999</v>
      </c>
      <c r="L1619">
        <v>315.83089999999999</v>
      </c>
      <c r="M1619">
        <v>1.8751230000000001E-2</v>
      </c>
      <c r="N1619">
        <v>-1.1858749999999999E-2</v>
      </c>
      <c r="O1619">
        <v>-0.99975389999999997</v>
      </c>
      <c r="P1619">
        <v>7.3644169999999995E-2</v>
      </c>
      <c r="Q1619">
        <v>0.1947979</v>
      </c>
      <c r="R1619">
        <v>-0.97807480000000002</v>
      </c>
      <c r="S1619">
        <v>-0.31686399999999998</v>
      </c>
      <c r="T1619">
        <v>2.9669999999999998E-2</v>
      </c>
      <c r="U1619">
        <v>-3.0862729999999998</v>
      </c>
      <c r="V1619">
        <v>-5.5074280000000003E-2</v>
      </c>
      <c r="W1619">
        <v>0.2064549</v>
      </c>
      <c r="X1619">
        <v>0.97690489999999996</v>
      </c>
      <c r="Y1619">
        <v>0.1207434</v>
      </c>
      <c r="Z1619">
        <v>-2.1419199999999999E-2</v>
      </c>
      <c r="AA1619">
        <v>0.99245260000000002</v>
      </c>
      <c r="AB1619">
        <v>19</v>
      </c>
      <c r="AC1619">
        <v>-22.3479999999999</v>
      </c>
      <c r="AD1619">
        <v>2.0923150000000001</v>
      </c>
      <c r="AE1619">
        <v>-217.45543000000001</v>
      </c>
      <c r="AF1619">
        <v>26.419493217883399</v>
      </c>
      <c r="AG1619">
        <v>2.0923150000000001</v>
      </c>
      <c r="AH1619">
        <v>216.97823198997901</v>
      </c>
      <c r="AI1619">
        <v>89.451565796685301</v>
      </c>
      <c r="AJ1619">
        <v>83.057780093352207</v>
      </c>
      <c r="AK1619">
        <v>218.590760466782</v>
      </c>
      <c r="AL1619">
        <v>78.085319132014902</v>
      </c>
      <c r="AM1619">
        <v>93.226708261167005</v>
      </c>
      <c r="AN1619">
        <v>0.99999999284776897</v>
      </c>
    </row>
    <row r="1620" spans="1:40" x14ac:dyDescent="0.25">
      <c r="A1620" t="str">
        <f>"20190304155045139"</f>
        <v>20190304155045139</v>
      </c>
      <c r="B1620" t="str">
        <f>"1551685845128344"</f>
        <v>1551685845128344</v>
      </c>
      <c r="C1620" t="s">
        <v>40</v>
      </c>
      <c r="D1620">
        <v>5.089194</v>
      </c>
      <c r="E1620">
        <v>0.56745449999999997</v>
      </c>
      <c r="F1620" t="s">
        <v>67</v>
      </c>
      <c r="G1620">
        <v>-213.3595</v>
      </c>
      <c r="H1620">
        <v>2.5125790000000001</v>
      </c>
      <c r="I1620">
        <v>113.61709999999999</v>
      </c>
      <c r="J1620">
        <v>-191.9376</v>
      </c>
      <c r="K1620">
        <v>1.1102129999999999</v>
      </c>
      <c r="L1620">
        <v>315.6474</v>
      </c>
      <c r="M1620">
        <v>1.7991480000000001E-2</v>
      </c>
      <c r="N1620">
        <v>-1.185539E-2</v>
      </c>
      <c r="O1620">
        <v>-0.99976779999999998</v>
      </c>
      <c r="P1620">
        <v>7.3154460000000004E-2</v>
      </c>
      <c r="Q1620">
        <v>0.1946454</v>
      </c>
      <c r="R1620">
        <v>-0.97814179999999995</v>
      </c>
      <c r="S1620">
        <v>-0.32705689999999998</v>
      </c>
      <c r="T1620">
        <v>2.1413330000000001E-2</v>
      </c>
      <c r="U1620">
        <v>-3.0876459999999999</v>
      </c>
      <c r="V1620">
        <v>-5.5320670000000002E-2</v>
      </c>
      <c r="W1620">
        <v>0.2063015</v>
      </c>
      <c r="X1620">
        <v>0.9769234</v>
      </c>
      <c r="Y1620">
        <v>0.12318850000000001</v>
      </c>
      <c r="Z1620">
        <v>-1.8753519999999999E-2</v>
      </c>
      <c r="AA1620">
        <v>0.99220609999999998</v>
      </c>
      <c r="AB1620">
        <v>19</v>
      </c>
      <c r="AC1620">
        <v>-21.421899999999901</v>
      </c>
      <c r="AD1620">
        <v>1.402366</v>
      </c>
      <c r="AE1620">
        <v>-202.03030000000001</v>
      </c>
      <c r="AF1620">
        <v>25.052318257005499</v>
      </c>
      <c r="AG1620">
        <v>1.402366</v>
      </c>
      <c r="AH1620">
        <v>201.60255030119799</v>
      </c>
      <c r="AI1620">
        <v>89.604493592886399</v>
      </c>
      <c r="AJ1620">
        <v>82.916402275085304</v>
      </c>
      <c r="AK1620">
        <v>203.1580014875</v>
      </c>
      <c r="AL1620">
        <v>78.094301854633898</v>
      </c>
      <c r="AM1620">
        <v>93.241051878100706</v>
      </c>
      <c r="AN1620">
        <v>1.0000000074495199</v>
      </c>
    </row>
    <row r="1621" spans="1:40" x14ac:dyDescent="0.25">
      <c r="A1621" t="str">
        <f>"20190304155045161"</f>
        <v>20190304155045161</v>
      </c>
      <c r="B1621" t="str">
        <f>"1551685845157624"</f>
        <v>1551685845157624</v>
      </c>
      <c r="C1621" t="s">
        <v>40</v>
      </c>
      <c r="D1621">
        <v>5.0065670000000004</v>
      </c>
      <c r="E1621">
        <v>0.56852269999999905</v>
      </c>
      <c r="F1621" t="s">
        <v>59</v>
      </c>
      <c r="G1621">
        <v>-215.61019999999999</v>
      </c>
      <c r="H1621">
        <v>2.2506409999999999</v>
      </c>
      <c r="I1621">
        <v>97.150019999999998</v>
      </c>
      <c r="J1621">
        <v>-191.93520000000001</v>
      </c>
      <c r="K1621">
        <v>1.110201</v>
      </c>
      <c r="L1621">
        <v>315.46089999999998</v>
      </c>
      <c r="M1621">
        <v>1.7196349999999999E-2</v>
      </c>
      <c r="N1621">
        <v>-1.185256E-2</v>
      </c>
      <c r="O1621">
        <v>-0.99978210000000001</v>
      </c>
      <c r="P1621">
        <v>7.2139750000000002E-2</v>
      </c>
      <c r="Q1621">
        <v>0.193911</v>
      </c>
      <c r="R1621">
        <v>-0.97836339999999999</v>
      </c>
      <c r="S1621">
        <v>-0.3346558</v>
      </c>
      <c r="T1621">
        <v>1.6122460000000002E-2</v>
      </c>
      <c r="U1621">
        <v>-3.088867</v>
      </c>
      <c r="V1621">
        <v>-5.5076399999999998E-2</v>
      </c>
      <c r="W1621">
        <v>0.2055679</v>
      </c>
      <c r="X1621">
        <v>0.97709179999999995</v>
      </c>
      <c r="Y1621">
        <v>0.1247732</v>
      </c>
      <c r="Z1621">
        <v>-1.7045790000000002E-2</v>
      </c>
      <c r="AA1621">
        <v>0.9920388</v>
      </c>
      <c r="AB1621">
        <v>19</v>
      </c>
      <c r="AC1621">
        <v>-23.674999999999901</v>
      </c>
      <c r="AD1621">
        <v>1.1404399999999999</v>
      </c>
      <c r="AE1621">
        <v>-218.310879999999</v>
      </c>
      <c r="AF1621">
        <v>27.4251722046439</v>
      </c>
      <c r="AG1621">
        <v>1.1404399999999999</v>
      </c>
      <c r="AH1621">
        <v>217.86556584134399</v>
      </c>
      <c r="AI1621">
        <v>89.702430358001095</v>
      </c>
      <c r="AJ1621">
        <v>82.825278492843694</v>
      </c>
      <c r="AK1621">
        <v>219.587899150243</v>
      </c>
      <c r="AL1621">
        <v>78.137254353382602</v>
      </c>
      <c r="AM1621">
        <v>93.226216275179297</v>
      </c>
      <c r="AN1621">
        <v>0.99999997848730404</v>
      </c>
    </row>
    <row r="1622" spans="1:40" x14ac:dyDescent="0.25">
      <c r="A1622" t="str">
        <f>"20190304155045182"</f>
        <v>20190304155045182</v>
      </c>
      <c r="B1622" t="str">
        <f>"1551685845178120"</f>
        <v>1551685845178120</v>
      </c>
      <c r="C1622" t="s">
        <v>40</v>
      </c>
      <c r="D1622">
        <v>5.0441159999999998</v>
      </c>
      <c r="E1622">
        <v>0.56921409999999995</v>
      </c>
      <c r="F1622" t="s">
        <v>59</v>
      </c>
      <c r="G1622">
        <v>-216.39250000000001</v>
      </c>
      <c r="H1622">
        <v>1.5870770000000001</v>
      </c>
      <c r="I1622">
        <v>97.150019999999998</v>
      </c>
      <c r="J1622">
        <v>-191.9331</v>
      </c>
      <c r="K1622">
        <v>1.1101939999999999</v>
      </c>
      <c r="L1622">
        <v>315.2835</v>
      </c>
      <c r="M1622">
        <v>1.6423799999999999E-2</v>
      </c>
      <c r="N1622">
        <v>-1.185018E-2</v>
      </c>
      <c r="O1622">
        <v>-0.99979499999999999</v>
      </c>
      <c r="P1622">
        <v>7.1834049999999997E-2</v>
      </c>
      <c r="Q1622">
        <v>0.193189</v>
      </c>
      <c r="R1622">
        <v>-0.97852859999999997</v>
      </c>
      <c r="S1622">
        <v>-0.34623720000000002</v>
      </c>
      <c r="T1622">
        <v>6.7514180000000003E-3</v>
      </c>
      <c r="U1622">
        <v>-3.090576</v>
      </c>
      <c r="V1622">
        <v>-5.5522469999999997E-2</v>
      </c>
      <c r="W1622">
        <v>0.20484640000000001</v>
      </c>
      <c r="X1622">
        <v>0.97721809999999998</v>
      </c>
      <c r="Y1622">
        <v>0.12762309999999999</v>
      </c>
      <c r="Z1622">
        <v>-1.402923E-2</v>
      </c>
      <c r="AA1622">
        <v>0.99172349999999998</v>
      </c>
      <c r="AB1622">
        <v>19</v>
      </c>
      <c r="AC1622">
        <v>-24.459399999999999</v>
      </c>
      <c r="AD1622">
        <v>0.476883</v>
      </c>
      <c r="AE1622">
        <v>-218.13347999999999</v>
      </c>
      <c r="AF1622">
        <v>28.0387999586166</v>
      </c>
      <c r="AG1622">
        <v>0.476883</v>
      </c>
      <c r="AH1622">
        <v>217.70128206002801</v>
      </c>
      <c r="AI1622">
        <v>89.875519796190702</v>
      </c>
      <c r="AJ1622">
        <v>82.661001797834302</v>
      </c>
      <c r="AK1622">
        <v>219.499999843041</v>
      </c>
      <c r="AL1622">
        <v>78.179492442449003</v>
      </c>
      <c r="AM1622">
        <v>93.251870461454402</v>
      </c>
      <c r="AN1622">
        <v>1.0000000036177299</v>
      </c>
    </row>
    <row r="1623" spans="1:40" x14ac:dyDescent="0.25">
      <c r="A1623" t="str">
        <f>"20190304155045205"</f>
        <v>20190304155045205</v>
      </c>
      <c r="B1623" t="str">
        <f>"1551685845197641"</f>
        <v>1551685845197641</v>
      </c>
      <c r="C1623" t="s">
        <v>40</v>
      </c>
      <c r="D1623">
        <v>4.9779119999999999</v>
      </c>
      <c r="E1623">
        <v>0.56996969999999902</v>
      </c>
      <c r="F1623" t="s">
        <v>61</v>
      </c>
      <c r="G1623">
        <v>-215.31450000000001</v>
      </c>
      <c r="H1623">
        <v>1.1807989999999999</v>
      </c>
      <c r="I1623">
        <v>110.5981</v>
      </c>
      <c r="J1623">
        <v>-191.93100000000001</v>
      </c>
      <c r="K1623">
        <v>1.1101890000000001</v>
      </c>
      <c r="L1623">
        <v>315.09309999999999</v>
      </c>
      <c r="M1623">
        <v>1.5584209999999999E-2</v>
      </c>
      <c r="N1623">
        <v>-1.184791E-2</v>
      </c>
      <c r="O1623">
        <v>-0.99980849999999999</v>
      </c>
      <c r="P1623">
        <v>7.1385989999999996E-2</v>
      </c>
      <c r="Q1623">
        <v>0.19237860000000001</v>
      </c>
      <c r="R1623">
        <v>-0.97872139999999996</v>
      </c>
      <c r="S1623">
        <v>-0.3531494</v>
      </c>
      <c r="T1623">
        <v>1.066804E-3</v>
      </c>
      <c r="U1623">
        <v>-3.0915219999999999</v>
      </c>
      <c r="V1623">
        <v>-5.5893720000000001E-2</v>
      </c>
      <c r="W1623">
        <v>0.2040361</v>
      </c>
      <c r="X1623">
        <v>0.97736639999999997</v>
      </c>
      <c r="Y1623">
        <v>0.12894710000000001</v>
      </c>
      <c r="Z1623">
        <v>-1.2200849999999999E-2</v>
      </c>
      <c r="AA1623">
        <v>0.99157640000000002</v>
      </c>
      <c r="AB1623">
        <v>19</v>
      </c>
      <c r="AC1623">
        <v>-23.383500000000002</v>
      </c>
      <c r="AD1623">
        <v>7.0610000000000006E-2</v>
      </c>
      <c r="AE1623">
        <v>-204.495</v>
      </c>
      <c r="AF1623">
        <v>26.567773038176899</v>
      </c>
      <c r="AG1623">
        <v>7.0610000000000006E-2</v>
      </c>
      <c r="AH1623">
        <v>204.105699483134</v>
      </c>
      <c r="AI1623">
        <v>89.980344445145207</v>
      </c>
      <c r="AJ1623">
        <v>82.583693476671399</v>
      </c>
      <c r="AK1623">
        <v>205.82756888104001</v>
      </c>
      <c r="AL1623">
        <v>78.226920425924405</v>
      </c>
      <c r="AM1623">
        <v>93.273071270879996</v>
      </c>
      <c r="AN1623">
        <v>0.999999958943803</v>
      </c>
    </row>
    <row r="1624" spans="1:40" x14ac:dyDescent="0.25">
      <c r="A1624" t="str">
        <f>"20190304155045228"</f>
        <v>20190304155045228</v>
      </c>
      <c r="B1624" t="str">
        <f>"1551685845218136"</f>
        <v>1551685845218136</v>
      </c>
      <c r="C1624" t="s">
        <v>40</v>
      </c>
      <c r="D1624">
        <v>4.9476319999999996</v>
      </c>
      <c r="E1624">
        <v>0.57058089999999995</v>
      </c>
      <c r="F1624" t="s">
        <v>64</v>
      </c>
      <c r="G1624">
        <v>-214.791</v>
      </c>
      <c r="H1624">
        <v>0.78487669999999998</v>
      </c>
      <c r="I1624">
        <v>118.958</v>
      </c>
      <c r="J1624">
        <v>-191.929</v>
      </c>
      <c r="K1624">
        <v>1.1101859999999999</v>
      </c>
      <c r="L1624">
        <v>314.89679999999998</v>
      </c>
      <c r="M1624">
        <v>1.471418E-2</v>
      </c>
      <c r="N1624">
        <v>-1.184589E-2</v>
      </c>
      <c r="O1624">
        <v>-0.99982170000000004</v>
      </c>
      <c r="P1624">
        <v>7.1037520000000007E-2</v>
      </c>
      <c r="Q1624">
        <v>0.1914669</v>
      </c>
      <c r="R1624">
        <v>-0.97892500000000005</v>
      </c>
      <c r="S1624">
        <v>-0.36044310000000002</v>
      </c>
      <c r="T1624">
        <v>-5.1288599999999998E-3</v>
      </c>
      <c r="U1624">
        <v>-3.0925289999999999</v>
      </c>
      <c r="V1624">
        <v>-5.6397240000000001E-2</v>
      </c>
      <c r="W1624">
        <v>0.20312430000000001</v>
      </c>
      <c r="X1624">
        <v>0.97752740000000005</v>
      </c>
      <c r="Y1624">
        <v>0.13035649999999999</v>
      </c>
      <c r="Z1624">
        <v>-1.021056E-2</v>
      </c>
      <c r="AA1624">
        <v>0.99141460000000003</v>
      </c>
      <c r="AB1624">
        <v>19</v>
      </c>
      <c r="AC1624">
        <v>-22.861999999999899</v>
      </c>
      <c r="AD1624">
        <v>-0.32530930000000002</v>
      </c>
      <c r="AE1624">
        <v>-195.93879999999999</v>
      </c>
      <c r="AF1624">
        <v>25.742735317916701</v>
      </c>
      <c r="AG1624">
        <v>-0.32530930000000002</v>
      </c>
      <c r="AH1624">
        <v>195.58063379684</v>
      </c>
      <c r="AI1624">
        <v>90.094485059881194</v>
      </c>
      <c r="AJ1624">
        <v>82.501711533020696</v>
      </c>
      <c r="AK1624">
        <v>197.26778389834101</v>
      </c>
      <c r="AL1624">
        <v>78.280280344243295</v>
      </c>
      <c r="AM1624">
        <v>93.301949123043897</v>
      </c>
      <c r="AN1624">
        <v>0.99999997384043304</v>
      </c>
    </row>
    <row r="1625" spans="1:40" x14ac:dyDescent="0.25">
      <c r="A1625" t="str">
        <f>"20190304155045250"</f>
        <v>20190304155045250</v>
      </c>
      <c r="B1625" t="str">
        <f>"1551685845248392"</f>
        <v>1551685845248392</v>
      </c>
      <c r="C1625" t="s">
        <v>40</v>
      </c>
      <c r="D1625">
        <v>4.7913759999999996</v>
      </c>
      <c r="E1625">
        <v>0.5705884</v>
      </c>
      <c r="F1625" t="s">
        <v>64</v>
      </c>
      <c r="G1625">
        <v>-215.09809999999999</v>
      </c>
      <c r="H1625">
        <v>0.37620720000000002</v>
      </c>
      <c r="I1625">
        <v>119.24630000000001</v>
      </c>
      <c r="J1625">
        <v>-191.9272</v>
      </c>
      <c r="K1625">
        <v>1.110187</v>
      </c>
      <c r="L1625">
        <v>314.71629999999999</v>
      </c>
      <c r="M1625">
        <v>1.391542E-2</v>
      </c>
      <c r="N1625">
        <v>-1.184428E-2</v>
      </c>
      <c r="O1625">
        <v>-0.99983310000000003</v>
      </c>
      <c r="P1625">
        <v>7.106374E-2</v>
      </c>
      <c r="Q1625">
        <v>0.1904353</v>
      </c>
      <c r="R1625">
        <v>-0.9791242</v>
      </c>
      <c r="S1625">
        <v>-0.36633300000000002</v>
      </c>
      <c r="T1625">
        <v>-1.1604669999999999E-2</v>
      </c>
      <c r="U1625">
        <v>-3.0934750000000002</v>
      </c>
      <c r="V1625">
        <v>-5.7207689999999999E-2</v>
      </c>
      <c r="W1625">
        <v>0.20209279999999999</v>
      </c>
      <c r="X1625">
        <v>0.97769410000000001</v>
      </c>
      <c r="Y1625">
        <v>0.13139200000000001</v>
      </c>
      <c r="Z1625">
        <v>-8.1326850000000006E-3</v>
      </c>
      <c r="AA1625">
        <v>0.99129710000000004</v>
      </c>
      <c r="AB1625">
        <v>19</v>
      </c>
      <c r="AC1625">
        <v>-23.1708999999999</v>
      </c>
      <c r="AD1625">
        <v>-0.73397979999999996</v>
      </c>
      <c r="AE1625">
        <v>-195.47</v>
      </c>
      <c r="AF1625">
        <v>25.888533973959898</v>
      </c>
      <c r="AG1625">
        <v>-0.73397979999999996</v>
      </c>
      <c r="AH1625">
        <v>195.12590265074201</v>
      </c>
      <c r="AI1625">
        <v>90.213648883155997</v>
      </c>
      <c r="AJ1625">
        <v>82.442361576908397</v>
      </c>
      <c r="AK1625">
        <v>196.83717332590999</v>
      </c>
      <c r="AL1625">
        <v>78.340632812471696</v>
      </c>
      <c r="AM1625">
        <v>93.3487223753541</v>
      </c>
      <c r="AN1625">
        <v>0.99999998639089205</v>
      </c>
    </row>
    <row r="1626" spans="1:40" x14ac:dyDescent="0.25">
      <c r="A1626" t="str">
        <f>"20190304155045273"</f>
        <v>20190304155045273</v>
      </c>
      <c r="B1626" t="str">
        <f>"1551685845267914"</f>
        <v>1551685845267914</v>
      </c>
      <c r="C1626" t="s">
        <v>40</v>
      </c>
      <c r="D1626">
        <v>4.5672169999999896</v>
      </c>
      <c r="E1626">
        <v>0.55022409999999999</v>
      </c>
      <c r="F1626" t="s">
        <v>59</v>
      </c>
      <c r="G1626">
        <v>-217.68610000000001</v>
      </c>
      <c r="H1626">
        <v>-9.7775459999999994E-4</v>
      </c>
      <c r="I1626">
        <v>97.150019999999998</v>
      </c>
      <c r="J1626">
        <v>-191.9256</v>
      </c>
      <c r="K1626">
        <v>1.1101799999999999</v>
      </c>
      <c r="L1626">
        <v>314.52460000000002</v>
      </c>
      <c r="M1626">
        <v>1.307233E-2</v>
      </c>
      <c r="N1626">
        <v>-1.1842760000000001E-2</v>
      </c>
      <c r="O1626">
        <v>-0.99984450000000002</v>
      </c>
      <c r="P1626">
        <v>7.1038829999999997E-2</v>
      </c>
      <c r="Q1626">
        <v>0.18951879999999999</v>
      </c>
      <c r="R1626">
        <v>-0.97930410000000001</v>
      </c>
      <c r="S1626">
        <v>-0.36627199999999999</v>
      </c>
      <c r="T1626">
        <v>-1.5799520000000001E-2</v>
      </c>
      <c r="U1626">
        <v>-3.0936279999999998</v>
      </c>
      <c r="V1626">
        <v>-5.8011859999999998E-2</v>
      </c>
      <c r="W1626">
        <v>0.20117599999999999</v>
      </c>
      <c r="X1626">
        <v>0.97783580000000003</v>
      </c>
      <c r="Y1626">
        <v>0.13053119999999999</v>
      </c>
      <c r="Z1626">
        <v>-6.785241E-3</v>
      </c>
      <c r="AA1626">
        <v>0.991421</v>
      </c>
      <c r="AB1626">
        <v>19</v>
      </c>
      <c r="AC1626">
        <v>-25.7605</v>
      </c>
      <c r="AD1626">
        <v>-1.1111577546</v>
      </c>
      <c r="AE1626">
        <v>-217.37458000000001</v>
      </c>
      <c r="AF1626">
        <v>28.599352907151701</v>
      </c>
      <c r="AG1626">
        <v>-1.1111577546</v>
      </c>
      <c r="AH1626">
        <v>217.013638179835</v>
      </c>
      <c r="AI1626">
        <v>90.290849724462305</v>
      </c>
      <c r="AJ1626">
        <v>82.492482988461106</v>
      </c>
      <c r="AK1626">
        <v>218.89284322314299</v>
      </c>
      <c r="AL1626">
        <v>78.394263329087394</v>
      </c>
      <c r="AM1626">
        <v>93.395195139970596</v>
      </c>
      <c r="AN1626">
        <v>1.00000000531914</v>
      </c>
    </row>
    <row r="1627" spans="1:40" x14ac:dyDescent="0.25">
      <c r="A1627" t="str">
        <f>"20190304155045296"</f>
        <v>20190304155045296</v>
      </c>
      <c r="B1627" t="str">
        <f>"1551685845288409"</f>
        <v>1551685845288409</v>
      </c>
      <c r="C1627" t="s">
        <v>40</v>
      </c>
      <c r="D1627">
        <v>4.6239400000000002</v>
      </c>
      <c r="E1627">
        <v>0.55226249999999999</v>
      </c>
      <c r="F1627" t="s">
        <v>65</v>
      </c>
      <c r="G1627">
        <v>-210.73779999999999</v>
      </c>
      <c r="H1627">
        <v>7.4896240000000001</v>
      </c>
      <c r="I1627">
        <v>28.79354</v>
      </c>
      <c r="J1627">
        <v>-191.92410000000001</v>
      </c>
      <c r="K1627">
        <v>1.110185</v>
      </c>
      <c r="L1627">
        <v>314.34089999999998</v>
      </c>
      <c r="M1627">
        <v>1.227168E-2</v>
      </c>
      <c r="N1627">
        <v>-1.184146E-2</v>
      </c>
      <c r="O1627">
        <v>-0.99985500000000005</v>
      </c>
      <c r="P1627">
        <v>7.062997E-2</v>
      </c>
      <c r="Q1627">
        <v>0.18855269999999999</v>
      </c>
      <c r="R1627">
        <v>-0.97952030000000001</v>
      </c>
      <c r="S1627">
        <v>-0.20178219999999999</v>
      </c>
      <c r="T1627">
        <v>6.8426730000000005E-2</v>
      </c>
      <c r="U1627">
        <v>-3.0647890000000002</v>
      </c>
      <c r="V1627">
        <v>-5.8390129999999998E-2</v>
      </c>
      <c r="W1627">
        <v>0.20021050000000001</v>
      </c>
      <c r="X1627">
        <v>0.97801139999999998</v>
      </c>
      <c r="Y1627">
        <v>7.7904310000000004E-2</v>
      </c>
      <c r="Z1627">
        <v>-3.410237E-2</v>
      </c>
      <c r="AA1627">
        <v>0.99637739999999997</v>
      </c>
      <c r="AB1627">
        <v>19</v>
      </c>
      <c r="AC1627">
        <v>-18.813699999999901</v>
      </c>
      <c r="AD1627">
        <v>6.3794389999999996</v>
      </c>
      <c r="AE1627">
        <v>-285.54736000000003</v>
      </c>
      <c r="AF1627">
        <v>22.3055880581915</v>
      </c>
      <c r="AG1627">
        <v>6.3794389999999996</v>
      </c>
      <c r="AH1627">
        <v>285.15325178488899</v>
      </c>
      <c r="AI1627">
        <v>88.7222963127887</v>
      </c>
      <c r="AJ1627">
        <v>85.527251022413097</v>
      </c>
      <c r="AK1627">
        <v>286.09546222209298</v>
      </c>
      <c r="AL1627">
        <v>78.450730941922998</v>
      </c>
      <c r="AM1627">
        <v>93.416669316827907</v>
      </c>
      <c r="AN1627">
        <v>0.99999997506081295</v>
      </c>
    </row>
    <row r="1628" spans="1:40" x14ac:dyDescent="0.25">
      <c r="A1628" t="str">
        <f>"20190304155045318"</f>
        <v>20190304155045318</v>
      </c>
      <c r="B1628" t="str">
        <f>"1551685845307928"</f>
        <v>1551685845307928</v>
      </c>
      <c r="C1628" t="s">
        <v>40</v>
      </c>
      <c r="D1628">
        <v>4.5898260000000004</v>
      </c>
      <c r="E1628">
        <v>0.55096140000000005</v>
      </c>
      <c r="F1628" t="s">
        <v>59</v>
      </c>
      <c r="G1628">
        <v>-210.47620000000001</v>
      </c>
      <c r="H1628">
        <v>7.3125879999999999</v>
      </c>
      <c r="I1628">
        <v>55.087229999999998</v>
      </c>
      <c r="J1628">
        <v>-191.9228</v>
      </c>
      <c r="K1628">
        <v>1.1101920000000001</v>
      </c>
      <c r="L1628">
        <v>314.14960000000002</v>
      </c>
      <c r="M1628">
        <v>1.144534E-2</v>
      </c>
      <c r="N1628">
        <v>-1.184026E-2</v>
      </c>
      <c r="O1628">
        <v>-0.99986470000000005</v>
      </c>
      <c r="P1628">
        <v>6.9824449999999996E-2</v>
      </c>
      <c r="Q1628">
        <v>0.1880781</v>
      </c>
      <c r="R1628">
        <v>-0.97966929999999997</v>
      </c>
      <c r="S1628">
        <v>-0.21928410000000001</v>
      </c>
      <c r="T1628">
        <v>7.3312160000000001E-2</v>
      </c>
      <c r="U1628">
        <v>-3.064362</v>
      </c>
      <c r="V1628">
        <v>-5.839685E-2</v>
      </c>
      <c r="W1628">
        <v>0.19973440000000001</v>
      </c>
      <c r="X1628">
        <v>0.97810830000000004</v>
      </c>
      <c r="Y1628">
        <v>8.2749639999999999E-2</v>
      </c>
      <c r="Z1628">
        <v>-3.5683489999999998E-2</v>
      </c>
      <c r="AA1628">
        <v>0.99593129999999996</v>
      </c>
      <c r="AB1628">
        <v>19</v>
      </c>
      <c r="AC1628">
        <v>-18.5534</v>
      </c>
      <c r="AD1628">
        <v>6.2023960000000002</v>
      </c>
      <c r="AE1628">
        <v>-259.06236999999999</v>
      </c>
      <c r="AF1628">
        <v>21.5051844631049</v>
      </c>
      <c r="AG1628">
        <v>6.2023960000000002</v>
      </c>
      <c r="AH1628">
        <v>258.68551095118301</v>
      </c>
      <c r="AI1628">
        <v>88.631225702234502</v>
      </c>
      <c r="AJ1628">
        <v>85.247783574586407</v>
      </c>
      <c r="AK1628">
        <v>259.65195214172297</v>
      </c>
      <c r="AL1628">
        <v>78.478571333926993</v>
      </c>
      <c r="AM1628">
        <v>93.416723880473796</v>
      </c>
      <c r="AN1628">
        <v>0.99999993458108405</v>
      </c>
    </row>
    <row r="1629" spans="1:40" x14ac:dyDescent="0.25">
      <c r="A1629" t="str">
        <f>"20190304155045340"</f>
        <v>20190304155045340</v>
      </c>
      <c r="B1629" t="str">
        <f>"1551685845328425"</f>
        <v>1551685845328425</v>
      </c>
      <c r="C1629" t="s">
        <v>40</v>
      </c>
      <c r="D1629">
        <v>4.5254529999999997</v>
      </c>
      <c r="E1629">
        <v>0.55112530000000004</v>
      </c>
      <c r="F1629" t="s">
        <v>59</v>
      </c>
      <c r="G1629">
        <v>-210.47579999999999</v>
      </c>
      <c r="H1629">
        <v>6.2346180000000002</v>
      </c>
      <c r="I1629">
        <v>45.696399999999997</v>
      </c>
      <c r="J1629">
        <v>-191.92169999999999</v>
      </c>
      <c r="K1629">
        <v>1.1101939999999999</v>
      </c>
      <c r="L1629">
        <v>313.96949999999998</v>
      </c>
      <c r="M1629">
        <v>1.0672589999999999E-2</v>
      </c>
      <c r="N1629">
        <v>-1.1839300000000001E-2</v>
      </c>
      <c r="O1629">
        <v>-0.99987329999999996</v>
      </c>
      <c r="P1629">
        <v>6.8670079999999994E-2</v>
      </c>
      <c r="Q1629">
        <v>0.18831290000000001</v>
      </c>
      <c r="R1629">
        <v>-0.97970599999999997</v>
      </c>
      <c r="S1629">
        <v>-0.2118988</v>
      </c>
      <c r="T1629">
        <v>5.8527469999999998E-2</v>
      </c>
      <c r="U1629">
        <v>-3.066071</v>
      </c>
      <c r="V1629">
        <v>-5.8002270000000002E-2</v>
      </c>
      <c r="W1629">
        <v>0.19996700000000001</v>
      </c>
      <c r="X1629">
        <v>0.97808430000000002</v>
      </c>
      <c r="Y1629">
        <v>7.9560939999999997E-2</v>
      </c>
      <c r="Z1629">
        <v>-3.0870870000000002E-2</v>
      </c>
      <c r="AA1629">
        <v>0.99635189999999996</v>
      </c>
      <c r="AB1629">
        <v>19</v>
      </c>
      <c r="AC1629">
        <v>-18.554099999999998</v>
      </c>
      <c r="AD1629">
        <v>5.1244239999999897</v>
      </c>
      <c r="AE1629">
        <v>-268.2731</v>
      </c>
      <c r="AF1629">
        <v>21.408637487693898</v>
      </c>
      <c r="AG1629">
        <v>5.1244239999999897</v>
      </c>
      <c r="AH1629">
        <v>267.96247909361801</v>
      </c>
      <c r="AI1629">
        <v>88.907907459363102</v>
      </c>
      <c r="AJ1629">
        <v>85.4321043464506</v>
      </c>
      <c r="AK1629">
        <v>268.865170080486</v>
      </c>
      <c r="AL1629">
        <v>78.464970489833703</v>
      </c>
      <c r="AM1629">
        <v>93.393774737134905</v>
      </c>
      <c r="AN1629">
        <v>0.99999998116032096</v>
      </c>
    </row>
    <row r="1630" spans="1:40" x14ac:dyDescent="0.25">
      <c r="A1630" t="str">
        <f>"20190304155045361"</f>
        <v>20190304155045361</v>
      </c>
      <c r="B1630" t="str">
        <f>"1551685845357705"</f>
        <v>1551685845357705</v>
      </c>
      <c r="C1630" t="s">
        <v>40</v>
      </c>
      <c r="D1630">
        <v>4.5515059999999998</v>
      </c>
      <c r="E1630">
        <v>0.55166569999999904</v>
      </c>
      <c r="F1630" t="s">
        <v>59</v>
      </c>
      <c r="G1630">
        <v>-211.3604</v>
      </c>
      <c r="H1630">
        <v>5.2198010000000004</v>
      </c>
      <c r="I1630">
        <v>39.628300000000003</v>
      </c>
      <c r="J1630">
        <v>-191.92070000000001</v>
      </c>
      <c r="K1630">
        <v>1.110196</v>
      </c>
      <c r="L1630">
        <v>313.78859999999997</v>
      </c>
      <c r="M1630">
        <v>9.8994849999999995E-3</v>
      </c>
      <c r="N1630">
        <v>-1.183844E-2</v>
      </c>
      <c r="O1630">
        <v>-0.99988109999999997</v>
      </c>
      <c r="P1630">
        <v>6.7904740000000005E-2</v>
      </c>
      <c r="Q1630">
        <v>0.1887373</v>
      </c>
      <c r="R1630">
        <v>-0.97967749999999998</v>
      </c>
      <c r="S1630">
        <v>-0.21742249999999999</v>
      </c>
      <c r="T1630">
        <v>4.5966149999999997E-2</v>
      </c>
      <c r="U1630">
        <v>-3.0685120000000001</v>
      </c>
      <c r="V1630">
        <v>-5.7996699999999998E-2</v>
      </c>
      <c r="W1630">
        <v>0.2003894</v>
      </c>
      <c r="X1630">
        <v>0.97799820000000004</v>
      </c>
      <c r="Y1630">
        <v>8.0526890000000004E-2</v>
      </c>
      <c r="Z1630">
        <v>-2.6774329999999999E-2</v>
      </c>
      <c r="AA1630">
        <v>0.99639279999999997</v>
      </c>
      <c r="AB1630">
        <v>19</v>
      </c>
      <c r="AC1630">
        <v>-19.439699999999899</v>
      </c>
      <c r="AD1630">
        <v>4.1096050000000002</v>
      </c>
      <c r="AE1630">
        <v>-274.16029999999898</v>
      </c>
      <c r="AF1630">
        <v>22.148031161061201</v>
      </c>
      <c r="AG1630">
        <v>4.1096050000000002</v>
      </c>
      <c r="AH1630">
        <v>273.89317327288302</v>
      </c>
      <c r="AI1630">
        <v>89.143171630861602</v>
      </c>
      <c r="AJ1630">
        <v>85.376907185235495</v>
      </c>
      <c r="AK1630">
        <v>274.81792973359097</v>
      </c>
      <c r="AL1630">
        <v>78.440269044928499</v>
      </c>
      <c r="AM1630">
        <v>93.393747642924296</v>
      </c>
      <c r="AN1630">
        <v>1.00000000402324</v>
      </c>
    </row>
    <row r="1631" spans="1:40" x14ac:dyDescent="0.25">
      <c r="A1631" t="str">
        <f>"20190304155045384"</f>
        <v>20190304155045384</v>
      </c>
      <c r="B1631" t="str">
        <f>"1551685845378201"</f>
        <v>1551685845378201</v>
      </c>
      <c r="C1631" t="s">
        <v>40</v>
      </c>
      <c r="D1631">
        <v>4.5384710000000004</v>
      </c>
      <c r="E1631">
        <v>0.55183269999999995</v>
      </c>
      <c r="F1631" t="s">
        <v>59</v>
      </c>
      <c r="G1631">
        <v>-211.8494</v>
      </c>
      <c r="H1631">
        <v>4.1185450000000001</v>
      </c>
      <c r="I1631">
        <v>41.546010000000003</v>
      </c>
      <c r="J1631">
        <v>-191.91980000000001</v>
      </c>
      <c r="K1631">
        <v>1.1102050000000001</v>
      </c>
      <c r="L1631">
        <v>313.60550000000001</v>
      </c>
      <c r="M1631">
        <v>9.1183979999999998E-3</v>
      </c>
      <c r="N1631">
        <v>-1.183764E-2</v>
      </c>
      <c r="O1631">
        <v>-0.99988849999999996</v>
      </c>
      <c r="P1631">
        <v>6.7732790000000001E-2</v>
      </c>
      <c r="Q1631">
        <v>0.1891813</v>
      </c>
      <c r="R1631">
        <v>-0.97960389999999997</v>
      </c>
      <c r="S1631">
        <v>-0.224823</v>
      </c>
      <c r="T1631">
        <v>3.3938290000000003E-2</v>
      </c>
      <c r="U1631">
        <v>-3.071259</v>
      </c>
      <c r="V1631">
        <v>-5.859193E-2</v>
      </c>
      <c r="W1631">
        <v>0.20083129999999999</v>
      </c>
      <c r="X1631">
        <v>0.97787210000000002</v>
      </c>
      <c r="Y1631">
        <v>8.2079100000000002E-2</v>
      </c>
      <c r="Z1631">
        <v>-2.285564E-2</v>
      </c>
      <c r="AA1631">
        <v>0.99636369999999996</v>
      </c>
      <c r="AB1631">
        <v>19</v>
      </c>
      <c r="AC1631">
        <v>-19.929599999999901</v>
      </c>
      <c r="AD1631">
        <v>3.00834</v>
      </c>
      <c r="AE1631">
        <v>-272.05948999999998</v>
      </c>
      <c r="AF1631">
        <v>22.406966411166302</v>
      </c>
      <c r="AG1631">
        <v>3.00834</v>
      </c>
      <c r="AH1631">
        <v>271.83337910164897</v>
      </c>
      <c r="AI1631">
        <v>89.368084904850505</v>
      </c>
      <c r="AJ1631">
        <v>85.2878166080516</v>
      </c>
      <c r="AK1631">
        <v>272.77189783247002</v>
      </c>
      <c r="AL1631">
        <v>78.414425011678205</v>
      </c>
      <c r="AM1631">
        <v>93.428936649787602</v>
      </c>
      <c r="AN1631">
        <v>1.0000000346396101</v>
      </c>
    </row>
    <row r="1632" spans="1:40" x14ac:dyDescent="0.25">
      <c r="A1632" t="str">
        <f>"20190304155045418"</f>
        <v>20190304155045418</v>
      </c>
      <c r="B1632" t="str">
        <f>"1551685845408456"</f>
        <v>1551685845408456</v>
      </c>
      <c r="C1632" t="s">
        <v>40</v>
      </c>
      <c r="D1632">
        <v>4.4905410000000003</v>
      </c>
      <c r="E1632">
        <v>0.55218500000000004</v>
      </c>
      <c r="F1632" t="s">
        <v>59</v>
      </c>
      <c r="G1632">
        <v>-212.0359</v>
      </c>
      <c r="H1632">
        <v>4.2353620000000003</v>
      </c>
      <c r="I1632">
        <v>41.546010000000003</v>
      </c>
      <c r="J1632">
        <v>-191.9187</v>
      </c>
      <c r="K1632">
        <v>1.110201</v>
      </c>
      <c r="L1632">
        <v>313.32060000000001</v>
      </c>
      <c r="M1632">
        <v>7.9021779999999993E-3</v>
      </c>
      <c r="N1632">
        <v>-1.1836910000000001E-2</v>
      </c>
      <c r="O1632">
        <v>-0.99989899999999998</v>
      </c>
      <c r="P1632">
        <v>6.7170939999999998E-2</v>
      </c>
      <c r="Q1632">
        <v>0.18891150000000001</v>
      </c>
      <c r="R1632">
        <v>-0.97969450000000002</v>
      </c>
      <c r="S1632">
        <v>-0.22709660000000001</v>
      </c>
      <c r="T1632">
        <v>3.5280819999999997E-2</v>
      </c>
      <c r="U1632">
        <v>-3.0713499999999998</v>
      </c>
      <c r="V1632">
        <v>-5.9222879999999999E-2</v>
      </c>
      <c r="W1632">
        <v>0.20056080000000001</v>
      </c>
      <c r="X1632">
        <v>0.97788949999999997</v>
      </c>
      <c r="Y1632">
        <v>8.1597740000000002E-2</v>
      </c>
      <c r="Z1632">
        <v>-2.3289770000000001E-2</v>
      </c>
      <c r="AA1632">
        <v>0.99639319999999998</v>
      </c>
      <c r="AB1632">
        <v>19</v>
      </c>
      <c r="AC1632">
        <v>-20.1172</v>
      </c>
      <c r="AD1632">
        <v>3.1251609999999999</v>
      </c>
      <c r="AE1632">
        <v>-271.77458999999999</v>
      </c>
      <c r="AF1632">
        <v>22.2614052802586</v>
      </c>
      <c r="AG1632">
        <v>3.1251609999999999</v>
      </c>
      <c r="AH1632">
        <v>271.57140852898198</v>
      </c>
      <c r="AI1632">
        <v>89.342890567960694</v>
      </c>
      <c r="AJ1632">
        <v>85.313795494872707</v>
      </c>
      <c r="AK1632">
        <v>272.50021417742602</v>
      </c>
      <c r="AL1632">
        <v>78.430244170492003</v>
      </c>
      <c r="AM1632">
        <v>93.465710273959104</v>
      </c>
      <c r="AN1632">
        <v>0.99999992911118896</v>
      </c>
    </row>
    <row r="1633" spans="1:40" x14ac:dyDescent="0.25">
      <c r="A1633" t="str">
        <f>"20190304155045439"</f>
        <v>20190304155045439</v>
      </c>
      <c r="B1633" t="str">
        <f>"1551685845427984"</f>
        <v>1551685845427984</v>
      </c>
      <c r="C1633" t="s">
        <v>40</v>
      </c>
      <c r="D1633">
        <v>4.4642609999999996</v>
      </c>
      <c r="E1633">
        <v>0.55221469999999995</v>
      </c>
      <c r="F1633" t="s">
        <v>44</v>
      </c>
      <c r="G1633">
        <v>-203.2311</v>
      </c>
      <c r="H1633">
        <v>2.6933799999999999</v>
      </c>
      <c r="I1633">
        <v>163.34630000000001</v>
      </c>
      <c r="J1633">
        <v>-191.91829999999999</v>
      </c>
      <c r="K1633">
        <v>1.1102099999999999</v>
      </c>
      <c r="L1633">
        <v>313.13670000000002</v>
      </c>
      <c r="M1633">
        <v>7.1149710000000003E-3</v>
      </c>
      <c r="N1633">
        <v>-1.183641E-2</v>
      </c>
      <c r="O1633">
        <v>-0.99990489999999999</v>
      </c>
      <c r="P1633">
        <v>6.7579780000000006E-2</v>
      </c>
      <c r="Q1633">
        <v>0.18901970000000001</v>
      </c>
      <c r="R1633">
        <v>-0.97964530000000005</v>
      </c>
      <c r="S1633">
        <v>-0.23170470000000001</v>
      </c>
      <c r="T1633">
        <v>3.2427310000000001E-2</v>
      </c>
      <c r="U1633">
        <v>-3.0718380000000001</v>
      </c>
      <c r="V1633">
        <v>-6.0403520000000002E-2</v>
      </c>
      <c r="W1633">
        <v>0.20066919999999999</v>
      </c>
      <c r="X1633">
        <v>0.97779510000000003</v>
      </c>
      <c r="Y1633">
        <v>8.2288970000000003E-2</v>
      </c>
      <c r="Z1633">
        <v>-2.2360660000000001E-2</v>
      </c>
      <c r="AA1633">
        <v>0.99635759999999995</v>
      </c>
      <c r="AB1633">
        <v>19</v>
      </c>
      <c r="AC1633">
        <v>-11.312799999999999</v>
      </c>
      <c r="AD1633">
        <v>1.58316999999999</v>
      </c>
      <c r="AE1633">
        <v>-149.79040000000001</v>
      </c>
      <c r="AF1633">
        <v>12.3769675722332</v>
      </c>
      <c r="AG1633">
        <v>1.58316999999999</v>
      </c>
      <c r="AH1633">
        <v>149.689485369881</v>
      </c>
      <c r="AI1633">
        <v>89.396102419640499</v>
      </c>
      <c r="AJ1633">
        <v>85.273291740266302</v>
      </c>
      <c r="AK1633">
        <v>150.20864750017799</v>
      </c>
      <c r="AL1633">
        <v>78.423905081130101</v>
      </c>
      <c r="AM1633">
        <v>93.534967998035398</v>
      </c>
      <c r="AN1633">
        <v>0.99999998532052004</v>
      </c>
    </row>
    <row r="1634" spans="1:40" x14ac:dyDescent="0.25">
      <c r="A1634" t="str">
        <f>"20190304155045463"</f>
        <v>20190304155045463</v>
      </c>
      <c r="B1634" t="str">
        <f>"1551685845458237"</f>
        <v>1551685845458237</v>
      </c>
      <c r="C1634" t="s">
        <v>40</v>
      </c>
      <c r="D1634">
        <v>4.4449519999999998</v>
      </c>
      <c r="E1634">
        <v>0.55227689999999996</v>
      </c>
      <c r="F1634" t="s">
        <v>44</v>
      </c>
      <c r="G1634">
        <v>-203.1825</v>
      </c>
      <c r="H1634">
        <v>2.66926</v>
      </c>
      <c r="I1634">
        <v>163.3254</v>
      </c>
      <c r="J1634">
        <v>-191.9179</v>
      </c>
      <c r="K1634">
        <v>1.1102080000000001</v>
      </c>
      <c r="L1634">
        <v>312.94589999999999</v>
      </c>
      <c r="M1634">
        <v>6.2961789999999998E-3</v>
      </c>
      <c r="N1634">
        <v>-1.18359E-2</v>
      </c>
      <c r="O1634">
        <v>-0.99991019999999997</v>
      </c>
      <c r="P1634">
        <v>6.7463469999999998E-2</v>
      </c>
      <c r="Q1634">
        <v>0.18888450000000001</v>
      </c>
      <c r="R1634">
        <v>-0.97967950000000004</v>
      </c>
      <c r="S1634">
        <v>-0.23098750000000001</v>
      </c>
      <c r="T1634">
        <v>3.197038E-2</v>
      </c>
      <c r="U1634">
        <v>-3.0720830000000001</v>
      </c>
      <c r="V1634">
        <v>-6.1089690000000002E-2</v>
      </c>
      <c r="W1634">
        <v>0.2005333</v>
      </c>
      <c r="X1634">
        <v>0.97778030000000005</v>
      </c>
      <c r="Y1634">
        <v>8.1235829999999995E-2</v>
      </c>
      <c r="Z1634">
        <v>-2.2211359999999999E-2</v>
      </c>
      <c r="AA1634">
        <v>0.99644739999999998</v>
      </c>
      <c r="AB1634">
        <v>19</v>
      </c>
      <c r="AC1634">
        <v>-11.2646</v>
      </c>
      <c r="AD1634">
        <v>1.5590520000000001</v>
      </c>
      <c r="AE1634">
        <v>-149.62049999999999</v>
      </c>
      <c r="AF1634">
        <v>12.205162333523599</v>
      </c>
      <c r="AG1634">
        <v>1.5590520000000001</v>
      </c>
      <c r="AH1634">
        <v>149.53046093257001</v>
      </c>
      <c r="AI1634">
        <v>89.404617569296704</v>
      </c>
      <c r="AJ1634">
        <v>85.333676765641897</v>
      </c>
      <c r="AK1634">
        <v>150.03584697475901</v>
      </c>
      <c r="AL1634">
        <v>78.4318525461333</v>
      </c>
      <c r="AM1634">
        <v>93.575074825985297</v>
      </c>
      <c r="AN1634">
        <v>0.99999993485063599</v>
      </c>
    </row>
    <row r="1635" spans="1:40" x14ac:dyDescent="0.25">
      <c r="A1635" t="str">
        <f>"20190304155045484"</f>
        <v>20190304155045484</v>
      </c>
      <c r="B1635" t="str">
        <f>"1551685845477757"</f>
        <v>1551685845477757</v>
      </c>
      <c r="C1635" t="s">
        <v>40</v>
      </c>
      <c r="D1635">
        <v>4.4032679999999997</v>
      </c>
      <c r="E1635">
        <v>0.55239869999999902</v>
      </c>
      <c r="F1635" t="s">
        <v>44</v>
      </c>
      <c r="G1635">
        <v>-203.22559999999999</v>
      </c>
      <c r="H1635">
        <v>2.5897209999999999</v>
      </c>
      <c r="I1635">
        <v>163.34620000000001</v>
      </c>
      <c r="J1635">
        <v>-191.91759999999999</v>
      </c>
      <c r="K1635">
        <v>1.1102050000000001</v>
      </c>
      <c r="L1635">
        <v>312.76119999999997</v>
      </c>
      <c r="M1635">
        <v>5.5030410000000002E-3</v>
      </c>
      <c r="N1635">
        <v>-1.1835490000000001E-2</v>
      </c>
      <c r="O1635">
        <v>-0.99991490000000005</v>
      </c>
      <c r="P1635">
        <v>6.7149059999999997E-2</v>
      </c>
      <c r="Q1635">
        <v>0.1884747</v>
      </c>
      <c r="R1635">
        <v>-0.97977990000000004</v>
      </c>
      <c r="S1635">
        <v>-0.2322235</v>
      </c>
      <c r="T1635">
        <v>3.0384419999999999E-2</v>
      </c>
      <c r="U1635">
        <v>-3.0722960000000001</v>
      </c>
      <c r="V1635">
        <v>-6.1552790000000003E-2</v>
      </c>
      <c r="W1635">
        <v>0.200125</v>
      </c>
      <c r="X1635">
        <v>0.97783500000000001</v>
      </c>
      <c r="Y1635">
        <v>8.0839250000000001E-2</v>
      </c>
      <c r="Z1635">
        <v>-2.1695530000000001E-2</v>
      </c>
      <c r="AA1635">
        <v>0.99649100000000002</v>
      </c>
      <c r="AB1635">
        <v>19</v>
      </c>
      <c r="AC1635">
        <v>-11.3079999999999</v>
      </c>
      <c r="AD1635">
        <v>1.4795160000000001</v>
      </c>
      <c r="AE1635">
        <v>-149.414999999999</v>
      </c>
      <c r="AF1635">
        <v>12.1289406695652</v>
      </c>
      <c r="AG1635">
        <v>1.4795160000000001</v>
      </c>
      <c r="AH1635">
        <v>149.335945412299</v>
      </c>
      <c r="AI1635">
        <v>89.434234959973494</v>
      </c>
      <c r="AJ1635">
        <v>85.356676753482205</v>
      </c>
      <c r="AK1635">
        <v>149.834991779441</v>
      </c>
      <c r="AL1635">
        <v>78.455731500067301</v>
      </c>
      <c r="AM1635">
        <v>93.601904184075195</v>
      </c>
      <c r="AN1635">
        <v>1.00000002440339</v>
      </c>
    </row>
    <row r="1636" spans="1:40" x14ac:dyDescent="0.25">
      <c r="A1636" t="str">
        <f>"20190304155045508"</f>
        <v>20190304155045508</v>
      </c>
      <c r="B1636" t="str">
        <f>"1551685845498252"</f>
        <v>1551685845498252</v>
      </c>
      <c r="C1636" t="s">
        <v>40</v>
      </c>
      <c r="D1636">
        <v>4.4393219999999998</v>
      </c>
      <c r="E1636">
        <v>0.55245180000000005</v>
      </c>
      <c r="F1636" t="s">
        <v>44</v>
      </c>
      <c r="G1636">
        <v>-203.33439999999999</v>
      </c>
      <c r="H1636">
        <v>2.5112709999999998</v>
      </c>
      <c r="I1636">
        <v>163.24350000000001</v>
      </c>
      <c r="J1636">
        <v>-191.91759999999999</v>
      </c>
      <c r="K1636">
        <v>1.110206</v>
      </c>
      <c r="L1636">
        <v>312.57100000000003</v>
      </c>
      <c r="M1636">
        <v>4.6847670000000003E-3</v>
      </c>
      <c r="N1636">
        <v>-1.1835139999999999E-2</v>
      </c>
      <c r="O1636">
        <v>-0.99991920000000001</v>
      </c>
      <c r="P1636">
        <v>6.6371890000000003E-2</v>
      </c>
      <c r="Q1636">
        <v>0.1881758</v>
      </c>
      <c r="R1636">
        <v>-0.9798905</v>
      </c>
      <c r="S1636">
        <v>-0.2346039</v>
      </c>
      <c r="T1636">
        <v>2.8790590000000001E-2</v>
      </c>
      <c r="U1636">
        <v>-3.0724490000000002</v>
      </c>
      <c r="V1636">
        <v>-6.1576659999999998E-2</v>
      </c>
      <c r="W1636">
        <v>0.19982639999999999</v>
      </c>
      <c r="X1636">
        <v>0.9778945</v>
      </c>
      <c r="Y1636">
        <v>8.0788070000000003E-2</v>
      </c>
      <c r="Z1636">
        <v>-2.1177169999999999E-2</v>
      </c>
      <c r="AA1636">
        <v>0.99650629999999996</v>
      </c>
      <c r="AB1636">
        <v>19</v>
      </c>
      <c r="AC1636">
        <v>-11.416799999999901</v>
      </c>
      <c r="AD1636">
        <v>1.40106499999999</v>
      </c>
      <c r="AE1636">
        <v>-149.32749999999899</v>
      </c>
      <c r="AF1636">
        <v>12.115227773486501</v>
      </c>
      <c r="AG1636">
        <v>1.40106499999999</v>
      </c>
      <c r="AH1636">
        <v>149.25930920233</v>
      </c>
      <c r="AI1636">
        <v>89.463955485738595</v>
      </c>
      <c r="AJ1636">
        <v>85.359532543380993</v>
      </c>
      <c r="AK1636">
        <v>149.75674646136801</v>
      </c>
      <c r="AL1636">
        <v>78.473192017257702</v>
      </c>
      <c r="AM1636">
        <v>93.603078648000505</v>
      </c>
      <c r="AN1636">
        <v>0.999999964161982</v>
      </c>
    </row>
    <row r="1637" spans="1:40" x14ac:dyDescent="0.25">
      <c r="A1637" t="str">
        <f>"20190304155045528"</f>
        <v>20190304155045528</v>
      </c>
      <c r="B1637" t="str">
        <f>"1551685845517776"</f>
        <v>1551685845517776</v>
      </c>
      <c r="C1637" t="s">
        <v>40</v>
      </c>
      <c r="D1637">
        <v>4.3804239999999997</v>
      </c>
      <c r="E1637">
        <v>0.55255869999999996</v>
      </c>
      <c r="F1637" t="s">
        <v>59</v>
      </c>
      <c r="G1637">
        <v>-212.22630000000001</v>
      </c>
      <c r="H1637">
        <v>3.4066000000000001</v>
      </c>
      <c r="I1637">
        <v>50.095019999999998</v>
      </c>
      <c r="J1637">
        <v>-191.91759999999999</v>
      </c>
      <c r="K1637">
        <v>1.1101989999999999</v>
      </c>
      <c r="L1637">
        <v>312.3956</v>
      </c>
      <c r="M1637">
        <v>3.9296599999999998E-3</v>
      </c>
      <c r="N1637">
        <v>-1.1834880000000001E-2</v>
      </c>
      <c r="O1637">
        <v>-0.99992259999999999</v>
      </c>
      <c r="P1637">
        <v>6.5691639999999996E-2</v>
      </c>
      <c r="Q1637">
        <v>0.18763279999999999</v>
      </c>
      <c r="R1637">
        <v>-0.98004060000000004</v>
      </c>
      <c r="S1637">
        <v>-0.2377319</v>
      </c>
      <c r="T1637">
        <v>2.6881459999999999E-2</v>
      </c>
      <c r="U1637">
        <v>-3.0725099999999999</v>
      </c>
      <c r="V1637">
        <v>-6.1636299999999998E-2</v>
      </c>
      <c r="W1637">
        <v>0.1992844</v>
      </c>
      <c r="X1637">
        <v>0.97800140000000002</v>
      </c>
      <c r="Y1637">
        <v>8.1043119999999996E-2</v>
      </c>
      <c r="Z1637">
        <v>-2.0556769999999999E-2</v>
      </c>
      <c r="AA1637">
        <v>0.99649860000000001</v>
      </c>
      <c r="AB1637">
        <v>19</v>
      </c>
      <c r="AC1637">
        <v>-20.308700000000002</v>
      </c>
      <c r="AD1637">
        <v>2.2964009999999999</v>
      </c>
      <c r="AE1637">
        <v>-262.300579999999</v>
      </c>
      <c r="AF1637">
        <v>21.337741360180299</v>
      </c>
      <c r="AG1637">
        <v>2.2964009999999999</v>
      </c>
      <c r="AH1637">
        <v>262.19876553448398</v>
      </c>
      <c r="AI1637">
        <v>89.499855699101801</v>
      </c>
      <c r="AJ1637">
        <v>85.347520785760295</v>
      </c>
      <c r="AK1637">
        <v>263.075588589505</v>
      </c>
      <c r="AL1637">
        <v>78.504884435521305</v>
      </c>
      <c r="AM1637">
        <v>93.606166026056798</v>
      </c>
      <c r="AN1637">
        <v>1.0000000219815</v>
      </c>
    </row>
    <row r="1638" spans="1:40" x14ac:dyDescent="0.25">
      <c r="A1638" t="str">
        <f>"20190304155045551"</f>
        <v>20190304155045551</v>
      </c>
      <c r="B1638" t="str">
        <f>"1551685845548030"</f>
        <v>1551685845548030</v>
      </c>
      <c r="C1638" t="s">
        <v>40</v>
      </c>
      <c r="D1638">
        <v>4.3846550000000004</v>
      </c>
      <c r="E1638">
        <v>0.55252230000000002</v>
      </c>
      <c r="F1638" t="s">
        <v>59</v>
      </c>
      <c r="G1638">
        <v>-212.22630000000001</v>
      </c>
      <c r="H1638">
        <v>3.2683360000000001</v>
      </c>
      <c r="I1638">
        <v>53.656939999999999</v>
      </c>
      <c r="J1638">
        <v>-191.9179</v>
      </c>
      <c r="K1638">
        <v>1.1101939999999999</v>
      </c>
      <c r="L1638">
        <v>312.20600000000002</v>
      </c>
      <c r="M1638">
        <v>3.1131449999999999E-3</v>
      </c>
      <c r="N1638">
        <v>-1.183465E-2</v>
      </c>
      <c r="O1638">
        <v>-0.99992519999999996</v>
      </c>
      <c r="P1638">
        <v>6.4627390000000007E-2</v>
      </c>
      <c r="Q1638">
        <v>0.18733759999999999</v>
      </c>
      <c r="R1638">
        <v>-0.98016749999999997</v>
      </c>
      <c r="S1638">
        <v>-0.2411499</v>
      </c>
      <c r="T1638">
        <v>2.562642E-2</v>
      </c>
      <c r="U1638">
        <v>-3.072327</v>
      </c>
      <c r="V1638">
        <v>-6.1372370000000002E-2</v>
      </c>
      <c r="W1638">
        <v>0.19898950000000001</v>
      </c>
      <c r="X1638">
        <v>0.978078</v>
      </c>
      <c r="Y1638">
        <v>8.1336160000000005E-2</v>
      </c>
      <c r="Z1638">
        <v>-2.0149199999999999E-2</v>
      </c>
      <c r="AA1638">
        <v>0.99648300000000001</v>
      </c>
      <c r="AB1638">
        <v>19</v>
      </c>
      <c r="AC1638">
        <v>-20.308399999999999</v>
      </c>
      <c r="AD1638">
        <v>2.1581419999999998</v>
      </c>
      <c r="AE1638">
        <v>-258.54905999999897</v>
      </c>
      <c r="AF1638">
        <v>21.111796663044299</v>
      </c>
      <c r="AG1638">
        <v>2.1581419999999998</v>
      </c>
      <c r="AH1638">
        <v>258.466681397819</v>
      </c>
      <c r="AI1638">
        <v>89.523191365767303</v>
      </c>
      <c r="AJ1638">
        <v>85.330394380135502</v>
      </c>
      <c r="AK1638">
        <v>259.336443501556</v>
      </c>
      <c r="AL1638">
        <v>78.522125815051396</v>
      </c>
      <c r="AM1638">
        <v>93.5904842322973</v>
      </c>
      <c r="AN1638">
        <v>0.999999981496833</v>
      </c>
    </row>
    <row r="1639" spans="1:40" x14ac:dyDescent="0.25">
      <c r="A1639" t="str">
        <f>"20190304155045573"</f>
        <v>20190304155045573</v>
      </c>
      <c r="B1639" t="str">
        <f>"1551685845568525"</f>
        <v>1551685845568525</v>
      </c>
      <c r="C1639" t="s">
        <v>40</v>
      </c>
      <c r="D1639">
        <v>4.3304720000000003</v>
      </c>
      <c r="E1639">
        <v>0.5523943</v>
      </c>
      <c r="F1639" t="s">
        <v>59</v>
      </c>
      <c r="G1639">
        <v>-211.3597</v>
      </c>
      <c r="H1639">
        <v>3.0982509999999999</v>
      </c>
      <c r="I1639">
        <v>67.617909999999995</v>
      </c>
      <c r="J1639">
        <v>-191.91829999999999</v>
      </c>
      <c r="K1639">
        <v>1.1101970000000001</v>
      </c>
      <c r="L1639">
        <v>312.02199999999999</v>
      </c>
      <c r="M1639">
        <v>2.3213919999999998E-3</v>
      </c>
      <c r="N1639">
        <v>-1.183447E-2</v>
      </c>
      <c r="O1639">
        <v>-0.99992760000000003</v>
      </c>
      <c r="P1639">
        <v>6.3556799999999997E-2</v>
      </c>
      <c r="Q1639">
        <v>0.186809</v>
      </c>
      <c r="R1639">
        <v>-0.98033859999999995</v>
      </c>
      <c r="S1639">
        <v>-0.2441864</v>
      </c>
      <c r="T1639">
        <v>2.4969939999999999E-2</v>
      </c>
      <c r="U1639">
        <v>-3.0719910000000001</v>
      </c>
      <c r="V1639">
        <v>-6.107775E-2</v>
      </c>
      <c r="W1639">
        <v>0.198462</v>
      </c>
      <c r="X1639">
        <v>0.97820370000000001</v>
      </c>
      <c r="Y1639">
        <v>8.1534560000000006E-2</v>
      </c>
      <c r="Z1639">
        <v>-1.9936249999999999E-2</v>
      </c>
      <c r="AA1639">
        <v>0.99647110000000005</v>
      </c>
      <c r="AB1639">
        <v>19</v>
      </c>
      <c r="AC1639">
        <v>-19.441400000000002</v>
      </c>
      <c r="AD1639">
        <v>1.988054</v>
      </c>
      <c r="AE1639">
        <v>-244.40409</v>
      </c>
      <c r="AF1639">
        <v>20.0074293576183</v>
      </c>
      <c r="AG1639">
        <v>1.988054</v>
      </c>
      <c r="AH1639">
        <v>244.34223146094899</v>
      </c>
      <c r="AI1639">
        <v>89.535386649124902</v>
      </c>
      <c r="AJ1639">
        <v>85.318903665136105</v>
      </c>
      <c r="AK1639">
        <v>245.168055960647</v>
      </c>
      <c r="AL1639">
        <v>78.552965412991298</v>
      </c>
      <c r="AM1639">
        <v>93.572834783580404</v>
      </c>
      <c r="AN1639">
        <v>1.0000000678413701</v>
      </c>
    </row>
    <row r="1640" spans="1:40" x14ac:dyDescent="0.25">
      <c r="A1640" t="str">
        <f>"20190304155045595"</f>
        <v>20190304155045595</v>
      </c>
      <c r="B1640" t="str">
        <f>"1551685845588045"</f>
        <v>1551685845588045</v>
      </c>
      <c r="C1640" t="s">
        <v>40</v>
      </c>
      <c r="D1640">
        <v>4.3769729999999996</v>
      </c>
      <c r="E1640">
        <v>0.55226059999999999</v>
      </c>
      <c r="F1640" t="s">
        <v>59</v>
      </c>
      <c r="G1640">
        <v>-211.3596</v>
      </c>
      <c r="H1640">
        <v>2.9745180000000002</v>
      </c>
      <c r="I1640">
        <v>69.959339999999997</v>
      </c>
      <c r="J1640">
        <v>-191.9188</v>
      </c>
      <c r="K1640">
        <v>1.110196</v>
      </c>
      <c r="L1640">
        <v>311.83859999999999</v>
      </c>
      <c r="M1640">
        <v>1.53206E-3</v>
      </c>
      <c r="N1640">
        <v>-1.1834310000000001E-2</v>
      </c>
      <c r="O1640">
        <v>-0.99992899999999996</v>
      </c>
      <c r="P1640">
        <v>6.3146859999999999E-2</v>
      </c>
      <c r="Q1640">
        <v>0.18661810000000001</v>
      </c>
      <c r="R1640">
        <v>-0.98040130000000003</v>
      </c>
      <c r="S1640">
        <v>-0.24670410000000001</v>
      </c>
      <c r="T1640">
        <v>2.36578E-2</v>
      </c>
      <c r="U1640">
        <v>-3.0716860000000001</v>
      </c>
      <c r="V1640">
        <v>-6.1442589999999998E-2</v>
      </c>
      <c r="W1640">
        <v>0.19827130000000001</v>
      </c>
      <c r="X1640">
        <v>0.97821939999999996</v>
      </c>
      <c r="Y1640">
        <v>8.1567669999999995E-2</v>
      </c>
      <c r="Z1640">
        <v>-1.9510610000000001E-2</v>
      </c>
      <c r="AA1640">
        <v>0.99647680000000005</v>
      </c>
      <c r="AB1640">
        <v>19</v>
      </c>
      <c r="AC1640">
        <v>-19.440799999999999</v>
      </c>
      <c r="AD1640">
        <v>1.864322</v>
      </c>
      <c r="AE1640">
        <v>-241.87925999999999</v>
      </c>
      <c r="AF1640">
        <v>19.810207267655599</v>
      </c>
      <c r="AG1640">
        <v>1.864322</v>
      </c>
      <c r="AH1640">
        <v>241.83491483486901</v>
      </c>
      <c r="AI1640">
        <v>89.5597860921266</v>
      </c>
      <c r="AJ1640">
        <v>85.317001144914599</v>
      </c>
      <c r="AK1640">
        <v>242.65210908149001</v>
      </c>
      <c r="AL1640">
        <v>78.564111852547697</v>
      </c>
      <c r="AM1640">
        <v>93.594063338045203</v>
      </c>
      <c r="AN1640">
        <v>0.99999994740297704</v>
      </c>
    </row>
    <row r="1641" spans="1:40" x14ac:dyDescent="0.25">
      <c r="A1641" t="str">
        <f>"20190304155045619"</f>
        <v>20190304155045619</v>
      </c>
      <c r="B1641" t="str">
        <f>"1551685845607568"</f>
        <v>1551685845607568</v>
      </c>
      <c r="C1641" t="s">
        <v>40</v>
      </c>
      <c r="D1641">
        <v>4.3465939999999996</v>
      </c>
      <c r="E1641">
        <v>0.5521547</v>
      </c>
      <c r="F1641" t="s">
        <v>59</v>
      </c>
      <c r="G1641">
        <v>-211.3596</v>
      </c>
      <c r="H1641">
        <v>2.9123489999999999</v>
      </c>
      <c r="I1641">
        <v>69.724329999999995</v>
      </c>
      <c r="J1641">
        <v>-191.9195</v>
      </c>
      <c r="K1641">
        <v>1.1101920000000001</v>
      </c>
      <c r="L1641">
        <v>311.6456</v>
      </c>
      <c r="M1641">
        <v>7.0180769999999995E-4</v>
      </c>
      <c r="N1641">
        <v>-1.183421E-2</v>
      </c>
      <c r="O1641">
        <v>-0.99992999999999999</v>
      </c>
      <c r="P1641">
        <v>6.2668669999999996E-2</v>
      </c>
      <c r="Q1641">
        <v>0.18643570000000001</v>
      </c>
      <c r="R1641">
        <v>-0.98046699999999998</v>
      </c>
      <c r="S1641">
        <v>-0.24662780000000001</v>
      </c>
      <c r="T1641">
        <v>2.286243E-2</v>
      </c>
      <c r="U1641">
        <v>-3.071472</v>
      </c>
      <c r="V1641">
        <v>-6.1778420000000001E-2</v>
      </c>
      <c r="W1641">
        <v>0.1980894</v>
      </c>
      <c r="X1641">
        <v>0.97823510000000002</v>
      </c>
      <c r="Y1641">
        <v>8.0721319999999999E-2</v>
      </c>
      <c r="Z1641">
        <v>-1.925288E-2</v>
      </c>
      <c r="AA1641">
        <v>0.99655070000000001</v>
      </c>
      <c r="AB1641">
        <v>19</v>
      </c>
      <c r="AC1641">
        <v>-19.440100000000001</v>
      </c>
      <c r="AD1641">
        <v>1.802157</v>
      </c>
      <c r="AE1641">
        <v>-241.92126999999999</v>
      </c>
      <c r="AF1641">
        <v>19.608808098192199</v>
      </c>
      <c r="AG1641">
        <v>1.802157</v>
      </c>
      <c r="AH1641">
        <v>241.89422896973201</v>
      </c>
      <c r="AI1641">
        <v>89.574539257435504</v>
      </c>
      <c r="AJ1641">
        <v>85.365533724396698</v>
      </c>
      <c r="AK1641">
        <v>242.69439864518</v>
      </c>
      <c r="AL1641">
        <v>78.574744852840396</v>
      </c>
      <c r="AM1641">
        <v>93.613597844013498</v>
      </c>
      <c r="AN1641">
        <v>0.99999994722103103</v>
      </c>
    </row>
    <row r="1642" spans="1:40" x14ac:dyDescent="0.25">
      <c r="A1642" t="str">
        <f>"20190304155045640"</f>
        <v>20190304155045640</v>
      </c>
      <c r="B1642" t="str">
        <f>"1551685845637821"</f>
        <v>1551685845637821</v>
      </c>
      <c r="C1642" t="s">
        <v>40</v>
      </c>
      <c r="D1642">
        <v>4.3470219999999999</v>
      </c>
      <c r="E1642">
        <v>0.552033</v>
      </c>
      <c r="F1642" t="s">
        <v>59</v>
      </c>
      <c r="G1642">
        <v>-211.3596</v>
      </c>
      <c r="H1642">
        <v>2.8274970000000001</v>
      </c>
      <c r="I1642">
        <v>70.249650000000003</v>
      </c>
      <c r="J1642">
        <v>-191.9203</v>
      </c>
      <c r="K1642">
        <v>1.1101970000000001</v>
      </c>
      <c r="L1642">
        <v>311.46379999999999</v>
      </c>
      <c r="M1642" s="1">
        <v>-8.0260310000000002E-5</v>
      </c>
      <c r="N1642">
        <v>-1.183415E-2</v>
      </c>
      <c r="O1642">
        <v>-0.99993019999999999</v>
      </c>
      <c r="P1642">
        <v>6.24363E-2</v>
      </c>
      <c r="Q1642">
        <v>0.18660879999999999</v>
      </c>
      <c r="R1642">
        <v>-0.9804486</v>
      </c>
      <c r="S1642">
        <v>-0.24734500000000001</v>
      </c>
      <c r="T1642">
        <v>2.1850229999999998E-2</v>
      </c>
      <c r="U1642">
        <v>-3.0713810000000001</v>
      </c>
      <c r="V1642">
        <v>-6.2312609999999997E-2</v>
      </c>
      <c r="W1642">
        <v>0.19826240000000001</v>
      </c>
      <c r="X1642">
        <v>0.97816619999999999</v>
      </c>
      <c r="Y1642">
        <v>8.0175670000000004E-2</v>
      </c>
      <c r="Z1642">
        <v>-1.8924340000000001E-2</v>
      </c>
      <c r="AA1642">
        <v>0.99660110000000002</v>
      </c>
      <c r="AB1642">
        <v>19</v>
      </c>
      <c r="AC1642">
        <v>-19.439299999999999</v>
      </c>
      <c r="AD1642">
        <v>1.7173</v>
      </c>
      <c r="AE1642">
        <v>-241.21414999999999</v>
      </c>
      <c r="AF1642">
        <v>19.4189607481546</v>
      </c>
      <c r="AG1642">
        <v>1.7173</v>
      </c>
      <c r="AH1642">
        <v>241.20356281594701</v>
      </c>
      <c r="AI1642">
        <v>89.593392986160694</v>
      </c>
      <c r="AJ1642">
        <v>85.397124690311003</v>
      </c>
      <c r="AK1642">
        <v>241.990090439536</v>
      </c>
      <c r="AL1642">
        <v>78.564632464557704</v>
      </c>
      <c r="AM1642">
        <v>93.645016327011206</v>
      </c>
      <c r="AN1642">
        <v>0.999999977720605</v>
      </c>
    </row>
    <row r="1643" spans="1:40" x14ac:dyDescent="0.25">
      <c r="A1643" t="str">
        <f>"20190304155045664"</f>
        <v>20190304155045664</v>
      </c>
      <c r="B1643" t="str">
        <f>"1551685845658317"</f>
        <v>1551685845658317</v>
      </c>
      <c r="C1643" t="s">
        <v>40</v>
      </c>
      <c r="D1643">
        <v>4.4527279999999996</v>
      </c>
      <c r="E1643">
        <v>0.53357589999999999</v>
      </c>
      <c r="F1643" t="s">
        <v>59</v>
      </c>
      <c r="G1643">
        <v>-211.3596</v>
      </c>
      <c r="H1643">
        <v>2.9010050000000001</v>
      </c>
      <c r="I1643">
        <v>70.074650000000005</v>
      </c>
      <c r="J1643">
        <v>-191.9213</v>
      </c>
      <c r="K1643">
        <v>1.1101989999999999</v>
      </c>
      <c r="L1643">
        <v>311.26979999999998</v>
      </c>
      <c r="M1643">
        <v>-9.1449309999999998E-4</v>
      </c>
      <c r="N1643">
        <v>-1.18341E-2</v>
      </c>
      <c r="O1643">
        <v>-0.99992999999999999</v>
      </c>
      <c r="P1643">
        <v>6.2186829999999998E-2</v>
      </c>
      <c r="Q1643">
        <v>0.18765029999999999</v>
      </c>
      <c r="R1643">
        <v>-0.98026590000000002</v>
      </c>
      <c r="S1643">
        <v>-0.24732970000000001</v>
      </c>
      <c r="T1643">
        <v>2.2784950000000002E-2</v>
      </c>
      <c r="U1643">
        <v>-3.0712280000000001</v>
      </c>
      <c r="V1643">
        <v>-6.2880249999999999E-2</v>
      </c>
      <c r="W1643">
        <v>0.19930120000000001</v>
      </c>
      <c r="X1643">
        <v>0.97791870000000003</v>
      </c>
      <c r="Y1643">
        <v>7.9342789999999996E-2</v>
      </c>
      <c r="Z1643">
        <v>-1.922778E-2</v>
      </c>
      <c r="AA1643">
        <v>0.99666200000000005</v>
      </c>
      <c r="AB1643">
        <v>19</v>
      </c>
      <c r="AC1643">
        <v>-19.438300000000002</v>
      </c>
      <c r="AD1643">
        <v>1.7908059999999999</v>
      </c>
      <c r="AE1643">
        <v>-241.19515000000001</v>
      </c>
      <c r="AF1643">
        <v>19.216652711933499</v>
      </c>
      <c r="AG1643">
        <v>1.7908059999999999</v>
      </c>
      <c r="AH1643">
        <v>241.19961588611599</v>
      </c>
      <c r="AI1643">
        <v>89.575954316052005</v>
      </c>
      <c r="AJ1643">
        <v>85.444800669114997</v>
      </c>
      <c r="AK1643">
        <v>241.97053835372401</v>
      </c>
      <c r="AL1643">
        <v>78.503901194886794</v>
      </c>
      <c r="AM1643">
        <v>93.679058390925206</v>
      </c>
      <c r="AN1643">
        <v>0.99999993898559403</v>
      </c>
    </row>
    <row r="1644" spans="1:40" x14ac:dyDescent="0.25">
      <c r="A1644" t="str">
        <f>"20190304155045686"</f>
        <v>20190304155045686</v>
      </c>
      <c r="B1644" t="str">
        <f>"1551685845677837"</f>
        <v>1551685845677837</v>
      </c>
      <c r="C1644" t="s">
        <v>40</v>
      </c>
      <c r="D1644">
        <v>4.4013819999999999</v>
      </c>
      <c r="E1644">
        <v>0.47851060000000001</v>
      </c>
      <c r="F1644" t="s">
        <v>44</v>
      </c>
      <c r="G1644">
        <v>-202.40270000000001</v>
      </c>
      <c r="H1644">
        <v>9.0610029999999995</v>
      </c>
      <c r="I1644">
        <v>-10.69407</v>
      </c>
      <c r="J1644">
        <v>-191.92240000000001</v>
      </c>
      <c r="K1644">
        <v>1.1102019999999999</v>
      </c>
      <c r="L1644">
        <v>311.0831</v>
      </c>
      <c r="M1644">
        <v>-1.71717299999999E-3</v>
      </c>
      <c r="N1644">
        <v>-1.183406E-2</v>
      </c>
      <c r="O1644">
        <v>-0.9999285</v>
      </c>
      <c r="P1644">
        <v>6.211299E-2</v>
      </c>
      <c r="Q1644">
        <v>0.18777530000000001</v>
      </c>
      <c r="R1644">
        <v>-0.98024619999999996</v>
      </c>
      <c r="S1644">
        <v>-9.9365229999999999E-2</v>
      </c>
      <c r="T1644">
        <v>7.5375079999999997E-2</v>
      </c>
      <c r="U1644">
        <v>-3.0522770000000001</v>
      </c>
      <c r="V1644">
        <v>-6.3592960000000004E-2</v>
      </c>
      <c r="W1644">
        <v>0.19942650000000001</v>
      </c>
      <c r="X1644">
        <v>0.97784720000000003</v>
      </c>
      <c r="Y1644">
        <v>3.0801459999999999E-2</v>
      </c>
      <c r="Z1644">
        <v>-3.6503140000000003E-2</v>
      </c>
      <c r="AA1644">
        <v>0.99885869999999999</v>
      </c>
      <c r="AB1644">
        <v>19</v>
      </c>
      <c r="AC1644">
        <v>-10.4803</v>
      </c>
      <c r="AD1644">
        <v>7.9508009999999896</v>
      </c>
      <c r="AE1644">
        <v>-321.77717000000001</v>
      </c>
      <c r="AF1644">
        <v>9.9216476783091991</v>
      </c>
      <c r="AG1644">
        <v>7.9508009999999896</v>
      </c>
      <c r="AH1644">
        <v>321.598553828256</v>
      </c>
      <c r="AI1644">
        <v>88.584452410202601</v>
      </c>
      <c r="AJ1644">
        <v>88.232926484184105</v>
      </c>
      <c r="AK1644">
        <v>321.849785076236</v>
      </c>
      <c r="AL1644">
        <v>78.496576490836901</v>
      </c>
      <c r="AM1644">
        <v>93.720913127676695</v>
      </c>
      <c r="AN1644">
        <v>1.00000007000582</v>
      </c>
    </row>
    <row r="1645" spans="1:40" x14ac:dyDescent="0.25">
      <c r="A1645" t="str">
        <f>"20190304155045709"</f>
        <v>20190304155045709</v>
      </c>
      <c r="B1645" t="str">
        <f>"1551685845698337"</f>
        <v>1551685845698337</v>
      </c>
      <c r="C1645" t="s">
        <v>40</v>
      </c>
      <c r="D1645">
        <v>4.4035149999999996</v>
      </c>
      <c r="E1645">
        <v>0.47554800000000003</v>
      </c>
      <c r="F1645" t="s">
        <v>62</v>
      </c>
      <c r="G1645">
        <v>-182.8717</v>
      </c>
      <c r="H1645" s="1">
        <v>3.3733979999999899E-7</v>
      </c>
      <c r="I1645">
        <v>228.66200000000001</v>
      </c>
      <c r="J1645">
        <v>-191.9237</v>
      </c>
      <c r="K1645">
        <v>1.1102000000000001</v>
      </c>
      <c r="L1645">
        <v>310.90100000000001</v>
      </c>
      <c r="M1645">
        <v>-2.500155E-3</v>
      </c>
      <c r="N1645">
        <v>-1.1834020000000001E-2</v>
      </c>
      <c r="O1645">
        <v>-0.99992700000000001</v>
      </c>
      <c r="P1645">
        <v>6.2140859999999999E-2</v>
      </c>
      <c r="Q1645">
        <v>0.18721170000000001</v>
      </c>
      <c r="R1645">
        <v>-0.98035240000000001</v>
      </c>
      <c r="S1645">
        <v>0.33461000000000002</v>
      </c>
      <c r="T1645">
        <v>-4.1044709999999998E-2</v>
      </c>
      <c r="U1645">
        <v>-3.0471499999999998</v>
      </c>
      <c r="V1645">
        <v>-6.4388920000000002E-2</v>
      </c>
      <c r="W1645">
        <v>0.19886390000000001</v>
      </c>
      <c r="X1645">
        <v>0.97790960000000005</v>
      </c>
      <c r="Y1645">
        <v>-0.111623</v>
      </c>
      <c r="Z1645">
        <v>1.550764E-3</v>
      </c>
      <c r="AA1645">
        <v>0.9937494</v>
      </c>
      <c r="AB1645">
        <v>19</v>
      </c>
      <c r="AC1645">
        <v>9.0519999999999907</v>
      </c>
      <c r="AD1645">
        <v>-1.1101996626602</v>
      </c>
      <c r="AE1645">
        <v>-82.238999999999905</v>
      </c>
      <c r="AF1645">
        <v>-9.2559296998670195</v>
      </c>
      <c r="AG1645">
        <v>-1.1101996626602</v>
      </c>
      <c r="AH1645">
        <v>82.201308806146997</v>
      </c>
      <c r="AI1645">
        <v>90.768923315982804</v>
      </c>
      <c r="AJ1645">
        <v>96.424487536653501</v>
      </c>
      <c r="AK1645">
        <v>82.728229446443393</v>
      </c>
      <c r="AL1645">
        <v>78.529468959609602</v>
      </c>
      <c r="AM1645">
        <v>93.767112866373694</v>
      </c>
      <c r="AN1645">
        <v>0.99999998475706797</v>
      </c>
    </row>
    <row r="1646" spans="1:40" x14ac:dyDescent="0.25">
      <c r="A1646" t="str">
        <f>"20190304155045731"</f>
        <v>20190304155045731</v>
      </c>
      <c r="B1646" t="str">
        <f>"1551685845727613"</f>
        <v>1551685845727613</v>
      </c>
      <c r="C1646" t="s">
        <v>40</v>
      </c>
      <c r="D1646">
        <v>4.364509</v>
      </c>
      <c r="E1646">
        <v>0.47385359999999999</v>
      </c>
      <c r="F1646" t="s">
        <v>41</v>
      </c>
      <c r="G1646">
        <v>-182.8647</v>
      </c>
      <c r="H1646" s="1">
        <v>-3.5065429999999999E-6</v>
      </c>
      <c r="I1646">
        <v>233.83179999999999</v>
      </c>
      <c r="J1646">
        <v>-191.92509999999999</v>
      </c>
      <c r="K1646">
        <v>1.11019</v>
      </c>
      <c r="L1646">
        <v>310.71140000000003</v>
      </c>
      <c r="M1646">
        <v>-3.3149500000000001E-3</v>
      </c>
      <c r="N1646">
        <v>-1.183387E-2</v>
      </c>
      <c r="O1646">
        <v>-0.9999247</v>
      </c>
      <c r="P1646">
        <v>6.1601589999999998E-2</v>
      </c>
      <c r="Q1646">
        <v>0.1876572</v>
      </c>
      <c r="R1646">
        <v>-0.98030110000000004</v>
      </c>
      <c r="S1646">
        <v>0.35801699999999997</v>
      </c>
      <c r="T1646">
        <v>-4.3875690000000002E-2</v>
      </c>
      <c r="U1646">
        <v>-3.0458069999999999</v>
      </c>
      <c r="V1646">
        <v>-6.4648289999999997E-2</v>
      </c>
      <c r="W1646">
        <v>0.19930870000000001</v>
      </c>
      <c r="X1646">
        <v>0.9778019</v>
      </c>
      <c r="Y1646">
        <v>-0.1200135</v>
      </c>
      <c r="Z1646">
        <v>2.4664439999999999E-3</v>
      </c>
      <c r="AA1646">
        <v>0.99276920000000002</v>
      </c>
      <c r="AB1646">
        <v>19</v>
      </c>
      <c r="AC1646">
        <v>9.06039999999998</v>
      </c>
      <c r="AD1646">
        <v>-1.110193506543</v>
      </c>
      <c r="AE1646">
        <v>-76.879599999999996</v>
      </c>
      <c r="AF1646">
        <v>-9.3133045042683307</v>
      </c>
      <c r="AG1646">
        <v>-1.110193506543</v>
      </c>
      <c r="AH1646">
        <v>76.833337846181806</v>
      </c>
      <c r="AI1646">
        <v>90.821815853134694</v>
      </c>
      <c r="AJ1646">
        <v>96.911353998163193</v>
      </c>
      <c r="AK1646">
        <v>77.403694840729102</v>
      </c>
      <c r="AL1646">
        <v>78.503462894192097</v>
      </c>
      <c r="AM1646">
        <v>93.782658894066898</v>
      </c>
      <c r="AN1646">
        <v>0.99999995746961101</v>
      </c>
    </row>
    <row r="1647" spans="1:40" x14ac:dyDescent="0.25">
      <c r="A1647" t="str">
        <f>"20190304155045752"</f>
        <v>20190304155045752</v>
      </c>
      <c r="B1647" t="str">
        <f>"1551685845748109"</f>
        <v>1551685845748109</v>
      </c>
      <c r="C1647" t="s">
        <v>40</v>
      </c>
      <c r="D1647">
        <v>4.3419939999999997</v>
      </c>
      <c r="E1647">
        <v>0.47343220000000003</v>
      </c>
      <c r="F1647" t="s">
        <v>41</v>
      </c>
      <c r="G1647">
        <v>-182.8937</v>
      </c>
      <c r="H1647" s="1">
        <v>-4.4255479999999999E-6</v>
      </c>
      <c r="I1647">
        <v>236.245</v>
      </c>
      <c r="J1647">
        <v>-191.92670000000001</v>
      </c>
      <c r="K1647">
        <v>1.1101909999999999</v>
      </c>
      <c r="L1647">
        <v>310.53519999999997</v>
      </c>
      <c r="M1647">
        <v>-4.071936E-3</v>
      </c>
      <c r="N1647">
        <v>-1.183384E-2</v>
      </c>
      <c r="O1647">
        <v>-0.99992179999999997</v>
      </c>
      <c r="P1647">
        <v>6.0374079999999997E-2</v>
      </c>
      <c r="Q1647">
        <v>0.18755340000000001</v>
      </c>
      <c r="R1647">
        <v>-0.98039759999999998</v>
      </c>
      <c r="S1647">
        <v>0.36940000000000001</v>
      </c>
      <c r="T1647">
        <v>-4.5408490000000003E-2</v>
      </c>
      <c r="U1647">
        <v>-3.045776</v>
      </c>
      <c r="V1647">
        <v>-6.4163360000000003E-2</v>
      </c>
      <c r="W1647">
        <v>0.19920450000000001</v>
      </c>
      <c r="X1647">
        <v>0.97785509999999998</v>
      </c>
      <c r="Y1647">
        <v>-0.124422</v>
      </c>
      <c r="Z1647">
        <v>2.9582330000000002E-3</v>
      </c>
      <c r="AA1647">
        <v>0.99222500000000002</v>
      </c>
      <c r="AB1647">
        <v>19</v>
      </c>
      <c r="AC1647">
        <v>9.0330000000000101</v>
      </c>
      <c r="AD1647">
        <v>-1.110195425548</v>
      </c>
      <c r="AE1647">
        <v>-74.290199999999899</v>
      </c>
      <c r="AF1647">
        <v>-9.3333971852769402</v>
      </c>
      <c r="AG1647">
        <v>-1.110195425548</v>
      </c>
      <c r="AH1647">
        <v>74.236462387096694</v>
      </c>
      <c r="AI1647">
        <v>90.850094805973299</v>
      </c>
      <c r="AJ1647">
        <v>97.1659267040597</v>
      </c>
      <c r="AK1647">
        <v>74.829119897616494</v>
      </c>
      <c r="AL1647">
        <v>78.509555581651298</v>
      </c>
      <c r="AM1647">
        <v>93.7541627666496</v>
      </c>
      <c r="AN1647">
        <v>0.99999998309137395</v>
      </c>
    </row>
    <row r="1648" spans="1:40" x14ac:dyDescent="0.25">
      <c r="A1648" t="str">
        <f>"20190304155045774"</f>
        <v>20190304155045774</v>
      </c>
      <c r="B1648" t="str">
        <f>"1551685845767629"</f>
        <v>1551685845767629</v>
      </c>
      <c r="C1648" t="s">
        <v>40</v>
      </c>
      <c r="D1648">
        <v>4.3429820000000001</v>
      </c>
      <c r="E1648">
        <v>0.47302539999999998</v>
      </c>
      <c r="F1648" t="s">
        <v>41</v>
      </c>
      <c r="G1648">
        <v>-183.02879999999999</v>
      </c>
      <c r="H1648" s="1">
        <v>-4.7831239999999998E-6</v>
      </c>
      <c r="I1648">
        <v>237.13390000000001</v>
      </c>
      <c r="J1648">
        <v>-191.92840000000001</v>
      </c>
      <c r="K1648">
        <v>1.110193</v>
      </c>
      <c r="L1648">
        <v>310.34879999999998</v>
      </c>
      <c r="M1648">
        <v>-4.8737030000000001E-3</v>
      </c>
      <c r="N1648">
        <v>-1.1833979999999999E-2</v>
      </c>
      <c r="O1648">
        <v>-0.99991799999999997</v>
      </c>
      <c r="P1648">
        <v>5.9144290000000002E-2</v>
      </c>
      <c r="Q1648">
        <v>0.1874663</v>
      </c>
      <c r="R1648">
        <v>-0.98048880000000005</v>
      </c>
      <c r="S1648">
        <v>0.3692474</v>
      </c>
      <c r="T1648">
        <v>-4.6071529999999999E-2</v>
      </c>
      <c r="U1648">
        <v>-3.0460509999999998</v>
      </c>
      <c r="V1648">
        <v>-6.3719659999999997E-2</v>
      </c>
      <c r="W1648">
        <v>0.19911809999999999</v>
      </c>
      <c r="X1648">
        <v>0.97790180000000004</v>
      </c>
      <c r="Y1648">
        <v>-0.1251575</v>
      </c>
      <c r="Z1648">
        <v>3.1714529999999999E-3</v>
      </c>
      <c r="AA1648">
        <v>0.99213180000000001</v>
      </c>
      <c r="AB1648">
        <v>19</v>
      </c>
      <c r="AC1648">
        <v>8.8996000000000102</v>
      </c>
      <c r="AD1648">
        <v>-1.110197783124</v>
      </c>
      <c r="AE1648">
        <v>-73.214899999999901</v>
      </c>
      <c r="AF1648">
        <v>-9.2542501124096894</v>
      </c>
      <c r="AG1648">
        <v>-1.110197783124</v>
      </c>
      <c r="AH1648">
        <v>73.154077646871201</v>
      </c>
      <c r="AI1648">
        <v>90.862589385150002</v>
      </c>
      <c r="AJ1648">
        <v>97.209822009507704</v>
      </c>
      <c r="AK1648">
        <v>73.745459254283205</v>
      </c>
      <c r="AL1648">
        <v>78.514608167039796</v>
      </c>
      <c r="AM1648">
        <v>93.728098055144301</v>
      </c>
      <c r="AN1648">
        <v>1.0000000716306801</v>
      </c>
    </row>
    <row r="1649" spans="1:40" x14ac:dyDescent="0.25">
      <c r="A1649" t="str">
        <f>"20190304155045797"</f>
        <v>20190304155045797</v>
      </c>
      <c r="B1649" t="str">
        <f>"1551685845788138"</f>
        <v>1551685845788138</v>
      </c>
      <c r="C1649" t="s">
        <v>40</v>
      </c>
      <c r="D1649">
        <v>4.3310690000000003</v>
      </c>
      <c r="E1649">
        <v>0.47267369999999997</v>
      </c>
      <c r="F1649" t="s">
        <v>41</v>
      </c>
      <c r="G1649">
        <v>-183.04599999999999</v>
      </c>
      <c r="H1649" s="1">
        <v>-4.6863929999999997E-6</v>
      </c>
      <c r="I1649">
        <v>236.9357</v>
      </c>
      <c r="J1649">
        <v>-191.93029999999999</v>
      </c>
      <c r="K1649">
        <v>1.11019</v>
      </c>
      <c r="L1649">
        <v>310.15249999999997</v>
      </c>
      <c r="M1649">
        <v>-5.7173519999999898E-3</v>
      </c>
      <c r="N1649">
        <v>-1.18341E-2</v>
      </c>
      <c r="O1649">
        <v>-0.99991390000000002</v>
      </c>
      <c r="P1649">
        <v>5.8060960000000002E-2</v>
      </c>
      <c r="Q1649">
        <v>0.18710589999999999</v>
      </c>
      <c r="R1649">
        <v>-0.98062280000000002</v>
      </c>
      <c r="S1649">
        <v>0.36857600000000001</v>
      </c>
      <c r="T1649">
        <v>-4.6067950000000003E-2</v>
      </c>
      <c r="U1649">
        <v>-3.0462950000000002</v>
      </c>
      <c r="V1649">
        <v>-6.3464199999999998E-2</v>
      </c>
      <c r="W1649">
        <v>0.1987582</v>
      </c>
      <c r="X1649">
        <v>0.97799150000000001</v>
      </c>
      <c r="Y1649">
        <v>-0.12576950000000001</v>
      </c>
      <c r="Z1649">
        <v>3.1678959999999999E-3</v>
      </c>
      <c r="AA1649">
        <v>0.99205449999999995</v>
      </c>
      <c r="AB1649">
        <v>19</v>
      </c>
      <c r="AC1649">
        <v>8.8842999999999908</v>
      </c>
      <c r="AD1649">
        <v>-1.1101946863929999</v>
      </c>
      <c r="AE1649">
        <v>-73.216799999999907</v>
      </c>
      <c r="AF1649">
        <v>-9.3006828085601292</v>
      </c>
      <c r="AG1649">
        <v>-1.1101946863929999</v>
      </c>
      <c r="AH1649">
        <v>73.148230744862701</v>
      </c>
      <c r="AI1649">
        <v>90.862586492454298</v>
      </c>
      <c r="AJ1649">
        <v>97.246186401977695</v>
      </c>
      <c r="AK1649">
        <v>73.745500839378806</v>
      </c>
      <c r="AL1649">
        <v>78.535648081085697</v>
      </c>
      <c r="AM1649">
        <v>93.712853931249498</v>
      </c>
      <c r="AN1649">
        <v>0.999999950410563</v>
      </c>
    </row>
    <row r="1650" spans="1:40" x14ac:dyDescent="0.25">
      <c r="A1650" t="str">
        <f>"20190304155045820"</f>
        <v>20190304155045820</v>
      </c>
      <c r="B1650" t="str">
        <f>"1551685845807648"</f>
        <v>1551685845807648</v>
      </c>
      <c r="C1650" t="s">
        <v>40</v>
      </c>
      <c r="D1650">
        <v>4.3496819999999996</v>
      </c>
      <c r="E1650">
        <v>0.47242600000000001</v>
      </c>
      <c r="F1650" t="s">
        <v>41</v>
      </c>
      <c r="G1650">
        <v>-183.48050000000001</v>
      </c>
      <c r="H1650" s="1">
        <v>-1.9256470000000001E-6</v>
      </c>
      <c r="I1650">
        <v>240.14179999999999</v>
      </c>
      <c r="J1650">
        <v>-191.9323</v>
      </c>
      <c r="K1650">
        <v>1.1101859999999999</v>
      </c>
      <c r="L1650">
        <v>309.96899999999999</v>
      </c>
      <c r="M1650">
        <v>-6.5062690000000003E-3</v>
      </c>
      <c r="N1650">
        <v>-1.183416E-2</v>
      </c>
      <c r="O1650">
        <v>-0.99990889999999999</v>
      </c>
      <c r="P1650">
        <v>5.7194740000000001E-2</v>
      </c>
      <c r="Q1650">
        <v>0.18738469999999999</v>
      </c>
      <c r="R1650">
        <v>-0.98062009999999999</v>
      </c>
      <c r="S1650">
        <v>0.36772159999999998</v>
      </c>
      <c r="T1650">
        <v>-4.8313740000000001E-2</v>
      </c>
      <c r="U1650">
        <v>-3.0467529999999998</v>
      </c>
      <c r="V1650">
        <v>-6.3370999999999997E-2</v>
      </c>
      <c r="W1650">
        <v>0.19903670000000001</v>
      </c>
      <c r="X1650">
        <v>0.9779409</v>
      </c>
      <c r="Y1650">
        <v>-0.12625929999999999</v>
      </c>
      <c r="Z1650">
        <v>3.8960209999999999E-3</v>
      </c>
      <c r="AA1650">
        <v>0.99198960000000003</v>
      </c>
      <c r="AB1650">
        <v>19</v>
      </c>
      <c r="AC1650">
        <v>8.4517999999999898</v>
      </c>
      <c r="AD1650">
        <v>-1.110187925647</v>
      </c>
      <c r="AE1650">
        <v>-69.827200000000005</v>
      </c>
      <c r="AF1650">
        <v>-8.9037492069203896</v>
      </c>
      <c r="AG1650">
        <v>-1.110187925647</v>
      </c>
      <c r="AH1650">
        <v>69.753350597284197</v>
      </c>
      <c r="AI1650">
        <v>90.904499631878096</v>
      </c>
      <c r="AJ1650">
        <v>97.274250189198099</v>
      </c>
      <c r="AK1650">
        <v>70.328082489981497</v>
      </c>
      <c r="AL1650">
        <v>78.519365861423694</v>
      </c>
      <c r="AM1650">
        <v>93.707607949831399</v>
      </c>
      <c r="AN1650">
        <v>0.99999994774034795</v>
      </c>
    </row>
    <row r="1651" spans="1:40" x14ac:dyDescent="0.25">
      <c r="A1651" t="str">
        <f>"20190304155045841"</f>
        <v>20190304155045841</v>
      </c>
      <c r="B1651" t="str">
        <f>"1551685845837900"</f>
        <v>1551685845837900</v>
      </c>
      <c r="C1651" t="s">
        <v>40</v>
      </c>
      <c r="D1651">
        <v>4.3422669999999997</v>
      </c>
      <c r="E1651">
        <v>0.47197739999999999</v>
      </c>
      <c r="F1651" t="s">
        <v>41</v>
      </c>
      <c r="G1651">
        <v>-183.67750000000001</v>
      </c>
      <c r="H1651" s="1">
        <v>-2.3108380000000002E-6</v>
      </c>
      <c r="I1651">
        <v>241.28129999999999</v>
      </c>
      <c r="J1651">
        <v>-191.93440000000001</v>
      </c>
      <c r="K1651">
        <v>1.1101859999999999</v>
      </c>
      <c r="L1651">
        <v>309.79289999999997</v>
      </c>
      <c r="M1651">
        <v>-7.2633109999999997E-3</v>
      </c>
      <c r="N1651">
        <v>-1.1834219999999999E-2</v>
      </c>
      <c r="O1651">
        <v>-0.99990369999999995</v>
      </c>
      <c r="P1651">
        <v>5.6260379999999999E-2</v>
      </c>
      <c r="Q1651">
        <v>0.18765609999999999</v>
      </c>
      <c r="R1651">
        <v>-0.9806222</v>
      </c>
      <c r="S1651">
        <v>0.3662262</v>
      </c>
      <c r="T1651">
        <v>-4.9253579999999998E-2</v>
      </c>
      <c r="U1651">
        <v>-3.0473330000000001</v>
      </c>
      <c r="V1651">
        <v>-6.3178599999999904E-2</v>
      </c>
      <c r="W1651">
        <v>0.19930729999999999</v>
      </c>
      <c r="X1651">
        <v>0.9778983</v>
      </c>
      <c r="Y1651">
        <v>-0.1265076</v>
      </c>
      <c r="Z1651">
        <v>4.1985379999999999E-3</v>
      </c>
      <c r="AA1651">
        <v>0.99195679999999997</v>
      </c>
      <c r="AB1651">
        <v>19</v>
      </c>
      <c r="AC1651">
        <v>8.2568999999999999</v>
      </c>
      <c r="AD1651">
        <v>-1.110188310838</v>
      </c>
      <c r="AE1651">
        <v>-68.511599999999902</v>
      </c>
      <c r="AF1651">
        <v>-8.7520727857484903</v>
      </c>
      <c r="AG1651">
        <v>-1.110188310838</v>
      </c>
      <c r="AH1651">
        <v>68.432104122502196</v>
      </c>
      <c r="AI1651">
        <v>90.921931761139206</v>
      </c>
      <c r="AJ1651">
        <v>97.288234997476806</v>
      </c>
      <c r="AK1651">
        <v>68.998436002314904</v>
      </c>
      <c r="AL1651">
        <v>78.503545365493395</v>
      </c>
      <c r="AM1651">
        <v>93.696543155427307</v>
      </c>
      <c r="AN1651">
        <v>1.0000000102370701</v>
      </c>
    </row>
    <row r="1652" spans="1:40" x14ac:dyDescent="0.25">
      <c r="A1652" t="str">
        <f>"20190304155045866"</f>
        <v>20190304155045866</v>
      </c>
      <c r="B1652" t="str">
        <f>"1551685845858397"</f>
        <v>1551685845858397</v>
      </c>
      <c r="C1652" t="s">
        <v>40</v>
      </c>
      <c r="D1652">
        <v>4.3840089999999998</v>
      </c>
      <c r="E1652">
        <v>0.4718408</v>
      </c>
      <c r="F1652" t="s">
        <v>41</v>
      </c>
      <c r="G1652">
        <v>-183.76240000000001</v>
      </c>
      <c r="H1652" s="1">
        <v>-2.5284860000000001E-6</v>
      </c>
      <c r="I1652">
        <v>241.90690000000001</v>
      </c>
      <c r="J1652">
        <v>-191.93690000000001</v>
      </c>
      <c r="K1652">
        <v>1.1102000000000001</v>
      </c>
      <c r="L1652">
        <v>309.59140000000002</v>
      </c>
      <c r="M1652">
        <v>-8.1292480000000004E-3</v>
      </c>
      <c r="N1652">
        <v>-1.183434E-2</v>
      </c>
      <c r="O1652">
        <v>-0.99989720000000004</v>
      </c>
      <c r="P1652">
        <v>5.4496040000000003E-2</v>
      </c>
      <c r="Q1652">
        <v>0.18849879999999999</v>
      </c>
      <c r="R1652">
        <v>-0.98056069999999995</v>
      </c>
      <c r="S1652">
        <v>0.36688229999999999</v>
      </c>
      <c r="T1652">
        <v>-4.9842240000000003E-2</v>
      </c>
      <c r="U1652">
        <v>-3.0477599999999998</v>
      </c>
      <c r="V1652">
        <v>-6.2261669999999998E-2</v>
      </c>
      <c r="W1652">
        <v>0.20014779999999999</v>
      </c>
      <c r="X1652">
        <v>0.97778540000000003</v>
      </c>
      <c r="Y1652">
        <v>-0.12756019999999901</v>
      </c>
      <c r="Z1652">
        <v>4.3857139999999998E-3</v>
      </c>
      <c r="AA1652">
        <v>0.99182110000000001</v>
      </c>
      <c r="AB1652">
        <v>19</v>
      </c>
      <c r="AC1652">
        <v>8.1744999999999894</v>
      </c>
      <c r="AD1652">
        <v>-1.110202528486</v>
      </c>
      <c r="AE1652">
        <v>-67.6845</v>
      </c>
      <c r="AF1652">
        <v>-8.7221793955203495</v>
      </c>
      <c r="AG1652">
        <v>-1.110202528486</v>
      </c>
      <c r="AH1652">
        <v>67.597880573072104</v>
      </c>
      <c r="AI1652">
        <v>90.933185273889805</v>
      </c>
      <c r="AJ1652">
        <v>97.352272831580194</v>
      </c>
      <c r="AK1652">
        <v>68.167311968664393</v>
      </c>
      <c r="AL1652">
        <v>78.454397578137801</v>
      </c>
      <c r="AM1652">
        <v>93.643459162154301</v>
      </c>
      <c r="AN1652">
        <v>0.99999997292459397</v>
      </c>
    </row>
    <row r="1653" spans="1:40" x14ac:dyDescent="0.25">
      <c r="A1653" t="str">
        <f>"20190304155045887"</f>
        <v>20190304155045887</v>
      </c>
      <c r="B1653" t="str">
        <f>"1551685845877917"</f>
        <v>1551685845877917</v>
      </c>
      <c r="C1653" t="s">
        <v>40</v>
      </c>
      <c r="D1653">
        <v>4.3852409999999997</v>
      </c>
      <c r="E1653">
        <v>0.47168019999999999</v>
      </c>
      <c r="F1653" t="s">
        <v>41</v>
      </c>
      <c r="G1653">
        <v>-183.6679</v>
      </c>
      <c r="H1653" s="1">
        <v>-1.9007850000000001E-6</v>
      </c>
      <c r="I1653">
        <v>240.20679999999999</v>
      </c>
      <c r="J1653">
        <v>-191.9393</v>
      </c>
      <c r="K1653">
        <v>1.1102000000000001</v>
      </c>
      <c r="L1653">
        <v>309.40839999999997</v>
      </c>
      <c r="M1653">
        <v>-8.9164029999999998E-3</v>
      </c>
      <c r="N1653">
        <v>-1.183446E-2</v>
      </c>
      <c r="O1653">
        <v>-0.99989030000000001</v>
      </c>
      <c r="P1653">
        <v>5.2845160000000002E-2</v>
      </c>
      <c r="Q1653">
        <v>0.18853890000000001</v>
      </c>
      <c r="R1653">
        <v>-0.98064300000000004</v>
      </c>
      <c r="S1653">
        <v>0.36332700000000001</v>
      </c>
      <c r="T1653">
        <v>-4.8780440000000001E-2</v>
      </c>
      <c r="U1653">
        <v>-3.048645</v>
      </c>
      <c r="V1653">
        <v>-6.1383189999999997E-2</v>
      </c>
      <c r="W1653">
        <v>0.200188</v>
      </c>
      <c r="X1653">
        <v>0.9778327</v>
      </c>
      <c r="Y1653">
        <v>-0.12716710000000001</v>
      </c>
      <c r="Z1653">
        <v>4.0362559999999898E-3</v>
      </c>
      <c r="AA1653">
        <v>0.99187309999999995</v>
      </c>
      <c r="AB1653">
        <v>19</v>
      </c>
      <c r="AC1653">
        <v>8.2713999999999999</v>
      </c>
      <c r="AD1653">
        <v>-1.1102019007849999</v>
      </c>
      <c r="AE1653">
        <v>-69.2015999999999</v>
      </c>
      <c r="AF1653">
        <v>-8.8858888451307596</v>
      </c>
      <c r="AG1653">
        <v>-1.1102019007849999</v>
      </c>
      <c r="AH1653">
        <v>69.1075561816629</v>
      </c>
      <c r="AI1653">
        <v>90.912854543454699</v>
      </c>
      <c r="AJ1653">
        <v>97.326921809602695</v>
      </c>
      <c r="AK1653">
        <v>69.685334829002699</v>
      </c>
      <c r="AL1653">
        <v>78.452046561848107</v>
      </c>
      <c r="AM1653">
        <v>93.592014093497795</v>
      </c>
      <c r="AN1653">
        <v>0.99999996027393201</v>
      </c>
    </row>
    <row r="1654" spans="1:40" x14ac:dyDescent="0.25">
      <c r="A1654" t="str">
        <f>"20190304155045910"</f>
        <v>20190304155045910</v>
      </c>
      <c r="B1654" t="str">
        <f>"1551685845898417"</f>
        <v>1551685845898417</v>
      </c>
      <c r="C1654" t="s">
        <v>40</v>
      </c>
      <c r="D1654">
        <v>4.474094</v>
      </c>
      <c r="E1654">
        <v>0.51472790000000002</v>
      </c>
      <c r="F1654" t="s">
        <v>41</v>
      </c>
      <c r="G1654">
        <v>-183.9119</v>
      </c>
      <c r="H1654" s="1">
        <v>-2.2653309999999999E-6</v>
      </c>
      <c r="I1654">
        <v>241.3252</v>
      </c>
      <c r="J1654">
        <v>-191.9419</v>
      </c>
      <c r="K1654">
        <v>1.110201</v>
      </c>
      <c r="L1654">
        <v>309.22629999999998</v>
      </c>
      <c r="M1654">
        <v>-9.6996700000000005E-3</v>
      </c>
      <c r="N1654">
        <v>-1.183472E-2</v>
      </c>
      <c r="O1654">
        <v>-0.99988290000000002</v>
      </c>
      <c r="P1654">
        <v>5.1605369999999998E-2</v>
      </c>
      <c r="Q1654">
        <v>0.18802389999999999</v>
      </c>
      <c r="R1654">
        <v>-0.98080800000000001</v>
      </c>
      <c r="S1654">
        <v>0.3595428</v>
      </c>
      <c r="T1654">
        <v>-4.9724820000000003E-2</v>
      </c>
      <c r="U1654">
        <v>-3.0493769999999998</v>
      </c>
      <c r="V1654">
        <v>-6.0913630000000003E-2</v>
      </c>
      <c r="W1654">
        <v>0.1996745</v>
      </c>
      <c r="X1654">
        <v>0.97796709999999998</v>
      </c>
      <c r="Y1654">
        <v>-0.12670190000000001</v>
      </c>
      <c r="Z1654">
        <v>4.3404649999999999E-3</v>
      </c>
      <c r="AA1654">
        <v>0.99193129999999996</v>
      </c>
      <c r="AB1654">
        <v>19</v>
      </c>
      <c r="AC1654">
        <v>8.0299999999999994</v>
      </c>
      <c r="AD1654">
        <v>-1.1102032653310001</v>
      </c>
      <c r="AE1654">
        <v>-67.9010999999999</v>
      </c>
      <c r="AF1654">
        <v>-8.6859965769992495</v>
      </c>
      <c r="AG1654">
        <v>-1.1102032653310001</v>
      </c>
      <c r="AH1654">
        <v>67.802135782136403</v>
      </c>
      <c r="AI1654">
        <v>90.930483671503495</v>
      </c>
      <c r="AJ1654">
        <v>97.300284891665797</v>
      </c>
      <c r="AK1654">
        <v>68.365259484955203</v>
      </c>
      <c r="AL1654">
        <v>78.482074816022703</v>
      </c>
      <c r="AM1654">
        <v>93.564118944744195</v>
      </c>
      <c r="AN1654">
        <v>1.0000000124762101</v>
      </c>
    </row>
    <row r="1655" spans="1:40" x14ac:dyDescent="0.25">
      <c r="A1655" t="str">
        <f>"20190304155046367"</f>
        <v>20190304155046367</v>
      </c>
      <c r="B1655" t="str">
        <f>"1551685846358113"</f>
        <v>1551685846358113</v>
      </c>
      <c r="C1655" t="s">
        <v>40</v>
      </c>
      <c r="D1655">
        <v>4.7330230000000002</v>
      </c>
      <c r="E1655">
        <v>0.61168540000000005</v>
      </c>
      <c r="F1655" t="s">
        <v>41</v>
      </c>
      <c r="G1655">
        <v>-191.6799</v>
      </c>
      <c r="H1655" s="1">
        <v>-1.3487060000000001E-6</v>
      </c>
      <c r="I1655">
        <v>241.4992</v>
      </c>
      <c r="J1655">
        <v>-192.04949999999999</v>
      </c>
      <c r="K1655">
        <v>1.109329</v>
      </c>
      <c r="L1655">
        <v>305.39550000000003</v>
      </c>
      <c r="M1655">
        <v>-3.6872910000000002E-2</v>
      </c>
      <c r="N1655">
        <v>-1.1860849999999999E-2</v>
      </c>
      <c r="O1655">
        <v>-0.99924959999999996</v>
      </c>
      <c r="P1655">
        <v>-1.5842720000000001E-2</v>
      </c>
      <c r="Q1655">
        <v>0.18256320000000001</v>
      </c>
      <c r="R1655">
        <v>-0.98306669999999996</v>
      </c>
      <c r="S1655">
        <v>1.1871339999999999E-2</v>
      </c>
      <c r="T1655">
        <v>-5.028701E-2</v>
      </c>
      <c r="U1655">
        <v>-3.0677189999999999</v>
      </c>
      <c r="V1655">
        <v>-1.9818550000000001E-2</v>
      </c>
      <c r="W1655">
        <v>0.19427169999999999</v>
      </c>
      <c r="X1655">
        <v>0.98074749999999999</v>
      </c>
      <c r="Y1655">
        <v>-4.0735460000000001E-2</v>
      </c>
      <c r="Z1655">
        <v>4.5052690000000001E-3</v>
      </c>
      <c r="AA1655">
        <v>0.99915980000000004</v>
      </c>
      <c r="AB1655">
        <v>19</v>
      </c>
      <c r="AC1655">
        <v>0.36959999999999099</v>
      </c>
      <c r="AD1655">
        <v>-1.109330348706</v>
      </c>
      <c r="AE1655">
        <v>-63.896299999999997</v>
      </c>
      <c r="AF1655">
        <v>-2.7247355602968999</v>
      </c>
      <c r="AG1655">
        <v>-1.109330348706</v>
      </c>
      <c r="AH1655">
        <v>63.819976955790104</v>
      </c>
      <c r="AI1655">
        <v>90.994919120783294</v>
      </c>
      <c r="AJ1655">
        <v>92.4447062461646</v>
      </c>
      <c r="AK1655">
        <v>63.887747309900398</v>
      </c>
      <c r="AL1655">
        <v>78.797818104895001</v>
      </c>
      <c r="AM1655">
        <v>91.157652450785605</v>
      </c>
      <c r="AN1655">
        <v>0.99999996355062004</v>
      </c>
    </row>
    <row r="1656" spans="1:40" x14ac:dyDescent="0.25">
      <c r="A1656" t="str">
        <f>"20190304155047675"</f>
        <v>20190304155047675</v>
      </c>
      <c r="B1656" t="str">
        <f>"1551685847668025"</f>
        <v>1551685847668025</v>
      </c>
      <c r="C1656" t="s">
        <v>40</v>
      </c>
      <c r="D1656">
        <v>4.8379009999999996</v>
      </c>
      <c r="E1656">
        <v>0.73988529999999997</v>
      </c>
      <c r="F1656" t="s">
        <v>68</v>
      </c>
      <c r="G1656">
        <v>-232.1463</v>
      </c>
      <c r="H1656">
        <v>2.500159</v>
      </c>
      <c r="I1656">
        <v>179.7688</v>
      </c>
      <c r="J1656">
        <v>-194.38030000000001</v>
      </c>
      <c r="K1656">
        <v>1.1035349999999999</v>
      </c>
      <c r="L1656">
        <v>294.02350000000001</v>
      </c>
      <c r="M1656">
        <v>-0.38381670000000001</v>
      </c>
      <c r="N1656">
        <v>-1.0491E-2</v>
      </c>
      <c r="O1656">
        <v>-0.92334970000000005</v>
      </c>
      <c r="P1656">
        <v>-0.43816070000000001</v>
      </c>
      <c r="Q1656">
        <v>0.16089870000000001</v>
      </c>
      <c r="R1656">
        <v>-0.88437949999999999</v>
      </c>
      <c r="S1656">
        <v>-0.96704100000000004</v>
      </c>
      <c r="T1656">
        <v>3.3544539999999998E-2</v>
      </c>
      <c r="U1656">
        <v>-3.0298159999999998</v>
      </c>
      <c r="V1656">
        <v>6.7904049999999994E-2</v>
      </c>
      <c r="W1656">
        <v>0.1701442</v>
      </c>
      <c r="X1656">
        <v>0.98307679999999997</v>
      </c>
      <c r="Y1656">
        <v>-8.4954459999999996E-2</v>
      </c>
      <c r="Z1656">
        <v>-1.9424219999999999E-2</v>
      </c>
      <c r="AA1656">
        <v>0.99619550000000001</v>
      </c>
      <c r="AB1656">
        <v>21</v>
      </c>
      <c r="AC1656">
        <v>-37.765999999999899</v>
      </c>
      <c r="AD1656">
        <v>1.3966240000000001</v>
      </c>
      <c r="AE1656">
        <v>-114.2547</v>
      </c>
      <c r="AF1656">
        <v>-8.9809217391105705</v>
      </c>
      <c r="AG1656">
        <v>1.3966240000000001</v>
      </c>
      <c r="AH1656">
        <v>119.982706852736</v>
      </c>
      <c r="AI1656">
        <v>89.334955451237903</v>
      </c>
      <c r="AJ1656">
        <v>94.280709574134093</v>
      </c>
      <c r="AK1656">
        <v>120.326462000638</v>
      </c>
      <c r="AL1656">
        <v>80.203796765042497</v>
      </c>
      <c r="AM1656">
        <v>86.048685460364993</v>
      </c>
      <c r="AN1656">
        <v>1.0000000017491399</v>
      </c>
    </row>
    <row r="1657" spans="1:40" x14ac:dyDescent="0.25">
      <c r="A1657" t="str">
        <f>"20190304155047699"</f>
        <v>20190304155047699</v>
      </c>
      <c r="B1657" t="str">
        <f>"1551685847688521"</f>
        <v>1551685847688521</v>
      </c>
      <c r="C1657" t="s">
        <v>40</v>
      </c>
      <c r="D1657">
        <v>4.9766329999999996</v>
      </c>
      <c r="E1657">
        <v>0.73643119999999995</v>
      </c>
      <c r="F1657" t="s">
        <v>69</v>
      </c>
      <c r="G1657">
        <v>-236.51400000000001</v>
      </c>
      <c r="H1657">
        <v>2.4298320000000002</v>
      </c>
      <c r="I1657">
        <v>268.85500000000002</v>
      </c>
      <c r="J1657">
        <v>-194.4804</v>
      </c>
      <c r="K1657">
        <v>1.1034469999999901</v>
      </c>
      <c r="L1657">
        <v>293.81990000000002</v>
      </c>
      <c r="M1657">
        <v>-0.39525579999999999</v>
      </c>
      <c r="N1657">
        <v>-1.052411E-2</v>
      </c>
      <c r="O1657">
        <v>-0.91851099999999997</v>
      </c>
      <c r="P1657">
        <v>-0.44956459999999998</v>
      </c>
      <c r="Q1657">
        <v>0.16036049999999999</v>
      </c>
      <c r="R1657">
        <v>-0.87873590000000001</v>
      </c>
      <c r="S1657">
        <v>-3.0879819999999998</v>
      </c>
      <c r="T1657">
        <v>9.7204799999999994E-2</v>
      </c>
      <c r="U1657">
        <v>-1.8446039999999999</v>
      </c>
      <c r="V1657">
        <v>6.8401219999999999E-2</v>
      </c>
      <c r="W1657">
        <v>0.16961699999999999</v>
      </c>
      <c r="X1657">
        <v>0.98313340000000005</v>
      </c>
      <c r="Y1657">
        <v>0.58529869999999995</v>
      </c>
      <c r="Z1657">
        <v>-3.6585560000000003E-2</v>
      </c>
      <c r="AA1657">
        <v>0.80999200000000005</v>
      </c>
      <c r="AB1657">
        <v>21</v>
      </c>
      <c r="AC1657">
        <v>-42.0336</v>
      </c>
      <c r="AD1657">
        <v>1.3263849999999999</v>
      </c>
      <c r="AE1657">
        <v>-24.9649</v>
      </c>
      <c r="AF1657">
        <v>28.721247694712801</v>
      </c>
      <c r="AG1657">
        <v>1.3263849999999999</v>
      </c>
      <c r="AH1657">
        <v>39.517654012678399</v>
      </c>
      <c r="AI1657">
        <v>88.444751382660996</v>
      </c>
      <c r="AJ1657">
        <v>53.990519680768301</v>
      </c>
      <c r="AK1657">
        <v>48.8703831064892</v>
      </c>
      <c r="AL1657">
        <v>80.234448302045493</v>
      </c>
      <c r="AM1657">
        <v>86.020076350010598</v>
      </c>
      <c r="AN1657">
        <v>0.99999996789102297</v>
      </c>
    </row>
    <row r="1658" spans="1:40" x14ac:dyDescent="0.25">
      <c r="A1658" t="str">
        <f>"20190304155048111"</f>
        <v>20190304155048111</v>
      </c>
      <c r="B1658" t="str">
        <f>"1551685848107733"</f>
        <v>1551685848107733</v>
      </c>
      <c r="C1658" t="s">
        <v>40</v>
      </c>
      <c r="D1658">
        <v>5.5070489999999896</v>
      </c>
      <c r="E1658">
        <v>0.63007040000000003</v>
      </c>
      <c r="F1658" t="s">
        <v>69</v>
      </c>
      <c r="G1658">
        <v>-236.905</v>
      </c>
      <c r="H1658">
        <v>2.2726999999999999</v>
      </c>
      <c r="I1658">
        <v>268.85500000000002</v>
      </c>
      <c r="J1658">
        <v>-196.70500000000001</v>
      </c>
      <c r="K1658">
        <v>1.101826</v>
      </c>
      <c r="L1658">
        <v>290.46969999999999</v>
      </c>
      <c r="M1658">
        <v>-0.60379240000000001</v>
      </c>
      <c r="N1658">
        <v>-1.110847E-2</v>
      </c>
      <c r="O1658">
        <v>-0.79706449999999995</v>
      </c>
      <c r="P1658">
        <v>-0.66254349999999995</v>
      </c>
      <c r="Q1658">
        <v>0.16350770000000001</v>
      </c>
      <c r="R1658">
        <v>-0.73095929999999998</v>
      </c>
      <c r="S1658">
        <v>-3.08934</v>
      </c>
      <c r="T1658">
        <v>8.5144639999999994E-2</v>
      </c>
      <c r="U1658">
        <v>-1.8179320000000001</v>
      </c>
      <c r="V1658">
        <v>9.0276540000000002E-2</v>
      </c>
      <c r="W1658">
        <v>0.17261379999999901</v>
      </c>
      <c r="X1658">
        <v>0.98084380000000004</v>
      </c>
      <c r="Y1658">
        <v>0.38031999999999999</v>
      </c>
      <c r="Z1658">
        <v>-2.9289490000000001E-2</v>
      </c>
      <c r="AA1658">
        <v>0.92439099999999996</v>
      </c>
      <c r="AB1658">
        <v>22</v>
      </c>
      <c r="AC1658">
        <v>-40.199999999999903</v>
      </c>
      <c r="AD1658">
        <v>1.170874</v>
      </c>
      <c r="AE1658">
        <v>-21.6146999999999</v>
      </c>
      <c r="AF1658">
        <v>18.979878250077999</v>
      </c>
      <c r="AG1658">
        <v>1.170874</v>
      </c>
      <c r="AH1658">
        <v>41.476020663492498</v>
      </c>
      <c r="AI1658">
        <v>88.529537412920305</v>
      </c>
      <c r="AJ1658">
        <v>65.410652209868104</v>
      </c>
      <c r="AK1658">
        <v>45.627480912166497</v>
      </c>
      <c r="AL1658">
        <v>80.060173866438006</v>
      </c>
      <c r="AM1658">
        <v>84.741331200790796</v>
      </c>
      <c r="AN1658">
        <v>0.99999996881162501</v>
      </c>
    </row>
    <row r="1659" spans="1:40" x14ac:dyDescent="0.25">
      <c r="A1659" t="str">
        <f>"20190304155048202"</f>
        <v>20190304155048202</v>
      </c>
      <c r="B1659" t="str">
        <f>"1551685848198499"</f>
        <v>1551685848198499</v>
      </c>
      <c r="C1659" t="s">
        <v>40</v>
      </c>
      <c r="D1659">
        <v>5.4979769999999997</v>
      </c>
      <c r="E1659">
        <v>0.6330865</v>
      </c>
      <c r="F1659" t="s">
        <v>70</v>
      </c>
      <c r="G1659">
        <v>-224.84</v>
      </c>
      <c r="H1659">
        <v>8.0000039999999994E-2</v>
      </c>
      <c r="I1659">
        <v>275.30259999999998</v>
      </c>
      <c r="J1659">
        <v>-197.31870000000001</v>
      </c>
      <c r="K1659">
        <v>1.101537</v>
      </c>
      <c r="L1659">
        <v>289.80329999999998</v>
      </c>
      <c r="M1659">
        <v>-0.64963899999999997</v>
      </c>
      <c r="N1659">
        <v>-1.122576E-2</v>
      </c>
      <c r="O1659">
        <v>-0.76015999999999995</v>
      </c>
      <c r="P1659">
        <v>-0.70703669999999996</v>
      </c>
      <c r="Q1659">
        <v>0.16581670000000001</v>
      </c>
      <c r="R1659">
        <v>-0.68746229999999997</v>
      </c>
      <c r="S1659">
        <v>-2.8553769999999998</v>
      </c>
      <c r="T1659">
        <v>-0.1037034</v>
      </c>
      <c r="U1659">
        <v>-1.5392760000000001</v>
      </c>
      <c r="V1659">
        <v>9.4567689999999996E-2</v>
      </c>
      <c r="W1659">
        <v>0.17487720000000001</v>
      </c>
      <c r="X1659">
        <v>0.98003819999999997</v>
      </c>
      <c r="Y1659">
        <v>0.36056729999999998</v>
      </c>
      <c r="Z1659">
        <v>2.0996129999999998E-2</v>
      </c>
      <c r="AA1659">
        <v>0.93249680000000001</v>
      </c>
      <c r="AB1659">
        <v>22</v>
      </c>
      <c r="AC1659">
        <v>-27.5213</v>
      </c>
      <c r="AD1659">
        <v>-1.0215369599999999</v>
      </c>
      <c r="AE1659">
        <v>-14.500699999999901</v>
      </c>
      <c r="AF1659">
        <v>11.488706266144</v>
      </c>
      <c r="AG1659">
        <v>-1.0215369599999999</v>
      </c>
      <c r="AH1659">
        <v>28.872446694469499</v>
      </c>
      <c r="AI1659">
        <v>91.882867636670099</v>
      </c>
      <c r="AJ1659">
        <v>68.301774402145796</v>
      </c>
      <c r="AK1659">
        <v>31.091029052692399</v>
      </c>
      <c r="AL1659">
        <v>79.928487790605402</v>
      </c>
      <c r="AM1659">
        <v>84.488371952425794</v>
      </c>
      <c r="AN1659">
        <v>0.99999997826550702</v>
      </c>
    </row>
    <row r="1660" spans="1:40" x14ac:dyDescent="0.25">
      <c r="A1660" t="str">
        <f>"20190304155048245"</f>
        <v>20190304155048245</v>
      </c>
      <c r="B1660" t="str">
        <f>"1551685848238515"</f>
        <v>1551685848238515</v>
      </c>
      <c r="C1660" t="s">
        <v>40</v>
      </c>
      <c r="D1660">
        <v>5.4766839999999997</v>
      </c>
      <c r="E1660">
        <v>0.63282749999999999</v>
      </c>
      <c r="F1660" t="s">
        <v>70</v>
      </c>
      <c r="G1660">
        <v>-224.00980000000001</v>
      </c>
      <c r="H1660">
        <v>8.0000280000000007E-2</v>
      </c>
      <c r="I1660">
        <v>277.75510000000003</v>
      </c>
      <c r="J1660">
        <v>-197.6326</v>
      </c>
      <c r="K1660">
        <v>1.1013679999999999</v>
      </c>
      <c r="L1660">
        <v>289.49169999999998</v>
      </c>
      <c r="M1660">
        <v>-0.67160430000000004</v>
      </c>
      <c r="N1660">
        <v>-1.1288609999999999E-2</v>
      </c>
      <c r="O1660">
        <v>-0.74082409999999999</v>
      </c>
      <c r="P1660">
        <v>-0.72833630000000005</v>
      </c>
      <c r="Q1660">
        <v>0.1664757</v>
      </c>
      <c r="R1660">
        <v>-0.66468989999999994</v>
      </c>
      <c r="S1660">
        <v>-2.967346</v>
      </c>
      <c r="T1660">
        <v>-0.1135678</v>
      </c>
      <c r="U1660">
        <v>-1.3394469999999901</v>
      </c>
      <c r="V1660">
        <v>9.6956580000000001E-2</v>
      </c>
      <c r="W1660">
        <v>0.17550539999999901</v>
      </c>
      <c r="X1660">
        <v>0.97969249999999997</v>
      </c>
      <c r="Y1660">
        <v>0.39851979999999998</v>
      </c>
      <c r="Z1660">
        <v>2.391619E-2</v>
      </c>
      <c r="AA1660">
        <v>0.91684779999999999</v>
      </c>
      <c r="AB1660">
        <v>22</v>
      </c>
      <c r="AC1660">
        <v>-26.377199999999998</v>
      </c>
      <c r="AD1660">
        <v>-1.02136772</v>
      </c>
      <c r="AE1660">
        <v>-11.7365999999999</v>
      </c>
      <c r="AF1660">
        <v>11.6446824830489</v>
      </c>
      <c r="AG1660">
        <v>-1.02136772</v>
      </c>
      <c r="AH1660">
        <v>26.378463859710902</v>
      </c>
      <c r="AI1660">
        <v>92.028674962063107</v>
      </c>
      <c r="AJ1660">
        <v>66.181103414726195</v>
      </c>
      <c r="AK1660">
        <v>28.852472645313402</v>
      </c>
      <c r="AL1660">
        <v>79.8919300066689</v>
      </c>
      <c r="AM1660">
        <v>84.348050880329794</v>
      </c>
      <c r="AN1660">
        <v>1.00000005919535</v>
      </c>
    </row>
    <row r="1661" spans="1:40" x14ac:dyDescent="0.25">
      <c r="A1661" t="str">
        <f>"20190304155048269"</f>
        <v>20190304155048269</v>
      </c>
      <c r="B1661" t="str">
        <f>"1551685848258037"</f>
        <v>1551685848258037</v>
      </c>
      <c r="C1661" t="s">
        <v>40</v>
      </c>
      <c r="D1661">
        <v>5.4746940000000004</v>
      </c>
      <c r="E1661">
        <v>0.629019199999999</v>
      </c>
      <c r="F1661" t="s">
        <v>70</v>
      </c>
      <c r="G1661">
        <v>-223.11240000000001</v>
      </c>
      <c r="H1661">
        <v>8.0000550000000004E-2</v>
      </c>
      <c r="I1661">
        <v>278.93759999999997</v>
      </c>
      <c r="J1661">
        <v>-197.80029999999999</v>
      </c>
      <c r="K1661">
        <v>1.1012770000000001</v>
      </c>
      <c r="L1661">
        <v>289.33260000000001</v>
      </c>
      <c r="M1661">
        <v>-0.68296499999999905</v>
      </c>
      <c r="N1661">
        <v>-1.132214E-2</v>
      </c>
      <c r="O1661">
        <v>-0.73036319999999999</v>
      </c>
      <c r="P1661">
        <v>-0.73904320000000001</v>
      </c>
      <c r="Q1661">
        <v>0.16590920000000001</v>
      </c>
      <c r="R1661">
        <v>-0.65290839999999895</v>
      </c>
      <c r="S1661">
        <v>-3.009064</v>
      </c>
      <c r="T1661">
        <v>-0.1206192</v>
      </c>
      <c r="U1661">
        <v>-1.246399</v>
      </c>
      <c r="V1661">
        <v>9.7680900000000001E-2</v>
      </c>
      <c r="W1661">
        <v>0.17493539999999999</v>
      </c>
      <c r="X1661">
        <v>0.97972239999999999</v>
      </c>
      <c r="Y1661">
        <v>0.41294799999999998</v>
      </c>
      <c r="Z1661">
        <v>2.590545E-2</v>
      </c>
      <c r="AA1661">
        <v>0.91038609999999998</v>
      </c>
      <c r="AB1661">
        <v>22</v>
      </c>
      <c r="AC1661">
        <v>-25.312100000000001</v>
      </c>
      <c r="AD1661">
        <v>-1.02127645</v>
      </c>
      <c r="AE1661">
        <v>-10.395</v>
      </c>
      <c r="AF1661">
        <v>11.372494703367201</v>
      </c>
      <c r="AG1661">
        <v>-1.02127645</v>
      </c>
      <c r="AH1661">
        <v>24.846390784860301</v>
      </c>
      <c r="AI1661">
        <v>92.140412778806805</v>
      </c>
      <c r="AJ1661">
        <v>65.405855108547101</v>
      </c>
      <c r="AK1661">
        <v>27.3444651876652</v>
      </c>
      <c r="AL1661">
        <v>79.925100851149693</v>
      </c>
      <c r="AM1661">
        <v>84.306276708233696</v>
      </c>
      <c r="AN1661">
        <v>0.99999996672986402</v>
      </c>
    </row>
    <row r="1662" spans="1:40" x14ac:dyDescent="0.25">
      <c r="A1662" t="str">
        <f>"20190304155048294"</f>
        <v>20190304155048294</v>
      </c>
      <c r="B1662" t="str">
        <f>"1551685848288292"</f>
        <v>1551685848288292</v>
      </c>
      <c r="C1662" t="s">
        <v>40</v>
      </c>
      <c r="D1662">
        <v>5.493862</v>
      </c>
      <c r="E1662">
        <v>0.62748609999999905</v>
      </c>
      <c r="F1662" t="s">
        <v>70</v>
      </c>
      <c r="G1662">
        <v>-221.0059</v>
      </c>
      <c r="H1662" s="1">
        <v>-1.0014930000000001E-6</v>
      </c>
      <c r="I1662">
        <v>279.91520000000003</v>
      </c>
      <c r="J1662">
        <v>-197.97739999999999</v>
      </c>
      <c r="K1662">
        <v>1.101178</v>
      </c>
      <c r="L1662">
        <v>289.1705</v>
      </c>
      <c r="M1662">
        <v>-0.69467460000000003</v>
      </c>
      <c r="N1662">
        <v>-1.1356740000000001E-2</v>
      </c>
      <c r="O1662">
        <v>-0.71923459999999995</v>
      </c>
      <c r="P1662">
        <v>-0.74930319999999995</v>
      </c>
      <c r="Q1662">
        <v>0.16592390000000001</v>
      </c>
      <c r="R1662">
        <v>-0.64110400000000001</v>
      </c>
      <c r="S1662">
        <v>-3.0116269999999998</v>
      </c>
      <c r="T1662">
        <v>-0.1429242</v>
      </c>
      <c r="U1662">
        <v>-1.2221979999999999</v>
      </c>
      <c r="V1662">
        <v>9.7432279999999996E-2</v>
      </c>
      <c r="W1662">
        <v>0.17496789999999901</v>
      </c>
      <c r="X1662">
        <v>0.97974139999999998</v>
      </c>
      <c r="Y1662">
        <v>0.40454259999999997</v>
      </c>
      <c r="Z1662">
        <v>3.1562600000000003E-2</v>
      </c>
      <c r="AA1662">
        <v>0.91397430000000002</v>
      </c>
      <c r="AB1662">
        <v>22</v>
      </c>
      <c r="AC1662">
        <v>-23.028500000000001</v>
      </c>
      <c r="AD1662">
        <v>-1.1011790014929901</v>
      </c>
      <c r="AE1662">
        <v>-9.2552999999999699</v>
      </c>
      <c r="AF1662">
        <v>10.1142140605559</v>
      </c>
      <c r="AG1662">
        <v>-1.1011790014929901</v>
      </c>
      <c r="AH1662">
        <v>22.610993265157902</v>
      </c>
      <c r="AI1662">
        <v>92.545471131072205</v>
      </c>
      <c r="AJ1662">
        <v>65.900363202806901</v>
      </c>
      <c r="AK1662">
        <v>24.794494100366201</v>
      </c>
      <c r="AL1662">
        <v>79.923210040639106</v>
      </c>
      <c r="AM1662">
        <v>84.320783083115501</v>
      </c>
      <c r="AN1662">
        <v>1.00000001304518</v>
      </c>
    </row>
    <row r="1663" spans="1:40" x14ac:dyDescent="0.25">
      <c r="A1663" t="str">
        <f>"20190304155048313"</f>
        <v>20190304155048313</v>
      </c>
      <c r="B1663" t="str">
        <f>"1551685848308789"</f>
        <v>1551685848308789</v>
      </c>
      <c r="C1663" t="s">
        <v>40</v>
      </c>
      <c r="D1663">
        <v>5.4549960000000004</v>
      </c>
      <c r="E1663">
        <v>0.62406519999999899</v>
      </c>
      <c r="F1663" t="s">
        <v>70</v>
      </c>
      <c r="G1663">
        <v>-220.84819999999999</v>
      </c>
      <c r="H1663" s="1">
        <v>-1.0854330000000001E-6</v>
      </c>
      <c r="I1663">
        <v>280.22359999999998</v>
      </c>
      <c r="J1663">
        <v>-198.1378</v>
      </c>
      <c r="K1663">
        <v>1.1011089999999999</v>
      </c>
      <c r="L1663">
        <v>289.02800000000002</v>
      </c>
      <c r="M1663">
        <v>-0.70503289999999996</v>
      </c>
      <c r="N1663">
        <v>-1.138639E-2</v>
      </c>
      <c r="O1663">
        <v>-0.70908340000000003</v>
      </c>
      <c r="P1663">
        <v>-0.75821319999999903</v>
      </c>
      <c r="Q1663">
        <v>0.16628219999999999</v>
      </c>
      <c r="R1663">
        <v>-0.63044690000000003</v>
      </c>
      <c r="S1663">
        <v>-3.0238649999999998</v>
      </c>
      <c r="T1663">
        <v>-0.14559279999999999</v>
      </c>
      <c r="U1663">
        <v>-1.182922</v>
      </c>
      <c r="V1663">
        <v>9.7058149999999996E-2</v>
      </c>
      <c r="W1663">
        <v>0.17534530000000001</v>
      </c>
      <c r="X1663">
        <v>0.97971109999999995</v>
      </c>
      <c r="Y1663">
        <v>0.40279379999999998</v>
      </c>
      <c r="Z1663">
        <v>3.2037709999999997E-2</v>
      </c>
      <c r="AA1663">
        <v>0.91472989999999998</v>
      </c>
      <c r="AB1663">
        <v>22</v>
      </c>
      <c r="AC1663">
        <v>-22.7104</v>
      </c>
      <c r="AD1663">
        <v>-1.101110085433</v>
      </c>
      <c r="AE1663">
        <v>-8.8044000000000402</v>
      </c>
      <c r="AF1663">
        <v>9.8766318717235606</v>
      </c>
      <c r="AG1663">
        <v>-1.101110085433</v>
      </c>
      <c r="AH1663">
        <v>22.210682040384501</v>
      </c>
      <c r="AI1663">
        <v>92.593662466939605</v>
      </c>
      <c r="AJ1663">
        <v>66.026272494058205</v>
      </c>
      <c r="AK1663">
        <v>24.3325850917827</v>
      </c>
      <c r="AL1663">
        <v>79.9012474468893</v>
      </c>
      <c r="AM1663">
        <v>84.342275111693993</v>
      </c>
      <c r="AN1663">
        <v>1.00000004908836</v>
      </c>
    </row>
    <row r="1664" spans="1:40" x14ac:dyDescent="0.25">
      <c r="A1664" t="str">
        <f>"20190304155048337"</f>
        <v>20190304155048337</v>
      </c>
      <c r="B1664" t="str">
        <f>"1551685848328309"</f>
        <v>1551685848328309</v>
      </c>
      <c r="C1664" t="s">
        <v>40</v>
      </c>
      <c r="D1664">
        <v>5.4818639999999998</v>
      </c>
      <c r="E1664">
        <v>0.62113219999999902</v>
      </c>
      <c r="F1664" t="s">
        <v>70</v>
      </c>
      <c r="G1664">
        <v>-220.2124</v>
      </c>
      <c r="H1664" s="1">
        <v>-1.423737E-6</v>
      </c>
      <c r="I1664">
        <v>280.55189999999999</v>
      </c>
      <c r="J1664">
        <v>-198.31800000000001</v>
      </c>
      <c r="K1664">
        <v>1.1010249999999999</v>
      </c>
      <c r="L1664">
        <v>288.87290000000002</v>
      </c>
      <c r="M1664">
        <v>-0.71640029999999999</v>
      </c>
      <c r="N1664">
        <v>-1.141766E-2</v>
      </c>
      <c r="O1664">
        <v>-0.69759589999999905</v>
      </c>
      <c r="P1664">
        <v>-0.76808980000000004</v>
      </c>
      <c r="Q1664">
        <v>0.166658</v>
      </c>
      <c r="R1664">
        <v>-0.618274199999999</v>
      </c>
      <c r="S1664">
        <v>-3.0242</v>
      </c>
      <c r="T1664">
        <v>-0.1508505</v>
      </c>
      <c r="U1664">
        <v>-1.161224</v>
      </c>
      <c r="V1664">
        <v>9.6834139999999999E-2</v>
      </c>
      <c r="W1664">
        <v>0.17573920000000001</v>
      </c>
      <c r="X1664">
        <v>0.9796627</v>
      </c>
      <c r="Y1664">
        <v>0.39367410000000003</v>
      </c>
      <c r="Z1664">
        <v>3.3018400000000003E-2</v>
      </c>
      <c r="AA1664">
        <v>0.9186569</v>
      </c>
      <c r="AB1664">
        <v>22</v>
      </c>
      <c r="AC1664">
        <v>-21.894400000000001</v>
      </c>
      <c r="AD1664">
        <v>-1.101026423737</v>
      </c>
      <c r="AE1664">
        <v>-8.3210000000000193</v>
      </c>
      <c r="AF1664">
        <v>9.2923513226518502</v>
      </c>
      <c r="AG1664">
        <v>-1.101026423737</v>
      </c>
      <c r="AH1664">
        <v>21.443868436515199</v>
      </c>
      <c r="AI1664">
        <v>92.697295853184201</v>
      </c>
      <c r="AJ1664">
        <v>66.571288445132794</v>
      </c>
      <c r="AK1664">
        <v>23.396571240502901</v>
      </c>
      <c r="AL1664">
        <v>79.878322788144999</v>
      </c>
      <c r="AM1664">
        <v>84.354971624547403</v>
      </c>
      <c r="AN1664">
        <v>1.0000000614287301</v>
      </c>
    </row>
    <row r="1665" spans="1:40" x14ac:dyDescent="0.25">
      <c r="A1665" t="str">
        <f>"20190304155048359"</f>
        <v>20190304155048359</v>
      </c>
      <c r="B1665" t="str">
        <f>"1551685848348804"</f>
        <v>1551685848348804</v>
      </c>
      <c r="C1665" t="s">
        <v>40</v>
      </c>
      <c r="D1665">
        <v>5.4474919999999996</v>
      </c>
      <c r="E1665">
        <v>0.61896010000000001</v>
      </c>
      <c r="F1665" t="s">
        <v>70</v>
      </c>
      <c r="G1665">
        <v>-219.79470000000001</v>
      </c>
      <c r="H1665" s="1">
        <v>3.675439E-6</v>
      </c>
      <c r="I1665">
        <v>280.84390000000002</v>
      </c>
      <c r="J1665">
        <v>-198.4924</v>
      </c>
      <c r="K1665">
        <v>1.100954</v>
      </c>
      <c r="L1665">
        <v>288.7276</v>
      </c>
      <c r="M1665">
        <v>-0.72713479999999997</v>
      </c>
      <c r="N1665">
        <v>-1.1446670000000001E-2</v>
      </c>
      <c r="O1665">
        <v>-0.68639949999999905</v>
      </c>
      <c r="P1665">
        <v>-0.77755869999999905</v>
      </c>
      <c r="Q1665">
        <v>0.1670769</v>
      </c>
      <c r="R1665">
        <v>-0.60620810000000003</v>
      </c>
      <c r="S1665">
        <v>-3.0281829999999998</v>
      </c>
      <c r="T1665">
        <v>-0.1552424</v>
      </c>
      <c r="U1665">
        <v>-1.13208</v>
      </c>
      <c r="V1665">
        <v>9.6910040000000003E-2</v>
      </c>
      <c r="W1665">
        <v>0.17616870000000001</v>
      </c>
      <c r="X1665">
        <v>0.97957799999999995</v>
      </c>
      <c r="Y1665">
        <v>0.38750220000000002</v>
      </c>
      <c r="Z1665">
        <v>3.3798839999999997E-2</v>
      </c>
      <c r="AA1665">
        <v>0.92124899999999998</v>
      </c>
      <c r="AB1665">
        <v>22</v>
      </c>
      <c r="AC1665">
        <v>-21.302299999999999</v>
      </c>
      <c r="AD1665">
        <v>-1.1009503245609999</v>
      </c>
      <c r="AE1665">
        <v>-7.88369999999997</v>
      </c>
      <c r="AF1665">
        <v>8.8691203750860694</v>
      </c>
      <c r="AG1665">
        <v>-1.1009503245609999</v>
      </c>
      <c r="AH1665">
        <v>20.853386954697498</v>
      </c>
      <c r="AI1665">
        <v>92.781430402951401</v>
      </c>
      <c r="AJ1665">
        <v>66.959543605612197</v>
      </c>
      <c r="AK1665">
        <v>22.687819095877501</v>
      </c>
      <c r="AL1665">
        <v>79.853323731964906</v>
      </c>
      <c r="AM1665">
        <v>84.350090259284102</v>
      </c>
      <c r="AN1665">
        <v>1.00000001239824</v>
      </c>
    </row>
    <row r="1666" spans="1:40" x14ac:dyDescent="0.25">
      <c r="A1666" t="str">
        <f>"20190304155048381"</f>
        <v>20190304155048381</v>
      </c>
      <c r="B1666" t="str">
        <f>"1551685848378083"</f>
        <v>1551685848378083</v>
      </c>
      <c r="C1666" t="s">
        <v>40</v>
      </c>
      <c r="D1666">
        <v>5.4606120000000002</v>
      </c>
      <c r="E1666">
        <v>0.61505269999999901</v>
      </c>
      <c r="F1666" t="s">
        <v>70</v>
      </c>
      <c r="G1666">
        <v>-220.03020000000001</v>
      </c>
      <c r="H1666" s="1">
        <v>-1.5207150000000001E-6</v>
      </c>
      <c r="I1666">
        <v>280.93099999999998</v>
      </c>
      <c r="J1666">
        <v>-198.66909999999999</v>
      </c>
      <c r="K1666">
        <v>1.1008869999999999</v>
      </c>
      <c r="L1666">
        <v>288.5849</v>
      </c>
      <c r="M1666">
        <v>-0.73774300000000004</v>
      </c>
      <c r="N1666">
        <v>-1.1475549999999999E-2</v>
      </c>
      <c r="O1666">
        <v>-0.67498459999999905</v>
      </c>
      <c r="P1666">
        <v>-0.78683080000000005</v>
      </c>
      <c r="Q1666">
        <v>0.16747570000000001</v>
      </c>
      <c r="R1666">
        <v>-0.59401150000000003</v>
      </c>
      <c r="S1666">
        <v>-3.0350190000000001</v>
      </c>
      <c r="T1666">
        <v>-0.15514220000000001</v>
      </c>
      <c r="U1666">
        <v>-1.0986629999999999</v>
      </c>
      <c r="V1666">
        <v>9.6897559999999994E-2</v>
      </c>
      <c r="W1666">
        <v>0.1765803</v>
      </c>
      <c r="X1666">
        <v>0.97950510000000002</v>
      </c>
      <c r="Y1666">
        <v>0.38275920000000002</v>
      </c>
      <c r="Z1666">
        <v>3.3413650000000003E-2</v>
      </c>
      <c r="AA1666">
        <v>0.9232437</v>
      </c>
      <c r="AB1666">
        <v>22</v>
      </c>
      <c r="AC1666">
        <v>-21.3611</v>
      </c>
      <c r="AD1666">
        <v>-1.1008885207150001</v>
      </c>
      <c r="AE1666">
        <v>-7.6539000000000197</v>
      </c>
      <c r="AF1666">
        <v>8.7517767375389504</v>
      </c>
      <c r="AG1666">
        <v>-1.1008885207150001</v>
      </c>
      <c r="AH1666">
        <v>20.877495128647801</v>
      </c>
      <c r="AI1666">
        <v>92.784149402433002</v>
      </c>
      <c r="AJ1666">
        <v>67.256730437280595</v>
      </c>
      <c r="AK1666">
        <v>22.664407215841301</v>
      </c>
      <c r="AL1666">
        <v>79.829364966362803</v>
      </c>
      <c r="AM1666">
        <v>84.350395420908995</v>
      </c>
      <c r="AN1666">
        <v>0.99999999020402597</v>
      </c>
    </row>
    <row r="1667" spans="1:40" x14ac:dyDescent="0.25">
      <c r="A1667" t="str">
        <f>"20190304155048407"</f>
        <v>20190304155048407</v>
      </c>
      <c r="B1667" t="str">
        <f>"1551685848398580"</f>
        <v>1551685848398580</v>
      </c>
      <c r="C1667" t="s">
        <v>40</v>
      </c>
      <c r="D1667">
        <v>5.482545</v>
      </c>
      <c r="E1667">
        <v>0.61235859999999998</v>
      </c>
      <c r="F1667" t="s">
        <v>70</v>
      </c>
      <c r="G1667">
        <v>-220.04349999999999</v>
      </c>
      <c r="H1667" s="1">
        <v>-1.513652E-6</v>
      </c>
      <c r="I1667">
        <v>281.00200000000001</v>
      </c>
      <c r="J1667">
        <v>-198.8732</v>
      </c>
      <c r="K1667">
        <v>1.100822</v>
      </c>
      <c r="L1667">
        <v>288.4255</v>
      </c>
      <c r="M1667">
        <v>-0.749669699999999</v>
      </c>
      <c r="N1667">
        <v>-1.1507989999999999E-2</v>
      </c>
      <c r="O1667">
        <v>-0.66171219999999997</v>
      </c>
      <c r="P1667">
        <v>-0.79700159999999998</v>
      </c>
      <c r="Q1667">
        <v>0.1686405</v>
      </c>
      <c r="R1667">
        <v>-0.57995609999999997</v>
      </c>
      <c r="S1667">
        <v>-3.033569</v>
      </c>
      <c r="T1667">
        <v>-0.15624399999999999</v>
      </c>
      <c r="U1667">
        <v>-1.0762020000000001</v>
      </c>
      <c r="V1667">
        <v>9.6695909999999996E-2</v>
      </c>
      <c r="W1667">
        <v>0.17776339999999999</v>
      </c>
      <c r="X1667">
        <v>0.97931100000000004</v>
      </c>
      <c r="Y1667">
        <v>0.37216769999999999</v>
      </c>
      <c r="Z1667">
        <v>3.3171109999999997E-2</v>
      </c>
      <c r="AA1667">
        <v>0.92757250000000002</v>
      </c>
      <c r="AB1667">
        <v>22</v>
      </c>
      <c r="AC1667">
        <v>-21.170300000000001</v>
      </c>
      <c r="AD1667">
        <v>-1.1008235136519999</v>
      </c>
      <c r="AE1667">
        <v>-7.42349999999999</v>
      </c>
      <c r="AF1667">
        <v>8.4237488337286006</v>
      </c>
      <c r="AG1667">
        <v>-1.1008235136519999</v>
      </c>
      <c r="AH1667">
        <v>20.7344040288685</v>
      </c>
      <c r="AI1667">
        <v>92.815955272997499</v>
      </c>
      <c r="AJ1667">
        <v>67.889609563528197</v>
      </c>
      <c r="AK1667">
        <v>22.4072949562037</v>
      </c>
      <c r="AL1667">
        <v>79.760488592053903</v>
      </c>
      <c r="AM1667">
        <v>84.360966545008296</v>
      </c>
      <c r="AN1667">
        <v>0.99999998005564295</v>
      </c>
    </row>
    <row r="1668" spans="1:40" x14ac:dyDescent="0.25">
      <c r="A1668" t="str">
        <f>"20190304155048423"</f>
        <v>20190304155048423</v>
      </c>
      <c r="B1668" t="str">
        <f>"1551685848418100"</f>
        <v>1551685848418100</v>
      </c>
      <c r="C1668" t="s">
        <v>40</v>
      </c>
      <c r="D1668">
        <v>5.537026</v>
      </c>
      <c r="E1668">
        <v>0.60992930000000001</v>
      </c>
      <c r="F1668" t="s">
        <v>70</v>
      </c>
      <c r="G1668">
        <v>-220.636</v>
      </c>
      <c r="H1668" s="1">
        <v>-1.1983199999999999E-6</v>
      </c>
      <c r="I1668">
        <v>280.99200000000002</v>
      </c>
      <c r="J1668">
        <v>-199.0076</v>
      </c>
      <c r="K1668">
        <v>1.100781</v>
      </c>
      <c r="L1668">
        <v>288.32420000000002</v>
      </c>
      <c r="M1668">
        <v>-0.75732619999999995</v>
      </c>
      <c r="N1668">
        <v>-1.152852E-2</v>
      </c>
      <c r="O1668">
        <v>-0.65293519999999905</v>
      </c>
      <c r="P1668">
        <v>-0.80408190000000002</v>
      </c>
      <c r="Q1668">
        <v>0.16924819999999999</v>
      </c>
      <c r="R1668">
        <v>-0.56991910000000001</v>
      </c>
      <c r="S1668">
        <v>-3.040848</v>
      </c>
      <c r="T1668">
        <v>-0.15381400000000001</v>
      </c>
      <c r="U1668">
        <v>-1.0386660000000001</v>
      </c>
      <c r="V1668">
        <v>9.7518709999999995E-2</v>
      </c>
      <c r="W1668">
        <v>0.17835980000000001</v>
      </c>
      <c r="X1668">
        <v>0.97912100000000002</v>
      </c>
      <c r="Y1668">
        <v>0.37230249999999998</v>
      </c>
      <c r="Z1668">
        <v>3.2390960000000003E-2</v>
      </c>
      <c r="AA1668">
        <v>0.92754610000000004</v>
      </c>
      <c r="AB1668">
        <v>22</v>
      </c>
      <c r="AC1668">
        <v>-21.628399999999999</v>
      </c>
      <c r="AD1668">
        <v>-1.1007821983199999</v>
      </c>
      <c r="AE1668">
        <v>-7.3322000000000003</v>
      </c>
      <c r="AF1668">
        <v>8.5497811010496392</v>
      </c>
      <c r="AG1668">
        <v>-1.1007821983199999</v>
      </c>
      <c r="AH1668">
        <v>21.119542210176501</v>
      </c>
      <c r="AI1668">
        <v>92.765965833402007</v>
      </c>
      <c r="AJ1668">
        <v>67.960521422201296</v>
      </c>
      <c r="AK1668">
        <v>22.811083742151101</v>
      </c>
      <c r="AL1668">
        <v>79.725762906363599</v>
      </c>
      <c r="AM1668">
        <v>84.312200070985099</v>
      </c>
      <c r="AN1668">
        <v>1.0000000248485501</v>
      </c>
    </row>
    <row r="1669" spans="1:40" x14ac:dyDescent="0.25">
      <c r="A1669" t="str">
        <f>"20190304155048446"</f>
        <v>20190304155048446</v>
      </c>
      <c r="B1669" t="str">
        <f>"1551685848438596"</f>
        <v>1551685848438596</v>
      </c>
      <c r="C1669" t="s">
        <v>40</v>
      </c>
      <c r="D1669">
        <v>5.4975610000000001</v>
      </c>
      <c r="E1669">
        <v>0.60700609999999999</v>
      </c>
      <c r="F1669" t="s">
        <v>70</v>
      </c>
      <c r="G1669">
        <v>-220.82169999999999</v>
      </c>
      <c r="H1669" s="1">
        <v>-1.0995400000000001E-6</v>
      </c>
      <c r="I1669">
        <v>281.03949999999998</v>
      </c>
      <c r="J1669">
        <v>-199.19970000000001</v>
      </c>
      <c r="K1669">
        <v>1.1007180000000001</v>
      </c>
      <c r="L1669">
        <v>288.18310000000002</v>
      </c>
      <c r="M1669">
        <v>-0.76801960000000002</v>
      </c>
      <c r="N1669">
        <v>-1.155598E-2</v>
      </c>
      <c r="O1669">
        <v>-0.64032230000000001</v>
      </c>
      <c r="P1669">
        <v>-0.81425700000000001</v>
      </c>
      <c r="Q1669">
        <v>0.16956599999999999</v>
      </c>
      <c r="R1669">
        <v>-0.55518780000000001</v>
      </c>
      <c r="S1669">
        <v>-3.043015</v>
      </c>
      <c r="T1669">
        <v>-0.15355669999999999</v>
      </c>
      <c r="U1669">
        <v>-1.016205</v>
      </c>
      <c r="V1669">
        <v>9.9147310000000002E-2</v>
      </c>
      <c r="W1669">
        <v>0.17865020000000001</v>
      </c>
      <c r="X1669">
        <v>0.97890440000000001</v>
      </c>
      <c r="Y1669">
        <v>0.36330380000000001</v>
      </c>
      <c r="Z1669">
        <v>3.1810690000000003E-2</v>
      </c>
      <c r="AA1669">
        <v>0.9311275</v>
      </c>
      <c r="AB1669">
        <v>22</v>
      </c>
      <c r="AC1669">
        <v>-21.6219999999999</v>
      </c>
      <c r="AD1669">
        <v>-1.10071909954</v>
      </c>
      <c r="AE1669">
        <v>-7.1436000000000401</v>
      </c>
      <c r="AF1669">
        <v>8.3396950406375208</v>
      </c>
      <c r="AG1669">
        <v>-1.10071909954</v>
      </c>
      <c r="AH1669">
        <v>21.132361268677201</v>
      </c>
      <c r="AI1669">
        <v>92.773839164124297</v>
      </c>
      <c r="AJ1669">
        <v>68.463777970424204</v>
      </c>
      <c r="AK1669">
        <v>22.745082736644701</v>
      </c>
      <c r="AL1669">
        <v>79.708851875980898</v>
      </c>
      <c r="AM1669">
        <v>84.216579279218195</v>
      </c>
      <c r="AN1669">
        <v>0.99999995368981698</v>
      </c>
    </row>
    <row r="1670" spans="1:40" x14ac:dyDescent="0.25">
      <c r="A1670" t="str">
        <f>"20190304155048713"</f>
        <v>20190304155048713</v>
      </c>
      <c r="B1670" t="str">
        <f>"1551685848707972"</f>
        <v>1551685848707972</v>
      </c>
      <c r="C1670" t="s">
        <v>40</v>
      </c>
      <c r="D1670">
        <v>4.5015640000000001</v>
      </c>
      <c r="E1670">
        <v>0.60542649999999998</v>
      </c>
      <c r="F1670" t="s">
        <v>70</v>
      </c>
      <c r="G1670">
        <v>-220.6353</v>
      </c>
      <c r="H1670" s="1">
        <v>-1.1986920000000001E-6</v>
      </c>
      <c r="I1670">
        <v>281.29239999999999</v>
      </c>
      <c r="J1670">
        <v>-201.57689999999999</v>
      </c>
      <c r="K1670">
        <v>1.100347</v>
      </c>
      <c r="L1670">
        <v>286.79640000000001</v>
      </c>
      <c r="M1670">
        <v>-0.87631130000000002</v>
      </c>
      <c r="N1670">
        <v>-1.1741649999999999E-2</v>
      </c>
      <c r="O1670">
        <v>-0.48160259999999999</v>
      </c>
      <c r="P1670">
        <v>-0.90716470000000005</v>
      </c>
      <c r="Q1670">
        <v>0.17348469999999999</v>
      </c>
      <c r="R1670">
        <v>-0.38334790000000002</v>
      </c>
      <c r="S1670">
        <v>-3.0487060000000001</v>
      </c>
      <c r="T1670">
        <v>-0.1565512</v>
      </c>
      <c r="U1670">
        <v>-0.98004150000000001</v>
      </c>
      <c r="V1670">
        <v>0.1053818</v>
      </c>
      <c r="W1670">
        <v>0.18249689999999999</v>
      </c>
      <c r="X1670">
        <v>0.97754260000000004</v>
      </c>
      <c r="Y1670">
        <v>0.18976570000000001</v>
      </c>
      <c r="Z1670">
        <v>2.296086E-2</v>
      </c>
      <c r="AA1670">
        <v>0.98156089999999996</v>
      </c>
      <c r="AB1670">
        <v>23</v>
      </c>
      <c r="AC1670">
        <v>-19.058399999999999</v>
      </c>
      <c r="AD1670">
        <v>-1.1003481986920001</v>
      </c>
      <c r="AE1670">
        <v>-5.5040000000000102</v>
      </c>
      <c r="AF1670">
        <v>4.3422966159613203</v>
      </c>
      <c r="AG1670">
        <v>-1.1003481986920001</v>
      </c>
      <c r="AH1670">
        <v>19.293799119742999</v>
      </c>
      <c r="AI1670">
        <v>93.184621700117802</v>
      </c>
      <c r="AJ1670">
        <v>77.316247827133495</v>
      </c>
      <c r="AK1670">
        <v>19.806993475344701</v>
      </c>
      <c r="AL1670">
        <v>79.484768807239405</v>
      </c>
      <c r="AM1670">
        <v>83.847117954326606</v>
      </c>
      <c r="AN1670">
        <v>0.99999998854780403</v>
      </c>
    </row>
    <row r="1671" spans="1:40" x14ac:dyDescent="0.25">
      <c r="A1671" t="str">
        <f>"20190304155048859"</f>
        <v>20190304155048859</v>
      </c>
      <c r="B1671" t="str">
        <f>"1551685848848523"</f>
        <v>1551685848848523</v>
      </c>
      <c r="C1671" t="s">
        <v>40</v>
      </c>
      <c r="D1671">
        <v>5.4970290000000004</v>
      </c>
      <c r="E1671">
        <v>0.60448279999999999</v>
      </c>
      <c r="F1671" t="s">
        <v>70</v>
      </c>
      <c r="G1671">
        <v>-227.63130000000001</v>
      </c>
      <c r="H1671" s="1">
        <v>2.524234E-6</v>
      </c>
      <c r="I1671">
        <v>283.7491</v>
      </c>
      <c r="J1671">
        <v>-202.99979999999999</v>
      </c>
      <c r="K1671">
        <v>1.100363</v>
      </c>
      <c r="L1671">
        <v>286.22859999999997</v>
      </c>
      <c r="M1671">
        <v>-0.92237219999999998</v>
      </c>
      <c r="N1671">
        <v>-1.181565E-2</v>
      </c>
      <c r="O1671">
        <v>-0.38612170000000001</v>
      </c>
      <c r="P1671">
        <v>-0.93797529999999996</v>
      </c>
      <c r="Q1671">
        <v>0.17767179999999999</v>
      </c>
      <c r="R1671">
        <v>-0.29771629999999999</v>
      </c>
      <c r="S1671">
        <v>-3.1757049999999998</v>
      </c>
      <c r="T1671">
        <v>-0.13411809999999999</v>
      </c>
      <c r="U1671">
        <v>-0.37142940000000002</v>
      </c>
      <c r="V1671">
        <v>9.210351E-2</v>
      </c>
      <c r="W1671">
        <v>0.1870781</v>
      </c>
      <c r="X1671">
        <v>0.97801769999999999</v>
      </c>
      <c r="Y1671">
        <v>0.27591139999999997</v>
      </c>
      <c r="Z1671">
        <v>1.8603560000000002E-2</v>
      </c>
      <c r="AA1671">
        <v>0.96100300000000005</v>
      </c>
      <c r="AB1671">
        <v>23</v>
      </c>
      <c r="AC1671">
        <v>-24.631499999999999</v>
      </c>
      <c r="AD1671">
        <v>-1.1003604757659999</v>
      </c>
      <c r="AE1671">
        <v>-2.4794999999999701</v>
      </c>
      <c r="AF1671">
        <v>7.2099944872289097</v>
      </c>
      <c r="AG1671">
        <v>-1.1003604757659999</v>
      </c>
      <c r="AH1671">
        <v>23.631763858999399</v>
      </c>
      <c r="AI1671">
        <v>92.5500442118244</v>
      </c>
      <c r="AJ1671">
        <v>73.033178002500193</v>
      </c>
      <c r="AK1671">
        <v>24.731661423568202</v>
      </c>
      <c r="AL1671">
        <v>79.217685085970999</v>
      </c>
      <c r="AM1671">
        <v>84.620113250552194</v>
      </c>
      <c r="AN1671">
        <v>0.99999994678360804</v>
      </c>
    </row>
    <row r="1672" spans="1:40" x14ac:dyDescent="0.25">
      <c r="A1672" t="str">
        <f>"20190304155048880"</f>
        <v>20190304155048880</v>
      </c>
      <c r="B1672" t="str">
        <f>"1551685848877800"</f>
        <v>1551685848877800</v>
      </c>
      <c r="C1672" t="s">
        <v>40</v>
      </c>
      <c r="D1672">
        <v>5.4319959999999998</v>
      </c>
      <c r="E1672">
        <v>0.62889499999999998</v>
      </c>
      <c r="F1672" t="s">
        <v>70</v>
      </c>
      <c r="G1672">
        <v>-231.24420000000001</v>
      </c>
      <c r="H1672" s="1">
        <v>-9.1094690000000002E-7</v>
      </c>
      <c r="I1672">
        <v>285.44560000000001</v>
      </c>
      <c r="J1672">
        <v>-203.2115</v>
      </c>
      <c r="K1672">
        <v>1.1004020000000001</v>
      </c>
      <c r="L1672">
        <v>286.1583</v>
      </c>
      <c r="M1672">
        <v>-0.92813029999999996</v>
      </c>
      <c r="N1672">
        <v>-1.183056E-2</v>
      </c>
      <c r="O1672">
        <v>-0.37206719999999999</v>
      </c>
      <c r="P1672">
        <v>-0.9412758</v>
      </c>
      <c r="Q1672">
        <v>0.1775833</v>
      </c>
      <c r="R1672">
        <v>-0.28716599999999998</v>
      </c>
      <c r="S1672">
        <v>-3.193832</v>
      </c>
      <c r="T1672">
        <v>-0.1244273</v>
      </c>
      <c r="U1672">
        <v>-8.8531490000000004E-2</v>
      </c>
      <c r="V1672">
        <v>8.8207510000000003E-2</v>
      </c>
      <c r="W1672">
        <v>0.18711</v>
      </c>
      <c r="X1672">
        <v>0.97837070000000004</v>
      </c>
      <c r="Y1672">
        <v>0.3457673</v>
      </c>
      <c r="Z1672">
        <v>1.848926E-2</v>
      </c>
      <c r="AA1672">
        <v>0.93813809999999997</v>
      </c>
      <c r="AB1672">
        <v>23</v>
      </c>
      <c r="AC1672">
        <v>-28.032699999999998</v>
      </c>
      <c r="AD1672">
        <v>-1.1004029109469</v>
      </c>
      <c r="AE1672">
        <v>-0.71269999999998301</v>
      </c>
      <c r="AF1672">
        <v>9.7542337518453497</v>
      </c>
      <c r="AG1672">
        <v>-1.1004029109469</v>
      </c>
      <c r="AH1672">
        <v>26.244598374459201</v>
      </c>
      <c r="AI1672">
        <v>92.250680851257201</v>
      </c>
      <c r="AJ1672">
        <v>69.611594300743803</v>
      </c>
      <c r="AK1672">
        <v>28.0202588583461</v>
      </c>
      <c r="AL1672">
        <v>79.215824768900106</v>
      </c>
      <c r="AM1672">
        <v>84.848280876065203</v>
      </c>
      <c r="AN1672">
        <v>0.999999971769444</v>
      </c>
    </row>
    <row r="1673" spans="1:40" x14ac:dyDescent="0.25">
      <c r="A1673" t="str">
        <f>"20190304155048903"</f>
        <v>20190304155048903</v>
      </c>
      <c r="B1673" t="str">
        <f>"1551685848898296"</f>
        <v>1551685848898296</v>
      </c>
      <c r="C1673" t="s">
        <v>40</v>
      </c>
      <c r="D1673">
        <v>5.430758</v>
      </c>
      <c r="E1673">
        <v>0.62641950000000002</v>
      </c>
      <c r="F1673" t="s">
        <v>70</v>
      </c>
      <c r="G1673">
        <v>-259.30579999999998</v>
      </c>
      <c r="H1673" s="1">
        <v>3.415303E-6</v>
      </c>
      <c r="I1673">
        <v>288.45370000000003</v>
      </c>
      <c r="J1673">
        <v>-203.43469999999999</v>
      </c>
      <c r="K1673">
        <v>1.1004609999999999</v>
      </c>
      <c r="L1673">
        <v>286.08780000000002</v>
      </c>
      <c r="M1673">
        <v>-0.93389200000000006</v>
      </c>
      <c r="N1673">
        <v>-1.18452E-2</v>
      </c>
      <c r="O1673">
        <v>-0.35735939999999999</v>
      </c>
      <c r="P1673">
        <v>-0.94466620000000001</v>
      </c>
      <c r="Q1673">
        <v>0.1770535</v>
      </c>
      <c r="R1673">
        <v>-0.27614899999999998</v>
      </c>
      <c r="S1673">
        <v>-3.2395779999999998</v>
      </c>
      <c r="T1673">
        <v>-6.3550590000000004E-2</v>
      </c>
      <c r="U1673">
        <v>0.1325684</v>
      </c>
      <c r="V1673">
        <v>8.4169369999999993E-2</v>
      </c>
      <c r="W1673">
        <v>0.1867086</v>
      </c>
      <c r="X1673">
        <v>0.97880299999999998</v>
      </c>
      <c r="Y1673">
        <v>0.39514369999999999</v>
      </c>
      <c r="Z1673">
        <v>8.8195900000000004E-3</v>
      </c>
      <c r="AA1673">
        <v>0.91857699999999998</v>
      </c>
      <c r="AB1673">
        <v>23</v>
      </c>
      <c r="AC1673">
        <v>-55.871099999999899</v>
      </c>
      <c r="AD1673">
        <v>-1.1004575846969999</v>
      </c>
      <c r="AE1673">
        <v>2.3659000000000101</v>
      </c>
      <c r="AF1673">
        <v>22.168525400146599</v>
      </c>
      <c r="AG1673">
        <v>-1.1004575846969999</v>
      </c>
      <c r="AH1673">
        <v>51.315817951012797</v>
      </c>
      <c r="AI1673">
        <v>91.127799097279507</v>
      </c>
      <c r="AJ1673">
        <v>66.635568915618094</v>
      </c>
      <c r="AK1673">
        <v>55.910354115263402</v>
      </c>
      <c r="AL1673">
        <v>79.239235611755205</v>
      </c>
      <c r="AM1673">
        <v>85.085103838383901</v>
      </c>
      <c r="AN1673">
        <v>0.99999994848457696</v>
      </c>
    </row>
    <row r="1674" spans="1:40" x14ac:dyDescent="0.25">
      <c r="A1674" t="str">
        <f>"20190304155048925"</f>
        <v>20190304155048925</v>
      </c>
      <c r="B1674" t="str">
        <f>"1551685848917817"</f>
        <v>1551685848917817</v>
      </c>
      <c r="C1674" t="s">
        <v>40</v>
      </c>
      <c r="D1674">
        <v>5.421538</v>
      </c>
      <c r="E1674">
        <v>0.62233590000000005</v>
      </c>
      <c r="F1674" t="s">
        <v>70</v>
      </c>
      <c r="G1674">
        <v>-256.79880000000003</v>
      </c>
      <c r="H1674" s="1">
        <v>2.0811989999999998E-6</v>
      </c>
      <c r="I1674">
        <v>288.59059999999999</v>
      </c>
      <c r="J1674">
        <v>-203.66489999999999</v>
      </c>
      <c r="K1674">
        <v>1.100554</v>
      </c>
      <c r="L1674">
        <v>286.01889999999997</v>
      </c>
      <c r="M1674">
        <v>-0.93950489999999998</v>
      </c>
      <c r="N1674">
        <v>-1.185779E-2</v>
      </c>
      <c r="O1674">
        <v>-0.34233029999999998</v>
      </c>
      <c r="P1674">
        <v>-0.94833690000000004</v>
      </c>
      <c r="Q1674">
        <v>0.1765157</v>
      </c>
      <c r="R1674">
        <v>-0.26362770000000002</v>
      </c>
      <c r="S1674">
        <v>-3.2325439999999999</v>
      </c>
      <c r="T1674">
        <v>-6.6660520000000001E-2</v>
      </c>
      <c r="U1674">
        <v>0.15161129999999901</v>
      </c>
      <c r="V1674">
        <v>8.1390329999999997E-2</v>
      </c>
      <c r="W1674">
        <v>0.18626960000000001</v>
      </c>
      <c r="X1674">
        <v>0.97912169999999998</v>
      </c>
      <c r="Y1674">
        <v>0.3858587</v>
      </c>
      <c r="Z1674">
        <v>9.1123450000000009E-3</v>
      </c>
      <c r="AA1674">
        <v>0.92251289999999997</v>
      </c>
      <c r="AB1674">
        <v>23</v>
      </c>
      <c r="AC1674">
        <v>-53.133899999999997</v>
      </c>
      <c r="AD1674">
        <v>-1.100551918801</v>
      </c>
      <c r="AE1674">
        <v>2.5717000000000199</v>
      </c>
      <c r="AF1674">
        <v>20.598100106913702</v>
      </c>
      <c r="AG1674">
        <v>-1.100551918801</v>
      </c>
      <c r="AH1674">
        <v>49.021652026522297</v>
      </c>
      <c r="AI1674">
        <v>91.185706560843897</v>
      </c>
      <c r="AJ1674">
        <v>67.208646898190807</v>
      </c>
      <c r="AK1674">
        <v>53.184728164670197</v>
      </c>
      <c r="AL1674">
        <v>79.264838443428502</v>
      </c>
      <c r="AM1674">
        <v>85.248164071577904</v>
      </c>
      <c r="AN1674">
        <v>1.0000000265562701</v>
      </c>
    </row>
    <row r="1675" spans="1:40" x14ac:dyDescent="0.25">
      <c r="A1675" t="str">
        <f>"20190304155048949"</f>
        <v>20190304155048949</v>
      </c>
      <c r="B1675" t="str">
        <f>"1551685848938312"</f>
        <v>1551685848938312</v>
      </c>
      <c r="C1675" t="s">
        <v>40</v>
      </c>
      <c r="D1675">
        <v>5.4645070000000002</v>
      </c>
      <c r="E1675">
        <v>0.61935410000000002</v>
      </c>
      <c r="F1675" t="s">
        <v>70</v>
      </c>
      <c r="G1675">
        <v>-249.83449999999999</v>
      </c>
      <c r="H1675" s="1">
        <v>3.6966540000000001E-6</v>
      </c>
      <c r="I1675">
        <v>288.35640000000001</v>
      </c>
      <c r="J1675">
        <v>-203.89959999999999</v>
      </c>
      <c r="K1675">
        <v>1.1006689999999999</v>
      </c>
      <c r="L1675">
        <v>285.95260000000002</v>
      </c>
      <c r="M1675">
        <v>-0.94488130000000004</v>
      </c>
      <c r="N1675">
        <v>-1.186276E-2</v>
      </c>
      <c r="O1675">
        <v>-0.32719799999999999</v>
      </c>
      <c r="P1675">
        <v>-0.95142579999999999</v>
      </c>
      <c r="Q1675">
        <v>0.17628469999999999</v>
      </c>
      <c r="R1675">
        <v>-0.25241370000000002</v>
      </c>
      <c r="S1675">
        <v>-3.2230989999999999</v>
      </c>
      <c r="T1675">
        <v>-7.6829309999999998E-2</v>
      </c>
      <c r="U1675">
        <v>0.1631775</v>
      </c>
      <c r="V1675">
        <v>7.7171210000000004E-2</v>
      </c>
      <c r="W1675">
        <v>0.18616840000000001</v>
      </c>
      <c r="X1675">
        <v>0.97948250000000003</v>
      </c>
      <c r="Y1675">
        <v>0.37440299999999999</v>
      </c>
      <c r="Z1675">
        <v>1.0455030000000001E-2</v>
      </c>
      <c r="AA1675">
        <v>0.92720720000000001</v>
      </c>
      <c r="AB1675">
        <v>23</v>
      </c>
      <c r="AC1675">
        <v>-45.934899999999999</v>
      </c>
      <c r="AD1675">
        <v>-1.1006653033460001</v>
      </c>
      <c r="AE1675">
        <v>2.40379999999998</v>
      </c>
      <c r="AF1675">
        <v>17.292429860756702</v>
      </c>
      <c r="AG1675">
        <v>-1.1006653033460001</v>
      </c>
      <c r="AH1675">
        <v>42.595120766809501</v>
      </c>
      <c r="AI1675">
        <v>91.371535093896199</v>
      </c>
      <c r="AJ1675">
        <v>67.904220787133994</v>
      </c>
      <c r="AK1675">
        <v>45.9846051166938</v>
      </c>
      <c r="AL1675">
        <v>79.270739915187093</v>
      </c>
      <c r="AM1675">
        <v>85.4951011872229</v>
      </c>
      <c r="AN1675">
        <v>1.00000001830883</v>
      </c>
    </row>
    <row r="1676" spans="1:40" x14ac:dyDescent="0.25">
      <c r="A1676" t="str">
        <f>"20190304155048972"</f>
        <v>20190304155048972</v>
      </c>
      <c r="B1676" t="str">
        <f>"1551685848968569"</f>
        <v>1551685848968569</v>
      </c>
      <c r="C1676" t="s">
        <v>40</v>
      </c>
      <c r="D1676">
        <v>4.9150090000000004</v>
      </c>
      <c r="E1676">
        <v>0.62086319999999995</v>
      </c>
      <c r="F1676" t="s">
        <v>70</v>
      </c>
      <c r="G1676">
        <v>-247.24449999999999</v>
      </c>
      <c r="H1676" s="1">
        <v>2.318396E-6</v>
      </c>
      <c r="I1676">
        <v>288.36219999999997</v>
      </c>
      <c r="J1676">
        <v>-204.1454</v>
      </c>
      <c r="K1676">
        <v>1.1008209999999901</v>
      </c>
      <c r="L1676">
        <v>285.88740000000001</v>
      </c>
      <c r="M1676">
        <v>-0.95013349999999996</v>
      </c>
      <c r="N1676">
        <v>-1.186152E-2</v>
      </c>
      <c r="O1676">
        <v>-0.31161820000000001</v>
      </c>
      <c r="P1676">
        <v>-0.95442590000000005</v>
      </c>
      <c r="Q1676">
        <v>0.17607030000000001</v>
      </c>
      <c r="R1676">
        <v>-0.24097930000000001</v>
      </c>
      <c r="S1676">
        <v>-3.2157290000000001</v>
      </c>
      <c r="T1676">
        <v>-8.1657649999999998E-2</v>
      </c>
      <c r="U1676">
        <v>0.17877199999999999</v>
      </c>
      <c r="V1676">
        <v>7.2748939999999998E-2</v>
      </c>
      <c r="W1676">
        <v>0.186085</v>
      </c>
      <c r="X1676">
        <v>0.9798367</v>
      </c>
      <c r="Y1676">
        <v>0.36370599999999997</v>
      </c>
      <c r="Z1676">
        <v>1.086224E-2</v>
      </c>
      <c r="AA1676">
        <v>0.93145049999999996</v>
      </c>
      <c r="AB1676">
        <v>23</v>
      </c>
      <c r="AC1676">
        <v>-43.0990999999999</v>
      </c>
      <c r="AD1676">
        <v>-1.10081868160399</v>
      </c>
      <c r="AE1676">
        <v>2.4747999999999601</v>
      </c>
      <c r="AF1676">
        <v>15.7727067323376</v>
      </c>
      <c r="AG1676">
        <v>-1.10081868160399</v>
      </c>
      <c r="AH1676">
        <v>40.155417273890798</v>
      </c>
      <c r="AI1676">
        <v>91.4616503580108</v>
      </c>
      <c r="AJ1676">
        <v>68.555521761378301</v>
      </c>
      <c r="AK1676">
        <v>43.156084343628599</v>
      </c>
      <c r="AL1676">
        <v>79.275603137953098</v>
      </c>
      <c r="AM1676">
        <v>85.753809359164606</v>
      </c>
      <c r="AN1676">
        <v>0.999999997081506</v>
      </c>
    </row>
    <row r="1677" spans="1:40" x14ac:dyDescent="0.25">
      <c r="A1677" t="str">
        <f>"20190304155048993"</f>
        <v>20190304155048993</v>
      </c>
      <c r="B1677" t="str">
        <f>"1551685848988088"</f>
        <v>1551685848988088</v>
      </c>
      <c r="C1677" t="s">
        <v>40</v>
      </c>
      <c r="D1677">
        <v>4.9019430000000002</v>
      </c>
      <c r="E1677">
        <v>0.62263630000000003</v>
      </c>
      <c r="F1677" t="s">
        <v>42</v>
      </c>
      <c r="G1677">
        <v>-416.18959999999998</v>
      </c>
      <c r="H1677">
        <v>-0.05</v>
      </c>
      <c r="I1677">
        <v>300.96440000000001</v>
      </c>
      <c r="J1677">
        <v>-204.36199999999999</v>
      </c>
      <c r="K1677">
        <v>1.100959</v>
      </c>
      <c r="L1677">
        <v>285.8331</v>
      </c>
      <c r="M1677">
        <v>-0.95446699999999995</v>
      </c>
      <c r="N1677">
        <v>-1.185888E-2</v>
      </c>
      <c r="O1677">
        <v>-0.29808069999999998</v>
      </c>
      <c r="P1677">
        <v>-0.95684630000000004</v>
      </c>
      <c r="Q1677">
        <v>0.175890299999999</v>
      </c>
      <c r="R1677">
        <v>-0.23131789999999999</v>
      </c>
      <c r="S1677">
        <v>-3.2039949999999999</v>
      </c>
      <c r="T1677">
        <v>-1.7388939999999999E-2</v>
      </c>
      <c r="U1677">
        <v>0.22781370000000001</v>
      </c>
      <c r="V1677">
        <v>6.8662180000000003E-2</v>
      </c>
      <c r="W1677">
        <v>0.1860213</v>
      </c>
      <c r="X1677">
        <v>0.98014369999999995</v>
      </c>
      <c r="Y1677">
        <v>0.36502780000000001</v>
      </c>
      <c r="Z1677">
        <v>1.1954239999999901E-3</v>
      </c>
      <c r="AA1677">
        <v>0.93099580000000004</v>
      </c>
      <c r="AB1677">
        <v>23</v>
      </c>
      <c r="AC1677">
        <v>-211.82759999999999</v>
      </c>
      <c r="AD1677">
        <v>-1.1509590000000001</v>
      </c>
      <c r="AE1677">
        <v>15.1313</v>
      </c>
      <c r="AF1677">
        <v>77.587223227185703</v>
      </c>
      <c r="AG1677">
        <v>-1.1509590000000001</v>
      </c>
      <c r="AH1677">
        <v>197.680200973268</v>
      </c>
      <c r="AI1677">
        <v>90.310529780372804</v>
      </c>
      <c r="AJ1677">
        <v>68.570559207239796</v>
      </c>
      <c r="AK1677">
        <v>212.364224321227</v>
      </c>
      <c r="AL1677">
        <v>79.279318266040406</v>
      </c>
      <c r="AM1677">
        <v>85.9927951153729</v>
      </c>
      <c r="AN1677">
        <v>1.00000004583286</v>
      </c>
    </row>
    <row r="1678" spans="1:40" x14ac:dyDescent="0.25">
      <c r="A1678" t="str">
        <f>"20190304155049015"</f>
        <v>20190304155049015</v>
      </c>
      <c r="B1678" t="str">
        <f>"1551685849008585"</f>
        <v>1551685849008585</v>
      </c>
      <c r="C1678" t="s">
        <v>40</v>
      </c>
      <c r="D1678">
        <v>5.5130350000000004</v>
      </c>
      <c r="E1678">
        <v>0.62065349999999997</v>
      </c>
      <c r="F1678" t="s">
        <v>71</v>
      </c>
      <c r="G1678">
        <v>-440.87220000000002</v>
      </c>
      <c r="H1678">
        <v>3.3460529999999999</v>
      </c>
      <c r="I1678">
        <v>306.02480000000003</v>
      </c>
      <c r="J1678">
        <v>-204.58959999999999</v>
      </c>
      <c r="K1678">
        <v>1.1011120000000001</v>
      </c>
      <c r="L1678">
        <v>285.77929999999998</v>
      </c>
      <c r="M1678">
        <v>-0.95872809999999997</v>
      </c>
      <c r="N1678">
        <v>-1.185369E-2</v>
      </c>
      <c r="O1678">
        <v>-0.28407719999999997</v>
      </c>
      <c r="P1678">
        <v>-0.95900680000000005</v>
      </c>
      <c r="Q1678">
        <v>0.17674719999999999</v>
      </c>
      <c r="R1678">
        <v>-0.22151000000000001</v>
      </c>
      <c r="S1678">
        <v>-3.195694</v>
      </c>
      <c r="T1678">
        <v>3.0335549999999999E-2</v>
      </c>
      <c r="U1678">
        <v>0.27282709999999999</v>
      </c>
      <c r="V1678">
        <v>6.4246239999999996E-2</v>
      </c>
      <c r="W1678">
        <v>0.18699669999999999</v>
      </c>
      <c r="X1678">
        <v>0.9802575</v>
      </c>
      <c r="Y1678">
        <v>0.36456630000000001</v>
      </c>
      <c r="Z1678">
        <v>-5.6204310000000004E-3</v>
      </c>
      <c r="AA1678">
        <v>0.9311604</v>
      </c>
      <c r="AB1678">
        <v>23</v>
      </c>
      <c r="AC1678">
        <v>-236.2826</v>
      </c>
      <c r="AD1678">
        <v>2.2449409999999999</v>
      </c>
      <c r="AE1678">
        <v>20.2455</v>
      </c>
      <c r="AF1678">
        <v>86.530757686841199</v>
      </c>
      <c r="AG1678">
        <v>2.2449409999999999</v>
      </c>
      <c r="AH1678">
        <v>220.77521858596799</v>
      </c>
      <c r="AI1678">
        <v>89.457582902997899</v>
      </c>
      <c r="AJ1678">
        <v>68.597773820292502</v>
      </c>
      <c r="AK1678">
        <v>237.13774252032101</v>
      </c>
      <c r="AL1678">
        <v>79.222433933897904</v>
      </c>
      <c r="AM1678">
        <v>86.250188043307901</v>
      </c>
      <c r="AN1678">
        <v>1.0000000557356299</v>
      </c>
    </row>
    <row r="1679" spans="1:40" x14ac:dyDescent="0.25">
      <c r="A1679" t="str">
        <f>"20190304155049037"</f>
        <v>20190304155049037</v>
      </c>
      <c r="B1679" t="str">
        <f>"1551685849028104"</f>
        <v>1551685849028104</v>
      </c>
      <c r="C1679" t="s">
        <v>40</v>
      </c>
      <c r="D1679">
        <v>5.4841959999999998</v>
      </c>
      <c r="E1679">
        <v>0.61657240000000002</v>
      </c>
      <c r="F1679" t="s">
        <v>71</v>
      </c>
      <c r="G1679">
        <v>-440.87240000000003</v>
      </c>
      <c r="H1679">
        <v>3.9831349999999999</v>
      </c>
      <c r="I1679">
        <v>307.2534</v>
      </c>
      <c r="J1679">
        <v>-204.82409999999999</v>
      </c>
      <c r="K1679">
        <v>1.1012900000000001</v>
      </c>
      <c r="L1679">
        <v>285.72710000000001</v>
      </c>
      <c r="M1679">
        <v>-0.96280469999999896</v>
      </c>
      <c r="N1679">
        <v>-1.1844800000000001E-2</v>
      </c>
      <c r="O1679">
        <v>-0.26993830000000002</v>
      </c>
      <c r="P1679">
        <v>-0.96092569999999999</v>
      </c>
      <c r="Q1679">
        <v>0.1777937</v>
      </c>
      <c r="R1679">
        <v>-0.21215819999999999</v>
      </c>
      <c r="S1679">
        <v>-3.1879879999999998</v>
      </c>
      <c r="T1679">
        <v>3.8885120000000002E-2</v>
      </c>
      <c r="U1679">
        <v>0.28973389999999999</v>
      </c>
      <c r="V1679">
        <v>5.9251419999999999E-2</v>
      </c>
      <c r="W1679">
        <v>0.1881699</v>
      </c>
      <c r="X1679">
        <v>0.98034759999999999</v>
      </c>
      <c r="Y1679">
        <v>0.35592069999999998</v>
      </c>
      <c r="Z1679">
        <v>-6.52959E-3</v>
      </c>
      <c r="AA1679">
        <v>0.93449340000000003</v>
      </c>
      <c r="AB1679">
        <v>23</v>
      </c>
      <c r="AC1679">
        <v>-236.04830000000001</v>
      </c>
      <c r="AD1679">
        <v>2.8818450000000002</v>
      </c>
      <c r="AE1679">
        <v>21.5262999999999</v>
      </c>
      <c r="AF1679">
        <v>84.437547411251401</v>
      </c>
      <c r="AG1679">
        <v>2.8818450000000002</v>
      </c>
      <c r="AH1679">
        <v>221.44045640498399</v>
      </c>
      <c r="AI1679">
        <v>89.303314548997903</v>
      </c>
      <c r="AJ1679">
        <v>69.127631139410198</v>
      </c>
      <c r="AK1679">
        <v>237.010295506923</v>
      </c>
      <c r="AL1679">
        <v>79.153999439859803</v>
      </c>
      <c r="AM1679">
        <v>86.541296529399006</v>
      </c>
      <c r="AN1679">
        <v>1.00000002943189</v>
      </c>
    </row>
    <row r="1680" spans="1:40" x14ac:dyDescent="0.25">
      <c r="A1680" t="str">
        <f>"20190304155049060"</f>
        <v>20190304155049060</v>
      </c>
      <c r="B1680" t="str">
        <f>"1551685849048428"</f>
        <v>1551685849048428</v>
      </c>
      <c r="C1680" t="s">
        <v>40</v>
      </c>
      <c r="D1680">
        <v>5.5663080000000003</v>
      </c>
      <c r="E1680">
        <v>0.6127186</v>
      </c>
      <c r="F1680" t="s">
        <v>71</v>
      </c>
      <c r="G1680">
        <v>-440.19880000000001</v>
      </c>
      <c r="H1680">
        <v>2.7259899999999999</v>
      </c>
      <c r="I1680">
        <v>307.14179999999999</v>
      </c>
      <c r="J1680">
        <v>-205.05459999999999</v>
      </c>
      <c r="K1680">
        <v>1.1014889999999999</v>
      </c>
      <c r="L1680">
        <v>285.67899999999997</v>
      </c>
      <c r="M1680">
        <v>-0.96650860000000005</v>
      </c>
      <c r="N1680">
        <v>-1.182764E-2</v>
      </c>
      <c r="O1680">
        <v>-0.25636150000000002</v>
      </c>
      <c r="P1680">
        <v>-0.96245999999999998</v>
      </c>
      <c r="Q1680">
        <v>0.17926789999999901</v>
      </c>
      <c r="R1680">
        <v>-0.20379839999999999</v>
      </c>
      <c r="S1680">
        <v>-3.181854</v>
      </c>
      <c r="T1680">
        <v>2.1963239999999998E-2</v>
      </c>
      <c r="U1680">
        <v>0.28948970000000002</v>
      </c>
      <c r="V1680">
        <v>5.3835510000000003E-2</v>
      </c>
      <c r="W1680">
        <v>0.18976950000000001</v>
      </c>
      <c r="X1680">
        <v>0.98035159999999999</v>
      </c>
      <c r="Y1680">
        <v>0.34286499999999998</v>
      </c>
      <c r="Z1680">
        <v>-3.9479210000000001E-3</v>
      </c>
      <c r="AA1680">
        <v>0.9393764</v>
      </c>
      <c r="AB1680">
        <v>23</v>
      </c>
      <c r="AC1680">
        <v>-235.14420000000001</v>
      </c>
      <c r="AD1680">
        <v>1.624501</v>
      </c>
      <c r="AE1680">
        <v>21.462799999999898</v>
      </c>
      <c r="AF1680">
        <v>81.027733943566403</v>
      </c>
      <c r="AG1680">
        <v>1.624501</v>
      </c>
      <c r="AH1680">
        <v>221.771673748403</v>
      </c>
      <c r="AI1680">
        <v>89.605796515398495</v>
      </c>
      <c r="AJ1680">
        <v>69.929436846429795</v>
      </c>
      <c r="AK1680">
        <v>236.11608998265399</v>
      </c>
      <c r="AL1680">
        <v>79.060667124343695</v>
      </c>
      <c r="AM1680">
        <v>86.856788400872503</v>
      </c>
      <c r="AN1680">
        <v>0.99999999244488402</v>
      </c>
    </row>
    <row r="1681" spans="1:40" x14ac:dyDescent="0.25">
      <c r="A1681" t="str">
        <f>"20190304155049082"</f>
        <v>20190304155049082</v>
      </c>
      <c r="B1681" t="str">
        <f>"1551685849078685"</f>
        <v>1551685849078685</v>
      </c>
      <c r="C1681" t="s">
        <v>40</v>
      </c>
      <c r="D1681">
        <v>5.518497</v>
      </c>
      <c r="E1681">
        <v>0.60779419999999995</v>
      </c>
      <c r="F1681" t="s">
        <v>71</v>
      </c>
      <c r="G1681">
        <v>-440.87169999999998</v>
      </c>
      <c r="H1681">
        <v>1.804554</v>
      </c>
      <c r="I1681">
        <v>307.00529999999998</v>
      </c>
      <c r="J1681">
        <v>-205.28280000000001</v>
      </c>
      <c r="K1681">
        <v>1.101721</v>
      </c>
      <c r="L1681">
        <v>285.63420000000002</v>
      </c>
      <c r="M1681">
        <v>-0.96988540000000001</v>
      </c>
      <c r="N1681">
        <v>-1.17994E-2</v>
      </c>
      <c r="O1681">
        <v>-0.24327589999999999</v>
      </c>
      <c r="P1681">
        <v>-0.96379760000000003</v>
      </c>
      <c r="Q1681">
        <v>0.1801866</v>
      </c>
      <c r="R1681">
        <v>-0.19653760000000001</v>
      </c>
      <c r="S1681">
        <v>-3.1760709999999999</v>
      </c>
      <c r="T1681">
        <v>9.4692709999999996E-3</v>
      </c>
      <c r="U1681">
        <v>0.28723140000000003</v>
      </c>
      <c r="V1681">
        <v>4.7835839999999998E-2</v>
      </c>
      <c r="W1681">
        <v>0.19081429999999999</v>
      </c>
      <c r="X1681">
        <v>0.98045990000000005</v>
      </c>
      <c r="Y1681">
        <v>0.3296444</v>
      </c>
      <c r="Z1681">
        <v>-2.1406300000000001E-3</v>
      </c>
      <c r="AA1681">
        <v>0.94410280000000002</v>
      </c>
      <c r="AB1681">
        <v>23</v>
      </c>
      <c r="AC1681">
        <v>-235.5889</v>
      </c>
      <c r="AD1681">
        <v>0.70283300000000004</v>
      </c>
      <c r="AE1681">
        <v>21.371099999999899</v>
      </c>
      <c r="AF1681">
        <v>78.045360746836906</v>
      </c>
      <c r="AG1681">
        <v>0.70283300000000004</v>
      </c>
      <c r="AH1681">
        <v>223.30872676396999</v>
      </c>
      <c r="AI1681">
        <v>89.829767323275703</v>
      </c>
      <c r="AJ1681">
        <v>70.735716887555796</v>
      </c>
      <c r="AK1681">
        <v>236.55519389198599</v>
      </c>
      <c r="AL1681">
        <v>78.999690268321899</v>
      </c>
      <c r="AM1681">
        <v>87.206800472573903</v>
      </c>
      <c r="AN1681">
        <v>0.999999990090502</v>
      </c>
    </row>
    <row r="1682" spans="1:40" x14ac:dyDescent="0.25">
      <c r="A1682" t="str">
        <f>"20190304155049105"</f>
        <v>20190304155049105</v>
      </c>
      <c r="B1682" t="str">
        <f>"1551685849098204"</f>
        <v>1551685849098204</v>
      </c>
      <c r="C1682" t="s">
        <v>40</v>
      </c>
      <c r="D1682">
        <v>5.4573729999999996</v>
      </c>
      <c r="E1682">
        <v>0.60524919999999904</v>
      </c>
      <c r="F1682" t="s">
        <v>71</v>
      </c>
      <c r="G1682">
        <v>-440.87130000000002</v>
      </c>
      <c r="H1682">
        <v>0.56354389999999999</v>
      </c>
      <c r="I1682">
        <v>305.95240000000001</v>
      </c>
      <c r="J1682">
        <v>-205.51310000000001</v>
      </c>
      <c r="K1682">
        <v>1.1019920000000001</v>
      </c>
      <c r="L1682">
        <v>285.59179999999998</v>
      </c>
      <c r="M1682">
        <v>-0.97300880000000001</v>
      </c>
      <c r="N1682">
        <v>-1.17598999999999E-2</v>
      </c>
      <c r="O1682">
        <v>-0.23046839999999999</v>
      </c>
      <c r="P1682">
        <v>-0.96494360000000001</v>
      </c>
      <c r="Q1682">
        <v>0.1815214</v>
      </c>
      <c r="R1682">
        <v>-0.18956249999999999</v>
      </c>
      <c r="S1682">
        <v>-3.1697850000000001</v>
      </c>
      <c r="T1682">
        <v>-7.2408910000000002E-3</v>
      </c>
      <c r="U1682">
        <v>0.27337650000000002</v>
      </c>
      <c r="V1682">
        <v>4.183224E-2</v>
      </c>
      <c r="W1682">
        <v>0.1922605</v>
      </c>
      <c r="X1682">
        <v>0.98045190000000004</v>
      </c>
      <c r="Y1682">
        <v>0.31322899999999998</v>
      </c>
      <c r="Z1682" s="1">
        <v>8.4475610000000002E-6</v>
      </c>
      <c r="AA1682">
        <v>0.94967760000000001</v>
      </c>
      <c r="AB1682">
        <v>23</v>
      </c>
      <c r="AC1682">
        <v>-235.35820000000001</v>
      </c>
      <c r="AD1682">
        <v>-0.53844809999999999</v>
      </c>
      <c r="AE1682">
        <v>20.360600000000002</v>
      </c>
      <c r="AF1682">
        <v>74.058403348568106</v>
      </c>
      <c r="AG1682">
        <v>-0.53844809999999999</v>
      </c>
      <c r="AH1682">
        <v>224.32746016675301</v>
      </c>
      <c r="AI1682">
        <v>90.130592914548998</v>
      </c>
      <c r="AJ1682">
        <v>71.7301218263311</v>
      </c>
      <c r="AK1682">
        <v>236.23663225198999</v>
      </c>
      <c r="AL1682">
        <v>78.915265925653401</v>
      </c>
      <c r="AM1682">
        <v>87.556883726977304</v>
      </c>
      <c r="AN1682">
        <v>0.99999998218863795</v>
      </c>
    </row>
    <row r="1683" spans="1:40" x14ac:dyDescent="0.25">
      <c r="A1683" t="str">
        <f>"20190304155049127"</f>
        <v>20190304155049127</v>
      </c>
      <c r="B1683" t="str">
        <f>"1551685849118701"</f>
        <v>1551685849118701</v>
      </c>
      <c r="C1683" t="s">
        <v>40</v>
      </c>
      <c r="D1683">
        <v>5.4695309999999999</v>
      </c>
      <c r="E1683">
        <v>0.60434560000000004</v>
      </c>
      <c r="F1683" t="s">
        <v>71</v>
      </c>
      <c r="G1683">
        <v>-440.87110000000001</v>
      </c>
      <c r="H1683">
        <v>0.10876180000000001</v>
      </c>
      <c r="I1683">
        <v>306.1268</v>
      </c>
      <c r="J1683">
        <v>-205.75530000000001</v>
      </c>
      <c r="K1683">
        <v>1.1023210000000001</v>
      </c>
      <c r="L1683">
        <v>285.54989999999998</v>
      </c>
      <c r="M1683">
        <v>-0.97599610000000003</v>
      </c>
      <c r="N1683">
        <v>-1.1713090000000001E-2</v>
      </c>
      <c r="O1683">
        <v>-0.21747349999999999</v>
      </c>
      <c r="P1683">
        <v>-0.96596289999999996</v>
      </c>
      <c r="Q1683">
        <v>0.18334900000000001</v>
      </c>
      <c r="R1683">
        <v>-0.18248010000000001</v>
      </c>
      <c r="S1683">
        <v>-3.1657709999999999</v>
      </c>
      <c r="T1683">
        <v>-1.3359670000000001E-2</v>
      </c>
      <c r="U1683">
        <v>0.27621459999999998</v>
      </c>
      <c r="V1683">
        <v>3.5745350000000002E-2</v>
      </c>
      <c r="W1683">
        <v>0.19418849999999999</v>
      </c>
      <c r="X1683">
        <v>0.98031279999999998</v>
      </c>
      <c r="Y1683">
        <v>0.3014889</v>
      </c>
      <c r="Z1683">
        <v>7.6474069999999999E-4</v>
      </c>
      <c r="AA1683">
        <v>0.95346940000000002</v>
      </c>
      <c r="AB1683">
        <v>23</v>
      </c>
      <c r="AC1683">
        <v>-235.11580000000001</v>
      </c>
      <c r="AD1683">
        <v>-0.99355919999999998</v>
      </c>
      <c r="AE1683">
        <v>20.576899999999998</v>
      </c>
      <c r="AF1683">
        <v>71.218042720183902</v>
      </c>
      <c r="AG1683">
        <v>-0.99355919999999998</v>
      </c>
      <c r="AH1683">
        <v>225.00858727406299</v>
      </c>
      <c r="AI1683">
        <v>90.241203058955904</v>
      </c>
      <c r="AJ1683">
        <v>72.436766807764897</v>
      </c>
      <c r="AK1683">
        <v>236.012417291649</v>
      </c>
      <c r="AL1683">
        <v>78.8026785798329</v>
      </c>
      <c r="AM1683">
        <v>87.911737212904299</v>
      </c>
      <c r="AN1683">
        <v>1.00000004471135</v>
      </c>
    </row>
    <row r="1684" spans="1:40" x14ac:dyDescent="0.25">
      <c r="A1684" t="str">
        <f>"20190304155049149"</f>
        <v>20190304155049149</v>
      </c>
      <c r="B1684" t="str">
        <f>"1551685849138220"</f>
        <v>1551685849138220</v>
      </c>
      <c r="C1684" t="s">
        <v>40</v>
      </c>
      <c r="D1684">
        <v>4.6563339999999904</v>
      </c>
      <c r="E1684">
        <v>0.57575240000000005</v>
      </c>
      <c r="F1684" t="s">
        <v>71</v>
      </c>
      <c r="G1684">
        <v>-440.87119999999999</v>
      </c>
      <c r="H1684">
        <v>0.2330652</v>
      </c>
      <c r="I1684">
        <v>307.18049999999999</v>
      </c>
      <c r="J1684">
        <v>-205.98869999999999</v>
      </c>
      <c r="K1684">
        <v>1.1026769999999999</v>
      </c>
      <c r="L1684">
        <v>285.51220000000001</v>
      </c>
      <c r="M1684">
        <v>-0.97858460000000003</v>
      </c>
      <c r="N1684">
        <v>-1.1663649999999999E-2</v>
      </c>
      <c r="O1684">
        <v>-0.2055139</v>
      </c>
      <c r="P1684">
        <v>-0.96677060000000004</v>
      </c>
      <c r="Q1684">
        <v>0.1847143</v>
      </c>
      <c r="R1684">
        <v>-0.176734</v>
      </c>
      <c r="S1684">
        <v>-3.1628880000000001</v>
      </c>
      <c r="T1684">
        <v>-1.1693479999999999E-2</v>
      </c>
      <c r="U1684">
        <v>0.290985099999999</v>
      </c>
      <c r="V1684">
        <v>2.9370449999999999E-2</v>
      </c>
      <c r="W1684">
        <v>0.19564999999999999</v>
      </c>
      <c r="X1684">
        <v>0.98023380000000004</v>
      </c>
      <c r="Y1684">
        <v>0.29430620000000002</v>
      </c>
      <c r="Z1684">
        <v>6.1948039999999997E-4</v>
      </c>
      <c r="AA1684">
        <v>0.95571099999999998</v>
      </c>
      <c r="AB1684">
        <v>23</v>
      </c>
      <c r="AC1684">
        <v>-234.88249999999999</v>
      </c>
      <c r="AD1684">
        <v>-0.86961180000000005</v>
      </c>
      <c r="AE1684">
        <v>21.668299999999899</v>
      </c>
      <c r="AF1684">
        <v>69.479671368901506</v>
      </c>
      <c r="AG1684">
        <v>-0.86961180000000005</v>
      </c>
      <c r="AH1684">
        <v>225.411550012589</v>
      </c>
      <c r="AI1684">
        <v>90.211232698500694</v>
      </c>
      <c r="AJ1684">
        <v>72.868884000919195</v>
      </c>
      <c r="AK1684">
        <v>235.87824791042399</v>
      </c>
      <c r="AL1684">
        <v>78.717301856825998</v>
      </c>
      <c r="AM1684">
        <v>88.283777286323797</v>
      </c>
      <c r="AN1684">
        <v>0.99999992424781803</v>
      </c>
    </row>
    <row r="1685" spans="1:40" x14ac:dyDescent="0.25">
      <c r="A1685" t="str">
        <f>"20190304155049173"</f>
        <v>20190304155049173</v>
      </c>
      <c r="B1685" t="str">
        <f>"1551685849168476"</f>
        <v>1551685849168476</v>
      </c>
      <c r="C1685" t="s">
        <v>40</v>
      </c>
      <c r="D1685">
        <v>5.402304</v>
      </c>
      <c r="E1685">
        <v>0.56917669999999998</v>
      </c>
      <c r="F1685" t="s">
        <v>70</v>
      </c>
      <c r="G1685">
        <v>-269.62299999999999</v>
      </c>
      <c r="H1685" s="1">
        <v>3.5841059999999999E-6</v>
      </c>
      <c r="I1685">
        <v>287.23880000000003</v>
      </c>
      <c r="J1685">
        <v>-206.2407</v>
      </c>
      <c r="K1685">
        <v>1.1030770000000001</v>
      </c>
      <c r="L1685">
        <v>285.4742</v>
      </c>
      <c r="M1685">
        <v>-0.98108890000000004</v>
      </c>
      <c r="N1685">
        <v>-1.1604120000000001E-2</v>
      </c>
      <c r="O1685">
        <v>-0.19320909999999999</v>
      </c>
      <c r="P1685">
        <v>-0.9677055</v>
      </c>
      <c r="Q1685">
        <v>0.18481719999999999</v>
      </c>
      <c r="R1685">
        <v>-0.17143129999999901</v>
      </c>
      <c r="S1685">
        <v>-3.1289980000000002</v>
      </c>
      <c r="T1685">
        <v>-5.4220200000000003E-2</v>
      </c>
      <c r="U1685">
        <v>8.4899899999999903E-2</v>
      </c>
      <c r="V1685">
        <v>2.2231210000000001E-2</v>
      </c>
      <c r="W1685">
        <v>0.1958464</v>
      </c>
      <c r="X1685">
        <v>0.98038259999999999</v>
      </c>
      <c r="Y1685">
        <v>0.2197054</v>
      </c>
      <c r="Z1685">
        <v>4.2608180000000004E-3</v>
      </c>
      <c r="AA1685">
        <v>0.97555700000000001</v>
      </c>
      <c r="AB1685">
        <v>23</v>
      </c>
      <c r="AC1685">
        <v>-63.382300000000001</v>
      </c>
      <c r="AD1685">
        <v>-1.1030734158939901</v>
      </c>
      <c r="AE1685">
        <v>1.7646000000000299</v>
      </c>
      <c r="AF1685">
        <v>13.973979689703199</v>
      </c>
      <c r="AG1685">
        <v>-1.1030734158939901</v>
      </c>
      <c r="AH1685">
        <v>61.828191146681803</v>
      </c>
      <c r="AI1685">
        <v>90.996961518402301</v>
      </c>
      <c r="AJ1685">
        <v>77.264380440318405</v>
      </c>
      <c r="AK1685">
        <v>63.3972720217496</v>
      </c>
      <c r="AL1685">
        <v>78.705828306885905</v>
      </c>
      <c r="AM1685">
        <v>88.700980361339305</v>
      </c>
      <c r="AN1685">
        <v>1.0000000407368901</v>
      </c>
    </row>
    <row r="1686" spans="1:40" x14ac:dyDescent="0.25">
      <c r="A1686" t="str">
        <f>"20190304155049193"</f>
        <v>20190304155049193</v>
      </c>
      <c r="B1686" t="str">
        <f>"1551685849187997"</f>
        <v>1551685849187997</v>
      </c>
      <c r="C1686" t="s">
        <v>40</v>
      </c>
      <c r="D1686">
        <v>5.3900829999999997</v>
      </c>
      <c r="E1686">
        <v>0.56729390000000002</v>
      </c>
      <c r="F1686" t="s">
        <v>70</v>
      </c>
      <c r="G1686">
        <v>-243.19630000000001</v>
      </c>
      <c r="H1686" s="1">
        <v>1.6411629999999999E-7</v>
      </c>
      <c r="I1686">
        <v>286.0797</v>
      </c>
      <c r="J1686">
        <v>-206.45580000000001</v>
      </c>
      <c r="K1686">
        <v>1.1033790000000001</v>
      </c>
      <c r="L1686">
        <v>285.4436</v>
      </c>
      <c r="M1686">
        <v>-0.98302369999999994</v>
      </c>
      <c r="N1686">
        <v>-1.1552929999999999E-2</v>
      </c>
      <c r="O1686">
        <v>-0.18311549999999999</v>
      </c>
      <c r="P1686">
        <v>-0.96800719999999996</v>
      </c>
      <c r="Q1686">
        <v>0.18527270000000001</v>
      </c>
      <c r="R1686">
        <v>-0.16922400000000001</v>
      </c>
      <c r="S1686">
        <v>-3.1269990000000001</v>
      </c>
      <c r="T1686">
        <v>-9.3336939999999993E-2</v>
      </c>
      <c r="U1686">
        <v>5.1239010000000001E-2</v>
      </c>
      <c r="V1686">
        <v>1.422236E-2</v>
      </c>
      <c r="W1686">
        <v>0.19640050000000001</v>
      </c>
      <c r="X1686">
        <v>0.98042059999999998</v>
      </c>
      <c r="Y1686">
        <v>0.19905719999999999</v>
      </c>
      <c r="Z1686">
        <v>7.4398019999999997E-3</v>
      </c>
      <c r="AA1686">
        <v>0.97995960000000004</v>
      </c>
      <c r="AB1686">
        <v>23</v>
      </c>
      <c r="AC1686">
        <v>-36.740499999999997</v>
      </c>
      <c r="AD1686">
        <v>-1.1033788358837</v>
      </c>
      <c r="AE1686">
        <v>0.636099999999999</v>
      </c>
      <c r="AF1686">
        <v>7.3469216525358298</v>
      </c>
      <c r="AG1686">
        <v>-1.1033788358837</v>
      </c>
      <c r="AH1686">
        <v>35.970266958775603</v>
      </c>
      <c r="AI1686">
        <v>91.721463534094198</v>
      </c>
      <c r="AJ1686">
        <v>78.456126845713598</v>
      </c>
      <c r="AK1686">
        <v>36.729481451683498</v>
      </c>
      <c r="AL1686">
        <v>78.673451387258694</v>
      </c>
      <c r="AM1686">
        <v>89.168903580745607</v>
      </c>
      <c r="AN1686">
        <v>0.99999999241428905</v>
      </c>
    </row>
    <row r="1687" spans="1:40" x14ac:dyDescent="0.25">
      <c r="A1687" t="str">
        <f>"20190304155049217"</f>
        <v>20190304155049217</v>
      </c>
      <c r="B1687" t="str">
        <f>"1551685849208492"</f>
        <v>1551685849208492</v>
      </c>
      <c r="C1687" t="s">
        <v>40</v>
      </c>
      <c r="D1687">
        <v>5.1022720000000001</v>
      </c>
      <c r="E1687">
        <v>0.56688340000000004</v>
      </c>
      <c r="F1687" t="s">
        <v>70</v>
      </c>
      <c r="G1687">
        <v>-240.8227</v>
      </c>
      <c r="H1687" s="1">
        <v>-1.0989730000000001E-6</v>
      </c>
      <c r="I1687">
        <v>285.93470000000002</v>
      </c>
      <c r="J1687">
        <v>-206.7004</v>
      </c>
      <c r="K1687">
        <v>1.1036870000000001</v>
      </c>
      <c r="L1687">
        <v>285.411</v>
      </c>
      <c r="M1687">
        <v>-0.98500469999999896</v>
      </c>
      <c r="N1687">
        <v>-1.1497530000000001E-2</v>
      </c>
      <c r="O1687">
        <v>-0.17214479999999999</v>
      </c>
      <c r="P1687">
        <v>-0.96846330000000003</v>
      </c>
      <c r="Q1687">
        <v>0.18623049999999999</v>
      </c>
      <c r="R1687">
        <v>-0.16552140000000001</v>
      </c>
      <c r="S1687">
        <v>-3.1261749999999999</v>
      </c>
      <c r="T1687">
        <v>-0.1003686</v>
      </c>
      <c r="U1687">
        <v>4.4677729999999999E-2</v>
      </c>
      <c r="V1687">
        <v>6.8596150000000003E-3</v>
      </c>
      <c r="W1687">
        <v>0.1974294</v>
      </c>
      <c r="X1687">
        <v>0.98029310000000003</v>
      </c>
      <c r="Y1687">
        <v>0.1860494</v>
      </c>
      <c r="Z1687">
        <v>7.5760999999999997E-3</v>
      </c>
      <c r="AA1687">
        <v>0.98251120000000003</v>
      </c>
      <c r="AB1687">
        <v>23</v>
      </c>
      <c r="AC1687">
        <v>-34.122300000000003</v>
      </c>
      <c r="AD1687">
        <v>-1.103688098973</v>
      </c>
      <c r="AE1687">
        <v>0.52370000000001904</v>
      </c>
      <c r="AF1687">
        <v>6.3835680113775597</v>
      </c>
      <c r="AG1687">
        <v>-1.103688098973</v>
      </c>
      <c r="AH1687">
        <v>33.487658033782601</v>
      </c>
      <c r="AI1687">
        <v>91.854308126264101</v>
      </c>
      <c r="AJ1687">
        <v>79.207502446961996</v>
      </c>
      <c r="AK1687">
        <v>34.108522520966197</v>
      </c>
      <c r="AL1687">
        <v>78.613322462912393</v>
      </c>
      <c r="AM1687">
        <v>89.599078506325696</v>
      </c>
      <c r="AN1687">
        <v>0.99999999210495905</v>
      </c>
    </row>
    <row r="1688" spans="1:40" x14ac:dyDescent="0.25">
      <c r="A1688" t="str">
        <f>"20190304155049239"</f>
        <v>20190304155049239</v>
      </c>
      <c r="B1688" t="str">
        <f>"1551685849228016"</f>
        <v>1551685849228016</v>
      </c>
      <c r="C1688" t="s">
        <v>40</v>
      </c>
      <c r="D1688">
        <v>5.1282379999999996</v>
      </c>
      <c r="E1688">
        <v>0.51953909999999903</v>
      </c>
      <c r="F1688" t="s">
        <v>70</v>
      </c>
      <c r="G1688">
        <v>-250.48689999999999</v>
      </c>
      <c r="H1688" s="1">
        <v>-1.277676E-6</v>
      </c>
      <c r="I1688">
        <v>286.14640000000003</v>
      </c>
      <c r="J1688">
        <v>-206.9332</v>
      </c>
      <c r="K1688">
        <v>1.1039920000000001</v>
      </c>
      <c r="L1688">
        <v>285.38200000000001</v>
      </c>
      <c r="M1688">
        <v>-0.98668460000000002</v>
      </c>
      <c r="N1688">
        <v>-1.1447239999999999E-2</v>
      </c>
      <c r="O1688">
        <v>-0.16224269999999999</v>
      </c>
      <c r="P1688">
        <v>-0.96894880000000005</v>
      </c>
      <c r="Q1688">
        <v>0.18589600000000001</v>
      </c>
      <c r="R1688">
        <v>-0.1630366</v>
      </c>
      <c r="S1688">
        <v>-3.1217959999999998</v>
      </c>
      <c r="T1688">
        <v>-7.8688380000000002E-2</v>
      </c>
      <c r="U1688">
        <v>5.2429199999999898E-2</v>
      </c>
      <c r="V1688">
        <v>-6.2624830000000003E-4</v>
      </c>
      <c r="W1688">
        <v>0.19716439999999999</v>
      </c>
      <c r="X1688">
        <v>0.98037019999999997</v>
      </c>
      <c r="Y1688">
        <v>0.17870269999999999</v>
      </c>
      <c r="Z1688">
        <v>5.4886229999999998E-3</v>
      </c>
      <c r="AA1688">
        <v>0.98388779999999998</v>
      </c>
      <c r="AB1688">
        <v>23</v>
      </c>
      <c r="AC1688">
        <v>-43.5536999999999</v>
      </c>
      <c r="AD1688">
        <v>-1.103993277676</v>
      </c>
      <c r="AE1688">
        <v>0.76440000000002295</v>
      </c>
      <c r="AF1688">
        <v>7.8159827929475103</v>
      </c>
      <c r="AG1688">
        <v>-1.103993277676</v>
      </c>
      <c r="AH1688">
        <v>42.825042303237701</v>
      </c>
      <c r="AI1688">
        <v>91.452723343714794</v>
      </c>
      <c r="AJ1688">
        <v>79.656808669929205</v>
      </c>
      <c r="AK1688">
        <v>43.546442293841899</v>
      </c>
      <c r="AL1688">
        <v>78.628809917269393</v>
      </c>
      <c r="AM1688">
        <v>90.0365998269192</v>
      </c>
      <c r="AN1688">
        <v>0.99999996093116506</v>
      </c>
    </row>
    <row r="1689" spans="1:40" x14ac:dyDescent="0.25">
      <c r="A1689" t="str">
        <f>"20190304155049260"</f>
        <v>20190304155049260</v>
      </c>
      <c r="B1689" t="str">
        <f>"1551685849248044"</f>
        <v>1551685849248044</v>
      </c>
      <c r="C1689" t="s">
        <v>40</v>
      </c>
      <c r="D1689">
        <v>5.1805830000000004</v>
      </c>
      <c r="E1689">
        <v>0.51765329999999998</v>
      </c>
      <c r="F1689" t="s">
        <v>70</v>
      </c>
      <c r="G1689">
        <v>-272.8032</v>
      </c>
      <c r="H1689">
        <v>8.0000899999999903E-2</v>
      </c>
      <c r="I1689">
        <v>278.60750000000002</v>
      </c>
      <c r="J1689">
        <v>-207.16329999999999</v>
      </c>
      <c r="K1689">
        <v>1.1043130000000001</v>
      </c>
      <c r="L1689">
        <v>285.35520000000002</v>
      </c>
      <c r="M1689">
        <v>-0.98816170000000003</v>
      </c>
      <c r="N1689">
        <v>-1.1394100000000001E-2</v>
      </c>
      <c r="O1689">
        <v>-0.1529924</v>
      </c>
      <c r="P1689">
        <v>-0.9692075</v>
      </c>
      <c r="Q1689">
        <v>0.1856334</v>
      </c>
      <c r="R1689">
        <v>-0.1617942</v>
      </c>
      <c r="S1689">
        <v>-3.0524140000000002</v>
      </c>
      <c r="T1689">
        <v>-4.7451729999999998E-2</v>
      </c>
      <c r="U1689">
        <v>-0.3139343</v>
      </c>
      <c r="V1689">
        <v>-8.7194539999999997E-3</v>
      </c>
      <c r="W1689">
        <v>0.19696530000000001</v>
      </c>
      <c r="X1689">
        <v>0.98037169999999896</v>
      </c>
      <c r="Y1689">
        <v>5.1084020000000001E-2</v>
      </c>
      <c r="Z1689">
        <v>1.3008970000000001E-3</v>
      </c>
      <c r="AA1689">
        <v>0.99869350000000001</v>
      </c>
      <c r="AB1689">
        <v>23</v>
      </c>
      <c r="AC1689">
        <v>-65.639899999999997</v>
      </c>
      <c r="AD1689">
        <v>-1.0243120999999999</v>
      </c>
      <c r="AE1689">
        <v>-6.7477</v>
      </c>
      <c r="AF1689">
        <v>3.3739931003274601</v>
      </c>
      <c r="AG1689">
        <v>-1.0243120999999999</v>
      </c>
      <c r="AH1689">
        <v>65.883582367293101</v>
      </c>
      <c r="AI1689">
        <v>90.8895576221407</v>
      </c>
      <c r="AJ1689">
        <v>87.068361706582806</v>
      </c>
      <c r="AK1689">
        <v>65.977871064980206</v>
      </c>
      <c r="AL1689">
        <v>78.640446292867594</v>
      </c>
      <c r="AM1689">
        <v>90.509576869050605</v>
      </c>
      <c r="AN1689">
        <v>1.00000001422151</v>
      </c>
    </row>
    <row r="1690" spans="1:40" x14ac:dyDescent="0.25">
      <c r="A1690" t="str">
        <f>"20190304155049282"</f>
        <v>20190304155049282</v>
      </c>
      <c r="B1690" t="str">
        <f>"1551685849278296"</f>
        <v>1551685849278296</v>
      </c>
      <c r="C1690" t="s">
        <v>40</v>
      </c>
      <c r="D1690">
        <v>5.1175280000000001</v>
      </c>
      <c r="E1690">
        <v>0.51697780000000004</v>
      </c>
      <c r="F1690" t="s">
        <v>70</v>
      </c>
      <c r="G1690">
        <v>-265.2783</v>
      </c>
      <c r="H1690">
        <v>8.0001379999999997E-2</v>
      </c>
      <c r="I1690">
        <v>279.16039999999998</v>
      </c>
      <c r="J1690">
        <v>-207.39009999999999</v>
      </c>
      <c r="K1690">
        <v>1.104668</v>
      </c>
      <c r="L1690">
        <v>285.33019999999999</v>
      </c>
      <c r="M1690">
        <v>-0.98945309999999997</v>
      </c>
      <c r="N1690">
        <v>-1.133675E-2</v>
      </c>
      <c r="O1690">
        <v>-0.14441029999999999</v>
      </c>
      <c r="P1690">
        <v>-0.96947649999999996</v>
      </c>
      <c r="Q1690">
        <v>0.18538879999999999</v>
      </c>
      <c r="R1690">
        <v>-0.1604575</v>
      </c>
      <c r="S1690">
        <v>-3.0513150000000002</v>
      </c>
      <c r="T1690">
        <v>-5.3781269999999999E-2</v>
      </c>
      <c r="U1690">
        <v>-0.3252563</v>
      </c>
      <c r="V1690">
        <v>-1.6056899999999999E-2</v>
      </c>
      <c r="W1690">
        <v>0.19675490000000001</v>
      </c>
      <c r="X1690">
        <v>0.9803212</v>
      </c>
      <c r="Y1690">
        <v>3.8709790000000001E-2</v>
      </c>
      <c r="Z1690">
        <v>1.446634E-3</v>
      </c>
      <c r="AA1690">
        <v>0.99924950000000001</v>
      </c>
      <c r="AB1690">
        <v>23</v>
      </c>
      <c r="AC1690">
        <v>-57.888199999999998</v>
      </c>
      <c r="AD1690">
        <v>-1.0246666200000001</v>
      </c>
      <c r="AE1690">
        <v>-6.1698000000000004</v>
      </c>
      <c r="AF1690">
        <v>2.2543707774117099</v>
      </c>
      <c r="AG1690">
        <v>-1.0246666200000001</v>
      </c>
      <c r="AH1690">
        <v>58.154355260137102</v>
      </c>
      <c r="AI1690">
        <v>91.008676803506404</v>
      </c>
      <c r="AJ1690">
        <v>87.780023741761696</v>
      </c>
      <c r="AK1690">
        <v>58.207054254672798</v>
      </c>
      <c r="AL1690">
        <v>78.6527415941475</v>
      </c>
      <c r="AM1690">
        <v>90.938376466560996</v>
      </c>
      <c r="AN1690">
        <v>0.999999984940529</v>
      </c>
    </row>
    <row r="1691" spans="1:40" x14ac:dyDescent="0.25">
      <c r="A1691" t="str">
        <f>"20190304155049306"</f>
        <v>20190304155049306</v>
      </c>
      <c r="B1691" t="str">
        <f>"1551685849297817"</f>
        <v>1551685849297817</v>
      </c>
      <c r="C1691" t="s">
        <v>40</v>
      </c>
      <c r="D1691">
        <v>5.1087369999999996</v>
      </c>
      <c r="E1691">
        <v>0.51636890000000002</v>
      </c>
      <c r="F1691" t="s">
        <v>70</v>
      </c>
      <c r="G1691">
        <v>-260.71039999999999</v>
      </c>
      <c r="H1691">
        <v>1.240083E-2</v>
      </c>
      <c r="I1691">
        <v>279.61630000000002</v>
      </c>
      <c r="J1691">
        <v>-207.65350000000001</v>
      </c>
      <c r="K1691">
        <v>1.1051230000000001</v>
      </c>
      <c r="L1691">
        <v>285.30290000000002</v>
      </c>
      <c r="M1691">
        <v>-0.99076920000000002</v>
      </c>
      <c r="N1691">
        <v>-1.126834E-2</v>
      </c>
      <c r="O1691">
        <v>-0.1350904</v>
      </c>
      <c r="P1691">
        <v>-0.96998879999999998</v>
      </c>
      <c r="Q1691">
        <v>0.1853668</v>
      </c>
      <c r="R1691">
        <v>-0.15735579999999999</v>
      </c>
      <c r="S1691">
        <v>-3.052292</v>
      </c>
      <c r="T1691">
        <v>-6.2526230000000002E-2</v>
      </c>
      <c r="U1691">
        <v>-0.32708739999999997</v>
      </c>
      <c r="V1691">
        <v>-2.23771E-2</v>
      </c>
      <c r="W1691">
        <v>0.19672400000000001</v>
      </c>
      <c r="X1691">
        <v>0.98020350000000001</v>
      </c>
      <c r="Y1691">
        <v>2.8740760000000001E-2</v>
      </c>
      <c r="Z1691">
        <v>1.679622E-3</v>
      </c>
      <c r="AA1691">
        <v>0.99958550000000002</v>
      </c>
      <c r="AB1691">
        <v>23</v>
      </c>
      <c r="AC1691">
        <v>-53.056899999999899</v>
      </c>
      <c r="AD1691">
        <v>-1.0927221699999901</v>
      </c>
      <c r="AE1691">
        <v>-5.6865999999999897</v>
      </c>
      <c r="AF1691">
        <v>1.5328242831557199</v>
      </c>
      <c r="AG1691">
        <v>-1.0927221699999901</v>
      </c>
      <c r="AH1691">
        <v>53.316375765100503</v>
      </c>
      <c r="AI1691">
        <v>91.173631110792797</v>
      </c>
      <c r="AJ1691">
        <v>88.353223073948996</v>
      </c>
      <c r="AK1691">
        <v>53.349597156391297</v>
      </c>
      <c r="AL1691">
        <v>78.654547315616398</v>
      </c>
      <c r="AM1691">
        <v>91.307780197232802</v>
      </c>
      <c r="AN1691">
        <v>0.99999998409632895</v>
      </c>
    </row>
    <row r="1692" spans="1:40" x14ac:dyDescent="0.25">
      <c r="A1692" t="str">
        <f>"20190304155049330"</f>
        <v>20190304155049330</v>
      </c>
      <c r="B1692" t="str">
        <f>"1551685849318313"</f>
        <v>1551685849318313</v>
      </c>
      <c r="C1692" t="s">
        <v>40</v>
      </c>
      <c r="D1692">
        <v>5.1209129999999998</v>
      </c>
      <c r="E1692">
        <v>0.51511700000000005</v>
      </c>
      <c r="F1692" t="s">
        <v>70</v>
      </c>
      <c r="G1692">
        <v>-260.48860000000002</v>
      </c>
      <c r="H1692" s="1">
        <v>-1.2767899999999999E-6</v>
      </c>
      <c r="I1692">
        <v>279.6925</v>
      </c>
      <c r="J1692">
        <v>-207.8972</v>
      </c>
      <c r="K1692">
        <v>1.1055630000000001</v>
      </c>
      <c r="L1692">
        <v>285.27910000000003</v>
      </c>
      <c r="M1692">
        <v>-0.99181580000000003</v>
      </c>
      <c r="N1692">
        <v>-1.120612E-2</v>
      </c>
      <c r="O1692">
        <v>-0.12718450000000001</v>
      </c>
      <c r="P1692">
        <v>-0.97043349999999995</v>
      </c>
      <c r="Q1692">
        <v>0.18526980000000001</v>
      </c>
      <c r="R1692">
        <v>-0.1547066</v>
      </c>
      <c r="S1692">
        <v>-3.0524290000000001</v>
      </c>
      <c r="T1692">
        <v>-6.3846109999999998E-2</v>
      </c>
      <c r="U1692">
        <v>-0.3241272</v>
      </c>
      <c r="V1692">
        <v>-2.7736150000000001E-2</v>
      </c>
      <c r="W1692">
        <v>0.1966011</v>
      </c>
      <c r="X1692">
        <v>0.98009120000000005</v>
      </c>
      <c r="Y1692">
        <v>2.1733079999999998E-2</v>
      </c>
      <c r="Z1692">
        <v>1.5648820000000001E-3</v>
      </c>
      <c r="AA1692">
        <v>0.99976259999999995</v>
      </c>
      <c r="AB1692">
        <v>24</v>
      </c>
      <c r="AC1692">
        <v>-52.5914</v>
      </c>
      <c r="AD1692">
        <v>-1.10556427678999</v>
      </c>
      <c r="AE1692">
        <v>-5.58660000000003</v>
      </c>
      <c r="AF1692">
        <v>1.1475033766952401</v>
      </c>
      <c r="AG1692">
        <v>-1.10556427678999</v>
      </c>
      <c r="AH1692">
        <v>52.851733615719098</v>
      </c>
      <c r="AI1692">
        <v>91.198068776722394</v>
      </c>
      <c r="AJ1692">
        <v>88.756204048060198</v>
      </c>
      <c r="AK1692">
        <v>52.875748529515697</v>
      </c>
      <c r="AL1692">
        <v>78.661729672646999</v>
      </c>
      <c r="AM1692">
        <v>91.621012721320099</v>
      </c>
      <c r="AN1692">
        <v>1.00000002342773</v>
      </c>
    </row>
    <row r="1693" spans="1:40" x14ac:dyDescent="0.25">
      <c r="A1693" t="str">
        <f>"20190304155049352"</f>
        <v>20190304155049352</v>
      </c>
      <c r="B1693" t="str">
        <f>"1551685849348099"</f>
        <v>1551685849348099</v>
      </c>
      <c r="C1693" t="s">
        <v>40</v>
      </c>
      <c r="D1693">
        <v>5.0948880000000001</v>
      </c>
      <c r="E1693">
        <v>0.51387859999999996</v>
      </c>
      <c r="F1693" t="s">
        <v>70</v>
      </c>
      <c r="G1693">
        <v>-257.28989999999999</v>
      </c>
      <c r="H1693" s="1">
        <v>2.3425590000000002E-6</v>
      </c>
      <c r="I1693">
        <v>279.9941</v>
      </c>
      <c r="J1693">
        <v>-208.1277</v>
      </c>
      <c r="K1693">
        <v>1.1059680000000001</v>
      </c>
      <c r="L1693">
        <v>285.2577</v>
      </c>
      <c r="M1693">
        <v>-0.99267229999999995</v>
      </c>
      <c r="N1693">
        <v>-1.114893E-2</v>
      </c>
      <c r="O1693">
        <v>-0.120323</v>
      </c>
      <c r="P1693">
        <v>-0.97072979999999998</v>
      </c>
      <c r="Q1693">
        <v>0.1848225</v>
      </c>
      <c r="R1693">
        <v>-0.15337879999999901</v>
      </c>
      <c r="S1693">
        <v>-3.0523829999999998</v>
      </c>
      <c r="T1693">
        <v>-6.8321699999999999E-2</v>
      </c>
      <c r="U1693">
        <v>-0.32659909999999998</v>
      </c>
      <c r="V1693">
        <v>-3.3372720000000002E-2</v>
      </c>
      <c r="W1693">
        <v>0.19612650000000001</v>
      </c>
      <c r="X1693">
        <v>0.98001059999999995</v>
      </c>
      <c r="Y1693">
        <v>1.401721E-2</v>
      </c>
      <c r="Z1693">
        <v>1.568577E-3</v>
      </c>
      <c r="AA1693">
        <v>0.99990049999999997</v>
      </c>
      <c r="AB1693">
        <v>24</v>
      </c>
      <c r="AC1693">
        <v>-49.162199999999899</v>
      </c>
      <c r="AD1693">
        <v>-1.1059656574409999</v>
      </c>
      <c r="AE1693">
        <v>-5.2635999999999896</v>
      </c>
      <c r="AF1693">
        <v>0.69001105910691696</v>
      </c>
      <c r="AG1693">
        <v>-1.1059656574409999</v>
      </c>
      <c r="AH1693">
        <v>49.413629630434698</v>
      </c>
      <c r="AI1693">
        <v>91.282043292266493</v>
      </c>
      <c r="AJ1693">
        <v>89.1999747349399</v>
      </c>
      <c r="AK1693">
        <v>49.430821038608102</v>
      </c>
      <c r="AL1693">
        <v>78.689462581006694</v>
      </c>
      <c r="AM1693">
        <v>91.950364007529203</v>
      </c>
      <c r="AN1693">
        <v>1.0000000592774001</v>
      </c>
    </row>
    <row r="1694" spans="1:40" x14ac:dyDescent="0.25">
      <c r="A1694" t="str">
        <f>"20190304155049373"</f>
        <v>20190304155049373</v>
      </c>
      <c r="B1694" t="str">
        <f>"1551685849368595"</f>
        <v>1551685849368595</v>
      </c>
      <c r="C1694" t="s">
        <v>40</v>
      </c>
      <c r="D1694">
        <v>5.1658169999999997</v>
      </c>
      <c r="E1694">
        <v>0.51253549999999903</v>
      </c>
      <c r="F1694" t="s">
        <v>70</v>
      </c>
      <c r="G1694">
        <v>-250.82329999999999</v>
      </c>
      <c r="H1694" s="1">
        <v>-1.098694E-6</v>
      </c>
      <c r="I1694">
        <v>280.62169999999998</v>
      </c>
      <c r="J1694">
        <v>-208.36</v>
      </c>
      <c r="K1694">
        <v>1.1063160000000001</v>
      </c>
      <c r="L1694">
        <v>285.2371</v>
      </c>
      <c r="M1694">
        <v>-0.99342960000000002</v>
      </c>
      <c r="N1694">
        <v>-1.1094669999999999E-2</v>
      </c>
      <c r="O1694">
        <v>-0.1139067</v>
      </c>
      <c r="P1694">
        <v>-0.97097460000000002</v>
      </c>
      <c r="Q1694">
        <v>0.18463260000000001</v>
      </c>
      <c r="R1694">
        <v>-0.1520512</v>
      </c>
      <c r="S1694">
        <v>-3.0531160000000002</v>
      </c>
      <c r="T1694">
        <v>-7.9086660000000003E-2</v>
      </c>
      <c r="U1694">
        <v>-0.33151249999999999</v>
      </c>
      <c r="V1694">
        <v>-3.8540060000000001E-2</v>
      </c>
      <c r="W1694">
        <v>0.1959021</v>
      </c>
      <c r="X1694">
        <v>0.97986580000000001</v>
      </c>
      <c r="Y1694">
        <v>5.9885900000000002E-3</v>
      </c>
      <c r="Z1694">
        <v>1.7787949999999999E-3</v>
      </c>
      <c r="AA1694">
        <v>0.99998050000000005</v>
      </c>
      <c r="AB1694">
        <v>24</v>
      </c>
      <c r="AC1694">
        <v>-42.463299999999897</v>
      </c>
      <c r="AD1694">
        <v>-1.1063170986939901</v>
      </c>
      <c r="AE1694">
        <v>-4.6154000000000197</v>
      </c>
      <c r="AF1694">
        <v>0.25162606515596098</v>
      </c>
      <c r="AG1694">
        <v>-1.1063170986939901</v>
      </c>
      <c r="AH1694">
        <v>42.684013803695201</v>
      </c>
      <c r="AI1694">
        <v>91.484677887944699</v>
      </c>
      <c r="AJ1694">
        <v>89.662240186442503</v>
      </c>
      <c r="AK1694">
        <v>42.699090008963502</v>
      </c>
      <c r="AL1694">
        <v>78.702573167168794</v>
      </c>
      <c r="AM1694">
        <v>92.252395324332497</v>
      </c>
      <c r="AN1694">
        <v>0.99999997750942604</v>
      </c>
    </row>
    <row r="1695" spans="1:40" x14ac:dyDescent="0.25">
      <c r="A1695" t="str">
        <f>"20190304155049396"</f>
        <v>20190304155049396</v>
      </c>
      <c r="B1695" t="str">
        <f>"1551685849388115"</f>
        <v>1551685849388115</v>
      </c>
      <c r="C1695" t="s">
        <v>40</v>
      </c>
      <c r="D1695">
        <v>5.1404050000000003</v>
      </c>
      <c r="E1695">
        <v>0.51130739999999997</v>
      </c>
      <c r="F1695" t="s">
        <v>70</v>
      </c>
      <c r="G1695">
        <v>-248.26660000000001</v>
      </c>
      <c r="H1695" s="1">
        <v>2.8622969999999998E-6</v>
      </c>
      <c r="I1695">
        <v>280.83280000000002</v>
      </c>
      <c r="J1695">
        <v>-208.60589999999999</v>
      </c>
      <c r="K1695">
        <v>1.1066260000000001</v>
      </c>
      <c r="L1695">
        <v>285.21640000000002</v>
      </c>
      <c r="M1695">
        <v>-0.99412860000000003</v>
      </c>
      <c r="N1695">
        <v>-1.1043249999999999E-2</v>
      </c>
      <c r="O1695">
        <v>-0.1076414</v>
      </c>
      <c r="P1695">
        <v>-0.97138259999999998</v>
      </c>
      <c r="Q1695">
        <v>0.18411649999999999</v>
      </c>
      <c r="R1695">
        <v>-0.15005859999999999</v>
      </c>
      <c r="S1695">
        <v>-3.0530089999999999</v>
      </c>
      <c r="T1695">
        <v>-8.4637169999999998E-2</v>
      </c>
      <c r="U1695">
        <v>-0.33694459999999998</v>
      </c>
      <c r="V1695">
        <v>-4.2859000000000001E-2</v>
      </c>
      <c r="W1695">
        <v>0.19534319999999999</v>
      </c>
      <c r="X1695">
        <v>0.97979799999999995</v>
      </c>
      <c r="Y1695">
        <v>-2.0764009999999999E-3</v>
      </c>
      <c r="Z1695">
        <v>1.7370679999999901E-3</v>
      </c>
      <c r="AA1695">
        <v>0.99999640000000001</v>
      </c>
      <c r="AB1695">
        <v>24</v>
      </c>
      <c r="AC1695">
        <v>-39.660699999999999</v>
      </c>
      <c r="AD1695">
        <v>-1.106623137703</v>
      </c>
      <c r="AE1695">
        <v>-4.3836000000000004</v>
      </c>
      <c r="AF1695">
        <v>-8.8666059043911893E-2</v>
      </c>
      <c r="AG1695">
        <v>-1.106623137703</v>
      </c>
      <c r="AH1695">
        <v>39.871453510597803</v>
      </c>
      <c r="AI1695">
        <v>91.589819275641602</v>
      </c>
      <c r="AJ1695">
        <v>90.127414030532606</v>
      </c>
      <c r="AK1695">
        <v>39.886906140821303</v>
      </c>
      <c r="AL1695">
        <v>78.735226815179601</v>
      </c>
      <c r="AM1695">
        <v>92.504674824790598</v>
      </c>
      <c r="AN1695">
        <v>0.99999999023561903</v>
      </c>
    </row>
    <row r="1696" spans="1:40" x14ac:dyDescent="0.25">
      <c r="A1696" t="str">
        <f>"20190304155049417"</f>
        <v>20190304155049417</v>
      </c>
      <c r="B1696" t="str">
        <f>"1551685849408612"</f>
        <v>1551685849408612</v>
      </c>
      <c r="C1696" t="s">
        <v>40</v>
      </c>
      <c r="D1696">
        <v>5.1700350000000004</v>
      </c>
      <c r="E1696">
        <v>0.51034329999999895</v>
      </c>
      <c r="F1696" t="s">
        <v>70</v>
      </c>
      <c r="G1696">
        <v>-245.6096</v>
      </c>
      <c r="H1696" s="1">
        <v>1.448346E-6</v>
      </c>
      <c r="I1696">
        <v>281.09379999999999</v>
      </c>
      <c r="J1696">
        <v>-208.83349999999999</v>
      </c>
      <c r="K1696">
        <v>1.1068929999999999</v>
      </c>
      <c r="L1696">
        <v>285.19810000000001</v>
      </c>
      <c r="M1696">
        <v>-0.99469010000000002</v>
      </c>
      <c r="N1696">
        <v>-1.1003270000000001E-2</v>
      </c>
      <c r="O1696">
        <v>-0.1023247</v>
      </c>
      <c r="P1696">
        <v>-0.97163809999999995</v>
      </c>
      <c r="Q1696">
        <v>0.1834703</v>
      </c>
      <c r="R1696">
        <v>-0.14919079999999901</v>
      </c>
      <c r="S1696">
        <v>-3.0531459999999999</v>
      </c>
      <c r="T1696">
        <v>-9.130692E-2</v>
      </c>
      <c r="U1696">
        <v>-0.34014889999999998</v>
      </c>
      <c r="V1696">
        <v>-4.7349269999999999E-2</v>
      </c>
      <c r="W1696">
        <v>0.19466610000000001</v>
      </c>
      <c r="X1696">
        <v>0.97972610000000004</v>
      </c>
      <c r="Y1696">
        <v>-8.4540859999999995E-3</v>
      </c>
      <c r="Z1696">
        <v>1.7435969999999999E-3</v>
      </c>
      <c r="AA1696">
        <v>0.99996269999999998</v>
      </c>
      <c r="AB1696">
        <v>24</v>
      </c>
      <c r="AC1696">
        <v>-36.7761</v>
      </c>
      <c r="AD1696">
        <v>-1.1068915516539899</v>
      </c>
      <c r="AE1696">
        <v>-4.1043000000000198</v>
      </c>
      <c r="AF1696">
        <v>-0.31913699635286003</v>
      </c>
      <c r="AG1696">
        <v>-1.1068915516539899</v>
      </c>
      <c r="AH1696">
        <v>36.969958457120697</v>
      </c>
      <c r="AI1696">
        <v>91.714876510773905</v>
      </c>
      <c r="AJ1696">
        <v>90.494583969624699</v>
      </c>
      <c r="AK1696">
        <v>36.987901882247897</v>
      </c>
      <c r="AL1696">
        <v>78.774781676869907</v>
      </c>
      <c r="AM1696">
        <v>92.766899957539195</v>
      </c>
      <c r="AN1696">
        <v>1.00000003743997</v>
      </c>
    </row>
    <row r="1697" spans="1:40" x14ac:dyDescent="0.25">
      <c r="A1697" t="str">
        <f>"20190304155049440"</f>
        <v>20190304155049440</v>
      </c>
      <c r="B1697" t="str">
        <f>"1551685849428138"</f>
        <v>1551685849428138</v>
      </c>
      <c r="C1697" t="s">
        <v>40</v>
      </c>
      <c r="D1697">
        <v>5.1674550000000004</v>
      </c>
      <c r="E1697">
        <v>0.50901279999999904</v>
      </c>
      <c r="F1697" t="s">
        <v>70</v>
      </c>
      <c r="G1697">
        <v>-244.34870000000001</v>
      </c>
      <c r="H1697" s="1">
        <v>7.7738299999999896E-7</v>
      </c>
      <c r="I1697">
        <v>281.1866</v>
      </c>
      <c r="J1697">
        <v>-209.07310000000001</v>
      </c>
      <c r="K1697">
        <v>1.107191</v>
      </c>
      <c r="L1697">
        <v>285.17959999999999</v>
      </c>
      <c r="M1697">
        <v>-0.9952029</v>
      </c>
      <c r="N1697">
        <v>-1.09655E-2</v>
      </c>
      <c r="O1697">
        <v>-9.7216460000000005E-2</v>
      </c>
      <c r="P1697">
        <v>-0.97143749999999995</v>
      </c>
      <c r="Q1697">
        <v>0.18295520000000001</v>
      </c>
      <c r="R1697">
        <v>-0.1511179</v>
      </c>
      <c r="S1697">
        <v>-3.052597</v>
      </c>
      <c r="T1697">
        <v>-9.5139269999999998E-2</v>
      </c>
      <c r="U1697">
        <v>-0.34478760000000003</v>
      </c>
      <c r="V1697">
        <v>-5.4466019999999997E-2</v>
      </c>
      <c r="W1697">
        <v>0.1941319</v>
      </c>
      <c r="X1697">
        <v>0.97946219999999995</v>
      </c>
      <c r="Y1697">
        <v>-1.5105159999999999E-2</v>
      </c>
      <c r="Z1697">
        <v>1.6289399999999999E-3</v>
      </c>
      <c r="AA1697">
        <v>0.99988460000000001</v>
      </c>
      <c r="AB1697">
        <v>24</v>
      </c>
      <c r="AC1697">
        <v>-35.275599999999997</v>
      </c>
      <c r="AD1697">
        <v>-1.1071902226170001</v>
      </c>
      <c r="AE1697">
        <v>-3.9929999999999901</v>
      </c>
      <c r="AF1697">
        <v>-0.543979821127896</v>
      </c>
      <c r="AG1697">
        <v>-1.1071902226170001</v>
      </c>
      <c r="AH1697">
        <v>35.462204139215302</v>
      </c>
      <c r="AI1697">
        <v>91.7880803703205</v>
      </c>
      <c r="AJ1697">
        <v>90.878831542862002</v>
      </c>
      <c r="AK1697">
        <v>35.483654076859601</v>
      </c>
      <c r="AL1697">
        <v>78.805983602505904</v>
      </c>
      <c r="AM1697">
        <v>93.182830725030996</v>
      </c>
      <c r="AN1697">
        <v>0.99999997158054399</v>
      </c>
    </row>
    <row r="1698" spans="1:40" x14ac:dyDescent="0.25">
      <c r="A1698" t="str">
        <f>"20190304155049472"</f>
        <v>20190304155049472</v>
      </c>
      <c r="B1698" t="str">
        <f>"1551685849468655"</f>
        <v>1551685849468655</v>
      </c>
      <c r="C1698" t="s">
        <v>40</v>
      </c>
      <c r="D1698">
        <v>5.1967739999999996</v>
      </c>
      <c r="E1698">
        <v>0.49298140000000001</v>
      </c>
      <c r="F1698" t="s">
        <v>70</v>
      </c>
      <c r="G1698">
        <v>-242.5882</v>
      </c>
      <c r="H1698" s="1">
        <v>-1.59454799999999E-7</v>
      </c>
      <c r="I1698">
        <v>281.21319999999997</v>
      </c>
      <c r="J1698">
        <v>-209.4128</v>
      </c>
      <c r="K1698">
        <v>1.107637</v>
      </c>
      <c r="L1698">
        <v>285.15460000000002</v>
      </c>
      <c r="M1698">
        <v>-0.99581030000000004</v>
      </c>
      <c r="N1698">
        <v>-1.091521E-2</v>
      </c>
      <c r="O1698">
        <v>-9.0789389999999998E-2</v>
      </c>
      <c r="P1698">
        <v>-0.9713233</v>
      </c>
      <c r="Q1698">
        <v>0.18375469999999999</v>
      </c>
      <c r="R1698">
        <v>-0.15088370000000001</v>
      </c>
      <c r="S1698">
        <v>-3.0510250000000001</v>
      </c>
      <c r="T1698">
        <v>-0.1007924</v>
      </c>
      <c r="U1698">
        <v>-0.36108400000000002</v>
      </c>
      <c r="V1698">
        <v>-6.0781099999999998E-2</v>
      </c>
      <c r="W1698">
        <v>0.19485830000000001</v>
      </c>
      <c r="X1698">
        <v>0.97894630000000005</v>
      </c>
      <c r="Y1698">
        <v>-2.6879650000000001E-2</v>
      </c>
      <c r="Z1698">
        <v>1.4016229999999901E-3</v>
      </c>
      <c r="AA1698">
        <v>0.99963769999999996</v>
      </c>
      <c r="AB1698">
        <v>24</v>
      </c>
      <c r="AC1698">
        <v>-33.175400000000003</v>
      </c>
      <c r="AD1698">
        <v>-1.1076371594548</v>
      </c>
      <c r="AE1698">
        <v>-3.9414000000000402</v>
      </c>
      <c r="AF1698">
        <v>-0.911964342540868</v>
      </c>
      <c r="AG1698">
        <v>-1.1076371594548</v>
      </c>
      <c r="AH1698">
        <v>33.359562943279897</v>
      </c>
      <c r="AI1698">
        <v>91.900982756270906</v>
      </c>
      <c r="AJ1698">
        <v>91.565928705828497</v>
      </c>
      <c r="AK1698">
        <v>33.390402495413603</v>
      </c>
      <c r="AL1698">
        <v>78.763553764064497</v>
      </c>
      <c r="AM1698">
        <v>93.552836212453599</v>
      </c>
      <c r="AN1698">
        <v>0.99999997873989399</v>
      </c>
    </row>
    <row r="1699" spans="1:40" x14ac:dyDescent="0.25">
      <c r="A1699" t="str">
        <f>"20190304155049495"</f>
        <v>20190304155049495</v>
      </c>
      <c r="B1699" t="str">
        <f>"1551685849488175"</f>
        <v>1551685849488175</v>
      </c>
      <c r="C1699" t="s">
        <v>40</v>
      </c>
      <c r="D1699">
        <v>4.865723</v>
      </c>
      <c r="E1699">
        <v>0.49501800000000001</v>
      </c>
      <c r="F1699" t="s">
        <v>70</v>
      </c>
      <c r="G1699">
        <v>-232.10679999999999</v>
      </c>
      <c r="H1699" s="1">
        <v>-2.8113609999999998E-7</v>
      </c>
      <c r="I1699">
        <v>281.5385</v>
      </c>
      <c r="J1699">
        <v>-209.66</v>
      </c>
      <c r="K1699">
        <v>1.1079669999999999</v>
      </c>
      <c r="L1699">
        <v>285.13709999999998</v>
      </c>
      <c r="M1699">
        <v>-0.99617619999999896</v>
      </c>
      <c r="N1699">
        <v>-1.088282E-2</v>
      </c>
      <c r="O1699">
        <v>-8.6686730000000004E-2</v>
      </c>
      <c r="P1699">
        <v>-0.97126509999999999</v>
      </c>
      <c r="Q1699">
        <v>0.18503629999999999</v>
      </c>
      <c r="R1699">
        <v>-0.14968609999999999</v>
      </c>
      <c r="S1699">
        <v>-3.041382</v>
      </c>
      <c r="T1699">
        <v>-0.14844270000000001</v>
      </c>
      <c r="U1699">
        <v>-0.48461910000000002</v>
      </c>
      <c r="V1699">
        <v>-6.3777769999999998E-2</v>
      </c>
      <c r="W1699">
        <v>0.19607269999999999</v>
      </c>
      <c r="X1699">
        <v>0.97851310000000002</v>
      </c>
      <c r="Y1699">
        <v>-7.1111590000000002E-2</v>
      </c>
      <c r="Z1699">
        <v>1.1380819999999999E-3</v>
      </c>
      <c r="AA1699">
        <v>0.99746769999999996</v>
      </c>
      <c r="AB1699">
        <v>24</v>
      </c>
      <c r="AC1699">
        <v>-22.4468</v>
      </c>
      <c r="AD1699">
        <v>-1.1079672811361001</v>
      </c>
      <c r="AE1699">
        <v>-3.59859999999997</v>
      </c>
      <c r="AF1699">
        <v>-1.6352128404488699</v>
      </c>
      <c r="AG1699">
        <v>-1.1079672811361001</v>
      </c>
      <c r="AH1699">
        <v>22.620529798326299</v>
      </c>
      <c r="AI1699">
        <v>92.796854441557898</v>
      </c>
      <c r="AJ1699">
        <v>94.134655798909293</v>
      </c>
      <c r="AK1699">
        <v>22.706604345137201</v>
      </c>
      <c r="AL1699">
        <v>78.692605418336001</v>
      </c>
      <c r="AM1699">
        <v>93.729163775014101</v>
      </c>
      <c r="AN1699">
        <v>0.99999999725153599</v>
      </c>
    </row>
    <row r="1700" spans="1:40" x14ac:dyDescent="0.25">
      <c r="A1700" t="str">
        <f>"20190304155049517"</f>
        <v>20190304155049517</v>
      </c>
      <c r="B1700" t="str">
        <f>"1551685849508671"</f>
        <v>1551685849508671</v>
      </c>
      <c r="C1700" t="s">
        <v>40</v>
      </c>
      <c r="D1700">
        <v>5.1963629999999998</v>
      </c>
      <c r="E1700">
        <v>0.55288090000000001</v>
      </c>
      <c r="F1700" t="s">
        <v>70</v>
      </c>
      <c r="G1700">
        <v>-234.73429999999999</v>
      </c>
      <c r="H1700" s="1">
        <v>1.127844E-6</v>
      </c>
      <c r="I1700">
        <v>281.2928</v>
      </c>
      <c r="J1700">
        <v>-209.8997</v>
      </c>
      <c r="K1700">
        <v>1.1082419999999999</v>
      </c>
      <c r="L1700">
        <v>285.12060000000002</v>
      </c>
      <c r="M1700">
        <v>-0.99648380000000003</v>
      </c>
      <c r="N1700">
        <v>-1.08559E-2</v>
      </c>
      <c r="O1700">
        <v>-8.3078559999999996E-2</v>
      </c>
      <c r="P1700">
        <v>-0.97130899999999998</v>
      </c>
      <c r="Q1700">
        <v>0.18609000000000001</v>
      </c>
      <c r="R1700">
        <v>-0.14808489999999999</v>
      </c>
      <c r="S1700">
        <v>-3.042465</v>
      </c>
      <c r="T1700">
        <v>-0.13443820000000001</v>
      </c>
      <c r="U1700">
        <v>-0.46646120000000002</v>
      </c>
      <c r="V1700">
        <v>-6.5852729999999998E-2</v>
      </c>
      <c r="W1700">
        <v>0.19706480000000001</v>
      </c>
      <c r="X1700">
        <v>0.9781763</v>
      </c>
      <c r="Y1700">
        <v>-6.886109E-2</v>
      </c>
      <c r="Z1700">
        <v>8.5244559999999995E-4</v>
      </c>
      <c r="AA1700">
        <v>0.99762589999999995</v>
      </c>
      <c r="AB1700">
        <v>24</v>
      </c>
      <c r="AC1700">
        <v>-24.834599999999899</v>
      </c>
      <c r="AD1700">
        <v>-1.108240872156</v>
      </c>
      <c r="AE1700">
        <v>-3.8278000000000199</v>
      </c>
      <c r="AF1700">
        <v>-1.7478213916204799</v>
      </c>
      <c r="AG1700">
        <v>-1.108240872156</v>
      </c>
      <c r="AH1700">
        <v>25.018099115124599</v>
      </c>
      <c r="AI1700">
        <v>92.530246170664597</v>
      </c>
      <c r="AJ1700">
        <v>93.996320444258799</v>
      </c>
      <c r="AK1700">
        <v>25.103552752188801</v>
      </c>
      <c r="AL1700">
        <v>78.634631179843296</v>
      </c>
      <c r="AM1700">
        <v>93.851451697056902</v>
      </c>
      <c r="AN1700">
        <v>0.99999999566459097</v>
      </c>
    </row>
    <row r="1701" spans="1:40" x14ac:dyDescent="0.25">
      <c r="A1701" t="str">
        <f>"20190304155049538"</f>
        <v>20190304155049538</v>
      </c>
      <c r="B1701" t="str">
        <f>"1551685849528191"</f>
        <v>1551685849528191</v>
      </c>
      <c r="C1701" t="s">
        <v>40</v>
      </c>
      <c r="D1701">
        <v>5.1322070000000002</v>
      </c>
      <c r="E1701">
        <v>0.56033769999999905</v>
      </c>
      <c r="F1701" t="s">
        <v>70</v>
      </c>
      <c r="G1701">
        <v>-259.18599999999998</v>
      </c>
      <c r="H1701" s="1">
        <v>3.3515399999999998E-6</v>
      </c>
      <c r="I1701">
        <v>284.98289999999997</v>
      </c>
      <c r="J1701">
        <v>-210.1285</v>
      </c>
      <c r="K1701">
        <v>1.1084750000000001</v>
      </c>
      <c r="L1701">
        <v>285.10520000000002</v>
      </c>
      <c r="M1701">
        <v>-0.99673460000000003</v>
      </c>
      <c r="N1701">
        <v>-1.0832929999999999E-2</v>
      </c>
      <c r="O1701">
        <v>-8.0018590000000001E-2</v>
      </c>
      <c r="P1701">
        <v>-0.97146180000000004</v>
      </c>
      <c r="Q1701">
        <v>0.18567700000000001</v>
      </c>
      <c r="R1701">
        <v>-0.14760229999999999</v>
      </c>
      <c r="S1701">
        <v>-3.1006469999999999</v>
      </c>
      <c r="T1701">
        <v>-6.9720389999999993E-2</v>
      </c>
      <c r="U1701">
        <v>-8.6669920000000001E-3</v>
      </c>
      <c r="V1701">
        <v>-6.8482189999999998E-2</v>
      </c>
      <c r="W1701">
        <v>0.19660250000000001</v>
      </c>
      <c r="X1701">
        <v>0.97808879999999998</v>
      </c>
      <c r="Y1701">
        <v>7.7202419999999994E-2</v>
      </c>
      <c r="Z1701">
        <v>2.216151E-3</v>
      </c>
      <c r="AA1701">
        <v>0.99701300000000004</v>
      </c>
      <c r="AB1701">
        <v>24</v>
      </c>
      <c r="AC1701">
        <v>-49.057499999999898</v>
      </c>
      <c r="AD1701">
        <v>-1.1084716484599999</v>
      </c>
      <c r="AE1701">
        <v>-0.12230000000005201</v>
      </c>
      <c r="AF1701">
        <v>3.8018931322718101</v>
      </c>
      <c r="AG1701">
        <v>-1.1084716484599999</v>
      </c>
      <c r="AH1701">
        <v>48.885001115076101</v>
      </c>
      <c r="AI1701">
        <v>91.295054850045702</v>
      </c>
      <c r="AJ1701">
        <v>85.552933919961205</v>
      </c>
      <c r="AK1701">
        <v>49.045146903701401</v>
      </c>
      <c r="AL1701">
        <v>78.661647903155398</v>
      </c>
      <c r="AM1701">
        <v>94.005104122953696</v>
      </c>
      <c r="AN1701">
        <v>1.00000002701944</v>
      </c>
    </row>
    <row r="1702" spans="1:40" x14ac:dyDescent="0.25">
      <c r="A1702" t="str">
        <f>"20190304155049575"</f>
        <v>20190304155049575</v>
      </c>
      <c r="B1702" t="str">
        <f>"1551685849568714"</f>
        <v>1551685849568714</v>
      </c>
      <c r="C1702" t="s">
        <v>40</v>
      </c>
      <c r="D1702">
        <v>5.1141990000000002</v>
      </c>
      <c r="E1702">
        <v>0.56489290000000003</v>
      </c>
      <c r="F1702" t="s">
        <v>70</v>
      </c>
      <c r="G1702">
        <v>-268.36509999999998</v>
      </c>
      <c r="H1702" s="1">
        <v>2.9147100000000001E-6</v>
      </c>
      <c r="I1702">
        <v>286.05410000000001</v>
      </c>
      <c r="J1702">
        <v>-210.5136</v>
      </c>
      <c r="K1702">
        <v>1.1088499999999999</v>
      </c>
      <c r="L1702">
        <v>285.08</v>
      </c>
      <c r="M1702">
        <v>-0.99707080000000003</v>
      </c>
      <c r="N1702">
        <v>-1.079755E-2</v>
      </c>
      <c r="O1702">
        <v>-7.5718350000000004E-2</v>
      </c>
      <c r="P1702">
        <v>-0.97123689999999996</v>
      </c>
      <c r="Q1702">
        <v>0.18610850000000001</v>
      </c>
      <c r="R1702">
        <v>-0.14853529999999901</v>
      </c>
      <c r="S1702">
        <v>-3.107132</v>
      </c>
      <c r="T1702">
        <v>-5.914092E-2</v>
      </c>
      <c r="U1702">
        <v>5.0628659999999999E-2</v>
      </c>
      <c r="V1702">
        <v>-7.3834200000000003E-2</v>
      </c>
      <c r="W1702">
        <v>0.19695119999999999</v>
      </c>
      <c r="X1702">
        <v>0.97762910000000003</v>
      </c>
      <c r="Y1702">
        <v>9.1929479999999994E-2</v>
      </c>
      <c r="Z1702">
        <v>1.993383E-3</v>
      </c>
      <c r="AA1702">
        <v>0.99576350000000002</v>
      </c>
      <c r="AB1702">
        <v>24</v>
      </c>
      <c r="AC1702">
        <v>-57.851499999999902</v>
      </c>
      <c r="AD1702">
        <v>-1.1088470852900001</v>
      </c>
      <c r="AE1702">
        <v>0.97410000000002095</v>
      </c>
      <c r="AF1702">
        <v>5.3500137658698002</v>
      </c>
      <c r="AG1702">
        <v>-1.1088470852900001</v>
      </c>
      <c r="AH1702">
        <v>57.590490066706799</v>
      </c>
      <c r="AI1702">
        <v>91.098308611088498</v>
      </c>
      <c r="AJ1702">
        <v>84.692596677205302</v>
      </c>
      <c r="AK1702">
        <v>57.849085863797399</v>
      </c>
      <c r="AL1702">
        <v>78.641269688372105</v>
      </c>
      <c r="AM1702">
        <v>94.318992053197107</v>
      </c>
      <c r="AN1702">
        <v>0.99999996071894404</v>
      </c>
    </row>
    <row r="1703" spans="1:40" x14ac:dyDescent="0.25">
      <c r="A1703" t="str">
        <f>"20190304155049597"</f>
        <v>20190304155049597</v>
      </c>
      <c r="B1703" t="str">
        <f>"1551685849588234"</f>
        <v>1551685849588234</v>
      </c>
      <c r="C1703" t="s">
        <v>40</v>
      </c>
      <c r="D1703">
        <v>5.115672</v>
      </c>
      <c r="E1703">
        <v>0.56556459999999997</v>
      </c>
      <c r="F1703" t="s">
        <v>70</v>
      </c>
      <c r="G1703">
        <v>-272.5874</v>
      </c>
      <c r="H1703" s="1">
        <v>-2.5374749999999999E-7</v>
      </c>
      <c r="I1703">
        <v>286.7629</v>
      </c>
      <c r="J1703">
        <v>-210.75149999999999</v>
      </c>
      <c r="K1703">
        <v>1.1090709999999999</v>
      </c>
      <c r="L1703">
        <v>285.06470000000002</v>
      </c>
      <c r="M1703">
        <v>-0.99723519999999999</v>
      </c>
      <c r="N1703">
        <v>-1.077854E-2</v>
      </c>
      <c r="O1703">
        <v>-7.3524740000000005E-2</v>
      </c>
      <c r="P1703">
        <v>-0.97083609999999998</v>
      </c>
      <c r="Q1703">
        <v>0.18782650000000001</v>
      </c>
      <c r="R1703">
        <v>-0.14899209999999999</v>
      </c>
      <c r="S1703">
        <v>-3.1124269999999998</v>
      </c>
      <c r="T1703">
        <v>-5.5598620000000001E-2</v>
      </c>
      <c r="U1703">
        <v>8.4381100000000001E-2</v>
      </c>
      <c r="V1703">
        <v>-7.6573470000000005E-2</v>
      </c>
      <c r="W1703">
        <v>0.19861429999999999</v>
      </c>
      <c r="X1703">
        <v>0.9770818</v>
      </c>
      <c r="Y1703">
        <v>0.1005022</v>
      </c>
      <c r="Z1703">
        <v>1.9590530000000001E-3</v>
      </c>
      <c r="AA1703">
        <v>0.99493489999999996</v>
      </c>
      <c r="AB1703">
        <v>24</v>
      </c>
      <c r="AC1703">
        <v>-61.835900000000002</v>
      </c>
      <c r="AD1703">
        <v>-1.10907125374749</v>
      </c>
      <c r="AE1703">
        <v>1.6981999999999799</v>
      </c>
      <c r="AF1703">
        <v>6.2383301546321199</v>
      </c>
      <c r="AG1703">
        <v>-1.10907125374749</v>
      </c>
      <c r="AH1703">
        <v>61.523871436304198</v>
      </c>
      <c r="AI1703">
        <v>91.027473674609496</v>
      </c>
      <c r="AJ1703">
        <v>84.2101735470698</v>
      </c>
      <c r="AK1703">
        <v>61.8492809875342</v>
      </c>
      <c r="AL1703">
        <v>78.544061126411506</v>
      </c>
      <c r="AM1703">
        <v>94.481086003570695</v>
      </c>
      <c r="AN1703">
        <v>0.99999999018178498</v>
      </c>
    </row>
    <row r="1704" spans="1:40" x14ac:dyDescent="0.25">
      <c r="A1704" t="str">
        <f>"20190304155049619"</f>
        <v>20190304155049619</v>
      </c>
      <c r="B1704" t="str">
        <f>"1551685849607754"</f>
        <v>1551685849607754</v>
      </c>
      <c r="C1704" t="s">
        <v>40</v>
      </c>
      <c r="D1704">
        <v>5.1611789999999997</v>
      </c>
      <c r="E1704">
        <v>0.56650009999999995</v>
      </c>
      <c r="F1704" t="s">
        <v>72</v>
      </c>
      <c r="G1704">
        <v>-281.98399999999998</v>
      </c>
      <c r="H1704" s="1">
        <v>7.0073279999999997E-6</v>
      </c>
      <c r="I1704">
        <v>287.10919999999999</v>
      </c>
      <c r="J1704">
        <v>-210.9862</v>
      </c>
      <c r="K1704">
        <v>1.1092690000000001</v>
      </c>
      <c r="L1704">
        <v>285.04969999999997</v>
      </c>
      <c r="M1704">
        <v>-0.99737339999999997</v>
      </c>
      <c r="N1704">
        <v>-1.076509E-2</v>
      </c>
      <c r="O1704">
        <v>-7.1627830000000003E-2</v>
      </c>
      <c r="P1704">
        <v>-0.97058180000000005</v>
      </c>
      <c r="Q1704">
        <v>0.18964449999999999</v>
      </c>
      <c r="R1704">
        <v>-0.14834510000000001</v>
      </c>
      <c r="S1704">
        <v>-3.1132200000000001</v>
      </c>
      <c r="T1704">
        <v>-4.8471689999999998E-2</v>
      </c>
      <c r="U1704">
        <v>8.9355470000000006E-2</v>
      </c>
      <c r="V1704">
        <v>-7.7894519999999995E-2</v>
      </c>
      <c r="W1704">
        <v>0.2003819</v>
      </c>
      <c r="X1704">
        <v>0.97661640000000005</v>
      </c>
      <c r="Y1704">
        <v>0.1001976</v>
      </c>
      <c r="Z1704">
        <v>1.662576E-3</v>
      </c>
      <c r="AA1704">
        <v>0.99496609999999996</v>
      </c>
      <c r="AB1704">
        <v>24</v>
      </c>
      <c r="AC1704">
        <v>-70.997799999999998</v>
      </c>
      <c r="AD1704">
        <v>-1.109261992672</v>
      </c>
      <c r="AE1704">
        <v>2.0595000000000101</v>
      </c>
      <c r="AF1704">
        <v>7.1381811107067898</v>
      </c>
      <c r="AG1704">
        <v>-1.109261992672</v>
      </c>
      <c r="AH1704">
        <v>70.650658108918805</v>
      </c>
      <c r="AI1704">
        <v>90.894952158289399</v>
      </c>
      <c r="AJ1704">
        <v>84.230705434936297</v>
      </c>
      <c r="AK1704">
        <v>71.019008603056193</v>
      </c>
      <c r="AL1704">
        <v>78.440707933847904</v>
      </c>
      <c r="AM1704">
        <v>94.560233903429506</v>
      </c>
      <c r="AN1704">
        <v>1.0000000274212999</v>
      </c>
    </row>
    <row r="1705" spans="1:40" x14ac:dyDescent="0.25">
      <c r="A1705" t="str">
        <f>"20190304155049639"</f>
        <v>20190304155049639</v>
      </c>
      <c r="B1705" t="str">
        <f>"1551685849628250"</f>
        <v>1551685849628250</v>
      </c>
      <c r="C1705" t="s">
        <v>40</v>
      </c>
      <c r="D1705">
        <v>5.1894200000000001</v>
      </c>
      <c r="E1705">
        <v>0.56613709999999995</v>
      </c>
      <c r="F1705" t="s">
        <v>72</v>
      </c>
      <c r="G1705">
        <v>-281.9008</v>
      </c>
      <c r="H1705" s="1">
        <v>7.0095779999999996E-6</v>
      </c>
      <c r="I1705">
        <v>287.27679999999998</v>
      </c>
      <c r="J1705">
        <v>-211.21299999999999</v>
      </c>
      <c r="K1705">
        <v>1.1094469999999901</v>
      </c>
      <c r="L1705">
        <v>285.03539999999998</v>
      </c>
      <c r="M1705">
        <v>-0.99748519999999896</v>
      </c>
      <c r="N1705">
        <v>-1.0759070000000001E-2</v>
      </c>
      <c r="O1705">
        <v>-7.0054469999999994E-2</v>
      </c>
      <c r="P1705">
        <v>-0.97071890000000005</v>
      </c>
      <c r="Q1705">
        <v>0.18991250000000001</v>
      </c>
      <c r="R1705">
        <v>-0.14709929999999999</v>
      </c>
      <c r="S1705">
        <v>-3.1153870000000001</v>
      </c>
      <c r="T1705">
        <v>-4.8731570000000002E-2</v>
      </c>
      <c r="U1705">
        <v>9.783936E-2</v>
      </c>
      <c r="V1705">
        <v>-7.8266100000000005E-2</v>
      </c>
      <c r="W1705">
        <v>0.2006127</v>
      </c>
      <c r="X1705">
        <v>0.9765393</v>
      </c>
      <c r="Y1705">
        <v>0.1013149</v>
      </c>
      <c r="Z1705">
        <v>1.6786829999999901E-3</v>
      </c>
      <c r="AA1705">
        <v>0.99485299999999999</v>
      </c>
      <c r="AB1705">
        <v>24</v>
      </c>
      <c r="AC1705">
        <v>-70.687799999999996</v>
      </c>
      <c r="AD1705">
        <v>-1.10943999042199</v>
      </c>
      <c r="AE1705">
        <v>2.2413999999999898</v>
      </c>
      <c r="AF1705">
        <v>7.1864068940255397</v>
      </c>
      <c r="AG1705">
        <v>-1.10943999042199</v>
      </c>
      <c r="AH1705">
        <v>70.339773193770995</v>
      </c>
      <c r="AI1705">
        <v>90.898948866447896</v>
      </c>
      <c r="AJ1705">
        <v>84.166500123846802</v>
      </c>
      <c r="AK1705">
        <v>70.714630693301302</v>
      </c>
      <c r="AL1705">
        <v>78.427209908469905</v>
      </c>
      <c r="AM1705">
        <v>94.582255377216498</v>
      </c>
      <c r="AN1705">
        <v>1.00000002112749</v>
      </c>
    </row>
    <row r="1706" spans="1:40" x14ac:dyDescent="0.25">
      <c r="A1706" t="str">
        <f>"20190304155049662"</f>
        <v>20190304155049662</v>
      </c>
      <c r="B1706" t="str">
        <f>"1551685849658506"</f>
        <v>1551685849658506</v>
      </c>
      <c r="C1706" t="s">
        <v>40</v>
      </c>
      <c r="D1706">
        <v>5.208475</v>
      </c>
      <c r="E1706">
        <v>0.56628840000000003</v>
      </c>
      <c r="F1706" t="s">
        <v>70</v>
      </c>
      <c r="G1706">
        <v>-278.1902</v>
      </c>
      <c r="H1706" s="1">
        <v>2.7107959999999998E-6</v>
      </c>
      <c r="I1706">
        <v>287.15260000000001</v>
      </c>
      <c r="J1706">
        <v>-211.44810000000001</v>
      </c>
      <c r="K1706">
        <v>1.1096140000000001</v>
      </c>
      <c r="L1706">
        <v>285.02069999999998</v>
      </c>
      <c r="M1706">
        <v>-0.99758069999999999</v>
      </c>
      <c r="N1706">
        <v>-1.076004E-2</v>
      </c>
      <c r="O1706">
        <v>-6.8679850000000001E-2</v>
      </c>
      <c r="P1706">
        <v>-0.97088669999999999</v>
      </c>
      <c r="Q1706">
        <v>0.18933259999999999</v>
      </c>
      <c r="R1706">
        <v>-0.14673949999999999</v>
      </c>
      <c r="S1706">
        <v>-3.1155089999999999</v>
      </c>
      <c r="T1706">
        <v>-5.1606770000000003E-2</v>
      </c>
      <c r="U1706">
        <v>9.8480219999999993E-2</v>
      </c>
      <c r="V1706">
        <v>-7.9321939999999994E-2</v>
      </c>
      <c r="W1706">
        <v>0.2000063</v>
      </c>
      <c r="X1706">
        <v>0.97657850000000002</v>
      </c>
      <c r="Y1706">
        <v>0.100145</v>
      </c>
      <c r="Z1706">
        <v>1.7660219999999999E-3</v>
      </c>
      <c r="AA1706">
        <v>0.9949713</v>
      </c>
      <c r="AB1706">
        <v>24</v>
      </c>
      <c r="AC1706">
        <v>-66.742099999999994</v>
      </c>
      <c r="AD1706">
        <v>-1.109611289204</v>
      </c>
      <c r="AE1706">
        <v>2.1319000000000301</v>
      </c>
      <c r="AF1706">
        <v>6.7091158454989896</v>
      </c>
      <c r="AG1706">
        <v>-1.109611289204</v>
      </c>
      <c r="AH1706">
        <v>66.419720111580006</v>
      </c>
      <c r="AI1706">
        <v>90.952252447405698</v>
      </c>
      <c r="AJ1706">
        <v>84.232065666771206</v>
      </c>
      <c r="AK1706">
        <v>66.766928133186397</v>
      </c>
      <c r="AL1706">
        <v>78.4626728927594</v>
      </c>
      <c r="AM1706">
        <v>94.643617615017206</v>
      </c>
      <c r="AN1706">
        <v>1.0000000284336501</v>
      </c>
    </row>
    <row r="1707" spans="1:40" x14ac:dyDescent="0.25">
      <c r="A1707" t="str">
        <f>"20190304155049684"</f>
        <v>20190304155049684</v>
      </c>
      <c r="B1707" t="str">
        <f>"1551685849678026"</f>
        <v>1551685849678026</v>
      </c>
      <c r="C1707" t="s">
        <v>40</v>
      </c>
      <c r="D1707">
        <v>5.1651400000000001</v>
      </c>
      <c r="E1707">
        <v>0.56675920000000002</v>
      </c>
      <c r="F1707" t="s">
        <v>70</v>
      </c>
      <c r="G1707">
        <v>-274.93819999999999</v>
      </c>
      <c r="H1707" s="1">
        <v>9.828822999999999E-7</v>
      </c>
      <c r="I1707">
        <v>287.09140000000002</v>
      </c>
      <c r="J1707">
        <v>-211.68879999999999</v>
      </c>
      <c r="K1707">
        <v>1.1097570000000001</v>
      </c>
      <c r="L1707">
        <v>285.00560000000002</v>
      </c>
      <c r="M1707">
        <v>-0.99766080000000001</v>
      </c>
      <c r="N1707">
        <v>-1.0767270000000001E-2</v>
      </c>
      <c r="O1707">
        <v>-6.7506780000000002E-2</v>
      </c>
      <c r="P1707">
        <v>-0.97118490000000002</v>
      </c>
      <c r="Q1707">
        <v>0.18764120000000001</v>
      </c>
      <c r="R1707">
        <v>-0.14693789999999901</v>
      </c>
      <c r="S1707">
        <v>-3.1159520000000001</v>
      </c>
      <c r="T1707">
        <v>-5.4457310000000002E-2</v>
      </c>
      <c r="U1707">
        <v>0.10162350000000001</v>
      </c>
      <c r="V1707">
        <v>-8.0723249999999996E-2</v>
      </c>
      <c r="W1707">
        <v>0.19829840000000001</v>
      </c>
      <c r="X1707">
        <v>0.97681189999999996</v>
      </c>
      <c r="Y1707">
        <v>9.9970909999999996E-2</v>
      </c>
      <c r="Z1707">
        <v>1.8638999999999999E-3</v>
      </c>
      <c r="AA1707">
        <v>0.9949886</v>
      </c>
      <c r="AB1707">
        <v>24</v>
      </c>
      <c r="AC1707">
        <v>-63.249400000000001</v>
      </c>
      <c r="AD1707">
        <v>-1.1097560171177001</v>
      </c>
      <c r="AE1707">
        <v>2.0857999999999999</v>
      </c>
      <c r="AF1707">
        <v>6.3490993853696001</v>
      </c>
      <c r="AG1707">
        <v>-1.1097560171177001</v>
      </c>
      <c r="AH1707">
        <v>62.944929246700099</v>
      </c>
      <c r="AI1707">
        <v>91.004955203584103</v>
      </c>
      <c r="AJ1707">
        <v>84.240197569066595</v>
      </c>
      <c r="AK1707">
        <v>63.274060556399498</v>
      </c>
      <c r="AL1707">
        <v>78.562528213782798</v>
      </c>
      <c r="AM1707">
        <v>94.724160046002694</v>
      </c>
      <c r="AN1707">
        <v>0.99999999325736599</v>
      </c>
    </row>
    <row r="1708" spans="1:40" x14ac:dyDescent="0.25">
      <c r="A1708" t="str">
        <f>"20190304155049707"</f>
        <v>20190304155049707</v>
      </c>
      <c r="B1708" t="str">
        <f>"1551685849698522"</f>
        <v>1551685849698522</v>
      </c>
      <c r="C1708" t="s">
        <v>40</v>
      </c>
      <c r="D1708">
        <v>5.1736760000000004</v>
      </c>
      <c r="E1708">
        <v>0.56649769999999999</v>
      </c>
      <c r="F1708" t="s">
        <v>70</v>
      </c>
      <c r="G1708">
        <v>-268.36630000000002</v>
      </c>
      <c r="H1708" s="1">
        <v>2.9153229999999999E-6</v>
      </c>
      <c r="I1708">
        <v>286.92959999999999</v>
      </c>
      <c r="J1708">
        <v>-211.9325</v>
      </c>
      <c r="K1708">
        <v>1.109877</v>
      </c>
      <c r="L1708">
        <v>284.99040000000002</v>
      </c>
      <c r="M1708">
        <v>-0.99772740000000004</v>
      </c>
      <c r="N1708">
        <v>-1.077705E-2</v>
      </c>
      <c r="O1708">
        <v>-6.6512829999999995E-2</v>
      </c>
      <c r="P1708">
        <v>-0.97147969999999895</v>
      </c>
      <c r="Q1708">
        <v>0.1864085</v>
      </c>
      <c r="R1708">
        <v>-0.14655799999999999</v>
      </c>
      <c r="S1708">
        <v>-3.1167910000000001</v>
      </c>
      <c r="T1708">
        <v>-6.1027289999999998E-2</v>
      </c>
      <c r="U1708">
        <v>0.10580440000000001</v>
      </c>
      <c r="V1708">
        <v>-8.1360730000000006E-2</v>
      </c>
      <c r="W1708">
        <v>0.19705410000000001</v>
      </c>
      <c r="X1708">
        <v>0.97701079999999996</v>
      </c>
      <c r="Y1708">
        <v>0.100298</v>
      </c>
      <c r="Z1708">
        <v>2.1069470000000001E-3</v>
      </c>
      <c r="AA1708">
        <v>0.99495520000000004</v>
      </c>
      <c r="AB1708">
        <v>24</v>
      </c>
      <c r="AC1708">
        <v>-56.433799999999998</v>
      </c>
      <c r="AD1708">
        <v>-1.1098740846770001</v>
      </c>
      <c r="AE1708">
        <v>1.9391999999999701</v>
      </c>
      <c r="AF1708">
        <v>5.6864980434161696</v>
      </c>
      <c r="AG1708">
        <v>-1.1098740846770001</v>
      </c>
      <c r="AH1708">
        <v>56.158132136318599</v>
      </c>
      <c r="AI1708">
        <v>91.126451727228897</v>
      </c>
      <c r="AJ1708">
        <v>84.218013065996601</v>
      </c>
      <c r="AK1708">
        <v>56.456212107453901</v>
      </c>
      <c r="AL1708">
        <v>78.635256498893497</v>
      </c>
      <c r="AM1708">
        <v>94.760331534830598</v>
      </c>
      <c r="AN1708">
        <v>0.99999999501479098</v>
      </c>
    </row>
    <row r="1709" spans="1:40" x14ac:dyDescent="0.25">
      <c r="A1709" t="str">
        <f>"20190304155049730"</f>
        <v>20190304155049730</v>
      </c>
      <c r="B1709" t="str">
        <f>"1551685849727802"</f>
        <v>1551685849727802</v>
      </c>
      <c r="C1709" t="s">
        <v>40</v>
      </c>
      <c r="D1709">
        <v>5.2013699999999998</v>
      </c>
      <c r="E1709">
        <v>0.56696749999999996</v>
      </c>
      <c r="F1709" t="s">
        <v>70</v>
      </c>
      <c r="G1709">
        <v>-264.25319999999999</v>
      </c>
      <c r="H1709" s="1">
        <v>7.2653350000000003E-7</v>
      </c>
      <c r="I1709">
        <v>286.76710000000003</v>
      </c>
      <c r="J1709">
        <v>-212.17689999999999</v>
      </c>
      <c r="K1709">
        <v>1.1099589999999999</v>
      </c>
      <c r="L1709">
        <v>284.97519999999997</v>
      </c>
      <c r="M1709">
        <v>-0.99778279999999997</v>
      </c>
      <c r="N1709">
        <v>-1.07875E-2</v>
      </c>
      <c r="O1709">
        <v>-6.5672800000000003E-2</v>
      </c>
      <c r="P1709">
        <v>-0.97172080000000005</v>
      </c>
      <c r="Q1709">
        <v>0.18559929999999999</v>
      </c>
      <c r="R1709">
        <v>-0.1459849</v>
      </c>
      <c r="S1709">
        <v>-3.1167449999999999</v>
      </c>
      <c r="T1709">
        <v>-6.6115380000000001E-2</v>
      </c>
      <c r="U1709">
        <v>0.105834999999999</v>
      </c>
      <c r="V1709">
        <v>-8.1641290000000005E-2</v>
      </c>
      <c r="W1709">
        <v>0.1962392</v>
      </c>
      <c r="X1709">
        <v>0.9771514</v>
      </c>
      <c r="Y1709">
        <v>9.9465570000000003E-2</v>
      </c>
      <c r="Z1709">
        <v>2.275095E-3</v>
      </c>
      <c r="AA1709">
        <v>0.99503839999999999</v>
      </c>
      <c r="AB1709">
        <v>24</v>
      </c>
      <c r="AC1709">
        <v>-52.076300000000003</v>
      </c>
      <c r="AD1709">
        <v>-1.1099582734664999</v>
      </c>
      <c r="AE1709">
        <v>1.79190000000005</v>
      </c>
      <c r="AF1709">
        <v>5.2058648225204402</v>
      </c>
      <c r="AG1709">
        <v>-1.1099582734664999</v>
      </c>
      <c r="AH1709">
        <v>51.822664540505002</v>
      </c>
      <c r="AI1709">
        <v>91.220853354197104</v>
      </c>
      <c r="AJ1709">
        <v>84.263575703779793</v>
      </c>
      <c r="AK1709">
        <v>52.095312610607301</v>
      </c>
      <c r="AL1709">
        <v>78.682876598212204</v>
      </c>
      <c r="AM1709">
        <v>94.775986857939699</v>
      </c>
      <c r="AN1709">
        <v>0.99999999118573202</v>
      </c>
    </row>
    <row r="1710" spans="1:40" x14ac:dyDescent="0.25">
      <c r="A1710" t="str">
        <f>"20190304155049751"</f>
        <v>20190304155049751</v>
      </c>
      <c r="B1710" t="str">
        <f>"1551685849747830"</f>
        <v>1551685849747830</v>
      </c>
      <c r="C1710" t="s">
        <v>40</v>
      </c>
      <c r="D1710">
        <v>5.1348079999999996</v>
      </c>
      <c r="E1710">
        <v>0.56685140000000001</v>
      </c>
      <c r="F1710" t="s">
        <v>70</v>
      </c>
      <c r="G1710">
        <v>-262.25869999999998</v>
      </c>
      <c r="H1710" s="1">
        <v>-3.3484089999999998E-7</v>
      </c>
      <c r="I1710">
        <v>286.76429999999999</v>
      </c>
      <c r="J1710">
        <v>-212.40719999999999</v>
      </c>
      <c r="K1710">
        <v>1.1100099999999999</v>
      </c>
      <c r="L1710">
        <v>284.96089999999998</v>
      </c>
      <c r="M1710">
        <v>-0.99782919999999997</v>
      </c>
      <c r="N1710">
        <v>-1.080269E-2</v>
      </c>
      <c r="O1710">
        <v>-6.4965149999999999E-2</v>
      </c>
      <c r="P1710">
        <v>-0.9720685</v>
      </c>
      <c r="Q1710">
        <v>0.184333</v>
      </c>
      <c r="R1710">
        <v>-0.14527390000000001</v>
      </c>
      <c r="S1710">
        <v>-3.1172330000000001</v>
      </c>
      <c r="T1710">
        <v>-6.9087029999999994E-2</v>
      </c>
      <c r="U1710">
        <v>0.1113586</v>
      </c>
      <c r="V1710">
        <v>-8.1629099999999996E-2</v>
      </c>
      <c r="W1710">
        <v>0.1949803</v>
      </c>
      <c r="X1710">
        <v>0.97740439999999995</v>
      </c>
      <c r="Y1710">
        <v>0.100512</v>
      </c>
      <c r="Z1710">
        <v>2.3936370000000001E-3</v>
      </c>
      <c r="AA1710">
        <v>0.99493290000000001</v>
      </c>
      <c r="AB1710">
        <v>24</v>
      </c>
      <c r="AC1710">
        <v>-49.851499999999902</v>
      </c>
      <c r="AD1710">
        <v>-1.1100103348408901</v>
      </c>
      <c r="AE1710">
        <v>1.8034000000000101</v>
      </c>
      <c r="AF1710">
        <v>5.0358951575634396</v>
      </c>
      <c r="AG1710">
        <v>-1.1100103348408901</v>
      </c>
      <c r="AH1710">
        <v>49.604451885938303</v>
      </c>
      <c r="AI1710">
        <v>91.275353819069196</v>
      </c>
      <c r="AJ1710">
        <v>84.203134052821099</v>
      </c>
      <c r="AK1710">
        <v>49.871775684105998</v>
      </c>
      <c r="AL1710">
        <v>78.756427158646702</v>
      </c>
      <c r="AM1710">
        <v>94.774046684154001</v>
      </c>
      <c r="AN1710">
        <v>0.99999999424712904</v>
      </c>
    </row>
    <row r="1711" spans="1:40" x14ac:dyDescent="0.25">
      <c r="A1711" t="str">
        <f>"20190304155049775"</f>
        <v>20190304155049775</v>
      </c>
      <c r="B1711" t="str">
        <f>"1551685849768326"</f>
        <v>1551685849768326</v>
      </c>
      <c r="C1711" t="s">
        <v>40</v>
      </c>
      <c r="D1711">
        <v>4.8590980000000004</v>
      </c>
      <c r="E1711">
        <v>0.56657809999999997</v>
      </c>
      <c r="F1711" t="s">
        <v>70</v>
      </c>
      <c r="G1711">
        <v>-258.95999999999998</v>
      </c>
      <c r="H1711" s="1">
        <v>3.231251E-6</v>
      </c>
      <c r="I1711">
        <v>286.65269999999998</v>
      </c>
      <c r="J1711">
        <v>-212.65360000000001</v>
      </c>
      <c r="K1711">
        <v>1.1100289999999999</v>
      </c>
      <c r="L1711">
        <v>284.94580000000002</v>
      </c>
      <c r="M1711">
        <v>-0.99787490000000001</v>
      </c>
      <c r="N1711">
        <v>-1.0823360000000001E-2</v>
      </c>
      <c r="O1711">
        <v>-6.4254889999999995E-2</v>
      </c>
      <c r="P1711">
        <v>-0.97234019999999999</v>
      </c>
      <c r="Q1711">
        <v>0.1835059</v>
      </c>
      <c r="R1711">
        <v>-0.1445002</v>
      </c>
      <c r="S1711">
        <v>-3.1172179999999998</v>
      </c>
      <c r="T1711">
        <v>-7.4327110000000002E-2</v>
      </c>
      <c r="U1711">
        <v>0.1132813</v>
      </c>
      <c r="V1711">
        <v>-8.1546450000000006E-2</v>
      </c>
      <c r="W1711">
        <v>0.1941707</v>
      </c>
      <c r="X1711">
        <v>0.97757240000000001</v>
      </c>
      <c r="Y1711">
        <v>0.10041079999999999</v>
      </c>
      <c r="Z1711">
        <v>2.5759160000000001E-3</v>
      </c>
      <c r="AA1711">
        <v>0.99494269999999996</v>
      </c>
      <c r="AB1711">
        <v>24</v>
      </c>
      <c r="AC1711">
        <v>-46.306399999999897</v>
      </c>
      <c r="AD1711">
        <v>-1.1100257687490001</v>
      </c>
      <c r="AE1711">
        <v>1.7068999999999599</v>
      </c>
      <c r="AF1711">
        <v>4.6762755599159798</v>
      </c>
      <c r="AG1711">
        <v>-1.1100257687490001</v>
      </c>
      <c r="AH1711">
        <v>46.074574774186203</v>
      </c>
      <c r="AI1711">
        <v>91.373048343045895</v>
      </c>
      <c r="AJ1711">
        <v>84.204688421808896</v>
      </c>
      <c r="AK1711">
        <v>46.3245739423648</v>
      </c>
      <c r="AL1711">
        <v>78.803717054337596</v>
      </c>
      <c r="AM1711">
        <v>94.768419404808697</v>
      </c>
      <c r="AN1711">
        <v>0.99999994074392395</v>
      </c>
    </row>
    <row r="1712" spans="1:40" x14ac:dyDescent="0.25">
      <c r="A1712" t="str">
        <f>"20190304155049797"</f>
        <v>20190304155049797</v>
      </c>
      <c r="B1712" t="str">
        <f>"1551685849787845"</f>
        <v>1551685849787845</v>
      </c>
      <c r="C1712" t="s">
        <v>40</v>
      </c>
      <c r="D1712">
        <v>5.1429179999999999</v>
      </c>
      <c r="E1712">
        <v>0.56648469999999995</v>
      </c>
      <c r="F1712" t="s">
        <v>70</v>
      </c>
      <c r="G1712">
        <v>-257.08870000000002</v>
      </c>
      <c r="H1712" s="1">
        <v>2.2354950000000001E-6</v>
      </c>
      <c r="I1712">
        <v>286.58069999999998</v>
      </c>
      <c r="J1712">
        <v>-212.90729999999999</v>
      </c>
      <c r="K1712">
        <v>1.11002</v>
      </c>
      <c r="L1712">
        <v>284.93029999999999</v>
      </c>
      <c r="M1712">
        <v>-0.99792060000000005</v>
      </c>
      <c r="N1712">
        <v>-1.084452E-2</v>
      </c>
      <c r="O1712">
        <v>-6.3536899999999993E-2</v>
      </c>
      <c r="P1712">
        <v>-0.97268319999999997</v>
      </c>
      <c r="Q1712">
        <v>0.18240210000000001</v>
      </c>
      <c r="R1712">
        <v>-0.14358599999999999</v>
      </c>
      <c r="S1712">
        <v>-3.1170650000000002</v>
      </c>
      <c r="T1712">
        <v>-7.7866909999999998E-2</v>
      </c>
      <c r="U1712">
        <v>0.1146851</v>
      </c>
      <c r="V1712">
        <v>-8.1313769999999994E-2</v>
      </c>
      <c r="W1712">
        <v>0.19309190000000001</v>
      </c>
      <c r="X1712">
        <v>0.97780549999999999</v>
      </c>
      <c r="Y1712">
        <v>0.10014000000000001</v>
      </c>
      <c r="Z1712">
        <v>2.690661E-3</v>
      </c>
      <c r="AA1712">
        <v>0.99496969999999996</v>
      </c>
      <c r="AB1712">
        <v>24</v>
      </c>
      <c r="AC1712">
        <v>-44.181399999999996</v>
      </c>
      <c r="AD1712">
        <v>-1.110017764505</v>
      </c>
      <c r="AE1712">
        <v>1.6503999999999901</v>
      </c>
      <c r="AF1712">
        <v>4.45157313244541</v>
      </c>
      <c r="AG1712">
        <v>-1.110017764505</v>
      </c>
      <c r="AH1712">
        <v>43.959543581996797</v>
      </c>
      <c r="AI1712">
        <v>91.439105448785597</v>
      </c>
      <c r="AJ1712">
        <v>84.217641502184506</v>
      </c>
      <c r="AK1712">
        <v>44.198304432732499</v>
      </c>
      <c r="AL1712">
        <v>78.866720828149596</v>
      </c>
      <c r="AM1712">
        <v>94.753747616574202</v>
      </c>
      <c r="AN1712">
        <v>1.00000000343373</v>
      </c>
    </row>
    <row r="1713" spans="1:40" x14ac:dyDescent="0.25">
      <c r="A1713" t="str">
        <f>"20190304155049821"</f>
        <v>20190304155049821</v>
      </c>
      <c r="B1713" t="str">
        <f>"1551685849818102"</f>
        <v>1551685849818102</v>
      </c>
      <c r="C1713" t="s">
        <v>40</v>
      </c>
      <c r="D1713">
        <v>5.3001040000000001</v>
      </c>
      <c r="E1713">
        <v>0.56598959999999998</v>
      </c>
      <c r="F1713" t="s">
        <v>70</v>
      </c>
      <c r="G1713">
        <v>-254.9813</v>
      </c>
      <c r="H1713" s="1">
        <v>1.1140029999999999E-6</v>
      </c>
      <c r="I1713">
        <v>286.52280000000002</v>
      </c>
      <c r="J1713">
        <v>-213.15180000000001</v>
      </c>
      <c r="K1713">
        <v>1.1099920000000001</v>
      </c>
      <c r="L1713">
        <v>284.91559999999998</v>
      </c>
      <c r="M1713">
        <v>-0.99796510000000005</v>
      </c>
      <c r="N1713">
        <v>-1.0863100000000001E-2</v>
      </c>
      <c r="O1713">
        <v>-6.2831730000000002E-2</v>
      </c>
      <c r="P1713">
        <v>-0.97288200000000002</v>
      </c>
      <c r="Q1713">
        <v>0.18183170000000001</v>
      </c>
      <c r="R1713">
        <v>-0.14296110000000001</v>
      </c>
      <c r="S1713">
        <v>-3.1170650000000002</v>
      </c>
      <c r="T1713">
        <v>-8.2236050000000005E-2</v>
      </c>
      <c r="U1713">
        <v>0.117981</v>
      </c>
      <c r="V1713">
        <v>-8.1359970000000004E-2</v>
      </c>
      <c r="W1713">
        <v>0.19254540000000001</v>
      </c>
      <c r="X1713">
        <v>0.97790940000000004</v>
      </c>
      <c r="Y1713">
        <v>0.1004818</v>
      </c>
      <c r="Z1713">
        <v>2.8449590000000002E-3</v>
      </c>
      <c r="AA1713">
        <v>0.99493489999999996</v>
      </c>
      <c r="AB1713">
        <v>24</v>
      </c>
      <c r="AC1713">
        <v>-41.829500000000003</v>
      </c>
      <c r="AD1713">
        <v>-1.109990885997</v>
      </c>
      <c r="AE1713">
        <v>1.6072000000000299</v>
      </c>
      <c r="AF1713">
        <v>4.22942490779106</v>
      </c>
      <c r="AG1713">
        <v>-1.109990885997</v>
      </c>
      <c r="AH1713">
        <v>41.6165900091639</v>
      </c>
      <c r="AI1713">
        <v>91.519995807898795</v>
      </c>
      <c r="AJ1713">
        <v>84.197048625741601</v>
      </c>
      <c r="AK1713">
        <v>41.845676942887202</v>
      </c>
      <c r="AL1713">
        <v>78.898631595138696</v>
      </c>
      <c r="AM1713">
        <v>94.755933123087104</v>
      </c>
      <c r="AN1713">
        <v>0.99999998519396005</v>
      </c>
    </row>
    <row r="1714" spans="1:40" x14ac:dyDescent="0.25">
      <c r="A1714" t="str">
        <f>"20190304155049840"</f>
        <v>20190304155049840</v>
      </c>
      <c r="B1714" t="str">
        <f>"1551685849838598"</f>
        <v>1551685849838598</v>
      </c>
      <c r="C1714" t="s">
        <v>40</v>
      </c>
      <c r="D1714">
        <v>5.202839</v>
      </c>
      <c r="E1714">
        <v>0.56547709999999995</v>
      </c>
      <c r="F1714" t="s">
        <v>70</v>
      </c>
      <c r="G1714">
        <v>-253.35489999999999</v>
      </c>
      <c r="H1714" s="1">
        <v>2.4849610000000002E-7</v>
      </c>
      <c r="I1714">
        <v>286.42469999999997</v>
      </c>
      <c r="J1714">
        <v>-213.3656</v>
      </c>
      <c r="K1714">
        <v>1.109969</v>
      </c>
      <c r="L1714">
        <v>284.90289999999999</v>
      </c>
      <c r="M1714">
        <v>-0.99800500000000003</v>
      </c>
      <c r="N1714">
        <v>-1.0878219999999999E-2</v>
      </c>
      <c r="O1714">
        <v>-6.2191959999999998E-2</v>
      </c>
      <c r="P1714">
        <v>-0.97305200000000003</v>
      </c>
      <c r="Q1714">
        <v>0.18131539999999999</v>
      </c>
      <c r="R1714">
        <v>-0.14246</v>
      </c>
      <c r="S1714">
        <v>-3.1168979999999999</v>
      </c>
      <c r="T1714">
        <v>-8.6056469999999996E-2</v>
      </c>
      <c r="U1714">
        <v>0.117004399999999</v>
      </c>
      <c r="V1714">
        <v>-8.1465940000000001E-2</v>
      </c>
      <c r="W1714">
        <v>0.19205040000000001</v>
      </c>
      <c r="X1714">
        <v>0.97799800000000003</v>
      </c>
      <c r="Y1714">
        <v>9.953004E-2</v>
      </c>
      <c r="Z1714">
        <v>2.9544200000000001E-3</v>
      </c>
      <c r="AA1714">
        <v>0.99503019999999998</v>
      </c>
      <c r="AB1714">
        <v>24</v>
      </c>
      <c r="AC1714">
        <v>-39.989299999999901</v>
      </c>
      <c r="AD1714">
        <v>-1.1099687515038901</v>
      </c>
      <c r="AE1714">
        <v>1.5217999999999801</v>
      </c>
      <c r="AF1714">
        <v>4.0029341516647001</v>
      </c>
      <c r="AG1714">
        <v>-1.1099687515038901</v>
      </c>
      <c r="AH1714">
        <v>39.786621962687001</v>
      </c>
      <c r="AI1714">
        <v>91.590002531898406</v>
      </c>
      <c r="AJ1714">
        <v>84.254801558198096</v>
      </c>
      <c r="AK1714">
        <v>40.002884891637997</v>
      </c>
      <c r="AL1714">
        <v>78.927533364646393</v>
      </c>
      <c r="AM1714">
        <v>94.7616697462433</v>
      </c>
      <c r="AN1714">
        <v>1.00000007176211</v>
      </c>
    </row>
    <row r="1715" spans="1:40" x14ac:dyDescent="0.25">
      <c r="A1715" t="str">
        <f>"20190304155049862"</f>
        <v>20190304155049862</v>
      </c>
      <c r="B1715" t="str">
        <f>"1551685849858118"</f>
        <v>1551685849858118</v>
      </c>
      <c r="C1715" t="s">
        <v>40</v>
      </c>
      <c r="D1715">
        <v>5.1164040000000002</v>
      </c>
      <c r="E1715">
        <v>0.564716199999999</v>
      </c>
      <c r="F1715" t="s">
        <v>70</v>
      </c>
      <c r="G1715">
        <v>-252.49549999999999</v>
      </c>
      <c r="H1715" s="1">
        <v>-2.088242E-7</v>
      </c>
      <c r="I1715">
        <v>286.34559999999999</v>
      </c>
      <c r="J1715">
        <v>-213.60550000000001</v>
      </c>
      <c r="K1715">
        <v>1.1099399999999999</v>
      </c>
      <c r="L1715">
        <v>284.8888</v>
      </c>
      <c r="M1715">
        <v>-0.99805109999999997</v>
      </c>
      <c r="N1715">
        <v>-1.0894289999999999E-2</v>
      </c>
      <c r="O1715">
        <v>-6.1443949999999997E-2</v>
      </c>
      <c r="P1715">
        <v>-0.97289199999999998</v>
      </c>
      <c r="Q1715">
        <v>0.1822839</v>
      </c>
      <c r="R1715">
        <v>-0.14231549999999901</v>
      </c>
      <c r="S1715">
        <v>-3.1163940000000001</v>
      </c>
      <c r="T1715">
        <v>-8.8400480000000003E-2</v>
      </c>
      <c r="U1715">
        <v>0.11489870000000001</v>
      </c>
      <c r="V1715">
        <v>-8.2052719999999996E-2</v>
      </c>
      <c r="W1715">
        <v>0.19303770000000001</v>
      </c>
      <c r="X1715">
        <v>0.97775449999999997</v>
      </c>
      <c r="Y1715">
        <v>9.8116410000000001E-2</v>
      </c>
      <c r="Z1715">
        <v>2.9980850000000002E-3</v>
      </c>
      <c r="AA1715">
        <v>0.99517040000000001</v>
      </c>
      <c r="AB1715">
        <v>24</v>
      </c>
      <c r="AC1715">
        <v>-38.889999999999901</v>
      </c>
      <c r="AD1715">
        <v>-1.1099402088242001</v>
      </c>
      <c r="AE1715">
        <v>1.4567999999999801</v>
      </c>
      <c r="AF1715">
        <v>3.8406200477778598</v>
      </c>
      <c r="AG1715">
        <v>-1.1099402088242001</v>
      </c>
      <c r="AH1715">
        <v>38.695517471843303</v>
      </c>
      <c r="AI1715">
        <v>91.634989615136902</v>
      </c>
      <c r="AJ1715">
        <v>84.331824513597994</v>
      </c>
      <c r="AK1715">
        <v>38.901483288330901</v>
      </c>
      <c r="AL1715">
        <v>78.869886131479902</v>
      </c>
      <c r="AM1715">
        <v>94.7969963067885</v>
      </c>
      <c r="AN1715">
        <v>1.0000000323754601</v>
      </c>
    </row>
    <row r="1716" spans="1:40" x14ac:dyDescent="0.25">
      <c r="A1716" t="str">
        <f>"20190304155049885"</f>
        <v>20190304155049885</v>
      </c>
      <c r="B1716" t="str">
        <f>"1551685849878614"</f>
        <v>1551685849878614</v>
      </c>
      <c r="C1716" t="s">
        <v>40</v>
      </c>
      <c r="D1716">
        <v>5.1795660000000003</v>
      </c>
      <c r="E1716">
        <v>0.56418579999999996</v>
      </c>
      <c r="F1716" t="s">
        <v>70</v>
      </c>
      <c r="G1716">
        <v>-252.87029999999999</v>
      </c>
      <c r="H1716" s="1">
        <v>-9.3469479999999992E-9</v>
      </c>
      <c r="I1716">
        <v>286.26280000000003</v>
      </c>
      <c r="J1716">
        <v>-213.85239999999999</v>
      </c>
      <c r="K1716">
        <v>1.1099159999999999</v>
      </c>
      <c r="L1716">
        <v>284.87450000000001</v>
      </c>
      <c r="M1716">
        <v>-0.99809990000000004</v>
      </c>
      <c r="N1716">
        <v>-1.0909490000000001E-2</v>
      </c>
      <c r="O1716">
        <v>-6.0646150000000003E-2</v>
      </c>
      <c r="P1716">
        <v>-0.97277400000000003</v>
      </c>
      <c r="Q1716">
        <v>0.18331749999999999</v>
      </c>
      <c r="R1716">
        <v>-0.141795799999999</v>
      </c>
      <c r="S1716">
        <v>-3.1160429999999999</v>
      </c>
      <c r="T1716">
        <v>-8.8084579999999996E-2</v>
      </c>
      <c r="U1716">
        <v>0.10903930000000001</v>
      </c>
      <c r="V1716">
        <v>-8.2312259999999998E-2</v>
      </c>
      <c r="W1716">
        <v>0.19408839999999999</v>
      </c>
      <c r="X1716">
        <v>0.97752459999999997</v>
      </c>
      <c r="Y1716">
        <v>9.5457819999999999E-2</v>
      </c>
      <c r="Z1716">
        <v>2.9212050000000001E-3</v>
      </c>
      <c r="AA1716">
        <v>0.99542920000000001</v>
      </c>
      <c r="AB1716">
        <v>24</v>
      </c>
      <c r="AC1716">
        <v>-39.017899999999997</v>
      </c>
      <c r="AD1716">
        <v>-1.10991600934694</v>
      </c>
      <c r="AE1716">
        <v>1.3883000000000101</v>
      </c>
      <c r="AF1716">
        <v>3.7491401372203099</v>
      </c>
      <c r="AG1716">
        <v>-1.10991600934694</v>
      </c>
      <c r="AH1716">
        <v>38.830490622822303</v>
      </c>
      <c r="AI1716">
        <v>91.629700573668799</v>
      </c>
      <c r="AJ1716">
        <v>84.485104024172102</v>
      </c>
      <c r="AK1716">
        <v>39.026849313330601</v>
      </c>
      <c r="AL1716">
        <v>78.808524382043302</v>
      </c>
      <c r="AM1716">
        <v>94.813224909990694</v>
      </c>
      <c r="AN1716">
        <v>0.99999997938301299</v>
      </c>
    </row>
    <row r="1717" spans="1:40" x14ac:dyDescent="0.25">
      <c r="A1717" t="str">
        <f>"20190304155049908"</f>
        <v>20190304155049908</v>
      </c>
      <c r="B1717" t="str">
        <f>"1551685849898134"</f>
        <v>1551685849898134</v>
      </c>
      <c r="C1717" t="s">
        <v>40</v>
      </c>
      <c r="D1717">
        <v>4.9482229999999996</v>
      </c>
      <c r="E1717">
        <v>0.56412600000000002</v>
      </c>
      <c r="F1717" t="s">
        <v>70</v>
      </c>
      <c r="G1717">
        <v>-253.8586</v>
      </c>
      <c r="H1717" s="1">
        <v>5.1656439999999999E-7</v>
      </c>
      <c r="I1717">
        <v>286.22250000000003</v>
      </c>
      <c r="J1717">
        <v>-214.10159999999999</v>
      </c>
      <c r="K1717">
        <v>1.109896</v>
      </c>
      <c r="L1717">
        <v>284.86020000000002</v>
      </c>
      <c r="M1717">
        <v>-0.99814939999999996</v>
      </c>
      <c r="N1717">
        <v>-1.092333E-2</v>
      </c>
      <c r="O1717">
        <v>-5.9820489999999997E-2</v>
      </c>
      <c r="P1717">
        <v>-0.9727732</v>
      </c>
      <c r="Q1717">
        <v>0.18381980000000001</v>
      </c>
      <c r="R1717">
        <v>-0.1411481</v>
      </c>
      <c r="S1717">
        <v>-3.11557</v>
      </c>
      <c r="T1717">
        <v>-8.6436990000000005E-2</v>
      </c>
      <c r="U1717">
        <v>0.1049805</v>
      </c>
      <c r="V1717">
        <v>-8.2466769999999995E-2</v>
      </c>
      <c r="W1717">
        <v>0.19460710000000001</v>
      </c>
      <c r="X1717">
        <v>0.97740850000000001</v>
      </c>
      <c r="Y1717">
        <v>9.3347659999999999E-2</v>
      </c>
      <c r="Z1717">
        <v>2.8096039999999998E-3</v>
      </c>
      <c r="AA1717">
        <v>0.9956296</v>
      </c>
      <c r="AB1717">
        <v>24</v>
      </c>
      <c r="AC1717">
        <v>-39.756999999999998</v>
      </c>
      <c r="AD1717">
        <v>-1.1098954834356001</v>
      </c>
      <c r="AE1717">
        <v>1.3623000000000001</v>
      </c>
      <c r="AF1717">
        <v>3.7353773326770998</v>
      </c>
      <c r="AG1717">
        <v>-1.1098954834356001</v>
      </c>
      <c r="AH1717">
        <v>39.573488655179901</v>
      </c>
      <c r="AI1717">
        <v>91.599415916747205</v>
      </c>
      <c r="AJ1717">
        <v>84.607776019373503</v>
      </c>
      <c r="AK1717">
        <v>39.764882951459597</v>
      </c>
      <c r="AL1717">
        <v>78.778227995398495</v>
      </c>
      <c r="AM1717">
        <v>94.822787443276894</v>
      </c>
      <c r="AN1717">
        <v>1.00000003369844</v>
      </c>
    </row>
    <row r="1718" spans="1:40" x14ac:dyDescent="0.25">
      <c r="A1718" t="str">
        <f>"20190304155049930"</f>
        <v>20190304155049930</v>
      </c>
      <c r="B1718" t="str">
        <f>"1551685849928390"</f>
        <v>1551685849928390</v>
      </c>
      <c r="C1718" t="s">
        <v>40</v>
      </c>
      <c r="D1718">
        <v>5.0086760000000004</v>
      </c>
      <c r="E1718">
        <v>0.56371380000000004</v>
      </c>
      <c r="F1718" t="s">
        <v>70</v>
      </c>
      <c r="G1718">
        <v>-253.86269999999999</v>
      </c>
      <c r="H1718" s="1">
        <v>5.1877020000000002E-7</v>
      </c>
      <c r="I1718">
        <v>286.21159999999998</v>
      </c>
      <c r="J1718">
        <v>-214.33449999999999</v>
      </c>
      <c r="K1718">
        <v>1.10988</v>
      </c>
      <c r="L1718">
        <v>284.84710000000001</v>
      </c>
      <c r="M1718">
        <v>-0.99819579999999997</v>
      </c>
      <c r="N1718">
        <v>-1.093472E-2</v>
      </c>
      <c r="O1718">
        <v>-5.9039689999999999E-2</v>
      </c>
      <c r="P1718">
        <v>-0.97272449999999999</v>
      </c>
      <c r="Q1718">
        <v>0.18400230000000001</v>
      </c>
      <c r="R1718">
        <v>-0.14124589999999901</v>
      </c>
      <c r="S1718">
        <v>-3.1157840000000001</v>
      </c>
      <c r="T1718">
        <v>-8.6974140000000005E-2</v>
      </c>
      <c r="U1718">
        <v>0.105896</v>
      </c>
      <c r="V1718">
        <v>-8.3326559999999994E-2</v>
      </c>
      <c r="W1718">
        <v>0.19480359999999999</v>
      </c>
      <c r="X1718">
        <v>0.97729639999999995</v>
      </c>
      <c r="Y1718">
        <v>9.2858430000000006E-2</v>
      </c>
      <c r="Z1718">
        <v>2.804866E-3</v>
      </c>
      <c r="AA1718">
        <v>0.99567539999999999</v>
      </c>
      <c r="AB1718">
        <v>24</v>
      </c>
      <c r="AC1718">
        <v>-39.528199999999998</v>
      </c>
      <c r="AD1718">
        <v>-1.1098794812298001</v>
      </c>
      <c r="AE1718">
        <v>1.3644999999999601</v>
      </c>
      <c r="AF1718">
        <v>3.6930835102124502</v>
      </c>
      <c r="AG1718">
        <v>-1.1098794812298001</v>
      </c>
      <c r="AH1718">
        <v>39.347691567618902</v>
      </c>
      <c r="AI1718">
        <v>91.608646172995407</v>
      </c>
      <c r="AJ1718">
        <v>84.638058488381205</v>
      </c>
      <c r="AK1718">
        <v>39.5362053057286</v>
      </c>
      <c r="AL1718">
        <v>78.766749383632302</v>
      </c>
      <c r="AM1718">
        <v>94.873384699290497</v>
      </c>
      <c r="AN1718">
        <v>1.00000000581367</v>
      </c>
    </row>
    <row r="1719" spans="1:40" x14ac:dyDescent="0.25">
      <c r="A1719" t="str">
        <f>"20190304155049951"</f>
        <v>20190304155049951</v>
      </c>
      <c r="B1719" t="str">
        <f>"1551685849947910"</f>
        <v>1551685849947910</v>
      </c>
      <c r="C1719" t="s">
        <v>40</v>
      </c>
      <c r="D1719">
        <v>5.3581209999999997</v>
      </c>
      <c r="E1719">
        <v>0.53181219999999996</v>
      </c>
      <c r="F1719" t="s">
        <v>70</v>
      </c>
      <c r="G1719">
        <v>-253.65270000000001</v>
      </c>
      <c r="H1719" s="1">
        <v>4.06993E-7</v>
      </c>
      <c r="I1719">
        <v>286.14109999999999</v>
      </c>
      <c r="J1719">
        <v>-214.56280000000001</v>
      </c>
      <c r="K1719">
        <v>1.109869</v>
      </c>
      <c r="L1719">
        <v>284.83449999999999</v>
      </c>
      <c r="M1719">
        <v>-0.99824060000000003</v>
      </c>
      <c r="N1719">
        <v>-1.0943919999999999E-2</v>
      </c>
      <c r="O1719">
        <v>-5.8273579999999998E-2</v>
      </c>
      <c r="P1719">
        <v>-0.97271319999999994</v>
      </c>
      <c r="Q1719">
        <v>0.18398049999999999</v>
      </c>
      <c r="R1719">
        <v>-0.14135139999999999</v>
      </c>
      <c r="S1719">
        <v>-3.1156459999999999</v>
      </c>
      <c r="T1719">
        <v>-8.7949040000000006E-2</v>
      </c>
      <c r="U1719">
        <v>0.10253909999999999</v>
      </c>
      <c r="V1719">
        <v>-8.4178100000000006E-2</v>
      </c>
      <c r="W1719">
        <v>0.1947932</v>
      </c>
      <c r="X1719">
        <v>0.97722549999999997</v>
      </c>
      <c r="Y1719">
        <v>9.1023880000000001E-2</v>
      </c>
      <c r="Z1719">
        <v>2.7887340000000002E-3</v>
      </c>
      <c r="AA1719">
        <v>0.99584479999999997</v>
      </c>
      <c r="AB1719">
        <v>24</v>
      </c>
      <c r="AC1719">
        <v>-39.0899</v>
      </c>
      <c r="AD1719">
        <v>-1.109868593007</v>
      </c>
      <c r="AE1719">
        <v>1.3066</v>
      </c>
      <c r="AF1719">
        <v>3.57954193053054</v>
      </c>
      <c r="AG1719">
        <v>-1.109868593007</v>
      </c>
      <c r="AH1719">
        <v>38.915982848795501</v>
      </c>
      <c r="AI1719">
        <v>91.626746999801597</v>
      </c>
      <c r="AJ1719">
        <v>84.744648612431604</v>
      </c>
      <c r="AK1719">
        <v>39.096018337087898</v>
      </c>
      <c r="AL1719">
        <v>78.767356951798106</v>
      </c>
      <c r="AM1719">
        <v>94.923299224395706</v>
      </c>
      <c r="AN1719">
        <v>1.00000001056804</v>
      </c>
    </row>
    <row r="1720" spans="1:40" x14ac:dyDescent="0.25">
      <c r="A1720" t="str">
        <f>"20190304155049976"</f>
        <v>20190304155049976</v>
      </c>
      <c r="B1720" t="str">
        <f>"1551685849968406"</f>
        <v>1551685849968406</v>
      </c>
      <c r="C1720" t="s">
        <v>40</v>
      </c>
      <c r="D1720">
        <v>5.6992070000000004</v>
      </c>
      <c r="E1720">
        <v>0.4824311</v>
      </c>
      <c r="F1720" t="s">
        <v>70</v>
      </c>
      <c r="G1720">
        <v>-243.67439999999999</v>
      </c>
      <c r="H1720" s="1">
        <v>4.185324E-7</v>
      </c>
      <c r="I1720">
        <v>283.43220000000002</v>
      </c>
      <c r="J1720">
        <v>-214.82300000000001</v>
      </c>
      <c r="K1720">
        <v>1.1098509999999999</v>
      </c>
      <c r="L1720">
        <v>284.8202</v>
      </c>
      <c r="M1720">
        <v>-0.99829109999999999</v>
      </c>
      <c r="N1720">
        <v>-1.094499E-2</v>
      </c>
      <c r="O1720">
        <v>-5.7402790000000002E-2</v>
      </c>
      <c r="P1720">
        <v>-0.9728871</v>
      </c>
      <c r="Q1720">
        <v>0.1831902</v>
      </c>
      <c r="R1720">
        <v>-0.1411818</v>
      </c>
      <c r="S1720">
        <v>-3.0848080000000002</v>
      </c>
      <c r="T1720">
        <v>-0.1176074</v>
      </c>
      <c r="U1720">
        <v>-0.1485901</v>
      </c>
      <c r="V1720">
        <v>-8.4849510000000003E-2</v>
      </c>
      <c r="W1720">
        <v>0.19400790000000001</v>
      </c>
      <c r="X1720">
        <v>0.97732370000000002</v>
      </c>
      <c r="Y1720">
        <v>9.2768030000000001E-3</v>
      </c>
      <c r="Z1720">
        <v>1.7839970000000001E-3</v>
      </c>
      <c r="AA1720">
        <v>0.99995540000000005</v>
      </c>
      <c r="AB1720">
        <v>24</v>
      </c>
      <c r="AC1720">
        <v>-28.851400000000002</v>
      </c>
      <c r="AD1720">
        <v>-1.1098505814676001</v>
      </c>
      <c r="AE1720">
        <v>-1.3879999999999699</v>
      </c>
      <c r="AF1720">
        <v>0.27014019104828002</v>
      </c>
      <c r="AG1720">
        <v>-1.1098505814676001</v>
      </c>
      <c r="AH1720">
        <v>28.8409215955229</v>
      </c>
      <c r="AI1720">
        <v>92.203660787451795</v>
      </c>
      <c r="AJ1720">
        <v>89.463351399545502</v>
      </c>
      <c r="AK1720">
        <v>28.863532398427999</v>
      </c>
      <c r="AL1720">
        <v>78.813226970797302</v>
      </c>
      <c r="AM1720">
        <v>94.9618763455438</v>
      </c>
      <c r="AN1720">
        <v>1.00000005959566</v>
      </c>
    </row>
    <row r="1721" spans="1:40" x14ac:dyDescent="0.25">
      <c r="A1721" t="str">
        <f>"20190304155049998"</f>
        <v>20190304155049998</v>
      </c>
      <c r="B1721" t="str">
        <f>"1551685849987926"</f>
        <v>1551685849987926</v>
      </c>
      <c r="C1721" t="s">
        <v>40</v>
      </c>
      <c r="D1721">
        <v>5.7347080000000004</v>
      </c>
      <c r="E1721">
        <v>0.48036089999999998</v>
      </c>
      <c r="F1721" t="s">
        <v>70</v>
      </c>
      <c r="G1721">
        <v>-241.64340000000001</v>
      </c>
      <c r="H1721" s="1">
        <v>-6.6226609999999995E-7</v>
      </c>
      <c r="I1721">
        <v>280.05009999999999</v>
      </c>
      <c r="J1721">
        <v>-215.07339999999999</v>
      </c>
      <c r="K1721">
        <v>1.109845</v>
      </c>
      <c r="L1721">
        <v>284.80680000000001</v>
      </c>
      <c r="M1721">
        <v>-0.99833879999999997</v>
      </c>
      <c r="N1721">
        <v>-1.093532E-2</v>
      </c>
      <c r="O1721">
        <v>-5.6567399999999997E-2</v>
      </c>
      <c r="P1721">
        <v>-0.97306720000000002</v>
      </c>
      <c r="Q1721">
        <v>0.18292649999999999</v>
      </c>
      <c r="R1721">
        <v>-0.14027779999999901</v>
      </c>
      <c r="S1721">
        <v>-3.0290530000000002</v>
      </c>
      <c r="T1721">
        <v>-0.12534509999999999</v>
      </c>
      <c r="U1721">
        <v>-0.53872679999999995</v>
      </c>
      <c r="V1721">
        <v>-8.4753960000000003E-2</v>
      </c>
      <c r="W1721">
        <v>0.19373660000000001</v>
      </c>
      <c r="X1721">
        <v>0.97738579999999997</v>
      </c>
      <c r="Y1721">
        <v>-0.1190282</v>
      </c>
      <c r="Z1721">
        <v>-1.3956140000000001E-3</v>
      </c>
      <c r="AA1721">
        <v>0.99288989999999999</v>
      </c>
      <c r="AB1721">
        <v>24</v>
      </c>
      <c r="AC1721">
        <v>-26.57</v>
      </c>
      <c r="AD1721">
        <v>-1.1098456622660999</v>
      </c>
      <c r="AE1721">
        <v>-4.7567000000000199</v>
      </c>
      <c r="AF1721">
        <v>-3.2405183177619201</v>
      </c>
      <c r="AG1721">
        <v>-1.1098456622660999</v>
      </c>
      <c r="AH1721">
        <v>26.751315001611101</v>
      </c>
      <c r="AI1721">
        <v>92.358476229683504</v>
      </c>
      <c r="AJ1721">
        <v>96.906867643928706</v>
      </c>
      <c r="AK1721">
        <v>26.969715806385899</v>
      </c>
      <c r="AL1721">
        <v>78.829071870120103</v>
      </c>
      <c r="AM1721">
        <v>94.956003228343604</v>
      </c>
      <c r="AN1721">
        <v>1.0000000529784301</v>
      </c>
    </row>
    <row r="1722" spans="1:40" x14ac:dyDescent="0.25">
      <c r="A1722" t="str">
        <f>"20190304155050020"</f>
        <v>20190304155050020</v>
      </c>
      <c r="B1722" t="str">
        <f>"1551685850008422"</f>
        <v>1551685850008422</v>
      </c>
      <c r="C1722" t="s">
        <v>40</v>
      </c>
      <c r="D1722">
        <v>5.1941980000000001</v>
      </c>
      <c r="E1722">
        <v>0.47664390000000001</v>
      </c>
      <c r="F1722" t="s">
        <v>70</v>
      </c>
      <c r="G1722">
        <v>-241.3785</v>
      </c>
      <c r="H1722" s="1">
        <v>-8.0321089999999898E-7</v>
      </c>
      <c r="I1722">
        <v>280.00099999999998</v>
      </c>
      <c r="J1722">
        <v>-215.30539999999999</v>
      </c>
      <c r="K1722">
        <v>1.1098380000000001</v>
      </c>
      <c r="L1722">
        <v>284.7946</v>
      </c>
      <c r="M1722">
        <v>-0.99838260000000001</v>
      </c>
      <c r="N1722">
        <v>-1.0923179999999999E-2</v>
      </c>
      <c r="O1722">
        <v>-5.579605E-2</v>
      </c>
      <c r="P1722">
        <v>-0.97327660000000005</v>
      </c>
      <c r="Q1722">
        <v>0.1827366</v>
      </c>
      <c r="R1722">
        <v>-0.13906959999999999</v>
      </c>
      <c r="S1722">
        <v>-3.0273129999999999</v>
      </c>
      <c r="T1722">
        <v>-0.12772610000000001</v>
      </c>
      <c r="U1722">
        <v>-0.55307010000000001</v>
      </c>
      <c r="V1722">
        <v>-8.4291290000000005E-2</v>
      </c>
      <c r="W1722">
        <v>0.1935354</v>
      </c>
      <c r="X1722">
        <v>0.97746560000000005</v>
      </c>
      <c r="Y1722">
        <v>-0.1244388</v>
      </c>
      <c r="Z1722">
        <v>-1.5634290000000001E-3</v>
      </c>
      <c r="AA1722">
        <v>0.9922261</v>
      </c>
      <c r="AB1722">
        <v>24</v>
      </c>
      <c r="AC1722">
        <v>-26.0731</v>
      </c>
      <c r="AD1722">
        <v>-1.1098388032108999</v>
      </c>
      <c r="AE1722">
        <v>-4.7936000000000201</v>
      </c>
      <c r="AF1722">
        <v>-3.3254406702598902</v>
      </c>
      <c r="AG1722">
        <v>-1.1098388032108999</v>
      </c>
      <c r="AH1722">
        <v>26.253943817032201</v>
      </c>
      <c r="AI1722">
        <v>92.401470935900093</v>
      </c>
      <c r="AJ1722">
        <v>97.218894356318799</v>
      </c>
      <c r="AK1722">
        <v>26.486975360890401</v>
      </c>
      <c r="AL1722">
        <v>78.840821415017402</v>
      </c>
      <c r="AM1722">
        <v>94.928681741749301</v>
      </c>
      <c r="AN1722">
        <v>0.99999998590319195</v>
      </c>
    </row>
    <row r="1723" spans="1:40" x14ac:dyDescent="0.25">
      <c r="A1723" t="str">
        <f>"20190304155050042"</f>
        <v>20190304155050042</v>
      </c>
      <c r="B1723" t="str">
        <f>"1551685850038678"</f>
        <v>1551685850038678</v>
      </c>
      <c r="C1723" t="s">
        <v>40</v>
      </c>
      <c r="D1723">
        <v>5.3372449999999896</v>
      </c>
      <c r="E1723">
        <v>0.4739119</v>
      </c>
      <c r="F1723" t="s">
        <v>70</v>
      </c>
      <c r="G1723">
        <v>-238.41720000000001</v>
      </c>
      <c r="H1723" s="1">
        <v>3.1278809999999998E-6</v>
      </c>
      <c r="I1723">
        <v>280.37360000000001</v>
      </c>
      <c r="J1723">
        <v>-215.5462</v>
      </c>
      <c r="K1723">
        <v>1.109837</v>
      </c>
      <c r="L1723">
        <v>284.78199999999998</v>
      </c>
      <c r="M1723">
        <v>-0.99842699999999995</v>
      </c>
      <c r="N1723">
        <v>-1.0911560000000001E-2</v>
      </c>
      <c r="O1723">
        <v>-5.4997409999999997E-2</v>
      </c>
      <c r="P1723">
        <v>-0.97336409999999995</v>
      </c>
      <c r="Q1723">
        <v>0.18294360000000001</v>
      </c>
      <c r="R1723">
        <v>-0.13818150000000001</v>
      </c>
      <c r="S1723">
        <v>-3.026932</v>
      </c>
      <c r="T1723">
        <v>-0.14535399999999901</v>
      </c>
      <c r="U1723">
        <v>-0.57901000000000002</v>
      </c>
      <c r="V1723">
        <v>-8.4182170000000001E-2</v>
      </c>
      <c r="W1723">
        <v>0.1937315</v>
      </c>
      <c r="X1723">
        <v>0.97743619999999998</v>
      </c>
      <c r="Y1723">
        <v>-0.13342770000000001</v>
      </c>
      <c r="Z1723">
        <v>-1.892157E-3</v>
      </c>
      <c r="AA1723">
        <v>0.99105670000000001</v>
      </c>
      <c r="AB1723">
        <v>24</v>
      </c>
      <c r="AC1723">
        <v>-22.870999999999999</v>
      </c>
      <c r="AD1723">
        <v>-1.109833872119</v>
      </c>
      <c r="AE1723">
        <v>-4.4083999999999701</v>
      </c>
      <c r="AF1723">
        <v>-3.1366850487590998</v>
      </c>
      <c r="AG1723">
        <v>-1.109833872119</v>
      </c>
      <c r="AH1723">
        <v>23.026565967813799</v>
      </c>
      <c r="AI1723">
        <v>92.734192844722003</v>
      </c>
      <c r="AJ1723">
        <v>97.757101570448597</v>
      </c>
      <c r="AK1723">
        <v>23.265710059847599</v>
      </c>
      <c r="AL1723">
        <v>78.829369444174603</v>
      </c>
      <c r="AM1723">
        <v>94.922479973757206</v>
      </c>
      <c r="AN1723">
        <v>1.00000002845429</v>
      </c>
    </row>
    <row r="1724" spans="1:40" x14ac:dyDescent="0.25">
      <c r="A1724" t="str">
        <f>"20190304155050065"</f>
        <v>20190304155050065</v>
      </c>
      <c r="B1724" t="str">
        <f>"1551685850058198"</f>
        <v>1551685850058198</v>
      </c>
      <c r="C1724" t="s">
        <v>40</v>
      </c>
      <c r="D1724">
        <v>5.2128040000000002</v>
      </c>
      <c r="E1724">
        <v>0.4727247</v>
      </c>
      <c r="F1724" t="s">
        <v>70</v>
      </c>
      <c r="G1724">
        <v>-236.03319999999999</v>
      </c>
      <c r="H1724" s="1">
        <v>1.8433509999999999E-6</v>
      </c>
      <c r="I1724">
        <v>280.73649999999998</v>
      </c>
      <c r="J1724">
        <v>-215.79079999999999</v>
      </c>
      <c r="K1724">
        <v>1.1098300000000001</v>
      </c>
      <c r="L1724">
        <v>284.76940000000002</v>
      </c>
      <c r="M1724">
        <v>-0.99847129999999995</v>
      </c>
      <c r="N1724">
        <v>-1.0900689999999999E-2</v>
      </c>
      <c r="O1724">
        <v>-5.4189019999999997E-2</v>
      </c>
      <c r="P1724">
        <v>-0.97346560000000004</v>
      </c>
      <c r="Q1724">
        <v>0.1830638</v>
      </c>
      <c r="R1724">
        <v>-0.13730510000000001</v>
      </c>
      <c r="S1724">
        <v>-3.0280610000000001</v>
      </c>
      <c r="T1724">
        <v>-0.1640382</v>
      </c>
      <c r="U1724">
        <v>-0.59793090000000004</v>
      </c>
      <c r="V1724">
        <v>-8.409411E-2</v>
      </c>
      <c r="W1724">
        <v>0.1938405</v>
      </c>
      <c r="X1724">
        <v>0.97742220000000002</v>
      </c>
      <c r="Y1724">
        <v>-0.1400827</v>
      </c>
      <c r="Z1724">
        <v>-2.2120659999999999E-3</v>
      </c>
      <c r="AA1724">
        <v>0.9901373</v>
      </c>
      <c r="AB1724">
        <v>24</v>
      </c>
      <c r="AC1724">
        <v>-20.2424</v>
      </c>
      <c r="AD1724">
        <v>-1.10982815664899</v>
      </c>
      <c r="AE1724">
        <v>-4.0329000000000397</v>
      </c>
      <c r="AF1724">
        <v>-2.92154600229907</v>
      </c>
      <c r="AG1724">
        <v>-1.10982815664899</v>
      </c>
      <c r="AH1724">
        <v>20.372305086954199</v>
      </c>
      <c r="AI1724">
        <v>93.086720150032903</v>
      </c>
      <c r="AJ1724">
        <v>98.161015292324805</v>
      </c>
      <c r="AK1724">
        <v>20.6106274561639</v>
      </c>
      <c r="AL1724">
        <v>78.823003864546095</v>
      </c>
      <c r="AM1724">
        <v>94.917426090121594</v>
      </c>
      <c r="AN1724">
        <v>1.00000005791488</v>
      </c>
    </row>
    <row r="1725" spans="1:40" x14ac:dyDescent="0.25">
      <c r="A1725" t="str">
        <f>"20190304155050087"</f>
        <v>20190304155050087</v>
      </c>
      <c r="B1725" t="str">
        <f>"1551685850078694"</f>
        <v>1551685850078694</v>
      </c>
      <c r="C1725" t="s">
        <v>40</v>
      </c>
      <c r="D1725">
        <v>5.4078549999999996</v>
      </c>
      <c r="E1725">
        <v>0.47145100000000001</v>
      </c>
      <c r="F1725" t="s">
        <v>70</v>
      </c>
      <c r="G1725">
        <v>-235.97020000000001</v>
      </c>
      <c r="H1725" s="1">
        <v>1.8099180000000001E-6</v>
      </c>
      <c r="I1725">
        <v>280.7353</v>
      </c>
      <c r="J1725">
        <v>-216.03460000000001</v>
      </c>
      <c r="K1725">
        <v>1.109829</v>
      </c>
      <c r="L1725">
        <v>284.75709999999998</v>
      </c>
      <c r="M1725">
        <v>-0.99851469999999998</v>
      </c>
      <c r="N1725">
        <v>-1.08944E-2</v>
      </c>
      <c r="O1725">
        <v>-5.33854E-2</v>
      </c>
      <c r="P1725">
        <v>-0.97367040000000005</v>
      </c>
      <c r="Q1725">
        <v>0.18310960000000001</v>
      </c>
      <c r="R1725">
        <v>-0.13578270000000001</v>
      </c>
      <c r="S1725">
        <v>-3.0277099999999999</v>
      </c>
      <c r="T1725">
        <v>-0.16651769999999999</v>
      </c>
      <c r="U1725">
        <v>-0.60528559999999998</v>
      </c>
      <c r="V1725">
        <v>-8.3350499999999994E-2</v>
      </c>
      <c r="W1725">
        <v>0.1938802</v>
      </c>
      <c r="X1725">
        <v>0.97747799999999996</v>
      </c>
      <c r="Y1725">
        <v>-0.14320359999999999</v>
      </c>
      <c r="Z1725">
        <v>-2.361157E-3</v>
      </c>
      <c r="AA1725">
        <v>0.98969039999999997</v>
      </c>
      <c r="AB1725">
        <v>24</v>
      </c>
      <c r="AC1725">
        <v>-19.935599999999901</v>
      </c>
      <c r="AD1725">
        <v>-1.109827190082</v>
      </c>
      <c r="AE1725">
        <v>-4.0217999999999803</v>
      </c>
      <c r="AF1725">
        <v>-2.94296697492807</v>
      </c>
      <c r="AG1725">
        <v>-1.109827190082</v>
      </c>
      <c r="AH1725">
        <v>20.0621408598806</v>
      </c>
      <c r="AI1725">
        <v>93.132884855898993</v>
      </c>
      <c r="AJ1725">
        <v>98.345344399938696</v>
      </c>
      <c r="AK1725">
        <v>20.307197415917699</v>
      </c>
      <c r="AL1725">
        <v>78.820685023285705</v>
      </c>
      <c r="AM1725">
        <v>94.873876799051999</v>
      </c>
      <c r="AN1725">
        <v>1.0000000391431401</v>
      </c>
    </row>
    <row r="1726" spans="1:40" x14ac:dyDescent="0.25">
      <c r="A1726" t="str">
        <f>"20190304155050110"</f>
        <v>20190304155050110</v>
      </c>
      <c r="B1726" t="str">
        <f>"1551685850098214"</f>
        <v>1551685850098214</v>
      </c>
      <c r="C1726" t="s">
        <v>40</v>
      </c>
      <c r="D1726">
        <v>5.1967309999999998</v>
      </c>
      <c r="E1726">
        <v>0.47074490000000002</v>
      </c>
      <c r="F1726" t="s">
        <v>70</v>
      </c>
      <c r="G1726">
        <v>-235.5301</v>
      </c>
      <c r="H1726" s="1">
        <v>1.571973E-6</v>
      </c>
      <c r="I1726">
        <v>280.82069999999999</v>
      </c>
      <c r="J1726">
        <v>-216.2809</v>
      </c>
      <c r="K1726">
        <v>1.109831</v>
      </c>
      <c r="L1726">
        <v>284.74489999999997</v>
      </c>
      <c r="M1726">
        <v>-0.99855749999999999</v>
      </c>
      <c r="N1726">
        <v>-1.090757E-2</v>
      </c>
      <c r="O1726">
        <v>-5.2573660000000001E-2</v>
      </c>
      <c r="P1726">
        <v>-0.97389950000000003</v>
      </c>
      <c r="Q1726">
        <v>0.18322769999999999</v>
      </c>
      <c r="R1726">
        <v>-0.1339688</v>
      </c>
      <c r="S1726">
        <v>-3.0282900000000001</v>
      </c>
      <c r="T1726">
        <v>-0.17239209999999999</v>
      </c>
      <c r="U1726">
        <v>-0.61145019999999894</v>
      </c>
      <c r="V1726">
        <v>-8.2321920000000007E-2</v>
      </c>
      <c r="W1726">
        <v>0.19401119999999999</v>
      </c>
      <c r="X1726">
        <v>0.97753909999999999</v>
      </c>
      <c r="Y1726">
        <v>-0.14588999999999999</v>
      </c>
      <c r="Z1726">
        <v>-2.5248039999999999E-3</v>
      </c>
      <c r="AA1726">
        <v>0.9892976</v>
      </c>
      <c r="AB1726">
        <v>24</v>
      </c>
      <c r="AC1726">
        <v>-19.249199999999998</v>
      </c>
      <c r="AD1726">
        <v>-1.109829428027</v>
      </c>
      <c r="AE1726">
        <v>-3.9241999999999799</v>
      </c>
      <c r="AF1726">
        <v>-2.8974638730690199</v>
      </c>
      <c r="AG1726">
        <v>-1.109829428027</v>
      </c>
      <c r="AH1726">
        <v>19.367086771388099</v>
      </c>
      <c r="AI1726">
        <v>93.243721398821194</v>
      </c>
      <c r="AJ1726">
        <v>98.508777667493902</v>
      </c>
      <c r="AK1726">
        <v>19.614052826112498</v>
      </c>
      <c r="AL1726">
        <v>78.813033196253201</v>
      </c>
      <c r="AM1726">
        <v>94.813716057853696</v>
      </c>
      <c r="AN1726">
        <v>0.999999968133367</v>
      </c>
    </row>
    <row r="1727" spans="1:40" x14ac:dyDescent="0.25">
      <c r="A1727" t="str">
        <f>"20190304155050132"</f>
        <v>20190304155050132</v>
      </c>
      <c r="B1727" t="str">
        <f>"1551685850128470"</f>
        <v>1551685850128470</v>
      </c>
      <c r="C1727" t="s">
        <v>40</v>
      </c>
      <c r="D1727">
        <v>5.337396</v>
      </c>
      <c r="E1727">
        <v>0.46960220000000003</v>
      </c>
      <c r="F1727" t="s">
        <v>70</v>
      </c>
      <c r="G1727">
        <v>-235.64359999999999</v>
      </c>
      <c r="H1727" s="1">
        <v>1.6319270000000001E-6</v>
      </c>
      <c r="I1727">
        <v>280.8313</v>
      </c>
      <c r="J1727">
        <v>-216.52090000000001</v>
      </c>
      <c r="K1727">
        <v>1.109837</v>
      </c>
      <c r="L1727">
        <v>284.73320000000001</v>
      </c>
      <c r="M1727">
        <v>-0.99859819999999999</v>
      </c>
      <c r="N1727">
        <v>-1.0959129999999999E-2</v>
      </c>
      <c r="O1727">
        <v>-5.1781729999999998E-2</v>
      </c>
      <c r="P1727">
        <v>-0.97418510000000003</v>
      </c>
      <c r="Q1727">
        <v>0.182785</v>
      </c>
      <c r="R1727">
        <v>-0.13248750000000001</v>
      </c>
      <c r="S1727">
        <v>-3.0288390000000001</v>
      </c>
      <c r="T1727">
        <v>-0.17360639999999999</v>
      </c>
      <c r="U1727">
        <v>-0.61218260000000002</v>
      </c>
      <c r="V1727">
        <v>-8.160444E-2</v>
      </c>
      <c r="W1727">
        <v>0.19362009999999999</v>
      </c>
      <c r="X1727">
        <v>0.97767680000000001</v>
      </c>
      <c r="Y1727">
        <v>-0.14686399999999999</v>
      </c>
      <c r="Z1727">
        <v>-2.6083030000000002E-3</v>
      </c>
      <c r="AA1727">
        <v>0.98915330000000001</v>
      </c>
      <c r="AB1727">
        <v>24</v>
      </c>
      <c r="AC1727">
        <v>-19.122699999999899</v>
      </c>
      <c r="AD1727">
        <v>-1.109835368073</v>
      </c>
      <c r="AE1727">
        <v>-3.9019000000000101</v>
      </c>
      <c r="AF1727">
        <v>-2.8970304302593699</v>
      </c>
      <c r="AG1727">
        <v>-1.109835368073</v>
      </c>
      <c r="AH1727">
        <v>19.236894823830902</v>
      </c>
      <c r="AI1727">
        <v>93.265170907282197</v>
      </c>
      <c r="AJ1727">
        <v>98.564249876178494</v>
      </c>
      <c r="AK1727">
        <v>19.485446936655201</v>
      </c>
      <c r="AL1727">
        <v>78.835874792484802</v>
      </c>
      <c r="AM1727">
        <v>94.771287513021704</v>
      </c>
      <c r="AN1727">
        <v>0.99999997650498096</v>
      </c>
    </row>
    <row r="1728" spans="1:40" x14ac:dyDescent="0.25">
      <c r="A1728" t="str">
        <f>"20190304155050153"</f>
        <v>20190304155050153</v>
      </c>
      <c r="B1728" t="str">
        <f>"1551685850147990"</f>
        <v>1551685850147990</v>
      </c>
      <c r="C1728" t="s">
        <v>40</v>
      </c>
      <c r="D1728">
        <v>5.2454710000000002</v>
      </c>
      <c r="E1728">
        <v>0.48239569999999998</v>
      </c>
      <c r="F1728" t="s">
        <v>70</v>
      </c>
      <c r="G1728">
        <v>-235.31559999999999</v>
      </c>
      <c r="H1728" s="1">
        <v>1.4542179999999899E-6</v>
      </c>
      <c r="I1728">
        <v>280.90249999999997</v>
      </c>
      <c r="J1728">
        <v>-216.75409999999999</v>
      </c>
      <c r="K1728">
        <v>1.1098520000000001</v>
      </c>
      <c r="L1728">
        <v>284.72190000000001</v>
      </c>
      <c r="M1728">
        <v>-0.998637</v>
      </c>
      <c r="N1728">
        <v>-1.1040609999999999E-2</v>
      </c>
      <c r="O1728">
        <v>-5.1013530000000001E-2</v>
      </c>
      <c r="P1728">
        <v>-0.97436520000000004</v>
      </c>
      <c r="Q1728">
        <v>0.18251339999999999</v>
      </c>
      <c r="R1728">
        <v>-0.13153670000000001</v>
      </c>
      <c r="S1728">
        <v>-3.029083</v>
      </c>
      <c r="T1728">
        <v>-0.1788689</v>
      </c>
      <c r="U1728">
        <v>-0.61737059999999999</v>
      </c>
      <c r="V1728">
        <v>-8.1396839999999998E-2</v>
      </c>
      <c r="W1728">
        <v>0.1934293</v>
      </c>
      <c r="X1728">
        <v>0.97773189999999999</v>
      </c>
      <c r="Y1728">
        <v>-0.14921860000000001</v>
      </c>
      <c r="Z1728">
        <v>-2.7737930000000001E-3</v>
      </c>
      <c r="AA1728">
        <v>0.98880029999999997</v>
      </c>
      <c r="AB1728">
        <v>24</v>
      </c>
      <c r="AC1728">
        <v>-18.561499999999899</v>
      </c>
      <c r="AD1728">
        <v>-1.109850545782</v>
      </c>
      <c r="AE1728">
        <v>-3.8194000000000199</v>
      </c>
      <c r="AF1728">
        <v>-2.8576792883291802</v>
      </c>
      <c r="AG1728">
        <v>-1.109850545782</v>
      </c>
      <c r="AH1728">
        <v>18.6681506413574</v>
      </c>
      <c r="AI1728">
        <v>93.3632330346488</v>
      </c>
      <c r="AJ1728">
        <v>98.703151328665896</v>
      </c>
      <c r="AK1728">
        <v>18.918190915553499</v>
      </c>
      <c r="AL1728">
        <v>78.847017785663098</v>
      </c>
      <c r="AM1728">
        <v>94.758938309327206</v>
      </c>
      <c r="AN1728">
        <v>1.00000000396904</v>
      </c>
    </row>
    <row r="1729" spans="1:40" x14ac:dyDescent="0.25">
      <c r="A1729" t="str">
        <f>"20190304155050177"</f>
        <v>20190304155050177</v>
      </c>
      <c r="B1729" t="str">
        <f>"1551685850168487"</f>
        <v>1551685850168487</v>
      </c>
      <c r="C1729" t="s">
        <v>40</v>
      </c>
      <c r="D1729">
        <v>5.4428140000000003</v>
      </c>
      <c r="E1729">
        <v>0.47872710000000002</v>
      </c>
      <c r="F1729" t="s">
        <v>73</v>
      </c>
      <c r="G1729">
        <v>-333.29829999999998</v>
      </c>
      <c r="H1729">
        <v>6.0644070000000001</v>
      </c>
      <c r="I1729">
        <v>264.34530000000001</v>
      </c>
      <c r="J1729">
        <v>-217.01439999999999</v>
      </c>
      <c r="K1729">
        <v>1.1098920000000001</v>
      </c>
      <c r="L1729">
        <v>284.7097</v>
      </c>
      <c r="M1729">
        <v>-0.99867810000000001</v>
      </c>
      <c r="N1729">
        <v>-1.120375E-2</v>
      </c>
      <c r="O1729">
        <v>-5.0164790000000001E-2</v>
      </c>
      <c r="P1729">
        <v>-0.97441359999999999</v>
      </c>
      <c r="Q1729">
        <v>0.18289430000000001</v>
      </c>
      <c r="R1729">
        <v>-0.13064509999999999</v>
      </c>
      <c r="S1729">
        <v>-2.9847260000000002</v>
      </c>
      <c r="T1729">
        <v>0.12688769999999999</v>
      </c>
      <c r="U1729">
        <v>-0.52185059999999905</v>
      </c>
      <c r="V1729">
        <v>-8.1334370000000003E-2</v>
      </c>
      <c r="W1729">
        <v>0.19396959999999999</v>
      </c>
      <c r="X1729">
        <v>0.97763009999999995</v>
      </c>
      <c r="Y1729">
        <v>-0.1225844</v>
      </c>
      <c r="Z1729">
        <v>-7.7816769999999999E-4</v>
      </c>
      <c r="AA1729">
        <v>0.99245779999999995</v>
      </c>
      <c r="AB1729">
        <v>24</v>
      </c>
      <c r="AC1729">
        <v>-116.2839</v>
      </c>
      <c r="AD1729">
        <v>4.9545149999999998</v>
      </c>
      <c r="AE1729">
        <v>-20.3643999999999</v>
      </c>
      <c r="AF1729">
        <v>-14.479530022809801</v>
      </c>
      <c r="AG1729">
        <v>4.9545149999999998</v>
      </c>
      <c r="AH1729">
        <v>116.953120365983</v>
      </c>
      <c r="AI1729">
        <v>87.592573134069198</v>
      </c>
      <c r="AJ1729">
        <v>97.057663240128207</v>
      </c>
      <c r="AK1729">
        <v>117.950143585782</v>
      </c>
      <c r="AL1729">
        <v>78.815463771485597</v>
      </c>
      <c r="AM1729">
        <v>94.755795596637</v>
      </c>
      <c r="AN1729">
        <v>1.00000004894673</v>
      </c>
    </row>
    <row r="1730" spans="1:40" x14ac:dyDescent="0.25">
      <c r="A1730" t="str">
        <f>"20190304155050200"</f>
        <v>20190304155050200</v>
      </c>
      <c r="B1730" t="str">
        <f>"1551685850188006"</f>
        <v>1551685850188006</v>
      </c>
      <c r="C1730" t="s">
        <v>40</v>
      </c>
      <c r="D1730">
        <v>5.0505420000000001</v>
      </c>
      <c r="E1730">
        <v>0.46432610000000002</v>
      </c>
      <c r="F1730" t="s">
        <v>74</v>
      </c>
      <c r="G1730">
        <v>-352.55</v>
      </c>
      <c r="H1730">
        <v>11.16286</v>
      </c>
      <c r="I1730">
        <v>259.51819999999998</v>
      </c>
      <c r="J1730">
        <v>-217.2638</v>
      </c>
      <c r="K1730">
        <v>1.109945</v>
      </c>
      <c r="L1730">
        <v>284.69810000000001</v>
      </c>
      <c r="M1730">
        <v>-0.99871620000000005</v>
      </c>
      <c r="N1730">
        <v>-1.1434990000000001E-2</v>
      </c>
      <c r="O1730">
        <v>-4.9347910000000002E-2</v>
      </c>
      <c r="P1730">
        <v>-0.97459280000000004</v>
      </c>
      <c r="Q1730">
        <v>0.1825127</v>
      </c>
      <c r="R1730">
        <v>-0.12983989999999901</v>
      </c>
      <c r="S1730">
        <v>-2.963654</v>
      </c>
      <c r="T1730">
        <v>0.2198223</v>
      </c>
      <c r="U1730">
        <v>-0.55084230000000001</v>
      </c>
      <c r="V1730">
        <v>-8.1323859999999998E-2</v>
      </c>
      <c r="W1730">
        <v>0.19381470000000001</v>
      </c>
      <c r="X1730">
        <v>0.97766169999999997</v>
      </c>
      <c r="Y1730">
        <v>-0.1338693</v>
      </c>
      <c r="Z1730" s="1">
        <v>-3.5383740000000001E-5</v>
      </c>
      <c r="AA1730">
        <v>0.99099899999999996</v>
      </c>
      <c r="AB1730">
        <v>24</v>
      </c>
      <c r="AC1730">
        <v>-135.28620000000001</v>
      </c>
      <c r="AD1730">
        <v>10.052914999999899</v>
      </c>
      <c r="AE1730">
        <v>-25.1799</v>
      </c>
      <c r="AF1730">
        <v>-18.3746273025656</v>
      </c>
      <c r="AG1730">
        <v>10.052914999999899</v>
      </c>
      <c r="AH1730">
        <v>135.64011486168999</v>
      </c>
      <c r="AI1730">
        <v>85.799522173196294</v>
      </c>
      <c r="AJ1730">
        <v>97.714669539420896</v>
      </c>
      <c r="AK1730">
        <v>137.24769137656901</v>
      </c>
      <c r="AL1730">
        <v>78.824510625731094</v>
      </c>
      <c r="AM1730">
        <v>94.755030880197594</v>
      </c>
      <c r="AN1730">
        <v>1.00000005389413</v>
      </c>
    </row>
    <row r="1731" spans="1:40" x14ac:dyDescent="0.25">
      <c r="A1731" t="str">
        <f>"20190304155050221"</f>
        <v>20190304155050221</v>
      </c>
      <c r="B1731" t="str">
        <f>"1551685850218262"</f>
        <v>1551685850218262</v>
      </c>
      <c r="C1731" t="s">
        <v>40</v>
      </c>
      <c r="D1731">
        <v>5.5269740000000001</v>
      </c>
      <c r="E1731">
        <v>0.4634839</v>
      </c>
      <c r="F1731" t="s">
        <v>70</v>
      </c>
      <c r="G1731">
        <v>-235.12950000000001</v>
      </c>
      <c r="H1731" s="1">
        <v>1.357149E-6</v>
      </c>
      <c r="I1731">
        <v>280.85879999999997</v>
      </c>
      <c r="J1731">
        <v>-217.49119999999999</v>
      </c>
      <c r="K1731">
        <v>1.109988</v>
      </c>
      <c r="L1731">
        <v>284.68770000000001</v>
      </c>
      <c r="M1731">
        <v>-0.99875119999999895</v>
      </c>
      <c r="N1731">
        <v>-1.166613E-2</v>
      </c>
      <c r="O1731">
        <v>-4.8580890000000002E-2</v>
      </c>
      <c r="P1731">
        <v>-0.97475149999999999</v>
      </c>
      <c r="Q1731">
        <v>0.18209839999999999</v>
      </c>
      <c r="R1731">
        <v>-0.1292267</v>
      </c>
      <c r="S1731">
        <v>-3.0267940000000002</v>
      </c>
      <c r="T1731">
        <v>-0.1880453</v>
      </c>
      <c r="U1731">
        <v>-0.65045169999999997</v>
      </c>
      <c r="V1731">
        <v>-8.1457470000000004E-2</v>
      </c>
      <c r="W1731">
        <v>0.1936271</v>
      </c>
      <c r="X1731">
        <v>0.97768770000000005</v>
      </c>
      <c r="Y1731">
        <v>-0.16205610000000001</v>
      </c>
      <c r="Z1731">
        <v>-3.5138320000000002E-3</v>
      </c>
      <c r="AA1731">
        <v>0.98677530000000002</v>
      </c>
      <c r="AB1731">
        <v>24</v>
      </c>
      <c r="AC1731">
        <v>-17.638300000000001</v>
      </c>
      <c r="AD1731">
        <v>-1.1099866428509999</v>
      </c>
      <c r="AE1731">
        <v>-3.8289000000000302</v>
      </c>
      <c r="AF1731">
        <v>-2.9562552292882298</v>
      </c>
      <c r="AG1731">
        <v>-1.1099866428509999</v>
      </c>
      <c r="AH1731">
        <v>17.7364152359673</v>
      </c>
      <c r="AI1731">
        <v>93.532429009347496</v>
      </c>
      <c r="AJ1731">
        <v>99.462906895987501</v>
      </c>
      <c r="AK1731">
        <v>18.0153251636116</v>
      </c>
      <c r="AL1731">
        <v>78.835466319269699</v>
      </c>
      <c r="AM1731">
        <v>94.762681111685794</v>
      </c>
      <c r="AN1731">
        <v>1.00000000600225</v>
      </c>
    </row>
    <row r="1732" spans="1:40" x14ac:dyDescent="0.25">
      <c r="A1732" t="str">
        <f>"20190304155050242"</f>
        <v>20190304155050242</v>
      </c>
      <c r="B1732" t="str">
        <f>"1551685850238758"</f>
        <v>1551685850238758</v>
      </c>
      <c r="C1732" t="s">
        <v>40</v>
      </c>
      <c r="D1732">
        <v>6.0611499999999996</v>
      </c>
      <c r="E1732">
        <v>0.47116249999999998</v>
      </c>
      <c r="F1732" t="s">
        <v>70</v>
      </c>
      <c r="G1732">
        <v>-235.24440000000001</v>
      </c>
      <c r="H1732" s="1">
        <v>1.418934E-6</v>
      </c>
      <c r="I1732">
        <v>280.84390000000002</v>
      </c>
      <c r="J1732">
        <v>-217.7227</v>
      </c>
      <c r="K1732">
        <v>1.110017</v>
      </c>
      <c r="L1732">
        <v>284.67739999999998</v>
      </c>
      <c r="M1732">
        <v>-0.9987876</v>
      </c>
      <c r="N1732">
        <v>-1.188706E-2</v>
      </c>
      <c r="O1732">
        <v>-4.7773200000000002E-2</v>
      </c>
      <c r="P1732">
        <v>-0.97508300000000003</v>
      </c>
      <c r="Q1732">
        <v>0.1808427</v>
      </c>
      <c r="R1732">
        <v>-0.12848950000000001</v>
      </c>
      <c r="S1732">
        <v>-3.0261990000000001</v>
      </c>
      <c r="T1732">
        <v>-0.18920780000000001</v>
      </c>
      <c r="U1732">
        <v>-0.65521240000000003</v>
      </c>
      <c r="V1732">
        <v>-8.1495369999999998E-2</v>
      </c>
      <c r="W1732">
        <v>0.19259129999999999</v>
      </c>
      <c r="X1732">
        <v>0.97788909999999996</v>
      </c>
      <c r="Y1732">
        <v>-0.1643657</v>
      </c>
      <c r="Z1732">
        <v>-3.6804559999999999E-3</v>
      </c>
      <c r="AA1732">
        <v>0.98639259999999995</v>
      </c>
      <c r="AB1732">
        <v>24</v>
      </c>
      <c r="AC1732">
        <v>-17.521699999999999</v>
      </c>
      <c r="AD1732">
        <v>-1.110015581066</v>
      </c>
      <c r="AE1732">
        <v>-3.8334999999999502</v>
      </c>
      <c r="AF1732">
        <v>-2.9805799684362402</v>
      </c>
      <c r="AG1732">
        <v>-1.110015581066</v>
      </c>
      <c r="AH1732">
        <v>17.6173679165301</v>
      </c>
      <c r="AI1732">
        <v>93.554878272032994</v>
      </c>
      <c r="AJ1732">
        <v>99.602609163503999</v>
      </c>
      <c r="AK1732">
        <v>17.902168691106599</v>
      </c>
      <c r="AL1732">
        <v>78.895951702449906</v>
      </c>
      <c r="AM1732">
        <v>94.763910030627798</v>
      </c>
      <c r="AN1732">
        <v>0.99999999803296802</v>
      </c>
    </row>
    <row r="1733" spans="1:40" x14ac:dyDescent="0.25">
      <c r="A1733" t="str">
        <f>"20190304155050266"</f>
        <v>20190304155050266</v>
      </c>
      <c r="B1733" t="str">
        <f>"1551685850258279"</f>
        <v>1551685850258279</v>
      </c>
      <c r="C1733" t="s">
        <v>40</v>
      </c>
      <c r="D1733">
        <v>5.2226660000000003</v>
      </c>
      <c r="E1733">
        <v>0.56624859999999999</v>
      </c>
      <c r="F1733" t="s">
        <v>70</v>
      </c>
      <c r="G1733">
        <v>-234.2705</v>
      </c>
      <c r="H1733" s="1">
        <v>8.739596E-7</v>
      </c>
      <c r="I1733">
        <v>281.45510000000002</v>
      </c>
      <c r="J1733">
        <v>-217.97210000000001</v>
      </c>
      <c r="K1733">
        <v>1.1100110000000001</v>
      </c>
      <c r="L1733">
        <v>284.66640000000001</v>
      </c>
      <c r="M1733">
        <v>-0.99882760000000004</v>
      </c>
      <c r="N1733">
        <v>-1.2105589999999999E-2</v>
      </c>
      <c r="O1733">
        <v>-4.68733E-2</v>
      </c>
      <c r="P1733">
        <v>-0.97531219999999996</v>
      </c>
      <c r="Q1733">
        <v>0.18000389999999999</v>
      </c>
      <c r="R1733">
        <v>-0.12792580000000001</v>
      </c>
      <c r="S1733">
        <v>-3.0364990000000001</v>
      </c>
      <c r="T1733">
        <v>-0.20368559999999999</v>
      </c>
      <c r="U1733">
        <v>-0.59127810000000003</v>
      </c>
      <c r="V1733">
        <v>-8.1794569999999997E-2</v>
      </c>
      <c r="W1733">
        <v>0.1919727</v>
      </c>
      <c r="X1733">
        <v>0.97798569999999996</v>
      </c>
      <c r="Y1733">
        <v>-0.14460819999999999</v>
      </c>
      <c r="Z1733">
        <v>-3.1395780000000001E-3</v>
      </c>
      <c r="AA1733">
        <v>0.98948400000000003</v>
      </c>
      <c r="AB1733">
        <v>24</v>
      </c>
      <c r="AC1733">
        <v>-16.298399999999901</v>
      </c>
      <c r="AD1733">
        <v>-1.1100101260404001</v>
      </c>
      <c r="AE1733">
        <v>-3.2112999999999898</v>
      </c>
      <c r="AF1733">
        <v>-2.4328911716287598</v>
      </c>
      <c r="AG1733">
        <v>-1.1100101260404001</v>
      </c>
      <c r="AH1733">
        <v>16.357979473837101</v>
      </c>
      <c r="AI1733">
        <v>93.8398836767132</v>
      </c>
      <c r="AJ1733">
        <v>98.459481318319504</v>
      </c>
      <c r="AK1733">
        <v>16.575119136807999</v>
      </c>
      <c r="AL1733">
        <v>78.932068282306105</v>
      </c>
      <c r="AM1733">
        <v>94.780849105220895</v>
      </c>
      <c r="AN1733">
        <v>0.99999994931563096</v>
      </c>
    </row>
    <row r="1734" spans="1:40" x14ac:dyDescent="0.25">
      <c r="A1734" t="str">
        <f>"20190304155050289"</f>
        <v>20190304155050289</v>
      </c>
      <c r="B1734" t="str">
        <f>"1551685850278778"</f>
        <v>1551685850278778</v>
      </c>
      <c r="C1734" t="s">
        <v>40</v>
      </c>
      <c r="D1734">
        <v>5.1202019999999999</v>
      </c>
      <c r="E1734">
        <v>0.56879869999999899</v>
      </c>
      <c r="F1734" t="s">
        <v>70</v>
      </c>
      <c r="G1734">
        <v>-247.30359999999999</v>
      </c>
      <c r="H1734" s="1">
        <v>2.3498209999999999E-6</v>
      </c>
      <c r="I1734">
        <v>286.18270000000001</v>
      </c>
      <c r="J1734">
        <v>-218.22120000000001</v>
      </c>
      <c r="K1734">
        <v>1.1099909999999999</v>
      </c>
      <c r="L1734">
        <v>284.6558</v>
      </c>
      <c r="M1734">
        <v>-0.9988686</v>
      </c>
      <c r="N1734">
        <v>-1.2310339999999999E-2</v>
      </c>
      <c r="O1734">
        <v>-4.5937270000000002E-2</v>
      </c>
      <c r="P1734">
        <v>-0.97558920000000005</v>
      </c>
      <c r="Q1734">
        <v>0.17895420000000001</v>
      </c>
      <c r="R1734">
        <v>-0.1272855</v>
      </c>
      <c r="S1734">
        <v>-3.118881</v>
      </c>
      <c r="T1734">
        <v>-0.1180297</v>
      </c>
      <c r="U1734">
        <v>0.16122439999999999</v>
      </c>
      <c r="V1734">
        <v>-8.2044720000000002E-2</v>
      </c>
      <c r="W1734">
        <v>0.1911331</v>
      </c>
      <c r="X1734">
        <v>0.97812929999999998</v>
      </c>
      <c r="Y1734">
        <v>9.7341960000000005E-2</v>
      </c>
      <c r="Z1734">
        <v>3.6115769999999999E-3</v>
      </c>
      <c r="AA1734">
        <v>0.99524440000000003</v>
      </c>
      <c r="AB1734">
        <v>24</v>
      </c>
      <c r="AC1734">
        <v>-29.0823999999999</v>
      </c>
      <c r="AD1734">
        <v>-1.1099886501789999</v>
      </c>
      <c r="AE1734">
        <v>1.5269000000000099</v>
      </c>
      <c r="AF1734">
        <v>2.8572042677571501</v>
      </c>
      <c r="AG1734">
        <v>-1.1099886501789999</v>
      </c>
      <c r="AH1734">
        <v>28.9395059861512</v>
      </c>
      <c r="AI1734">
        <v>92.185912879137405</v>
      </c>
      <c r="AJ1734">
        <v>84.361447658061806</v>
      </c>
      <c r="AK1734">
        <v>29.101386526309899</v>
      </c>
      <c r="AL1734">
        <v>78.981082699905002</v>
      </c>
      <c r="AM1734">
        <v>94.794701423563495</v>
      </c>
      <c r="AN1734">
        <v>1.0000000627569801</v>
      </c>
    </row>
    <row r="1735" spans="1:40" x14ac:dyDescent="0.25">
      <c r="A1735" t="str">
        <f>"20190304155050311"</f>
        <v>20190304155050311</v>
      </c>
      <c r="B1735" t="str">
        <f>"1551685850308055"</f>
        <v>1551685850308055</v>
      </c>
      <c r="C1735" t="s">
        <v>40</v>
      </c>
      <c r="D1735">
        <v>5.1021590000000003</v>
      </c>
      <c r="E1735">
        <v>0.56947720000000002</v>
      </c>
      <c r="F1735" t="s">
        <v>70</v>
      </c>
      <c r="G1735">
        <v>-259.21789999999999</v>
      </c>
      <c r="H1735" s="1">
        <v>3.3685049999999999E-6</v>
      </c>
      <c r="I1735">
        <v>287.06450000000001</v>
      </c>
      <c r="J1735">
        <v>-218.4641</v>
      </c>
      <c r="K1735">
        <v>1.1099619999999999</v>
      </c>
      <c r="L1735">
        <v>284.64569999999998</v>
      </c>
      <c r="M1735">
        <v>-0.99891039999999998</v>
      </c>
      <c r="N1735">
        <v>-1.249567E-2</v>
      </c>
      <c r="O1735">
        <v>-4.4966369999999999E-2</v>
      </c>
      <c r="P1735">
        <v>-0.97573650000000001</v>
      </c>
      <c r="Q1735">
        <v>0.17828189999999999</v>
      </c>
      <c r="R1735">
        <v>-0.12709819999999999</v>
      </c>
      <c r="S1735">
        <v>-3.1144099999999999</v>
      </c>
      <c r="T1735">
        <v>-8.4322930000000004E-2</v>
      </c>
      <c r="U1735">
        <v>0.18298339999999999</v>
      </c>
      <c r="V1735">
        <v>-8.2784819999999995E-2</v>
      </c>
      <c r="W1735">
        <v>0.19065280000000001</v>
      </c>
      <c r="X1735">
        <v>0.97816060000000005</v>
      </c>
      <c r="Y1735">
        <v>0.1034257</v>
      </c>
      <c r="Z1735">
        <v>2.700577E-3</v>
      </c>
      <c r="AA1735">
        <v>0.99463349999999995</v>
      </c>
      <c r="AB1735">
        <v>24</v>
      </c>
      <c r="AC1735">
        <v>-40.753799999999899</v>
      </c>
      <c r="AD1735">
        <v>-1.1099586314950001</v>
      </c>
      <c r="AE1735">
        <v>2.4188000000000298</v>
      </c>
      <c r="AF1735">
        <v>4.2459079549994101</v>
      </c>
      <c r="AG1735">
        <v>-1.1099586314950001</v>
      </c>
      <c r="AH1735">
        <v>40.573806655620302</v>
      </c>
      <c r="AI1735">
        <v>91.558516871480506</v>
      </c>
      <c r="AJ1735">
        <v>84.025939445618803</v>
      </c>
      <c r="AK1735">
        <v>40.8104585744098</v>
      </c>
      <c r="AL1735">
        <v>79.009116563157093</v>
      </c>
      <c r="AM1735">
        <v>94.837594509481306</v>
      </c>
      <c r="AN1735">
        <v>0.99999998798131595</v>
      </c>
    </row>
    <row r="1736" spans="1:40" x14ac:dyDescent="0.25">
      <c r="A1736" t="str">
        <f>"20190304155050334"</f>
        <v>20190304155050334</v>
      </c>
      <c r="B1736" t="str">
        <f>"1551685850328550"</f>
        <v>1551685850328550</v>
      </c>
      <c r="C1736" t="s">
        <v>40</v>
      </c>
      <c r="D1736">
        <v>5.1155030000000004</v>
      </c>
      <c r="E1736">
        <v>0.56999049999999996</v>
      </c>
      <c r="F1736" t="s">
        <v>70</v>
      </c>
      <c r="G1736">
        <v>-269.90300000000002</v>
      </c>
      <c r="H1736" s="1">
        <v>3.7330749999999998E-6</v>
      </c>
      <c r="I1736">
        <v>287.76920000000001</v>
      </c>
      <c r="J1736">
        <v>-218.70699999999999</v>
      </c>
      <c r="K1736">
        <v>1.109939</v>
      </c>
      <c r="L1736">
        <v>284.63600000000002</v>
      </c>
      <c r="M1736">
        <v>-0.99895429999999996</v>
      </c>
      <c r="N1736">
        <v>-1.2662380000000001E-2</v>
      </c>
      <c r="O1736">
        <v>-4.3935109999999999E-2</v>
      </c>
      <c r="P1736">
        <v>-0.97585860000000002</v>
      </c>
      <c r="Q1736">
        <v>0.1775967</v>
      </c>
      <c r="R1736">
        <v>-0.12712080000000001</v>
      </c>
      <c r="S1736">
        <v>-3.1114649999999999</v>
      </c>
      <c r="T1736">
        <v>-6.7139859999999996E-2</v>
      </c>
      <c r="U1736">
        <v>0.1889343</v>
      </c>
      <c r="V1736">
        <v>-8.3796060000000006E-2</v>
      </c>
      <c r="W1736">
        <v>0.19014120000000001</v>
      </c>
      <c r="X1736">
        <v>0.97817410000000005</v>
      </c>
      <c r="Y1736">
        <v>0.1043695</v>
      </c>
      <c r="Z1736">
        <v>2.177816E-3</v>
      </c>
      <c r="AA1736">
        <v>0.99453619999999998</v>
      </c>
      <c r="AB1736">
        <v>24</v>
      </c>
      <c r="AC1736">
        <v>-51.195999999999998</v>
      </c>
      <c r="AD1736">
        <v>-1.109935266925</v>
      </c>
      <c r="AE1736">
        <v>3.13320000000004</v>
      </c>
      <c r="AF1736">
        <v>5.3771379563489203</v>
      </c>
      <c r="AG1736">
        <v>-1.109935266925</v>
      </c>
      <c r="AH1736">
        <v>50.985013118000197</v>
      </c>
      <c r="AI1736">
        <v>91.240246298228499</v>
      </c>
      <c r="AJ1736">
        <v>83.979552375550398</v>
      </c>
      <c r="AK1736">
        <v>51.2797926238107</v>
      </c>
      <c r="AL1736">
        <v>79.038975559949805</v>
      </c>
      <c r="AM1736">
        <v>94.8963342804321</v>
      </c>
      <c r="AN1736">
        <v>1.00000001275988</v>
      </c>
    </row>
    <row r="1737" spans="1:40" x14ac:dyDescent="0.25">
      <c r="A1737" t="str">
        <f>"20190304155050355"</f>
        <v>20190304155050355</v>
      </c>
      <c r="B1737" t="str">
        <f>"1551685850348071"</f>
        <v>1551685850348071</v>
      </c>
      <c r="C1737" t="s">
        <v>40</v>
      </c>
      <c r="D1737">
        <v>5.1102800000000004</v>
      </c>
      <c r="E1737">
        <v>0.56985790000000003</v>
      </c>
      <c r="F1737" t="s">
        <v>70</v>
      </c>
      <c r="G1737">
        <v>-279.93099999999998</v>
      </c>
      <c r="H1737" s="1">
        <v>3.5807840000000001E-6</v>
      </c>
      <c r="I1737">
        <v>288.4418</v>
      </c>
      <c r="J1737">
        <v>-218.9393</v>
      </c>
      <c r="K1737">
        <v>1.109909</v>
      </c>
      <c r="L1737">
        <v>284.62689999999998</v>
      </c>
      <c r="M1737">
        <v>-0.99899819999999995</v>
      </c>
      <c r="N1737">
        <v>-1.280355E-2</v>
      </c>
      <c r="O1737">
        <v>-4.2881099999999998E-2</v>
      </c>
      <c r="P1737">
        <v>-0.97595790000000004</v>
      </c>
      <c r="Q1737">
        <v>0.17731930000000001</v>
      </c>
      <c r="R1737">
        <v>-0.12674479999999999</v>
      </c>
      <c r="S1737">
        <v>-3.1096189999999999</v>
      </c>
      <c r="T1737">
        <v>-5.6374550000000002E-2</v>
      </c>
      <c r="U1737">
        <v>0.19329830000000001</v>
      </c>
      <c r="V1737">
        <v>-8.4433499999999995E-2</v>
      </c>
      <c r="W1737">
        <v>0.1900106</v>
      </c>
      <c r="X1737">
        <v>0.97814460000000003</v>
      </c>
      <c r="Y1737">
        <v>0.10475669999999999</v>
      </c>
      <c r="Z1737">
        <v>1.848183E-3</v>
      </c>
      <c r="AA1737">
        <v>0.99449620000000005</v>
      </c>
      <c r="AB1737">
        <v>24</v>
      </c>
      <c r="AC1737">
        <v>-60.991699999999902</v>
      </c>
      <c r="AD1737">
        <v>-1.1099054192160001</v>
      </c>
      <c r="AE1737">
        <v>3.8149000000000202</v>
      </c>
      <c r="AF1737">
        <v>6.4248765026996804</v>
      </c>
      <c r="AG1737">
        <v>-1.1099054192160001</v>
      </c>
      <c r="AH1737">
        <v>60.751949197353802</v>
      </c>
      <c r="AI1737">
        <v>91.040843536172503</v>
      </c>
      <c r="AJ1737">
        <v>83.963073349908697</v>
      </c>
      <c r="AK1737">
        <v>61.1008204477845</v>
      </c>
      <c r="AL1737">
        <v>79.046596656433394</v>
      </c>
      <c r="AM1737">
        <v>94.933545811027301</v>
      </c>
      <c r="AN1737">
        <v>0.99999995127188301</v>
      </c>
    </row>
    <row r="1738" spans="1:40" x14ac:dyDescent="0.25">
      <c r="A1738" t="str">
        <f>"20190304155050379"</f>
        <v>20190304155050379</v>
      </c>
      <c r="B1738" t="str">
        <f>"1551685850368570"</f>
        <v>1551685850368570</v>
      </c>
      <c r="C1738" t="s">
        <v>40</v>
      </c>
      <c r="D1738">
        <v>5.0923569999999998</v>
      </c>
      <c r="E1738">
        <v>0.56985189999999997</v>
      </c>
      <c r="F1738" t="s">
        <v>72</v>
      </c>
      <c r="G1738">
        <v>-286.0985</v>
      </c>
      <c r="H1738" s="1">
        <v>4.8303549999999998E-6</v>
      </c>
      <c r="I1738">
        <v>288.81450000000001</v>
      </c>
      <c r="J1738">
        <v>-219.19399999999999</v>
      </c>
      <c r="K1738">
        <v>1.109872</v>
      </c>
      <c r="L1738">
        <v>284.61739999999998</v>
      </c>
      <c r="M1738">
        <v>-0.99904890000000002</v>
      </c>
      <c r="N1738">
        <v>-1.2940180000000001E-2</v>
      </c>
      <c r="O1738">
        <v>-4.1640879999999998E-2</v>
      </c>
      <c r="P1738">
        <v>-0.97602710000000004</v>
      </c>
      <c r="Q1738">
        <v>0.17725450000000001</v>
      </c>
      <c r="R1738">
        <v>-0.1263021</v>
      </c>
      <c r="S1738">
        <v>-3.1084290000000001</v>
      </c>
      <c r="T1738">
        <v>-5.1371340000000001E-2</v>
      </c>
      <c r="U1738">
        <v>0.19381709999999999</v>
      </c>
      <c r="V1738">
        <v>-8.5183999999999996E-2</v>
      </c>
      <c r="W1738">
        <v>0.1900897</v>
      </c>
      <c r="X1738">
        <v>0.97806420000000005</v>
      </c>
      <c r="Y1738">
        <v>0.1037155</v>
      </c>
      <c r="Z1738">
        <v>1.6772060000000001E-3</v>
      </c>
      <c r="AA1738">
        <v>0.99460559999999998</v>
      </c>
      <c r="AB1738">
        <v>24</v>
      </c>
      <c r="AC1738">
        <v>-66.904499999999899</v>
      </c>
      <c r="AD1738">
        <v>-1.109867169645</v>
      </c>
      <c r="AE1738">
        <v>4.19710000000003</v>
      </c>
      <c r="AF1738">
        <v>6.9777417082724797</v>
      </c>
      <c r="AG1738">
        <v>-1.109867169645</v>
      </c>
      <c r="AH1738">
        <v>66.6534042013309</v>
      </c>
      <c r="AI1738">
        <v>90.948778326636202</v>
      </c>
      <c r="AJ1738">
        <v>84.023648379972201</v>
      </c>
      <c r="AK1738">
        <v>67.026837730178002</v>
      </c>
      <c r="AL1738">
        <v>79.041980896109393</v>
      </c>
      <c r="AM1738">
        <v>94.977586152947694</v>
      </c>
      <c r="AN1738">
        <v>0.99999999361186498</v>
      </c>
    </row>
    <row r="1739" spans="1:40" x14ac:dyDescent="0.25">
      <c r="A1739" t="str">
        <f>"20190304155050400"</f>
        <v>20190304155050400</v>
      </c>
      <c r="B1739" t="str">
        <f>"1551685850397846"</f>
        <v>1551685850397846</v>
      </c>
      <c r="C1739" t="s">
        <v>40</v>
      </c>
      <c r="D1739">
        <v>5.06433</v>
      </c>
      <c r="E1739">
        <v>0.56993099999999997</v>
      </c>
      <c r="F1739" t="s">
        <v>72</v>
      </c>
      <c r="G1739">
        <v>-293.13799999999998</v>
      </c>
      <c r="H1739" s="1">
        <v>2.3547169999999999E-6</v>
      </c>
      <c r="I1739">
        <v>289.27940000000001</v>
      </c>
      <c r="J1739">
        <v>-219.4282</v>
      </c>
      <c r="K1739">
        <v>1.1098380000000001</v>
      </c>
      <c r="L1739">
        <v>284.60890000000001</v>
      </c>
      <c r="M1739">
        <v>-0.99909760000000003</v>
      </c>
      <c r="N1739">
        <v>-1.305105E-2</v>
      </c>
      <c r="O1739">
        <v>-4.0420869999999998E-2</v>
      </c>
      <c r="P1739">
        <v>-0.97594259999999999</v>
      </c>
      <c r="Q1739">
        <v>0.17811640000000001</v>
      </c>
      <c r="R1739">
        <v>-0.12574179999999999</v>
      </c>
      <c r="S1739">
        <v>-3.1074980000000001</v>
      </c>
      <c r="T1739">
        <v>-4.6642299999999998E-2</v>
      </c>
      <c r="U1739">
        <v>0.19592290000000001</v>
      </c>
      <c r="V1739">
        <v>-8.5800230000000005E-2</v>
      </c>
      <c r="W1739">
        <v>0.19106890000000001</v>
      </c>
      <c r="X1739">
        <v>0.97781949999999995</v>
      </c>
      <c r="Y1739">
        <v>0.10319449999999999</v>
      </c>
      <c r="Z1739">
        <v>1.5269729999999901E-3</v>
      </c>
      <c r="AA1739">
        <v>0.99465999999999999</v>
      </c>
      <c r="AB1739">
        <v>24</v>
      </c>
      <c r="AC1739">
        <v>-73.709799999999902</v>
      </c>
      <c r="AD1739">
        <v>-1.1098356452829901</v>
      </c>
      <c r="AE1739">
        <v>4.6704999999999997</v>
      </c>
      <c r="AF1739">
        <v>7.6446239158612102</v>
      </c>
      <c r="AG1739">
        <v>-1.1098356452829901</v>
      </c>
      <c r="AH1739">
        <v>73.444164337866496</v>
      </c>
      <c r="AI1739">
        <v>90.861095540919493</v>
      </c>
      <c r="AJ1739">
        <v>84.057620766640795</v>
      </c>
      <c r="AK1739">
        <v>73.849287642211095</v>
      </c>
      <c r="AL1739">
        <v>78.984829333565997</v>
      </c>
      <c r="AM1739">
        <v>95.014659886979999</v>
      </c>
      <c r="AN1739">
        <v>0.99999998929775602</v>
      </c>
    </row>
    <row r="1740" spans="1:40" x14ac:dyDescent="0.25">
      <c r="A1740" t="str">
        <f>"20190304155050422"</f>
        <v>20190304155050422</v>
      </c>
      <c r="B1740" t="str">
        <f>"1551685850418343"</f>
        <v>1551685850418343</v>
      </c>
      <c r="C1740" t="s">
        <v>40</v>
      </c>
      <c r="D1740">
        <v>5.0770670000000004</v>
      </c>
      <c r="E1740">
        <v>0.56984809999999997</v>
      </c>
      <c r="F1740" t="s">
        <v>72</v>
      </c>
      <c r="G1740">
        <v>-300.93209999999999</v>
      </c>
      <c r="H1740" s="1">
        <v>3.2935060000000001E-6</v>
      </c>
      <c r="I1740">
        <v>289.81049999999999</v>
      </c>
      <c r="J1740">
        <v>-219.65819999999999</v>
      </c>
      <c r="K1740">
        <v>1.109788</v>
      </c>
      <c r="L1740">
        <v>284.60109999999997</v>
      </c>
      <c r="M1740">
        <v>-0.99914709999999995</v>
      </c>
      <c r="N1740">
        <v>-1.314705E-2</v>
      </c>
      <c r="O1740">
        <v>-3.9147679999999997E-2</v>
      </c>
      <c r="P1740">
        <v>-0.97609800000000002</v>
      </c>
      <c r="Q1740">
        <v>0.17792549999999999</v>
      </c>
      <c r="R1740">
        <v>-0.12480189999999999</v>
      </c>
      <c r="S1740">
        <v>-3.107224</v>
      </c>
      <c r="T1740">
        <v>-4.231095E-2</v>
      </c>
      <c r="U1740">
        <v>0.19830320000000001</v>
      </c>
      <c r="V1740">
        <v>-8.6078650000000007E-2</v>
      </c>
      <c r="W1740">
        <v>0.19098380000000001</v>
      </c>
      <c r="X1740">
        <v>0.97781169999999995</v>
      </c>
      <c r="Y1740">
        <v>0.1026946</v>
      </c>
      <c r="Z1740">
        <v>1.392751E-3</v>
      </c>
      <c r="AA1740">
        <v>0.99471189999999998</v>
      </c>
      <c r="AB1740">
        <v>24</v>
      </c>
      <c r="AC1740">
        <v>-81.273899999999998</v>
      </c>
      <c r="AD1740">
        <v>-1.1097847064939901</v>
      </c>
      <c r="AE1740">
        <v>5.2094000000000102</v>
      </c>
      <c r="AF1740">
        <v>8.3858079240017709</v>
      </c>
      <c r="AG1740">
        <v>-1.1097847064939901</v>
      </c>
      <c r="AH1740">
        <v>80.992594332950006</v>
      </c>
      <c r="AI1740">
        <v>90.780860968235203</v>
      </c>
      <c r="AJ1740">
        <v>84.088774866037198</v>
      </c>
      <c r="AK1740">
        <v>81.433124300955299</v>
      </c>
      <c r="AL1740">
        <v>78.989797168566398</v>
      </c>
      <c r="AM1740">
        <v>95.030888906974099</v>
      </c>
      <c r="AN1740">
        <v>1.00000003325257</v>
      </c>
    </row>
    <row r="1741" spans="1:40" x14ac:dyDescent="0.25">
      <c r="A1741" t="str">
        <f>"20190304155050444"</f>
        <v>20190304155050444</v>
      </c>
      <c r="B1741" t="str">
        <f>"1551685850437862"</f>
        <v>1551685850437862</v>
      </c>
      <c r="C1741" t="s">
        <v>40</v>
      </c>
      <c r="D1741">
        <v>5.1139159999999997</v>
      </c>
      <c r="E1741">
        <v>0.56985600000000003</v>
      </c>
      <c r="F1741" t="s">
        <v>72</v>
      </c>
      <c r="G1741">
        <v>-306.14260000000002</v>
      </c>
      <c r="H1741" s="1">
        <v>2.2318189999999998E-6</v>
      </c>
      <c r="I1741">
        <v>290.19929999999999</v>
      </c>
      <c r="J1741">
        <v>-219.89429999999999</v>
      </c>
      <c r="K1741">
        <v>1.109728</v>
      </c>
      <c r="L1741">
        <v>284.59339999999997</v>
      </c>
      <c r="M1741">
        <v>-0.99919919999999995</v>
      </c>
      <c r="N1741">
        <v>-1.323358E-2</v>
      </c>
      <c r="O1741">
        <v>-3.776376E-2</v>
      </c>
      <c r="P1741">
        <v>-0.97633329999999996</v>
      </c>
      <c r="Q1741">
        <v>0.17725829999999901</v>
      </c>
      <c r="R1741">
        <v>-0.1239068</v>
      </c>
      <c r="S1741">
        <v>-3.1064150000000001</v>
      </c>
      <c r="T1741">
        <v>-3.9862160000000001E-2</v>
      </c>
      <c r="U1741">
        <v>0.20108029999999999</v>
      </c>
      <c r="V1741">
        <v>-8.6507520000000004E-2</v>
      </c>
      <c r="W1741">
        <v>0.19041549999999999</v>
      </c>
      <c r="X1741">
        <v>0.97788470000000005</v>
      </c>
      <c r="Y1741">
        <v>0.10222050000000001</v>
      </c>
      <c r="Z1741">
        <v>1.317251E-3</v>
      </c>
      <c r="AA1741">
        <v>0.99476089999999995</v>
      </c>
      <c r="AB1741">
        <v>24</v>
      </c>
      <c r="AC1741">
        <v>-86.2483</v>
      </c>
      <c r="AD1741">
        <v>-1.109725768181</v>
      </c>
      <c r="AE1741">
        <v>5.6059000000000099</v>
      </c>
      <c r="AF1741">
        <v>8.8577852409935094</v>
      </c>
      <c r="AG1741">
        <v>-1.109725768181</v>
      </c>
      <c r="AH1741">
        <v>85.960878512717002</v>
      </c>
      <c r="AI1741">
        <v>90.735732669734404</v>
      </c>
      <c r="AJ1741">
        <v>84.116756456952501</v>
      </c>
      <c r="AK1741">
        <v>86.423170997911399</v>
      </c>
      <c r="AL1741">
        <v>79.022967266286798</v>
      </c>
      <c r="AM1741">
        <v>95.055449266997101</v>
      </c>
      <c r="AN1741">
        <v>1.00000005007544</v>
      </c>
    </row>
    <row r="1742" spans="1:40" x14ac:dyDescent="0.25">
      <c r="A1742" t="str">
        <f>"20190304155050467"</f>
        <v>20190304155050467</v>
      </c>
      <c r="B1742" t="str">
        <f>"1551685850458358"</f>
        <v>1551685850458358</v>
      </c>
      <c r="C1742" t="s">
        <v>40</v>
      </c>
      <c r="D1742">
        <v>5.1187950000000004</v>
      </c>
      <c r="E1742">
        <v>0.56979579999999996</v>
      </c>
      <c r="F1742" t="s">
        <v>72</v>
      </c>
      <c r="G1742">
        <v>-307.43239999999997</v>
      </c>
      <c r="H1742" s="1">
        <v>1.9454060000000002E-6</v>
      </c>
      <c r="I1742">
        <v>290.3623</v>
      </c>
      <c r="J1742">
        <v>-220.1354</v>
      </c>
      <c r="K1742">
        <v>1.1096779999999999</v>
      </c>
      <c r="L1742">
        <v>284.58589999999998</v>
      </c>
      <c r="M1742">
        <v>-0.99925330000000001</v>
      </c>
      <c r="N1742">
        <v>-1.331061E-2</v>
      </c>
      <c r="O1742">
        <v>-3.6273279999999998E-2</v>
      </c>
      <c r="P1742">
        <v>-0.97644109999999995</v>
      </c>
      <c r="Q1742">
        <v>0.17741499999999999</v>
      </c>
      <c r="R1742">
        <v>-0.1228288</v>
      </c>
      <c r="S1742">
        <v>-3.1058650000000001</v>
      </c>
      <c r="T1742">
        <v>-3.9373279999999997E-2</v>
      </c>
      <c r="U1742">
        <v>0.20468140000000001</v>
      </c>
      <c r="V1742">
        <v>-8.686286E-2</v>
      </c>
      <c r="W1742">
        <v>0.19065889999999999</v>
      </c>
      <c r="X1742">
        <v>0.9778057</v>
      </c>
      <c r="Y1742">
        <v>0.1018969</v>
      </c>
      <c r="Z1742">
        <v>1.3012570000000001E-3</v>
      </c>
      <c r="AA1742">
        <v>0.99479410000000001</v>
      </c>
      <c r="AB1742">
        <v>24</v>
      </c>
      <c r="AC1742">
        <v>-87.296999999999898</v>
      </c>
      <c r="AD1742">
        <v>-1.1096760545939901</v>
      </c>
      <c r="AE1742">
        <v>5.7764000000000202</v>
      </c>
      <c r="AF1742">
        <v>8.9379889450076995</v>
      </c>
      <c r="AG1742">
        <v>-1.1096760545939901</v>
      </c>
      <c r="AH1742">
        <v>87.0159938854069</v>
      </c>
      <c r="AI1742">
        <v>90.726804172887498</v>
      </c>
      <c r="AJ1742">
        <v>84.135338802119904</v>
      </c>
      <c r="AK1742">
        <v>87.480867732278398</v>
      </c>
      <c r="AL1742">
        <v>79.008760436800003</v>
      </c>
      <c r="AM1742">
        <v>95.076514831334094</v>
      </c>
      <c r="AN1742">
        <v>0.99999997977453903</v>
      </c>
    </row>
    <row r="1743" spans="1:40" x14ac:dyDescent="0.25">
      <c r="A1743" t="str">
        <f>"20190304155050490"</f>
        <v>20190304155050490</v>
      </c>
      <c r="B1743" t="str">
        <f>"1551685850477882"</f>
        <v>1551685850477882</v>
      </c>
      <c r="C1743" t="s">
        <v>40</v>
      </c>
      <c r="D1743">
        <v>5.1197249999999999</v>
      </c>
      <c r="E1743">
        <v>0.56962270000000004</v>
      </c>
      <c r="F1743" t="s">
        <v>72</v>
      </c>
      <c r="G1743">
        <v>-310.45299999999997</v>
      </c>
      <c r="H1743" s="1">
        <v>1.8244170000000001E-6</v>
      </c>
      <c r="I1743">
        <v>290.6275</v>
      </c>
      <c r="J1743">
        <v>-220.3793</v>
      </c>
      <c r="K1743">
        <v>1.1096379999999999</v>
      </c>
      <c r="L1743">
        <v>284.57889999999998</v>
      </c>
      <c r="M1743">
        <v>-0.99930870000000005</v>
      </c>
      <c r="N1743">
        <v>-1.337736E-2</v>
      </c>
      <c r="O1743">
        <v>-3.469001E-2</v>
      </c>
      <c r="P1743">
        <v>-0.9766321</v>
      </c>
      <c r="Q1743">
        <v>0.177092</v>
      </c>
      <c r="R1743">
        <v>-0.12177209999999999</v>
      </c>
      <c r="S1743">
        <v>-3.1054379999999999</v>
      </c>
      <c r="T1743">
        <v>-3.8154599999999997E-2</v>
      </c>
      <c r="U1743">
        <v>0.20773320000000001</v>
      </c>
      <c r="V1743">
        <v>-8.7333369999999994E-2</v>
      </c>
      <c r="W1743">
        <v>0.1904122</v>
      </c>
      <c r="X1743">
        <v>0.97781189999999996</v>
      </c>
      <c r="Y1743">
        <v>0.1013038</v>
      </c>
      <c r="Z1743">
        <v>1.2623210000000001E-3</v>
      </c>
      <c r="AA1743">
        <v>0.99485469999999998</v>
      </c>
      <c r="AB1743">
        <v>24</v>
      </c>
      <c r="AC1743">
        <v>-90.073699999999903</v>
      </c>
      <c r="AD1743">
        <v>-1.109636175583</v>
      </c>
      <c r="AE1743">
        <v>6.04860000000002</v>
      </c>
      <c r="AF1743">
        <v>9.1685104472852199</v>
      </c>
      <c r="AG1743">
        <v>-1.109636175583</v>
      </c>
      <c r="AH1743">
        <v>89.796065520198198</v>
      </c>
      <c r="AI1743">
        <v>90.704323173352805</v>
      </c>
      <c r="AJ1743">
        <v>84.170092208129006</v>
      </c>
      <c r="AK1743">
        <v>90.269741658940603</v>
      </c>
      <c r="AL1743">
        <v>79.023159505303596</v>
      </c>
      <c r="AM1743">
        <v>95.103835747188896</v>
      </c>
      <c r="AN1743">
        <v>1.0000000176029999</v>
      </c>
    </row>
    <row r="1744" spans="1:40" x14ac:dyDescent="0.25">
      <c r="A1744" t="str">
        <f>"20190304155050512"</f>
        <v>20190304155050512</v>
      </c>
      <c r="B1744" t="str">
        <f>"1551685850508134"</f>
        <v>1551685850508134</v>
      </c>
      <c r="C1744" t="s">
        <v>40</v>
      </c>
      <c r="D1744">
        <v>5.1304689999999997</v>
      </c>
      <c r="E1744">
        <v>0.56926999999999905</v>
      </c>
      <c r="F1744" t="s">
        <v>72</v>
      </c>
      <c r="G1744">
        <v>-308.59230000000002</v>
      </c>
      <c r="H1744" s="1">
        <v>1.7222429999999999E-6</v>
      </c>
      <c r="I1744">
        <v>290.5249</v>
      </c>
      <c r="J1744">
        <v>-220.6096</v>
      </c>
      <c r="K1744">
        <v>1.109604</v>
      </c>
      <c r="L1744">
        <v>284.57260000000002</v>
      </c>
      <c r="M1744">
        <v>-0.99936040000000004</v>
      </c>
      <c r="N1744">
        <v>-1.343199E-2</v>
      </c>
      <c r="O1744">
        <v>-3.314491E-2</v>
      </c>
      <c r="P1744">
        <v>-0.97675730000000005</v>
      </c>
      <c r="Q1744">
        <v>0.176613299999999</v>
      </c>
      <c r="R1744">
        <v>-0.1214626</v>
      </c>
      <c r="S1744">
        <v>-3.1049500000000001</v>
      </c>
      <c r="T1744">
        <v>-3.9057370000000001E-2</v>
      </c>
      <c r="U1744">
        <v>0.20928959999999999</v>
      </c>
      <c r="V1744">
        <v>-8.8522539999999997E-2</v>
      </c>
      <c r="W1744">
        <v>0.18999559999999999</v>
      </c>
      <c r="X1744">
        <v>0.97778600000000004</v>
      </c>
      <c r="Y1744">
        <v>0.100272</v>
      </c>
      <c r="Z1744">
        <v>1.2760460000000001E-3</v>
      </c>
      <c r="AA1744">
        <v>0.99495919999999904</v>
      </c>
      <c r="AB1744">
        <v>24</v>
      </c>
      <c r="AC1744">
        <v>-87.982699999999994</v>
      </c>
      <c r="AD1744">
        <v>-1.109602277757</v>
      </c>
      <c r="AE1744">
        <v>5.9522999999999797</v>
      </c>
      <c r="AF1744">
        <v>8.8640669954523901</v>
      </c>
      <c r="AG1744">
        <v>-1.109602277757</v>
      </c>
      <c r="AH1744">
        <v>87.723154532509</v>
      </c>
      <c r="AI1744">
        <v>90.721019340006293</v>
      </c>
      <c r="AJ1744">
        <v>84.230079469608796</v>
      </c>
      <c r="AK1744">
        <v>88.176837900035494</v>
      </c>
      <c r="AL1744">
        <v>79.047472745671598</v>
      </c>
      <c r="AM1744">
        <v>95.173093589690495</v>
      </c>
      <c r="AN1744">
        <v>1.0000000149517001</v>
      </c>
    </row>
    <row r="1745" spans="1:40" x14ac:dyDescent="0.25">
      <c r="A1745" t="str">
        <f>"20190304155050545"</f>
        <v>20190304155050545</v>
      </c>
      <c r="B1745" t="str">
        <f>"1551685850538391"</f>
        <v>1551685850538391</v>
      </c>
      <c r="C1745" t="s">
        <v>40</v>
      </c>
      <c r="D1745">
        <v>5.099647</v>
      </c>
      <c r="E1745">
        <v>0.56904049999999995</v>
      </c>
      <c r="F1745" t="s">
        <v>72</v>
      </c>
      <c r="G1745">
        <v>-307.22239999999999</v>
      </c>
      <c r="H1745" s="1">
        <v>1.9852690000000001E-6</v>
      </c>
      <c r="I1745">
        <v>290.35489999999999</v>
      </c>
      <c r="J1745">
        <v>-220.96780000000001</v>
      </c>
      <c r="K1745">
        <v>1.1095870000000001</v>
      </c>
      <c r="L1745">
        <v>284.56380000000001</v>
      </c>
      <c r="M1745">
        <v>-0.99943800000000005</v>
      </c>
      <c r="N1745">
        <v>-1.350286E-2</v>
      </c>
      <c r="O1745">
        <v>-3.0685469999999999E-2</v>
      </c>
      <c r="P1745">
        <v>-0.97692440000000003</v>
      </c>
      <c r="Q1745">
        <v>0.17667359999999999</v>
      </c>
      <c r="R1745">
        <v>-0.1200222</v>
      </c>
      <c r="S1745">
        <v>-3.1043400000000001</v>
      </c>
      <c r="T1745">
        <v>-3.9769890000000002E-2</v>
      </c>
      <c r="U1745">
        <v>0.20724490000000001</v>
      </c>
      <c r="V1745">
        <v>-8.9480560000000001E-2</v>
      </c>
      <c r="W1745">
        <v>0.19013089999999999</v>
      </c>
      <c r="X1745">
        <v>0.97767250000000006</v>
      </c>
      <c r="Y1745">
        <v>9.7183850000000002E-2</v>
      </c>
      <c r="Z1745">
        <v>1.257612E-3</v>
      </c>
      <c r="AA1745">
        <v>0.99526570000000003</v>
      </c>
      <c r="AB1745">
        <v>24</v>
      </c>
      <c r="AC1745">
        <v>-86.254599999999897</v>
      </c>
      <c r="AD1745">
        <v>-1.109585014731</v>
      </c>
      <c r="AE1745">
        <v>5.7910999999999699</v>
      </c>
      <c r="AF1745">
        <v>8.4339869310254691</v>
      </c>
      <c r="AG1745">
        <v>-1.109585014731</v>
      </c>
      <c r="AH1745">
        <v>86.022084230464202</v>
      </c>
      <c r="AI1745">
        <v>90.735481908553894</v>
      </c>
      <c r="AJ1745">
        <v>84.400364277837497</v>
      </c>
      <c r="AK1745">
        <v>86.441669869402105</v>
      </c>
      <c r="AL1745">
        <v>79.039576791331598</v>
      </c>
      <c r="AM1745">
        <v>95.229373487160402</v>
      </c>
      <c r="AN1745">
        <v>1.0000000235044799</v>
      </c>
    </row>
    <row r="1746" spans="1:40" x14ac:dyDescent="0.25">
      <c r="A1746" t="str">
        <f>"20190304155050566"</f>
        <v>20190304155050566</v>
      </c>
      <c r="B1746" t="str">
        <f>"1551685850557914"</f>
        <v>1551685850557914</v>
      </c>
      <c r="C1746" t="s">
        <v>40</v>
      </c>
      <c r="D1746">
        <v>5.1221750000000004</v>
      </c>
      <c r="E1746">
        <v>0.56886769999999998</v>
      </c>
      <c r="F1746" t="s">
        <v>72</v>
      </c>
      <c r="G1746">
        <v>-305.89870000000002</v>
      </c>
      <c r="H1746" s="1">
        <v>2.2390410000000002E-6</v>
      </c>
      <c r="I1746">
        <v>290.30119999999999</v>
      </c>
      <c r="J1746">
        <v>-221.20009999999999</v>
      </c>
      <c r="K1746">
        <v>1.1095969999999999</v>
      </c>
      <c r="L1746">
        <v>284.55849999999998</v>
      </c>
      <c r="M1746">
        <v>-0.99948559999999997</v>
      </c>
      <c r="N1746">
        <v>-1.354081E-2</v>
      </c>
      <c r="O1746">
        <v>-2.9075449999999999E-2</v>
      </c>
      <c r="P1746">
        <v>-0.97712379999999999</v>
      </c>
      <c r="Q1746">
        <v>0.17691319999999999</v>
      </c>
      <c r="R1746">
        <v>-0.1180291</v>
      </c>
      <c r="S1746">
        <v>-3.1039430000000001</v>
      </c>
      <c r="T1746">
        <v>-4.0551660000000003E-2</v>
      </c>
      <c r="U1746">
        <v>0.20968629999999999</v>
      </c>
      <c r="V1746">
        <v>-8.9060340000000002E-2</v>
      </c>
      <c r="W1746">
        <v>0.19040660000000001</v>
      </c>
      <c r="X1746">
        <v>0.9776572</v>
      </c>
      <c r="Y1746">
        <v>9.6367960000000003E-2</v>
      </c>
      <c r="Z1746">
        <v>1.268281E-3</v>
      </c>
      <c r="AA1746">
        <v>0.99534500000000004</v>
      </c>
      <c r="AB1746">
        <v>24</v>
      </c>
      <c r="AC1746">
        <v>-84.698599999999999</v>
      </c>
      <c r="AD1746">
        <v>-1.109594760959</v>
      </c>
      <c r="AE1746">
        <v>5.7427000000000099</v>
      </c>
      <c r="AF1746">
        <v>8.2017459471345404</v>
      </c>
      <c r="AG1746">
        <v>-1.109594760959</v>
      </c>
      <c r="AH1746">
        <v>84.481365036706805</v>
      </c>
      <c r="AI1746">
        <v>90.748969784156998</v>
      </c>
      <c r="AJ1746">
        <v>84.454903286149104</v>
      </c>
      <c r="AK1746">
        <v>84.885810802396094</v>
      </c>
      <c r="AL1746">
        <v>79.023486246687497</v>
      </c>
      <c r="AM1746">
        <v>95.205031434918794</v>
      </c>
      <c r="AN1746">
        <v>1.00000000909815</v>
      </c>
    </row>
    <row r="1747" spans="1:40" x14ac:dyDescent="0.25">
      <c r="A1747" t="str">
        <f>"20190304155050591"</f>
        <v>20190304155050591</v>
      </c>
      <c r="B1747" t="str">
        <f>"1551685850588167"</f>
        <v>1551685850588167</v>
      </c>
      <c r="C1747" t="s">
        <v>40</v>
      </c>
      <c r="D1747">
        <v>5.1245120000000002</v>
      </c>
      <c r="E1747">
        <v>0.56868929999999995</v>
      </c>
      <c r="F1747" t="s">
        <v>72</v>
      </c>
      <c r="G1747">
        <v>-306.58010000000002</v>
      </c>
      <c r="H1747" s="1">
        <v>2.0679679999999999E-6</v>
      </c>
      <c r="I1747">
        <v>290.44330000000002</v>
      </c>
      <c r="J1747">
        <v>-221.4512</v>
      </c>
      <c r="K1747">
        <v>1.1096079999999999</v>
      </c>
      <c r="L1747">
        <v>284.5532</v>
      </c>
      <c r="M1747">
        <v>-0.99953409999999998</v>
      </c>
      <c r="N1747">
        <v>-1.3575240000000001E-2</v>
      </c>
      <c r="O1747">
        <v>-2.7337960000000001E-2</v>
      </c>
      <c r="P1747">
        <v>-0.97721179999999996</v>
      </c>
      <c r="Q1747">
        <v>0.1779859</v>
      </c>
      <c r="R1747">
        <v>-0.1156634</v>
      </c>
      <c r="S1747">
        <v>-3.103348</v>
      </c>
      <c r="T1747">
        <v>-4.033101E-2</v>
      </c>
      <c r="U1747">
        <v>0.2138977</v>
      </c>
      <c r="V1747">
        <v>-8.839677E-2</v>
      </c>
      <c r="W1747">
        <v>0.19150800000000001</v>
      </c>
      <c r="X1747">
        <v>0.97750230000000005</v>
      </c>
      <c r="Y1747">
        <v>9.5995230000000001E-2</v>
      </c>
      <c r="Z1747">
        <v>1.2597000000000001E-3</v>
      </c>
      <c r="AA1747">
        <v>0.99538099999999996</v>
      </c>
      <c r="AB1747">
        <v>24</v>
      </c>
      <c r="AC1747">
        <v>-85.128900000000002</v>
      </c>
      <c r="AD1747">
        <v>-1.109605932032</v>
      </c>
      <c r="AE1747">
        <v>5.8901000000000101</v>
      </c>
      <c r="AF1747">
        <v>8.2139741393084602</v>
      </c>
      <c r="AG1747">
        <v>-1.109605932032</v>
      </c>
      <c r="AH1747">
        <v>84.921679775075901</v>
      </c>
      <c r="AI1747">
        <v>90.745120056250798</v>
      </c>
      <c r="AJ1747">
        <v>84.4753026503369</v>
      </c>
      <c r="AK1747">
        <v>85.325214868209798</v>
      </c>
      <c r="AL1747">
        <v>78.959197830590796</v>
      </c>
      <c r="AM1747">
        <v>95.1672747643035</v>
      </c>
      <c r="AN1747">
        <v>1.00000002475786</v>
      </c>
    </row>
    <row r="1748" spans="1:40" x14ac:dyDescent="0.25">
      <c r="A1748" t="str">
        <f>"20190304155050613"</f>
        <v>20190304155050613</v>
      </c>
      <c r="B1748" t="str">
        <f>"1551685850608663"</f>
        <v>1551685850608663</v>
      </c>
      <c r="C1748" t="s">
        <v>40</v>
      </c>
      <c r="D1748">
        <v>5.1336539999999999</v>
      </c>
      <c r="E1748">
        <v>0.56850049999999996</v>
      </c>
      <c r="F1748" t="s">
        <v>72</v>
      </c>
      <c r="G1748">
        <v>-310.63810000000001</v>
      </c>
      <c r="H1748">
        <v>2.9608300000000001E-2</v>
      </c>
      <c r="I1748">
        <v>290.87329999999997</v>
      </c>
      <c r="J1748">
        <v>-221.6857</v>
      </c>
      <c r="K1748">
        <v>1.1096239999999999</v>
      </c>
      <c r="L1748">
        <v>284.5487</v>
      </c>
      <c r="M1748">
        <v>-0.99957649999999998</v>
      </c>
      <c r="N1748">
        <v>-1.3602680000000001E-2</v>
      </c>
      <c r="O1748">
        <v>-2.572456E-2</v>
      </c>
      <c r="P1748">
        <v>-0.97733939999999997</v>
      </c>
      <c r="Q1748">
        <v>0.17886350000000001</v>
      </c>
      <c r="R1748">
        <v>-0.113206399999999</v>
      </c>
      <c r="S1748">
        <v>-3.1028440000000002</v>
      </c>
      <c r="T1748">
        <v>-3.7573580000000002E-2</v>
      </c>
      <c r="U1748">
        <v>0.2198792</v>
      </c>
      <c r="V1748">
        <v>-8.7520139999999996E-2</v>
      </c>
      <c r="W1748">
        <v>0.19240689999999999</v>
      </c>
      <c r="X1748">
        <v>0.97740459999999996</v>
      </c>
      <c r="Y1748">
        <v>9.6310699999999999E-2</v>
      </c>
      <c r="Z1748">
        <v>1.200025E-3</v>
      </c>
      <c r="AA1748">
        <v>0.99535059999999997</v>
      </c>
      <c r="AB1748">
        <v>24</v>
      </c>
      <c r="AC1748">
        <v>-88.952399999999997</v>
      </c>
      <c r="AD1748">
        <v>-1.0800156999999999</v>
      </c>
      <c r="AE1748">
        <v>6.32459999999997</v>
      </c>
      <c r="AF1748">
        <v>8.6097169001369007</v>
      </c>
      <c r="AG1748">
        <v>-1.0800156999999999</v>
      </c>
      <c r="AH1748">
        <v>88.747227850526201</v>
      </c>
      <c r="AI1748">
        <v>90.693972880875293</v>
      </c>
      <c r="AJ1748">
        <v>84.458852008855999</v>
      </c>
      <c r="AK1748">
        <v>89.170421722485798</v>
      </c>
      <c r="AL1748">
        <v>78.906718109683595</v>
      </c>
      <c r="AM1748">
        <v>95.116812972245</v>
      </c>
      <c r="AN1748">
        <v>0.99999997108719396</v>
      </c>
    </row>
    <row r="1749" spans="1:40" x14ac:dyDescent="0.25">
      <c r="A1749" t="str">
        <f>"20190304155050634"</f>
        <v>20190304155050634</v>
      </c>
      <c r="B1749" t="str">
        <f>"1551685850628183"</f>
        <v>1551685850628183</v>
      </c>
      <c r="C1749" t="s">
        <v>40</v>
      </c>
      <c r="D1749">
        <v>5.1047440000000002</v>
      </c>
      <c r="E1749">
        <v>0.56827559999999999</v>
      </c>
      <c r="F1749" t="s">
        <v>72</v>
      </c>
      <c r="G1749">
        <v>-314.34640000000002</v>
      </c>
      <c r="H1749">
        <v>0.08</v>
      </c>
      <c r="I1749">
        <v>291.30619999999999</v>
      </c>
      <c r="J1749">
        <v>-221.90729999999999</v>
      </c>
      <c r="K1749">
        <v>1.109634</v>
      </c>
      <c r="L1749">
        <v>284.54469999999998</v>
      </c>
      <c r="M1749">
        <v>-0.999614</v>
      </c>
      <c r="N1749">
        <v>-1.3624839999999999E-2</v>
      </c>
      <c r="O1749">
        <v>-2.4209359999999999E-2</v>
      </c>
      <c r="P1749">
        <v>-0.97741040000000001</v>
      </c>
      <c r="Q1749">
        <v>0.1800794</v>
      </c>
      <c r="R1749">
        <v>-0.1106362</v>
      </c>
      <c r="S1749">
        <v>-3.1020810000000001</v>
      </c>
      <c r="T1749">
        <v>-3.4469600000000003E-2</v>
      </c>
      <c r="U1749">
        <v>0.22622680000000001</v>
      </c>
      <c r="V1749">
        <v>-8.6435670000000006E-2</v>
      </c>
      <c r="W1749">
        <v>0.1936379</v>
      </c>
      <c r="X1749">
        <v>0.97725799999999996</v>
      </c>
      <c r="Y1749">
        <v>9.6847089999999997E-2</v>
      </c>
      <c r="Z1749">
        <v>1.137358E-3</v>
      </c>
      <c r="AA1749">
        <v>0.99529860000000003</v>
      </c>
      <c r="AB1749">
        <v>24</v>
      </c>
      <c r="AC1749">
        <v>-92.439099999999996</v>
      </c>
      <c r="AD1749">
        <v>-1.0296339999999999</v>
      </c>
      <c r="AE1749">
        <v>6.7615000000000096</v>
      </c>
      <c r="AF1749">
        <v>8.9965070143533108</v>
      </c>
      <c r="AG1749">
        <v>-1.0296339999999999</v>
      </c>
      <c r="AH1749">
        <v>92.236912636286803</v>
      </c>
      <c r="AI1749">
        <v>90.636541649686805</v>
      </c>
      <c r="AJ1749">
        <v>84.429165861249501</v>
      </c>
      <c r="AK1749">
        <v>92.680339540310598</v>
      </c>
      <c r="AL1749">
        <v>78.834835293259601</v>
      </c>
      <c r="AM1749">
        <v>95.054494652442003</v>
      </c>
      <c r="AN1749">
        <v>0.99999997996437895</v>
      </c>
    </row>
    <row r="1750" spans="1:40" x14ac:dyDescent="0.25">
      <c r="A1750" t="str">
        <f>"20190304155050657"</f>
        <v>20190304155050657</v>
      </c>
      <c r="B1750" t="str">
        <f>"1551685850648693"</f>
        <v>1551685850648693</v>
      </c>
      <c r="C1750" t="s">
        <v>40</v>
      </c>
      <c r="D1750">
        <v>5.1436149999999996</v>
      </c>
      <c r="E1750">
        <v>0.56804009999999905</v>
      </c>
      <c r="F1750" t="s">
        <v>70</v>
      </c>
      <c r="G1750">
        <v>-325.85419999999999</v>
      </c>
      <c r="H1750">
        <v>7.9999940000000005E-2</v>
      </c>
      <c r="I1750">
        <v>292.35309999999998</v>
      </c>
      <c r="J1750">
        <v>-222.15369999999999</v>
      </c>
      <c r="K1750">
        <v>1.1096509999999999</v>
      </c>
      <c r="L1750">
        <v>284.54070000000002</v>
      </c>
      <c r="M1750">
        <v>-0.99965300000000001</v>
      </c>
      <c r="N1750">
        <v>-1.364576E-2</v>
      </c>
      <c r="O1750">
        <v>-2.253527E-2</v>
      </c>
      <c r="P1750">
        <v>-0.97753800000000002</v>
      </c>
      <c r="Q1750">
        <v>0.18095639999999999</v>
      </c>
      <c r="R1750">
        <v>-0.1080482</v>
      </c>
      <c r="S1750">
        <v>-3.1013790000000001</v>
      </c>
      <c r="T1750">
        <v>-3.072035E-2</v>
      </c>
      <c r="U1750">
        <v>0.23297119999999999</v>
      </c>
      <c r="V1750">
        <v>-8.5488729999999999E-2</v>
      </c>
      <c r="W1750">
        <v>0.19452949999999999</v>
      </c>
      <c r="X1750">
        <v>0.97716429999999999</v>
      </c>
      <c r="Y1750">
        <v>9.7351069999999998E-2</v>
      </c>
      <c r="Z1750">
        <v>1.062562E-3</v>
      </c>
      <c r="AA1750">
        <v>0.99524950000000001</v>
      </c>
      <c r="AB1750">
        <v>24</v>
      </c>
      <c r="AC1750">
        <v>-103.70050000000001</v>
      </c>
      <c r="AD1750">
        <v>-1.02965106</v>
      </c>
      <c r="AE1750">
        <v>7.8123999999999603</v>
      </c>
      <c r="AF1750">
        <v>10.146557168536001</v>
      </c>
      <c r="AG1750">
        <v>-1.02965106</v>
      </c>
      <c r="AH1750">
        <v>103.487944325771</v>
      </c>
      <c r="AI1750">
        <v>90.567324171469906</v>
      </c>
      <c r="AJ1750">
        <v>84.400287617808999</v>
      </c>
      <c r="AK1750">
        <v>103.98926590977401</v>
      </c>
      <c r="AL1750">
        <v>78.7827610642465</v>
      </c>
      <c r="AM1750">
        <v>94.999879626452099</v>
      </c>
      <c r="AN1750">
        <v>1.00000005926087</v>
      </c>
    </row>
    <row r="1751" spans="1:40" x14ac:dyDescent="0.25">
      <c r="A1751" t="str">
        <f>"20190304155050679"</f>
        <v>20190304155050679</v>
      </c>
      <c r="B1751" t="str">
        <f>"1551685850668212"</f>
        <v>1551685850668212</v>
      </c>
      <c r="C1751" t="s">
        <v>40</v>
      </c>
      <c r="D1751">
        <v>4.9150869999999998</v>
      </c>
      <c r="E1751">
        <v>0.56784489999999999</v>
      </c>
      <c r="F1751" t="s">
        <v>70</v>
      </c>
      <c r="G1751">
        <v>-333.90190000000001</v>
      </c>
      <c r="H1751">
        <v>8.0000799999999997E-2</v>
      </c>
      <c r="I1751">
        <v>293.14069999999998</v>
      </c>
      <c r="J1751">
        <v>-222.38890000000001</v>
      </c>
      <c r="K1751">
        <v>1.109677</v>
      </c>
      <c r="L1751">
        <v>284.53739999999999</v>
      </c>
      <c r="M1751">
        <v>-0.9996874</v>
      </c>
      <c r="N1751">
        <v>-1.3662570000000001E-2</v>
      </c>
      <c r="O1751">
        <v>-2.0944709999999998E-2</v>
      </c>
      <c r="P1751">
        <v>-0.97768250000000001</v>
      </c>
      <c r="Q1751">
        <v>0.1818072</v>
      </c>
      <c r="R1751">
        <v>-0.1052767</v>
      </c>
      <c r="S1751">
        <v>-3.1005859999999998</v>
      </c>
      <c r="T1751">
        <v>-2.8568860000000001E-2</v>
      </c>
      <c r="U1751">
        <v>0.23861689999999999</v>
      </c>
      <c r="V1751">
        <v>-8.4276000000000004E-2</v>
      </c>
      <c r="W1751">
        <v>0.19539090000000001</v>
      </c>
      <c r="X1751">
        <v>0.97709769999999896</v>
      </c>
      <c r="Y1751">
        <v>9.758936E-2</v>
      </c>
      <c r="Z1751">
        <v>1.0236469999999999E-3</v>
      </c>
      <c r="AA1751">
        <v>0.99522630000000001</v>
      </c>
      <c r="AB1751">
        <v>24</v>
      </c>
      <c r="AC1751">
        <v>-111.512999999999</v>
      </c>
      <c r="AD1751">
        <v>-1.0296761999999999</v>
      </c>
      <c r="AE1751">
        <v>8.6032999999999902</v>
      </c>
      <c r="AF1751">
        <v>10.9363106463873</v>
      </c>
      <c r="AG1751">
        <v>-1.0296761999999999</v>
      </c>
      <c r="AH1751">
        <v>111.298889719244</v>
      </c>
      <c r="AI1751">
        <v>90.527513606859898</v>
      </c>
      <c r="AJ1751">
        <v>84.388089675323798</v>
      </c>
      <c r="AK1751">
        <v>111.83964402825799</v>
      </c>
      <c r="AL1751">
        <v>78.732440009280893</v>
      </c>
      <c r="AM1751">
        <v>94.929638394193503</v>
      </c>
      <c r="AN1751">
        <v>0.99999998166204895</v>
      </c>
    </row>
    <row r="1752" spans="1:40" x14ac:dyDescent="0.25">
      <c r="A1752" t="str">
        <f>"20190304155050701"</f>
        <v>20190304155050701</v>
      </c>
      <c r="B1752" t="str">
        <f>"1551685850698468"</f>
        <v>1551685850698468</v>
      </c>
      <c r="C1752" t="s">
        <v>40</v>
      </c>
      <c r="D1752">
        <v>5.0881109999999996</v>
      </c>
      <c r="E1752">
        <v>0.53194269999999999</v>
      </c>
      <c r="F1752" t="s">
        <v>70</v>
      </c>
      <c r="G1752">
        <v>-343.37900000000002</v>
      </c>
      <c r="H1752">
        <v>8.0001009999999997E-2</v>
      </c>
      <c r="I1752">
        <v>294.12360000000001</v>
      </c>
      <c r="J1752">
        <v>-222.6156</v>
      </c>
      <c r="K1752">
        <v>1.109694</v>
      </c>
      <c r="L1752">
        <v>284.53440000000001</v>
      </c>
      <c r="M1752">
        <v>-0.999718</v>
      </c>
      <c r="N1752">
        <v>-1.3676300000000001E-2</v>
      </c>
      <c r="O1752">
        <v>-1.941478E-2</v>
      </c>
      <c r="P1752">
        <v>-0.97773750000000004</v>
      </c>
      <c r="Q1752">
        <v>0.18252969999999999</v>
      </c>
      <c r="R1752">
        <v>-0.10350139999999999</v>
      </c>
      <c r="S1752">
        <v>-3.0998380000000001</v>
      </c>
      <c r="T1752">
        <v>-2.6380899999999999E-2</v>
      </c>
      <c r="U1752">
        <v>0.2456055</v>
      </c>
      <c r="V1752">
        <v>-8.4000690000000003E-2</v>
      </c>
      <c r="W1752">
        <v>0.1961232</v>
      </c>
      <c r="X1752">
        <v>0.97697469999999997</v>
      </c>
      <c r="Y1752">
        <v>9.8315700000000006E-2</v>
      </c>
      <c r="Z1752">
        <v>9.9101029999999995E-4</v>
      </c>
      <c r="AA1752">
        <v>0.99515480000000001</v>
      </c>
      <c r="AB1752">
        <v>24</v>
      </c>
      <c r="AC1752">
        <v>-120.7634</v>
      </c>
      <c r="AD1752">
        <v>-1.02969299</v>
      </c>
      <c r="AE1752">
        <v>9.5891999999999999</v>
      </c>
      <c r="AF1752">
        <v>11.9313443287149</v>
      </c>
      <c r="AG1752">
        <v>-1.02969299</v>
      </c>
      <c r="AH1752">
        <v>120.545735109879</v>
      </c>
      <c r="AI1752">
        <v>90.487024858043895</v>
      </c>
      <c r="AJ1752">
        <v>84.347404030308198</v>
      </c>
      <c r="AK1752">
        <v>121.139141066482</v>
      </c>
      <c r="AL1752">
        <v>78.689654664911203</v>
      </c>
      <c r="AM1752">
        <v>94.914228977092705</v>
      </c>
      <c r="AN1752">
        <v>0.99999999496940295</v>
      </c>
    </row>
    <row r="1753" spans="1:40" x14ac:dyDescent="0.25">
      <c r="A1753" t="str">
        <f>"20190304155050722"</f>
        <v>20190304155050722</v>
      </c>
      <c r="B1753" t="str">
        <f>"1551685850717989"</f>
        <v>1551685850717989</v>
      </c>
      <c r="C1753" t="s">
        <v>40</v>
      </c>
      <c r="D1753">
        <v>5.0974810000000002</v>
      </c>
      <c r="E1753">
        <v>0.52834099999999995</v>
      </c>
      <c r="F1753" t="s">
        <v>52</v>
      </c>
      <c r="G1753">
        <v>-1138.0940000000001</v>
      </c>
      <c r="H1753">
        <v>-0.1</v>
      </c>
      <c r="I1753">
        <v>274.06209999999999</v>
      </c>
      <c r="J1753">
        <v>-222.8382</v>
      </c>
      <c r="K1753">
        <v>1.1097109999999999</v>
      </c>
      <c r="L1753">
        <v>284.53190000000001</v>
      </c>
      <c r="M1753">
        <v>-0.99974580000000002</v>
      </c>
      <c r="N1753">
        <v>-1.368774E-2</v>
      </c>
      <c r="O1753">
        <v>-1.7915589999999999E-2</v>
      </c>
      <c r="P1753">
        <v>-0.97773399999999999</v>
      </c>
      <c r="Q1753">
        <v>0.18318429999999999</v>
      </c>
      <c r="R1753">
        <v>-0.10237060000000001</v>
      </c>
      <c r="S1753">
        <v>-3.065353</v>
      </c>
      <c r="T1753">
        <v>-4.0504929999999996E-3</v>
      </c>
      <c r="U1753">
        <v>-3.5064699999999997E-2</v>
      </c>
      <c r="V1753">
        <v>-8.4340540000000006E-2</v>
      </c>
      <c r="W1753">
        <v>0.19678619999999999</v>
      </c>
      <c r="X1753">
        <v>0.97681209999999996</v>
      </c>
      <c r="Y1753">
        <v>6.4782099999999999E-3</v>
      </c>
      <c r="Z1753">
        <v>-1.7295400000000001E-4</v>
      </c>
      <c r="AA1753">
        <v>0.99997899999999995</v>
      </c>
      <c r="AB1753">
        <v>24</v>
      </c>
      <c r="AC1753">
        <v>-915.25580000000002</v>
      </c>
      <c r="AD1753">
        <v>-1.209711</v>
      </c>
      <c r="AE1753">
        <v>-10.469799999999999</v>
      </c>
      <c r="AF1753">
        <v>5.9307543626351604</v>
      </c>
      <c r="AG1753">
        <v>-1.209711</v>
      </c>
      <c r="AH1753">
        <v>915.29486806418299</v>
      </c>
      <c r="AI1753">
        <v>90.075724055503102</v>
      </c>
      <c r="AJ1753">
        <v>89.628750853258296</v>
      </c>
      <c r="AK1753">
        <v>915.31488174979597</v>
      </c>
      <c r="AL1753">
        <v>78.650912729300799</v>
      </c>
      <c r="AM1753">
        <v>94.934830273413297</v>
      </c>
      <c r="AN1753">
        <v>1.00000000695217</v>
      </c>
    </row>
    <row r="1754" spans="1:40" x14ac:dyDescent="0.25">
      <c r="A1754" t="str">
        <f>"20190304155050746"</f>
        <v>20190304155050746</v>
      </c>
      <c r="B1754" t="str">
        <f>"1551685850738485"</f>
        <v>1551685850738485</v>
      </c>
      <c r="C1754" t="s">
        <v>40</v>
      </c>
      <c r="D1754">
        <v>5.2060519999999997</v>
      </c>
      <c r="E1754">
        <v>0.52655940000000001</v>
      </c>
      <c r="F1754" t="s">
        <v>75</v>
      </c>
      <c r="G1754">
        <v>-511.95929999999998</v>
      </c>
      <c r="H1754">
        <v>1.923017</v>
      </c>
      <c r="I1754">
        <v>278.74250000000001</v>
      </c>
      <c r="J1754">
        <v>-223.08619999999999</v>
      </c>
      <c r="K1754">
        <v>1.109721</v>
      </c>
      <c r="L1754">
        <v>284.52940000000001</v>
      </c>
      <c r="M1754">
        <v>-0.99977419999999995</v>
      </c>
      <c r="N1754">
        <v>-1.369837E-2</v>
      </c>
      <c r="O1754">
        <v>-1.6247370000000001E-2</v>
      </c>
      <c r="P1754">
        <v>-0.97772190000000003</v>
      </c>
      <c r="Q1754">
        <v>0.18375340000000001</v>
      </c>
      <c r="R1754">
        <v>-0.101463</v>
      </c>
      <c r="S1754">
        <v>-3.0602870000000002</v>
      </c>
      <c r="T1754">
        <v>8.6095330000000008E-3</v>
      </c>
      <c r="U1754">
        <v>-6.1279300000000002E-2</v>
      </c>
      <c r="V1754">
        <v>-8.5069619999999999E-2</v>
      </c>
      <c r="W1754">
        <v>0.1973635</v>
      </c>
      <c r="X1754">
        <v>0.97663239999999996</v>
      </c>
      <c r="Y1754">
        <v>-3.7740120000000002E-3</v>
      </c>
      <c r="Z1754">
        <v>-2.8880950000000001E-4</v>
      </c>
      <c r="AA1754">
        <v>0.99999280000000002</v>
      </c>
      <c r="AB1754">
        <v>23</v>
      </c>
      <c r="AC1754">
        <v>-288.87310000000002</v>
      </c>
      <c r="AD1754">
        <v>0.81329599999999902</v>
      </c>
      <c r="AE1754">
        <v>-5.7869000000000002</v>
      </c>
      <c r="AF1754">
        <v>-1.0922589690892299</v>
      </c>
      <c r="AG1754">
        <v>0.81329599999999902</v>
      </c>
      <c r="AH1754">
        <v>288.92670385500799</v>
      </c>
      <c r="AI1754">
        <v>89.838720438003406</v>
      </c>
      <c r="AJ1754">
        <v>90.216600023824697</v>
      </c>
      <c r="AK1754">
        <v>288.92991309409001</v>
      </c>
      <c r="AL1754">
        <v>78.617174338749805</v>
      </c>
      <c r="AM1754">
        <v>94.9781871444263</v>
      </c>
      <c r="AN1754">
        <v>1.0000000180544699</v>
      </c>
    </row>
    <row r="1755" spans="1:40" x14ac:dyDescent="0.25">
      <c r="A1755" t="str">
        <f>"20190304155050768"</f>
        <v>20190304155050768</v>
      </c>
      <c r="B1755" t="str">
        <f>"1551685850758004"</f>
        <v>1551685850758004</v>
      </c>
      <c r="C1755" t="s">
        <v>40</v>
      </c>
      <c r="D1755">
        <v>5.2265459999999999</v>
      </c>
      <c r="E1755">
        <v>0.52432190000000001</v>
      </c>
      <c r="F1755" t="s">
        <v>75</v>
      </c>
      <c r="G1755">
        <v>-511.95929999999998</v>
      </c>
      <c r="H1755">
        <v>1.95136</v>
      </c>
      <c r="I1755">
        <v>277.61009999999999</v>
      </c>
      <c r="J1755">
        <v>-223.32339999999999</v>
      </c>
      <c r="K1755">
        <v>1.1097330000000001</v>
      </c>
      <c r="L1755">
        <v>284.5274</v>
      </c>
      <c r="M1755">
        <v>-0.99979870000000004</v>
      </c>
      <c r="N1755">
        <v>-1.3706400000000001E-2</v>
      </c>
      <c r="O1755">
        <v>-1.4655069999999999E-2</v>
      </c>
      <c r="P1755">
        <v>-0.97784780000000004</v>
      </c>
      <c r="Q1755">
        <v>0.1833331</v>
      </c>
      <c r="R1755">
        <v>-0.1010114</v>
      </c>
      <c r="S1755">
        <v>-3.0590670000000002</v>
      </c>
      <c r="T1755">
        <v>8.9135169999999993E-3</v>
      </c>
      <c r="U1755">
        <v>-7.3272710000000005E-2</v>
      </c>
      <c r="V1755">
        <v>-8.6180080000000006E-2</v>
      </c>
      <c r="W1755">
        <v>0.19695170000000001</v>
      </c>
      <c r="X1755">
        <v>0.97661819999999999</v>
      </c>
      <c r="Y1755">
        <v>-9.2931219999999991E-3</v>
      </c>
      <c r="Z1755">
        <v>-2.9371539999999998E-4</v>
      </c>
      <c r="AA1755">
        <v>0.99995679999999998</v>
      </c>
      <c r="AB1755">
        <v>23</v>
      </c>
      <c r="AC1755">
        <v>-288.63589999999999</v>
      </c>
      <c r="AD1755">
        <v>0.84162699999999901</v>
      </c>
      <c r="AE1755">
        <v>-6.9173000000000098</v>
      </c>
      <c r="AF1755">
        <v>-2.68615763158216</v>
      </c>
      <c r="AG1755">
        <v>0.84162699999999901</v>
      </c>
      <c r="AH1755">
        <v>288.70382697726899</v>
      </c>
      <c r="AI1755">
        <v>89.8329795214282</v>
      </c>
      <c r="AJ1755">
        <v>90.533075907362104</v>
      </c>
      <c r="AK1755">
        <v>288.717549674677</v>
      </c>
      <c r="AL1755">
        <v>78.641241420341004</v>
      </c>
      <c r="AM1755">
        <v>95.042910140018193</v>
      </c>
      <c r="AN1755">
        <v>1.00000004344646</v>
      </c>
    </row>
    <row r="1756" spans="1:40" x14ac:dyDescent="0.25">
      <c r="A1756" t="str">
        <f>"20190304155050791"</f>
        <v>20190304155050791</v>
      </c>
      <c r="B1756" t="str">
        <f>"1551685850788261"</f>
        <v>1551685850788261</v>
      </c>
      <c r="C1756" t="s">
        <v>40</v>
      </c>
      <c r="D1756">
        <v>5.0980889999999999</v>
      </c>
      <c r="E1756">
        <v>0.52384589999999998</v>
      </c>
      <c r="F1756" t="s">
        <v>75</v>
      </c>
      <c r="G1756">
        <v>-511.95890000000003</v>
      </c>
      <c r="H1756">
        <v>0.7037021</v>
      </c>
      <c r="I1756">
        <v>276.09190000000001</v>
      </c>
      <c r="J1756">
        <v>-223.5615</v>
      </c>
      <c r="K1756">
        <v>1.1097399999999999</v>
      </c>
      <c r="L1756">
        <v>284.5258</v>
      </c>
      <c r="M1756">
        <v>-0.99982090000000001</v>
      </c>
      <c r="N1756">
        <v>-1.370439E-2</v>
      </c>
      <c r="O1756">
        <v>-1.3062259999999999E-2</v>
      </c>
      <c r="P1756">
        <v>-0.97791899999999998</v>
      </c>
      <c r="Q1756">
        <v>0.1834142</v>
      </c>
      <c r="R1756">
        <v>-0.1001702</v>
      </c>
      <c r="S1756">
        <v>-3.059555</v>
      </c>
      <c r="T1756">
        <v>-4.303098E-3</v>
      </c>
      <c r="U1756">
        <v>-8.9416499999999996E-2</v>
      </c>
      <c r="V1756">
        <v>-8.6901880000000001E-2</v>
      </c>
      <c r="W1756">
        <v>0.19703019999999999</v>
      </c>
      <c r="X1756">
        <v>0.97653840000000003</v>
      </c>
      <c r="Y1756">
        <v>-1.6153270000000001E-2</v>
      </c>
      <c r="Z1756">
        <v>-2.8269910000000001E-4</v>
      </c>
      <c r="AA1756">
        <v>0.99986949999999997</v>
      </c>
      <c r="AB1756">
        <v>23</v>
      </c>
      <c r="AC1756">
        <v>-288.3974</v>
      </c>
      <c r="AD1756">
        <v>-0.40603790000000001</v>
      </c>
      <c r="AE1756">
        <v>-8.4338999999999906</v>
      </c>
      <c r="AF1756">
        <v>-4.6656959619080904</v>
      </c>
      <c r="AG1756">
        <v>-0.40603790000000001</v>
      </c>
      <c r="AH1756">
        <v>288.48239555402301</v>
      </c>
      <c r="AI1756">
        <v>90.080632998515597</v>
      </c>
      <c r="AJ1756">
        <v>90.9265777964536</v>
      </c>
      <c r="AK1756">
        <v>288.52040851588498</v>
      </c>
      <c r="AL1756">
        <v>78.636653787373902</v>
      </c>
      <c r="AM1756">
        <v>95.085339787698203</v>
      </c>
      <c r="AN1756">
        <v>1.00000004156706</v>
      </c>
    </row>
    <row r="1757" spans="1:40" x14ac:dyDescent="0.25">
      <c r="A1757" t="str">
        <f>"20190304155050813"</f>
        <v>20190304155050813</v>
      </c>
      <c r="B1757" t="str">
        <f>"1551685850808756"</f>
        <v>1551685850808756</v>
      </c>
      <c r="C1757" t="s">
        <v>40</v>
      </c>
      <c r="D1757">
        <v>5.1510230000000004</v>
      </c>
      <c r="E1757">
        <v>0.52384319999999995</v>
      </c>
      <c r="F1757" t="s">
        <v>75</v>
      </c>
      <c r="G1757">
        <v>-511.959</v>
      </c>
      <c r="H1757">
        <v>0.98487409999999997</v>
      </c>
      <c r="I1757">
        <v>275.94240000000002</v>
      </c>
      <c r="J1757">
        <v>-223.79079999999999</v>
      </c>
      <c r="K1757">
        <v>1.10975</v>
      </c>
      <c r="L1757">
        <v>284.52460000000002</v>
      </c>
      <c r="M1757">
        <v>-0.9998399</v>
      </c>
      <c r="N1757">
        <v>-1.369279E-2</v>
      </c>
      <c r="O1757">
        <v>-1.15365E-2</v>
      </c>
      <c r="P1757">
        <v>-0.97804420000000003</v>
      </c>
      <c r="Q1757">
        <v>0.1833718</v>
      </c>
      <c r="R1757">
        <v>-9.9019369999999995E-2</v>
      </c>
      <c r="S1757">
        <v>-3.0587010000000001</v>
      </c>
      <c r="T1757">
        <v>-1.3234620000000001E-3</v>
      </c>
      <c r="U1757">
        <v>-9.1033939999999994E-2</v>
      </c>
      <c r="V1757">
        <v>-8.7247889999999995E-2</v>
      </c>
      <c r="W1757">
        <v>0.1969746</v>
      </c>
      <c r="X1757">
        <v>0.97651869999999996</v>
      </c>
      <c r="Y1757">
        <v>-1.821563E-2</v>
      </c>
      <c r="Z1757">
        <v>-2.8164359999999997E-4</v>
      </c>
      <c r="AA1757">
        <v>0.99983409999999995</v>
      </c>
      <c r="AB1757">
        <v>23</v>
      </c>
      <c r="AC1757">
        <v>-288.16820000000001</v>
      </c>
      <c r="AD1757">
        <v>-0.1248759</v>
      </c>
      <c r="AE1757">
        <v>-8.5822000000000003</v>
      </c>
      <c r="AF1757">
        <v>-5.2568643236605102</v>
      </c>
      <c r="AG1757">
        <v>-0.1248759</v>
      </c>
      <c r="AH1757">
        <v>288.247983232477</v>
      </c>
      <c r="AI1757">
        <v>90.024817769588196</v>
      </c>
      <c r="AJ1757">
        <v>91.044804372917696</v>
      </c>
      <c r="AK1757">
        <v>288.29594179262801</v>
      </c>
      <c r="AL1757">
        <v>78.639902393922696</v>
      </c>
      <c r="AM1757">
        <v>95.1055833148678</v>
      </c>
      <c r="AN1757">
        <v>0.99999997940215002</v>
      </c>
    </row>
    <row r="1758" spans="1:40" x14ac:dyDescent="0.25">
      <c r="A1758" t="str">
        <f>"20190304155050837"</f>
        <v>20190304155050837</v>
      </c>
      <c r="B1758" t="str">
        <f>"1551685850828277"</f>
        <v>1551685850828277</v>
      </c>
      <c r="C1758" t="s">
        <v>40</v>
      </c>
      <c r="D1758">
        <v>5.139132</v>
      </c>
      <c r="E1758">
        <v>0.52375720000000003</v>
      </c>
      <c r="F1758" t="s">
        <v>75</v>
      </c>
      <c r="G1758">
        <v>-511.95909999999998</v>
      </c>
      <c r="H1758">
        <v>1.5386</v>
      </c>
      <c r="I1758">
        <v>276.24979999999999</v>
      </c>
      <c r="J1758">
        <v>-224.03700000000001</v>
      </c>
      <c r="K1758">
        <v>1.1097509999999999</v>
      </c>
      <c r="L1758">
        <v>284.52370000000002</v>
      </c>
      <c r="M1758">
        <v>-0.99985760000000001</v>
      </c>
      <c r="N1758">
        <v>-1.3660240000000001E-2</v>
      </c>
      <c r="O1758">
        <v>-9.9101610000000007E-3</v>
      </c>
      <c r="P1758">
        <v>-0.97814250000000003</v>
      </c>
      <c r="Q1758">
        <v>0.18396680000000001</v>
      </c>
      <c r="R1758">
        <v>-9.6919649999999996E-2</v>
      </c>
      <c r="S1758">
        <v>-3.057617</v>
      </c>
      <c r="T1758">
        <v>4.551172E-3</v>
      </c>
      <c r="U1758">
        <v>-8.7799070000000007E-2</v>
      </c>
      <c r="V1758">
        <v>-8.6743410000000007E-2</v>
      </c>
      <c r="W1758">
        <v>0.19753419999999999</v>
      </c>
      <c r="X1758">
        <v>0.97645059999999995</v>
      </c>
      <c r="Y1758">
        <v>-1.8795929999999999E-2</v>
      </c>
      <c r="Z1758">
        <v>-2.6453119999999999E-4</v>
      </c>
      <c r="AA1758">
        <v>0.99982329999999997</v>
      </c>
      <c r="AB1758">
        <v>23</v>
      </c>
      <c r="AC1758">
        <v>-287.9221</v>
      </c>
      <c r="AD1758">
        <v>0.42884899999999998</v>
      </c>
      <c r="AE1758">
        <v>-8.2739000000000207</v>
      </c>
      <c r="AF1758">
        <v>-5.4198610283481203</v>
      </c>
      <c r="AG1758">
        <v>0.42884899999999998</v>
      </c>
      <c r="AH1758">
        <v>287.98932336867398</v>
      </c>
      <c r="AI1758">
        <v>89.914695207624703</v>
      </c>
      <c r="AJ1758">
        <v>91.078159790405493</v>
      </c>
      <c r="AK1758">
        <v>288.04063806931498</v>
      </c>
      <c r="AL1758">
        <v>78.607197061616603</v>
      </c>
      <c r="AM1758">
        <v>95.076568951091204</v>
      </c>
      <c r="AN1758">
        <v>0.99999997679421304</v>
      </c>
    </row>
    <row r="1759" spans="1:40" x14ac:dyDescent="0.25">
      <c r="A1759" t="str">
        <f>"20190304155050858"</f>
        <v>20190304155050858</v>
      </c>
      <c r="B1759" t="str">
        <f>"1551685850848776"</f>
        <v>1551685850848776</v>
      </c>
      <c r="C1759" t="s">
        <v>40</v>
      </c>
      <c r="D1759">
        <v>5.2435679999999998</v>
      </c>
      <c r="E1759">
        <v>0.53061979999999997</v>
      </c>
      <c r="F1759" t="s">
        <v>75</v>
      </c>
      <c r="G1759">
        <v>-511.95929999999998</v>
      </c>
      <c r="H1759">
        <v>2.0690369999999998</v>
      </c>
      <c r="I1759">
        <v>276.75439999999998</v>
      </c>
      <c r="J1759">
        <v>-224.26310000000001</v>
      </c>
      <c r="K1759">
        <v>1.109753</v>
      </c>
      <c r="L1759">
        <v>284.52319999999997</v>
      </c>
      <c r="M1759">
        <v>-0.99987210000000004</v>
      </c>
      <c r="N1759">
        <v>-1.359805E-2</v>
      </c>
      <c r="O1759">
        <v>-8.4332709999999905E-3</v>
      </c>
      <c r="P1759">
        <v>-0.97833639999999999</v>
      </c>
      <c r="Q1759">
        <v>0.1841487</v>
      </c>
      <c r="R1759">
        <v>-9.4592480000000007E-2</v>
      </c>
      <c r="S1759">
        <v>-3.0569459999999999</v>
      </c>
      <c r="T1759">
        <v>1.018584E-2</v>
      </c>
      <c r="U1759">
        <v>-8.2489010000000001E-2</v>
      </c>
      <c r="V1759">
        <v>-8.5865979999999995E-2</v>
      </c>
      <c r="W1759">
        <v>0.19765099999999999</v>
      </c>
      <c r="X1759">
        <v>0.97650459999999994</v>
      </c>
      <c r="Y1759">
        <v>-1.854389E-2</v>
      </c>
      <c r="Z1759">
        <v>-2.3797609999999999E-4</v>
      </c>
      <c r="AA1759">
        <v>0.99982800000000005</v>
      </c>
      <c r="AB1759">
        <v>23</v>
      </c>
      <c r="AC1759">
        <v>-287.69619999999998</v>
      </c>
      <c r="AD1759">
        <v>0.95928399999999903</v>
      </c>
      <c r="AE1759">
        <v>-7.7687999999999899</v>
      </c>
      <c r="AF1759">
        <v>-5.3420202675275901</v>
      </c>
      <c r="AG1759">
        <v>0.95928399999999903</v>
      </c>
      <c r="AH1759">
        <v>287.74829303824902</v>
      </c>
      <c r="AI1759">
        <v>89.809023187365099</v>
      </c>
      <c r="AJ1759">
        <v>91.063568634627202</v>
      </c>
      <c r="AK1759">
        <v>287.79947455260799</v>
      </c>
      <c r="AL1759">
        <v>78.600371270417995</v>
      </c>
      <c r="AM1759">
        <v>95.025206076174896</v>
      </c>
      <c r="AN1759">
        <v>1.0000000590717499</v>
      </c>
    </row>
    <row r="1760" spans="1:40" x14ac:dyDescent="0.25">
      <c r="A1760" t="str">
        <f>"20190304155050890"</f>
        <v>20190304155050890</v>
      </c>
      <c r="B1760" t="str">
        <f>"1551685850888788"</f>
        <v>1551685850888788</v>
      </c>
      <c r="C1760" t="s">
        <v>40</v>
      </c>
      <c r="D1760">
        <v>5.1190020000000001</v>
      </c>
      <c r="E1760">
        <v>0.5215514</v>
      </c>
      <c r="F1760" t="s">
        <v>53</v>
      </c>
      <c r="G1760">
        <v>0</v>
      </c>
      <c r="H1760">
        <v>0</v>
      </c>
      <c r="I1760">
        <v>0</v>
      </c>
      <c r="J1760">
        <v>-224.59950000000001</v>
      </c>
      <c r="K1760">
        <v>1.109739</v>
      </c>
      <c r="L1760">
        <v>284.52300000000002</v>
      </c>
      <c r="M1760">
        <v>-0.99989030000000001</v>
      </c>
      <c r="N1760">
        <v>-1.342585E-2</v>
      </c>
      <c r="O1760">
        <v>-6.2860569999999899E-3</v>
      </c>
      <c r="P1760">
        <v>-0.97845720000000003</v>
      </c>
      <c r="Q1760">
        <v>0.1851218</v>
      </c>
      <c r="R1760">
        <v>-9.1387789999999997E-2</v>
      </c>
      <c r="S1760">
        <v>-2.9687190000000001</v>
      </c>
      <c r="T1760">
        <v>0.49924550000000001</v>
      </c>
      <c r="U1760">
        <v>-3.8482669999999997E-2</v>
      </c>
      <c r="V1760">
        <v>-8.4774550000000004E-2</v>
      </c>
      <c r="W1760">
        <v>0.1984465</v>
      </c>
      <c r="X1760">
        <v>0.97643860000000005</v>
      </c>
      <c r="Y1760">
        <v>-6.6918330000000003E-3</v>
      </c>
      <c r="Z1760">
        <v>-6.1993140000000003E-4</v>
      </c>
      <c r="AA1760">
        <v>0.99997740000000002</v>
      </c>
      <c r="AB1760">
        <v>23</v>
      </c>
      <c r="AC1760">
        <v>-2.9687190000000001</v>
      </c>
      <c r="AD1760">
        <v>0.49924550000000001</v>
      </c>
      <c r="AE1760">
        <v>-3.8482669999999997E-2</v>
      </c>
      <c r="AF1760">
        <v>-1.9273711652322702E-2</v>
      </c>
      <c r="AG1760">
        <v>0.49924550000000001</v>
      </c>
      <c r="AH1760">
        <v>2.8872621874673299</v>
      </c>
      <c r="AI1760">
        <v>80.190026449397706</v>
      </c>
      <c r="AJ1760">
        <v>90.382468185742496</v>
      </c>
      <c r="AK1760">
        <v>2.93017072615398</v>
      </c>
      <c r="AL1760">
        <v>78.553871180960499</v>
      </c>
      <c r="AM1760">
        <v>94.961985999269103</v>
      </c>
      <c r="AN1760">
        <v>1.0000000386299499</v>
      </c>
    </row>
    <row r="1761" spans="1:40" x14ac:dyDescent="0.25">
      <c r="A1761" t="str">
        <f>"20190304155050912"</f>
        <v>20190304155050912</v>
      </c>
      <c r="B1761" t="str">
        <f>"1551685850908308"</f>
        <v>1551685850908308</v>
      </c>
      <c r="C1761" t="s">
        <v>40</v>
      </c>
      <c r="D1761">
        <v>5.1863890000000001</v>
      </c>
      <c r="E1761">
        <v>0.52196189999999998</v>
      </c>
      <c r="F1761" t="s">
        <v>75</v>
      </c>
      <c r="G1761">
        <v>-511.96039999999999</v>
      </c>
      <c r="H1761">
        <v>5.4021879999999998</v>
      </c>
      <c r="I1761">
        <v>276.5804</v>
      </c>
      <c r="J1761">
        <v>-224.83109999999999</v>
      </c>
      <c r="K1761">
        <v>1.109728</v>
      </c>
      <c r="L1761">
        <v>284.52330000000001</v>
      </c>
      <c r="M1761">
        <v>-0.99990040000000002</v>
      </c>
      <c r="N1761">
        <v>-1.324724E-2</v>
      </c>
      <c r="O1761">
        <v>-4.8598360000000002E-3</v>
      </c>
      <c r="P1761">
        <v>-0.97865469999999999</v>
      </c>
      <c r="Q1761">
        <v>0.18503349999999999</v>
      </c>
      <c r="R1761">
        <v>-8.9429590000000003E-2</v>
      </c>
      <c r="S1761">
        <v>-3.0495760000000001</v>
      </c>
      <c r="T1761">
        <v>4.5553799999999998E-2</v>
      </c>
      <c r="U1761">
        <v>-8.4289550000000005E-2</v>
      </c>
      <c r="V1761">
        <v>-8.4227949999999996E-2</v>
      </c>
      <c r="W1761">
        <v>0.19817679999999999</v>
      </c>
      <c r="X1761">
        <v>0.97654059999999998</v>
      </c>
      <c r="Y1761">
        <v>-2.2772130000000002E-2</v>
      </c>
      <c r="Z1761">
        <v>-1.1777020000000001E-4</v>
      </c>
      <c r="AA1761">
        <v>0.99974070000000004</v>
      </c>
      <c r="AB1761">
        <v>23</v>
      </c>
      <c r="AC1761">
        <v>-287.1293</v>
      </c>
      <c r="AD1761">
        <v>4.2924600000000002</v>
      </c>
      <c r="AE1761">
        <v>-7.9428999999999998</v>
      </c>
      <c r="AF1761">
        <v>-6.5458205588179297</v>
      </c>
      <c r="AG1761">
        <v>4.2924600000000002</v>
      </c>
      <c r="AH1761">
        <v>287.10039833971399</v>
      </c>
      <c r="AI1761">
        <v>89.143652756706203</v>
      </c>
      <c r="AJ1761">
        <v>91.306103812333404</v>
      </c>
      <c r="AK1761">
        <v>287.20708853797902</v>
      </c>
      <c r="AL1761">
        <v>78.569636152738994</v>
      </c>
      <c r="AM1761">
        <v>94.929638430856798</v>
      </c>
      <c r="AN1761">
        <v>0.99999996753389997</v>
      </c>
    </row>
    <row r="1762" spans="1:40" x14ac:dyDescent="0.25">
      <c r="A1762" t="str">
        <f>"20190304155050935"</f>
        <v>20190304155050935</v>
      </c>
      <c r="B1762" t="str">
        <f>"1551685850928805"</f>
        <v>1551685850928805</v>
      </c>
      <c r="C1762" t="s">
        <v>40</v>
      </c>
      <c r="D1762">
        <v>5.099132</v>
      </c>
      <c r="E1762">
        <v>0.5210996</v>
      </c>
      <c r="F1762" t="s">
        <v>75</v>
      </c>
      <c r="G1762">
        <v>-511.07560000000001</v>
      </c>
      <c r="H1762">
        <v>5.585858</v>
      </c>
      <c r="I1762">
        <v>277.44779999999997</v>
      </c>
      <c r="J1762">
        <v>-225.06809999999999</v>
      </c>
      <c r="K1762">
        <v>1.1097300000000001</v>
      </c>
      <c r="L1762">
        <v>284.52379999999999</v>
      </c>
      <c r="M1762">
        <v>-0.99990900000000005</v>
      </c>
      <c r="N1762">
        <v>-1.3043320000000001E-2</v>
      </c>
      <c r="O1762">
        <v>-3.4409620000000001E-3</v>
      </c>
      <c r="P1762">
        <v>-0.97876099999999999</v>
      </c>
      <c r="Q1762">
        <v>0.18523239999999999</v>
      </c>
      <c r="R1762">
        <v>-8.7841119999999995E-2</v>
      </c>
      <c r="S1762">
        <v>-3.0495299999999999</v>
      </c>
      <c r="T1762">
        <v>4.7687649999999998E-2</v>
      </c>
      <c r="U1762">
        <v>-7.5378420000000002E-2</v>
      </c>
      <c r="V1762">
        <v>-8.4047440000000001E-2</v>
      </c>
      <c r="W1762">
        <v>0.1981675</v>
      </c>
      <c r="X1762">
        <v>0.97655809999999998</v>
      </c>
      <c r="Y1762">
        <v>-2.1271129999999999E-2</v>
      </c>
      <c r="Z1762" s="1">
        <v>-7.1140040000000003E-5</v>
      </c>
      <c r="AA1762">
        <v>0.99977369999999999</v>
      </c>
      <c r="AB1762">
        <v>23</v>
      </c>
      <c r="AC1762">
        <v>-286.00749999999999</v>
      </c>
      <c r="AD1762">
        <v>4.4761280000000001</v>
      </c>
      <c r="AE1762">
        <v>-7.0760000000000201</v>
      </c>
      <c r="AF1762">
        <v>-6.0902426269530796</v>
      </c>
      <c r="AG1762">
        <v>4.4761280000000001</v>
      </c>
      <c r="AH1762">
        <v>285.96015813705299</v>
      </c>
      <c r="AI1762">
        <v>89.103426952830006</v>
      </c>
      <c r="AJ1762">
        <v>91.220073651726096</v>
      </c>
      <c r="AK1762">
        <v>286.06002660087898</v>
      </c>
      <c r="AL1762">
        <v>78.570180467736506</v>
      </c>
      <c r="AM1762">
        <v>94.919037835437805</v>
      </c>
      <c r="AN1762">
        <v>1.0000000264511999</v>
      </c>
    </row>
    <row r="1763" spans="1:40" x14ac:dyDescent="0.25">
      <c r="A1763" t="str">
        <f>"20190304155050958"</f>
        <v>20190304155050958</v>
      </c>
      <c r="B1763" t="str">
        <f>"1551685850948324"</f>
        <v>1551685850948324</v>
      </c>
      <c r="C1763" t="s">
        <v>40</v>
      </c>
      <c r="D1763">
        <v>5.0802870000000002</v>
      </c>
      <c r="E1763">
        <v>0.52044380000000001</v>
      </c>
      <c r="F1763" t="s">
        <v>75</v>
      </c>
      <c r="G1763">
        <v>-511.96039999999999</v>
      </c>
      <c r="H1763">
        <v>5.2561439999999999</v>
      </c>
      <c r="I1763">
        <v>277.2407</v>
      </c>
      <c r="J1763">
        <v>-225.31229999999999</v>
      </c>
      <c r="K1763">
        <v>1.109734</v>
      </c>
      <c r="L1763">
        <v>284.52449999999999</v>
      </c>
      <c r="M1763">
        <v>-0.99991609999999997</v>
      </c>
      <c r="N1763">
        <v>-1.27986E-2</v>
      </c>
      <c r="O1763">
        <v>-2.0350479999999998E-3</v>
      </c>
      <c r="P1763">
        <v>-0.97885630000000001</v>
      </c>
      <c r="Q1763">
        <v>0.1851988</v>
      </c>
      <c r="R1763">
        <v>-8.6845870000000006E-2</v>
      </c>
      <c r="S1763">
        <v>-3.0498349999999999</v>
      </c>
      <c r="T1763">
        <v>4.407966E-2</v>
      </c>
      <c r="U1763">
        <v>-7.7423099999999995E-2</v>
      </c>
      <c r="V1763">
        <v>-8.4450929999999994E-2</v>
      </c>
      <c r="W1763">
        <v>0.1978866</v>
      </c>
      <c r="X1763">
        <v>0.97658020000000001</v>
      </c>
      <c r="Y1763">
        <v>-2.3343679999999999E-2</v>
      </c>
      <c r="Z1763" s="1">
        <v>-3.6202199999999997E-5</v>
      </c>
      <c r="AA1763">
        <v>0.99972749999999999</v>
      </c>
      <c r="AB1763">
        <v>23</v>
      </c>
      <c r="AC1763">
        <v>-286.6481</v>
      </c>
      <c r="AD1763">
        <v>4.1464100000000004</v>
      </c>
      <c r="AE1763">
        <v>-7.2837999999999798</v>
      </c>
      <c r="AF1763">
        <v>-6.6989937356732296</v>
      </c>
      <c r="AG1763">
        <v>4.1464100000000004</v>
      </c>
      <c r="AH1763">
        <v>286.60240021584798</v>
      </c>
      <c r="AI1763">
        <v>89.1713594755917</v>
      </c>
      <c r="AJ1763">
        <v>91.338977593128106</v>
      </c>
      <c r="AK1763">
        <v>286.71066433330299</v>
      </c>
      <c r="AL1763">
        <v>78.586599438047401</v>
      </c>
      <c r="AM1763">
        <v>94.942424866023501</v>
      </c>
      <c r="AN1763">
        <v>0.99999997653473205</v>
      </c>
    </row>
    <row r="1764" spans="1:40" x14ac:dyDescent="0.25">
      <c r="A1764" t="str">
        <f>"20190304155050980"</f>
        <v>20190304155050980</v>
      </c>
      <c r="B1764" t="str">
        <f>"1551685850978581"</f>
        <v>1551685850978581</v>
      </c>
      <c r="C1764" t="s">
        <v>40</v>
      </c>
      <c r="D1764">
        <v>4.9905910000000002</v>
      </c>
      <c r="E1764">
        <v>0.51977589999999996</v>
      </c>
      <c r="F1764" t="s">
        <v>75</v>
      </c>
      <c r="G1764">
        <v>-511.96030000000002</v>
      </c>
      <c r="H1764">
        <v>4.9883620000000004</v>
      </c>
      <c r="I1764">
        <v>277.05860000000001</v>
      </c>
      <c r="J1764">
        <v>-225.54300000000001</v>
      </c>
      <c r="K1764">
        <v>1.1097349999999999</v>
      </c>
      <c r="L1764">
        <v>284.52550000000002</v>
      </c>
      <c r="M1764">
        <v>-0.99992130000000001</v>
      </c>
      <c r="N1764">
        <v>-1.2527770000000001E-2</v>
      </c>
      <c r="O1764">
        <v>-7.7297729999999999E-4</v>
      </c>
      <c r="P1764">
        <v>-0.97883200000000004</v>
      </c>
      <c r="Q1764">
        <v>0.1857839</v>
      </c>
      <c r="R1764">
        <v>-8.586336E-2</v>
      </c>
      <c r="S1764">
        <v>-3.0499420000000002</v>
      </c>
      <c r="T1764">
        <v>4.126954E-2</v>
      </c>
      <c r="U1764">
        <v>-7.9437259999999996E-2</v>
      </c>
      <c r="V1764">
        <v>-8.4723519999999997E-2</v>
      </c>
      <c r="W1764">
        <v>0.1981965</v>
      </c>
      <c r="X1764">
        <v>0.97649379999999997</v>
      </c>
      <c r="Y1764">
        <v>-2.5263979999999998E-2</v>
      </c>
      <c r="Z1764" s="1">
        <v>-7.5330900000000001E-6</v>
      </c>
      <c r="AA1764">
        <v>0.99968080000000004</v>
      </c>
      <c r="AB1764">
        <v>23</v>
      </c>
      <c r="AC1764">
        <v>-286.41730000000001</v>
      </c>
      <c r="AD1764">
        <v>3.8786269999999998</v>
      </c>
      <c r="AE1764">
        <v>-7.4669000000000096</v>
      </c>
      <c r="AF1764">
        <v>-7.2441587901611699</v>
      </c>
      <c r="AG1764">
        <v>3.8786269999999998</v>
      </c>
      <c r="AH1764">
        <v>286.37050698726699</v>
      </c>
      <c r="AI1764">
        <v>89.224276562882693</v>
      </c>
      <c r="AJ1764">
        <v>91.449071098231499</v>
      </c>
      <c r="AK1764">
        <v>286.48837473120398</v>
      </c>
      <c r="AL1764">
        <v>78.568485358883706</v>
      </c>
      <c r="AM1764">
        <v>94.958735103634595</v>
      </c>
      <c r="AN1764">
        <v>1.0000000344459301</v>
      </c>
    </row>
    <row r="1765" spans="1:40" x14ac:dyDescent="0.25">
      <c r="A1765" t="str">
        <f>"20190304155051002"</f>
        <v>20190304155051002</v>
      </c>
      <c r="B1765" t="str">
        <f>"1551685850998101"</f>
        <v>1551685850998101</v>
      </c>
      <c r="C1765" t="s">
        <v>40</v>
      </c>
      <c r="D1765">
        <v>5.0260699999999998</v>
      </c>
      <c r="E1765">
        <v>0.51941009999999999</v>
      </c>
      <c r="F1765" t="s">
        <v>75</v>
      </c>
      <c r="G1765">
        <v>-511.96019999999999</v>
      </c>
      <c r="H1765">
        <v>4.690569</v>
      </c>
      <c r="I1765">
        <v>276.90370000000001</v>
      </c>
      <c r="J1765">
        <v>-225.7764</v>
      </c>
      <c r="K1765">
        <v>1.1097250000000001</v>
      </c>
      <c r="L1765">
        <v>284.52679999999998</v>
      </c>
      <c r="M1765">
        <v>-0.99992519999999996</v>
      </c>
      <c r="N1765">
        <v>-1.222938E-2</v>
      </c>
      <c r="O1765">
        <v>4.3145390000000003E-4</v>
      </c>
      <c r="P1765">
        <v>-0.97893839999999999</v>
      </c>
      <c r="Q1765">
        <v>0.18554490000000001</v>
      </c>
      <c r="R1765">
        <v>-8.5164669999999998E-2</v>
      </c>
      <c r="S1765">
        <v>-3.0505070000000001</v>
      </c>
      <c r="T1765">
        <v>3.8138749999999999E-2</v>
      </c>
      <c r="U1765">
        <v>-8.1176760000000001E-2</v>
      </c>
      <c r="V1765">
        <v>-8.5226510000000005E-2</v>
      </c>
      <c r="W1765">
        <v>0.19765849999999999</v>
      </c>
      <c r="X1765">
        <v>0.97655899999999995</v>
      </c>
      <c r="Y1765">
        <v>-2.703266E-2</v>
      </c>
      <c r="Z1765" s="1">
        <v>1.42869E-5</v>
      </c>
      <c r="AA1765">
        <v>0.99963460000000004</v>
      </c>
      <c r="AB1765">
        <v>23</v>
      </c>
      <c r="AC1765">
        <v>-286.18380000000002</v>
      </c>
      <c r="AD1765">
        <v>3.5808439999999999</v>
      </c>
      <c r="AE1765">
        <v>-7.62309999999996</v>
      </c>
      <c r="AF1765">
        <v>-7.7453718767711299</v>
      </c>
      <c r="AG1765">
        <v>3.5808439999999999</v>
      </c>
      <c r="AH1765">
        <v>286.135718462331</v>
      </c>
      <c r="AI1765">
        <v>89.283272192047605</v>
      </c>
      <c r="AJ1765">
        <v>91.550553634470901</v>
      </c>
      <c r="AK1765">
        <v>286.26292566313299</v>
      </c>
      <c r="AL1765">
        <v>78.599931765713293</v>
      </c>
      <c r="AM1765">
        <v>94.987694889172403</v>
      </c>
      <c r="AN1765">
        <v>0.99999996055501394</v>
      </c>
    </row>
    <row r="1766" spans="1:40" x14ac:dyDescent="0.25">
      <c r="A1766" t="str">
        <f>"20190304155051026"</f>
        <v>20190304155051026</v>
      </c>
      <c r="B1766" t="str">
        <f>"1551685851018597"</f>
        <v>1551685851018597</v>
      </c>
      <c r="C1766" t="s">
        <v>40</v>
      </c>
      <c r="D1766">
        <v>5.2094230000000001</v>
      </c>
      <c r="E1766">
        <v>0.51942429999999995</v>
      </c>
      <c r="F1766" t="s">
        <v>75</v>
      </c>
      <c r="G1766">
        <v>-511.96010000000001</v>
      </c>
      <c r="H1766">
        <v>4.6332930000000001</v>
      </c>
      <c r="I1766">
        <v>276.85340000000002</v>
      </c>
      <c r="J1766">
        <v>-226.02889999999999</v>
      </c>
      <c r="K1766">
        <v>1.109726</v>
      </c>
      <c r="L1766">
        <v>284.5283</v>
      </c>
      <c r="M1766">
        <v>-0.99992789999999998</v>
      </c>
      <c r="N1766">
        <v>-1.1903510000000001E-2</v>
      </c>
      <c r="O1766">
        <v>1.6517490000000001E-3</v>
      </c>
      <c r="P1766">
        <v>-0.97898600000000002</v>
      </c>
      <c r="Q1766">
        <v>0.18572269999999999</v>
      </c>
      <c r="R1766">
        <v>-8.4222790000000006E-2</v>
      </c>
      <c r="S1766">
        <v>-3.0503079999999998</v>
      </c>
      <c r="T1766">
        <v>3.7557010000000002E-2</v>
      </c>
      <c r="U1766">
        <v>-8.1787109999999996E-2</v>
      </c>
      <c r="V1766">
        <v>-8.550344E-2</v>
      </c>
      <c r="W1766">
        <v>0.1975075</v>
      </c>
      <c r="X1766">
        <v>0.97656540000000003</v>
      </c>
      <c r="Y1766">
        <v>-2.845379E-2</v>
      </c>
      <c r="Z1766" s="1">
        <v>4.5734459999999998E-5</v>
      </c>
      <c r="AA1766">
        <v>0.99959509999999996</v>
      </c>
      <c r="AB1766">
        <v>23</v>
      </c>
      <c r="AC1766">
        <v>-285.93119999999999</v>
      </c>
      <c r="AD1766">
        <v>3.5235669999999999</v>
      </c>
      <c r="AE1766">
        <v>-7.6748999999999796</v>
      </c>
      <c r="AF1766">
        <v>-8.1459733596366899</v>
      </c>
      <c r="AG1766">
        <v>3.5235669999999999</v>
      </c>
      <c r="AH1766">
        <v>285.87475044798401</v>
      </c>
      <c r="AI1766">
        <v>89.294119554170607</v>
      </c>
      <c r="AJ1766">
        <v>91.632196031240099</v>
      </c>
      <c r="AK1766">
        <v>286.012491597966</v>
      </c>
      <c r="AL1766">
        <v>78.608758052152098</v>
      </c>
      <c r="AM1766">
        <v>95.003786835817095</v>
      </c>
      <c r="AN1766">
        <v>1.0000000156426201</v>
      </c>
    </row>
    <row r="1767" spans="1:40" x14ac:dyDescent="0.25">
      <c r="A1767" t="str">
        <f>"20190304155051048"</f>
        <v>20190304155051048</v>
      </c>
      <c r="B1767" t="str">
        <f>"1551685851038120"</f>
        <v>1551685851038120</v>
      </c>
      <c r="C1767" t="s">
        <v>40</v>
      </c>
      <c r="D1767">
        <v>4.9274820000000004</v>
      </c>
      <c r="E1767">
        <v>0.51908310000000002</v>
      </c>
      <c r="F1767" t="s">
        <v>75</v>
      </c>
      <c r="G1767">
        <v>-511.96010000000001</v>
      </c>
      <c r="H1767">
        <v>4.614592</v>
      </c>
      <c r="I1767">
        <v>277.15969999999999</v>
      </c>
      <c r="J1767">
        <v>-226.25579999999999</v>
      </c>
      <c r="K1767">
        <v>1.109745</v>
      </c>
      <c r="L1767">
        <v>284.5299</v>
      </c>
      <c r="M1767">
        <v>-0.99992879999999995</v>
      </c>
      <c r="N1767">
        <v>-1.162707E-2</v>
      </c>
      <c r="O1767">
        <v>2.6713959999999999E-3</v>
      </c>
      <c r="P1767">
        <v>-0.97910379999999997</v>
      </c>
      <c r="Q1767">
        <v>0.18567259999999999</v>
      </c>
      <c r="R1767">
        <v>-8.2955920000000002E-2</v>
      </c>
      <c r="S1767">
        <v>-3.0505070000000001</v>
      </c>
      <c r="T1767">
        <v>3.7393089999999997E-2</v>
      </c>
      <c r="U1767">
        <v>-7.8613279999999994E-2</v>
      </c>
      <c r="V1767">
        <v>-8.5256349999999995E-2</v>
      </c>
      <c r="W1767">
        <v>0.19717799999999999</v>
      </c>
      <c r="X1767">
        <v>0.97665360000000001</v>
      </c>
      <c r="Y1767">
        <v>-2.843174E-2</v>
      </c>
      <c r="Z1767" s="1">
        <v>7.2693800000000005E-5</v>
      </c>
      <c r="AA1767">
        <v>0.99959580000000003</v>
      </c>
      <c r="AB1767">
        <v>23</v>
      </c>
      <c r="AC1767">
        <v>-285.70429999999999</v>
      </c>
      <c r="AD1767">
        <v>3.5048469999999998</v>
      </c>
      <c r="AE1767">
        <v>-7.3702000000000103</v>
      </c>
      <c r="AF1767">
        <v>-8.1322316472674299</v>
      </c>
      <c r="AG1767">
        <v>3.5048469999999998</v>
      </c>
      <c r="AH1767">
        <v>285.64063319313601</v>
      </c>
      <c r="AI1767">
        <v>89.297293459228797</v>
      </c>
      <c r="AJ1767">
        <v>91.630778918140294</v>
      </c>
      <c r="AK1767">
        <v>285.77786561424602</v>
      </c>
      <c r="AL1767">
        <v>78.628015906366997</v>
      </c>
      <c r="AM1767">
        <v>94.988951552152997</v>
      </c>
      <c r="AN1767">
        <v>1.0000000316461399</v>
      </c>
    </row>
    <row r="1768" spans="1:40" x14ac:dyDescent="0.25">
      <c r="A1768" t="str">
        <f>"20190304155051071"</f>
        <v>20190304155051071</v>
      </c>
      <c r="B1768" t="str">
        <f>"1551685851068184"</f>
        <v>1551685851068184</v>
      </c>
      <c r="C1768" t="s">
        <v>40</v>
      </c>
      <c r="D1768">
        <v>5.1901970000000004</v>
      </c>
      <c r="E1768">
        <v>0.51883559999999995</v>
      </c>
      <c r="F1768" t="s">
        <v>75</v>
      </c>
      <c r="G1768">
        <v>-511.96010000000001</v>
      </c>
      <c r="H1768">
        <v>4.39527</v>
      </c>
      <c r="I1768">
        <v>277.28500000000003</v>
      </c>
      <c r="J1768">
        <v>-226.4915</v>
      </c>
      <c r="K1768">
        <v>1.109766</v>
      </c>
      <c r="L1768">
        <v>284.53160000000003</v>
      </c>
      <c r="M1768">
        <v>-0.99992879999999995</v>
      </c>
      <c r="N1768">
        <v>-1.136478E-2</v>
      </c>
      <c r="O1768">
        <v>3.65395E-3</v>
      </c>
      <c r="P1768">
        <v>-0.97909849999999998</v>
      </c>
      <c r="Q1768">
        <v>0.18613450000000001</v>
      </c>
      <c r="R1768">
        <v>-8.1976569999999999E-2</v>
      </c>
      <c r="S1768">
        <v>-3.0508120000000001</v>
      </c>
      <c r="T1768">
        <v>3.5084369999999997E-2</v>
      </c>
      <c r="U1768">
        <v>-7.7362059999999996E-2</v>
      </c>
      <c r="V1768">
        <v>-8.5259909999999994E-2</v>
      </c>
      <c r="W1768">
        <v>0.19737379999999999</v>
      </c>
      <c r="X1768">
        <v>0.97661370000000003</v>
      </c>
      <c r="Y1768">
        <v>-2.9001579999999999E-2</v>
      </c>
      <c r="Z1768" s="1">
        <v>8.5427449999999998E-5</v>
      </c>
      <c r="AA1768">
        <v>0.99957940000000001</v>
      </c>
      <c r="AB1768">
        <v>24</v>
      </c>
      <c r="AC1768">
        <v>-285.46859999999998</v>
      </c>
      <c r="AD1768">
        <v>3.285504</v>
      </c>
      <c r="AE1768">
        <v>-7.2465999999999999</v>
      </c>
      <c r="AF1768">
        <v>-8.2886097083579706</v>
      </c>
      <c r="AG1768">
        <v>3.285504</v>
      </c>
      <c r="AH1768">
        <v>285.40243334560699</v>
      </c>
      <c r="AI1768">
        <v>89.340727860740103</v>
      </c>
      <c r="AJ1768">
        <v>91.663506862779798</v>
      </c>
      <c r="AK1768">
        <v>285.54166867031</v>
      </c>
      <c r="AL1768">
        <v>78.616572074443397</v>
      </c>
      <c r="AM1768">
        <v>94.989361626967195</v>
      </c>
      <c r="AN1768">
        <v>0.99999999410366902</v>
      </c>
    </row>
    <row r="1769" spans="1:40" x14ac:dyDescent="0.25">
      <c r="A1769" t="str">
        <f>"20190304155051091"</f>
        <v>20190304155051091</v>
      </c>
      <c r="B1769" t="str">
        <f>"1551685851088680"</f>
        <v>1551685851088680</v>
      </c>
      <c r="C1769" t="s">
        <v>40</v>
      </c>
      <c r="D1769">
        <v>4.9914849999999999</v>
      </c>
      <c r="E1769">
        <v>0.51831850000000002</v>
      </c>
      <c r="F1769" t="s">
        <v>75</v>
      </c>
      <c r="G1769">
        <v>-511.96010000000001</v>
      </c>
      <c r="H1769">
        <v>4.4685259999999998</v>
      </c>
      <c r="I1769">
        <v>277.37549999999999</v>
      </c>
      <c r="J1769">
        <v>-226.71559999999999</v>
      </c>
      <c r="K1769">
        <v>1.109783</v>
      </c>
      <c r="L1769">
        <v>284.5335</v>
      </c>
      <c r="M1769">
        <v>-0.99992769999999997</v>
      </c>
      <c r="N1769">
        <v>-1.113687E-2</v>
      </c>
      <c r="O1769">
        <v>4.5333170000000002E-3</v>
      </c>
      <c r="P1769">
        <v>-0.9790584</v>
      </c>
      <c r="Q1769">
        <v>0.186498</v>
      </c>
      <c r="R1769">
        <v>-8.1629980000000005E-2</v>
      </c>
      <c r="S1769">
        <v>-3.0507970000000002</v>
      </c>
      <c r="T1769">
        <v>3.5895820000000002E-2</v>
      </c>
      <c r="U1769">
        <v>-7.6477050000000005E-2</v>
      </c>
      <c r="V1769">
        <v>-8.5789829999999997E-2</v>
      </c>
      <c r="W1769">
        <v>0.1975066</v>
      </c>
      <c r="X1769">
        <v>0.97654039999999998</v>
      </c>
      <c r="Y1769">
        <v>-2.959065E-2</v>
      </c>
      <c r="Z1769">
        <v>1.130505E-4</v>
      </c>
      <c r="AA1769">
        <v>0.99956210000000001</v>
      </c>
      <c r="AB1769">
        <v>24</v>
      </c>
      <c r="AC1769">
        <v>-285.24450000000002</v>
      </c>
      <c r="AD1769">
        <v>3.358743</v>
      </c>
      <c r="AE1769">
        <v>-7.1580000000000101</v>
      </c>
      <c r="AF1769">
        <v>-8.4499395433990898</v>
      </c>
      <c r="AG1769">
        <v>3.358743</v>
      </c>
      <c r="AH1769">
        <v>285.16960329854601</v>
      </c>
      <c r="AI1769">
        <v>89.3254944343674</v>
      </c>
      <c r="AJ1769">
        <v>91.697250501416505</v>
      </c>
      <c r="AK1769">
        <v>285.31453744644199</v>
      </c>
      <c r="AL1769">
        <v>78.608809924531002</v>
      </c>
      <c r="AM1769">
        <v>95.02058915488</v>
      </c>
      <c r="AN1769">
        <v>0.99999995240357298</v>
      </c>
    </row>
    <row r="1770" spans="1:40" x14ac:dyDescent="0.25">
      <c r="A1770" t="str">
        <f>"20190304155051115"</f>
        <v>20190304155051115</v>
      </c>
      <c r="B1770" t="str">
        <f>"1551685851108201"</f>
        <v>1551685851108201</v>
      </c>
      <c r="C1770" t="s">
        <v>40</v>
      </c>
      <c r="D1770">
        <v>4.9734290000000003</v>
      </c>
      <c r="E1770">
        <v>0.51799620000000002</v>
      </c>
      <c r="F1770" t="s">
        <v>75</v>
      </c>
      <c r="G1770">
        <v>-511.96010000000001</v>
      </c>
      <c r="H1770">
        <v>4.4822540000000002</v>
      </c>
      <c r="I1770">
        <v>277.1146</v>
      </c>
      <c r="J1770">
        <v>-226.9607</v>
      </c>
      <c r="K1770">
        <v>1.1097969999999999</v>
      </c>
      <c r="L1770">
        <v>284.53559999999999</v>
      </c>
      <c r="M1770">
        <v>-0.99992579999999998</v>
      </c>
      <c r="N1770">
        <v>-1.0911860000000001E-2</v>
      </c>
      <c r="O1770">
        <v>5.4350450000000003E-3</v>
      </c>
      <c r="P1770">
        <v>-0.97902990000000001</v>
      </c>
      <c r="Q1770">
        <v>0.18684249999999999</v>
      </c>
      <c r="R1770">
        <v>-8.1183989999999998E-2</v>
      </c>
      <c r="S1770">
        <v>-3.0507200000000001</v>
      </c>
      <c r="T1770">
        <v>3.6069749999999998E-2</v>
      </c>
      <c r="U1770">
        <v>-7.9345700000000005E-2</v>
      </c>
      <c r="V1770">
        <v>-8.6242230000000003E-2</v>
      </c>
      <c r="W1770">
        <v>0.19762389999999999</v>
      </c>
      <c r="X1770">
        <v>0.97647680000000003</v>
      </c>
      <c r="Y1770">
        <v>-3.1431630000000002E-2</v>
      </c>
      <c r="Z1770">
        <v>1.3779419999999999E-4</v>
      </c>
      <c r="AA1770">
        <v>0.99950589999999995</v>
      </c>
      <c r="AB1770">
        <v>24</v>
      </c>
      <c r="AC1770">
        <v>-284.99939999999998</v>
      </c>
      <c r="AD1770">
        <v>3.3724569999999998</v>
      </c>
      <c r="AE1770">
        <v>-7.4209999999999896</v>
      </c>
      <c r="AF1770">
        <v>-8.9687120121643407</v>
      </c>
      <c r="AG1770">
        <v>3.3724569999999998</v>
      </c>
      <c r="AH1770">
        <v>284.91498607013102</v>
      </c>
      <c r="AI1770">
        <v>89.322173670704998</v>
      </c>
      <c r="AJ1770">
        <v>91.802992966240694</v>
      </c>
      <c r="AK1770">
        <v>285.07606098849698</v>
      </c>
      <c r="AL1770">
        <v>78.6019537904793</v>
      </c>
      <c r="AM1770">
        <v>95.047255128579806</v>
      </c>
      <c r="AN1770">
        <v>0.99999993451240898</v>
      </c>
    </row>
    <row r="1771" spans="1:40" x14ac:dyDescent="0.25">
      <c r="A1771" t="str">
        <f>"20190304155051137"</f>
        <v>20190304155051137</v>
      </c>
      <c r="B1771" t="str">
        <f>"1551685851128696"</f>
        <v>1551685851128696</v>
      </c>
      <c r="C1771" t="s">
        <v>40</v>
      </c>
      <c r="D1771">
        <v>4.9796690000000003</v>
      </c>
      <c r="E1771">
        <v>0.51773130000000001</v>
      </c>
      <c r="F1771" t="s">
        <v>75</v>
      </c>
      <c r="G1771">
        <v>-511.96010000000001</v>
      </c>
      <c r="H1771">
        <v>4.39642</v>
      </c>
      <c r="I1771">
        <v>277.02370000000002</v>
      </c>
      <c r="J1771">
        <v>-227.2029</v>
      </c>
      <c r="K1771">
        <v>1.10982</v>
      </c>
      <c r="L1771">
        <v>284.53800000000001</v>
      </c>
      <c r="M1771">
        <v>-0.99992309999999995</v>
      </c>
      <c r="N1771">
        <v>-1.0714019999999999E-2</v>
      </c>
      <c r="O1771">
        <v>6.264955E-3</v>
      </c>
      <c r="P1771">
        <v>-0.97887769999999996</v>
      </c>
      <c r="Q1771">
        <v>0.18765970000000001</v>
      </c>
      <c r="R1771">
        <v>-8.1132720000000005E-2</v>
      </c>
      <c r="S1771">
        <v>-3.050888</v>
      </c>
      <c r="T1771">
        <v>3.518379E-2</v>
      </c>
      <c r="U1771">
        <v>-8.0413819999999997E-2</v>
      </c>
      <c r="V1771">
        <v>-8.7015709999999996E-2</v>
      </c>
      <c r="W1771">
        <v>0.1982399</v>
      </c>
      <c r="X1771">
        <v>0.97628340000000002</v>
      </c>
      <c r="Y1771">
        <v>-3.2609279999999997E-2</v>
      </c>
      <c r="Z1771">
        <v>1.5261060000000001E-4</v>
      </c>
      <c r="AA1771">
        <v>0.99946809999999997</v>
      </c>
      <c r="AB1771">
        <v>24</v>
      </c>
      <c r="AC1771">
        <v>-284.75720000000001</v>
      </c>
      <c r="AD1771">
        <v>3.2866</v>
      </c>
      <c r="AE1771">
        <v>-7.5142999999999898</v>
      </c>
      <c r="AF1771">
        <v>-9.2970081267406908</v>
      </c>
      <c r="AG1771">
        <v>3.2866</v>
      </c>
      <c r="AH1771">
        <v>284.666636840541</v>
      </c>
      <c r="AI1771">
        <v>89.338877183387197</v>
      </c>
      <c r="AJ1771">
        <v>91.870574172037706</v>
      </c>
      <c r="AK1771">
        <v>284.837375057722</v>
      </c>
      <c r="AL1771">
        <v>78.565948383047399</v>
      </c>
      <c r="AM1771">
        <v>95.093288915959604</v>
      </c>
      <c r="AN1771">
        <v>1.00000003442718</v>
      </c>
    </row>
    <row r="1772" spans="1:40" x14ac:dyDescent="0.25">
      <c r="A1772" t="str">
        <f>"20190304155051158"</f>
        <v>20190304155051158</v>
      </c>
      <c r="B1772" t="str">
        <f>"1551685851148216"</f>
        <v>1551685851148216</v>
      </c>
      <c r="C1772" t="s">
        <v>40</v>
      </c>
      <c r="D1772">
        <v>4.9791160000000003</v>
      </c>
      <c r="E1772">
        <v>0.51746490000000001</v>
      </c>
      <c r="F1772" t="s">
        <v>75</v>
      </c>
      <c r="G1772">
        <v>-511.96019999999999</v>
      </c>
      <c r="H1772">
        <v>4.6510610000000003</v>
      </c>
      <c r="I1772">
        <v>276.83519999999999</v>
      </c>
      <c r="J1772">
        <v>-227.42939999999999</v>
      </c>
      <c r="K1772">
        <v>1.1098410000000001</v>
      </c>
      <c r="L1772">
        <v>284.54020000000003</v>
      </c>
      <c r="M1772">
        <v>-0.99992000000000003</v>
      </c>
      <c r="N1772">
        <v>-1.05504E-2</v>
      </c>
      <c r="O1772">
        <v>6.9882529999999998E-3</v>
      </c>
      <c r="P1772">
        <v>-0.9788519</v>
      </c>
      <c r="Q1772">
        <v>0.1878918</v>
      </c>
      <c r="R1772">
        <v>-8.0907599999999996E-2</v>
      </c>
      <c r="S1772">
        <v>-3.0506129999999998</v>
      </c>
      <c r="T1772">
        <v>3.7938239999999998E-2</v>
      </c>
      <c r="U1772">
        <v>-8.2519529999999994E-2</v>
      </c>
      <c r="V1772">
        <v>-8.7512629999999994E-2</v>
      </c>
      <c r="W1772">
        <v>0.19830590000000001</v>
      </c>
      <c r="X1772">
        <v>0.97622560000000003</v>
      </c>
      <c r="Y1772">
        <v>-3.4023440000000002E-2</v>
      </c>
      <c r="Z1772">
        <v>1.92597E-4</v>
      </c>
      <c r="AA1772">
        <v>0.999421</v>
      </c>
      <c r="AB1772">
        <v>24</v>
      </c>
      <c r="AC1772">
        <v>-284.5308</v>
      </c>
      <c r="AD1772">
        <v>3.5412199999999898</v>
      </c>
      <c r="AE1772">
        <v>-7.70500000000004</v>
      </c>
      <c r="AF1772">
        <v>-9.6917954303263993</v>
      </c>
      <c r="AG1772">
        <v>3.5412199999999898</v>
      </c>
      <c r="AH1772">
        <v>284.42597915577397</v>
      </c>
      <c r="AI1772">
        <v>89.287094635929904</v>
      </c>
      <c r="AJ1772">
        <v>91.951594597426293</v>
      </c>
      <c r="AK1772">
        <v>284.61308605978201</v>
      </c>
      <c r="AL1772">
        <v>78.562090518835205</v>
      </c>
      <c r="AM1772">
        <v>95.122522492176202</v>
      </c>
      <c r="AN1772">
        <v>1.0000000562398399</v>
      </c>
    </row>
    <row r="1773" spans="1:40" x14ac:dyDescent="0.25">
      <c r="A1773" t="str">
        <f>"20190304155051181"</f>
        <v>20190304155051181</v>
      </c>
      <c r="B1773" t="str">
        <f>"1551685851178472"</f>
        <v>1551685851178472</v>
      </c>
      <c r="C1773" t="s">
        <v>40</v>
      </c>
      <c r="D1773">
        <v>4.9903519999999997</v>
      </c>
      <c r="E1773">
        <v>0.51710990000000001</v>
      </c>
      <c r="F1773" t="s">
        <v>75</v>
      </c>
      <c r="G1773">
        <v>-511.96019999999999</v>
      </c>
      <c r="H1773">
        <v>4.7041110000000002</v>
      </c>
      <c r="I1773">
        <v>276.67239999999998</v>
      </c>
      <c r="J1773">
        <v>-227.66810000000001</v>
      </c>
      <c r="K1773">
        <v>1.1098650000000001</v>
      </c>
      <c r="L1773">
        <v>284.54270000000002</v>
      </c>
      <c r="M1773">
        <v>-0.99991640000000004</v>
      </c>
      <c r="N1773">
        <v>-1.03987E-2</v>
      </c>
      <c r="O1773">
        <v>7.6965409999999899E-3</v>
      </c>
      <c r="P1773">
        <v>-0.97889709999999996</v>
      </c>
      <c r="Q1773">
        <v>0.18767130000000001</v>
      </c>
      <c r="R1773">
        <v>-8.0870109999999995E-2</v>
      </c>
      <c r="S1773">
        <v>-3.050446</v>
      </c>
      <c r="T1773">
        <v>3.8534880000000001E-2</v>
      </c>
      <c r="U1773">
        <v>-8.4350590000000003E-2</v>
      </c>
      <c r="V1773">
        <v>-8.8185109999999997E-2</v>
      </c>
      <c r="W1773">
        <v>0.19793050000000001</v>
      </c>
      <c r="X1773">
        <v>0.97624120000000003</v>
      </c>
      <c r="Y1773">
        <v>-3.5331979999999999E-2</v>
      </c>
      <c r="Z1773">
        <v>2.165899E-4</v>
      </c>
      <c r="AA1773">
        <v>0.99937560000000003</v>
      </c>
      <c r="AB1773">
        <v>24</v>
      </c>
      <c r="AC1773">
        <v>-284.2921</v>
      </c>
      <c r="AD1773">
        <v>3.5942460000000001</v>
      </c>
      <c r="AE1773">
        <v>-7.8703000000000403</v>
      </c>
      <c r="AF1773">
        <v>-10.056644561737301</v>
      </c>
      <c r="AG1773">
        <v>3.5942460000000001</v>
      </c>
      <c r="AH1773">
        <v>284.177713103467</v>
      </c>
      <c r="AI1773">
        <v>89.275821688864298</v>
      </c>
      <c r="AJ1773">
        <v>92.026770246784807</v>
      </c>
      <c r="AK1773">
        <v>284.37831726217502</v>
      </c>
      <c r="AL1773">
        <v>78.584033536876206</v>
      </c>
      <c r="AM1773">
        <v>95.161592017608797</v>
      </c>
      <c r="AN1773">
        <v>0.99999998851670102</v>
      </c>
    </row>
    <row r="1774" spans="1:40" x14ac:dyDescent="0.25">
      <c r="A1774" t="str">
        <f>"20190304155051204"</f>
        <v>20190304155051204</v>
      </c>
      <c r="B1774" t="str">
        <f>"1551685851197992"</f>
        <v>1551685851197992</v>
      </c>
      <c r="C1774" t="s">
        <v>40</v>
      </c>
      <c r="D1774">
        <v>4.988073</v>
      </c>
      <c r="E1774">
        <v>0.51682220000000001</v>
      </c>
      <c r="F1774" t="s">
        <v>75</v>
      </c>
      <c r="G1774">
        <v>-511.96010000000001</v>
      </c>
      <c r="H1774">
        <v>4.6362459999999999</v>
      </c>
      <c r="I1774">
        <v>276.47919999999999</v>
      </c>
      <c r="J1774">
        <v>-227.917</v>
      </c>
      <c r="K1774">
        <v>1.109891</v>
      </c>
      <c r="L1774">
        <v>284.5455</v>
      </c>
      <c r="M1774">
        <v>-0.99991229999999998</v>
      </c>
      <c r="N1774">
        <v>-1.0260760000000001E-2</v>
      </c>
      <c r="O1774">
        <v>8.3782579999999995E-3</v>
      </c>
      <c r="P1774">
        <v>-0.97901559999999999</v>
      </c>
      <c r="Q1774">
        <v>0.18696450000000001</v>
      </c>
      <c r="R1774">
        <v>-8.1071550000000006E-2</v>
      </c>
      <c r="S1774">
        <v>-3.0502929999999999</v>
      </c>
      <c r="T1774">
        <v>3.7836910000000001E-2</v>
      </c>
      <c r="U1774">
        <v>-8.6517330000000003E-2</v>
      </c>
      <c r="V1774">
        <v>-8.9074349999999997E-2</v>
      </c>
      <c r="W1774">
        <v>0.1970826</v>
      </c>
      <c r="X1774">
        <v>0.97633199999999998</v>
      </c>
      <c r="Y1774">
        <v>-3.672392E-2</v>
      </c>
      <c r="Z1774">
        <v>2.2911040000000001E-4</v>
      </c>
      <c r="AA1774">
        <v>0.99932540000000003</v>
      </c>
      <c r="AB1774">
        <v>24</v>
      </c>
      <c r="AC1774">
        <v>-284.04309999999998</v>
      </c>
      <c r="AD1774">
        <v>3.5263550000000001</v>
      </c>
      <c r="AE1774">
        <v>-8.0663000000000107</v>
      </c>
      <c r="AF1774">
        <v>-10.444319943045301</v>
      </c>
      <c r="AG1774">
        <v>3.5263550000000001</v>
      </c>
      <c r="AH1774">
        <v>283.92181920221799</v>
      </c>
      <c r="AI1774">
        <v>89.288894645519207</v>
      </c>
      <c r="AJ1774">
        <v>92.106726941533694</v>
      </c>
      <c r="AK1774">
        <v>284.135739423529</v>
      </c>
      <c r="AL1774">
        <v>78.633590763926094</v>
      </c>
      <c r="AM1774">
        <v>95.212872857619701</v>
      </c>
      <c r="AN1774">
        <v>0.99999998263734102</v>
      </c>
    </row>
    <row r="1775" spans="1:40" x14ac:dyDescent="0.25">
      <c r="A1775" t="str">
        <f>"20190304155051228"</f>
        <v>20190304155051228</v>
      </c>
      <c r="B1775" t="str">
        <f>"1551685851218488"</f>
        <v>1551685851218488</v>
      </c>
      <c r="C1775" t="s">
        <v>40</v>
      </c>
      <c r="D1775">
        <v>4.994885</v>
      </c>
      <c r="E1775">
        <v>0.51651749999999996</v>
      </c>
      <c r="F1775" t="s">
        <v>75</v>
      </c>
      <c r="G1775">
        <v>-511.96010000000001</v>
      </c>
      <c r="H1775">
        <v>4.4209870000000002</v>
      </c>
      <c r="I1775">
        <v>276.25839999999999</v>
      </c>
      <c r="J1775">
        <v>-228.1635</v>
      </c>
      <c r="K1775">
        <v>1.1099190000000001</v>
      </c>
      <c r="L1775">
        <v>284.54829999999998</v>
      </c>
      <c r="M1775">
        <v>-0.99990820000000002</v>
      </c>
      <c r="N1775">
        <v>-1.013768E-2</v>
      </c>
      <c r="O1775">
        <v>8.9962480000000001E-3</v>
      </c>
      <c r="P1775">
        <v>-0.97906170000000003</v>
      </c>
      <c r="Q1775">
        <v>0.18658710000000001</v>
      </c>
      <c r="R1775">
        <v>-8.1386600000000003E-2</v>
      </c>
      <c r="S1775">
        <v>-3.0501559999999999</v>
      </c>
      <c r="T1775">
        <v>3.5556549999999999E-2</v>
      </c>
      <c r="U1775">
        <v>-8.8989260000000001E-2</v>
      </c>
      <c r="V1775">
        <v>-9.0012889999999998E-2</v>
      </c>
      <c r="W1775">
        <v>0.1965768</v>
      </c>
      <c r="X1775">
        <v>0.97634790000000005</v>
      </c>
      <c r="Y1775">
        <v>-3.8152140000000001E-2</v>
      </c>
      <c r="Z1775">
        <v>2.24911E-4</v>
      </c>
      <c r="AA1775">
        <v>0.99927189999999999</v>
      </c>
      <c r="AB1775">
        <v>24</v>
      </c>
      <c r="AC1775">
        <v>-283.79660000000001</v>
      </c>
      <c r="AD1775">
        <v>3.3110680000000001</v>
      </c>
      <c r="AE1775">
        <v>-8.2898999999999798</v>
      </c>
      <c r="AF1775">
        <v>-10.841325689896699</v>
      </c>
      <c r="AG1775">
        <v>3.3110680000000001</v>
      </c>
      <c r="AH1775">
        <v>283.67195208646501</v>
      </c>
      <c r="AI1775">
        <v>89.331751937864993</v>
      </c>
      <c r="AJ1775">
        <v>92.188655039360398</v>
      </c>
      <c r="AK1775">
        <v>283.898351376969</v>
      </c>
      <c r="AL1775">
        <v>78.663149288765197</v>
      </c>
      <c r="AM1775">
        <v>95.267406095579602</v>
      </c>
      <c r="AN1775">
        <v>0.99999999024940101</v>
      </c>
    </row>
    <row r="1776" spans="1:40" x14ac:dyDescent="0.25">
      <c r="A1776" t="str">
        <f>"20190304155051248"</f>
        <v>20190304155051248</v>
      </c>
      <c r="B1776" t="str">
        <f>"1551685851238011"</f>
        <v>1551685851238011</v>
      </c>
      <c r="C1776" t="s">
        <v>40</v>
      </c>
      <c r="D1776">
        <v>4.9950970000000003</v>
      </c>
      <c r="E1776">
        <v>0.51628430000000003</v>
      </c>
      <c r="F1776" t="s">
        <v>75</v>
      </c>
      <c r="G1776">
        <v>-511.96010000000001</v>
      </c>
      <c r="H1776">
        <v>4.2828580000000001</v>
      </c>
      <c r="I1776">
        <v>275.96980000000002</v>
      </c>
      <c r="J1776">
        <v>-228.38720000000001</v>
      </c>
      <c r="K1776">
        <v>1.1099380000000001</v>
      </c>
      <c r="L1776">
        <v>284.55090000000001</v>
      </c>
      <c r="M1776">
        <v>-0.99990449999999997</v>
      </c>
      <c r="N1776">
        <v>-1.0036130000000001E-2</v>
      </c>
      <c r="O1776">
        <v>9.5024440000000005E-3</v>
      </c>
      <c r="P1776">
        <v>-0.97906079999999995</v>
      </c>
      <c r="Q1776">
        <v>0.1863766</v>
      </c>
      <c r="R1776">
        <v>-8.1878220000000002E-2</v>
      </c>
      <c r="S1776">
        <v>-3.0500029999999998</v>
      </c>
      <c r="T1776">
        <v>3.4100890000000002E-2</v>
      </c>
      <c r="U1776">
        <v>-9.2193600000000001E-2</v>
      </c>
      <c r="V1776">
        <v>-9.1015460000000006E-2</v>
      </c>
      <c r="W1776">
        <v>0.1962602</v>
      </c>
      <c r="X1776">
        <v>0.97631869999999998</v>
      </c>
      <c r="Y1776">
        <v>-3.9708420000000001E-2</v>
      </c>
      <c r="Z1776">
        <v>2.2417260000000001E-4</v>
      </c>
      <c r="AA1776">
        <v>0.99921130000000002</v>
      </c>
      <c r="AB1776">
        <v>24</v>
      </c>
      <c r="AC1776">
        <v>-283.5729</v>
      </c>
      <c r="AD1776">
        <v>3.17292</v>
      </c>
      <c r="AE1776">
        <v>-8.5810999999999904</v>
      </c>
      <c r="AF1776">
        <v>-11.274073638430901</v>
      </c>
      <c r="AG1776">
        <v>3.17292</v>
      </c>
      <c r="AH1776">
        <v>283.443096740177</v>
      </c>
      <c r="AI1776">
        <v>89.3591528083128</v>
      </c>
      <c r="AJ1776">
        <v>92.277764090333804</v>
      </c>
      <c r="AK1776">
        <v>283.68496831413597</v>
      </c>
      <c r="AL1776">
        <v>78.681650108031704</v>
      </c>
      <c r="AM1776">
        <v>95.325897700714194</v>
      </c>
      <c r="AN1776">
        <v>1.0000000420163699</v>
      </c>
    </row>
    <row r="1777" spans="1:40" x14ac:dyDescent="0.25">
      <c r="A1777" t="str">
        <f>"20190304155051270"</f>
        <v>20190304155051270</v>
      </c>
      <c r="B1777" t="str">
        <f>"1551685851258507"</f>
        <v>1551685851258507</v>
      </c>
      <c r="C1777" t="s">
        <v>40</v>
      </c>
      <c r="D1777">
        <v>4.9944410000000001</v>
      </c>
      <c r="E1777">
        <v>0.51637549999999999</v>
      </c>
      <c r="F1777" t="s">
        <v>75</v>
      </c>
      <c r="G1777">
        <v>-511.96</v>
      </c>
      <c r="H1777">
        <v>4.2134859999999996</v>
      </c>
      <c r="I1777">
        <v>275.66079999999999</v>
      </c>
      <c r="J1777">
        <v>-228.6217</v>
      </c>
      <c r="K1777">
        <v>1.1099570000000001</v>
      </c>
      <c r="L1777">
        <v>284.55360000000002</v>
      </c>
      <c r="M1777">
        <v>-0.99990080000000003</v>
      </c>
      <c r="N1777">
        <v>-9.9419290000000004E-3</v>
      </c>
      <c r="O1777">
        <v>9.9832970000000004E-3</v>
      </c>
      <c r="P1777">
        <v>-0.97917989999999999</v>
      </c>
      <c r="Q1777">
        <v>0.1856189</v>
      </c>
      <c r="R1777">
        <v>-8.2172590000000004E-2</v>
      </c>
      <c r="S1777">
        <v>-3.0498050000000001</v>
      </c>
      <c r="T1777">
        <v>3.3379199999999998E-2</v>
      </c>
      <c r="U1777">
        <v>-9.5611570000000007E-2</v>
      </c>
      <c r="V1777">
        <v>-9.1796779999999994E-2</v>
      </c>
      <c r="W1777">
        <v>0.19540540000000001</v>
      </c>
      <c r="X1777">
        <v>0.97641690000000003</v>
      </c>
      <c r="Y1777">
        <v>-4.1309600000000002E-2</v>
      </c>
      <c r="Z1777">
        <v>2.290537E-4</v>
      </c>
      <c r="AA1777">
        <v>0.99914630000000004</v>
      </c>
      <c r="AB1777">
        <v>24</v>
      </c>
      <c r="AC1777">
        <v>-283.3383</v>
      </c>
      <c r="AD1777">
        <v>3.103529</v>
      </c>
      <c r="AE1777">
        <v>-8.8928000000000207</v>
      </c>
      <c r="AF1777">
        <v>-11.7197421021748</v>
      </c>
      <c r="AG1777">
        <v>3.103529</v>
      </c>
      <c r="AH1777">
        <v>283.20145031789002</v>
      </c>
      <c r="AI1777">
        <v>89.372672893834107</v>
      </c>
      <c r="AJ1777">
        <v>92.369722433724206</v>
      </c>
      <c r="AK1777">
        <v>283.46083628845798</v>
      </c>
      <c r="AL1777">
        <v>78.731592425925697</v>
      </c>
      <c r="AM1777">
        <v>95.370814412292304</v>
      </c>
      <c r="AN1777">
        <v>0.99999994088656696</v>
      </c>
    </row>
    <row r="1778" spans="1:40" x14ac:dyDescent="0.25">
      <c r="A1778" t="str">
        <f>"20190304155051293"</f>
        <v>20190304155051293</v>
      </c>
      <c r="B1778" t="str">
        <f>"1551685851288760"</f>
        <v>1551685851288760</v>
      </c>
      <c r="C1778" t="s">
        <v>40</v>
      </c>
      <c r="D1778">
        <v>4.9101549999999996</v>
      </c>
      <c r="E1778">
        <v>0.53140050000000005</v>
      </c>
      <c r="F1778" t="s">
        <v>75</v>
      </c>
      <c r="G1778">
        <v>-511.9599</v>
      </c>
      <c r="H1778">
        <v>3.9092509999999998</v>
      </c>
      <c r="I1778">
        <v>275.65179999999998</v>
      </c>
      <c r="J1778">
        <v>-228.86879999999999</v>
      </c>
      <c r="K1778">
        <v>1.10997099999999</v>
      </c>
      <c r="L1778">
        <v>284.5566</v>
      </c>
      <c r="M1778">
        <v>-0.99989689999999998</v>
      </c>
      <c r="N1778">
        <v>-9.8560729999999999E-3</v>
      </c>
      <c r="O1778">
        <v>1.044868E-2</v>
      </c>
      <c r="P1778">
        <v>-0.97929509999999997</v>
      </c>
      <c r="Q1778">
        <v>0.18489359999999999</v>
      </c>
      <c r="R1778">
        <v>-8.2435410000000001E-2</v>
      </c>
      <c r="S1778">
        <v>-3.0500340000000001</v>
      </c>
      <c r="T1778">
        <v>3.01342E-2</v>
      </c>
      <c r="U1778">
        <v>-9.5825199999999999E-2</v>
      </c>
      <c r="V1778">
        <v>-9.2528089999999993E-2</v>
      </c>
      <c r="W1778">
        <v>0.19459209999999999</v>
      </c>
      <c r="X1778">
        <v>0.97651030000000005</v>
      </c>
      <c r="Y1778">
        <v>-4.1842539999999998E-2</v>
      </c>
      <c r="Z1778">
        <v>2.0654749999999999E-4</v>
      </c>
      <c r="AA1778">
        <v>0.99912420000000002</v>
      </c>
      <c r="AB1778">
        <v>24</v>
      </c>
      <c r="AC1778">
        <v>-283.09109999999998</v>
      </c>
      <c r="AD1778">
        <v>2.79928</v>
      </c>
      <c r="AE1778">
        <v>-8.9048000000000194</v>
      </c>
      <c r="AF1778">
        <v>-11.861227037018001</v>
      </c>
      <c r="AG1778">
        <v>2.79928</v>
      </c>
      <c r="AH1778">
        <v>282.95495757164099</v>
      </c>
      <c r="AI1778">
        <v>89.433687322408304</v>
      </c>
      <c r="AJ1778">
        <v>92.400384172708499</v>
      </c>
      <c r="AK1778">
        <v>283.21728882557898</v>
      </c>
      <c r="AL1778">
        <v>78.779103224304905</v>
      </c>
      <c r="AM1778">
        <v>95.412833771615993</v>
      </c>
      <c r="AN1778">
        <v>0.99999994941377202</v>
      </c>
    </row>
    <row r="1779" spans="1:40" x14ac:dyDescent="0.25">
      <c r="A1779" t="str">
        <f>"20190304155051316"</f>
        <v>20190304155051316</v>
      </c>
      <c r="B1779" t="str">
        <f>"1551685851308280"</f>
        <v>1551685851308280</v>
      </c>
      <c r="C1779" t="s">
        <v>40</v>
      </c>
      <c r="D1779">
        <v>5.0323539999999998</v>
      </c>
      <c r="E1779">
        <v>0.53224159999999998</v>
      </c>
      <c r="F1779" t="s">
        <v>72</v>
      </c>
      <c r="G1779">
        <v>-412.42770000000002</v>
      </c>
      <c r="H1779" s="1">
        <v>2.5085330000000001E-6</v>
      </c>
      <c r="I1779">
        <v>286.07889999999998</v>
      </c>
      <c r="J1779">
        <v>-229.1103</v>
      </c>
      <c r="K1779">
        <v>1.109979</v>
      </c>
      <c r="L1779">
        <v>284.55970000000002</v>
      </c>
      <c r="M1779">
        <v>-0.99989309999999998</v>
      </c>
      <c r="N1779">
        <v>-9.7835700000000001E-3</v>
      </c>
      <c r="O1779">
        <v>1.0871540000000001E-2</v>
      </c>
      <c r="P1779">
        <v>-0.9792421</v>
      </c>
      <c r="Q1779">
        <v>0.18503749999999999</v>
      </c>
      <c r="R1779">
        <v>-8.2742769999999993E-2</v>
      </c>
      <c r="S1779">
        <v>-3.0690770000000001</v>
      </c>
      <c r="T1779">
        <v>-1.8558499999999999E-2</v>
      </c>
      <c r="U1779">
        <v>2.5451660000000001E-2</v>
      </c>
      <c r="V1779">
        <v>-9.325688E-2</v>
      </c>
      <c r="W1779">
        <v>0.1946609</v>
      </c>
      <c r="X1779">
        <v>0.9764273</v>
      </c>
      <c r="Y1779">
        <v>-2.5793230000000001E-3</v>
      </c>
      <c r="Z1779" s="1">
        <v>2.021391E-5</v>
      </c>
      <c r="AA1779">
        <v>0.99999669999999896</v>
      </c>
      <c r="AB1779">
        <v>24</v>
      </c>
      <c r="AC1779">
        <v>-183.31739999999999</v>
      </c>
      <c r="AD1779">
        <v>-1.1099764914669901</v>
      </c>
      <c r="AE1779">
        <v>1.5191999999999499</v>
      </c>
      <c r="AF1779">
        <v>-0.47391012966208301</v>
      </c>
      <c r="AG1779">
        <v>-1.1099764914669901</v>
      </c>
      <c r="AH1779">
        <v>183.31636195511601</v>
      </c>
      <c r="AI1779">
        <v>90.346919270795098</v>
      </c>
      <c r="AJ1779">
        <v>90.148120928859299</v>
      </c>
      <c r="AK1779">
        <v>183.32033493063901</v>
      </c>
      <c r="AL1779">
        <v>78.775084908010797</v>
      </c>
      <c r="AM1779">
        <v>95.455672239976593</v>
      </c>
      <c r="AN1779">
        <v>0.99999999192071698</v>
      </c>
    </row>
    <row r="1780" spans="1:40" x14ac:dyDescent="0.25">
      <c r="A1780" t="str">
        <f>"20190304155051338"</f>
        <v>20190304155051338</v>
      </c>
      <c r="B1780" t="str">
        <f>"1551685851328776"</f>
        <v>1551685851328776</v>
      </c>
      <c r="C1780" t="s">
        <v>40</v>
      </c>
      <c r="D1780">
        <v>5.1032919999999997</v>
      </c>
      <c r="E1780">
        <v>0.53154590000000002</v>
      </c>
      <c r="F1780" t="s">
        <v>52</v>
      </c>
      <c r="G1780">
        <v>-650.47199999999998</v>
      </c>
      <c r="H1780">
        <v>-0.1</v>
      </c>
      <c r="I1780">
        <v>288.86430000000001</v>
      </c>
      <c r="J1780">
        <v>-229.36179999999999</v>
      </c>
      <c r="K1780">
        <v>1.1099920000000001</v>
      </c>
      <c r="L1780">
        <v>284.56290000000001</v>
      </c>
      <c r="M1780">
        <v>-0.99988909999999998</v>
      </c>
      <c r="N1780">
        <v>-9.7181160000000006E-3</v>
      </c>
      <c r="O1780">
        <v>1.1286849999999999E-2</v>
      </c>
      <c r="P1780">
        <v>-0.97915260000000004</v>
      </c>
      <c r="Q1780">
        <v>0.1855907</v>
      </c>
      <c r="R1780">
        <v>-8.2563449999999997E-2</v>
      </c>
      <c r="S1780">
        <v>-3.067917</v>
      </c>
      <c r="T1780">
        <v>-8.8098050000000004E-3</v>
      </c>
      <c r="U1780">
        <v>3.1341550000000003E-2</v>
      </c>
      <c r="V1780">
        <v>-9.3487929999999997E-2</v>
      </c>
      <c r="W1780">
        <v>0.19514680000000001</v>
      </c>
      <c r="X1780">
        <v>0.97630819999999996</v>
      </c>
      <c r="Y1780">
        <v>-1.0717890000000001E-3</v>
      </c>
      <c r="Z1780" s="1">
        <v>7.05342E-5</v>
      </c>
      <c r="AA1780">
        <v>0.99999939999999998</v>
      </c>
      <c r="AB1780">
        <v>24</v>
      </c>
      <c r="AC1780">
        <v>-421.11020000000002</v>
      </c>
      <c r="AD1780">
        <v>-1.209992</v>
      </c>
      <c r="AE1780">
        <v>4.3014000000000001</v>
      </c>
      <c r="AF1780">
        <v>-0.45210229264427798</v>
      </c>
      <c r="AG1780">
        <v>-1.209992</v>
      </c>
      <c r="AH1780">
        <v>421.12844841508303</v>
      </c>
      <c r="AI1780">
        <v>90.1646224670462</v>
      </c>
      <c r="AJ1780">
        <v>90.061509839629295</v>
      </c>
      <c r="AK1780">
        <v>421.13042937030599</v>
      </c>
      <c r="AL1780">
        <v>78.746700452536999</v>
      </c>
      <c r="AM1780">
        <v>95.469770299697501</v>
      </c>
      <c r="AN1780">
        <v>0.99999998399658196</v>
      </c>
    </row>
    <row r="1781" spans="1:40" x14ac:dyDescent="0.25">
      <c r="A1781" t="str">
        <f>"20190304155051360"</f>
        <v>20190304155051360</v>
      </c>
      <c r="B1781" t="str">
        <f>"1551685851348804"</f>
        <v>1551685851348804</v>
      </c>
      <c r="C1781" t="s">
        <v>40</v>
      </c>
      <c r="D1781">
        <v>5.072495</v>
      </c>
      <c r="E1781">
        <v>0.53007069999999901</v>
      </c>
      <c r="F1781" t="s">
        <v>52</v>
      </c>
      <c r="G1781">
        <v>-624.69849999999997</v>
      </c>
      <c r="H1781">
        <v>-0.1</v>
      </c>
      <c r="I1781">
        <v>287.96449999999999</v>
      </c>
      <c r="J1781">
        <v>-229.59219999999999</v>
      </c>
      <c r="K1781">
        <v>1.109996</v>
      </c>
      <c r="L1781">
        <v>284.5659</v>
      </c>
      <c r="M1781">
        <v>-0.99988549999999998</v>
      </c>
      <c r="N1781">
        <v>-9.6661219999999992E-3</v>
      </c>
      <c r="O1781">
        <v>1.165221E-2</v>
      </c>
      <c r="P1781">
        <v>-0.97898010000000002</v>
      </c>
      <c r="Q1781">
        <v>0.18642909999999999</v>
      </c>
      <c r="R1781">
        <v>-8.2720589999999997E-2</v>
      </c>
      <c r="S1781">
        <v>-3.0678860000000001</v>
      </c>
      <c r="T1781">
        <v>-9.3897579999999998E-3</v>
      </c>
      <c r="U1781">
        <v>2.6397710000000001E-2</v>
      </c>
      <c r="V1781">
        <v>-9.400269E-2</v>
      </c>
      <c r="W1781">
        <v>0.19593099999999999</v>
      </c>
      <c r="X1781">
        <v>0.97610169999999996</v>
      </c>
      <c r="Y1781">
        <v>-3.0483900000000002E-3</v>
      </c>
      <c r="Z1781" s="1">
        <v>5.757573E-5</v>
      </c>
      <c r="AA1781">
        <v>0.99999539999999998</v>
      </c>
      <c r="AB1781">
        <v>24</v>
      </c>
      <c r="AC1781">
        <v>-395.10629999999998</v>
      </c>
      <c r="AD1781">
        <v>-1.2099959999999901</v>
      </c>
      <c r="AE1781">
        <v>3.3985999999999801</v>
      </c>
      <c r="AF1781">
        <v>-1.2056956076957801</v>
      </c>
      <c r="AG1781">
        <v>-1.2099959999999901</v>
      </c>
      <c r="AH1781">
        <v>395.11537168313401</v>
      </c>
      <c r="AI1781">
        <v>90.175460459150401</v>
      </c>
      <c r="AJ1781">
        <v>90.174837680915104</v>
      </c>
      <c r="AK1781">
        <v>395.11906399529698</v>
      </c>
      <c r="AL1781">
        <v>78.700884802826593</v>
      </c>
      <c r="AM1781">
        <v>95.500859963967798</v>
      </c>
      <c r="AN1781">
        <v>0.99999999561556296</v>
      </c>
    </row>
    <row r="1782" spans="1:40" x14ac:dyDescent="0.25">
      <c r="A1782" t="str">
        <f>"20190304155051381"</f>
        <v>20190304155051381</v>
      </c>
      <c r="B1782" t="str">
        <f>"1551685851378084"</f>
        <v>1551685851378084</v>
      </c>
      <c r="C1782" t="s">
        <v>40</v>
      </c>
      <c r="D1782">
        <v>4.9576589999999996</v>
      </c>
      <c r="E1782">
        <v>0.5299085</v>
      </c>
      <c r="F1782" t="s">
        <v>70</v>
      </c>
      <c r="G1782">
        <v>-447.81909999999999</v>
      </c>
      <c r="H1782" s="1">
        <v>2.5800720000000002E-6</v>
      </c>
      <c r="I1782">
        <v>285.625</v>
      </c>
      <c r="J1782">
        <v>-229.8296</v>
      </c>
      <c r="K1782">
        <v>1.1100030000000001</v>
      </c>
      <c r="L1782">
        <v>284.56909999999999</v>
      </c>
      <c r="M1782">
        <v>-0.99988160000000004</v>
      </c>
      <c r="N1782">
        <v>-9.6197869999999994E-3</v>
      </c>
      <c r="O1782">
        <v>1.2022120000000001E-2</v>
      </c>
      <c r="P1782">
        <v>-0.97884450000000001</v>
      </c>
      <c r="Q1782">
        <v>0.18706210000000001</v>
      </c>
      <c r="R1782">
        <v>-8.2894999999999996E-2</v>
      </c>
      <c r="S1782">
        <v>-3.0686490000000002</v>
      </c>
      <c r="T1782">
        <v>-1.560843E-2</v>
      </c>
      <c r="U1782">
        <v>1.4892580000000001E-2</v>
      </c>
      <c r="V1782">
        <v>-9.4538289999999997E-2</v>
      </c>
      <c r="W1782">
        <v>0.19651689999999999</v>
      </c>
      <c r="X1782">
        <v>0.97593220000000003</v>
      </c>
      <c r="Y1782">
        <v>-7.1694100000000002E-3</v>
      </c>
      <c r="Z1782" s="1">
        <v>1.789777E-6</v>
      </c>
      <c r="AA1782">
        <v>0.99997429999999998</v>
      </c>
      <c r="AB1782">
        <v>24</v>
      </c>
      <c r="AC1782">
        <v>-217.98949999999999</v>
      </c>
      <c r="AD1782">
        <v>-1.110000419928</v>
      </c>
      <c r="AE1782">
        <v>1.0559000000000001</v>
      </c>
      <c r="AF1782">
        <v>-1.5649525611728601</v>
      </c>
      <c r="AG1782">
        <v>-1.110000419928</v>
      </c>
      <c r="AH1782">
        <v>217.980787805967</v>
      </c>
      <c r="AI1782">
        <v>90.2917511738206</v>
      </c>
      <c r="AJ1782">
        <v>90.411337335365602</v>
      </c>
      <c r="AK1782">
        <v>217.98923145412701</v>
      </c>
      <c r="AL1782">
        <v>78.666649918561205</v>
      </c>
      <c r="AM1782">
        <v>95.532963224166096</v>
      </c>
      <c r="AN1782">
        <v>1.00000001962928</v>
      </c>
    </row>
    <row r="1783" spans="1:40" x14ac:dyDescent="0.25">
      <c r="A1783" t="str">
        <f>"20190304155051406"</f>
        <v>20190304155051406</v>
      </c>
      <c r="B1783" t="str">
        <f>"1551685851398581"</f>
        <v>1551685851398581</v>
      </c>
      <c r="C1783" t="s">
        <v>40</v>
      </c>
      <c r="D1783">
        <v>5.0336650000000001</v>
      </c>
      <c r="E1783">
        <v>0.53044969999999902</v>
      </c>
      <c r="F1783" t="s">
        <v>42</v>
      </c>
      <c r="G1783">
        <v>-558.67769999999996</v>
      </c>
      <c r="H1783">
        <v>-0.05</v>
      </c>
      <c r="I1783">
        <v>286.0378</v>
      </c>
      <c r="J1783">
        <v>-230.08330000000001</v>
      </c>
      <c r="K1783">
        <v>1.110009</v>
      </c>
      <c r="L1783">
        <v>284.57260000000002</v>
      </c>
      <c r="M1783">
        <v>-0.99987700000000002</v>
      </c>
      <c r="N1783">
        <v>-9.5774099999999997E-3</v>
      </c>
      <c r="O1783">
        <v>1.241719E-2</v>
      </c>
      <c r="P1783">
        <v>-0.97867110000000002</v>
      </c>
      <c r="Q1783">
        <v>0.18793789999999999</v>
      </c>
      <c r="R1783">
        <v>-8.2959699999999997E-2</v>
      </c>
      <c r="S1783">
        <v>-3.0680689999999999</v>
      </c>
      <c r="T1783">
        <v>-1.082253E-2</v>
      </c>
      <c r="U1783">
        <v>1.370239E-2</v>
      </c>
      <c r="V1783">
        <v>-9.4986020000000004E-2</v>
      </c>
      <c r="W1783">
        <v>0.19734950000000001</v>
      </c>
      <c r="X1783">
        <v>0.97572060000000005</v>
      </c>
      <c r="Y1783">
        <v>-7.951484E-3</v>
      </c>
      <c r="Z1783" s="1">
        <v>2.3027570000000001E-5</v>
      </c>
      <c r="AA1783">
        <v>0.99996839999999998</v>
      </c>
      <c r="AB1783">
        <v>24</v>
      </c>
      <c r="AC1783">
        <v>-328.59439999999898</v>
      </c>
      <c r="AD1783">
        <v>-1.1600090000000001</v>
      </c>
      <c r="AE1783">
        <v>1.4651999999999801</v>
      </c>
      <c r="AF1783">
        <v>-2.61528676882345</v>
      </c>
      <c r="AG1783">
        <v>-1.1600090000000001</v>
      </c>
      <c r="AH1783">
        <v>328.58316391145701</v>
      </c>
      <c r="AI1783">
        <v>90.202266110881396</v>
      </c>
      <c r="AJ1783">
        <v>90.456023760230593</v>
      </c>
      <c r="AK1783">
        <v>328.595619191472</v>
      </c>
      <c r="AL1783">
        <v>78.617991548049304</v>
      </c>
      <c r="AM1783">
        <v>95.560201390090697</v>
      </c>
      <c r="AN1783">
        <v>0.99999992920502201</v>
      </c>
    </row>
    <row r="1784" spans="1:40" x14ac:dyDescent="0.25">
      <c r="A1784" t="str">
        <f>"20190304155051429"</f>
        <v>20190304155051429</v>
      </c>
      <c r="B1784" t="str">
        <f>"1551685851418100"</f>
        <v>1551685851418100</v>
      </c>
      <c r="C1784" t="s">
        <v>40</v>
      </c>
      <c r="D1784">
        <v>5.0276040000000002</v>
      </c>
      <c r="E1784">
        <v>0.53062759999999998</v>
      </c>
      <c r="F1784" t="s">
        <v>52</v>
      </c>
      <c r="G1784">
        <v>-1042.527</v>
      </c>
      <c r="H1784">
        <v>-0.1</v>
      </c>
      <c r="I1784">
        <v>289.17129999999997</v>
      </c>
      <c r="J1784">
        <v>-230.34110000000001</v>
      </c>
      <c r="K1784">
        <v>1.1100049999999999</v>
      </c>
      <c r="L1784">
        <v>284.57619999999997</v>
      </c>
      <c r="M1784">
        <v>-0.99987230000000005</v>
      </c>
      <c r="N1784">
        <v>-9.5411119999999992E-3</v>
      </c>
      <c r="O1784">
        <v>1.282025E-2</v>
      </c>
      <c r="P1784">
        <v>-0.9785585</v>
      </c>
      <c r="Q1784">
        <v>0.1885116</v>
      </c>
      <c r="R1784">
        <v>-8.2986000000000004E-2</v>
      </c>
      <c r="S1784">
        <v>-3.0677490000000001</v>
      </c>
      <c r="T1784">
        <v>-4.5689340000000002E-3</v>
      </c>
      <c r="U1784">
        <v>1.7364500000000001E-2</v>
      </c>
      <c r="V1784">
        <v>-9.5403500000000002E-2</v>
      </c>
      <c r="W1784">
        <v>0.19788749999999999</v>
      </c>
      <c r="X1784">
        <v>0.97557099999999997</v>
      </c>
      <c r="Y1784">
        <v>-7.1603680000000003E-3</v>
      </c>
      <c r="Z1784" s="1">
        <v>6.3739999999999996E-5</v>
      </c>
      <c r="AA1784">
        <v>0.99997440000000004</v>
      </c>
      <c r="AB1784">
        <v>24</v>
      </c>
      <c r="AC1784">
        <v>-812.18589999999995</v>
      </c>
      <c r="AD1784">
        <v>-1.210005</v>
      </c>
      <c r="AE1784">
        <v>4.5951000000000004</v>
      </c>
      <c r="AF1784">
        <v>-5.8181649710003898</v>
      </c>
      <c r="AG1784">
        <v>-1.210005</v>
      </c>
      <c r="AH1784">
        <v>812.17625663690603</v>
      </c>
      <c r="AI1784">
        <v>90.085358749413302</v>
      </c>
      <c r="AJ1784">
        <v>90.410441197196704</v>
      </c>
      <c r="AK1784">
        <v>812.19799741224904</v>
      </c>
      <c r="AL1784">
        <v>78.586547487614197</v>
      </c>
      <c r="AM1784">
        <v>95.585336237164398</v>
      </c>
      <c r="AN1784">
        <v>1.0000000332547401</v>
      </c>
    </row>
    <row r="1785" spans="1:40" x14ac:dyDescent="0.25">
      <c r="A1785" t="str">
        <f>"20190304155051449"</f>
        <v>20190304155051449</v>
      </c>
      <c r="B1785" t="str">
        <f>"1551685851438596"</f>
        <v>1551685851438596</v>
      </c>
      <c r="C1785" t="s">
        <v>40</v>
      </c>
      <c r="D1785">
        <v>5.0273479999999999</v>
      </c>
      <c r="E1785">
        <v>0.53036989999999995</v>
      </c>
      <c r="F1785" t="s">
        <v>53</v>
      </c>
      <c r="G1785">
        <v>0</v>
      </c>
      <c r="H1785">
        <v>0</v>
      </c>
      <c r="I1785">
        <v>0</v>
      </c>
      <c r="J1785">
        <v>-230.5702</v>
      </c>
      <c r="K1785">
        <v>1.1099889999999999</v>
      </c>
      <c r="L1785">
        <v>284.57960000000003</v>
      </c>
      <c r="M1785">
        <v>-0.99986790000000003</v>
      </c>
      <c r="N1785">
        <v>-9.5139479999999995E-3</v>
      </c>
      <c r="O1785">
        <v>1.318268E-2</v>
      </c>
      <c r="P1785">
        <v>-0.97841520000000004</v>
      </c>
      <c r="Q1785">
        <v>0.1892633</v>
      </c>
      <c r="R1785">
        <v>-8.2967429999999995E-2</v>
      </c>
      <c r="S1785">
        <v>-3.0671840000000001</v>
      </c>
      <c r="T1785">
        <v>4.8387050000000002E-4</v>
      </c>
      <c r="U1785">
        <v>1.8280029999999999E-2</v>
      </c>
      <c r="V1785">
        <v>-9.5734810000000004E-2</v>
      </c>
      <c r="W1785">
        <v>0.19861190000000001</v>
      </c>
      <c r="X1785">
        <v>0.97539129999999996</v>
      </c>
      <c r="Y1785">
        <v>-7.2231800000000001E-3</v>
      </c>
      <c r="Z1785" s="1">
        <v>9.3712729999999997E-5</v>
      </c>
      <c r="AA1785">
        <v>0.99997389999999997</v>
      </c>
      <c r="AB1785">
        <v>24</v>
      </c>
      <c r="AC1785">
        <v>-3.0671840000000001</v>
      </c>
      <c r="AD1785">
        <v>4.8387050000000002E-4</v>
      </c>
      <c r="AE1785">
        <v>1.8280029999999999E-2</v>
      </c>
      <c r="AF1785">
        <v>-2.21570909312752E-2</v>
      </c>
      <c r="AG1785">
        <v>4.8387050000000002E-4</v>
      </c>
      <c r="AH1785">
        <v>3.0671583663731701</v>
      </c>
      <c r="AI1785">
        <v>89.990961336007501</v>
      </c>
      <c r="AJ1785">
        <v>90.413896369941298</v>
      </c>
      <c r="AK1785">
        <v>3.0672384346871602</v>
      </c>
      <c r="AL1785">
        <v>78.544201712541707</v>
      </c>
      <c r="AM1785">
        <v>95.605635267688001</v>
      </c>
      <c r="AN1785">
        <v>1.00000001439151</v>
      </c>
    </row>
    <row r="1786" spans="1:40" x14ac:dyDescent="0.25">
      <c r="A1786" t="str">
        <f>"20190304155051471"</f>
        <v>20190304155051471</v>
      </c>
      <c r="B1786" t="str">
        <f>"1551685851468384"</f>
        <v>1551685851468384</v>
      </c>
      <c r="C1786" t="s">
        <v>40</v>
      </c>
      <c r="D1786">
        <v>5.0899609999999997</v>
      </c>
      <c r="E1786">
        <v>0.53041439999999995</v>
      </c>
      <c r="F1786" t="s">
        <v>53</v>
      </c>
      <c r="G1786">
        <v>0</v>
      </c>
      <c r="H1786">
        <v>0</v>
      </c>
      <c r="I1786">
        <v>0</v>
      </c>
      <c r="J1786">
        <v>-230.80240000000001</v>
      </c>
      <c r="K1786">
        <v>1.109982</v>
      </c>
      <c r="L1786">
        <v>284.5831</v>
      </c>
      <c r="M1786">
        <v>-0.9998631</v>
      </c>
      <c r="N1786">
        <v>-9.4904770000000006E-3</v>
      </c>
      <c r="O1786">
        <v>1.355291E-2</v>
      </c>
      <c r="P1786">
        <v>-0.97852740000000005</v>
      </c>
      <c r="Q1786">
        <v>0.18871889999999999</v>
      </c>
      <c r="R1786">
        <v>-8.2880399999999896E-2</v>
      </c>
      <c r="S1786">
        <v>-3.0673370000000002</v>
      </c>
      <c r="T1786">
        <v>1.0796789999999901E-3</v>
      </c>
      <c r="U1786">
        <v>1.620483E-2</v>
      </c>
      <c r="V1786">
        <v>-9.6009269999999994E-2</v>
      </c>
      <c r="W1786">
        <v>0.1980469</v>
      </c>
      <c r="X1786">
        <v>0.97547919999999999</v>
      </c>
      <c r="Y1786">
        <v>-8.2702169999999998E-3</v>
      </c>
      <c r="Z1786" s="1">
        <v>9.5610169999999999E-5</v>
      </c>
      <c r="AA1786">
        <v>0.99996580000000002</v>
      </c>
      <c r="AB1786">
        <v>24</v>
      </c>
      <c r="AC1786">
        <v>-3.0673370000000002</v>
      </c>
      <c r="AD1786">
        <v>1.0796789999999901E-3</v>
      </c>
      <c r="AE1786">
        <v>1.620483E-2</v>
      </c>
      <c r="AF1786">
        <v>-2.5369870535839199E-2</v>
      </c>
      <c r="AG1786">
        <v>1.0796789999999901E-3</v>
      </c>
      <c r="AH1786">
        <v>3.0672745078229</v>
      </c>
      <c r="AI1786">
        <v>89.979832606663905</v>
      </c>
      <c r="AJ1786">
        <v>90.473890862603099</v>
      </c>
      <c r="AK1786">
        <v>3.0673796149772499</v>
      </c>
      <c r="AL1786">
        <v>78.577229892543301</v>
      </c>
      <c r="AM1786">
        <v>95.621099829251406</v>
      </c>
      <c r="AN1786">
        <v>1.00000001207909</v>
      </c>
    </row>
    <row r="1787" spans="1:40" x14ac:dyDescent="0.25">
      <c r="A1787" t="str">
        <f>"20190304155051494"</f>
        <v>20190304155051494</v>
      </c>
      <c r="B1787" t="str">
        <f>"1551685851488880"</f>
        <v>1551685851488880</v>
      </c>
      <c r="C1787" t="s">
        <v>40</v>
      </c>
      <c r="D1787">
        <v>5.0387449999999996</v>
      </c>
      <c r="E1787">
        <v>0.53069709999999903</v>
      </c>
      <c r="F1787" t="s">
        <v>53</v>
      </c>
      <c r="G1787">
        <v>0</v>
      </c>
      <c r="H1787">
        <v>0</v>
      </c>
      <c r="I1787">
        <v>0</v>
      </c>
      <c r="J1787">
        <v>-231.0592</v>
      </c>
      <c r="K1787">
        <v>1.1099730000000001</v>
      </c>
      <c r="L1787">
        <v>284.58699999999999</v>
      </c>
      <c r="M1787">
        <v>-0.99985769999999996</v>
      </c>
      <c r="N1787">
        <v>-9.4685199999999994E-3</v>
      </c>
      <c r="O1787">
        <v>1.396389E-2</v>
      </c>
      <c r="P1787">
        <v>-0.97849370000000002</v>
      </c>
      <c r="Q1787">
        <v>0.18895790000000001</v>
      </c>
      <c r="R1787">
        <v>-8.2735729999999993E-2</v>
      </c>
      <c r="S1787">
        <v>-3.0676570000000001</v>
      </c>
      <c r="T1787">
        <v>-1.8943549999999999E-3</v>
      </c>
      <c r="U1787">
        <v>1.7089839999999999E-2</v>
      </c>
      <c r="V1787">
        <v>-9.6263570000000007E-2</v>
      </c>
      <c r="W1787">
        <v>0.1982642</v>
      </c>
      <c r="X1787">
        <v>0.97541</v>
      </c>
      <c r="Y1787">
        <v>-8.3933859999999992E-3</v>
      </c>
      <c r="Z1787" s="1">
        <v>8.1272099999999997E-5</v>
      </c>
      <c r="AA1787">
        <v>0.99996479999999999</v>
      </c>
      <c r="AB1787">
        <v>24</v>
      </c>
      <c r="AC1787">
        <v>-3.0676570000000001</v>
      </c>
      <c r="AD1787">
        <v>-1.8943549999999999E-3</v>
      </c>
      <c r="AE1787">
        <v>1.7089839999999999E-2</v>
      </c>
      <c r="AF1787">
        <v>-2.5750160469394601E-2</v>
      </c>
      <c r="AG1787">
        <v>-1.8943549999999999E-3</v>
      </c>
      <c r="AH1787">
        <v>3.06759535864142</v>
      </c>
      <c r="AI1787">
        <v>90.035381038278501</v>
      </c>
      <c r="AJ1787">
        <v>90.480943766150105</v>
      </c>
      <c r="AK1787">
        <v>3.0677040182689499</v>
      </c>
      <c r="AL1787">
        <v>78.564527710276906</v>
      </c>
      <c r="AM1787">
        <v>95.636289985059904</v>
      </c>
      <c r="AN1787">
        <v>1.0000000180053901</v>
      </c>
    </row>
    <row r="1788" spans="1:40" x14ac:dyDescent="0.25">
      <c r="A1788" t="str">
        <f>"20190304155051516"</f>
        <v>20190304155051516</v>
      </c>
      <c r="B1788" t="str">
        <f>"1551685851508400"</f>
        <v>1551685851508400</v>
      </c>
      <c r="C1788" t="s">
        <v>40</v>
      </c>
      <c r="D1788">
        <v>5.1001180000000002</v>
      </c>
      <c r="E1788">
        <v>0.53099859999999999</v>
      </c>
      <c r="F1788" t="s">
        <v>53</v>
      </c>
      <c r="G1788">
        <v>0</v>
      </c>
      <c r="H1788">
        <v>0</v>
      </c>
      <c r="I1788">
        <v>0</v>
      </c>
      <c r="J1788">
        <v>-231.303</v>
      </c>
      <c r="K1788">
        <v>1.1099699999999999</v>
      </c>
      <c r="L1788">
        <v>284.59089999999998</v>
      </c>
      <c r="M1788">
        <v>-0.99985219999999997</v>
      </c>
      <c r="N1788">
        <v>-9.4510259999999995E-3</v>
      </c>
      <c r="O1788">
        <v>1.4352480000000001E-2</v>
      </c>
      <c r="P1788">
        <v>-0.97852130000000004</v>
      </c>
      <c r="Q1788">
        <v>0.188919</v>
      </c>
      <c r="R1788">
        <v>-8.2495180000000001E-2</v>
      </c>
      <c r="S1788">
        <v>-3.0674589999999999</v>
      </c>
      <c r="T1788">
        <v>6.5600869999999896E-4</v>
      </c>
      <c r="U1788">
        <v>1.9439700000000001E-2</v>
      </c>
      <c r="V1788">
        <v>-9.6402790000000002E-2</v>
      </c>
      <c r="W1788">
        <v>0.1982091</v>
      </c>
      <c r="X1788">
        <v>0.97540740000000004</v>
      </c>
      <c r="Y1788">
        <v>-8.0155599999999997E-3</v>
      </c>
      <c r="Z1788">
        <v>1.016999E-4</v>
      </c>
      <c r="AA1788">
        <v>0.99996790000000002</v>
      </c>
      <c r="AB1788">
        <v>25</v>
      </c>
      <c r="AC1788">
        <v>-3.0674589999999999</v>
      </c>
      <c r="AD1788">
        <v>6.5600869999999896E-4</v>
      </c>
      <c r="AE1788">
        <v>1.9439700000000001E-2</v>
      </c>
      <c r="AF1788">
        <v>-2.4589917473490101E-2</v>
      </c>
      <c r="AG1788">
        <v>6.5600869999999896E-4</v>
      </c>
      <c r="AH1788">
        <v>3.0674218969487899</v>
      </c>
      <c r="AI1788">
        <v>89.987746934444203</v>
      </c>
      <c r="AJ1788">
        <v>90.459300467252703</v>
      </c>
      <c r="AK1788">
        <v>3.0675205277666402</v>
      </c>
      <c r="AL1788">
        <v>78.567748080269695</v>
      </c>
      <c r="AM1788">
        <v>95.644403749226299</v>
      </c>
      <c r="AN1788">
        <v>0.99999997060867596</v>
      </c>
    </row>
    <row r="1789" spans="1:40" x14ac:dyDescent="0.25">
      <c r="A1789" t="str">
        <f>"20190304155051539"</f>
        <v>20190304155051539</v>
      </c>
      <c r="B1789" t="str">
        <f>"1551685851527920"</f>
        <v>1551685851527920</v>
      </c>
      <c r="C1789" t="s">
        <v>40</v>
      </c>
      <c r="D1789">
        <v>5.1950019999999997</v>
      </c>
      <c r="E1789">
        <v>0.53121249999999998</v>
      </c>
      <c r="F1789" t="s">
        <v>53</v>
      </c>
      <c r="G1789">
        <v>0</v>
      </c>
      <c r="H1789">
        <v>0</v>
      </c>
      <c r="I1789">
        <v>0</v>
      </c>
      <c r="J1789">
        <v>-231.5521</v>
      </c>
      <c r="K1789">
        <v>1.109966</v>
      </c>
      <c r="L1789">
        <v>284.59480000000002</v>
      </c>
      <c r="M1789">
        <v>-0.99984689999999998</v>
      </c>
      <c r="N1789">
        <v>-9.4359309999999998E-3</v>
      </c>
      <c r="O1789">
        <v>1.4741799999999999E-2</v>
      </c>
      <c r="P1789">
        <v>-0.9786589</v>
      </c>
      <c r="Q1789">
        <v>0.18855530000000001</v>
      </c>
      <c r="R1789">
        <v>-8.1696560000000001E-2</v>
      </c>
      <c r="S1789">
        <v>-3.0676269999999999</v>
      </c>
      <c r="T1789">
        <v>4.4023990000000002E-4</v>
      </c>
      <c r="U1789">
        <v>2.2308350000000001E-2</v>
      </c>
      <c r="V1789">
        <v>-9.5987950000000002E-2</v>
      </c>
      <c r="W1789">
        <v>0.19783100000000001</v>
      </c>
      <c r="X1789">
        <v>0.97552510000000003</v>
      </c>
      <c r="Y1789">
        <v>-7.4701899999999998E-3</v>
      </c>
      <c r="Z1789">
        <v>1.0651559999999999E-4</v>
      </c>
      <c r="AA1789">
        <v>0.99997210000000003</v>
      </c>
      <c r="AB1789">
        <v>25</v>
      </c>
      <c r="AC1789">
        <v>-3.0676269999999999</v>
      </c>
      <c r="AD1789">
        <v>4.4023990000000002E-4</v>
      </c>
      <c r="AE1789">
        <v>2.2308350000000001E-2</v>
      </c>
      <c r="AF1789">
        <v>-2.29184268862779E-2</v>
      </c>
      <c r="AG1789">
        <v>4.4023990000000002E-4</v>
      </c>
      <c r="AH1789">
        <v>3.0676224395605498</v>
      </c>
      <c r="AI1789">
        <v>89.991777611281407</v>
      </c>
      <c r="AJ1789">
        <v>90.428052907014603</v>
      </c>
      <c r="AK1789">
        <v>3.0677080825589602</v>
      </c>
      <c r="AL1789">
        <v>78.589849671917193</v>
      </c>
      <c r="AM1789">
        <v>95.619596857863598</v>
      </c>
      <c r="AN1789">
        <v>1.0000000059181</v>
      </c>
    </row>
    <row r="1790" spans="1:40" x14ac:dyDescent="0.25">
      <c r="A1790" t="str">
        <f>"20190304155051553"</f>
        <v>20190304155051553</v>
      </c>
      <c r="B1790" t="str">
        <f>"1551685851548416"</f>
        <v>1551685851548416</v>
      </c>
      <c r="C1790" t="s">
        <v>40</v>
      </c>
      <c r="D1790">
        <v>5.0511509999999999</v>
      </c>
      <c r="E1790">
        <v>0.53136280000000002</v>
      </c>
      <c r="F1790" t="s">
        <v>52</v>
      </c>
      <c r="G1790">
        <v>-1145.615</v>
      </c>
      <c r="H1790">
        <v>-0.1</v>
      </c>
      <c r="I1790">
        <v>292.44049999999999</v>
      </c>
      <c r="J1790">
        <v>-231.7038</v>
      </c>
      <c r="K1790">
        <v>1.109966</v>
      </c>
      <c r="L1790">
        <v>284.59739999999999</v>
      </c>
      <c r="M1790">
        <v>-0.9998435</v>
      </c>
      <c r="N1790">
        <v>-9.4279580000000002E-3</v>
      </c>
      <c r="O1790">
        <v>1.497336E-2</v>
      </c>
      <c r="P1790">
        <v>-0.97873699999999997</v>
      </c>
      <c r="Q1790">
        <v>0.18828149999999999</v>
      </c>
      <c r="R1790">
        <v>-8.1389359999999994E-2</v>
      </c>
      <c r="S1790">
        <v>-3.06839</v>
      </c>
      <c r="T1790">
        <v>-4.0616990000000002E-3</v>
      </c>
      <c r="U1790">
        <v>2.633667E-2</v>
      </c>
      <c r="V1790">
        <v>-9.590978E-2</v>
      </c>
      <c r="W1790">
        <v>0.19754910000000001</v>
      </c>
      <c r="X1790">
        <v>0.97558990000000001</v>
      </c>
      <c r="Y1790">
        <v>-6.3909919999999999E-3</v>
      </c>
      <c r="Z1790" s="1">
        <v>8.6997799999999996E-5</v>
      </c>
      <c r="AA1790">
        <v>0.99997959999999997</v>
      </c>
      <c r="AB1790">
        <v>25</v>
      </c>
      <c r="AC1790">
        <v>-913.91120000000001</v>
      </c>
      <c r="AD1790">
        <v>-1.2099659999999901</v>
      </c>
      <c r="AE1790">
        <v>7.84309999999999</v>
      </c>
      <c r="AF1790">
        <v>-5.8426979563534402</v>
      </c>
      <c r="AG1790">
        <v>-1.2099659999999901</v>
      </c>
      <c r="AH1790">
        <v>913.92457596669101</v>
      </c>
      <c r="AI1790">
        <v>90.075853620570399</v>
      </c>
      <c r="AJ1790">
        <v>90.366285558124005</v>
      </c>
      <c r="AK1790">
        <v>913.94405282436503</v>
      </c>
      <c r="AL1790">
        <v>78.606326379505106</v>
      </c>
      <c r="AM1790">
        <v>95.614679091283094</v>
      </c>
      <c r="AN1790">
        <v>0.99999999289623398</v>
      </c>
    </row>
    <row r="1791" spans="1:40" x14ac:dyDescent="0.25">
      <c r="A1791" t="str">
        <f>"20190304155051571"</f>
        <v>20190304155051571</v>
      </c>
      <c r="B1791" t="str">
        <f>"1551685851568912"</f>
        <v>1551685851568912</v>
      </c>
      <c r="C1791" t="s">
        <v>40</v>
      </c>
      <c r="D1791">
        <v>5.1071929999999996</v>
      </c>
      <c r="E1791">
        <v>0.5315531</v>
      </c>
      <c r="F1791" t="s">
        <v>52</v>
      </c>
      <c r="G1791">
        <v>-1284.874</v>
      </c>
      <c r="H1791">
        <v>-0.1</v>
      </c>
      <c r="I1791">
        <v>294.33929999999998</v>
      </c>
      <c r="J1791">
        <v>-231.9111</v>
      </c>
      <c r="K1791">
        <v>1.1099699999999999</v>
      </c>
      <c r="L1791">
        <v>284.60079999999999</v>
      </c>
      <c r="M1791">
        <v>-0.99983889999999997</v>
      </c>
      <c r="N1791">
        <v>-9.4186310000000002E-3</v>
      </c>
      <c r="O1791">
        <v>1.527885E-2</v>
      </c>
      <c r="P1791">
        <v>-0.9788675</v>
      </c>
      <c r="Q1791">
        <v>0.1880742</v>
      </c>
      <c r="R1791">
        <v>-8.0292050000000004E-2</v>
      </c>
      <c r="S1791">
        <v>-3.068222</v>
      </c>
      <c r="T1791">
        <v>-3.5250189999999999E-3</v>
      </c>
      <c r="U1791">
        <v>2.838135E-2</v>
      </c>
      <c r="V1791">
        <v>-9.5117110000000005E-2</v>
      </c>
      <c r="W1791">
        <v>0.19733129999999999</v>
      </c>
      <c r="X1791">
        <v>0.97571160000000001</v>
      </c>
      <c r="Y1791">
        <v>-6.0296909999999898E-3</v>
      </c>
      <c r="Z1791" s="1">
        <v>9.4500000000000007E-5</v>
      </c>
      <c r="AA1791">
        <v>0.99998180000000003</v>
      </c>
      <c r="AB1791">
        <v>25</v>
      </c>
      <c r="AC1791">
        <v>-1052.9629</v>
      </c>
      <c r="AD1791">
        <v>-1.20997</v>
      </c>
      <c r="AE1791">
        <v>9.7384999999999806</v>
      </c>
      <c r="AF1791">
        <v>-6.3514044801888501</v>
      </c>
      <c r="AG1791">
        <v>-1.20997</v>
      </c>
      <c r="AH1791">
        <v>1052.98738775485</v>
      </c>
      <c r="AI1791">
        <v>90.065836384685497</v>
      </c>
      <c r="AJ1791">
        <v>90.345592228087696</v>
      </c>
      <c r="AK1791">
        <v>1053.0072379319399</v>
      </c>
      <c r="AL1791">
        <v>78.619056255443496</v>
      </c>
      <c r="AM1791">
        <v>95.567877861324703</v>
      </c>
      <c r="AN1791">
        <v>1.0000000164745</v>
      </c>
    </row>
    <row r="1792" spans="1:40" x14ac:dyDescent="0.25">
      <c r="A1792" t="str">
        <f>"20190304155051594"</f>
        <v>20190304155051594</v>
      </c>
      <c r="B1792" t="str">
        <f>"1551685851588433"</f>
        <v>1551685851588433</v>
      </c>
      <c r="C1792" t="s">
        <v>40</v>
      </c>
      <c r="D1792">
        <v>5.1037809999999997</v>
      </c>
      <c r="E1792">
        <v>0.53173300000000001</v>
      </c>
      <c r="F1792" t="s">
        <v>53</v>
      </c>
      <c r="G1792">
        <v>0</v>
      </c>
      <c r="H1792">
        <v>0</v>
      </c>
      <c r="I1792">
        <v>0</v>
      </c>
      <c r="J1792">
        <v>-232.15729999999999</v>
      </c>
      <c r="K1792">
        <v>1.109982</v>
      </c>
      <c r="L1792">
        <v>284.60500000000002</v>
      </c>
      <c r="M1792">
        <v>-0.99983379999999999</v>
      </c>
      <c r="N1792">
        <v>-9.4095180000000004E-3</v>
      </c>
      <c r="O1792">
        <v>1.5618780000000001E-2</v>
      </c>
      <c r="P1792">
        <v>-0.97889610000000005</v>
      </c>
      <c r="Q1792">
        <v>0.18841189999999999</v>
      </c>
      <c r="R1792">
        <v>-7.9144010000000001E-2</v>
      </c>
      <c r="S1792">
        <v>-3.0680540000000001</v>
      </c>
      <c r="T1792">
        <v>-2.9661660000000001E-3</v>
      </c>
      <c r="U1792">
        <v>3.2928470000000001E-2</v>
      </c>
      <c r="V1792">
        <v>-9.4308680000000006E-2</v>
      </c>
      <c r="W1792">
        <v>0.19765659999999999</v>
      </c>
      <c r="X1792">
        <v>0.97572420000000004</v>
      </c>
      <c r="Y1792">
        <v>-4.8872270000000001E-3</v>
      </c>
      <c r="Z1792">
        <v>1.065163E-4</v>
      </c>
      <c r="AA1792">
        <v>0.99998810000000005</v>
      </c>
      <c r="AB1792">
        <v>25</v>
      </c>
      <c r="AC1792">
        <v>-3.0680540000000001</v>
      </c>
      <c r="AD1792">
        <v>-2.9661660000000001E-3</v>
      </c>
      <c r="AE1792">
        <v>3.2928470000000001E-2</v>
      </c>
      <c r="AF1792">
        <v>-1.4996912224496201E-2</v>
      </c>
      <c r="AG1792">
        <v>-2.9661660000000001E-3</v>
      </c>
      <c r="AH1792">
        <v>3.0681911816931202</v>
      </c>
      <c r="AI1792">
        <v>90.055389869802795</v>
      </c>
      <c r="AJ1792">
        <v>90.280051953244197</v>
      </c>
      <c r="AK1792">
        <v>3.0682292666840301</v>
      </c>
      <c r="AL1792">
        <v>78.600043119035107</v>
      </c>
      <c r="AM1792">
        <v>95.5207774938753</v>
      </c>
      <c r="AN1792">
        <v>0.99999998655627098</v>
      </c>
    </row>
    <row r="1793" spans="1:40" x14ac:dyDescent="0.25">
      <c r="A1793" t="str">
        <f>"20190304155051630"</f>
        <v>20190304155051630</v>
      </c>
      <c r="B1793" t="str">
        <f>"1551685851618689"</f>
        <v>1551685851618689</v>
      </c>
      <c r="C1793" t="s">
        <v>40</v>
      </c>
      <c r="D1793">
        <v>6.3251689999999998</v>
      </c>
      <c r="E1793">
        <v>0.53151660000000001</v>
      </c>
      <c r="F1793" t="s">
        <v>53</v>
      </c>
      <c r="G1793">
        <v>0</v>
      </c>
      <c r="H1793">
        <v>0</v>
      </c>
      <c r="I1793">
        <v>0</v>
      </c>
      <c r="J1793">
        <v>-232.5547</v>
      </c>
      <c r="K1793">
        <v>1.110009</v>
      </c>
      <c r="L1793">
        <v>284.61180000000002</v>
      </c>
      <c r="M1793">
        <v>-0.99982610000000005</v>
      </c>
      <c r="N1793">
        <v>-9.3979879999999995E-3</v>
      </c>
      <c r="O1793">
        <v>1.6110240000000001E-2</v>
      </c>
      <c r="P1793">
        <v>-0.97875579999999995</v>
      </c>
      <c r="Q1793">
        <v>0.1895443</v>
      </c>
      <c r="R1793">
        <v>-7.8166630000000001E-2</v>
      </c>
      <c r="S1793">
        <v>-3.0682070000000001</v>
      </c>
      <c r="T1793">
        <v>-2.5618080000000001E-3</v>
      </c>
      <c r="U1793">
        <v>3.7414549999999998E-2</v>
      </c>
      <c r="V1793">
        <v>-9.382327E-2</v>
      </c>
      <c r="W1793">
        <v>0.19876949999999999</v>
      </c>
      <c r="X1793">
        <v>0.97554490000000005</v>
      </c>
      <c r="Y1793">
        <v>-3.9173580000000001E-3</v>
      </c>
      <c r="Z1793">
        <v>1.1791629999999999E-4</v>
      </c>
      <c r="AA1793">
        <v>0.99999229999999995</v>
      </c>
      <c r="AB1793">
        <v>25</v>
      </c>
      <c r="AC1793">
        <v>-3.0682070000000001</v>
      </c>
      <c r="AD1793">
        <v>-2.5618080000000001E-3</v>
      </c>
      <c r="AE1793">
        <v>3.7414549999999998E-2</v>
      </c>
      <c r="AF1793">
        <v>-1.20220295135145E-2</v>
      </c>
      <c r="AG1793">
        <v>-2.5618080000000001E-3</v>
      </c>
      <c r="AH1793">
        <v>3.0684094232191899</v>
      </c>
      <c r="AI1793">
        <v>90.047835736823501</v>
      </c>
      <c r="AJ1793">
        <v>90.224483741491497</v>
      </c>
      <c r="AK1793">
        <v>3.0684340437027799</v>
      </c>
      <c r="AL1793">
        <v>78.534987871395202</v>
      </c>
      <c r="AM1793">
        <v>95.493539400036298</v>
      </c>
      <c r="AN1793">
        <v>0.99999998601987605</v>
      </c>
    </row>
    <row r="1794" spans="1:40" x14ac:dyDescent="0.25">
      <c r="A1794" t="str">
        <f>"20190304155051651"</f>
        <v>20190304155051651</v>
      </c>
      <c r="B1794" t="str">
        <f>"1551685851647968"</f>
        <v>1551685851647968</v>
      </c>
      <c r="C1794" t="s">
        <v>40</v>
      </c>
      <c r="D1794">
        <v>5.1153449999999996</v>
      </c>
      <c r="E1794">
        <v>0.48760239999999999</v>
      </c>
      <c r="F1794" t="s">
        <v>53</v>
      </c>
      <c r="G1794">
        <v>0</v>
      </c>
      <c r="H1794">
        <v>0</v>
      </c>
      <c r="I1794">
        <v>0</v>
      </c>
      <c r="J1794">
        <v>-232.79480000000001</v>
      </c>
      <c r="K1794">
        <v>1.110028</v>
      </c>
      <c r="L1794">
        <v>284.61599999999999</v>
      </c>
      <c r="M1794">
        <v>-0.99982210000000005</v>
      </c>
      <c r="N1794">
        <v>-9.3928929999999994E-3</v>
      </c>
      <c r="O1794">
        <v>1.6363519999999999E-2</v>
      </c>
      <c r="P1794">
        <v>-0.97874519999999998</v>
      </c>
      <c r="Q1794">
        <v>0.18944949999999999</v>
      </c>
      <c r="R1794">
        <v>-7.8531180000000006E-2</v>
      </c>
      <c r="S1794">
        <v>-3.0680239999999999</v>
      </c>
      <c r="T1794">
        <v>1.0313989999999999E-3</v>
      </c>
      <c r="U1794">
        <v>3.8635250000000003E-2</v>
      </c>
      <c r="V1794">
        <v>-9.4445829999999995E-2</v>
      </c>
      <c r="W1794">
        <v>0.1986648</v>
      </c>
      <c r="X1794">
        <v>0.97550619999999999</v>
      </c>
      <c r="Y1794">
        <v>-3.7719799999999999E-3</v>
      </c>
      <c r="Z1794">
        <v>1.4212559999999999E-4</v>
      </c>
      <c r="AA1794">
        <v>0.99999280000000002</v>
      </c>
      <c r="AB1794">
        <v>25</v>
      </c>
      <c r="AC1794">
        <v>-3.0680239999999999</v>
      </c>
      <c r="AD1794">
        <v>1.0313989999999999E-3</v>
      </c>
      <c r="AE1794">
        <v>3.8635250000000003E-2</v>
      </c>
      <c r="AF1794">
        <v>-1.15758033546682E-2</v>
      </c>
      <c r="AG1794">
        <v>1.0313989999999999E-3</v>
      </c>
      <c r="AH1794">
        <v>3.0682450717515701</v>
      </c>
      <c r="AI1794">
        <v>89.980740004296393</v>
      </c>
      <c r="AJ1794">
        <v>90.216163153324501</v>
      </c>
      <c r="AK1794">
        <v>3.0682670814867201</v>
      </c>
      <c r="AL1794">
        <v>78.541109343067902</v>
      </c>
      <c r="AM1794">
        <v>95.529984342481796</v>
      </c>
      <c r="AN1794">
        <v>1.0000000319009299</v>
      </c>
    </row>
    <row r="1795" spans="1:40" x14ac:dyDescent="0.25">
      <c r="A1795" t="str">
        <f>"20190304155051672"</f>
        <v>20190304155051672</v>
      </c>
      <c r="B1795" t="str">
        <f>"1551685851668464"</f>
        <v>1551685851668464</v>
      </c>
      <c r="C1795" t="s">
        <v>40</v>
      </c>
      <c r="D1795">
        <v>5.1896610000000001</v>
      </c>
      <c r="E1795">
        <v>0.48600189999999999</v>
      </c>
      <c r="F1795" t="s">
        <v>72</v>
      </c>
      <c r="G1795">
        <v>-282.31279999999998</v>
      </c>
      <c r="H1795">
        <v>7.8046959999999999E-2</v>
      </c>
      <c r="I1795">
        <v>279.5883</v>
      </c>
      <c r="J1795">
        <v>-233.02539999999999</v>
      </c>
      <c r="K1795">
        <v>1.1100460000000001</v>
      </c>
      <c r="L1795">
        <v>284.62</v>
      </c>
      <c r="M1795">
        <v>-0.99981850000000005</v>
      </c>
      <c r="N1795">
        <v>-9.3890429999999997E-3</v>
      </c>
      <c r="O1795">
        <v>1.6579799999999999E-2</v>
      </c>
      <c r="P1795">
        <v>-0.97881569999999996</v>
      </c>
      <c r="Q1795">
        <v>0.18915129999999999</v>
      </c>
      <c r="R1795">
        <v>-7.837065E-2</v>
      </c>
      <c r="S1795">
        <v>-3.052597</v>
      </c>
      <c r="T1795">
        <v>-6.3617709999999994E-2</v>
      </c>
      <c r="U1795">
        <v>-0.3099365</v>
      </c>
      <c r="V1795">
        <v>-9.4507160000000007E-2</v>
      </c>
      <c r="W1795">
        <v>0.1983587</v>
      </c>
      <c r="X1795">
        <v>0.9755625</v>
      </c>
      <c r="Y1795">
        <v>-0.1174568</v>
      </c>
      <c r="Z1795">
        <v>-1.9630099999999998E-3</v>
      </c>
      <c r="AA1795">
        <v>0.99307599999999996</v>
      </c>
      <c r="AB1795">
        <v>25</v>
      </c>
      <c r="AC1795">
        <v>-49.287399999999899</v>
      </c>
      <c r="AD1795">
        <v>-1.0319990400000001</v>
      </c>
      <c r="AE1795">
        <v>-5.0316999999999998</v>
      </c>
      <c r="AF1795">
        <v>-5.8456831259369997</v>
      </c>
      <c r="AG1795">
        <v>-1.0319990400000001</v>
      </c>
      <c r="AH1795">
        <v>49.175859259633199</v>
      </c>
      <c r="AI1795">
        <v>91.193823511267198</v>
      </c>
      <c r="AJ1795">
        <v>96.779110637744296</v>
      </c>
      <c r="AK1795">
        <v>49.532839280124797</v>
      </c>
      <c r="AL1795">
        <v>78.559003153010195</v>
      </c>
      <c r="AM1795">
        <v>95.533235689366904</v>
      </c>
      <c r="AN1795">
        <v>0.99999998428160197</v>
      </c>
    </row>
    <row r="1796" spans="1:40" x14ac:dyDescent="0.25">
      <c r="A1796" t="str">
        <f>"20190304155051694"</f>
        <v>20190304155051694</v>
      </c>
      <c r="B1796" t="str">
        <f>"1551685851687984"</f>
        <v>1551685851687984</v>
      </c>
      <c r="C1796" t="s">
        <v>40</v>
      </c>
      <c r="D1796">
        <v>5.1178140000000001</v>
      </c>
      <c r="E1796">
        <v>0.48464960000000001</v>
      </c>
      <c r="F1796" t="s">
        <v>72</v>
      </c>
      <c r="G1796">
        <v>-280.51100000000002</v>
      </c>
      <c r="H1796">
        <v>5.1877729999999997E-2</v>
      </c>
      <c r="I1796">
        <v>279.61450000000002</v>
      </c>
      <c r="J1796">
        <v>-233.2782</v>
      </c>
      <c r="K1796">
        <v>1.11006</v>
      </c>
      <c r="L1796">
        <v>284.62450000000001</v>
      </c>
      <c r="M1796">
        <v>-0.99981529999999996</v>
      </c>
      <c r="N1796">
        <v>-9.3859400000000006E-3</v>
      </c>
      <c r="O1796">
        <v>1.6780010000000001E-2</v>
      </c>
      <c r="P1796">
        <v>-0.97887800000000003</v>
      </c>
      <c r="Q1796">
        <v>0.1888164</v>
      </c>
      <c r="R1796">
        <v>-7.8401100000000001E-2</v>
      </c>
      <c r="S1796">
        <v>-3.052292</v>
      </c>
      <c r="T1796">
        <v>-6.8017240000000007E-2</v>
      </c>
      <c r="U1796">
        <v>-0.3217468</v>
      </c>
      <c r="V1796">
        <v>-9.474552E-2</v>
      </c>
      <c r="W1796">
        <v>0.1980161</v>
      </c>
      <c r="X1796">
        <v>0.97560899999999995</v>
      </c>
      <c r="Y1796">
        <v>-0.1214604</v>
      </c>
      <c r="Z1796">
        <v>-2.136995E-3</v>
      </c>
      <c r="AA1796">
        <v>0.99259399999999998</v>
      </c>
      <c r="AB1796">
        <v>25</v>
      </c>
      <c r="AC1796">
        <v>-47.232799999999898</v>
      </c>
      <c r="AD1796">
        <v>-1.0581822700000001</v>
      </c>
      <c r="AE1796">
        <v>-5.00999999999999</v>
      </c>
      <c r="AF1796">
        <v>-5.7990179559991804</v>
      </c>
      <c r="AG1796">
        <v>-1.0581822700000001</v>
      </c>
      <c r="AH1796">
        <v>47.118691125307699</v>
      </c>
      <c r="AI1796">
        <v>91.276890190418101</v>
      </c>
      <c r="AJ1796">
        <v>97.016255507358807</v>
      </c>
      <c r="AK1796">
        <v>47.485991748437698</v>
      </c>
      <c r="AL1796">
        <v>78.579030177377405</v>
      </c>
      <c r="AM1796">
        <v>95.546841593586194</v>
      </c>
      <c r="AN1796">
        <v>1.0000000051501401</v>
      </c>
    </row>
    <row r="1797" spans="1:40" x14ac:dyDescent="0.25">
      <c r="A1797" t="str">
        <f>"20190304155051718"</f>
        <v>20190304155051718</v>
      </c>
      <c r="B1797" t="str">
        <f>"1551685851708484"</f>
        <v>1551685851708484</v>
      </c>
      <c r="C1797" t="s">
        <v>40</v>
      </c>
      <c r="D1797">
        <v>5.1740399999999998</v>
      </c>
      <c r="E1797">
        <v>0.48420459999999899</v>
      </c>
      <c r="F1797" t="s">
        <v>70</v>
      </c>
      <c r="G1797">
        <v>-279.27170000000001</v>
      </c>
      <c r="H1797">
        <v>1.6663009999999999E-2</v>
      </c>
      <c r="I1797">
        <v>279.61630000000002</v>
      </c>
      <c r="J1797">
        <v>-233.53809999999999</v>
      </c>
      <c r="K1797">
        <v>1.1100810000000001</v>
      </c>
      <c r="L1797">
        <v>284.62900000000002</v>
      </c>
      <c r="M1797">
        <v>-0.99981249999999999</v>
      </c>
      <c r="N1797">
        <v>-9.3836400000000004E-3</v>
      </c>
      <c r="O1797">
        <v>1.6944730000000002E-2</v>
      </c>
      <c r="P1797">
        <v>-0.97889349999999997</v>
      </c>
      <c r="Q1797">
        <v>0.18878809999999999</v>
      </c>
      <c r="R1797">
        <v>-7.8275549999999999E-2</v>
      </c>
      <c r="S1797">
        <v>-3.0521090000000002</v>
      </c>
      <c r="T1797">
        <v>-7.2557330000000003E-2</v>
      </c>
      <c r="U1797">
        <v>-0.33233639999999998</v>
      </c>
      <c r="V1797">
        <v>-9.4793680000000005E-2</v>
      </c>
      <c r="W1797">
        <v>0.19797960000000001</v>
      </c>
      <c r="X1797">
        <v>0.97561169999999997</v>
      </c>
      <c r="Y1797">
        <v>-0.12502739999999901</v>
      </c>
      <c r="Z1797">
        <v>-2.3131699999999998E-3</v>
      </c>
      <c r="AA1797">
        <v>0.99215059999999999</v>
      </c>
      <c r="AB1797">
        <v>25</v>
      </c>
      <c r="AC1797">
        <v>-45.733600000000003</v>
      </c>
      <c r="AD1797">
        <v>-1.0934179899999901</v>
      </c>
      <c r="AE1797">
        <v>-5.0126999999999899</v>
      </c>
      <c r="AF1797">
        <v>-5.7836910104552901</v>
      </c>
      <c r="AG1797">
        <v>-1.0934179899999901</v>
      </c>
      <c r="AH1797">
        <v>45.616325444704898</v>
      </c>
      <c r="AI1797">
        <v>91.362208794150504</v>
      </c>
      <c r="AJ1797">
        <v>97.225972034168507</v>
      </c>
      <c r="AK1797">
        <v>45.994519148290998</v>
      </c>
      <c r="AL1797">
        <v>78.581163380290903</v>
      </c>
      <c r="AM1797">
        <v>95.549628243152696</v>
      </c>
      <c r="AN1797">
        <v>0.99999997648049499</v>
      </c>
    </row>
    <row r="1798" spans="1:40" x14ac:dyDescent="0.25">
      <c r="A1798" t="str">
        <f>"20190304155051739"</f>
        <v>20190304155051739</v>
      </c>
      <c r="B1798" t="str">
        <f>"1551685851728003"</f>
        <v>1551685851728003</v>
      </c>
      <c r="C1798" t="s">
        <v>40</v>
      </c>
      <c r="D1798">
        <v>5.1419220000000001</v>
      </c>
      <c r="E1798">
        <v>0.48271979999999998</v>
      </c>
      <c r="F1798" t="s">
        <v>70</v>
      </c>
      <c r="G1798">
        <v>-278.6979</v>
      </c>
      <c r="H1798" s="1">
        <v>3.3081749999999999E-6</v>
      </c>
      <c r="I1798">
        <v>279.666</v>
      </c>
      <c r="J1798">
        <v>-233.77869999999999</v>
      </c>
      <c r="K1798">
        <v>1.110101</v>
      </c>
      <c r="L1798">
        <v>284.63319999999999</v>
      </c>
      <c r="M1798">
        <v>-0.99981059999999999</v>
      </c>
      <c r="N1798">
        <v>-9.3795059999999993E-3</v>
      </c>
      <c r="O1798">
        <v>1.706046E-2</v>
      </c>
      <c r="P1798">
        <v>-0.97891589999999995</v>
      </c>
      <c r="Q1798">
        <v>0.1885628</v>
      </c>
      <c r="R1798">
        <v>-7.8539559999999994E-2</v>
      </c>
      <c r="S1798">
        <v>-3.0523380000000002</v>
      </c>
      <c r="T1798">
        <v>-7.5029849999999995E-2</v>
      </c>
      <c r="U1798">
        <v>-0.3354492</v>
      </c>
      <c r="V1798">
        <v>-9.5182550000000005E-2</v>
      </c>
      <c r="W1798">
        <v>0.19774449999999999</v>
      </c>
      <c r="X1798">
        <v>0.97562150000000003</v>
      </c>
      <c r="Y1798">
        <v>-0.12613050000000001</v>
      </c>
      <c r="Z1798">
        <v>-2.3973919999999999E-3</v>
      </c>
      <c r="AA1798">
        <v>0.99201079999999997</v>
      </c>
      <c r="AB1798">
        <v>25</v>
      </c>
      <c r="AC1798">
        <v>-44.919199999999996</v>
      </c>
      <c r="AD1798">
        <v>-1.1100976918250001</v>
      </c>
      <c r="AE1798">
        <v>-4.9671999999999903</v>
      </c>
      <c r="AF1798">
        <v>-5.7293959162082402</v>
      </c>
      <c r="AG1798">
        <v>-1.1100976918250001</v>
      </c>
      <c r="AH1798">
        <v>44.800884164950901</v>
      </c>
      <c r="AI1798">
        <v>91.407949743709096</v>
      </c>
      <c r="AJ1798">
        <v>97.287757260077996</v>
      </c>
      <c r="AK1798">
        <v>45.1793926078185</v>
      </c>
      <c r="AL1798">
        <v>78.594905086359105</v>
      </c>
      <c r="AM1798">
        <v>95.572195746598993</v>
      </c>
      <c r="AN1798">
        <v>0.99999995818349996</v>
      </c>
    </row>
    <row r="1799" spans="1:40" x14ac:dyDescent="0.25">
      <c r="A1799" t="str">
        <f>"20190304155051761"</f>
        <v>20190304155051761</v>
      </c>
      <c r="B1799" t="str">
        <f>"1551685851758257"</f>
        <v>1551685851758257</v>
      </c>
      <c r="C1799" t="s">
        <v>40</v>
      </c>
      <c r="D1799">
        <v>5.0561989999999897</v>
      </c>
      <c r="E1799">
        <v>0.48107290000000003</v>
      </c>
      <c r="F1799" t="s">
        <v>70</v>
      </c>
      <c r="G1799">
        <v>-277.73390000000001</v>
      </c>
      <c r="H1799">
        <v>3.5988430000000002E-2</v>
      </c>
      <c r="I1799">
        <v>279.61630000000002</v>
      </c>
      <c r="J1799">
        <v>-234.02420000000001</v>
      </c>
      <c r="K1799">
        <v>1.110123</v>
      </c>
      <c r="L1799">
        <v>284.63760000000002</v>
      </c>
      <c r="M1799">
        <v>-0.99980919999999895</v>
      </c>
      <c r="N1799">
        <v>-9.3709829999999994E-3</v>
      </c>
      <c r="O1799">
        <v>1.7143120000000001E-2</v>
      </c>
      <c r="P1799">
        <v>-0.97887690000000005</v>
      </c>
      <c r="Q1799">
        <v>0.18883440000000001</v>
      </c>
      <c r="R1799">
        <v>-7.8370300000000004E-2</v>
      </c>
      <c r="S1799">
        <v>-3.0510410000000001</v>
      </c>
      <c r="T1799">
        <v>-7.4556830000000004E-2</v>
      </c>
      <c r="U1799">
        <v>-0.34823609999999999</v>
      </c>
      <c r="V1799">
        <v>-9.5106330000000003E-2</v>
      </c>
      <c r="W1799">
        <v>0.19800200000000001</v>
      </c>
      <c r="X1799">
        <v>0.97557680000000002</v>
      </c>
      <c r="Y1799">
        <v>-0.1303619</v>
      </c>
      <c r="Z1799">
        <v>-2.4578360000000001E-3</v>
      </c>
      <c r="AA1799">
        <v>0.99146339999999999</v>
      </c>
      <c r="AB1799">
        <v>25</v>
      </c>
      <c r="AC1799">
        <v>-43.709699999999998</v>
      </c>
      <c r="AD1799">
        <v>-1.07413457</v>
      </c>
      <c r="AE1799">
        <v>-5.0212999999999903</v>
      </c>
      <c r="AF1799">
        <v>-5.7664785264579601</v>
      </c>
      <c r="AG1799">
        <v>-1.07413457</v>
      </c>
      <c r="AH1799">
        <v>43.591209944564</v>
      </c>
      <c r="AI1799">
        <v>91.399358384314993</v>
      </c>
      <c r="AJ1799">
        <v>97.535639168184801</v>
      </c>
      <c r="AK1799">
        <v>43.984083758805603</v>
      </c>
      <c r="AL1799">
        <v>78.579854878263106</v>
      </c>
      <c r="AM1799">
        <v>95.568015215487506</v>
      </c>
      <c r="AN1799">
        <v>1.0000000493541501</v>
      </c>
    </row>
    <row r="1800" spans="1:40" x14ac:dyDescent="0.25">
      <c r="A1800" t="str">
        <f>"20190304155051783"</f>
        <v>20190304155051783</v>
      </c>
      <c r="B1800" t="str">
        <f>"1551685851778752"</f>
        <v>1551685851778752</v>
      </c>
      <c r="C1800" t="s">
        <v>40</v>
      </c>
      <c r="D1800">
        <v>5.1158000000000001</v>
      </c>
      <c r="E1800">
        <v>0.48046119999999998</v>
      </c>
      <c r="F1800" t="s">
        <v>70</v>
      </c>
      <c r="G1800">
        <v>-276.66079999999999</v>
      </c>
      <c r="H1800">
        <v>6.8759630000000002E-2</v>
      </c>
      <c r="I1800">
        <v>279.5976</v>
      </c>
      <c r="J1800">
        <v>-234.27690000000001</v>
      </c>
      <c r="K1800">
        <v>1.110141</v>
      </c>
      <c r="L1800">
        <v>284.642</v>
      </c>
      <c r="M1800">
        <v>-0.99980849999999999</v>
      </c>
      <c r="N1800">
        <v>-9.3532690000000009E-3</v>
      </c>
      <c r="O1800">
        <v>1.7193389999999999E-2</v>
      </c>
      <c r="P1800">
        <v>-0.97895390000000004</v>
      </c>
      <c r="Q1800">
        <v>0.18852099999999999</v>
      </c>
      <c r="R1800">
        <v>-7.8161190000000005E-2</v>
      </c>
      <c r="S1800">
        <v>-3.0502470000000002</v>
      </c>
      <c r="T1800">
        <v>-7.4499850000000006E-2</v>
      </c>
      <c r="U1800">
        <v>-0.36056519999999997</v>
      </c>
      <c r="V1800">
        <v>-9.4960320000000001E-2</v>
      </c>
      <c r="W1800">
        <v>0.19766549999999999</v>
      </c>
      <c r="X1800">
        <v>0.97565919999999895</v>
      </c>
      <c r="Y1800">
        <v>-0.13439229999999899</v>
      </c>
      <c r="Z1800">
        <v>-2.5244E-3</v>
      </c>
      <c r="AA1800">
        <v>0.99092499999999994</v>
      </c>
      <c r="AB1800">
        <v>25</v>
      </c>
      <c r="AC1800">
        <v>-42.383899999999898</v>
      </c>
      <c r="AD1800">
        <v>-1.0413813700000001</v>
      </c>
      <c r="AE1800">
        <v>-5.0443999999999898</v>
      </c>
      <c r="AF1800">
        <v>-5.7689749778153896</v>
      </c>
      <c r="AG1800">
        <v>-1.0413813700000001</v>
      </c>
      <c r="AH1800">
        <v>42.2657410093422</v>
      </c>
      <c r="AI1800">
        <v>91.3984578968969</v>
      </c>
      <c r="AJ1800">
        <v>97.772438833297798</v>
      </c>
      <c r="AK1800">
        <v>42.670345798004</v>
      </c>
      <c r="AL1800">
        <v>78.599523002473603</v>
      </c>
      <c r="AM1800">
        <v>95.559054039759005</v>
      </c>
      <c r="AN1800">
        <v>0.99999999340469603</v>
      </c>
    </row>
    <row r="1801" spans="1:40" x14ac:dyDescent="0.25">
      <c r="A1801" t="str">
        <f>"20190304155051807"</f>
        <v>20190304155051807</v>
      </c>
      <c r="B1801" t="str">
        <f>"1551685851798272"</f>
        <v>1551685851798272</v>
      </c>
      <c r="C1801" t="s">
        <v>40</v>
      </c>
      <c r="D1801">
        <v>5.12073</v>
      </c>
      <c r="E1801">
        <v>0.47975050000000002</v>
      </c>
      <c r="F1801" t="s">
        <v>70</v>
      </c>
      <c r="G1801">
        <v>-276.495</v>
      </c>
      <c r="H1801">
        <v>7.5685100000000005E-2</v>
      </c>
      <c r="I1801">
        <v>279.59059999999999</v>
      </c>
      <c r="J1801">
        <v>-234.536</v>
      </c>
      <c r="K1801">
        <v>1.110152</v>
      </c>
      <c r="L1801">
        <v>284.6465</v>
      </c>
      <c r="M1801">
        <v>-0.99980849999999999</v>
      </c>
      <c r="N1801">
        <v>-9.3127490000000004E-3</v>
      </c>
      <c r="O1801">
        <v>1.7214549999999999E-2</v>
      </c>
      <c r="P1801">
        <v>-0.97897769999999995</v>
      </c>
      <c r="Q1801">
        <v>0.18836520000000001</v>
      </c>
      <c r="R1801">
        <v>-7.8238180000000004E-2</v>
      </c>
      <c r="S1801">
        <v>-3.0497589999999999</v>
      </c>
      <c r="T1801">
        <v>-7.4727299999999997E-2</v>
      </c>
      <c r="U1801">
        <v>-0.36489870000000002</v>
      </c>
      <c r="V1801">
        <v>-9.5069360000000006E-2</v>
      </c>
      <c r="W1801">
        <v>0.19746540000000001</v>
      </c>
      <c r="X1801">
        <v>0.97568909999999998</v>
      </c>
      <c r="Y1801">
        <v>-0.1358192</v>
      </c>
      <c r="Z1801">
        <v>-2.553259E-3</v>
      </c>
      <c r="AA1801">
        <v>0.99073029999999995</v>
      </c>
      <c r="AB1801">
        <v>25</v>
      </c>
      <c r="AC1801">
        <v>-41.959000000000003</v>
      </c>
      <c r="AD1801">
        <v>-1.0344669</v>
      </c>
      <c r="AE1801">
        <v>-5.0559000000000003</v>
      </c>
      <c r="AF1801">
        <v>-5.7740279288318996</v>
      </c>
      <c r="AG1801">
        <v>-1.0344669</v>
      </c>
      <c r="AH1801">
        <v>41.840675014276599</v>
      </c>
      <c r="AI1801">
        <v>91.402998625362798</v>
      </c>
      <c r="AJ1801">
        <v>97.857210783445694</v>
      </c>
      <c r="AK1801">
        <v>42.249871076021499</v>
      </c>
      <c r="AL1801">
        <v>78.611218410664307</v>
      </c>
      <c r="AM1801">
        <v>95.565227795816497</v>
      </c>
      <c r="AN1801">
        <v>0.99999999363338898</v>
      </c>
    </row>
    <row r="1802" spans="1:40" x14ac:dyDescent="0.25">
      <c r="A1802" t="str">
        <f>"20190304155051832"</f>
        <v>20190304155051832</v>
      </c>
      <c r="B1802" t="str">
        <f>"1551685851828528"</f>
        <v>1551685851828528</v>
      </c>
      <c r="C1802" t="s">
        <v>40</v>
      </c>
      <c r="D1802">
        <v>5.0829339999999998</v>
      </c>
      <c r="E1802">
        <v>0.47907820000000001</v>
      </c>
      <c r="F1802" t="s">
        <v>70</v>
      </c>
      <c r="G1802">
        <v>-277.08429999999998</v>
      </c>
      <c r="H1802">
        <v>8.0001069999999994E-2</v>
      </c>
      <c r="I1802">
        <v>279.4751</v>
      </c>
      <c r="J1802">
        <v>-234.8141</v>
      </c>
      <c r="K1802">
        <v>1.1101460000000001</v>
      </c>
      <c r="L1802">
        <v>284.65120000000002</v>
      </c>
      <c r="M1802">
        <v>-0.99980930000000001</v>
      </c>
      <c r="N1802">
        <v>-9.2370279999999996E-3</v>
      </c>
      <c r="O1802">
        <v>1.721253E-2</v>
      </c>
      <c r="P1802">
        <v>-0.97897000000000001</v>
      </c>
      <c r="Q1802">
        <v>0.18819949999999999</v>
      </c>
      <c r="R1802">
        <v>-7.8734209999999999E-2</v>
      </c>
      <c r="S1802">
        <v>-3.0489959999999998</v>
      </c>
      <c r="T1802">
        <v>-7.3820350000000007E-2</v>
      </c>
      <c r="U1802">
        <v>-0.37057499999999999</v>
      </c>
      <c r="V1802">
        <v>-9.5570069999999993E-2</v>
      </c>
      <c r="W1802">
        <v>0.19722239999999999</v>
      </c>
      <c r="X1802">
        <v>0.97568940000000004</v>
      </c>
      <c r="Y1802">
        <v>-0.1376648</v>
      </c>
      <c r="Z1802">
        <v>-2.5553339999999998E-3</v>
      </c>
      <c r="AA1802">
        <v>0.99047560000000001</v>
      </c>
      <c r="AB1802">
        <v>25</v>
      </c>
      <c r="AC1802">
        <v>-42.270199999999903</v>
      </c>
      <c r="AD1802">
        <v>-1.0301449299999901</v>
      </c>
      <c r="AE1802">
        <v>-5.1761000000000204</v>
      </c>
      <c r="AF1802">
        <v>-5.8994890936490698</v>
      </c>
      <c r="AG1802">
        <v>-1.0301449299999901</v>
      </c>
      <c r="AH1802">
        <v>42.150175704811701</v>
      </c>
      <c r="AI1802">
        <v>91.386513316383997</v>
      </c>
      <c r="AJ1802">
        <v>97.967563257686294</v>
      </c>
      <c r="AK1802">
        <v>42.573495065467597</v>
      </c>
      <c r="AL1802">
        <v>78.625421337480901</v>
      </c>
      <c r="AM1802">
        <v>95.594351497997295</v>
      </c>
      <c r="AN1802">
        <v>1.00000005930696</v>
      </c>
    </row>
    <row r="1803" spans="1:40" x14ac:dyDescent="0.25">
      <c r="A1803" t="str">
        <f>"20190304155051852"</f>
        <v>20190304155051852</v>
      </c>
      <c r="B1803" t="str">
        <f>"1551685851848048"</f>
        <v>1551685851848048</v>
      </c>
      <c r="C1803" t="s">
        <v>40</v>
      </c>
      <c r="D1803">
        <v>4.9905759999999999</v>
      </c>
      <c r="E1803">
        <v>0.4788211</v>
      </c>
      <c r="F1803" t="s">
        <v>70</v>
      </c>
      <c r="G1803">
        <v>-277.3338</v>
      </c>
      <c r="H1803">
        <v>8.0001009999999997E-2</v>
      </c>
      <c r="I1803">
        <v>279.38380000000001</v>
      </c>
      <c r="J1803">
        <v>-235.0564</v>
      </c>
      <c r="K1803">
        <v>1.110134</v>
      </c>
      <c r="L1803">
        <v>284.65539999999999</v>
      </c>
      <c r="M1803">
        <v>-0.99981030000000004</v>
      </c>
      <c r="N1803">
        <v>-9.1540790000000007E-3</v>
      </c>
      <c r="O1803">
        <v>1.7199849999999999E-2</v>
      </c>
      <c r="P1803">
        <v>-0.97908249999999997</v>
      </c>
      <c r="Q1803">
        <v>0.1875252</v>
      </c>
      <c r="R1803">
        <v>-7.8942070000000003E-2</v>
      </c>
      <c r="S1803">
        <v>-3.048279</v>
      </c>
      <c r="T1803">
        <v>-7.3852059999999997E-2</v>
      </c>
      <c r="U1803">
        <v>-0.37762449999999997</v>
      </c>
      <c r="V1803">
        <v>-9.5770519999999998E-2</v>
      </c>
      <c r="W1803">
        <v>0.19646640000000001</v>
      </c>
      <c r="X1803">
        <v>0.97582219999999997</v>
      </c>
      <c r="Y1803">
        <v>-0.13993549999999999</v>
      </c>
      <c r="Z1803">
        <v>-2.5898660000000001E-3</v>
      </c>
      <c r="AA1803">
        <v>0.99015719999999996</v>
      </c>
      <c r="AB1803">
        <v>25</v>
      </c>
      <c r="AC1803">
        <v>-42.2774</v>
      </c>
      <c r="AD1803">
        <v>-1.03013299</v>
      </c>
      <c r="AE1803">
        <v>-5.2715999999999701</v>
      </c>
      <c r="AF1803">
        <v>-5.99451094686329</v>
      </c>
      <c r="AG1803">
        <v>-1.03013299</v>
      </c>
      <c r="AH1803">
        <v>42.155826021531396</v>
      </c>
      <c r="AI1803">
        <v>91.385883066589699</v>
      </c>
      <c r="AJ1803">
        <v>98.093137184714493</v>
      </c>
      <c r="AK1803">
        <v>42.592358505097799</v>
      </c>
      <c r="AL1803">
        <v>78.669600685395494</v>
      </c>
      <c r="AM1803">
        <v>95.6052524377032</v>
      </c>
      <c r="AN1803">
        <v>1.0000000024214299</v>
      </c>
    </row>
    <row r="1804" spans="1:40" x14ac:dyDescent="0.25">
      <c r="A1804" t="str">
        <f>"20190304155051873"</f>
        <v>20190304155051873</v>
      </c>
      <c r="B1804" t="str">
        <f>"1551685851868545"</f>
        <v>1551685851868545</v>
      </c>
      <c r="C1804" t="s">
        <v>40</v>
      </c>
      <c r="D1804">
        <v>5.0635430000000001</v>
      </c>
      <c r="E1804">
        <v>0.4785141</v>
      </c>
      <c r="F1804" t="s">
        <v>70</v>
      </c>
      <c r="G1804">
        <v>-275.76600000000002</v>
      </c>
      <c r="H1804">
        <v>8.0001459999999996E-2</v>
      </c>
      <c r="I1804">
        <v>279.57909999999998</v>
      </c>
      <c r="J1804">
        <v>-235.2937</v>
      </c>
      <c r="K1804">
        <v>1.1101179999999999</v>
      </c>
      <c r="L1804">
        <v>284.65949999999998</v>
      </c>
      <c r="M1804">
        <v>-0.99981140000000002</v>
      </c>
      <c r="N1804">
        <v>-9.06911E-3</v>
      </c>
      <c r="O1804">
        <v>1.7181149999999999E-2</v>
      </c>
      <c r="P1804">
        <v>-0.9790394</v>
      </c>
      <c r="Q1804">
        <v>0.18735080000000001</v>
      </c>
      <c r="R1804">
        <v>-7.9885650000000002E-2</v>
      </c>
      <c r="S1804">
        <v>-3.048203</v>
      </c>
      <c r="T1804">
        <v>-7.7132939999999997E-2</v>
      </c>
      <c r="U1804">
        <v>-0.3800964</v>
      </c>
      <c r="V1804">
        <v>-9.6695959999999997E-2</v>
      </c>
      <c r="W1804">
        <v>0.1962083</v>
      </c>
      <c r="X1804">
        <v>0.97578290000000001</v>
      </c>
      <c r="Y1804">
        <v>-0.14070589999999999</v>
      </c>
      <c r="Z1804">
        <v>-2.691686E-3</v>
      </c>
      <c r="AA1804">
        <v>0.99004780000000003</v>
      </c>
      <c r="AB1804">
        <v>25</v>
      </c>
      <c r="AC1804">
        <v>-40.472299999999898</v>
      </c>
      <c r="AD1804">
        <v>-1.0301165400000001</v>
      </c>
      <c r="AE1804">
        <v>-5.0803999999999903</v>
      </c>
      <c r="AF1804">
        <v>-5.77135837166795</v>
      </c>
      <c r="AG1804">
        <v>-1.0301165400000001</v>
      </c>
      <c r="AH1804">
        <v>40.353298531871701</v>
      </c>
      <c r="AI1804">
        <v>91.447573482555796</v>
      </c>
      <c r="AJ1804">
        <v>98.139287758994101</v>
      </c>
      <c r="AK1804">
        <v>40.776934901271801</v>
      </c>
      <c r="AL1804">
        <v>78.684682662036394</v>
      </c>
      <c r="AM1804">
        <v>95.659293078050794</v>
      </c>
      <c r="AN1804">
        <v>1.00000003680081</v>
      </c>
    </row>
    <row r="1805" spans="1:40" x14ac:dyDescent="0.25">
      <c r="A1805" t="str">
        <f>"20190304155051895"</f>
        <v>20190304155051895</v>
      </c>
      <c r="B1805" t="str">
        <f>"1551685851888064"</f>
        <v>1551685851888064</v>
      </c>
      <c r="C1805" t="s">
        <v>40</v>
      </c>
      <c r="D1805">
        <v>5.074649</v>
      </c>
      <c r="E1805">
        <v>0.47825079999999998</v>
      </c>
      <c r="F1805" t="s">
        <v>70</v>
      </c>
      <c r="G1805">
        <v>-275.60649999999998</v>
      </c>
      <c r="H1805">
        <v>8.0001500000000003E-2</v>
      </c>
      <c r="I1805">
        <v>279.56810000000002</v>
      </c>
      <c r="J1805">
        <v>-235.5497</v>
      </c>
      <c r="K1805">
        <v>1.1100909999999999</v>
      </c>
      <c r="L1805">
        <v>284.66390000000001</v>
      </c>
      <c r="M1805">
        <v>-0.99981260000000005</v>
      </c>
      <c r="N1805">
        <v>-8.9755300000000007E-3</v>
      </c>
      <c r="O1805">
        <v>1.7151969999999999E-2</v>
      </c>
      <c r="P1805">
        <v>-0.97896269999999996</v>
      </c>
      <c r="Q1805">
        <v>0.18758330000000001</v>
      </c>
      <c r="R1805">
        <v>-8.0278080000000002E-2</v>
      </c>
      <c r="S1805">
        <v>-3.0477289999999999</v>
      </c>
      <c r="T1805">
        <v>-7.7878950000000002E-2</v>
      </c>
      <c r="U1805">
        <v>-0.38491819999999999</v>
      </c>
      <c r="V1805">
        <v>-9.7060320000000005E-2</v>
      </c>
      <c r="W1805">
        <v>0.19634769999999999</v>
      </c>
      <c r="X1805">
        <v>0.97571870000000005</v>
      </c>
      <c r="Y1805">
        <v>-0.1422361</v>
      </c>
      <c r="Z1805">
        <v>-2.7340979999999999E-3</v>
      </c>
      <c r="AA1805">
        <v>0.98982899999999996</v>
      </c>
      <c r="AB1805">
        <v>25</v>
      </c>
      <c r="AC1805">
        <v>-40.056799999999903</v>
      </c>
      <c r="AD1805">
        <v>-1.0300895000000001</v>
      </c>
      <c r="AE1805">
        <v>-5.0957999999999899</v>
      </c>
      <c r="AF1805">
        <v>-5.7783706598610296</v>
      </c>
      <c r="AG1805">
        <v>-1.0300895000000001</v>
      </c>
      <c r="AH1805">
        <v>39.937510405634598</v>
      </c>
      <c r="AI1805">
        <v>91.462256299992305</v>
      </c>
      <c r="AJ1805">
        <v>98.232726733010395</v>
      </c>
      <c r="AK1805">
        <v>40.366513216537797</v>
      </c>
      <c r="AL1805">
        <v>78.6765373762222</v>
      </c>
      <c r="AM1805">
        <v>95.680849969477407</v>
      </c>
      <c r="AN1805">
        <v>1.0000000532717399</v>
      </c>
    </row>
    <row r="1806" spans="1:40" x14ac:dyDescent="0.25">
      <c r="A1806" t="str">
        <f>"20190304155051918"</f>
        <v>20190304155051918</v>
      </c>
      <c r="B1806" t="str">
        <f>"1551685851908560"</f>
        <v>1551685851908560</v>
      </c>
      <c r="C1806" t="s">
        <v>40</v>
      </c>
      <c r="D1806">
        <v>5.0828559999999996</v>
      </c>
      <c r="E1806">
        <v>0.47805199999999998</v>
      </c>
      <c r="F1806" t="s">
        <v>70</v>
      </c>
      <c r="G1806">
        <v>-276.32940000000002</v>
      </c>
      <c r="H1806">
        <v>8.0001290000000003E-2</v>
      </c>
      <c r="I1806">
        <v>279.46679999999998</v>
      </c>
      <c r="J1806">
        <v>-235.8065</v>
      </c>
      <c r="K1806">
        <v>1.110088</v>
      </c>
      <c r="L1806">
        <v>284.66820000000001</v>
      </c>
      <c r="M1806">
        <v>-0.99981439999999999</v>
      </c>
      <c r="N1806">
        <v>-8.8772460000000001E-3</v>
      </c>
      <c r="O1806">
        <v>1.7108350000000001E-2</v>
      </c>
      <c r="P1806">
        <v>-0.97886439999999997</v>
      </c>
      <c r="Q1806">
        <v>0.18774189999999999</v>
      </c>
      <c r="R1806">
        <v>-8.1104380000000004E-2</v>
      </c>
      <c r="S1806">
        <v>-3.0473789999999998</v>
      </c>
      <c r="T1806">
        <v>-7.6976299999999998E-2</v>
      </c>
      <c r="U1806">
        <v>-0.38836670000000001</v>
      </c>
      <c r="V1806">
        <v>-9.7846310000000006E-2</v>
      </c>
      <c r="W1806">
        <v>0.196407</v>
      </c>
      <c r="X1806">
        <v>0.97562819999999995</v>
      </c>
      <c r="Y1806">
        <v>-0.1433104</v>
      </c>
      <c r="Z1806">
        <v>-2.7204669999999999E-3</v>
      </c>
      <c r="AA1806">
        <v>0.98967400000000005</v>
      </c>
      <c r="AB1806">
        <v>25</v>
      </c>
      <c r="AC1806">
        <v>-40.5229</v>
      </c>
      <c r="AD1806">
        <v>-1.03008671</v>
      </c>
      <c r="AE1806">
        <v>-5.2014000000000298</v>
      </c>
      <c r="AF1806">
        <v>-5.8902014510473597</v>
      </c>
      <c r="AG1806">
        <v>-1.03008671</v>
      </c>
      <c r="AH1806">
        <v>40.402294214969203</v>
      </c>
      <c r="AI1806">
        <v>91.445211162853894</v>
      </c>
      <c r="AJ1806">
        <v>98.294645767486401</v>
      </c>
      <c r="AK1806">
        <v>40.842391330540103</v>
      </c>
      <c r="AL1806">
        <v>78.673071623415197</v>
      </c>
      <c r="AM1806">
        <v>95.727076361154801</v>
      </c>
      <c r="AN1806">
        <v>0.99999999733242795</v>
      </c>
    </row>
    <row r="1807" spans="1:40" x14ac:dyDescent="0.25">
      <c r="A1807" t="str">
        <f>"20190304155051940"</f>
        <v>20190304155051940</v>
      </c>
      <c r="B1807" t="str">
        <f>"1551685851938817"</f>
        <v>1551685851938817</v>
      </c>
      <c r="C1807" t="s">
        <v>40</v>
      </c>
      <c r="D1807">
        <v>5.2045579999999996</v>
      </c>
      <c r="E1807">
        <v>0.47790549999999998</v>
      </c>
      <c r="F1807" t="s">
        <v>70</v>
      </c>
      <c r="G1807">
        <v>-277.15989999999999</v>
      </c>
      <c r="H1807">
        <v>8.0001059999999999E-2</v>
      </c>
      <c r="I1807">
        <v>279.34910000000002</v>
      </c>
      <c r="J1807">
        <v>-236.0609</v>
      </c>
      <c r="K1807">
        <v>1.1100950000000001</v>
      </c>
      <c r="L1807">
        <v>284.67259999999999</v>
      </c>
      <c r="M1807">
        <v>-0.99981620000000004</v>
      </c>
      <c r="N1807">
        <v>-8.7782409999999905E-3</v>
      </c>
      <c r="O1807">
        <v>1.7048979999999998E-2</v>
      </c>
      <c r="P1807">
        <v>-0.97873379999999999</v>
      </c>
      <c r="Q1807">
        <v>0.1883118</v>
      </c>
      <c r="R1807">
        <v>-8.1359349999999997E-2</v>
      </c>
      <c r="S1807">
        <v>-3.046875</v>
      </c>
      <c r="T1807">
        <v>-7.5895669999999998E-2</v>
      </c>
      <c r="U1807">
        <v>-0.3919067</v>
      </c>
      <c r="V1807">
        <v>-9.804765E-2</v>
      </c>
      <c r="W1807">
        <v>0.196876</v>
      </c>
      <c r="X1807">
        <v>0.97551350000000003</v>
      </c>
      <c r="Y1807">
        <v>-0.14440459999999999</v>
      </c>
      <c r="Z1807">
        <v>-2.7013860000000001E-3</v>
      </c>
      <c r="AA1807">
        <v>0.98951509999999998</v>
      </c>
      <c r="AB1807">
        <v>26</v>
      </c>
      <c r="AC1807">
        <v>-41.098999999999897</v>
      </c>
      <c r="AD1807">
        <v>-1.03009394</v>
      </c>
      <c r="AE1807">
        <v>-5.3234999999999602</v>
      </c>
      <c r="AF1807">
        <v>-6.0197300343808999</v>
      </c>
      <c r="AG1807">
        <v>-1.03009394</v>
      </c>
      <c r="AH1807">
        <v>40.976945732969099</v>
      </c>
      <c r="AI1807">
        <v>91.424734418020506</v>
      </c>
      <c r="AJ1807">
        <v>98.357275241475193</v>
      </c>
      <c r="AK1807">
        <v>41.429558588219898</v>
      </c>
      <c r="AL1807">
        <v>78.645665343547904</v>
      </c>
      <c r="AM1807">
        <v>95.739452739495903</v>
      </c>
      <c r="AN1807">
        <v>1.00000004486438</v>
      </c>
    </row>
    <row r="1808" spans="1:40" x14ac:dyDescent="0.25">
      <c r="A1808" t="str">
        <f>"20190304155051964"</f>
        <v>20190304155051964</v>
      </c>
      <c r="B1808" t="str">
        <f>"1551685851958336"</f>
        <v>1551685851958336</v>
      </c>
      <c r="C1808" t="s">
        <v>40</v>
      </c>
      <c r="D1808">
        <v>5.1671760000000004</v>
      </c>
      <c r="E1808">
        <v>0.4778329</v>
      </c>
      <c r="F1808" t="s">
        <v>70</v>
      </c>
      <c r="G1808">
        <v>-278.48239999999998</v>
      </c>
      <c r="H1808">
        <v>8.0000680000000005E-2</v>
      </c>
      <c r="I1808">
        <v>279.18119999999999</v>
      </c>
      <c r="J1808">
        <v>-236.3235</v>
      </c>
      <c r="K1808">
        <v>1.1101000000000001</v>
      </c>
      <c r="L1808">
        <v>284.67689999999999</v>
      </c>
      <c r="M1808">
        <v>-0.9998184</v>
      </c>
      <c r="N1808">
        <v>-8.6818219999999901E-3</v>
      </c>
      <c r="O1808">
        <v>1.696781E-2</v>
      </c>
      <c r="P1808">
        <v>-0.97876909999999895</v>
      </c>
      <c r="Q1808">
        <v>0.18778510000000001</v>
      </c>
      <c r="R1808">
        <v>-8.2147269999999994E-2</v>
      </c>
      <c r="S1808">
        <v>-3.046646</v>
      </c>
      <c r="T1808">
        <v>-7.397985E-2</v>
      </c>
      <c r="U1808">
        <v>-0.39437870000000003</v>
      </c>
      <c r="V1808">
        <v>-9.8764489999999996E-2</v>
      </c>
      <c r="W1808">
        <v>0.19625129999999999</v>
      </c>
      <c r="X1808">
        <v>0.97556699999999996</v>
      </c>
      <c r="Y1808">
        <v>-0.1451259</v>
      </c>
      <c r="Z1808">
        <v>-2.6508500000000002E-3</v>
      </c>
      <c r="AA1808">
        <v>0.9894096</v>
      </c>
      <c r="AB1808">
        <v>26</v>
      </c>
      <c r="AC1808">
        <v>-42.158899999999903</v>
      </c>
      <c r="AD1808">
        <v>-1.0300993199999999</v>
      </c>
      <c r="AE1808">
        <v>-5.4956999999999896</v>
      </c>
      <c r="AF1808">
        <v>-6.2066363906415702</v>
      </c>
      <c r="AG1808">
        <v>-1.0300993199999999</v>
      </c>
      <c r="AH1808">
        <v>42.034900861564701</v>
      </c>
      <c r="AI1808">
        <v>91.388747569420403</v>
      </c>
      <c r="AJ1808">
        <v>98.399282686191</v>
      </c>
      <c r="AK1808">
        <v>42.5031331825816</v>
      </c>
      <c r="AL1808">
        <v>78.682169492778797</v>
      </c>
      <c r="AM1808">
        <v>95.780816583561005</v>
      </c>
      <c r="AN1808">
        <v>0.999999984362824</v>
      </c>
    </row>
    <row r="1809" spans="1:40" x14ac:dyDescent="0.25">
      <c r="A1809" t="str">
        <f>"20190304155051985"</f>
        <v>20190304155051985</v>
      </c>
      <c r="B1809" t="str">
        <f>"1551685851978832"</f>
        <v>1551685851978832</v>
      </c>
      <c r="C1809" t="s">
        <v>40</v>
      </c>
      <c r="D1809">
        <v>5.0668800000000003</v>
      </c>
      <c r="E1809">
        <v>0.47764050000000002</v>
      </c>
      <c r="F1809" t="s">
        <v>70</v>
      </c>
      <c r="G1809">
        <v>-277.55799999999999</v>
      </c>
      <c r="H1809">
        <v>8.0000940000000006E-2</v>
      </c>
      <c r="I1809">
        <v>279.29899999999998</v>
      </c>
      <c r="J1809">
        <v>-236.57140000000001</v>
      </c>
      <c r="K1809">
        <v>1.110109</v>
      </c>
      <c r="L1809">
        <v>284.68110000000001</v>
      </c>
      <c r="M1809">
        <v>-0.99982079999999995</v>
      </c>
      <c r="N1809">
        <v>-8.59971E-3</v>
      </c>
      <c r="O1809">
        <v>1.6870719999999999E-2</v>
      </c>
      <c r="P1809">
        <v>-0.97865279999999999</v>
      </c>
      <c r="Q1809">
        <v>0.18774840000000001</v>
      </c>
      <c r="R1809">
        <v>-8.360484E-2</v>
      </c>
      <c r="S1809">
        <v>-3.0463100000000001</v>
      </c>
      <c r="T1809">
        <v>-7.6101299999999997E-2</v>
      </c>
      <c r="U1809">
        <v>-0.3973083</v>
      </c>
      <c r="V1809">
        <v>-0.1001331</v>
      </c>
      <c r="W1809">
        <v>0.19612930000000001</v>
      </c>
      <c r="X1809">
        <v>0.97545199999999999</v>
      </c>
      <c r="Y1809">
        <v>-0.1459761</v>
      </c>
      <c r="Z1809">
        <v>-2.7211330000000001E-3</v>
      </c>
      <c r="AA1809">
        <v>0.98928439999999995</v>
      </c>
      <c r="AB1809">
        <v>26</v>
      </c>
      <c r="AC1809">
        <v>-40.986599999999903</v>
      </c>
      <c r="AD1809">
        <v>-1.0301080600000001</v>
      </c>
      <c r="AE1809">
        <v>-5.3820999999999799</v>
      </c>
      <c r="AF1809">
        <v>-6.0690643215228999</v>
      </c>
      <c r="AG1809">
        <v>-1.0301080600000001</v>
      </c>
      <c r="AH1809">
        <v>40.864588191722703</v>
      </c>
      <c r="AI1809">
        <v>91.428337120990307</v>
      </c>
      <c r="AJ1809">
        <v>98.447617891915797</v>
      </c>
      <c r="AK1809">
        <v>41.325648602691601</v>
      </c>
      <c r="AL1809">
        <v>78.689297977079605</v>
      </c>
      <c r="AM1809">
        <v>95.861055467781895</v>
      </c>
      <c r="AN1809">
        <v>0.99999997216904901</v>
      </c>
    </row>
    <row r="1810" spans="1:40" x14ac:dyDescent="0.25">
      <c r="A1810" t="str">
        <f>"20190304155052009"</f>
        <v>20190304155052009</v>
      </c>
      <c r="B1810" t="str">
        <f>"1551685851998352"</f>
        <v>1551685851998352</v>
      </c>
      <c r="C1810" t="s">
        <v>40</v>
      </c>
      <c r="D1810">
        <v>5.0369330000000003</v>
      </c>
      <c r="E1810">
        <v>0.4774815</v>
      </c>
      <c r="F1810" t="s">
        <v>70</v>
      </c>
      <c r="G1810">
        <v>-276.71280000000002</v>
      </c>
      <c r="H1810">
        <v>8.000119E-2</v>
      </c>
      <c r="I1810">
        <v>279.37490000000003</v>
      </c>
      <c r="J1810">
        <v>-236.8434</v>
      </c>
      <c r="K1810">
        <v>1.110112</v>
      </c>
      <c r="L1810">
        <v>284.68549999999999</v>
      </c>
      <c r="M1810">
        <v>-0.99982349999999998</v>
      </c>
      <c r="N1810">
        <v>-8.5192429999999993E-3</v>
      </c>
      <c r="O1810">
        <v>1.674103E-2</v>
      </c>
      <c r="P1810">
        <v>-0.97852870000000003</v>
      </c>
      <c r="Q1810">
        <v>0.18753839999999999</v>
      </c>
      <c r="R1810">
        <v>-8.550344E-2</v>
      </c>
      <c r="S1810">
        <v>-3.0460509999999998</v>
      </c>
      <c r="T1810">
        <v>-7.8167680000000003E-2</v>
      </c>
      <c r="U1810">
        <v>-0.40264889999999998</v>
      </c>
      <c r="V1810">
        <v>-0.1019108</v>
      </c>
      <c r="W1810">
        <v>0.19583519999999999</v>
      </c>
      <c r="X1810">
        <v>0.97532700000000006</v>
      </c>
      <c r="Y1810">
        <v>-0.14755979999999999</v>
      </c>
      <c r="Z1810">
        <v>-2.8020760000000001E-3</v>
      </c>
      <c r="AA1810">
        <v>0.98904910000000001</v>
      </c>
      <c r="AB1810">
        <v>26</v>
      </c>
      <c r="AC1810">
        <v>-39.869399999999999</v>
      </c>
      <c r="AD1810">
        <v>-1.03011081</v>
      </c>
      <c r="AE1810">
        <v>-5.31059999999996</v>
      </c>
      <c r="AF1810">
        <v>-5.9734167189194798</v>
      </c>
      <c r="AG1810">
        <v>-1.03011081</v>
      </c>
      <c r="AH1810">
        <v>39.7488320719076</v>
      </c>
      <c r="AI1810">
        <v>91.468039362259205</v>
      </c>
      <c r="AJ1810">
        <v>98.546401529179207</v>
      </c>
      <c r="AK1810">
        <v>40.2083633919543</v>
      </c>
      <c r="AL1810">
        <v>78.706482188809403</v>
      </c>
      <c r="AM1810">
        <v>95.965124238678101</v>
      </c>
      <c r="AN1810">
        <v>0.99999999682233998</v>
      </c>
    </row>
    <row r="1811" spans="1:40" x14ac:dyDescent="0.25">
      <c r="A1811" t="str">
        <f>"20190304155052032"</f>
        <v>20190304155052032</v>
      </c>
      <c r="B1811" t="str">
        <f>"1551685852028608"</f>
        <v>1551685852028608</v>
      </c>
      <c r="C1811" t="s">
        <v>40</v>
      </c>
      <c r="D1811">
        <v>5.0560960000000001</v>
      </c>
      <c r="E1811">
        <v>0.47691879999999998</v>
      </c>
      <c r="F1811" t="s">
        <v>70</v>
      </c>
      <c r="G1811">
        <v>-277.05110000000002</v>
      </c>
      <c r="H1811">
        <v>8.0001089999999997E-2</v>
      </c>
      <c r="I1811">
        <v>279.27600000000001</v>
      </c>
      <c r="J1811">
        <v>-237.11009999999999</v>
      </c>
      <c r="K1811">
        <v>1.110114</v>
      </c>
      <c r="L1811">
        <v>284.68979999999999</v>
      </c>
      <c r="M1811">
        <v>-0.99982669999999996</v>
      </c>
      <c r="N1811">
        <v>-8.4499659999999997E-3</v>
      </c>
      <c r="O1811">
        <v>1.6592260000000001E-2</v>
      </c>
      <c r="P1811">
        <v>-0.97844010000000003</v>
      </c>
      <c r="Q1811">
        <v>0.1872868</v>
      </c>
      <c r="R1811">
        <v>-8.7054930000000003E-2</v>
      </c>
      <c r="S1811">
        <v>-3.0449830000000002</v>
      </c>
      <c r="T1811">
        <v>-7.8011629999999998E-2</v>
      </c>
      <c r="U1811">
        <v>-0.40966799999999998</v>
      </c>
      <c r="V1811">
        <v>-0.1033206</v>
      </c>
      <c r="W1811">
        <v>0.19551250000000001</v>
      </c>
      <c r="X1811">
        <v>0.97524339999999998</v>
      </c>
      <c r="Y1811">
        <v>-0.14969689999999999</v>
      </c>
      <c r="Z1811">
        <v>-2.8278270000000002E-3</v>
      </c>
      <c r="AA1811">
        <v>0.98872789999999999</v>
      </c>
      <c r="AB1811">
        <v>26</v>
      </c>
      <c r="AC1811">
        <v>-39.941000000000003</v>
      </c>
      <c r="AD1811">
        <v>-1.0301129099999999</v>
      </c>
      <c r="AE1811">
        <v>-5.4137999999999797</v>
      </c>
      <c r="AF1811">
        <v>-6.0718238268530298</v>
      </c>
      <c r="AG1811">
        <v>-1.0301129099999999</v>
      </c>
      <c r="AH1811">
        <v>39.8196619665013</v>
      </c>
      <c r="AI1811">
        <v>91.464954494390298</v>
      </c>
      <c r="AJ1811">
        <v>98.669852810337701</v>
      </c>
      <c r="AK1811">
        <v>40.293096881700698</v>
      </c>
      <c r="AL1811">
        <v>78.725335883196394</v>
      </c>
      <c r="AM1811">
        <v>96.047551005969495</v>
      </c>
      <c r="AN1811">
        <v>0.999999986642084</v>
      </c>
    </row>
    <row r="1812" spans="1:40" x14ac:dyDescent="0.25">
      <c r="A1812" t="str">
        <f>"20190304155052053"</f>
        <v>20190304155052053</v>
      </c>
      <c r="B1812" t="str">
        <f>"1551685852048128"</f>
        <v>1551685852048128</v>
      </c>
      <c r="C1812" t="s">
        <v>40</v>
      </c>
      <c r="D1812">
        <v>5.0430149999999996</v>
      </c>
      <c r="E1812">
        <v>0.47640339999999998</v>
      </c>
      <c r="F1812" t="s">
        <v>70</v>
      </c>
      <c r="G1812">
        <v>-277.38139999999999</v>
      </c>
      <c r="H1812">
        <v>8.0001000000000003E-2</v>
      </c>
      <c r="I1812">
        <v>279.14389999999997</v>
      </c>
      <c r="J1812">
        <v>-237.36529999999999</v>
      </c>
      <c r="K1812">
        <v>1.110114</v>
      </c>
      <c r="L1812">
        <v>284.69380000000001</v>
      </c>
      <c r="M1812">
        <v>-0.99982969999999904</v>
      </c>
      <c r="N1812">
        <v>-8.3915269999999993E-3</v>
      </c>
      <c r="O1812">
        <v>1.643766E-2</v>
      </c>
      <c r="P1812">
        <v>-0.9783347</v>
      </c>
      <c r="Q1812">
        <v>0.18709909999999999</v>
      </c>
      <c r="R1812">
        <v>-8.8628960000000007E-2</v>
      </c>
      <c r="S1812">
        <v>-3.043701</v>
      </c>
      <c r="T1812">
        <v>-7.7855830000000001E-2</v>
      </c>
      <c r="U1812">
        <v>-0.4191589</v>
      </c>
      <c r="V1812">
        <v>-0.104745</v>
      </c>
      <c r="W1812">
        <v>0.1952642</v>
      </c>
      <c r="X1812">
        <v>0.97514120000000004</v>
      </c>
      <c r="Y1812">
        <v>-0.15262429999999999</v>
      </c>
      <c r="Z1812">
        <v>-2.867348E-3</v>
      </c>
      <c r="AA1812">
        <v>0.98828009999999999</v>
      </c>
      <c r="AB1812">
        <v>26</v>
      </c>
      <c r="AC1812">
        <v>-40.016100000000002</v>
      </c>
      <c r="AD1812">
        <v>-1.0301129999999901</v>
      </c>
      <c r="AE1812">
        <v>-5.5499000000000303</v>
      </c>
      <c r="AF1812">
        <v>-6.2029113712437098</v>
      </c>
      <c r="AG1812">
        <v>-1.0301129999999901</v>
      </c>
      <c r="AH1812">
        <v>39.8935250649346</v>
      </c>
      <c r="AI1812">
        <v>91.461583227276407</v>
      </c>
      <c r="AJ1812">
        <v>98.837960922055501</v>
      </c>
      <c r="AK1812">
        <v>40.386019664963797</v>
      </c>
      <c r="AL1812">
        <v>78.739842071489207</v>
      </c>
      <c r="AM1812">
        <v>96.130930875101498</v>
      </c>
      <c r="AN1812">
        <v>0.99999999138203999</v>
      </c>
    </row>
    <row r="1813" spans="1:40" x14ac:dyDescent="0.25">
      <c r="A1813" t="str">
        <f>"20190304155052075"</f>
        <v>20190304155052075</v>
      </c>
      <c r="B1813" t="str">
        <f>"1551685852068625"</f>
        <v>1551685852068625</v>
      </c>
      <c r="C1813" t="s">
        <v>40</v>
      </c>
      <c r="D1813">
        <v>5.011514</v>
      </c>
      <c r="E1813">
        <v>0.47601290000000002</v>
      </c>
      <c r="F1813" t="s">
        <v>70</v>
      </c>
      <c r="G1813">
        <v>-277.65030000000002</v>
      </c>
      <c r="H1813">
        <v>8.0000929999999998E-2</v>
      </c>
      <c r="I1813">
        <v>279.02350000000001</v>
      </c>
      <c r="J1813">
        <v>-237.6146</v>
      </c>
      <c r="K1813">
        <v>1.110114</v>
      </c>
      <c r="L1813">
        <v>284.69779999999997</v>
      </c>
      <c r="M1813">
        <v>-0.99983270000000002</v>
      </c>
      <c r="N1813">
        <v>-8.3415550000000005E-3</v>
      </c>
      <c r="O1813">
        <v>1.627851E-2</v>
      </c>
      <c r="P1813">
        <v>-0.9783482</v>
      </c>
      <c r="Q1813">
        <v>0.18647179999999999</v>
      </c>
      <c r="R1813">
        <v>-8.9795360000000005E-2</v>
      </c>
      <c r="S1813">
        <v>-3.0425260000000001</v>
      </c>
      <c r="T1813">
        <v>-7.7799320000000005E-2</v>
      </c>
      <c r="U1813">
        <v>-0.4282532</v>
      </c>
      <c r="V1813">
        <v>-0.1057578</v>
      </c>
      <c r="W1813">
        <v>0.1945875</v>
      </c>
      <c r="X1813">
        <v>0.97516720000000001</v>
      </c>
      <c r="Y1813">
        <v>-0.15541479999999999</v>
      </c>
      <c r="Z1813">
        <v>-2.9076660000000002E-3</v>
      </c>
      <c r="AA1813">
        <v>0.98784499999999997</v>
      </c>
      <c r="AB1813">
        <v>26</v>
      </c>
      <c r="AC1813">
        <v>-40.035699999999999</v>
      </c>
      <c r="AD1813">
        <v>-1.0301130700000001</v>
      </c>
      <c r="AE1813">
        <v>-5.6742999999999597</v>
      </c>
      <c r="AF1813">
        <v>-6.3211899161629503</v>
      </c>
      <c r="AG1813">
        <v>-1.0301130700000001</v>
      </c>
      <c r="AH1813">
        <v>39.912119855438</v>
      </c>
      <c r="AI1813">
        <v>91.460256229229003</v>
      </c>
      <c r="AJ1813">
        <v>98.999623498193898</v>
      </c>
      <c r="AK1813">
        <v>40.422714978685299</v>
      </c>
      <c r="AL1813">
        <v>78.779372924457306</v>
      </c>
      <c r="AM1813">
        <v>96.189590312034397</v>
      </c>
      <c r="AN1813">
        <v>1.00000003768646</v>
      </c>
    </row>
    <row r="1814" spans="1:40" x14ac:dyDescent="0.25">
      <c r="A1814" t="str">
        <f>"20190304155052096"</f>
        <v>20190304155052096</v>
      </c>
      <c r="B1814" t="str">
        <f>"1551685852088144"</f>
        <v>1551685852088144</v>
      </c>
      <c r="C1814" t="s">
        <v>40</v>
      </c>
      <c r="D1814">
        <v>4.9255000000000004</v>
      </c>
      <c r="E1814">
        <v>0.47570620000000002</v>
      </c>
      <c r="F1814" t="s">
        <v>70</v>
      </c>
      <c r="G1814">
        <v>-277.09460000000001</v>
      </c>
      <c r="H1814">
        <v>8.0001089999999997E-2</v>
      </c>
      <c r="I1814">
        <v>279.05430000000001</v>
      </c>
      <c r="J1814">
        <v>-237.87530000000001</v>
      </c>
      <c r="K1814">
        <v>1.110114</v>
      </c>
      <c r="L1814">
        <v>284.70179999999999</v>
      </c>
      <c r="M1814">
        <v>-0.9998359</v>
      </c>
      <c r="N1814">
        <v>-8.2964259999999904E-3</v>
      </c>
      <c r="O1814">
        <v>1.6107079999999999E-2</v>
      </c>
      <c r="P1814">
        <v>-0.97821230000000003</v>
      </c>
      <c r="Q1814">
        <v>0.18674279999999999</v>
      </c>
      <c r="R1814">
        <v>-9.0709689999999996E-2</v>
      </c>
      <c r="S1814">
        <v>-3.0416110000000001</v>
      </c>
      <c r="T1814">
        <v>-7.9361799999999996E-2</v>
      </c>
      <c r="U1814">
        <v>-0.4347839</v>
      </c>
      <c r="V1814">
        <v>-0.106503399999999</v>
      </c>
      <c r="W1814">
        <v>0.1948124</v>
      </c>
      <c r="X1814">
        <v>0.97504109999999999</v>
      </c>
      <c r="Y1814">
        <v>-0.1573621</v>
      </c>
      <c r="Z1814">
        <v>-2.9837209999999999E-3</v>
      </c>
      <c r="AA1814">
        <v>0.98753650000000004</v>
      </c>
      <c r="AB1814">
        <v>26</v>
      </c>
      <c r="AC1814">
        <v>-39.219299999999997</v>
      </c>
      <c r="AD1814">
        <v>-1.0301129099999999</v>
      </c>
      <c r="AE1814">
        <v>-5.6474999999999804</v>
      </c>
      <c r="AF1814">
        <v>-6.2742569081867803</v>
      </c>
      <c r="AG1814">
        <v>-1.0301129099999999</v>
      </c>
      <c r="AH1814">
        <v>39.096819990501601</v>
      </c>
      <c r="AI1814">
        <v>91.490206697801597</v>
      </c>
      <c r="AJ1814">
        <v>99.117089317061797</v>
      </c>
      <c r="AK1814">
        <v>39.610462831516699</v>
      </c>
      <c r="AL1814">
        <v>78.766235221127502</v>
      </c>
      <c r="AM1814">
        <v>96.233684836152605</v>
      </c>
      <c r="AN1814">
        <v>0.99999999604726497</v>
      </c>
    </row>
    <row r="1815" spans="1:40" x14ac:dyDescent="0.25">
      <c r="A1815" t="str">
        <f>"20190304155052119"</f>
        <v>20190304155052119</v>
      </c>
      <c r="B1815" t="str">
        <f>"1551685852108644"</f>
        <v>1551685852108644</v>
      </c>
      <c r="C1815" t="s">
        <v>40</v>
      </c>
      <c r="D1815">
        <v>5.0496439999999998</v>
      </c>
      <c r="E1815">
        <v>0.4753983</v>
      </c>
      <c r="F1815" t="s">
        <v>70</v>
      </c>
      <c r="G1815">
        <v>-277.4332</v>
      </c>
      <c r="H1815">
        <v>8.0000989999999994E-2</v>
      </c>
      <c r="I1815">
        <v>278.9753</v>
      </c>
      <c r="J1815">
        <v>-238.13669999999999</v>
      </c>
      <c r="K1815">
        <v>1.1101160000000001</v>
      </c>
      <c r="L1815">
        <v>284.70589999999999</v>
      </c>
      <c r="M1815">
        <v>-0.99983909999999998</v>
      </c>
      <c r="N1815">
        <v>-8.2576609999999995E-3</v>
      </c>
      <c r="O1815">
        <v>1.5931620000000001E-2</v>
      </c>
      <c r="P1815">
        <v>-0.97811479999999995</v>
      </c>
      <c r="Q1815">
        <v>0.18737100000000001</v>
      </c>
      <c r="R1815">
        <v>-9.0464970000000006E-2</v>
      </c>
      <c r="S1815">
        <v>-3.0411220000000001</v>
      </c>
      <c r="T1815">
        <v>-7.9192760000000001E-2</v>
      </c>
      <c r="U1815">
        <v>-0.44024659999999899</v>
      </c>
      <c r="V1815">
        <v>-0.10608720000000001</v>
      </c>
      <c r="W1815">
        <v>0.1954012</v>
      </c>
      <c r="X1815">
        <v>0.97496870000000002</v>
      </c>
      <c r="Y1815">
        <v>-0.15894839999999999</v>
      </c>
      <c r="Z1815">
        <v>-3.000239E-3</v>
      </c>
      <c r="AA1815">
        <v>0.98728229999999995</v>
      </c>
      <c r="AB1815">
        <v>26</v>
      </c>
      <c r="AC1815">
        <v>-39.296500000000002</v>
      </c>
      <c r="AD1815">
        <v>-1.0301150099999901</v>
      </c>
      <c r="AE1815">
        <v>-5.7305999999999804</v>
      </c>
      <c r="AF1815">
        <v>-6.3516770339554096</v>
      </c>
      <c r="AG1815">
        <v>-1.0301150099999901</v>
      </c>
      <c r="AH1815">
        <v>39.173852933662602</v>
      </c>
      <c r="AI1815">
        <v>91.486892541046402</v>
      </c>
      <c r="AJ1815">
        <v>99.209829917768701</v>
      </c>
      <c r="AK1815">
        <v>39.698812220842697</v>
      </c>
      <c r="AL1815">
        <v>78.7318389807714</v>
      </c>
      <c r="AM1815">
        <v>96.209972669167996</v>
      </c>
      <c r="AN1815">
        <v>1.0000000444724799</v>
      </c>
    </row>
    <row r="1816" spans="1:40" x14ac:dyDescent="0.25">
      <c r="A1816" t="str">
        <f>"20190304155052141"</f>
        <v>20190304155052141</v>
      </c>
      <c r="B1816" t="str">
        <f>"1551685852138897"</f>
        <v>1551685852138897</v>
      </c>
      <c r="C1816" t="s">
        <v>40</v>
      </c>
      <c r="D1816">
        <v>5.0458080000000001</v>
      </c>
      <c r="E1816">
        <v>0.47500829999999999</v>
      </c>
      <c r="F1816" t="s">
        <v>70</v>
      </c>
      <c r="G1816">
        <v>-278.98910000000001</v>
      </c>
      <c r="H1816">
        <v>8.0000539999999995E-2</v>
      </c>
      <c r="I1816">
        <v>278.76409999999998</v>
      </c>
      <c r="J1816">
        <v>-238.39410000000001</v>
      </c>
      <c r="K1816">
        <v>1.1101209999999999</v>
      </c>
      <c r="L1816">
        <v>284.70979999999997</v>
      </c>
      <c r="M1816">
        <v>-0.99984209999999996</v>
      </c>
      <c r="N1816">
        <v>-8.2250139999999992E-3</v>
      </c>
      <c r="O1816">
        <v>1.5754279999999999E-2</v>
      </c>
      <c r="P1816">
        <v>-0.97795399999999999</v>
      </c>
      <c r="Q1816">
        <v>0.18799589999999999</v>
      </c>
      <c r="R1816">
        <v>-9.0903659999999997E-2</v>
      </c>
      <c r="S1816">
        <v>-3.040924</v>
      </c>
      <c r="T1816">
        <v>-7.6678510000000005E-2</v>
      </c>
      <c r="U1816">
        <v>-0.4422913</v>
      </c>
      <c r="V1816">
        <v>-0.1063524</v>
      </c>
      <c r="W1816">
        <v>0.19599179999999999</v>
      </c>
      <c r="X1816">
        <v>0.97482120000000005</v>
      </c>
      <c r="Y1816">
        <v>-0.15943640000000001</v>
      </c>
      <c r="Z1816">
        <v>-2.9249219999999999E-3</v>
      </c>
      <c r="AA1816">
        <v>0.98720379999999996</v>
      </c>
      <c r="AB1816">
        <v>26</v>
      </c>
      <c r="AC1816">
        <v>-40.594999999999999</v>
      </c>
      <c r="AD1816">
        <v>-1.03012046</v>
      </c>
      <c r="AE1816">
        <v>-5.94569999999998</v>
      </c>
      <c r="AF1816">
        <v>-6.58038041575852</v>
      </c>
      <c r="AG1816">
        <v>-1.03012046</v>
      </c>
      <c r="AH1816">
        <v>40.470775578104998</v>
      </c>
      <c r="AI1816">
        <v>91.439168127815094</v>
      </c>
      <c r="AJ1816">
        <v>99.235237035257796</v>
      </c>
      <c r="AK1816">
        <v>41.015195116828998</v>
      </c>
      <c r="AL1816">
        <v>78.697332339452799</v>
      </c>
      <c r="AM1816">
        <v>96.226309369401406</v>
      </c>
      <c r="AN1816">
        <v>0.99999999531121997</v>
      </c>
    </row>
    <row r="1817" spans="1:40" x14ac:dyDescent="0.25">
      <c r="A1817" t="str">
        <f>"20190304155052164"</f>
        <v>20190304155052164</v>
      </c>
      <c r="B1817" t="str">
        <f>"1551685852158417"</f>
        <v>1551685852158417</v>
      </c>
      <c r="C1817" t="s">
        <v>40</v>
      </c>
      <c r="D1817">
        <v>5.0601039999999999</v>
      </c>
      <c r="E1817">
        <v>0.47480660000000002</v>
      </c>
      <c r="F1817" t="s">
        <v>72</v>
      </c>
      <c r="G1817">
        <v>-280.64670000000001</v>
      </c>
      <c r="H1817">
        <v>8.0001749999999996E-2</v>
      </c>
      <c r="I1817">
        <v>278.49610000000001</v>
      </c>
      <c r="J1817">
        <v>-238.65790000000001</v>
      </c>
      <c r="K1817">
        <v>1.1101209999999999</v>
      </c>
      <c r="L1817">
        <v>284.71379999999999</v>
      </c>
      <c r="M1817">
        <v>-0.9998454</v>
      </c>
      <c r="N1817">
        <v>-8.1966980000000005E-3</v>
      </c>
      <c r="O1817">
        <v>1.5562990000000001E-2</v>
      </c>
      <c r="P1817">
        <v>-0.97794970000000003</v>
      </c>
      <c r="Q1817">
        <v>0.1881043</v>
      </c>
      <c r="R1817">
        <v>-9.0727890000000005E-2</v>
      </c>
      <c r="S1817">
        <v>-3.040314</v>
      </c>
      <c r="T1817">
        <v>-7.412291E-2</v>
      </c>
      <c r="U1817">
        <v>-0.44711299999999998</v>
      </c>
      <c r="V1817">
        <v>-0.1059942</v>
      </c>
      <c r="W1817">
        <v>0.19607089999999999</v>
      </c>
      <c r="X1817">
        <v>0.9748443</v>
      </c>
      <c r="Y1817">
        <v>-0.16081210000000001</v>
      </c>
      <c r="Z1817">
        <v>-2.862856E-3</v>
      </c>
      <c r="AA1817">
        <v>0.98698090000000005</v>
      </c>
      <c r="AB1817">
        <v>26</v>
      </c>
      <c r="AC1817">
        <v>-41.988799999999998</v>
      </c>
      <c r="AD1817">
        <v>-1.03011924999999</v>
      </c>
      <c r="AE1817">
        <v>-6.2176999999999696</v>
      </c>
      <c r="AF1817">
        <v>-6.8663960243773898</v>
      </c>
      <c r="AG1817">
        <v>-1.03011924999999</v>
      </c>
      <c r="AH1817">
        <v>41.8622897902505</v>
      </c>
      <c r="AI1817">
        <v>91.391031485277395</v>
      </c>
      <c r="AJ1817">
        <v>99.314905737879101</v>
      </c>
      <c r="AK1817">
        <v>42.4341825244191</v>
      </c>
      <c r="AL1817">
        <v>78.692710494832298</v>
      </c>
      <c r="AM1817">
        <v>96.205356843019203</v>
      </c>
      <c r="AN1817">
        <v>0.999999988751469</v>
      </c>
    </row>
    <row r="1818" spans="1:40" x14ac:dyDescent="0.25">
      <c r="A1818" t="str">
        <f>"20190304155052186"</f>
        <v>20190304155052186</v>
      </c>
      <c r="B1818" t="str">
        <f>"1551685852177945"</f>
        <v>1551685852177945</v>
      </c>
      <c r="C1818" t="s">
        <v>40</v>
      </c>
      <c r="D1818">
        <v>5.060289</v>
      </c>
      <c r="E1818">
        <v>0.47462349999999998</v>
      </c>
      <c r="F1818" t="s">
        <v>72</v>
      </c>
      <c r="G1818">
        <v>-281.4271</v>
      </c>
      <c r="H1818">
        <v>8.0001639999999999E-2</v>
      </c>
      <c r="I1818">
        <v>278.39920000000001</v>
      </c>
      <c r="J1818">
        <v>-238.92310000000001</v>
      </c>
      <c r="K1818">
        <v>1.1101319999999999</v>
      </c>
      <c r="L1818">
        <v>284.71769999999998</v>
      </c>
      <c r="M1818">
        <v>-0.99984879999999998</v>
      </c>
      <c r="N1818">
        <v>-8.1727080000000007E-3</v>
      </c>
      <c r="O1818">
        <v>1.5352660000000001E-2</v>
      </c>
      <c r="P1818">
        <v>-0.97795279999999996</v>
      </c>
      <c r="Q1818">
        <v>0.1880811</v>
      </c>
      <c r="R1818">
        <v>-9.0741479999999999E-2</v>
      </c>
      <c r="S1818">
        <v>-3.0400999999999998</v>
      </c>
      <c r="T1818">
        <v>-7.3222519999999999E-2</v>
      </c>
      <c r="U1818">
        <v>-0.44885249999999999</v>
      </c>
      <c r="V1818">
        <v>-0.10580879999999999</v>
      </c>
      <c r="W1818">
        <v>0.1960208</v>
      </c>
      <c r="X1818">
        <v>0.97487449999999998</v>
      </c>
      <c r="Y1818">
        <v>-0.16116849999999999</v>
      </c>
      <c r="Z1818">
        <v>-2.8355260000000001E-3</v>
      </c>
      <c r="AA1818">
        <v>0.98692290000000005</v>
      </c>
      <c r="AB1818">
        <v>26</v>
      </c>
      <c r="AC1818">
        <v>-42.503999999999898</v>
      </c>
      <c r="AD1818">
        <v>-1.03013035999999</v>
      </c>
      <c r="AE1818">
        <v>-6.31849999999997</v>
      </c>
      <c r="AF1818">
        <v>-6.9663230133971998</v>
      </c>
      <c r="AG1818">
        <v>-1.03013035999999</v>
      </c>
      <c r="AH1818">
        <v>42.377627268719102</v>
      </c>
      <c r="AI1818">
        <v>91.374057234893002</v>
      </c>
      <c r="AJ1818">
        <v>99.335179750783993</v>
      </c>
      <c r="AK1818">
        <v>42.958749025222602</v>
      </c>
      <c r="AL1818">
        <v>78.695637643911795</v>
      </c>
      <c r="AM1818">
        <v>96.194396780925103</v>
      </c>
      <c r="AN1818">
        <v>0.99999997347016401</v>
      </c>
    </row>
    <row r="1819" spans="1:40" x14ac:dyDescent="0.25">
      <c r="A1819" t="str">
        <f>"20190304155052200"</f>
        <v>20190304155052200</v>
      </c>
      <c r="B1819" t="str">
        <f>"1551685852188673"</f>
        <v>1551685852188673</v>
      </c>
      <c r="C1819" t="s">
        <v>40</v>
      </c>
      <c r="D1819">
        <v>5.0561059999999998</v>
      </c>
      <c r="E1819">
        <v>0.47452939999999999</v>
      </c>
      <c r="F1819" t="s">
        <v>72</v>
      </c>
      <c r="G1819">
        <v>-282.04250000000002</v>
      </c>
      <c r="H1819">
        <v>8.0001550000000005E-2</v>
      </c>
      <c r="I1819">
        <v>278.32119999999998</v>
      </c>
      <c r="J1819">
        <v>-239.0882</v>
      </c>
      <c r="K1819">
        <v>1.110147</v>
      </c>
      <c r="L1819">
        <v>284.7201</v>
      </c>
      <c r="M1819">
        <v>-0.99985119999999905</v>
      </c>
      <c r="N1819">
        <v>-8.1602600000000008E-3</v>
      </c>
      <c r="O1819">
        <v>1.5203390000000001E-2</v>
      </c>
      <c r="P1819">
        <v>-0.97788379999999997</v>
      </c>
      <c r="Q1819">
        <v>0.18841749999999999</v>
      </c>
      <c r="R1819">
        <v>-9.078659E-2</v>
      </c>
      <c r="S1819">
        <v>-3.039749</v>
      </c>
      <c r="T1819">
        <v>-7.2620149999999994E-2</v>
      </c>
      <c r="U1819">
        <v>-0.45092769999999999</v>
      </c>
      <c r="V1819">
        <v>-0.1057136</v>
      </c>
      <c r="W1819">
        <v>0.19634160000000001</v>
      </c>
      <c r="X1819">
        <v>0.97482029999999997</v>
      </c>
      <c r="Y1819">
        <v>-0.1616976</v>
      </c>
      <c r="Z1819">
        <v>-2.8221129999999998E-3</v>
      </c>
      <c r="AA1819">
        <v>0.9868363</v>
      </c>
      <c r="AB1819">
        <v>26</v>
      </c>
      <c r="AC1819">
        <v>-42.954300000000003</v>
      </c>
      <c r="AD1819">
        <v>-1.03014545</v>
      </c>
      <c r="AE1819">
        <v>-6.3989000000000198</v>
      </c>
      <c r="AF1819">
        <v>-7.0472677824739502</v>
      </c>
      <c r="AG1819">
        <v>-1.03014545</v>
      </c>
      <c r="AH1819">
        <v>42.827949018933403</v>
      </c>
      <c r="AI1819">
        <v>91.359599682682799</v>
      </c>
      <c r="AJ1819">
        <v>99.344190745463393</v>
      </c>
      <c r="AK1819">
        <v>43.416107610130297</v>
      </c>
      <c r="AL1819">
        <v>78.676893244206695</v>
      </c>
      <c r="AM1819">
        <v>96.189208158042803</v>
      </c>
      <c r="AN1819">
        <v>1.0000000032037999</v>
      </c>
    </row>
    <row r="1820" spans="1:40" x14ac:dyDescent="0.25">
      <c r="A1820" t="str">
        <f>"20190304155052219"</f>
        <v>20190304155052219</v>
      </c>
      <c r="B1820" t="str">
        <f>"1551685852208192"</f>
        <v>1551685852208192</v>
      </c>
      <c r="C1820" t="s">
        <v>40</v>
      </c>
      <c r="D1820">
        <v>5.1978960000000001</v>
      </c>
      <c r="E1820">
        <v>0.47430369999999999</v>
      </c>
      <c r="F1820" t="s">
        <v>72</v>
      </c>
      <c r="G1820">
        <v>-283.04849999999999</v>
      </c>
      <c r="H1820">
        <v>8.0001409999999995E-2</v>
      </c>
      <c r="I1820">
        <v>278.17910000000001</v>
      </c>
      <c r="J1820">
        <v>-239.32390000000001</v>
      </c>
      <c r="K1820">
        <v>1.1101700000000001</v>
      </c>
      <c r="L1820">
        <v>284.72340000000003</v>
      </c>
      <c r="M1820">
        <v>-0.99985500000000005</v>
      </c>
      <c r="N1820">
        <v>-8.1447680000000001E-3</v>
      </c>
      <c r="O1820">
        <v>1.4964430000000001E-2</v>
      </c>
      <c r="P1820">
        <v>-0.97774430000000001</v>
      </c>
      <c r="Q1820">
        <v>0.1892056</v>
      </c>
      <c r="R1820">
        <v>-9.065165E-2</v>
      </c>
      <c r="S1820">
        <v>-3.0395810000000001</v>
      </c>
      <c r="T1820">
        <v>-7.1228029999999998E-2</v>
      </c>
      <c r="U1820">
        <v>-0.45227050000000002</v>
      </c>
      <c r="V1820">
        <v>-0.105355</v>
      </c>
      <c r="W1820">
        <v>0.1971069</v>
      </c>
      <c r="X1820">
        <v>0.97470469999999998</v>
      </c>
      <c r="Y1820">
        <v>-0.1618984</v>
      </c>
      <c r="Z1820">
        <v>-2.7769489999999999E-3</v>
      </c>
      <c r="AA1820">
        <v>0.98680349999999994</v>
      </c>
      <c r="AB1820">
        <v>26</v>
      </c>
      <c r="AC1820">
        <v>-43.724599999999903</v>
      </c>
      <c r="AD1820">
        <v>-1.0301685899999999</v>
      </c>
      <c r="AE1820">
        <v>-6.5443000000000202</v>
      </c>
      <c r="AF1820">
        <v>-7.1939966549739598</v>
      </c>
      <c r="AG1820">
        <v>-1.0301685899999999</v>
      </c>
      <c r="AH1820">
        <v>43.598098036815301</v>
      </c>
      <c r="AI1820">
        <v>91.335523215681903</v>
      </c>
      <c r="AJ1820">
        <v>99.369782307336394</v>
      </c>
      <c r="AK1820">
        <v>44.1996491798675</v>
      </c>
      <c r="AL1820">
        <v>78.632171155074204</v>
      </c>
      <c r="AM1820">
        <v>96.169101275003101</v>
      </c>
      <c r="AN1820">
        <v>1.0000000291273401</v>
      </c>
    </row>
    <row r="1821" spans="1:40" x14ac:dyDescent="0.25">
      <c r="A1821" t="str">
        <f>"20190304155052243"</f>
        <v>20190304155052243</v>
      </c>
      <c r="B1821" t="str">
        <f>"1551685852238450"</f>
        <v>1551685852238450</v>
      </c>
      <c r="C1821" t="s">
        <v>40</v>
      </c>
      <c r="D1821">
        <v>5.0269949999999897</v>
      </c>
      <c r="E1821">
        <v>0.47400819999999999</v>
      </c>
      <c r="F1821" t="s">
        <v>72</v>
      </c>
      <c r="G1821">
        <v>-285.41410000000002</v>
      </c>
      <c r="H1821">
        <v>8.0001149999999993E-2</v>
      </c>
      <c r="I1821">
        <v>277.82830000000001</v>
      </c>
      <c r="J1821">
        <v>-239.59880000000001</v>
      </c>
      <c r="K1821">
        <v>1.110204</v>
      </c>
      <c r="L1821">
        <v>284.72730000000001</v>
      </c>
      <c r="M1821">
        <v>-0.99985990000000002</v>
      </c>
      <c r="N1821">
        <v>-8.1301380000000003E-3</v>
      </c>
      <c r="O1821">
        <v>1.463682E-2</v>
      </c>
      <c r="P1821">
        <v>-0.97754589999999997</v>
      </c>
      <c r="Q1821">
        <v>0.18991830000000001</v>
      </c>
      <c r="R1821">
        <v>-9.12969E-2</v>
      </c>
      <c r="S1821">
        <v>-3.0392760000000001</v>
      </c>
      <c r="T1821">
        <v>-6.7931290000000005E-2</v>
      </c>
      <c r="U1821">
        <v>-0.45468140000000001</v>
      </c>
      <c r="V1821">
        <v>-0.105696</v>
      </c>
      <c r="W1821">
        <v>0.19779450000000001</v>
      </c>
      <c r="X1821">
        <v>0.97452839999999996</v>
      </c>
      <c r="Y1821">
        <v>-0.1623599</v>
      </c>
      <c r="Z1821">
        <v>-2.6750559999999999E-3</v>
      </c>
      <c r="AA1821">
        <v>0.98672800000000005</v>
      </c>
      <c r="AB1821">
        <v>27</v>
      </c>
      <c r="AC1821">
        <v>-45.815300000000001</v>
      </c>
      <c r="AD1821">
        <v>-1.03020285</v>
      </c>
      <c r="AE1821">
        <v>-6.899</v>
      </c>
      <c r="AF1821">
        <v>-7.5651330412614604</v>
      </c>
      <c r="AG1821">
        <v>-1.03020285</v>
      </c>
      <c r="AH1821">
        <v>45.686821015181401</v>
      </c>
      <c r="AI1821">
        <v>91.274409555599703</v>
      </c>
      <c r="AJ1821">
        <v>99.402110321670705</v>
      </c>
      <c r="AK1821">
        <v>46.3203861201237</v>
      </c>
      <c r="AL1821">
        <v>78.591982542678196</v>
      </c>
      <c r="AM1821">
        <v>96.190024884095294</v>
      </c>
      <c r="AN1821">
        <v>0.99999995552640397</v>
      </c>
    </row>
    <row r="1822" spans="1:40" x14ac:dyDescent="0.25">
      <c r="A1822" t="str">
        <f>"20190304155052264"</f>
        <v>20190304155052264</v>
      </c>
      <c r="B1822" t="str">
        <f>"1551685852257969"</f>
        <v>1551685852257969</v>
      </c>
      <c r="C1822" t="s">
        <v>40</v>
      </c>
      <c r="D1822">
        <v>5.0596370000000004</v>
      </c>
      <c r="E1822">
        <v>0.47387669999999998</v>
      </c>
      <c r="F1822" t="s">
        <v>72</v>
      </c>
      <c r="G1822">
        <v>-287.70940000000002</v>
      </c>
      <c r="H1822">
        <v>8.0001329999999996E-2</v>
      </c>
      <c r="I1822">
        <v>277.45490000000001</v>
      </c>
      <c r="J1822">
        <v>-239.85390000000001</v>
      </c>
      <c r="K1822">
        <v>1.11025</v>
      </c>
      <c r="L1822">
        <v>284.73059999999998</v>
      </c>
      <c r="M1822">
        <v>-0.99986520000000001</v>
      </c>
      <c r="N1822">
        <v>-8.1193989999999994E-3</v>
      </c>
      <c r="O1822">
        <v>1.4276250000000001E-2</v>
      </c>
      <c r="P1822">
        <v>-0.97745930000000003</v>
      </c>
      <c r="Q1822">
        <v>0.19017339999999999</v>
      </c>
      <c r="R1822">
        <v>-9.1692780000000002E-2</v>
      </c>
      <c r="S1822">
        <v>-3.0386510000000002</v>
      </c>
      <c r="T1822">
        <v>-6.506729E-2</v>
      </c>
      <c r="U1822">
        <v>-0.45932010000000001</v>
      </c>
      <c r="V1822">
        <v>-0.1057588</v>
      </c>
      <c r="W1822">
        <v>0.1980278</v>
      </c>
      <c r="X1822">
        <v>0.97447430000000002</v>
      </c>
      <c r="Y1822">
        <v>-0.1635104</v>
      </c>
      <c r="Z1822">
        <v>-2.597013E-3</v>
      </c>
      <c r="AA1822">
        <v>0.98653820000000003</v>
      </c>
      <c r="AB1822">
        <v>27</v>
      </c>
      <c r="AC1822">
        <v>-47.855499999999999</v>
      </c>
      <c r="AD1822">
        <v>-1.03024867</v>
      </c>
      <c r="AE1822">
        <v>-7.2756999999999703</v>
      </c>
      <c r="AF1822">
        <v>-7.9545746233672698</v>
      </c>
      <c r="AG1822">
        <v>-1.03024867</v>
      </c>
      <c r="AH1822">
        <v>47.725130175191197</v>
      </c>
      <c r="AI1822">
        <v>91.219836900999496</v>
      </c>
      <c r="AJ1822">
        <v>99.462773394833405</v>
      </c>
      <c r="AK1822">
        <v>48.394469932004696</v>
      </c>
      <c r="AL1822">
        <v>78.578346762361406</v>
      </c>
      <c r="AM1822">
        <v>96.194015335166696</v>
      </c>
      <c r="AN1822">
        <v>1.0000000473553801</v>
      </c>
    </row>
    <row r="1823" spans="1:40" x14ac:dyDescent="0.25">
      <c r="A1823" t="str">
        <f>"20190304155052289"</f>
        <v>20190304155052289</v>
      </c>
      <c r="B1823" t="str">
        <f>"1551685852278465"</f>
        <v>1551685852278465</v>
      </c>
      <c r="C1823" t="s">
        <v>40</v>
      </c>
      <c r="D1823">
        <v>5.1339319999999997</v>
      </c>
      <c r="E1823">
        <v>0.47377069999999999</v>
      </c>
      <c r="F1823" t="s">
        <v>72</v>
      </c>
      <c r="G1823">
        <v>-288.9504</v>
      </c>
      <c r="H1823">
        <v>8.0001379999999997E-2</v>
      </c>
      <c r="I1823">
        <v>277.26479999999998</v>
      </c>
      <c r="J1823">
        <v>-240.13480000000001</v>
      </c>
      <c r="K1823">
        <v>1.1102989999999999</v>
      </c>
      <c r="L1823">
        <v>284.73419999999999</v>
      </c>
      <c r="M1823">
        <v>-0.99987190000000004</v>
      </c>
      <c r="N1823">
        <v>-8.1101679999999992E-3</v>
      </c>
      <c r="O1823">
        <v>1.381025E-2</v>
      </c>
      <c r="P1823">
        <v>-0.9774159</v>
      </c>
      <c r="Q1823">
        <v>0.19039249999999999</v>
      </c>
      <c r="R1823">
        <v>-9.1702210000000006E-2</v>
      </c>
      <c r="S1823">
        <v>-3.0382229999999999</v>
      </c>
      <c r="T1823">
        <v>-6.3754560000000002E-2</v>
      </c>
      <c r="U1823">
        <v>-0.46200560000000002</v>
      </c>
      <c r="V1823">
        <v>-0.10533679999999999</v>
      </c>
      <c r="W1823">
        <v>0.1982254</v>
      </c>
      <c r="X1823">
        <v>0.97447980000000001</v>
      </c>
      <c r="Y1823">
        <v>-0.1639253</v>
      </c>
      <c r="Z1823">
        <v>-2.5553889999999999E-3</v>
      </c>
      <c r="AA1823">
        <v>0.98646940000000005</v>
      </c>
      <c r="AB1823">
        <v>27</v>
      </c>
      <c r="AC1823">
        <v>-48.815599999999897</v>
      </c>
      <c r="AD1823">
        <v>-1.03029762</v>
      </c>
      <c r="AE1823">
        <v>-7.4694000000000003</v>
      </c>
      <c r="AF1823">
        <v>-8.1393225415454094</v>
      </c>
      <c r="AG1823">
        <v>-1.03029762</v>
      </c>
      <c r="AH1823">
        <v>48.686594943977802</v>
      </c>
      <c r="AI1823">
        <v>91.195713698887303</v>
      </c>
      <c r="AJ1823">
        <v>99.490819510590597</v>
      </c>
      <c r="AK1823">
        <v>49.373015016910301</v>
      </c>
      <c r="AL1823">
        <v>78.566795774752606</v>
      </c>
      <c r="AM1823">
        <v>96.169456327670105</v>
      </c>
      <c r="AN1823">
        <v>1.0000000156237101</v>
      </c>
    </row>
    <row r="1824" spans="1:40" x14ac:dyDescent="0.25">
      <c r="A1824" t="str">
        <f>"20190304155052310"</f>
        <v>20190304155052310</v>
      </c>
      <c r="B1824" t="str">
        <f>"1551685852297985"</f>
        <v>1551685852297985</v>
      </c>
      <c r="C1824" t="s">
        <v>40</v>
      </c>
      <c r="D1824">
        <v>5.0834000000000001</v>
      </c>
      <c r="E1824">
        <v>0.4736399</v>
      </c>
      <c r="F1824" t="s">
        <v>72</v>
      </c>
      <c r="G1824">
        <v>-294.28719999999998</v>
      </c>
      <c r="H1824" s="1">
        <v>4.4304050000000003E-6</v>
      </c>
      <c r="I1824">
        <v>276.46280000000002</v>
      </c>
      <c r="J1824">
        <v>-240.40369999999999</v>
      </c>
      <c r="K1824">
        <v>1.1103459999999901</v>
      </c>
      <c r="L1824">
        <v>284.73739999999998</v>
      </c>
      <c r="M1824">
        <v>-0.99987890000000001</v>
      </c>
      <c r="N1824">
        <v>-8.1037799999999997E-3</v>
      </c>
      <c r="O1824">
        <v>1.328444E-2</v>
      </c>
      <c r="P1824">
        <v>-0.97746370000000005</v>
      </c>
      <c r="Q1824">
        <v>0.190332</v>
      </c>
      <c r="R1824">
        <v>-9.1315279999999999E-2</v>
      </c>
      <c r="S1824">
        <v>-3.0379179999999999</v>
      </c>
      <c r="T1824">
        <v>-6.2286849999999998E-2</v>
      </c>
      <c r="U1824">
        <v>-0.46401979999999998</v>
      </c>
      <c r="V1824">
        <v>-0.104462</v>
      </c>
      <c r="W1824">
        <v>0.1981474</v>
      </c>
      <c r="X1824">
        <v>0.97458979999999995</v>
      </c>
      <c r="Y1824">
        <v>-0.1640625</v>
      </c>
      <c r="Z1824">
        <v>-2.5045639999999999E-3</v>
      </c>
      <c r="AA1824">
        <v>0.98644679999999996</v>
      </c>
      <c r="AB1824">
        <v>27</v>
      </c>
      <c r="AC1824">
        <v>-53.883499999999998</v>
      </c>
      <c r="AD1824">
        <v>-1.1103415695950001</v>
      </c>
      <c r="AE1824">
        <v>-8.2745999999999604</v>
      </c>
      <c r="AF1824">
        <v>-8.9859776973873693</v>
      </c>
      <c r="AG1824">
        <v>-1.1103415695950001</v>
      </c>
      <c r="AH1824">
        <v>53.746521737619602</v>
      </c>
      <c r="AI1824">
        <v>91.167299031900896</v>
      </c>
      <c r="AJ1824">
        <v>99.491594433059802</v>
      </c>
      <c r="AK1824">
        <v>54.503846217230702</v>
      </c>
      <c r="AL1824">
        <v>78.571354988617003</v>
      </c>
      <c r="AM1824">
        <v>96.117925184194704</v>
      </c>
      <c r="AN1824">
        <v>0.99999998991739902</v>
      </c>
    </row>
    <row r="1825" spans="1:40" x14ac:dyDescent="0.25">
      <c r="A1825" t="str">
        <f>"20190304155052333"</f>
        <v>20190304155052333</v>
      </c>
      <c r="B1825" t="str">
        <f>"1551685852328241"</f>
        <v>1551685852328241</v>
      </c>
      <c r="C1825" t="s">
        <v>40</v>
      </c>
      <c r="D1825">
        <v>6.0144219999999997</v>
      </c>
      <c r="E1825">
        <v>0.4735219</v>
      </c>
      <c r="F1825" t="s">
        <v>72</v>
      </c>
      <c r="G1825">
        <v>-294.43189999999998</v>
      </c>
      <c r="H1825" s="1">
        <v>4.4600520000000002E-6</v>
      </c>
      <c r="I1825">
        <v>276.47199999999998</v>
      </c>
      <c r="J1825">
        <v>-240.66489999999999</v>
      </c>
      <c r="K1825">
        <v>1.110387</v>
      </c>
      <c r="L1825">
        <v>284.74029999999999</v>
      </c>
      <c r="M1825">
        <v>-0.99988639999999995</v>
      </c>
      <c r="N1825">
        <v>-8.0992640000000001E-3</v>
      </c>
      <c r="O1825">
        <v>1.271839E-2</v>
      </c>
      <c r="P1825">
        <v>-0.97755110000000001</v>
      </c>
      <c r="Q1825">
        <v>0.19021299999999999</v>
      </c>
      <c r="R1825">
        <v>-9.0624540000000003E-2</v>
      </c>
      <c r="S1825">
        <v>-3.0379330000000002</v>
      </c>
      <c r="T1825">
        <v>-6.2433120000000002E-2</v>
      </c>
      <c r="U1825">
        <v>-0.4647522</v>
      </c>
      <c r="V1825">
        <v>-0.10324120000000001</v>
      </c>
      <c r="W1825">
        <v>0.1980152</v>
      </c>
      <c r="X1825">
        <v>0.97474680000000002</v>
      </c>
      <c r="Y1825">
        <v>-0.16373560000000001</v>
      </c>
      <c r="Z1825">
        <v>-2.4970970000000002E-3</v>
      </c>
      <c r="AA1825">
        <v>0.98650110000000002</v>
      </c>
      <c r="AB1825">
        <v>27</v>
      </c>
      <c r="AC1825">
        <v>-53.767000000000003</v>
      </c>
      <c r="AD1825">
        <v>-1.1103825399480001</v>
      </c>
      <c r="AE1825">
        <v>-8.2683</v>
      </c>
      <c r="AF1825">
        <v>-8.9477552383299201</v>
      </c>
      <c r="AG1825">
        <v>-1.1103825399480001</v>
      </c>
      <c r="AH1825">
        <v>53.635141386538798</v>
      </c>
      <c r="AI1825">
        <v>91.169834995832005</v>
      </c>
      <c r="AJ1825">
        <v>99.471224266937398</v>
      </c>
      <c r="AK1825">
        <v>54.387716119948301</v>
      </c>
      <c r="AL1825">
        <v>78.579083240264595</v>
      </c>
      <c r="AM1825">
        <v>96.045993846013204</v>
      </c>
      <c r="AN1825">
        <v>1.00000004445935</v>
      </c>
    </row>
    <row r="1826" spans="1:40" x14ac:dyDescent="0.25">
      <c r="A1826" t="str">
        <f>"20190304155052353"</f>
        <v>20190304155052353</v>
      </c>
      <c r="B1826" t="str">
        <f>"1551685852348738"</f>
        <v>1551685852348738</v>
      </c>
      <c r="C1826" t="s">
        <v>40</v>
      </c>
      <c r="D1826">
        <v>5.2174050000000003</v>
      </c>
      <c r="E1826">
        <v>0.4740009</v>
      </c>
      <c r="F1826" t="s">
        <v>72</v>
      </c>
      <c r="G1826">
        <v>-294.87079999999997</v>
      </c>
      <c r="H1826" s="1">
        <v>4.5619119999999998E-6</v>
      </c>
      <c r="I1826">
        <v>276.45490000000001</v>
      </c>
      <c r="J1826">
        <v>-240.92750000000001</v>
      </c>
      <c r="K1826">
        <v>1.1104290000000001</v>
      </c>
      <c r="L1826">
        <v>284.74299999999999</v>
      </c>
      <c r="M1826">
        <v>-0.99989410000000001</v>
      </c>
      <c r="N1826">
        <v>-8.0962459999999997E-3</v>
      </c>
      <c r="O1826">
        <v>1.2098640000000001E-2</v>
      </c>
      <c r="P1826">
        <v>-0.97767280000000001</v>
      </c>
      <c r="Q1826">
        <v>0.18981990000000001</v>
      </c>
      <c r="R1826">
        <v>-9.0135149999999997E-2</v>
      </c>
      <c r="S1826">
        <v>-3.037979</v>
      </c>
      <c r="T1826">
        <v>-6.2231540000000002E-2</v>
      </c>
      <c r="U1826">
        <v>-0.46435549999999998</v>
      </c>
      <c r="V1826">
        <v>-0.1021661</v>
      </c>
      <c r="W1826">
        <v>0.1976118</v>
      </c>
      <c r="X1826">
        <v>0.97494190000000003</v>
      </c>
      <c r="Y1826">
        <v>-0.16299659999999999</v>
      </c>
      <c r="Z1826">
        <v>-2.472457E-3</v>
      </c>
      <c r="AA1826">
        <v>0.98662349999999999</v>
      </c>
      <c r="AB1826">
        <v>27</v>
      </c>
      <c r="AC1826">
        <v>-53.943299999999901</v>
      </c>
      <c r="AD1826">
        <v>-1.110424438088</v>
      </c>
      <c r="AE1826">
        <v>-8.2880999999999805</v>
      </c>
      <c r="AF1826">
        <v>-8.9364558241646996</v>
      </c>
      <c r="AG1826">
        <v>-1.110424438088</v>
      </c>
      <c r="AH1826">
        <v>53.816794956814903</v>
      </c>
      <c r="AI1826">
        <v>91.166077343525899</v>
      </c>
      <c r="AJ1826">
        <v>99.4281247143564</v>
      </c>
      <c r="AK1826">
        <v>54.565013557716703</v>
      </c>
      <c r="AL1826">
        <v>78.602662026272</v>
      </c>
      <c r="AM1826">
        <v>95.982304456968095</v>
      </c>
      <c r="AN1826">
        <v>1.00000002193202</v>
      </c>
    </row>
    <row r="1827" spans="1:40" x14ac:dyDescent="0.25">
      <c r="A1827" t="str">
        <f>"20190304155052376"</f>
        <v>20190304155052376</v>
      </c>
      <c r="B1827" t="str">
        <f>"1551685852368257"</f>
        <v>1551685852368257</v>
      </c>
      <c r="C1827" t="s">
        <v>40</v>
      </c>
      <c r="D1827">
        <v>5.033595</v>
      </c>
      <c r="E1827">
        <v>0.53625659999999997</v>
      </c>
      <c r="F1827" t="s">
        <v>72</v>
      </c>
      <c r="G1827">
        <v>-295.50049999999999</v>
      </c>
      <c r="H1827" s="1">
        <v>4.6879139999999996E-6</v>
      </c>
      <c r="I1827">
        <v>276.50630000000001</v>
      </c>
      <c r="J1827">
        <v>-241.19139999999999</v>
      </c>
      <c r="K1827">
        <v>1.1104609999999999</v>
      </c>
      <c r="L1827">
        <v>284.74549999999999</v>
      </c>
      <c r="M1827">
        <v>-0.99990199999999996</v>
      </c>
      <c r="N1827">
        <v>-8.0944659999999998E-3</v>
      </c>
      <c r="O1827">
        <v>1.143448E-2</v>
      </c>
      <c r="P1827">
        <v>-0.97773679999999996</v>
      </c>
      <c r="Q1827">
        <v>0.18949920000000001</v>
      </c>
      <c r="R1827">
        <v>-9.0118290000000004E-2</v>
      </c>
      <c r="S1827">
        <v>-3.0382389999999999</v>
      </c>
      <c r="T1827">
        <v>-6.1820510000000002E-2</v>
      </c>
      <c r="U1827">
        <v>-0.4585571</v>
      </c>
      <c r="V1827">
        <v>-0.1015161</v>
      </c>
      <c r="W1827">
        <v>0.1972836</v>
      </c>
      <c r="X1827">
        <v>0.97507630000000001</v>
      </c>
      <c r="Y1827">
        <v>-0.16048889999999999</v>
      </c>
      <c r="Z1827">
        <v>-2.4160729999999999E-3</v>
      </c>
      <c r="AA1827">
        <v>0.98703470000000004</v>
      </c>
      <c r="AB1827">
        <v>27</v>
      </c>
      <c r="AC1827">
        <v>-54.309100000000001</v>
      </c>
      <c r="AD1827">
        <v>-1.110456312086</v>
      </c>
      <c r="AE1827">
        <v>-8.2391999999999808</v>
      </c>
      <c r="AF1827">
        <v>-8.8560586693941108</v>
      </c>
      <c r="AG1827">
        <v>-1.110456312086</v>
      </c>
      <c r="AH1827">
        <v>54.189189593933001</v>
      </c>
      <c r="AI1827">
        <v>91.158586850696096</v>
      </c>
      <c r="AJ1827">
        <v>99.281709812909199</v>
      </c>
      <c r="AK1827">
        <v>54.919314974096501</v>
      </c>
      <c r="AL1827">
        <v>78.6218446170287</v>
      </c>
      <c r="AM1827">
        <v>95.943703815477406</v>
      </c>
      <c r="AN1827">
        <v>1.00000006410492</v>
      </c>
    </row>
    <row r="1828" spans="1:40" x14ac:dyDescent="0.25">
      <c r="A1828" t="str">
        <f>"20190304155052398"</f>
        <v>20190304155052398</v>
      </c>
      <c r="B1828" t="str">
        <f>"1551685852388753"</f>
        <v>1551685852388753</v>
      </c>
      <c r="C1828" t="s">
        <v>40</v>
      </c>
      <c r="D1828">
        <v>5.0151289999999999</v>
      </c>
      <c r="E1828">
        <v>0.53713630000000001</v>
      </c>
      <c r="F1828" t="s">
        <v>53</v>
      </c>
      <c r="G1828">
        <v>0</v>
      </c>
      <c r="H1828">
        <v>0</v>
      </c>
      <c r="I1828">
        <v>0</v>
      </c>
      <c r="J1828">
        <v>-241.4684</v>
      </c>
      <c r="K1828">
        <v>1.110484</v>
      </c>
      <c r="L1828">
        <v>284.74799999999999</v>
      </c>
      <c r="M1828">
        <v>-0.99991010000000002</v>
      </c>
      <c r="N1828">
        <v>-8.0936789999999995E-3</v>
      </c>
      <c r="O1828">
        <v>1.070746E-2</v>
      </c>
      <c r="P1828">
        <v>-0.97779609999999995</v>
      </c>
      <c r="Q1828">
        <v>0.18910299999999999</v>
      </c>
      <c r="R1828">
        <v>-9.0304330000000002E-2</v>
      </c>
      <c r="S1828">
        <v>-3.0720519999999998</v>
      </c>
      <c r="T1828">
        <v>-2.4992230000000001E-3</v>
      </c>
      <c r="U1828">
        <v>3.5369869999999998E-2</v>
      </c>
      <c r="V1828">
        <v>-0.1010045</v>
      </c>
      <c r="W1828">
        <v>0.19688249999999999</v>
      </c>
      <c r="X1828">
        <v>0.97521040000000003</v>
      </c>
      <c r="Y1828">
        <v>8.0519009999999896E-4</v>
      </c>
      <c r="Z1828" s="1">
        <v>8.1539819999999996E-5</v>
      </c>
      <c r="AA1828">
        <v>0.99999970000000005</v>
      </c>
      <c r="AB1828">
        <v>27</v>
      </c>
      <c r="AC1828">
        <v>-3.0720519999999998</v>
      </c>
      <c r="AD1828">
        <v>-2.4992230000000001E-3</v>
      </c>
      <c r="AE1828">
        <v>3.5369869999999998E-2</v>
      </c>
      <c r="AF1828">
        <v>2.4728952506296101E-3</v>
      </c>
      <c r="AG1828">
        <v>-2.4992230000000001E-3</v>
      </c>
      <c r="AH1828">
        <v>3.0722525792939099</v>
      </c>
      <c r="AI1828">
        <v>90.046609075358404</v>
      </c>
      <c r="AJ1828">
        <v>89.9538819069125</v>
      </c>
      <c r="AK1828">
        <v>3.0722545910624999</v>
      </c>
      <c r="AL1828">
        <v>78.645284694544898</v>
      </c>
      <c r="AM1828">
        <v>95.913155328467894</v>
      </c>
      <c r="AN1828">
        <v>0.99999997604732904</v>
      </c>
    </row>
    <row r="1829" spans="1:40" x14ac:dyDescent="0.25">
      <c r="A1829" t="str">
        <f>"20190304155052420"</f>
        <v>20190304155052420</v>
      </c>
      <c r="B1829" t="str">
        <f>"1551685852418032"</f>
        <v>1551685852418032</v>
      </c>
      <c r="C1829" t="s">
        <v>40</v>
      </c>
      <c r="D1829">
        <v>5.0677490000000001</v>
      </c>
      <c r="E1829">
        <v>0.53697069999999902</v>
      </c>
      <c r="F1829" t="s">
        <v>52</v>
      </c>
      <c r="G1829">
        <v>-1297.6759999999999</v>
      </c>
      <c r="H1829">
        <v>-0.1</v>
      </c>
      <c r="I1829">
        <v>299.33949999999999</v>
      </c>
      <c r="J1829">
        <v>-241.73779999999999</v>
      </c>
      <c r="K1829">
        <v>1.1105</v>
      </c>
      <c r="L1829">
        <v>284.75009999999997</v>
      </c>
      <c r="M1829">
        <v>-0.99991739999999996</v>
      </c>
      <c r="N1829">
        <v>-8.0937860000000004E-3</v>
      </c>
      <c r="O1829">
        <v>9.9839339999999999E-3</v>
      </c>
      <c r="P1829">
        <v>-0.97771799999999998</v>
      </c>
      <c r="Q1829">
        <v>0.18924379999999999</v>
      </c>
      <c r="R1829">
        <v>-9.0854820000000003E-2</v>
      </c>
      <c r="S1829">
        <v>-3.0727389999999999</v>
      </c>
      <c r="T1829">
        <v>-3.5215620000000002E-3</v>
      </c>
      <c r="U1829">
        <v>4.244995E-2</v>
      </c>
      <c r="V1829">
        <v>-0.10085479999999999</v>
      </c>
      <c r="W1829">
        <v>0.197019</v>
      </c>
      <c r="X1829">
        <v>0.97519829999999996</v>
      </c>
      <c r="Y1829">
        <v>3.8299279999999998E-3</v>
      </c>
      <c r="Z1829" s="1">
        <v>8.706141E-5</v>
      </c>
      <c r="AA1829">
        <v>0.99999269999999996</v>
      </c>
      <c r="AB1829">
        <v>27</v>
      </c>
      <c r="AC1829">
        <v>-1055.9382000000001</v>
      </c>
      <c r="AD1829">
        <v>-1.2104999999999999</v>
      </c>
      <c r="AE1829">
        <v>14.589399999999999</v>
      </c>
      <c r="AF1829">
        <v>4.0459048372099602</v>
      </c>
      <c r="AG1829">
        <v>-1.2104999999999999</v>
      </c>
      <c r="AH1829">
        <v>1056.0298446781301</v>
      </c>
      <c r="AI1829">
        <v>90.065676175780098</v>
      </c>
      <c r="AJ1829">
        <v>89.780487134482598</v>
      </c>
      <c r="AK1829">
        <v>1056.03828884521</v>
      </c>
      <c r="AL1829">
        <v>78.6373072836288</v>
      </c>
      <c r="AM1829">
        <v>95.904526073339397</v>
      </c>
      <c r="AN1829">
        <v>0.99999995068346303</v>
      </c>
    </row>
    <row r="1830" spans="1:40" x14ac:dyDescent="0.25">
      <c r="A1830" t="str">
        <f>"20190304155052445"</f>
        <v>20190304155052445</v>
      </c>
      <c r="B1830" t="str">
        <f>"1551685852438529"</f>
        <v>1551685852438529</v>
      </c>
      <c r="C1830" t="s">
        <v>40</v>
      </c>
      <c r="D1830">
        <v>5.0771519999999999</v>
      </c>
      <c r="E1830">
        <v>0.53695619999999999</v>
      </c>
      <c r="F1830" t="s">
        <v>53</v>
      </c>
      <c r="G1830">
        <v>0</v>
      </c>
      <c r="H1830">
        <v>0</v>
      </c>
      <c r="I1830">
        <v>0</v>
      </c>
      <c r="J1830">
        <v>-242.03049999999999</v>
      </c>
      <c r="K1830">
        <v>1.1105020000000001</v>
      </c>
      <c r="L1830">
        <v>284.75220000000002</v>
      </c>
      <c r="M1830">
        <v>-0.99992510000000001</v>
      </c>
      <c r="N1830">
        <v>-8.0948589999999994E-3</v>
      </c>
      <c r="O1830">
        <v>9.1907259999999998E-3</v>
      </c>
      <c r="P1830">
        <v>-0.97739089999999995</v>
      </c>
      <c r="Q1830">
        <v>0.19057460000000001</v>
      </c>
      <c r="R1830">
        <v>-9.1587650000000007E-2</v>
      </c>
      <c r="S1830">
        <v>-3.072098</v>
      </c>
      <c r="T1830">
        <v>-7.346869E-4</v>
      </c>
      <c r="U1830">
        <v>3.8452149999999997E-2</v>
      </c>
      <c r="V1830">
        <v>-0.10081610000000001</v>
      </c>
      <c r="W1830">
        <v>0.19834650000000001</v>
      </c>
      <c r="X1830">
        <v>0.97493320000000006</v>
      </c>
      <c r="Y1830">
        <v>3.3250419999999998E-3</v>
      </c>
      <c r="Z1830" s="1">
        <v>8.6056239999999994E-5</v>
      </c>
      <c r="AA1830">
        <v>0.99999450000000001</v>
      </c>
      <c r="AB1830">
        <v>27</v>
      </c>
      <c r="AC1830">
        <v>-3.072098</v>
      </c>
      <c r="AD1830">
        <v>-7.346869E-4</v>
      </c>
      <c r="AE1830">
        <v>3.8452149999999997E-2</v>
      </c>
      <c r="AF1830">
        <v>1.0214792032540001E-2</v>
      </c>
      <c r="AG1830">
        <v>-7.346869E-4</v>
      </c>
      <c r="AH1830">
        <v>3.07232147861153</v>
      </c>
      <c r="AI1830">
        <v>90.0137011134631</v>
      </c>
      <c r="AJ1830">
        <v>89.809504858257299</v>
      </c>
      <c r="AK1830">
        <v>3.0723385473737799</v>
      </c>
      <c r="AL1830">
        <v>78.559716308573201</v>
      </c>
      <c r="AM1830">
        <v>95.903869975760202</v>
      </c>
      <c r="AN1830">
        <v>0.99999998227184905</v>
      </c>
    </row>
    <row r="1831" spans="1:40" x14ac:dyDescent="0.25">
      <c r="A1831" t="str">
        <f>"20190304155052465"</f>
        <v>20190304155052465</v>
      </c>
      <c r="B1831" t="str">
        <f>"1551685852458049"</f>
        <v>1551685852458049</v>
      </c>
      <c r="C1831" t="s">
        <v>40</v>
      </c>
      <c r="D1831">
        <v>5.0489560000000004</v>
      </c>
      <c r="E1831">
        <v>0.5369543</v>
      </c>
      <c r="F1831" t="s">
        <v>53</v>
      </c>
      <c r="G1831">
        <v>0</v>
      </c>
      <c r="H1831">
        <v>0</v>
      </c>
      <c r="I1831">
        <v>0</v>
      </c>
      <c r="J1831">
        <v>-242.28059999999999</v>
      </c>
      <c r="K1831">
        <v>1.1105100000000001</v>
      </c>
      <c r="L1831">
        <v>284.75380000000001</v>
      </c>
      <c r="M1831">
        <v>-0.99993120000000002</v>
      </c>
      <c r="N1831">
        <v>-8.0965329999999995E-3</v>
      </c>
      <c r="O1831">
        <v>8.5121409999999904E-3</v>
      </c>
      <c r="P1831">
        <v>-0.97711499999999996</v>
      </c>
      <c r="Q1831">
        <v>0.19173499999999999</v>
      </c>
      <c r="R1831">
        <v>-9.2112410000000006E-2</v>
      </c>
      <c r="S1831">
        <v>-3.0724490000000002</v>
      </c>
      <c r="T1831">
        <v>1.218319E-3</v>
      </c>
      <c r="U1831">
        <v>3.4851069999999998E-2</v>
      </c>
      <c r="V1831">
        <v>-0.1006794</v>
      </c>
      <c r="W1831">
        <v>0.19950590000000001</v>
      </c>
      <c r="X1831">
        <v>0.97471079999999999</v>
      </c>
      <c r="Y1831">
        <v>2.8303930000000001E-3</v>
      </c>
      <c r="Z1831" s="1">
        <v>8.3191860000000003E-5</v>
      </c>
      <c r="AA1831">
        <v>0.999996</v>
      </c>
      <c r="AB1831">
        <v>27</v>
      </c>
      <c r="AC1831">
        <v>-3.0724490000000002</v>
      </c>
      <c r="AD1831">
        <v>1.218319E-3</v>
      </c>
      <c r="AE1831">
        <v>3.4851069999999998E-2</v>
      </c>
      <c r="AF1831">
        <v>8.69583499839717E-3</v>
      </c>
      <c r="AG1831">
        <v>1.218319E-3</v>
      </c>
      <c r="AH1831">
        <v>3.0726338650306402</v>
      </c>
      <c r="AI1831">
        <v>89.977281948756797</v>
      </c>
      <c r="AJ1831">
        <v>89.837848134059399</v>
      </c>
      <c r="AK1831">
        <v>3.07264641154504</v>
      </c>
      <c r="AL1831">
        <v>78.491933616839205</v>
      </c>
      <c r="AM1831">
        <v>95.897256940748093</v>
      </c>
      <c r="AN1831">
        <v>1.0000000446779</v>
      </c>
    </row>
    <row r="1832" spans="1:40" x14ac:dyDescent="0.25">
      <c r="A1832" t="str">
        <f>"20190304155052489"</f>
        <v>20190304155052489</v>
      </c>
      <c r="B1832" t="str">
        <f>"1551685852478549"</f>
        <v>1551685852478549</v>
      </c>
      <c r="C1832" t="s">
        <v>40</v>
      </c>
      <c r="D1832">
        <v>4.9944829999999998</v>
      </c>
      <c r="E1832">
        <v>0.5367132</v>
      </c>
      <c r="F1832" t="s">
        <v>53</v>
      </c>
      <c r="G1832">
        <v>0</v>
      </c>
      <c r="H1832">
        <v>0</v>
      </c>
      <c r="I1832">
        <v>0</v>
      </c>
      <c r="J1832">
        <v>-242.56790000000001</v>
      </c>
      <c r="K1832">
        <v>1.110509</v>
      </c>
      <c r="L1832">
        <v>284.75540000000001</v>
      </c>
      <c r="M1832">
        <v>-0.99993730000000003</v>
      </c>
      <c r="N1832">
        <v>-8.0991780000000003E-3</v>
      </c>
      <c r="O1832">
        <v>7.7365919999999996E-3</v>
      </c>
      <c r="P1832">
        <v>-0.97716080000000005</v>
      </c>
      <c r="Q1832">
        <v>0.1915519</v>
      </c>
      <c r="R1832">
        <v>-9.2007199999999997E-2</v>
      </c>
      <c r="S1832">
        <v>-3.0726619999999998</v>
      </c>
      <c r="T1832">
        <v>2.9565099999999999E-3</v>
      </c>
      <c r="U1832">
        <v>3.1890870000000002E-2</v>
      </c>
      <c r="V1832">
        <v>-9.9818589999999999E-2</v>
      </c>
      <c r="W1832">
        <v>0.1993269</v>
      </c>
      <c r="X1832">
        <v>0.97483589999999998</v>
      </c>
      <c r="Y1832">
        <v>2.641933E-3</v>
      </c>
      <c r="Z1832" s="1">
        <v>7.9532339999999993E-5</v>
      </c>
      <c r="AA1832">
        <v>0.99999649999999995</v>
      </c>
      <c r="AB1832">
        <v>27</v>
      </c>
      <c r="AC1832">
        <v>-3.0726619999999998</v>
      </c>
      <c r="AD1832">
        <v>2.9565099999999999E-3</v>
      </c>
      <c r="AE1832">
        <v>3.1890870000000002E-2</v>
      </c>
      <c r="AF1832">
        <v>8.1171966903123196E-3</v>
      </c>
      <c r="AG1832">
        <v>2.9565099999999999E-3</v>
      </c>
      <c r="AH1832">
        <v>3.0728139258784801</v>
      </c>
      <c r="AI1832">
        <v>89.944873036287404</v>
      </c>
      <c r="AJ1832">
        <v>89.848646862043907</v>
      </c>
      <c r="AK1832">
        <v>3.0728260694198499</v>
      </c>
      <c r="AL1832">
        <v>78.502399230771601</v>
      </c>
      <c r="AM1832">
        <v>95.846441007060804</v>
      </c>
      <c r="AN1832">
        <v>0.99999999795100403</v>
      </c>
    </row>
    <row r="1833" spans="1:40" x14ac:dyDescent="0.25">
      <c r="A1833" t="str">
        <f>"20190304155052510"</f>
        <v>20190304155052510</v>
      </c>
      <c r="B1833" t="str">
        <f>"1551685852498069"</f>
        <v>1551685852498069</v>
      </c>
      <c r="C1833" t="s">
        <v>40</v>
      </c>
      <c r="D1833">
        <v>5.0621429999999998</v>
      </c>
      <c r="E1833">
        <v>0.53679949999999999</v>
      </c>
      <c r="F1833" t="s">
        <v>53</v>
      </c>
      <c r="G1833">
        <v>0</v>
      </c>
      <c r="H1833">
        <v>0</v>
      </c>
      <c r="I1833">
        <v>0</v>
      </c>
      <c r="J1833">
        <v>-242.83459999999999</v>
      </c>
      <c r="K1833">
        <v>1.1105130000000001</v>
      </c>
      <c r="L1833">
        <v>284.75670000000002</v>
      </c>
      <c r="M1833">
        <v>-0.99994249999999996</v>
      </c>
      <c r="N1833">
        <v>-8.1021080000000002E-3</v>
      </c>
      <c r="O1833">
        <v>7.0218499999999996E-3</v>
      </c>
      <c r="P1833">
        <v>-0.97713050000000001</v>
      </c>
      <c r="Q1833">
        <v>0.19183800000000001</v>
      </c>
      <c r="R1833">
        <v>-9.1729749999999999E-2</v>
      </c>
      <c r="S1833">
        <v>-3.0725859999999998</v>
      </c>
      <c r="T1833">
        <v>1.4992950000000001E-3</v>
      </c>
      <c r="U1833">
        <v>2.9235839999999999E-2</v>
      </c>
      <c r="V1833">
        <v>-9.8844319999999999E-2</v>
      </c>
      <c r="W1833">
        <v>0.19961709999999999</v>
      </c>
      <c r="X1833">
        <v>0.97487579999999996</v>
      </c>
      <c r="Y1833">
        <v>2.4928960000000001E-3</v>
      </c>
      <c r="Z1833" s="1">
        <v>6.9809480000000002E-5</v>
      </c>
      <c r="AA1833">
        <v>0.99999689999999997</v>
      </c>
      <c r="AB1833">
        <v>27</v>
      </c>
      <c r="AC1833">
        <v>-3.0725859999999998</v>
      </c>
      <c r="AD1833">
        <v>1.4992950000000001E-3</v>
      </c>
      <c r="AE1833">
        <v>2.9235839999999999E-2</v>
      </c>
      <c r="AF1833">
        <v>7.6591706824523003E-3</v>
      </c>
      <c r="AG1833">
        <v>1.4992950000000001E-3</v>
      </c>
      <c r="AH1833">
        <v>3.0727148099150901</v>
      </c>
      <c r="AI1833">
        <v>89.972043288305599</v>
      </c>
      <c r="AJ1833">
        <v>89.857182565595906</v>
      </c>
      <c r="AK1833">
        <v>3.0727247214569302</v>
      </c>
      <c r="AL1833">
        <v>78.485431085541506</v>
      </c>
      <c r="AM1833">
        <v>95.789531567572098</v>
      </c>
      <c r="AN1833">
        <v>1.0000000058171501</v>
      </c>
    </row>
    <row r="1834" spans="1:40" x14ac:dyDescent="0.25">
      <c r="A1834" t="str">
        <f>"20190304155052532"</f>
        <v>20190304155052532</v>
      </c>
      <c r="B1834" t="str">
        <f>"1551685852528321"</f>
        <v>1551685852528321</v>
      </c>
      <c r="C1834" t="s">
        <v>40</v>
      </c>
      <c r="D1834">
        <v>4.9371179999999999</v>
      </c>
      <c r="E1834">
        <v>0.53707299999999902</v>
      </c>
      <c r="F1834" t="s">
        <v>53</v>
      </c>
      <c r="G1834">
        <v>0</v>
      </c>
      <c r="H1834">
        <v>0</v>
      </c>
      <c r="I1834">
        <v>0</v>
      </c>
      <c r="J1834">
        <v>-243.10220000000001</v>
      </c>
      <c r="K1834">
        <v>1.1105229999999999</v>
      </c>
      <c r="L1834">
        <v>284.75790000000001</v>
      </c>
      <c r="M1834">
        <v>-0.99994729999999998</v>
      </c>
      <c r="N1834">
        <v>-8.1054379999999995E-3</v>
      </c>
      <c r="O1834">
        <v>6.310268E-3</v>
      </c>
      <c r="P1834">
        <v>-0.97691059999999996</v>
      </c>
      <c r="Q1834">
        <v>0.19327639999999999</v>
      </c>
      <c r="R1834">
        <v>-9.1049710000000006E-2</v>
      </c>
      <c r="S1834">
        <v>-3.0726010000000001</v>
      </c>
      <c r="T1834">
        <v>2.3636820000000002E-3</v>
      </c>
      <c r="U1834">
        <v>3.0181880000000001E-2</v>
      </c>
      <c r="V1834">
        <v>-9.7470509999999996E-2</v>
      </c>
      <c r="W1834">
        <v>0.20105880000000001</v>
      </c>
      <c r="X1834">
        <v>0.97471790000000003</v>
      </c>
      <c r="Y1834">
        <v>3.5123279999999999E-3</v>
      </c>
      <c r="Z1834" s="1">
        <v>6.8885909999999998E-5</v>
      </c>
      <c r="AA1834">
        <v>0.99999380000000004</v>
      </c>
      <c r="AB1834">
        <v>28</v>
      </c>
      <c r="AC1834">
        <v>-3.0726010000000001</v>
      </c>
      <c r="AD1834">
        <v>2.3636820000000002E-3</v>
      </c>
      <c r="AE1834">
        <v>3.0181880000000001E-2</v>
      </c>
      <c r="AF1834">
        <v>1.0791701115776899E-2</v>
      </c>
      <c r="AG1834">
        <v>2.3636820000000002E-3</v>
      </c>
      <c r="AH1834">
        <v>3.0727284644584301</v>
      </c>
      <c r="AI1834">
        <v>89.955925770099995</v>
      </c>
      <c r="AJ1834">
        <v>89.798772852012405</v>
      </c>
      <c r="AK1834">
        <v>3.0727483242365699</v>
      </c>
      <c r="AL1834">
        <v>78.401119142475096</v>
      </c>
      <c r="AM1834">
        <v>95.710518641604395</v>
      </c>
      <c r="AN1834">
        <v>1.00000006297875</v>
      </c>
    </row>
    <row r="1835" spans="1:40" x14ac:dyDescent="0.25">
      <c r="A1835" t="str">
        <f>"20190304155052554"</f>
        <v>20190304155052554</v>
      </c>
      <c r="B1835" t="str">
        <f>"1551685852548817"</f>
        <v>1551685852548817</v>
      </c>
      <c r="C1835" t="s">
        <v>40</v>
      </c>
      <c r="D1835">
        <v>5.2225129999999904</v>
      </c>
      <c r="E1835">
        <v>0.537695699999999</v>
      </c>
      <c r="F1835" t="s">
        <v>53</v>
      </c>
      <c r="G1835">
        <v>0</v>
      </c>
      <c r="H1835">
        <v>0</v>
      </c>
      <c r="I1835">
        <v>0</v>
      </c>
      <c r="J1835">
        <v>-243.3801</v>
      </c>
      <c r="K1835">
        <v>1.1105290000000001</v>
      </c>
      <c r="L1835">
        <v>284.75889999999998</v>
      </c>
      <c r="M1835">
        <v>-0.9999517</v>
      </c>
      <c r="N1835">
        <v>-8.1093810000000006E-3</v>
      </c>
      <c r="O1835">
        <v>5.5777730000000003E-3</v>
      </c>
      <c r="P1835">
        <v>-0.97647459999999997</v>
      </c>
      <c r="Q1835">
        <v>0.19535150000000001</v>
      </c>
      <c r="R1835">
        <v>-9.1296429999999998E-2</v>
      </c>
      <c r="S1835">
        <v>-3.072845</v>
      </c>
      <c r="T1835">
        <v>6.6471100000000003E-3</v>
      </c>
      <c r="U1835">
        <v>3.5125730000000001E-2</v>
      </c>
      <c r="V1835">
        <v>-9.7002329999999998E-2</v>
      </c>
      <c r="W1835">
        <v>0.2031355</v>
      </c>
      <c r="X1835">
        <v>0.97433389999999997</v>
      </c>
      <c r="Y1835">
        <v>5.852828E-3</v>
      </c>
      <c r="Z1835" s="1">
        <v>7.4699359999999996E-5</v>
      </c>
      <c r="AA1835">
        <v>0.99998290000000001</v>
      </c>
      <c r="AB1835">
        <v>28</v>
      </c>
      <c r="AC1835">
        <v>-3.072845</v>
      </c>
      <c r="AD1835">
        <v>6.6471100000000003E-3</v>
      </c>
      <c r="AE1835">
        <v>3.5125730000000001E-2</v>
      </c>
      <c r="AF1835">
        <v>1.7984906299816202E-2</v>
      </c>
      <c r="AG1835">
        <v>6.6471100000000003E-3</v>
      </c>
      <c r="AH1835">
        <v>3.0729787481458199</v>
      </c>
      <c r="AI1835">
        <v>89.876066753547704</v>
      </c>
      <c r="AJ1835">
        <v>89.664674719479095</v>
      </c>
      <c r="AK1835">
        <v>3.0730385658956201</v>
      </c>
      <c r="AL1835">
        <v>78.279625469661198</v>
      </c>
      <c r="AM1835">
        <v>95.685494498835695</v>
      </c>
      <c r="AN1835">
        <v>1.00000001603744</v>
      </c>
    </row>
    <row r="1836" spans="1:40" x14ac:dyDescent="0.25">
      <c r="A1836" t="str">
        <f>"20190304155052578"</f>
        <v>20190304155052578</v>
      </c>
      <c r="B1836" t="str">
        <f>"1551685852568337"</f>
        <v>1551685852568337</v>
      </c>
      <c r="C1836" t="s">
        <v>40</v>
      </c>
      <c r="D1836">
        <v>5.1484740000000002</v>
      </c>
      <c r="E1836">
        <v>0.53797969999999995</v>
      </c>
      <c r="F1836" t="s">
        <v>53</v>
      </c>
      <c r="G1836">
        <v>0</v>
      </c>
      <c r="H1836">
        <v>0</v>
      </c>
      <c r="I1836">
        <v>0</v>
      </c>
      <c r="J1836">
        <v>-243.6754</v>
      </c>
      <c r="K1836">
        <v>1.110525</v>
      </c>
      <c r="L1836">
        <v>284.75970000000001</v>
      </c>
      <c r="M1836">
        <v>-0.9999557</v>
      </c>
      <c r="N1836">
        <v>-8.116346E-3</v>
      </c>
      <c r="O1836">
        <v>4.8091820000000004E-3</v>
      </c>
      <c r="P1836">
        <v>-0.9761666</v>
      </c>
      <c r="Q1836">
        <v>0.19673750000000001</v>
      </c>
      <c r="R1836">
        <v>-9.1616340000000004E-2</v>
      </c>
      <c r="S1836">
        <v>-3.0738219999999998</v>
      </c>
      <c r="T1836">
        <v>1.06976E-2</v>
      </c>
      <c r="U1836">
        <v>3.9825439999999997E-2</v>
      </c>
      <c r="V1836">
        <v>-9.6570939999999994E-2</v>
      </c>
      <c r="W1836">
        <v>0.20452709999999999</v>
      </c>
      <c r="X1836">
        <v>0.9740856</v>
      </c>
      <c r="Y1836">
        <v>8.1465419999999997E-3</v>
      </c>
      <c r="Z1836" s="1">
        <v>7.4654720000000003E-5</v>
      </c>
      <c r="AA1836">
        <v>0.99996680000000004</v>
      </c>
      <c r="AB1836">
        <v>28</v>
      </c>
      <c r="AC1836">
        <v>-3.0738219999999998</v>
      </c>
      <c r="AD1836">
        <v>1.06976E-2</v>
      </c>
      <c r="AE1836">
        <v>3.9825439999999997E-2</v>
      </c>
      <c r="AF1836">
        <v>2.50416228050187E-2</v>
      </c>
      <c r="AG1836">
        <v>1.06976E-2</v>
      </c>
      <c r="AH1836">
        <v>3.0739407602210602</v>
      </c>
      <c r="AI1836">
        <v>89.800612774484904</v>
      </c>
      <c r="AJ1836">
        <v>89.5332546484359</v>
      </c>
      <c r="AK1836">
        <v>3.0740613720072201</v>
      </c>
      <c r="AL1836">
        <v>78.198182883307794</v>
      </c>
      <c r="AM1836">
        <v>95.661807942416999</v>
      </c>
      <c r="AN1836">
        <v>1.0000000186071201</v>
      </c>
    </row>
    <row r="1837" spans="1:40" x14ac:dyDescent="0.25">
      <c r="A1837" t="str">
        <f>"20190304155052590"</f>
        <v>20190304155052590</v>
      </c>
      <c r="B1837" t="str">
        <f>"1551685852588833"</f>
        <v>1551685852588833</v>
      </c>
      <c r="C1837" t="s">
        <v>40</v>
      </c>
      <c r="D1837">
        <v>5.0342159999999998</v>
      </c>
      <c r="E1837">
        <v>0.53773019999999905</v>
      </c>
      <c r="F1837" t="s">
        <v>53</v>
      </c>
      <c r="G1837">
        <v>0</v>
      </c>
      <c r="H1837">
        <v>0</v>
      </c>
      <c r="I1837">
        <v>0</v>
      </c>
      <c r="J1837">
        <v>-243.8304</v>
      </c>
      <c r="K1837">
        <v>1.110527</v>
      </c>
      <c r="L1837">
        <v>284.76</v>
      </c>
      <c r="M1837">
        <v>-0.99995730000000005</v>
      </c>
      <c r="N1837">
        <v>-8.122242E-3</v>
      </c>
      <c r="O1837">
        <v>4.4115739999999997E-3</v>
      </c>
      <c r="P1837">
        <v>-0.97592760000000001</v>
      </c>
      <c r="Q1837">
        <v>0.1976512</v>
      </c>
      <c r="R1837">
        <v>-9.2192839999999998E-2</v>
      </c>
      <c r="S1837">
        <v>-3.0746920000000002</v>
      </c>
      <c r="T1837">
        <v>1.198459E-2</v>
      </c>
      <c r="U1837">
        <v>4.1229250000000002E-2</v>
      </c>
      <c r="V1837">
        <v>-9.67586E-2</v>
      </c>
      <c r="W1837">
        <v>0.20544560000000001</v>
      </c>
      <c r="X1837">
        <v>0.97387360000000001</v>
      </c>
      <c r="Y1837">
        <v>8.9969669999999998E-3</v>
      </c>
      <c r="Z1837" s="1">
        <v>7.2031729999999999E-5</v>
      </c>
      <c r="AA1837">
        <v>0.9999595</v>
      </c>
      <c r="AB1837">
        <v>28</v>
      </c>
      <c r="AC1837">
        <v>-3.0746920000000002</v>
      </c>
      <c r="AD1837">
        <v>1.198459E-2</v>
      </c>
      <c r="AE1837">
        <v>4.1229250000000002E-2</v>
      </c>
      <c r="AF1837">
        <v>2.7663750056468699E-2</v>
      </c>
      <c r="AG1837">
        <v>1.198459E-2</v>
      </c>
      <c r="AH1837">
        <v>3.0747972630081799</v>
      </c>
      <c r="AI1837">
        <v>89.776689289963798</v>
      </c>
      <c r="AJ1837">
        <v>89.484527523620102</v>
      </c>
      <c r="AK1837">
        <v>3.0749450600079502</v>
      </c>
      <c r="AL1837">
        <v>78.144414172306298</v>
      </c>
      <c r="AM1837">
        <v>95.6739653003809</v>
      </c>
      <c r="AN1837">
        <v>0.99999995500513905</v>
      </c>
    </row>
    <row r="1838" spans="1:40" x14ac:dyDescent="0.25">
      <c r="A1838" t="str">
        <f>"20190304155052611"</f>
        <v>20190304155052611</v>
      </c>
      <c r="B1838" t="str">
        <f>"1551685852608354"</f>
        <v>1551685852608354</v>
      </c>
      <c r="C1838" t="s">
        <v>40</v>
      </c>
      <c r="D1838">
        <v>5.0753050000000002</v>
      </c>
      <c r="E1838">
        <v>0.53779069999999995</v>
      </c>
      <c r="F1838" t="s">
        <v>53</v>
      </c>
      <c r="G1838">
        <v>0</v>
      </c>
      <c r="H1838">
        <v>0</v>
      </c>
      <c r="I1838">
        <v>0</v>
      </c>
      <c r="J1838">
        <v>-244.08</v>
      </c>
      <c r="K1838">
        <v>1.1105290000000001</v>
      </c>
      <c r="L1838">
        <v>284.76049999999998</v>
      </c>
      <c r="M1838">
        <v>-0.99995979999999995</v>
      </c>
      <c r="N1838">
        <v>-8.1346999999999999E-3</v>
      </c>
      <c r="O1838">
        <v>3.7849429999999998E-3</v>
      </c>
      <c r="P1838">
        <v>-0.97574519999999998</v>
      </c>
      <c r="Q1838">
        <v>0.19827220000000001</v>
      </c>
      <c r="R1838">
        <v>-9.2788170000000003E-2</v>
      </c>
      <c r="S1838">
        <v>-3.0746769999999999</v>
      </c>
      <c r="T1838">
        <v>1.430583E-2</v>
      </c>
      <c r="U1838">
        <v>3.7811280000000003E-2</v>
      </c>
      <c r="V1838">
        <v>-9.6737980000000001E-2</v>
      </c>
      <c r="W1838">
        <v>0.20607980000000001</v>
      </c>
      <c r="X1838">
        <v>0.97374170000000004</v>
      </c>
      <c r="Y1838">
        <v>8.5122229999999993E-3</v>
      </c>
      <c r="Z1838" s="1">
        <v>6.3220140000000004E-5</v>
      </c>
      <c r="AA1838">
        <v>0.99996379999999996</v>
      </c>
      <c r="AB1838">
        <v>28</v>
      </c>
      <c r="AC1838">
        <v>-3.0746769999999999</v>
      </c>
      <c r="AD1838">
        <v>1.430583E-2</v>
      </c>
      <c r="AE1838">
        <v>3.7811280000000003E-2</v>
      </c>
      <c r="AF1838">
        <v>2.6172580965696701E-2</v>
      </c>
      <c r="AG1838">
        <v>1.430583E-2</v>
      </c>
      <c r="AH1838">
        <v>3.0747315399844202</v>
      </c>
      <c r="AI1838">
        <v>89.733431012293906</v>
      </c>
      <c r="AJ1838">
        <v>89.512301418126199</v>
      </c>
      <c r="AK1838">
        <v>3.0748762094987399</v>
      </c>
      <c r="AL1838">
        <v>78.1072833008852</v>
      </c>
      <c r="AM1838">
        <v>95.673527424220097</v>
      </c>
      <c r="AN1838">
        <v>1.0000000095307</v>
      </c>
    </row>
    <row r="1839" spans="1:40" x14ac:dyDescent="0.25">
      <c r="A1839" t="str">
        <f>"20190304155052634"</f>
        <v>20190304155052634</v>
      </c>
      <c r="B1839" t="str">
        <f>"1551685852628849"</f>
        <v>1551685852628849</v>
      </c>
      <c r="C1839" t="s">
        <v>40</v>
      </c>
      <c r="D1839">
        <v>5.0036329999999998</v>
      </c>
      <c r="E1839">
        <v>0.5377653</v>
      </c>
      <c r="F1839" t="s">
        <v>53</v>
      </c>
      <c r="G1839">
        <v>0</v>
      </c>
      <c r="H1839">
        <v>0</v>
      </c>
      <c r="I1839">
        <v>0</v>
      </c>
      <c r="J1839">
        <v>-244.36699999999999</v>
      </c>
      <c r="K1839">
        <v>1.110514</v>
      </c>
      <c r="L1839">
        <v>284.76080000000002</v>
      </c>
      <c r="M1839">
        <v>-0.99996200000000002</v>
      </c>
      <c r="N1839">
        <v>-8.1497099999999992E-3</v>
      </c>
      <c r="O1839">
        <v>3.0916989999999998E-3</v>
      </c>
      <c r="P1839">
        <v>-0.97556589999999999</v>
      </c>
      <c r="Q1839">
        <v>0.19885939999999999</v>
      </c>
      <c r="R1839">
        <v>-9.3414520000000001E-2</v>
      </c>
      <c r="S1839">
        <v>-3.0754700000000001</v>
      </c>
      <c r="T1839">
        <v>1.296055E-2</v>
      </c>
      <c r="U1839">
        <v>3.6926269999999997E-2</v>
      </c>
      <c r="V1839">
        <v>-9.6679890000000004E-2</v>
      </c>
      <c r="W1839">
        <v>0.20668449999999999</v>
      </c>
      <c r="X1839">
        <v>0.97361929999999997</v>
      </c>
      <c r="Y1839">
        <v>8.9145170000000003E-3</v>
      </c>
      <c r="Z1839" s="1">
        <v>5.5768369999999997E-5</v>
      </c>
      <c r="AA1839">
        <v>0.99996019999999997</v>
      </c>
      <c r="AB1839">
        <v>28</v>
      </c>
      <c r="AC1839">
        <v>-3.0754700000000001</v>
      </c>
      <c r="AD1839">
        <v>1.296055E-2</v>
      </c>
      <c r="AE1839">
        <v>3.6926269999999997E-2</v>
      </c>
      <c r="AF1839">
        <v>2.74168632651598E-2</v>
      </c>
      <c r="AG1839">
        <v>1.296055E-2</v>
      </c>
      <c r="AH1839">
        <v>3.0755148582245599</v>
      </c>
      <c r="AI1839">
        <v>89.758560452617999</v>
      </c>
      <c r="AJ1839">
        <v>89.489246836729293</v>
      </c>
      <c r="AK1839">
        <v>3.07566436780863</v>
      </c>
      <c r="AL1839">
        <v>78.071874273436805</v>
      </c>
      <c r="AM1839">
        <v>95.670850930283905</v>
      </c>
      <c r="AN1839">
        <v>1.00000001250157</v>
      </c>
    </row>
    <row r="1840" spans="1:40" x14ac:dyDescent="0.25">
      <c r="A1840" t="str">
        <f>"20190304155052657"</f>
        <v>20190304155052657</v>
      </c>
      <c r="B1840" t="str">
        <f>"1551685852648370"</f>
        <v>1551685852648370</v>
      </c>
      <c r="C1840" t="s">
        <v>40</v>
      </c>
      <c r="D1840">
        <v>4.9943400000000002</v>
      </c>
      <c r="E1840">
        <v>0.53771219999999997</v>
      </c>
      <c r="F1840" t="s">
        <v>53</v>
      </c>
      <c r="G1840">
        <v>0</v>
      </c>
      <c r="H1840">
        <v>0</v>
      </c>
      <c r="I1840">
        <v>0</v>
      </c>
      <c r="J1840">
        <v>-244.64599999999999</v>
      </c>
      <c r="K1840">
        <v>1.110495</v>
      </c>
      <c r="L1840">
        <v>284.76100000000002</v>
      </c>
      <c r="M1840">
        <v>-0.99996359999999995</v>
      </c>
      <c r="N1840">
        <v>-8.1639250000000007E-3</v>
      </c>
      <c r="O1840">
        <v>2.4497730000000001E-3</v>
      </c>
      <c r="P1840">
        <v>-0.97540190000000004</v>
      </c>
      <c r="Q1840">
        <v>0.1993529</v>
      </c>
      <c r="R1840">
        <v>-9.4071119999999994E-2</v>
      </c>
      <c r="S1840">
        <v>-3.0755919999999999</v>
      </c>
      <c r="T1840">
        <v>1.4457350000000001E-2</v>
      </c>
      <c r="U1840">
        <v>3.5461430000000002E-2</v>
      </c>
      <c r="V1840">
        <v>-9.6698889999999996E-2</v>
      </c>
      <c r="W1840">
        <v>0.2071962</v>
      </c>
      <c r="X1840">
        <v>0.9735087</v>
      </c>
      <c r="Y1840">
        <v>9.0797359999999997E-3</v>
      </c>
      <c r="Z1840" s="1">
        <v>4.7239539999999997E-5</v>
      </c>
      <c r="AA1840">
        <v>0.99995880000000004</v>
      </c>
      <c r="AB1840">
        <v>28</v>
      </c>
      <c r="AC1840">
        <v>-3.0755919999999999</v>
      </c>
      <c r="AD1840">
        <v>1.4457350000000001E-2</v>
      </c>
      <c r="AE1840">
        <v>3.5461430000000002E-2</v>
      </c>
      <c r="AF1840">
        <v>2.7925952709699199E-2</v>
      </c>
      <c r="AG1840">
        <v>1.4457350000000001E-2</v>
      </c>
      <c r="AH1840">
        <v>3.0756016953698602</v>
      </c>
      <c r="AI1840">
        <v>89.730685252495206</v>
      </c>
      <c r="AJ1840">
        <v>89.479778131593505</v>
      </c>
      <c r="AK1840">
        <v>3.0757624522003799</v>
      </c>
      <c r="AL1840">
        <v>78.041907980426501</v>
      </c>
      <c r="AM1840">
        <v>95.6725983141082</v>
      </c>
      <c r="AN1840">
        <v>1.00000006479867</v>
      </c>
    </row>
    <row r="1841" spans="1:40" x14ac:dyDescent="0.25">
      <c r="A1841" t="str">
        <f>"20190304155052678"</f>
        <v>20190304155052678</v>
      </c>
      <c r="B1841" t="str">
        <f>"1551685852668867"</f>
        <v>1551685852668867</v>
      </c>
      <c r="C1841" t="s">
        <v>40</v>
      </c>
      <c r="D1841">
        <v>5.1603120000000002</v>
      </c>
      <c r="E1841">
        <v>0.53756329999999997</v>
      </c>
      <c r="F1841" t="s">
        <v>53</v>
      </c>
      <c r="G1841">
        <v>0</v>
      </c>
      <c r="H1841">
        <v>0</v>
      </c>
      <c r="I1841">
        <v>0</v>
      </c>
      <c r="J1841">
        <v>-244.92169999999999</v>
      </c>
      <c r="K1841">
        <v>1.110473</v>
      </c>
      <c r="L1841">
        <v>284.76100000000002</v>
      </c>
      <c r="M1841">
        <v>-0.99996490000000005</v>
      </c>
      <c r="N1841">
        <v>-8.1775619999999993E-3</v>
      </c>
      <c r="O1841">
        <v>1.856609E-3</v>
      </c>
      <c r="P1841">
        <v>-0.97510220000000003</v>
      </c>
      <c r="Q1841">
        <v>0.20047209999999999</v>
      </c>
      <c r="R1841">
        <v>-9.4798670000000002E-2</v>
      </c>
      <c r="S1841">
        <v>-3.0757289999999999</v>
      </c>
      <c r="T1841">
        <v>1.477361E-2</v>
      </c>
      <c r="U1841">
        <v>3.22876E-2</v>
      </c>
      <c r="V1841">
        <v>-9.6834669999999998E-2</v>
      </c>
      <c r="W1841">
        <v>0.2083334</v>
      </c>
      <c r="X1841">
        <v>0.97325240000000002</v>
      </c>
      <c r="Y1841">
        <v>8.6406019999999903E-3</v>
      </c>
      <c r="Z1841" s="1">
        <v>3.867967E-5</v>
      </c>
      <c r="AA1841">
        <v>0.99996269999999998</v>
      </c>
      <c r="AB1841">
        <v>28</v>
      </c>
      <c r="AC1841">
        <v>-3.0757289999999999</v>
      </c>
      <c r="AD1841">
        <v>1.477361E-2</v>
      </c>
      <c r="AE1841">
        <v>3.22876E-2</v>
      </c>
      <c r="AF1841">
        <v>2.6576314515869101E-2</v>
      </c>
      <c r="AG1841">
        <v>1.477361E-2</v>
      </c>
      <c r="AH1841">
        <v>3.0757126923790001</v>
      </c>
      <c r="AI1841">
        <v>89.724802841064303</v>
      </c>
      <c r="AJ1841">
        <v>89.504936606667599</v>
      </c>
      <c r="AK1841">
        <v>3.07586298883857</v>
      </c>
      <c r="AL1841">
        <v>77.975296871156502</v>
      </c>
      <c r="AM1841">
        <v>95.6819975910701</v>
      </c>
      <c r="AN1841">
        <v>0.99999999648766402</v>
      </c>
    </row>
    <row r="1842" spans="1:40" x14ac:dyDescent="0.25">
      <c r="A1842" t="str">
        <f>"20190304155052700"</f>
        <v>20190304155052700</v>
      </c>
      <c r="B1842" t="str">
        <f>"1551685852688397"</f>
        <v>1551685852688397</v>
      </c>
      <c r="C1842" t="s">
        <v>40</v>
      </c>
      <c r="D1842">
        <v>5.0826570000000002</v>
      </c>
      <c r="E1842">
        <v>0.48836499999999999</v>
      </c>
      <c r="F1842" t="s">
        <v>53</v>
      </c>
      <c r="G1842">
        <v>0</v>
      </c>
      <c r="H1842">
        <v>0</v>
      </c>
      <c r="I1842">
        <v>0</v>
      </c>
      <c r="J1842">
        <v>-245.19710000000001</v>
      </c>
      <c r="K1842">
        <v>1.110439</v>
      </c>
      <c r="L1842">
        <v>284.76089999999999</v>
      </c>
      <c r="M1842">
        <v>-0.99996569999999996</v>
      </c>
      <c r="N1842">
        <v>-8.190803E-3</v>
      </c>
      <c r="O1842">
        <v>1.3182490000000001E-3</v>
      </c>
      <c r="P1842">
        <v>-0.97494040000000004</v>
      </c>
      <c r="Q1842">
        <v>0.20085790000000001</v>
      </c>
      <c r="R1842">
        <v>-9.5644859999999998E-2</v>
      </c>
      <c r="S1842">
        <v>-3.075745</v>
      </c>
      <c r="T1842">
        <v>1.781487E-2</v>
      </c>
      <c r="U1842">
        <v>2.9022220000000001E-2</v>
      </c>
      <c r="V1842">
        <v>-9.7137929999999997E-2</v>
      </c>
      <c r="W1842">
        <v>0.20873910000000001</v>
      </c>
      <c r="X1842">
        <v>0.97313519999999998</v>
      </c>
      <c r="Y1842">
        <v>8.1173559999999992E-3</v>
      </c>
      <c r="Z1842" s="1">
        <v>2.8170039999999999E-5</v>
      </c>
      <c r="AA1842">
        <v>0.99996700000000005</v>
      </c>
      <c r="AB1842">
        <v>28</v>
      </c>
      <c r="AC1842">
        <v>-3.075745</v>
      </c>
      <c r="AD1842">
        <v>1.781487E-2</v>
      </c>
      <c r="AE1842">
        <v>2.9022220000000001E-2</v>
      </c>
      <c r="AF1842">
        <v>2.4966623954630299E-2</v>
      </c>
      <c r="AG1842">
        <v>1.781487E-2</v>
      </c>
      <c r="AH1842">
        <v>3.0756774139557801</v>
      </c>
      <c r="AI1842">
        <v>89.668147310175698</v>
      </c>
      <c r="AJ1842">
        <v>89.534915216874793</v>
      </c>
      <c r="AK1842">
        <v>3.0758303361242998</v>
      </c>
      <c r="AL1842">
        <v>77.951528910528097</v>
      </c>
      <c r="AM1842">
        <v>95.700357011818696</v>
      </c>
      <c r="AN1842">
        <v>0.99999995339626602</v>
      </c>
    </row>
    <row r="1843" spans="1:40" x14ac:dyDescent="0.25">
      <c r="A1843" t="str">
        <f>"20190304155052721"</f>
        <v>20190304155052721</v>
      </c>
      <c r="B1843" t="str">
        <f>"1551685852718642"</f>
        <v>1551685852718642</v>
      </c>
      <c r="C1843" t="s">
        <v>40</v>
      </c>
      <c r="D1843">
        <v>5.0594159999999997</v>
      </c>
      <c r="E1843">
        <v>0.47942699999999999</v>
      </c>
      <c r="F1843" t="s">
        <v>72</v>
      </c>
      <c r="G1843">
        <v>-298.53820000000002</v>
      </c>
      <c r="H1843" s="1">
        <v>4.5750329999999997E-6</v>
      </c>
      <c r="I1843">
        <v>278.43490000000003</v>
      </c>
      <c r="J1843">
        <v>-245.46250000000001</v>
      </c>
      <c r="K1843">
        <v>1.110398</v>
      </c>
      <c r="L1843">
        <v>284.76080000000002</v>
      </c>
      <c r="M1843">
        <v>-0.99996600000000002</v>
      </c>
      <c r="N1843">
        <v>-8.2061300000000007E-3</v>
      </c>
      <c r="O1843">
        <v>8.6286819999999999E-4</v>
      </c>
      <c r="P1843">
        <v>-0.97488339999999996</v>
      </c>
      <c r="Q1843">
        <v>0.2008895</v>
      </c>
      <c r="R1843">
        <v>-9.6154959999999998E-2</v>
      </c>
      <c r="S1843">
        <v>-3.0547029999999999</v>
      </c>
      <c r="T1843">
        <v>-6.3591599999999998E-2</v>
      </c>
      <c r="U1843">
        <v>-0.36227419999999999</v>
      </c>
      <c r="V1843">
        <v>-9.7182710000000005E-2</v>
      </c>
      <c r="W1843">
        <v>0.20879510000000001</v>
      </c>
      <c r="X1843">
        <v>0.97311879999999995</v>
      </c>
      <c r="Y1843">
        <v>-0.11859160000000001</v>
      </c>
      <c r="Z1843">
        <v>-1.7291660000000001E-3</v>
      </c>
      <c r="AA1843">
        <v>0.99294159999999998</v>
      </c>
      <c r="AB1843">
        <v>28</v>
      </c>
      <c r="AC1843">
        <v>-53.075699999999998</v>
      </c>
      <c r="AD1843">
        <v>-1.110393424967</v>
      </c>
      <c r="AE1843">
        <v>-6.3258999999999901</v>
      </c>
      <c r="AF1843">
        <v>-6.3689479659049502</v>
      </c>
      <c r="AG1843">
        <v>-1.110393424967</v>
      </c>
      <c r="AH1843">
        <v>53.047328786299197</v>
      </c>
      <c r="AI1843">
        <v>91.190599487685404</v>
      </c>
      <c r="AJ1843">
        <v>96.846253552748905</v>
      </c>
      <c r="AK1843">
        <v>53.439831241428301</v>
      </c>
      <c r="AL1843">
        <v>77.948249063689005</v>
      </c>
      <c r="AM1843">
        <v>95.703063002530698</v>
      </c>
      <c r="AN1843">
        <v>1.0000000359101899</v>
      </c>
    </row>
    <row r="1844" spans="1:40" x14ac:dyDescent="0.25">
      <c r="A1844" t="str">
        <f>"20190304155052744"</f>
        <v>20190304155052744</v>
      </c>
      <c r="B1844" t="str">
        <f>"1551685852738161"</f>
        <v>1551685852738161</v>
      </c>
      <c r="C1844" t="s">
        <v>40</v>
      </c>
      <c r="D1844">
        <v>4.9324810000000001</v>
      </c>
      <c r="E1844">
        <v>0.47725139999999999</v>
      </c>
      <c r="F1844" t="s">
        <v>72</v>
      </c>
      <c r="G1844">
        <v>-284.04570000000001</v>
      </c>
      <c r="H1844">
        <v>8.0001160000000002E-2</v>
      </c>
      <c r="I1844">
        <v>279.25970000000001</v>
      </c>
      <c r="J1844">
        <v>-245.75040000000001</v>
      </c>
      <c r="K1844">
        <v>1.110336</v>
      </c>
      <c r="L1844">
        <v>284.76060000000001</v>
      </c>
      <c r="M1844">
        <v>-0.99996609999999997</v>
      </c>
      <c r="N1844">
        <v>-8.2267729999999997E-3</v>
      </c>
      <c r="O1844">
        <v>4.4711240000000003E-4</v>
      </c>
      <c r="P1844">
        <v>-0.97496269999999996</v>
      </c>
      <c r="Q1844">
        <v>0.20019970000000001</v>
      </c>
      <c r="R1844">
        <v>-9.6788449999999998E-2</v>
      </c>
      <c r="S1844">
        <v>-3.0511780000000002</v>
      </c>
      <c r="T1844">
        <v>-8.1484319999999999E-2</v>
      </c>
      <c r="U1844">
        <v>-0.43502809999999997</v>
      </c>
      <c r="V1844">
        <v>-9.7382209999999997E-2</v>
      </c>
      <c r="W1844">
        <v>0.2081394</v>
      </c>
      <c r="X1844">
        <v>0.97323930000000003</v>
      </c>
      <c r="Y1844">
        <v>-0.14152729999999999</v>
      </c>
      <c r="Z1844">
        <v>-2.4734129999999998E-3</v>
      </c>
      <c r="AA1844">
        <v>0.98993129999999996</v>
      </c>
      <c r="AB1844">
        <v>28</v>
      </c>
      <c r="AC1844">
        <v>-38.295299999999997</v>
      </c>
      <c r="AD1844">
        <v>-1.0303348400000001</v>
      </c>
      <c r="AE1844">
        <v>-5.5008999999999997</v>
      </c>
      <c r="AF1844">
        <v>-5.5141114795842601</v>
      </c>
      <c r="AG1844">
        <v>-1.0303348400000001</v>
      </c>
      <c r="AH1844">
        <v>38.265696836352397</v>
      </c>
      <c r="AI1844">
        <v>91.526601621946696</v>
      </c>
      <c r="AJ1844">
        <v>98.199912472398495</v>
      </c>
      <c r="AK1844">
        <v>38.674676077032998</v>
      </c>
      <c r="AL1844">
        <v>77.986661664195296</v>
      </c>
      <c r="AM1844">
        <v>95.713990161291903</v>
      </c>
      <c r="AN1844">
        <v>1.00000001986066</v>
      </c>
    </row>
    <row r="1845" spans="1:40" x14ac:dyDescent="0.25">
      <c r="A1845" t="str">
        <f>"20190304155052767"</f>
        <v>20190304155052767</v>
      </c>
      <c r="B1845" t="str">
        <f>"1551685852758657"</f>
        <v>1551685852758657</v>
      </c>
      <c r="C1845" t="s">
        <v>40</v>
      </c>
      <c r="D1845">
        <v>5.021058</v>
      </c>
      <c r="E1845">
        <v>0.47567589999999998</v>
      </c>
      <c r="F1845" t="s">
        <v>72</v>
      </c>
      <c r="G1845">
        <v>-281.93680000000001</v>
      </c>
      <c r="H1845">
        <v>8.000148E-2</v>
      </c>
      <c r="I1845">
        <v>279.35829999999999</v>
      </c>
      <c r="J1845">
        <v>-246.0429</v>
      </c>
      <c r="K1845">
        <v>1.1102719999999999</v>
      </c>
      <c r="L1845">
        <v>284.7604</v>
      </c>
      <c r="M1845">
        <v>-0.99996609999999997</v>
      </c>
      <c r="N1845">
        <v>-8.2489950000000003E-3</v>
      </c>
      <c r="O1845">
        <v>1.124253E-4</v>
      </c>
      <c r="P1845">
        <v>-0.9749681</v>
      </c>
      <c r="Q1845">
        <v>0.2000595</v>
      </c>
      <c r="R1845">
        <v>-9.7024340000000001E-2</v>
      </c>
      <c r="S1845">
        <v>-3.0496829999999999</v>
      </c>
      <c r="T1845">
        <v>-8.6833480000000005E-2</v>
      </c>
      <c r="U1845">
        <v>-0.45529170000000002</v>
      </c>
      <c r="V1845">
        <v>-9.7260009999999994E-2</v>
      </c>
      <c r="W1845">
        <v>0.20803630000000001</v>
      </c>
      <c r="X1845">
        <v>0.97327350000000001</v>
      </c>
      <c r="Y1845">
        <v>-0.1476905</v>
      </c>
      <c r="Z1845">
        <v>-2.7055220000000001E-3</v>
      </c>
      <c r="AA1845">
        <v>0.98902990000000002</v>
      </c>
      <c r="AB1845">
        <v>28</v>
      </c>
      <c r="AC1845">
        <v>-35.893900000000002</v>
      </c>
      <c r="AD1845">
        <v>-1.03027052</v>
      </c>
      <c r="AE1845">
        <v>-5.4021000000000097</v>
      </c>
      <c r="AF1845">
        <v>-5.4017836636952401</v>
      </c>
      <c r="AG1845">
        <v>-1.03027052</v>
      </c>
      <c r="AH1845">
        <v>35.864399100559901</v>
      </c>
      <c r="AI1845">
        <v>91.627131063467203</v>
      </c>
      <c r="AJ1845">
        <v>98.565328981595201</v>
      </c>
      <c r="AK1845">
        <v>36.283547882449298</v>
      </c>
      <c r="AL1845">
        <v>77.992700315559901</v>
      </c>
      <c r="AM1845">
        <v>95.706668112326696</v>
      </c>
      <c r="AN1845">
        <v>0.99999995873256897</v>
      </c>
    </row>
    <row r="1846" spans="1:40" x14ac:dyDescent="0.25">
      <c r="A1846" t="str">
        <f>"20190304155052788"</f>
        <v>20190304155052788</v>
      </c>
      <c r="B1846" t="str">
        <f>"1551685852778177"</f>
        <v>1551685852778177</v>
      </c>
      <c r="C1846" t="s">
        <v>40</v>
      </c>
      <c r="D1846">
        <v>5.0162699999999996</v>
      </c>
      <c r="E1846">
        <v>0.47505639999999999</v>
      </c>
      <c r="F1846" t="s">
        <v>70</v>
      </c>
      <c r="G1846">
        <v>-279.65390000000002</v>
      </c>
      <c r="H1846">
        <v>6.9965890000000003E-2</v>
      </c>
      <c r="I1846">
        <v>279.59640000000002</v>
      </c>
      <c r="J1846">
        <v>-246.31880000000001</v>
      </c>
      <c r="K1846">
        <v>1.1102030000000001</v>
      </c>
      <c r="L1846">
        <v>284.76010000000002</v>
      </c>
      <c r="M1846">
        <v>-0.99996589999999996</v>
      </c>
      <c r="N1846">
        <v>-8.2688869999999904E-3</v>
      </c>
      <c r="O1846">
        <v>-1.114063E-4</v>
      </c>
      <c r="P1846">
        <v>-0.97503379999999995</v>
      </c>
      <c r="Q1846">
        <v>0.1993955</v>
      </c>
      <c r="R1846">
        <v>-9.7728250000000003E-2</v>
      </c>
      <c r="S1846">
        <v>-3.0497589999999999</v>
      </c>
      <c r="T1846">
        <v>-9.4394329999999999E-2</v>
      </c>
      <c r="U1846">
        <v>-0.46856690000000001</v>
      </c>
      <c r="V1846">
        <v>-9.771378E-2</v>
      </c>
      <c r="W1846">
        <v>0.20740710000000001</v>
      </c>
      <c r="X1846">
        <v>0.97336239999999996</v>
      </c>
      <c r="Y1846">
        <v>-0.151658399999999</v>
      </c>
      <c r="Z1846">
        <v>-2.9611479999999998E-3</v>
      </c>
      <c r="AA1846">
        <v>0.98842850000000004</v>
      </c>
      <c r="AB1846">
        <v>28</v>
      </c>
      <c r="AC1846">
        <v>-33.335099999999997</v>
      </c>
      <c r="AD1846">
        <v>-1.0402371100000001</v>
      </c>
      <c r="AE1846">
        <v>-5.1637000000000004</v>
      </c>
      <c r="AF1846">
        <v>-5.1550838099395397</v>
      </c>
      <c r="AG1846">
        <v>-1.0402371100000001</v>
      </c>
      <c r="AH1846">
        <v>33.3040042232616</v>
      </c>
      <c r="AI1846">
        <v>91.767987752879506</v>
      </c>
      <c r="AJ1846">
        <v>98.798910536474295</v>
      </c>
      <c r="AK1846">
        <v>33.716667682847202</v>
      </c>
      <c r="AL1846">
        <v>78.029555494181494</v>
      </c>
      <c r="AM1846">
        <v>95.732595684882398</v>
      </c>
      <c r="AN1846">
        <v>1.0000000248330201</v>
      </c>
    </row>
    <row r="1847" spans="1:40" x14ac:dyDescent="0.25">
      <c r="A1847" t="str">
        <f>"20190304155052811"</f>
        <v>20190304155052811</v>
      </c>
      <c r="B1847" t="str">
        <f>"1551685852808433"</f>
        <v>1551685852808433</v>
      </c>
      <c r="C1847" t="s">
        <v>40</v>
      </c>
      <c r="D1847">
        <v>5.1570029999999996</v>
      </c>
      <c r="E1847">
        <v>0.47447149999999999</v>
      </c>
      <c r="F1847" t="s">
        <v>70</v>
      </c>
      <c r="G1847">
        <v>-279.48430000000002</v>
      </c>
      <c r="H1847">
        <v>8.0000370000000001E-2</v>
      </c>
      <c r="I1847">
        <v>279.5797</v>
      </c>
      <c r="J1847">
        <v>-246.60149999999999</v>
      </c>
      <c r="K1847">
        <v>1.1101299999999901</v>
      </c>
      <c r="L1847">
        <v>284.75990000000002</v>
      </c>
      <c r="M1847">
        <v>-0.99996569999999996</v>
      </c>
      <c r="N1847">
        <v>-8.2882069999999902E-3</v>
      </c>
      <c r="O1847">
        <v>-2.5459499999999998E-4</v>
      </c>
      <c r="P1847">
        <v>-0.97523839999999995</v>
      </c>
      <c r="Q1847">
        <v>0.19845409999999999</v>
      </c>
      <c r="R1847">
        <v>-9.7604140000000006E-2</v>
      </c>
      <c r="S1847">
        <v>-3.0484469999999999</v>
      </c>
      <c r="T1847">
        <v>-9.4692109999999996E-2</v>
      </c>
      <c r="U1847">
        <v>-0.47616579999999997</v>
      </c>
      <c r="V1847">
        <v>-9.7417699999999996E-2</v>
      </c>
      <c r="W1847">
        <v>0.20650109999999999</v>
      </c>
      <c r="X1847">
        <v>0.97358469999999997</v>
      </c>
      <c r="Y1847">
        <v>-0.15398439999999999</v>
      </c>
      <c r="Z1847">
        <v>-3.0130019999999999E-3</v>
      </c>
      <c r="AA1847">
        <v>0.98806870000000002</v>
      </c>
      <c r="AB1847">
        <v>28</v>
      </c>
      <c r="AC1847">
        <v>-32.882800000000003</v>
      </c>
      <c r="AD1847">
        <v>-1.03012962999999</v>
      </c>
      <c r="AE1847">
        <v>-5.1802000000000099</v>
      </c>
      <c r="AF1847">
        <v>-5.1668797673157396</v>
      </c>
      <c r="AG1847">
        <v>-1.03012962999999</v>
      </c>
      <c r="AH1847">
        <v>32.8526570003541</v>
      </c>
      <c r="AI1847">
        <v>91.774186791326699</v>
      </c>
      <c r="AJ1847">
        <v>98.9379415130675</v>
      </c>
      <c r="AK1847">
        <v>33.272434319830197</v>
      </c>
      <c r="AL1847">
        <v>78.082614343888096</v>
      </c>
      <c r="AM1847">
        <v>95.714044309739904</v>
      </c>
      <c r="AN1847">
        <v>1.0000000403242899</v>
      </c>
    </row>
    <row r="1848" spans="1:40" x14ac:dyDescent="0.25">
      <c r="A1848" t="str">
        <f>"20190304155052835"</f>
        <v>20190304155052835</v>
      </c>
      <c r="B1848" t="str">
        <f>"1551685852827953"</f>
        <v>1551685852827953</v>
      </c>
      <c r="C1848" t="s">
        <v>40</v>
      </c>
      <c r="D1848">
        <v>5.2527990000000004</v>
      </c>
      <c r="E1848">
        <v>0.47368949999999999</v>
      </c>
      <c r="F1848" t="s">
        <v>70</v>
      </c>
      <c r="G1848">
        <v>-279.17790000000002</v>
      </c>
      <c r="H1848">
        <v>3.6574750000000003E-2</v>
      </c>
      <c r="I1848">
        <v>279.61630000000002</v>
      </c>
      <c r="J1848">
        <v>-246.9067</v>
      </c>
      <c r="K1848">
        <v>1.1100669999999999</v>
      </c>
      <c r="L1848">
        <v>284.75970000000001</v>
      </c>
      <c r="M1848">
        <v>-0.99996549999999995</v>
      </c>
      <c r="N1848">
        <v>-8.3079790000000001E-3</v>
      </c>
      <c r="O1848">
        <v>-3.3539170000000001E-4</v>
      </c>
      <c r="P1848">
        <v>-0.97536460000000003</v>
      </c>
      <c r="Q1848">
        <v>0.19799910000000001</v>
      </c>
      <c r="R1848">
        <v>-9.7264920000000005E-2</v>
      </c>
      <c r="S1848">
        <v>-3.0484309999999999</v>
      </c>
      <c r="T1848">
        <v>-0.1004611</v>
      </c>
      <c r="U1848">
        <v>-0.48132320000000001</v>
      </c>
      <c r="V1848">
        <v>-9.697153E-2</v>
      </c>
      <c r="W1848">
        <v>0.20608029999999999</v>
      </c>
      <c r="X1848">
        <v>0.97371830000000004</v>
      </c>
      <c r="Y1848">
        <v>-0.15552530000000001</v>
      </c>
      <c r="Z1848">
        <v>-3.188256E-3</v>
      </c>
      <c r="AA1848">
        <v>0.9878268</v>
      </c>
      <c r="AB1848">
        <v>28</v>
      </c>
      <c r="AC1848">
        <v>-32.2712</v>
      </c>
      <c r="AD1848">
        <v>-1.0734922499999999</v>
      </c>
      <c r="AE1848">
        <v>-5.1433999999999802</v>
      </c>
      <c r="AF1848">
        <v>-5.1270431041979299</v>
      </c>
      <c r="AG1848">
        <v>-1.0734922499999999</v>
      </c>
      <c r="AH1848">
        <v>32.238134191415398</v>
      </c>
      <c r="AI1848">
        <v>91.883524369297604</v>
      </c>
      <c r="AJ1848">
        <v>99.036447651921407</v>
      </c>
      <c r="AK1848">
        <v>32.660928534669999</v>
      </c>
      <c r="AL1848">
        <v>78.107253278703496</v>
      </c>
      <c r="AM1848">
        <v>95.6872708486314</v>
      </c>
      <c r="AN1848">
        <v>0.99999994771675904</v>
      </c>
    </row>
    <row r="1849" spans="1:40" x14ac:dyDescent="0.25">
      <c r="A1849" t="str">
        <f>"20190304155052858"</f>
        <v>20190304155052858</v>
      </c>
      <c r="B1849" t="str">
        <f>"1551685852848451"</f>
        <v>1551685852848451</v>
      </c>
      <c r="C1849" t="s">
        <v>40</v>
      </c>
      <c r="D1849">
        <v>5.0218680000000004</v>
      </c>
      <c r="E1849">
        <v>0.47339999999999999</v>
      </c>
      <c r="F1849" t="s">
        <v>70</v>
      </c>
      <c r="G1849">
        <v>-278.95490000000001</v>
      </c>
      <c r="H1849" s="1">
        <v>3.4458839999999999E-6</v>
      </c>
      <c r="I1849">
        <v>279.64409999999998</v>
      </c>
      <c r="J1849">
        <v>-247.2003</v>
      </c>
      <c r="K1849">
        <v>1.1100289999999999</v>
      </c>
      <c r="L1849">
        <v>284.7595</v>
      </c>
      <c r="M1849">
        <v>-0.99996529999999995</v>
      </c>
      <c r="N1849">
        <v>-8.3258429999999994E-3</v>
      </c>
      <c r="O1849">
        <v>-3.627177E-4</v>
      </c>
      <c r="P1849">
        <v>-0.97532419999999997</v>
      </c>
      <c r="Q1849">
        <v>0.19849600000000001</v>
      </c>
      <c r="R1849">
        <v>-9.6655130000000006E-2</v>
      </c>
      <c r="S1849">
        <v>-3.0486759999999999</v>
      </c>
      <c r="T1849">
        <v>-0.105598</v>
      </c>
      <c r="U1849">
        <v>-0.48663329999999999</v>
      </c>
      <c r="V1849">
        <v>-9.6315269999999994E-2</v>
      </c>
      <c r="W1849">
        <v>0.20660329999999999</v>
      </c>
      <c r="X1849">
        <v>0.97367269999999995</v>
      </c>
      <c r="Y1849">
        <v>-0.15715319999999999</v>
      </c>
      <c r="Z1849">
        <v>-3.3528709999999999E-3</v>
      </c>
      <c r="AA1849">
        <v>0.98756860000000002</v>
      </c>
      <c r="AB1849">
        <v>28</v>
      </c>
      <c r="AC1849">
        <v>-31.7546</v>
      </c>
      <c r="AD1849">
        <v>-1.110025554116</v>
      </c>
      <c r="AE1849">
        <v>-5.1154000000000197</v>
      </c>
      <c r="AF1849">
        <v>-5.0978096152783303</v>
      </c>
      <c r="AG1849">
        <v>-1.110025554116</v>
      </c>
      <c r="AH1849">
        <v>31.718675218968698</v>
      </c>
      <c r="AI1849">
        <v>91.978927887731899</v>
      </c>
      <c r="AJ1849">
        <v>99.130467704711194</v>
      </c>
      <c r="AK1849">
        <v>32.144893486381797</v>
      </c>
      <c r="AL1849">
        <v>78.076629664565601</v>
      </c>
      <c r="AM1849">
        <v>95.649294573539805</v>
      </c>
      <c r="AN1849">
        <v>1.00000004076567</v>
      </c>
    </row>
    <row r="1850" spans="1:40" x14ac:dyDescent="0.25">
      <c r="A1850" t="str">
        <f>"20190304155052879"</f>
        <v>20190304155052879</v>
      </c>
      <c r="B1850" t="str">
        <f>"1551685852867969"</f>
        <v>1551685852867969</v>
      </c>
      <c r="C1850" t="s">
        <v>40</v>
      </c>
      <c r="D1850">
        <v>5.0172850000000002</v>
      </c>
      <c r="E1850">
        <v>0.47323579999999998</v>
      </c>
      <c r="F1850" t="s">
        <v>70</v>
      </c>
      <c r="G1850">
        <v>-279.37479999999999</v>
      </c>
      <c r="H1850">
        <v>7.7111109999999997E-3</v>
      </c>
      <c r="I1850">
        <v>279.61630000000002</v>
      </c>
      <c r="J1850">
        <v>-247.4776</v>
      </c>
      <c r="K1850">
        <v>1.110009</v>
      </c>
      <c r="L1850">
        <v>284.75940000000003</v>
      </c>
      <c r="M1850">
        <v>-0.99996529999999995</v>
      </c>
      <c r="N1850">
        <v>-8.3442729999999993E-3</v>
      </c>
      <c r="O1850">
        <v>-3.5491160000000001E-4</v>
      </c>
      <c r="P1850">
        <v>-0.97533049999999999</v>
      </c>
      <c r="Q1850">
        <v>0.1992854</v>
      </c>
      <c r="R1850">
        <v>-9.4953720000000005E-2</v>
      </c>
      <c r="S1850">
        <v>-3.0488590000000002</v>
      </c>
      <c r="T1850">
        <v>-0.1044557</v>
      </c>
      <c r="U1850">
        <v>-0.48736570000000001</v>
      </c>
      <c r="V1850">
        <v>-9.4608940000000002E-2</v>
      </c>
      <c r="W1850">
        <v>0.20741689999999999</v>
      </c>
      <c r="X1850">
        <v>0.97366699999999995</v>
      </c>
      <c r="Y1850">
        <v>-0.1573851</v>
      </c>
      <c r="Z1850">
        <v>-3.33016E-3</v>
      </c>
      <c r="AA1850">
        <v>0.98753170000000001</v>
      </c>
      <c r="AB1850">
        <v>29</v>
      </c>
      <c r="AC1850">
        <v>-31.897200000000002</v>
      </c>
      <c r="AD1850">
        <v>-1.1022978889999999</v>
      </c>
      <c r="AE1850">
        <v>-5.1430999999999996</v>
      </c>
      <c r="AF1850">
        <v>-5.1258122454664496</v>
      </c>
      <c r="AG1850">
        <v>-1.1022978889999999</v>
      </c>
      <c r="AH1850">
        <v>31.861936685520099</v>
      </c>
      <c r="AI1850">
        <v>91.956285040154995</v>
      </c>
      <c r="AJ1850">
        <v>99.139193288312697</v>
      </c>
      <c r="AK1850">
        <v>32.290432347120401</v>
      </c>
      <c r="AL1850">
        <v>78.028981508467496</v>
      </c>
      <c r="AM1850">
        <v>95.549873870508307</v>
      </c>
      <c r="AN1850">
        <v>1.0000000244112599</v>
      </c>
    </row>
    <row r="1851" spans="1:40" x14ac:dyDescent="0.25">
      <c r="A1851" t="str">
        <f>"20190304155052900"</f>
        <v>20190304155052900</v>
      </c>
      <c r="B1851" t="str">
        <f>"1551685852888465"</f>
        <v>1551685852888465</v>
      </c>
      <c r="C1851" t="s">
        <v>40</v>
      </c>
      <c r="D1851">
        <v>5.0342359999999999</v>
      </c>
      <c r="E1851">
        <v>0.47307080000000001</v>
      </c>
      <c r="F1851" t="s">
        <v>70</v>
      </c>
      <c r="G1851">
        <v>-279.89830000000001</v>
      </c>
      <c r="H1851">
        <v>4.848359E-2</v>
      </c>
      <c r="I1851">
        <v>279.61630000000002</v>
      </c>
      <c r="J1851">
        <v>-247.73179999999999</v>
      </c>
      <c r="K1851">
        <v>1.109996</v>
      </c>
      <c r="L1851">
        <v>284.7593</v>
      </c>
      <c r="M1851">
        <v>-0.99996510000000005</v>
      </c>
      <c r="N1851">
        <v>-8.3642439999999998E-3</v>
      </c>
      <c r="O1851">
        <v>-3.202336E-4</v>
      </c>
      <c r="P1851">
        <v>-0.97537110000000005</v>
      </c>
      <c r="Q1851">
        <v>0.19984940000000001</v>
      </c>
      <c r="R1851">
        <v>-9.3337249999999997E-2</v>
      </c>
      <c r="S1851">
        <v>-3.0491790000000001</v>
      </c>
      <c r="T1851">
        <v>-9.9836709999999995E-2</v>
      </c>
      <c r="U1851">
        <v>-0.48370360000000001</v>
      </c>
      <c r="V1851">
        <v>-9.301653E-2</v>
      </c>
      <c r="W1851">
        <v>0.20800460000000001</v>
      </c>
      <c r="X1851">
        <v>0.97369499999999998</v>
      </c>
      <c r="Y1851">
        <v>-0.1562558</v>
      </c>
      <c r="Z1851">
        <v>-3.1915250000000002E-3</v>
      </c>
      <c r="AA1851">
        <v>0.98771149999999996</v>
      </c>
      <c r="AB1851">
        <v>29</v>
      </c>
      <c r="AC1851">
        <v>-32.166499999999999</v>
      </c>
      <c r="AD1851">
        <v>-1.06151241</v>
      </c>
      <c r="AE1851">
        <v>-5.1429999999999696</v>
      </c>
      <c r="AF1851">
        <v>-5.12725399943192</v>
      </c>
      <c r="AG1851">
        <v>-1.06151241</v>
      </c>
      <c r="AH1851">
        <v>32.1340225469743</v>
      </c>
      <c r="AI1851">
        <v>91.868398485869506</v>
      </c>
      <c r="AJ1851">
        <v>99.065606314751406</v>
      </c>
      <c r="AK1851">
        <v>32.557809312371297</v>
      </c>
      <c r="AL1851">
        <v>77.994557358859495</v>
      </c>
      <c r="AM1851">
        <v>95.456873881839201</v>
      </c>
      <c r="AN1851">
        <v>0.99999997074970004</v>
      </c>
    </row>
    <row r="1852" spans="1:40" x14ac:dyDescent="0.25">
      <c r="A1852" t="str">
        <f>"20190304155052922"</f>
        <v>20190304155052922</v>
      </c>
      <c r="B1852" t="str">
        <f>"1551685852918721"</f>
        <v>1551685852918721</v>
      </c>
      <c r="C1852" t="s">
        <v>40</v>
      </c>
      <c r="D1852">
        <v>5.1552309999999997</v>
      </c>
      <c r="E1852">
        <v>0.47235959999999999</v>
      </c>
      <c r="F1852" t="s">
        <v>72</v>
      </c>
      <c r="G1852">
        <v>-280.51690000000002</v>
      </c>
      <c r="H1852">
        <v>7.6530020000000004E-2</v>
      </c>
      <c r="I1852">
        <v>279.58980000000003</v>
      </c>
      <c r="J1852">
        <v>-248.02770000000001</v>
      </c>
      <c r="K1852">
        <v>1.1099779999999999</v>
      </c>
      <c r="L1852">
        <v>284.7593</v>
      </c>
      <c r="M1852">
        <v>-0.99996479999999999</v>
      </c>
      <c r="N1852">
        <v>-8.3886380000000003E-3</v>
      </c>
      <c r="O1852">
        <v>-2.4892579999999999E-4</v>
      </c>
      <c r="P1852">
        <v>-0.97541469999999997</v>
      </c>
      <c r="Q1852">
        <v>0.20037340000000001</v>
      </c>
      <c r="R1852">
        <v>-9.1744720000000002E-2</v>
      </c>
      <c r="S1852">
        <v>-3.0494539999999999</v>
      </c>
      <c r="T1852">
        <v>-9.6126199999999995E-2</v>
      </c>
      <c r="U1852">
        <v>-0.48083500000000001</v>
      </c>
      <c r="V1852">
        <v>-9.1481149999999997E-2</v>
      </c>
      <c r="W1852">
        <v>0.20855770000000001</v>
      </c>
      <c r="X1852">
        <v>0.97372219999999998</v>
      </c>
      <c r="Y1852">
        <v>-0.1554131</v>
      </c>
      <c r="Z1852">
        <v>-3.0842130000000001E-3</v>
      </c>
      <c r="AA1852">
        <v>0.98784479999999997</v>
      </c>
      <c r="AB1852">
        <v>29</v>
      </c>
      <c r="AC1852">
        <v>-32.489199999999997</v>
      </c>
      <c r="AD1852">
        <v>-1.03344798</v>
      </c>
      <c r="AE1852">
        <v>-5.16949999999997</v>
      </c>
      <c r="AF1852">
        <v>-5.1563237574645902</v>
      </c>
      <c r="AG1852">
        <v>-1.03344798</v>
      </c>
      <c r="AH1852">
        <v>32.458454991336502</v>
      </c>
      <c r="AI1852">
        <v>91.801060725381504</v>
      </c>
      <c r="AJ1852">
        <v>99.026533353628295</v>
      </c>
      <c r="AK1852">
        <v>32.881712088085898</v>
      </c>
      <c r="AL1852">
        <v>77.962157066293102</v>
      </c>
      <c r="AM1852">
        <v>95.367181193118995</v>
      </c>
      <c r="AN1852">
        <v>1.0000000189037199</v>
      </c>
    </row>
    <row r="1853" spans="1:40" x14ac:dyDescent="0.25">
      <c r="A1853" t="str">
        <f>"20190304155052946"</f>
        <v>20190304155052946</v>
      </c>
      <c r="B1853" t="str">
        <f>"1551685852938242"</f>
        <v>1551685852938242</v>
      </c>
      <c r="C1853" t="s">
        <v>40</v>
      </c>
      <c r="D1853">
        <v>5.2366669999999997</v>
      </c>
      <c r="E1853">
        <v>0.4720297</v>
      </c>
      <c r="F1853" t="s">
        <v>72</v>
      </c>
      <c r="G1853">
        <v>-280.75839999999999</v>
      </c>
      <c r="H1853">
        <v>7.2609770000000004E-2</v>
      </c>
      <c r="I1853">
        <v>279.59379999999999</v>
      </c>
      <c r="J1853">
        <v>-248.328</v>
      </c>
      <c r="K1853">
        <v>1.1099589999999999</v>
      </c>
      <c r="L1853">
        <v>284.75920000000002</v>
      </c>
      <c r="M1853">
        <v>-0.99996470000000004</v>
      </c>
      <c r="N1853">
        <v>-8.4122569999999994E-3</v>
      </c>
      <c r="O1853">
        <v>-1.4477939999999999E-4</v>
      </c>
      <c r="P1853">
        <v>-0.97548570000000001</v>
      </c>
      <c r="Q1853">
        <v>0.20071910000000001</v>
      </c>
      <c r="R1853">
        <v>-9.0220190000000006E-2</v>
      </c>
      <c r="S1853">
        <v>-3.050217</v>
      </c>
      <c r="T1853">
        <v>-9.6673850000000006E-2</v>
      </c>
      <c r="U1853">
        <v>-0.48138429999999999</v>
      </c>
      <c r="V1853">
        <v>-9.004405E-2</v>
      </c>
      <c r="W1853">
        <v>0.20893310000000001</v>
      </c>
      <c r="X1853">
        <v>0.97377559999999996</v>
      </c>
      <c r="Y1853">
        <v>-0.15565039999999999</v>
      </c>
      <c r="Z1853">
        <v>-3.1064030000000002E-3</v>
      </c>
      <c r="AA1853">
        <v>0.98780730000000005</v>
      </c>
      <c r="AB1853">
        <v>29</v>
      </c>
      <c r="AC1853">
        <v>-32.430399999999899</v>
      </c>
      <c r="AD1853">
        <v>-1.03734923</v>
      </c>
      <c r="AE1853">
        <v>-5.1654000000000302</v>
      </c>
      <c r="AF1853">
        <v>-5.1555600516185098</v>
      </c>
      <c r="AG1853">
        <v>-1.03734923</v>
      </c>
      <c r="AH1853">
        <v>32.398818374788704</v>
      </c>
      <c r="AI1853">
        <v>91.811105252771696</v>
      </c>
      <c r="AJ1853">
        <v>99.041557004293907</v>
      </c>
      <c r="AK1853">
        <v>32.822847605797001</v>
      </c>
      <c r="AL1853">
        <v>77.940162815497104</v>
      </c>
      <c r="AM1853">
        <v>95.283059639259605</v>
      </c>
      <c r="AN1853">
        <v>0.99999994518568402</v>
      </c>
    </row>
    <row r="1854" spans="1:40" x14ac:dyDescent="0.25">
      <c r="A1854" t="str">
        <f>"20190304155052969"</f>
        <v>20190304155052969</v>
      </c>
      <c r="B1854" t="str">
        <f>"1551685852958339"</f>
        <v>1551685852958339</v>
      </c>
      <c r="C1854" t="s">
        <v>40</v>
      </c>
      <c r="D1854">
        <v>4.9280179999999998</v>
      </c>
      <c r="E1854">
        <v>0.47192699999999999</v>
      </c>
      <c r="F1854" t="s">
        <v>72</v>
      </c>
      <c r="G1854">
        <v>-281.12389999999999</v>
      </c>
      <c r="H1854">
        <v>5.9336020000000003E-2</v>
      </c>
      <c r="I1854">
        <v>279.60700000000003</v>
      </c>
      <c r="J1854">
        <v>-248.6189</v>
      </c>
      <c r="K1854">
        <v>1.109931</v>
      </c>
      <c r="L1854">
        <v>284.7593</v>
      </c>
      <c r="M1854">
        <v>-0.99996450000000003</v>
      </c>
      <c r="N1854">
        <v>-8.4336029999999996E-3</v>
      </c>
      <c r="O1854" s="1">
        <v>-1.031412E-5</v>
      </c>
      <c r="P1854">
        <v>-0.975298</v>
      </c>
      <c r="Q1854">
        <v>0.20226569999999999</v>
      </c>
      <c r="R1854">
        <v>-8.878453E-2</v>
      </c>
      <c r="S1854">
        <v>-3.051193</v>
      </c>
      <c r="T1854">
        <v>-9.7745540000000006E-2</v>
      </c>
      <c r="U1854">
        <v>-0.47933959999999998</v>
      </c>
      <c r="V1854">
        <v>-8.8722519999999999E-2</v>
      </c>
      <c r="W1854">
        <v>0.2105062</v>
      </c>
      <c r="X1854">
        <v>0.97355809999999998</v>
      </c>
      <c r="Y1854">
        <v>-0.1550869</v>
      </c>
      <c r="Z1854">
        <v>-3.1262909999999998E-3</v>
      </c>
      <c r="AA1854">
        <v>0.98789590000000005</v>
      </c>
      <c r="AB1854">
        <v>29</v>
      </c>
      <c r="AC1854">
        <v>-32.504999999999903</v>
      </c>
      <c r="AD1854">
        <v>-1.0505949800000001</v>
      </c>
      <c r="AE1854">
        <v>-5.1522999999999604</v>
      </c>
      <c r="AF1854">
        <v>-5.1467199854812398</v>
      </c>
      <c r="AG1854">
        <v>-1.0505949800000001</v>
      </c>
      <c r="AH1854">
        <v>32.4719627339026</v>
      </c>
      <c r="AI1854">
        <v>91.830265125328694</v>
      </c>
      <c r="AJ1854">
        <v>99.006310725632403</v>
      </c>
      <c r="AK1854">
        <v>32.894085185834101</v>
      </c>
      <c r="AL1854">
        <v>77.8479810068213</v>
      </c>
      <c r="AM1854">
        <v>95.207108745949299</v>
      </c>
      <c r="AN1854">
        <v>0.999999959934599</v>
      </c>
    </row>
    <row r="1855" spans="1:40" x14ac:dyDescent="0.25">
      <c r="A1855" t="str">
        <f>"20190304155052989"</f>
        <v>20190304155052989</v>
      </c>
      <c r="B1855" t="str">
        <f>"1551685852978838"</f>
        <v>1551685852978838</v>
      </c>
      <c r="C1855" t="s">
        <v>40</v>
      </c>
      <c r="D1855">
        <v>4.9245669999999997</v>
      </c>
      <c r="E1855">
        <v>0.47163899999999997</v>
      </c>
      <c r="F1855" t="s">
        <v>72</v>
      </c>
      <c r="G1855">
        <v>-281.78980000000001</v>
      </c>
      <c r="H1855">
        <v>7.4569709999999997E-2</v>
      </c>
      <c r="I1855">
        <v>279.59179999999998</v>
      </c>
      <c r="J1855">
        <v>-248.89570000000001</v>
      </c>
      <c r="K1855">
        <v>1.1099079999999999</v>
      </c>
      <c r="L1855">
        <v>284.7595</v>
      </c>
      <c r="M1855">
        <v>-0.99996430000000003</v>
      </c>
      <c r="N1855">
        <v>-8.4525880000000005E-3</v>
      </c>
      <c r="O1855">
        <v>1.5157309999999999E-4</v>
      </c>
      <c r="P1855">
        <v>-0.97530930000000005</v>
      </c>
      <c r="Q1855">
        <v>0.20269380000000001</v>
      </c>
      <c r="R1855">
        <v>-8.7674249999999995E-2</v>
      </c>
      <c r="S1855">
        <v>-3.0524290000000001</v>
      </c>
      <c r="T1855">
        <v>-9.5275159999999998E-2</v>
      </c>
      <c r="U1855">
        <v>-0.47552489999999997</v>
      </c>
      <c r="V1855">
        <v>-8.7753209999999998E-2</v>
      </c>
      <c r="W1855">
        <v>0.21095929999999999</v>
      </c>
      <c r="X1855">
        <v>0.97354790000000002</v>
      </c>
      <c r="Y1855">
        <v>-0.15398539999999999</v>
      </c>
      <c r="Z1855">
        <v>-3.0465140000000002E-3</v>
      </c>
      <c r="AA1855">
        <v>0.98806850000000002</v>
      </c>
      <c r="AB1855">
        <v>29</v>
      </c>
      <c r="AC1855">
        <v>-32.894100000000002</v>
      </c>
      <c r="AD1855">
        <v>-1.0353382900000001</v>
      </c>
      <c r="AE1855">
        <v>-5.1677000000000204</v>
      </c>
      <c r="AF1855">
        <v>-5.1676898186853499</v>
      </c>
      <c r="AG1855">
        <v>-1.0353382900000001</v>
      </c>
      <c r="AH1855">
        <v>32.861545525453899</v>
      </c>
      <c r="AI1855">
        <v>91.782674750144395</v>
      </c>
      <c r="AJ1855">
        <v>98.936941243796596</v>
      </c>
      <c r="AK1855">
        <v>33.2814981297172</v>
      </c>
      <c r="AL1855">
        <v>77.8214241974933</v>
      </c>
      <c r="AM1855">
        <v>95.150581442323301</v>
      </c>
      <c r="AN1855">
        <v>0.99999998285810099</v>
      </c>
    </row>
    <row r="1856" spans="1:40" x14ac:dyDescent="0.25">
      <c r="A1856" t="str">
        <f>"20190304155053011"</f>
        <v>20190304155053011</v>
      </c>
      <c r="B1856" t="str">
        <f>"1551685853008114"</f>
        <v>1551685853008114</v>
      </c>
      <c r="C1856" t="s">
        <v>40</v>
      </c>
      <c r="D1856">
        <v>4.5395640000000004</v>
      </c>
      <c r="E1856">
        <v>0.47141899999999998</v>
      </c>
      <c r="F1856" t="s">
        <v>72</v>
      </c>
      <c r="G1856">
        <v>-282.12299999999999</v>
      </c>
      <c r="H1856">
        <v>7.2826230000000006E-2</v>
      </c>
      <c r="I1856">
        <v>279.59350000000001</v>
      </c>
      <c r="J1856">
        <v>-249.17670000000001</v>
      </c>
      <c r="K1856">
        <v>1.109874</v>
      </c>
      <c r="L1856">
        <v>284.75970000000001</v>
      </c>
      <c r="M1856">
        <v>-0.99996410000000002</v>
      </c>
      <c r="N1856">
        <v>-8.4709899999999994E-3</v>
      </c>
      <c r="O1856">
        <v>3.4548709999999999E-4</v>
      </c>
      <c r="P1856">
        <v>-0.9754041</v>
      </c>
      <c r="Q1856">
        <v>0.2027118</v>
      </c>
      <c r="R1856">
        <v>-8.6573220000000006E-2</v>
      </c>
      <c r="S1856">
        <v>-3.0530849999999998</v>
      </c>
      <c r="T1856">
        <v>-9.5291849999999997E-2</v>
      </c>
      <c r="U1856">
        <v>-0.47467039999999999</v>
      </c>
      <c r="V1856">
        <v>-8.6827169999999995E-2</v>
      </c>
      <c r="W1856">
        <v>0.2110012</v>
      </c>
      <c r="X1856">
        <v>0.97362179999999998</v>
      </c>
      <c r="Y1856">
        <v>-0.1538746</v>
      </c>
      <c r="Z1856">
        <v>-3.0500760000000001E-3</v>
      </c>
      <c r="AA1856">
        <v>0.98808569999999996</v>
      </c>
      <c r="AB1856">
        <v>29</v>
      </c>
      <c r="AC1856">
        <v>-32.946299999999901</v>
      </c>
      <c r="AD1856">
        <v>-1.03704777</v>
      </c>
      <c r="AE1856">
        <v>-5.1661999999999999</v>
      </c>
      <c r="AF1856">
        <v>-5.1725806396739804</v>
      </c>
      <c r="AG1856">
        <v>-1.03704777</v>
      </c>
      <c r="AH1856">
        <v>32.912685935311501</v>
      </c>
      <c r="AI1856">
        <v>91.7828697140705</v>
      </c>
      <c r="AJ1856">
        <v>98.931587576193493</v>
      </c>
      <c r="AK1856">
        <v>33.332805972909703</v>
      </c>
      <c r="AL1856">
        <v>77.818967649475397</v>
      </c>
      <c r="AM1856">
        <v>95.096131472523794</v>
      </c>
      <c r="AN1856">
        <v>0.999999936643442</v>
      </c>
    </row>
    <row r="1857" spans="1:40" x14ac:dyDescent="0.25">
      <c r="A1857" t="str">
        <f>"20190304155053035"</f>
        <v>20190304155053035</v>
      </c>
      <c r="B1857" t="str">
        <f>"1551685853028610"</f>
        <v>1551685853028610</v>
      </c>
      <c r="C1857" t="s">
        <v>40</v>
      </c>
      <c r="D1857">
        <v>4.9144100000000002</v>
      </c>
      <c r="E1857">
        <v>0.47333180000000002</v>
      </c>
      <c r="F1857" t="s">
        <v>72</v>
      </c>
      <c r="G1857">
        <v>-282.51260000000002</v>
      </c>
      <c r="H1857">
        <v>7.3986850000000007E-2</v>
      </c>
      <c r="I1857">
        <v>279.59230000000002</v>
      </c>
      <c r="J1857">
        <v>-249.48750000000001</v>
      </c>
      <c r="K1857">
        <v>1.1098479999999999</v>
      </c>
      <c r="L1857">
        <v>284.76010000000002</v>
      </c>
      <c r="M1857">
        <v>-0.99996390000000002</v>
      </c>
      <c r="N1857">
        <v>-8.4899889999999999E-3</v>
      </c>
      <c r="O1857">
        <v>5.9157719999999999E-4</v>
      </c>
      <c r="P1857">
        <v>-0.97572270000000005</v>
      </c>
      <c r="Q1857">
        <v>0.20150870000000001</v>
      </c>
      <c r="R1857">
        <v>-8.5790149999999996E-2</v>
      </c>
      <c r="S1857">
        <v>-3.0533600000000001</v>
      </c>
      <c r="T1857">
        <v>-9.4880939999999997E-2</v>
      </c>
      <c r="U1857">
        <v>-0.47329710000000003</v>
      </c>
      <c r="V1857">
        <v>-8.6271959999999995E-2</v>
      </c>
      <c r="W1857">
        <v>0.2098246</v>
      </c>
      <c r="X1857">
        <v>0.9739255</v>
      </c>
      <c r="Y1857">
        <v>-0.1536711</v>
      </c>
      <c r="Z1857">
        <v>-3.0425650000000001E-3</v>
      </c>
      <c r="AA1857">
        <v>0.98811740000000003</v>
      </c>
      <c r="AB1857">
        <v>29</v>
      </c>
      <c r="AC1857">
        <v>-33.025100000000002</v>
      </c>
      <c r="AD1857">
        <v>-1.0358611499999999</v>
      </c>
      <c r="AE1857">
        <v>-5.1677999999999997</v>
      </c>
      <c r="AF1857">
        <v>-5.1823600536149002</v>
      </c>
      <c r="AG1857">
        <v>-1.0358611499999999</v>
      </c>
      <c r="AH1857">
        <v>32.990356193427097</v>
      </c>
      <c r="AI1857">
        <v>91.776661071124195</v>
      </c>
      <c r="AJ1857">
        <v>98.927473549626598</v>
      </c>
      <c r="AK1857">
        <v>33.410978222982003</v>
      </c>
      <c r="AL1857">
        <v>77.887927016040095</v>
      </c>
      <c r="AM1857">
        <v>95.062143776107007</v>
      </c>
      <c r="AN1857">
        <v>1.0000000466988199</v>
      </c>
    </row>
    <row r="1858" spans="1:40" x14ac:dyDescent="0.25">
      <c r="A1858" t="str">
        <f>"20190304155053058"</f>
        <v>20190304155053058</v>
      </c>
      <c r="B1858" t="str">
        <f>"1551685853048130"</f>
        <v>1551685853048130</v>
      </c>
      <c r="C1858" t="s">
        <v>40</v>
      </c>
      <c r="D1858">
        <v>5.0147769999999996</v>
      </c>
      <c r="E1858">
        <v>0.53932259999999999</v>
      </c>
      <c r="F1858" t="s">
        <v>72</v>
      </c>
      <c r="G1858">
        <v>-283.97620000000001</v>
      </c>
      <c r="H1858">
        <v>4.0612990000000002E-2</v>
      </c>
      <c r="I1858">
        <v>279.6164</v>
      </c>
      <c r="J1858">
        <v>-249.79249999999999</v>
      </c>
      <c r="K1858">
        <v>1.109823</v>
      </c>
      <c r="L1858">
        <v>284.76049999999998</v>
      </c>
      <c r="M1858">
        <v>-0.99996350000000001</v>
      </c>
      <c r="N1858">
        <v>-8.5097590000000004E-3</v>
      </c>
      <c r="O1858">
        <v>8.6043410000000002E-4</v>
      </c>
      <c r="P1858">
        <v>-0.97579939999999998</v>
      </c>
      <c r="Q1858">
        <v>0.20116439999999999</v>
      </c>
      <c r="R1858">
        <v>-8.5725170000000003E-2</v>
      </c>
      <c r="S1858">
        <v>-3.0541689999999999</v>
      </c>
      <c r="T1858">
        <v>-9.468675E-2</v>
      </c>
      <c r="U1858">
        <v>-0.4555054</v>
      </c>
      <c r="V1858">
        <v>-8.6460090000000003E-2</v>
      </c>
      <c r="W1858">
        <v>0.20950379999999999</v>
      </c>
      <c r="X1858">
        <v>0.9739778</v>
      </c>
      <c r="Y1858">
        <v>-0.14827219999999999</v>
      </c>
      <c r="Z1858">
        <v>-2.9390150000000001E-3</v>
      </c>
      <c r="AA1858">
        <v>0.98894219999999999</v>
      </c>
      <c r="AB1858">
        <v>29</v>
      </c>
      <c r="AC1858">
        <v>-34.183700000000002</v>
      </c>
      <c r="AD1858">
        <v>-1.0692100099999999</v>
      </c>
      <c r="AE1858">
        <v>-5.1440999999999804</v>
      </c>
      <c r="AF1858">
        <v>-5.1685673587127701</v>
      </c>
      <c r="AG1858">
        <v>-1.0692100099999999</v>
      </c>
      <c r="AH1858">
        <v>34.1465939548374</v>
      </c>
      <c r="AI1858">
        <v>91.773293477245204</v>
      </c>
      <c r="AJ1858">
        <v>98.607185794624499</v>
      </c>
      <c r="AK1858">
        <v>34.552093674675803</v>
      </c>
      <c r="AL1858">
        <v>77.906724407419006</v>
      </c>
      <c r="AM1858">
        <v>95.072854067409395</v>
      </c>
      <c r="AN1858">
        <v>0.99999997213504299</v>
      </c>
    </row>
    <row r="1859" spans="1:40" x14ac:dyDescent="0.25">
      <c r="A1859" t="str">
        <f>"20190304155053081"</f>
        <v>20190304155053081</v>
      </c>
      <c r="B1859" t="str">
        <f>"1551685853078386"</f>
        <v>1551685853078386</v>
      </c>
      <c r="C1859" t="s">
        <v>40</v>
      </c>
      <c r="D1859">
        <v>4.9627309999999998</v>
      </c>
      <c r="E1859">
        <v>0.53952119999999903</v>
      </c>
      <c r="F1859" t="s">
        <v>70</v>
      </c>
      <c r="G1859">
        <v>-382.83839999999998</v>
      </c>
      <c r="H1859" s="1">
        <v>-2.632004E-8</v>
      </c>
      <c r="I1859">
        <v>287.71050000000002</v>
      </c>
      <c r="J1859">
        <v>-250.08770000000001</v>
      </c>
      <c r="K1859">
        <v>1.109809</v>
      </c>
      <c r="L1859">
        <v>284.76100000000002</v>
      </c>
      <c r="M1859">
        <v>-0.99996320000000005</v>
      </c>
      <c r="N1859">
        <v>-8.5326480000000003E-3</v>
      </c>
      <c r="O1859">
        <v>1.139178E-3</v>
      </c>
      <c r="P1859">
        <v>-0.97584119999999996</v>
      </c>
      <c r="Q1859">
        <v>0.2008799</v>
      </c>
      <c r="R1859">
        <v>-8.5917339999999995E-2</v>
      </c>
      <c r="S1859">
        <v>-3.0857239999999999</v>
      </c>
      <c r="T1859">
        <v>-2.5740030000000001E-2</v>
      </c>
      <c r="U1859">
        <v>6.8420410000000001E-2</v>
      </c>
      <c r="V1859">
        <v>-8.6917380000000002E-2</v>
      </c>
      <c r="W1859">
        <v>0.2092446</v>
      </c>
      <c r="X1859">
        <v>0.97399279999999999</v>
      </c>
      <c r="Y1859">
        <v>2.102733E-2</v>
      </c>
      <c r="Z1859">
        <v>1.7763220000000001E-4</v>
      </c>
      <c r="AA1859">
        <v>0.99977890000000003</v>
      </c>
      <c r="AB1859">
        <v>29</v>
      </c>
      <c r="AC1859">
        <v>-132.750699999999</v>
      </c>
      <c r="AD1859">
        <v>-1.10980902632004</v>
      </c>
      <c r="AE1859">
        <v>2.9495000000000502</v>
      </c>
      <c r="AF1859">
        <v>2.7980704777263599</v>
      </c>
      <c r="AG1859">
        <v>-1.10980902632004</v>
      </c>
      <c r="AH1859">
        <v>132.74470086708001</v>
      </c>
      <c r="AI1859">
        <v>90.478902516852102</v>
      </c>
      <c r="AJ1859">
        <v>88.792464851456899</v>
      </c>
      <c r="AK1859">
        <v>132.77882543072801</v>
      </c>
      <c r="AL1859">
        <v>77.9219118780006</v>
      </c>
      <c r="AM1859">
        <v>95.099465321007202</v>
      </c>
      <c r="AN1859">
        <v>0.99999995401353103</v>
      </c>
    </row>
    <row r="1860" spans="1:40" x14ac:dyDescent="0.25">
      <c r="A1860" t="str">
        <f>"20190304155053100"</f>
        <v>20190304155053100</v>
      </c>
      <c r="B1860" t="str">
        <f>"1551685853098882"</f>
        <v>1551685853098882</v>
      </c>
      <c r="C1860" t="s">
        <v>40</v>
      </c>
      <c r="D1860">
        <v>4.9328010000000004</v>
      </c>
      <c r="E1860">
        <v>0.53940369999999904</v>
      </c>
      <c r="F1860" t="s">
        <v>70</v>
      </c>
      <c r="G1860">
        <v>-360.01690000000002</v>
      </c>
      <c r="H1860" s="1">
        <v>-1.5277819999999999E-6</v>
      </c>
      <c r="I1860">
        <v>287.24549999999999</v>
      </c>
      <c r="J1860">
        <v>-250.34880000000001</v>
      </c>
      <c r="K1860">
        <v>1.1098049999999999</v>
      </c>
      <c r="L1860">
        <v>284.76159999999999</v>
      </c>
      <c r="M1860">
        <v>-0.99996240000000003</v>
      </c>
      <c r="N1860">
        <v>-8.5537900000000004E-3</v>
      </c>
      <c r="O1860">
        <v>1.394576E-3</v>
      </c>
      <c r="P1860">
        <v>-0.97585469999999996</v>
      </c>
      <c r="Q1860">
        <v>0.20071910000000001</v>
      </c>
      <c r="R1860">
        <v>-8.6138049999999994E-2</v>
      </c>
      <c r="S1860">
        <v>-3.0868229999999999</v>
      </c>
      <c r="T1860">
        <v>-3.1163570000000002E-2</v>
      </c>
      <c r="U1860">
        <v>6.9763179999999994E-2</v>
      </c>
      <c r="V1860">
        <v>-8.7383050000000004E-2</v>
      </c>
      <c r="W1860">
        <v>0.20910609999999999</v>
      </c>
      <c r="X1860">
        <v>0.97398090000000004</v>
      </c>
      <c r="Y1860">
        <v>2.1198270000000002E-2</v>
      </c>
      <c r="Z1860">
        <v>1.9552E-4</v>
      </c>
      <c r="AA1860">
        <v>0.99977530000000003</v>
      </c>
      <c r="AB1860">
        <v>29</v>
      </c>
      <c r="AC1860">
        <v>-109.6681</v>
      </c>
      <c r="AD1860">
        <v>-1.109806527782</v>
      </c>
      <c r="AE1860">
        <v>2.4839000000000002</v>
      </c>
      <c r="AF1860">
        <v>2.3307129208753401</v>
      </c>
      <c r="AG1860">
        <v>-1.109806527782</v>
      </c>
      <c r="AH1860">
        <v>109.66023313487599</v>
      </c>
      <c r="AI1860">
        <v>90.579706076697704</v>
      </c>
      <c r="AJ1860">
        <v>88.782421783814499</v>
      </c>
      <c r="AK1860">
        <v>109.690613201148</v>
      </c>
      <c r="AL1860">
        <v>77.930027132006899</v>
      </c>
      <c r="AM1860">
        <v>95.126703399286697</v>
      </c>
      <c r="AN1860">
        <v>0.99999997602466095</v>
      </c>
    </row>
    <row r="1861" spans="1:40" x14ac:dyDescent="0.25">
      <c r="A1861" t="str">
        <f>"20190304155053124"</f>
        <v>20190304155053124</v>
      </c>
      <c r="B1861" t="str">
        <f>"1551685853118403"</f>
        <v>1551685853118403</v>
      </c>
      <c r="C1861" t="s">
        <v>40</v>
      </c>
      <c r="D1861">
        <v>4.970383</v>
      </c>
      <c r="E1861">
        <v>0.53981780000000001</v>
      </c>
      <c r="F1861" t="s">
        <v>70</v>
      </c>
      <c r="G1861">
        <v>-352.01060000000001</v>
      </c>
      <c r="H1861" s="1">
        <v>-4.6684989999999998E-7</v>
      </c>
      <c r="I1861">
        <v>287.01459999999997</v>
      </c>
      <c r="J1861">
        <v>-250.6413</v>
      </c>
      <c r="K1861">
        <v>1.1097969999999999</v>
      </c>
      <c r="L1861">
        <v>284.76229999999998</v>
      </c>
      <c r="M1861">
        <v>-0.99996189999999996</v>
      </c>
      <c r="N1861">
        <v>-8.5764900000000008E-3</v>
      </c>
      <c r="O1861">
        <v>1.6848200000000001E-3</v>
      </c>
      <c r="P1861">
        <v>-0.97584550000000003</v>
      </c>
      <c r="Q1861">
        <v>0.20044239999999999</v>
      </c>
      <c r="R1861">
        <v>-8.6883509999999997E-2</v>
      </c>
      <c r="S1861">
        <v>-3.0872039999999998</v>
      </c>
      <c r="T1861">
        <v>-3.37019E-2</v>
      </c>
      <c r="U1861">
        <v>6.8420410000000001E-2</v>
      </c>
      <c r="V1861">
        <v>-8.8408219999999996E-2</v>
      </c>
      <c r="W1861">
        <v>0.20885380000000001</v>
      </c>
      <c r="X1861">
        <v>0.97394250000000004</v>
      </c>
      <c r="Y1861">
        <v>2.0470470000000001E-2</v>
      </c>
      <c r="Z1861">
        <v>1.955754E-4</v>
      </c>
      <c r="AA1861">
        <v>0.99979039999999997</v>
      </c>
      <c r="AB1861">
        <v>29</v>
      </c>
      <c r="AC1861">
        <v>-101.3693</v>
      </c>
      <c r="AD1861">
        <v>-1.1097974668499</v>
      </c>
      <c r="AE1861">
        <v>2.2522999999999902</v>
      </c>
      <c r="AF1861">
        <v>2.0812521781847599</v>
      </c>
      <c r="AG1861">
        <v>-1.1097974668499</v>
      </c>
      <c r="AH1861">
        <v>101.360807854435</v>
      </c>
      <c r="AI1861">
        <v>90.627173096397101</v>
      </c>
      <c r="AJ1861">
        <v>88.823704998355595</v>
      </c>
      <c r="AK1861">
        <v>101.388247001072</v>
      </c>
      <c r="AL1861">
        <v>77.944809029968695</v>
      </c>
      <c r="AM1861">
        <v>95.186726650515993</v>
      </c>
      <c r="AN1861">
        <v>0.99999995822212795</v>
      </c>
    </row>
    <row r="1862" spans="1:40" x14ac:dyDescent="0.25">
      <c r="A1862" t="str">
        <f>"20190304155053145"</f>
        <v>20190304155053145</v>
      </c>
      <c r="B1862" t="str">
        <f>"1551685853138901"</f>
        <v>1551685853138901</v>
      </c>
      <c r="C1862" t="s">
        <v>40</v>
      </c>
      <c r="D1862">
        <v>4.9260830000000002</v>
      </c>
      <c r="E1862">
        <v>0.53927530000000001</v>
      </c>
      <c r="F1862" t="s">
        <v>70</v>
      </c>
      <c r="G1862">
        <v>-345.40339999999998</v>
      </c>
      <c r="H1862" s="1">
        <v>1.338607E-6</v>
      </c>
      <c r="I1862">
        <v>286.90230000000003</v>
      </c>
      <c r="J1862">
        <v>-250.9357</v>
      </c>
      <c r="K1862">
        <v>1.1097870000000001</v>
      </c>
      <c r="L1862">
        <v>284.76310000000001</v>
      </c>
      <c r="M1862">
        <v>-0.99996110000000005</v>
      </c>
      <c r="N1862">
        <v>-8.5978319999999997E-3</v>
      </c>
      <c r="O1862">
        <v>1.9786840000000001E-3</v>
      </c>
      <c r="P1862">
        <v>-0.97612310000000002</v>
      </c>
      <c r="Q1862">
        <v>0.19897390000000001</v>
      </c>
      <c r="R1862">
        <v>-8.7138590000000002E-2</v>
      </c>
      <c r="S1862">
        <v>-3.0878749999999999</v>
      </c>
      <c r="T1862">
        <v>-3.616333E-2</v>
      </c>
      <c r="U1862">
        <v>6.9732669999999997E-2</v>
      </c>
      <c r="V1862">
        <v>-8.8949340000000002E-2</v>
      </c>
      <c r="W1862">
        <v>0.20740939999999999</v>
      </c>
      <c r="X1862">
        <v>0.97420189999999995</v>
      </c>
      <c r="Y1862">
        <v>2.059625E-2</v>
      </c>
      <c r="Z1862">
        <v>2.029868E-4</v>
      </c>
      <c r="AA1862">
        <v>0.99978789999999995</v>
      </c>
      <c r="AB1862">
        <v>29</v>
      </c>
      <c r="AC1862">
        <v>-94.467699999999894</v>
      </c>
      <c r="AD1862">
        <v>-1.1097856613929999</v>
      </c>
      <c r="AE1862">
        <v>2.13920000000001</v>
      </c>
      <c r="AF1862">
        <v>1.9519979221435999</v>
      </c>
      <c r="AG1862">
        <v>-1.1097856613929999</v>
      </c>
      <c r="AH1862">
        <v>94.458718418094804</v>
      </c>
      <c r="AI1862">
        <v>90.672987515362095</v>
      </c>
      <c r="AJ1862">
        <v>88.816146057683994</v>
      </c>
      <c r="AK1862">
        <v>94.485403133453403</v>
      </c>
      <c r="AL1862">
        <v>78.029420399427394</v>
      </c>
      <c r="AM1862">
        <v>95.216916496150006</v>
      </c>
      <c r="AN1862">
        <v>0.99999999312920196</v>
      </c>
    </row>
    <row r="1863" spans="1:40" x14ac:dyDescent="0.25">
      <c r="A1863" t="str">
        <f>"20190304155053169"</f>
        <v>20190304155053169</v>
      </c>
      <c r="B1863" t="str">
        <f>"1551685853158418"</f>
        <v>1551685853158418</v>
      </c>
      <c r="C1863" t="s">
        <v>40</v>
      </c>
      <c r="D1863">
        <v>5.029433</v>
      </c>
      <c r="E1863">
        <v>0.53926600000000002</v>
      </c>
      <c r="F1863" t="s">
        <v>70</v>
      </c>
      <c r="G1863">
        <v>-336.79109999999997</v>
      </c>
      <c r="H1863" s="1">
        <v>1.9917739999999998E-6</v>
      </c>
      <c r="I1863">
        <v>286.56819999999999</v>
      </c>
      <c r="J1863">
        <v>-251.23330000000001</v>
      </c>
      <c r="K1863">
        <v>1.1097840000000001</v>
      </c>
      <c r="L1863">
        <v>284.76400000000001</v>
      </c>
      <c r="M1863">
        <v>-0.99996030000000002</v>
      </c>
      <c r="N1863">
        <v>-8.6183259999999904E-3</v>
      </c>
      <c r="O1863">
        <v>2.2755169999999999E-3</v>
      </c>
      <c r="P1863">
        <v>-0.97638009999999997</v>
      </c>
      <c r="Q1863">
        <v>0.1974679</v>
      </c>
      <c r="R1863">
        <v>-8.7683250000000004E-2</v>
      </c>
      <c r="S1863">
        <v>-3.0873110000000001</v>
      </c>
      <c r="T1863">
        <v>-3.990722E-2</v>
      </c>
      <c r="U1863">
        <v>6.4910889999999999E-2</v>
      </c>
      <c r="V1863">
        <v>-8.9784009999999997E-2</v>
      </c>
      <c r="W1863">
        <v>0.20592630000000001</v>
      </c>
      <c r="X1863">
        <v>0.97443990000000003</v>
      </c>
      <c r="Y1863">
        <v>1.8742669999999999E-2</v>
      </c>
      <c r="Z1863">
        <v>1.920988E-4</v>
      </c>
      <c r="AA1863">
        <v>0.9998243</v>
      </c>
      <c r="AB1863">
        <v>29</v>
      </c>
      <c r="AC1863">
        <v>-85.557799999999901</v>
      </c>
      <c r="AD1863">
        <v>-1.1097820082259999</v>
      </c>
      <c r="AE1863">
        <v>1.80419999999998</v>
      </c>
      <c r="AF1863">
        <v>1.6092292417446199</v>
      </c>
      <c r="AG1863">
        <v>-1.1097820082259999</v>
      </c>
      <c r="AH1863">
        <v>85.547297144679405</v>
      </c>
      <c r="AI1863">
        <v>90.743109549843098</v>
      </c>
      <c r="AJ1863">
        <v>88.922336837351097</v>
      </c>
      <c r="AK1863">
        <v>85.569628277902098</v>
      </c>
      <c r="AL1863">
        <v>78.116270428685198</v>
      </c>
      <c r="AM1863">
        <v>95.264317479189003</v>
      </c>
      <c r="AN1863">
        <v>0.99999996409768899</v>
      </c>
    </row>
    <row r="1864" spans="1:40" x14ac:dyDescent="0.25">
      <c r="A1864" t="str">
        <f>"20190304155053181"</f>
        <v>20190304155053181</v>
      </c>
      <c r="B1864" t="str">
        <f>"1551685853178914"</f>
        <v>1551685853178914</v>
      </c>
      <c r="C1864" t="s">
        <v>40</v>
      </c>
      <c r="D1864">
        <v>4.91045</v>
      </c>
      <c r="E1864">
        <v>0.53971740000000001</v>
      </c>
      <c r="F1864" t="s">
        <v>70</v>
      </c>
      <c r="G1864">
        <v>-326.19529999999997</v>
      </c>
      <c r="H1864" s="1">
        <v>1.686282E-6</v>
      </c>
      <c r="I1864">
        <v>286.30360000000002</v>
      </c>
      <c r="J1864">
        <v>-251.4135</v>
      </c>
      <c r="K1864">
        <v>1.109785</v>
      </c>
      <c r="L1864">
        <v>284.7645</v>
      </c>
      <c r="M1864">
        <v>-0.99995979999999995</v>
      </c>
      <c r="N1864">
        <v>-8.6328250000000002E-3</v>
      </c>
      <c r="O1864">
        <v>2.4548159999999999E-3</v>
      </c>
      <c r="P1864">
        <v>-0.97639200000000004</v>
      </c>
      <c r="Q1864">
        <v>0.19733039999999999</v>
      </c>
      <c r="R1864">
        <v>-8.7860079999999993E-2</v>
      </c>
      <c r="S1864">
        <v>-3.0875089999999998</v>
      </c>
      <c r="T1864">
        <v>-4.5709369999999999E-2</v>
      </c>
      <c r="U1864">
        <v>6.3415529999999998E-2</v>
      </c>
      <c r="V1864">
        <v>-9.0135339999999994E-2</v>
      </c>
      <c r="W1864">
        <v>0.2058035</v>
      </c>
      <c r="X1864">
        <v>0.97443340000000001</v>
      </c>
      <c r="Y1864">
        <v>1.8077510000000001E-2</v>
      </c>
      <c r="Z1864">
        <v>1.966936E-4</v>
      </c>
      <c r="AA1864">
        <v>0.99983659999999996</v>
      </c>
      <c r="AB1864">
        <v>29</v>
      </c>
      <c r="AC1864">
        <v>-74.781799999999905</v>
      </c>
      <c r="AD1864">
        <v>-1.109783313718</v>
      </c>
      <c r="AE1864">
        <v>1.5391000000000099</v>
      </c>
      <c r="AF1864">
        <v>1.3552146381554899</v>
      </c>
      <c r="AG1864">
        <v>-1.109783313718</v>
      </c>
      <c r="AH1864">
        <v>74.768893321206605</v>
      </c>
      <c r="AI1864">
        <v>90.850230466939806</v>
      </c>
      <c r="AJ1864">
        <v>88.961605901844493</v>
      </c>
      <c r="AK1864">
        <v>74.789408569642006</v>
      </c>
      <c r="AL1864">
        <v>78.123460253276207</v>
      </c>
      <c r="AM1864">
        <v>95.284835696718901</v>
      </c>
      <c r="AN1864">
        <v>0.99999995558236099</v>
      </c>
    </row>
    <row r="1865" spans="1:40" x14ac:dyDescent="0.25">
      <c r="A1865" t="str">
        <f>"20190304155053202"</f>
        <v>20190304155053202</v>
      </c>
      <c r="B1865" t="str">
        <f>"1551685853198435"</f>
        <v>1551685853198435</v>
      </c>
      <c r="C1865" t="s">
        <v>40</v>
      </c>
      <c r="D1865">
        <v>4.8147089999999997</v>
      </c>
      <c r="E1865">
        <v>0.5400857</v>
      </c>
      <c r="F1865" t="s">
        <v>70</v>
      </c>
      <c r="G1865">
        <v>-335.4151</v>
      </c>
      <c r="H1865" s="1">
        <v>1.258965E-6</v>
      </c>
      <c r="I1865">
        <v>286.58159999999998</v>
      </c>
      <c r="J1865">
        <v>-251.66890000000001</v>
      </c>
      <c r="K1865">
        <v>1.1097950000000001</v>
      </c>
      <c r="L1865">
        <v>284.7654</v>
      </c>
      <c r="M1865">
        <v>-0.99995900000000004</v>
      </c>
      <c r="N1865">
        <v>-8.6549550000000006E-3</v>
      </c>
      <c r="O1865">
        <v>2.7075810000000001E-3</v>
      </c>
      <c r="P1865">
        <v>-0.9760008</v>
      </c>
      <c r="Q1865">
        <v>0.19916139999999999</v>
      </c>
      <c r="R1865">
        <v>-8.8074970000000002E-2</v>
      </c>
      <c r="S1865">
        <v>-3.086792</v>
      </c>
      <c r="T1865">
        <v>-4.0781020000000001E-2</v>
      </c>
      <c r="U1865">
        <v>6.6772460000000006E-2</v>
      </c>
      <c r="V1865">
        <v>-9.0593989999999999E-2</v>
      </c>
      <c r="W1865">
        <v>0.2076529</v>
      </c>
      <c r="X1865">
        <v>0.97399849999999999</v>
      </c>
      <c r="Y1865">
        <v>1.8916780000000001E-2</v>
      </c>
      <c r="Z1865">
        <v>1.9448450000000001E-4</v>
      </c>
      <c r="AA1865">
        <v>0.99982110000000002</v>
      </c>
      <c r="AB1865">
        <v>29</v>
      </c>
      <c r="AC1865">
        <v>-83.746199999999902</v>
      </c>
      <c r="AD1865">
        <v>-1.1097937410349901</v>
      </c>
      <c r="AE1865">
        <v>1.8161999999999801</v>
      </c>
      <c r="AF1865">
        <v>1.58915631259409</v>
      </c>
      <c r="AG1865">
        <v>-1.1097937410349901</v>
      </c>
      <c r="AH1865">
        <v>83.736112539427594</v>
      </c>
      <c r="AI1865">
        <v>90.759186532535907</v>
      </c>
      <c r="AJ1865">
        <v>88.9127627507103</v>
      </c>
      <c r="AK1865">
        <v>83.758543463632293</v>
      </c>
      <c r="AL1865">
        <v>78.015158915086502</v>
      </c>
      <c r="AM1865">
        <v>95.313932041064803</v>
      </c>
      <c r="AN1865">
        <v>1.0000000379523799</v>
      </c>
    </row>
    <row r="1866" spans="1:40" x14ac:dyDescent="0.25">
      <c r="A1866" t="str">
        <f>"20190304155053216"</f>
        <v>20190304155053216</v>
      </c>
      <c r="B1866" t="str">
        <f>"1551685853208195"</f>
        <v>1551685853208195</v>
      </c>
      <c r="C1866" t="s">
        <v>40</v>
      </c>
      <c r="D1866">
        <v>4.885999</v>
      </c>
      <c r="E1866">
        <v>0.54017320000000002</v>
      </c>
      <c r="F1866" t="s">
        <v>70</v>
      </c>
      <c r="G1866">
        <v>-351.6429</v>
      </c>
      <c r="H1866" s="1">
        <v>-6.6253100000000002E-7</v>
      </c>
      <c r="I1866">
        <v>287.03160000000003</v>
      </c>
      <c r="J1866">
        <v>-251.86670000000001</v>
      </c>
      <c r="K1866">
        <v>1.109802</v>
      </c>
      <c r="L1866">
        <v>284.76609999999999</v>
      </c>
      <c r="M1866">
        <v>-0.99995820000000002</v>
      </c>
      <c r="N1866">
        <v>-8.6724690000000004E-3</v>
      </c>
      <c r="O1866">
        <v>2.9026619999999999E-3</v>
      </c>
      <c r="P1866">
        <v>-0.97577950000000002</v>
      </c>
      <c r="Q1866">
        <v>0.20037489999999999</v>
      </c>
      <c r="R1866">
        <v>-8.7775829999999999E-2</v>
      </c>
      <c r="S1866">
        <v>-3.0870820000000001</v>
      </c>
      <c r="T1866">
        <v>-3.4269210000000001E-2</v>
      </c>
      <c r="U1866">
        <v>6.997681E-2</v>
      </c>
      <c r="V1866">
        <v>-9.0483389999999997E-2</v>
      </c>
      <c r="W1866">
        <v>0.20888180000000001</v>
      </c>
      <c r="X1866">
        <v>0.97374590000000005</v>
      </c>
      <c r="Y1866">
        <v>1.9757520000000001E-2</v>
      </c>
      <c r="Z1866">
        <v>1.8828970000000001E-4</v>
      </c>
      <c r="AA1866">
        <v>0.99980480000000005</v>
      </c>
      <c r="AB1866">
        <v>30</v>
      </c>
      <c r="AC1866">
        <v>-99.776200000000003</v>
      </c>
      <c r="AD1866">
        <v>-1.109802662531</v>
      </c>
      <c r="AE1866">
        <v>2.26550000000003</v>
      </c>
      <c r="AF1866">
        <v>1.9756186885354701</v>
      </c>
      <c r="AG1866">
        <v>-1.109802662531</v>
      </c>
      <c r="AH1866">
        <v>99.770018745203799</v>
      </c>
      <c r="AI1866">
        <v>90.637184654437107</v>
      </c>
      <c r="AJ1866">
        <v>88.865592862157499</v>
      </c>
      <c r="AK1866">
        <v>99.795748263994597</v>
      </c>
      <c r="AL1866">
        <v>77.943168636539596</v>
      </c>
      <c r="AM1866">
        <v>95.308850647095895</v>
      </c>
      <c r="AN1866">
        <v>0.99999996400197</v>
      </c>
    </row>
    <row r="1867" spans="1:40" x14ac:dyDescent="0.25">
      <c r="A1867" t="str">
        <f>"20190304155053237"</f>
        <v>20190304155053237</v>
      </c>
      <c r="B1867" t="str">
        <f>"1551685853228691"</f>
        <v>1551685853228691</v>
      </c>
      <c r="C1867" t="s">
        <v>40</v>
      </c>
      <c r="D1867">
        <v>4.9463400000000002</v>
      </c>
      <c r="E1867">
        <v>0.5409484</v>
      </c>
      <c r="F1867" t="s">
        <v>70</v>
      </c>
      <c r="G1867">
        <v>-364.0129</v>
      </c>
      <c r="H1867" s="1">
        <v>5.9866650000000001E-7</v>
      </c>
      <c r="I1867">
        <v>287.38459999999998</v>
      </c>
      <c r="J1867">
        <v>-252.1317</v>
      </c>
      <c r="K1867">
        <v>1.109809</v>
      </c>
      <c r="L1867">
        <v>284.7672</v>
      </c>
      <c r="M1867">
        <v>-0.99995730000000005</v>
      </c>
      <c r="N1867">
        <v>-8.6952399999999999E-3</v>
      </c>
      <c r="O1867">
        <v>3.1634639999999999E-3</v>
      </c>
      <c r="P1867">
        <v>-0.97555210000000003</v>
      </c>
      <c r="Q1867">
        <v>0.2018585</v>
      </c>
      <c r="R1867">
        <v>-8.6899000000000004E-2</v>
      </c>
      <c r="S1867">
        <v>-3.0872190000000002</v>
      </c>
      <c r="T1867">
        <v>-3.0551200000000001E-2</v>
      </c>
      <c r="U1867">
        <v>7.2082519999999997E-2</v>
      </c>
      <c r="V1867">
        <v>-8.9858480000000004E-2</v>
      </c>
      <c r="W1867">
        <v>0.2103854</v>
      </c>
      <c r="X1867">
        <v>0.97348000000000001</v>
      </c>
      <c r="Y1867">
        <v>2.017764E-2</v>
      </c>
      <c r="Z1867">
        <v>1.8376920000000001E-4</v>
      </c>
      <c r="AA1867">
        <v>0.99979640000000003</v>
      </c>
      <c r="AB1867">
        <v>30</v>
      </c>
      <c r="AC1867">
        <v>-111.88120000000001</v>
      </c>
      <c r="AD1867">
        <v>-1.1098084013334999</v>
      </c>
      <c r="AE1867">
        <v>2.6173999999999702</v>
      </c>
      <c r="AF1867">
        <v>2.2632188392432302</v>
      </c>
      <c r="AG1867">
        <v>-1.1098084013334999</v>
      </c>
      <c r="AH1867">
        <v>111.87791806537599</v>
      </c>
      <c r="AI1867">
        <v>90.568228721142404</v>
      </c>
      <c r="AJ1867">
        <v>88.841101035526705</v>
      </c>
      <c r="AK1867">
        <v>111.90631074628899</v>
      </c>
      <c r="AL1867">
        <v>77.855060600755706</v>
      </c>
      <c r="AM1867">
        <v>95.273825207800698</v>
      </c>
      <c r="AN1867">
        <v>0.999999936680533</v>
      </c>
    </row>
    <row r="1868" spans="1:40" x14ac:dyDescent="0.25">
      <c r="A1868" t="str">
        <f>"20190304155053260"</f>
        <v>20190304155053260</v>
      </c>
      <c r="B1868" t="str">
        <f>"1551685853248210"</f>
        <v>1551685853248210</v>
      </c>
      <c r="C1868" t="s">
        <v>40</v>
      </c>
      <c r="D1868">
        <v>4.8589320000000003</v>
      </c>
      <c r="E1868">
        <v>0.54077799999999998</v>
      </c>
      <c r="F1868" t="s">
        <v>70</v>
      </c>
      <c r="G1868">
        <v>-363.0206</v>
      </c>
      <c r="H1868" s="1">
        <v>7.0617149999999899E-8</v>
      </c>
      <c r="I1868">
        <v>287.67930000000001</v>
      </c>
      <c r="J1868">
        <v>-252.43979999999999</v>
      </c>
      <c r="K1868">
        <v>1.1098110000000001</v>
      </c>
      <c r="L1868">
        <v>284.76850000000002</v>
      </c>
      <c r="M1868">
        <v>-0.99995599999999996</v>
      </c>
      <c r="N1868">
        <v>-8.7200090000000008E-3</v>
      </c>
      <c r="O1868">
        <v>3.465681E-3</v>
      </c>
      <c r="P1868">
        <v>-0.97582349999999995</v>
      </c>
      <c r="Q1868">
        <v>0.20109560000000001</v>
      </c>
      <c r="R1868">
        <v>-8.5609850000000001E-2</v>
      </c>
      <c r="S1868">
        <v>-3.0888059999999999</v>
      </c>
      <c r="T1868">
        <v>-3.091371E-2</v>
      </c>
      <c r="U1868">
        <v>8.1115720000000002E-2</v>
      </c>
      <c r="V1868">
        <v>-8.8865059999999996E-2</v>
      </c>
      <c r="W1868">
        <v>0.2096479</v>
      </c>
      <c r="X1868">
        <v>0.97373030000000005</v>
      </c>
      <c r="Y1868">
        <v>2.2785239999999998E-2</v>
      </c>
      <c r="Z1868">
        <v>2.089038E-4</v>
      </c>
      <c r="AA1868">
        <v>0.99974039999999997</v>
      </c>
      <c r="AB1868">
        <v>30</v>
      </c>
      <c r="AC1868">
        <v>-110.5808</v>
      </c>
      <c r="AD1868">
        <v>-1.10981092938285</v>
      </c>
      <c r="AE1868">
        <v>2.9107999999999898</v>
      </c>
      <c r="AF1868">
        <v>2.5272757946336499</v>
      </c>
      <c r="AG1868">
        <v>-1.10981092938285</v>
      </c>
      <c r="AH1868">
        <v>110.579093745682</v>
      </c>
      <c r="AI1868">
        <v>90.574871307677299</v>
      </c>
      <c r="AJ1868">
        <v>88.690737757491306</v>
      </c>
      <c r="AK1868">
        <v>110.613537945666</v>
      </c>
      <c r="AL1868">
        <v>77.898280529362793</v>
      </c>
      <c r="AM1868">
        <v>95.214511054420498</v>
      </c>
      <c r="AN1868">
        <v>0.99999996900065102</v>
      </c>
    </row>
    <row r="1869" spans="1:40" x14ac:dyDescent="0.25">
      <c r="A1869" t="str">
        <f>"20190304155053280"</f>
        <v>20190304155053280</v>
      </c>
      <c r="B1869" t="str">
        <f>"1551685853278974"</f>
        <v>1551685853278974</v>
      </c>
      <c r="C1869" t="s">
        <v>40</v>
      </c>
      <c r="D1869">
        <v>4.9438870000000001</v>
      </c>
      <c r="E1869">
        <v>0.540852</v>
      </c>
      <c r="F1869" t="s">
        <v>70</v>
      </c>
      <c r="G1869">
        <v>-351.97640000000001</v>
      </c>
      <c r="H1869" s="1">
        <v>-4.8503360000000003E-7</v>
      </c>
      <c r="I1869">
        <v>287.4631</v>
      </c>
      <c r="J1869">
        <v>-252.71899999999999</v>
      </c>
      <c r="K1869">
        <v>1.1098059999999901</v>
      </c>
      <c r="L1869">
        <v>284.7697</v>
      </c>
      <c r="M1869">
        <v>-0.99995489999999998</v>
      </c>
      <c r="N1869">
        <v>-8.7410619999999904E-3</v>
      </c>
      <c r="O1869">
        <v>3.7366719999999999E-3</v>
      </c>
      <c r="P1869">
        <v>-0.97607929999999998</v>
      </c>
      <c r="Q1869">
        <v>0.2001822</v>
      </c>
      <c r="R1869">
        <v>-8.4831249999999997E-2</v>
      </c>
      <c r="S1869">
        <v>-3.0887910000000001</v>
      </c>
      <c r="T1869">
        <v>-3.4439329999999997E-2</v>
      </c>
      <c r="U1869">
        <v>8.3618159999999997E-2</v>
      </c>
      <c r="V1869">
        <v>-8.8352029999999998E-2</v>
      </c>
      <c r="W1869">
        <v>0.20875679999999999</v>
      </c>
      <c r="X1869">
        <v>0.97396839999999996</v>
      </c>
      <c r="Y1869">
        <v>2.332337E-2</v>
      </c>
      <c r="Z1869">
        <v>2.2296290000000001E-4</v>
      </c>
      <c r="AA1869">
        <v>0.99972799999999995</v>
      </c>
      <c r="AB1869">
        <v>30</v>
      </c>
      <c r="AC1869">
        <v>-99.257400000000004</v>
      </c>
      <c r="AD1869">
        <v>-1.10980648503359</v>
      </c>
      <c r="AE1869">
        <v>2.6933999999999898</v>
      </c>
      <c r="AF1869">
        <v>2.32218461048073</v>
      </c>
      <c r="AG1869">
        <v>-1.10980648503359</v>
      </c>
      <c r="AH1869">
        <v>99.2543723853437</v>
      </c>
      <c r="AI1869">
        <v>90.6404471890595</v>
      </c>
      <c r="AJ1869">
        <v>88.659735532497606</v>
      </c>
      <c r="AK1869">
        <v>99.287736651652295</v>
      </c>
      <c r="AL1869">
        <v>77.950492053220401</v>
      </c>
      <c r="AM1869">
        <v>95.183310974592402</v>
      </c>
      <c r="AN1869">
        <v>0.99999996347495901</v>
      </c>
    </row>
    <row r="1870" spans="1:40" x14ac:dyDescent="0.25">
      <c r="A1870" t="str">
        <f>"20190304155053303"</f>
        <v>20190304155053303</v>
      </c>
      <c r="B1870" t="str">
        <f>"1551685853298494"</f>
        <v>1551685853298494</v>
      </c>
      <c r="C1870" t="s">
        <v>40</v>
      </c>
      <c r="D1870">
        <v>4.8144349999999996</v>
      </c>
      <c r="E1870">
        <v>0.54054579999999997</v>
      </c>
      <c r="F1870" t="s">
        <v>70</v>
      </c>
      <c r="G1870">
        <v>-362.6268</v>
      </c>
      <c r="H1870" s="1">
        <v>-1.38915899999999E-7</v>
      </c>
      <c r="I1870">
        <v>287.81599999999997</v>
      </c>
      <c r="J1870">
        <v>-253.01910000000001</v>
      </c>
      <c r="K1870">
        <v>1.1098059999999901</v>
      </c>
      <c r="L1870">
        <v>284.77109999999999</v>
      </c>
      <c r="M1870">
        <v>-0.99995339999999999</v>
      </c>
      <c r="N1870">
        <v>-8.7656119999999903E-3</v>
      </c>
      <c r="O1870">
        <v>4.0224070000000004E-3</v>
      </c>
      <c r="P1870">
        <v>-0.97636199999999995</v>
      </c>
      <c r="Q1870">
        <v>0.19889280000000001</v>
      </c>
      <c r="R1870">
        <v>-8.4609680000000007E-2</v>
      </c>
      <c r="S1870">
        <v>-3.0873569999999999</v>
      </c>
      <c r="T1870">
        <v>-3.1174899999999998E-2</v>
      </c>
      <c r="U1870">
        <v>8.5571289999999994E-2</v>
      </c>
      <c r="V1870">
        <v>-8.8413019999999995E-2</v>
      </c>
      <c r="W1870">
        <v>0.20749339999999999</v>
      </c>
      <c r="X1870">
        <v>0.97423289999999996</v>
      </c>
      <c r="Y1870">
        <v>2.368255E-2</v>
      </c>
      <c r="Z1870">
        <v>2.180114E-4</v>
      </c>
      <c r="AA1870">
        <v>0.99971949999999998</v>
      </c>
      <c r="AB1870">
        <v>30</v>
      </c>
      <c r="AC1870">
        <v>-109.60769999999999</v>
      </c>
      <c r="AD1870">
        <v>-1.10980613891589</v>
      </c>
      <c r="AE1870">
        <v>3.0448999999999802</v>
      </c>
      <c r="AF1870">
        <v>2.6037048781456802</v>
      </c>
      <c r="AG1870">
        <v>-1.10980613891589</v>
      </c>
      <c r="AH1870">
        <v>109.607833093019</v>
      </c>
      <c r="AI1870">
        <v>90.579950372853702</v>
      </c>
      <c r="AJ1870">
        <v>88.639209940307197</v>
      </c>
      <c r="AK1870">
        <v>109.644370690453</v>
      </c>
      <c r="AL1870">
        <v>78.024501315582796</v>
      </c>
      <c r="AM1870">
        <v>95.185469004296294</v>
      </c>
      <c r="AN1870">
        <v>1.00000005829574</v>
      </c>
    </row>
    <row r="1871" spans="1:40" x14ac:dyDescent="0.25">
      <c r="A1871" t="str">
        <f>"20190304155053326"</f>
        <v>20190304155053326</v>
      </c>
      <c r="B1871" t="str">
        <f>"1551685853318990"</f>
        <v>1551685853318990</v>
      </c>
      <c r="C1871" t="s">
        <v>40</v>
      </c>
      <c r="D1871">
        <v>4.9337039999999996</v>
      </c>
      <c r="E1871">
        <v>0.54055140000000002</v>
      </c>
      <c r="F1871" t="s">
        <v>70</v>
      </c>
      <c r="G1871">
        <v>-349.5659</v>
      </c>
      <c r="H1871" s="1">
        <v>3.5536889999999999E-6</v>
      </c>
      <c r="I1871">
        <v>287.37950000000001</v>
      </c>
      <c r="J1871">
        <v>-253.32749999999999</v>
      </c>
      <c r="K1871">
        <v>1.109815</v>
      </c>
      <c r="L1871">
        <v>284.77260000000001</v>
      </c>
      <c r="M1871">
        <v>-0.99995210000000001</v>
      </c>
      <c r="N1871">
        <v>-8.794039E-3</v>
      </c>
      <c r="O1871">
        <v>4.3058829999999999E-3</v>
      </c>
      <c r="P1871">
        <v>-0.97624820000000001</v>
      </c>
      <c r="Q1871">
        <v>0.19927249999999999</v>
      </c>
      <c r="R1871">
        <v>-8.5031190000000006E-2</v>
      </c>
      <c r="S1871">
        <v>-3.087097</v>
      </c>
      <c r="T1871">
        <v>-3.54861E-2</v>
      </c>
      <c r="U1871">
        <v>8.3404539999999999E-2</v>
      </c>
      <c r="V1871">
        <v>-8.9113150000000002E-2</v>
      </c>
      <c r="W1871">
        <v>0.20789869999999999</v>
      </c>
      <c r="X1871">
        <v>0.97408260000000002</v>
      </c>
      <c r="Y1871">
        <v>2.269993E-2</v>
      </c>
      <c r="Z1871">
        <v>2.1865320000000001E-4</v>
      </c>
      <c r="AA1871">
        <v>0.99974229999999997</v>
      </c>
      <c r="AB1871">
        <v>30</v>
      </c>
      <c r="AC1871">
        <v>-96.238399999999999</v>
      </c>
      <c r="AD1871">
        <v>-1.109811446311</v>
      </c>
      <c r="AE1871">
        <v>2.6068999999999898</v>
      </c>
      <c r="AF1871">
        <v>2.1921772202409402</v>
      </c>
      <c r="AG1871">
        <v>-1.109811446311</v>
      </c>
      <c r="AH1871">
        <v>96.235944684142495</v>
      </c>
      <c r="AI1871">
        <v>90.660545335653396</v>
      </c>
      <c r="AJ1871">
        <v>88.695074016879303</v>
      </c>
      <c r="AK1871">
        <v>96.267306868223201</v>
      </c>
      <c r="AL1871">
        <v>78.000760548194904</v>
      </c>
      <c r="AM1871">
        <v>95.227107425793605</v>
      </c>
      <c r="AN1871">
        <v>0.99999996729368501</v>
      </c>
    </row>
    <row r="1872" spans="1:40" x14ac:dyDescent="0.25">
      <c r="A1872" t="str">
        <f>"20190304155053349"</f>
        <v>20190304155053349</v>
      </c>
      <c r="B1872" t="str">
        <f>"1551685853338510"</f>
        <v>1551685853338510</v>
      </c>
      <c r="C1872" t="s">
        <v>40</v>
      </c>
      <c r="D1872">
        <v>4.8892790000000002</v>
      </c>
      <c r="E1872">
        <v>0.54042219999999996</v>
      </c>
      <c r="F1872" t="s">
        <v>70</v>
      </c>
      <c r="G1872">
        <v>-350.49279999999999</v>
      </c>
      <c r="H1872" s="1">
        <v>-1.2745400000000001E-6</v>
      </c>
      <c r="I1872">
        <v>287.35629999999998</v>
      </c>
      <c r="J1872">
        <v>-253.6223</v>
      </c>
      <c r="K1872">
        <v>1.1098239999999999</v>
      </c>
      <c r="L1872">
        <v>284.77420000000001</v>
      </c>
      <c r="M1872">
        <v>-0.99995069999999997</v>
      </c>
      <c r="N1872">
        <v>-8.8210900000000002E-3</v>
      </c>
      <c r="O1872">
        <v>4.5632249999999997E-3</v>
      </c>
      <c r="P1872">
        <v>-0.97627010000000003</v>
      </c>
      <c r="Q1872">
        <v>0.19892360000000001</v>
      </c>
      <c r="R1872">
        <v>-8.5592420000000002E-2</v>
      </c>
      <c r="S1872">
        <v>-3.0873110000000001</v>
      </c>
      <c r="T1872">
        <v>-3.5263059999999999E-2</v>
      </c>
      <c r="U1872">
        <v>8.2092289999999998E-2</v>
      </c>
      <c r="V1872">
        <v>-8.9930419999999997E-2</v>
      </c>
      <c r="W1872">
        <v>0.2075745</v>
      </c>
      <c r="X1872">
        <v>0.97407670000000002</v>
      </c>
      <c r="Y1872">
        <v>2.2016239999999999E-2</v>
      </c>
      <c r="Z1872">
        <v>2.1097370000000001E-4</v>
      </c>
      <c r="AA1872">
        <v>0.99975760000000002</v>
      </c>
      <c r="AB1872">
        <v>30</v>
      </c>
      <c r="AC1872">
        <v>-96.870500000000007</v>
      </c>
      <c r="AD1872">
        <v>-1.1098252745399999</v>
      </c>
      <c r="AE1872">
        <v>2.5820999999999601</v>
      </c>
      <c r="AF1872">
        <v>2.1397333780894399</v>
      </c>
      <c r="AG1872">
        <v>-1.1098252745399999</v>
      </c>
      <c r="AH1872">
        <v>96.868568751882407</v>
      </c>
      <c r="AI1872">
        <v>90.656250190599494</v>
      </c>
      <c r="AJ1872">
        <v>88.734597199614896</v>
      </c>
      <c r="AK1872">
        <v>96.898554081614094</v>
      </c>
      <c r="AL1872">
        <v>78.019750930622493</v>
      </c>
      <c r="AM1872">
        <v>95.274808586457894</v>
      </c>
      <c r="AN1872">
        <v>1.00000003548725</v>
      </c>
    </row>
    <row r="1873" spans="1:40" x14ac:dyDescent="0.25">
      <c r="A1873" t="str">
        <f>"20190304155053369"</f>
        <v>20190304155053369</v>
      </c>
      <c r="B1873" t="str">
        <f>"1551685853359006"</f>
        <v>1551685853359006</v>
      </c>
      <c r="C1873" t="s">
        <v>40</v>
      </c>
      <c r="D1873">
        <v>4.8560720000000002</v>
      </c>
      <c r="E1873">
        <v>0.5401475</v>
      </c>
      <c r="F1873" t="s">
        <v>70</v>
      </c>
      <c r="G1873">
        <v>-348.19240000000002</v>
      </c>
      <c r="H1873" s="1">
        <v>2.8228019999999999E-6</v>
      </c>
      <c r="I1873">
        <v>287.21030000000002</v>
      </c>
      <c r="J1873">
        <v>-253.9117</v>
      </c>
      <c r="K1873">
        <v>1.1098349999999999</v>
      </c>
      <c r="L1873">
        <v>284.7758</v>
      </c>
      <c r="M1873">
        <v>-0.99994930000000004</v>
      </c>
      <c r="N1873">
        <v>-8.85091E-3</v>
      </c>
      <c r="O1873">
        <v>4.7996109999999996E-3</v>
      </c>
      <c r="P1873">
        <v>-0.97637209999999997</v>
      </c>
      <c r="Q1873">
        <v>0.19803399999999999</v>
      </c>
      <c r="R1873">
        <v>-8.6487690000000006E-2</v>
      </c>
      <c r="S1873">
        <v>-3.0872799999999998</v>
      </c>
      <c r="T1873">
        <v>-3.6230560000000002E-2</v>
      </c>
      <c r="U1873">
        <v>7.9528810000000005E-2</v>
      </c>
      <c r="V1873">
        <v>-9.1063469999999994E-2</v>
      </c>
      <c r="W1873">
        <v>0.2067129</v>
      </c>
      <c r="X1873">
        <v>0.97415459999999998</v>
      </c>
      <c r="Y1873">
        <v>2.09506E-2</v>
      </c>
      <c r="Z1873">
        <v>2.018082E-4</v>
      </c>
      <c r="AA1873">
        <v>0.99978049999999996</v>
      </c>
      <c r="AB1873">
        <v>30</v>
      </c>
      <c r="AC1873">
        <v>-94.280699999999996</v>
      </c>
      <c r="AD1873">
        <v>-1.109832177198</v>
      </c>
      <c r="AE1873">
        <v>2.4345000000000101</v>
      </c>
      <c r="AF1873">
        <v>1.98166912446605</v>
      </c>
      <c r="AG1873">
        <v>-1.109832177198</v>
      </c>
      <c r="AH1873">
        <v>94.2782436562306</v>
      </c>
      <c r="AI1873">
        <v>90.674298964433405</v>
      </c>
      <c r="AJ1873">
        <v>88.795856224272299</v>
      </c>
      <c r="AK1873">
        <v>94.305598809847993</v>
      </c>
      <c r="AL1873">
        <v>78.070210784254797</v>
      </c>
      <c r="AM1873">
        <v>95.340460308652894</v>
      </c>
      <c r="AN1873">
        <v>0.99999998164800497</v>
      </c>
    </row>
    <row r="1874" spans="1:40" x14ac:dyDescent="0.25">
      <c r="A1874" t="str">
        <f>"20190304155053392"</f>
        <v>20190304155053392</v>
      </c>
      <c r="B1874" t="str">
        <f>"1551685853388286"</f>
        <v>1551685853388286</v>
      </c>
      <c r="C1874" t="s">
        <v>40</v>
      </c>
      <c r="D1874">
        <v>4.9916729999999996</v>
      </c>
      <c r="E1874">
        <v>0.54004569999999996</v>
      </c>
      <c r="F1874" t="s">
        <v>70</v>
      </c>
      <c r="G1874">
        <v>-340.31569999999999</v>
      </c>
      <c r="H1874" s="1">
        <v>-1.368786E-6</v>
      </c>
      <c r="I1874">
        <v>286.85379999999998</v>
      </c>
      <c r="J1874">
        <v>-254.208</v>
      </c>
      <c r="K1874">
        <v>1.1098460000000001</v>
      </c>
      <c r="L1874">
        <v>284.7774</v>
      </c>
      <c r="M1874">
        <v>-0.99994799999999995</v>
      </c>
      <c r="N1874">
        <v>-8.8832900000000003E-3</v>
      </c>
      <c r="O1874">
        <v>5.0266870000000002E-3</v>
      </c>
      <c r="P1874">
        <v>-0.9764254</v>
      </c>
      <c r="Q1874">
        <v>0.19733319999999999</v>
      </c>
      <c r="R1874">
        <v>-8.7482450000000003E-2</v>
      </c>
      <c r="S1874">
        <v>-3.0872190000000002</v>
      </c>
      <c r="T1874">
        <v>-3.9654490000000001E-2</v>
      </c>
      <c r="U1874">
        <v>7.4249270000000006E-2</v>
      </c>
      <c r="V1874">
        <v>-9.2286350000000003E-2</v>
      </c>
      <c r="W1874">
        <v>0.206042</v>
      </c>
      <c r="X1874">
        <v>0.97418170000000004</v>
      </c>
      <c r="Y1874">
        <v>1.9015230000000001E-2</v>
      </c>
      <c r="Z1874">
        <v>1.8667369999999999E-4</v>
      </c>
      <c r="AA1874">
        <v>0.99981920000000002</v>
      </c>
      <c r="AB1874">
        <v>30</v>
      </c>
      <c r="AC1874">
        <v>-86.107699999999994</v>
      </c>
      <c r="AD1874">
        <v>-1.109847368786</v>
      </c>
      <c r="AE1874">
        <v>2.0763999999999698</v>
      </c>
      <c r="AF1874">
        <v>1.6432474386493401</v>
      </c>
      <c r="AG1874">
        <v>-1.109847368786</v>
      </c>
      <c r="AH1874">
        <v>86.102754108904406</v>
      </c>
      <c r="AI1874">
        <v>90.738355863061699</v>
      </c>
      <c r="AJ1874">
        <v>88.906658496425493</v>
      </c>
      <c r="AK1874">
        <v>86.1255844012978</v>
      </c>
      <c r="AL1874">
        <v>78.109496831762897</v>
      </c>
      <c r="AM1874">
        <v>95.411604050426703</v>
      </c>
      <c r="AN1874">
        <v>1.0000000303876</v>
      </c>
    </row>
    <row r="1875" spans="1:40" x14ac:dyDescent="0.25">
      <c r="A1875" t="str">
        <f>"20190304155053415"</f>
        <v>20190304155053415</v>
      </c>
      <c r="B1875" t="str">
        <f>"1551685853408782"</f>
        <v>1551685853408782</v>
      </c>
      <c r="C1875" t="s">
        <v>40</v>
      </c>
      <c r="D1875">
        <v>4.9187969999999996</v>
      </c>
      <c r="E1875">
        <v>0.53990439999999995</v>
      </c>
      <c r="F1875" t="s">
        <v>70</v>
      </c>
      <c r="G1875">
        <v>-333.4325</v>
      </c>
      <c r="H1875" s="1">
        <v>2.0385779999999999E-7</v>
      </c>
      <c r="I1875">
        <v>286.58240000000001</v>
      </c>
      <c r="J1875">
        <v>-254.51689999999999</v>
      </c>
      <c r="K1875">
        <v>1.109858</v>
      </c>
      <c r="L1875">
        <v>284.7792</v>
      </c>
      <c r="M1875">
        <v>-0.99994660000000002</v>
      </c>
      <c r="N1875">
        <v>-8.9173819999999997E-3</v>
      </c>
      <c r="O1875">
        <v>5.2448640000000001E-3</v>
      </c>
      <c r="P1875">
        <v>-0.97659899999999999</v>
      </c>
      <c r="Q1875">
        <v>0.19642809999999999</v>
      </c>
      <c r="R1875">
        <v>-8.7582560000000004E-2</v>
      </c>
      <c r="S1875">
        <v>-3.087494</v>
      </c>
      <c r="T1875">
        <v>-4.3252350000000002E-2</v>
      </c>
      <c r="U1875">
        <v>7.0343020000000006E-2</v>
      </c>
      <c r="V1875">
        <v>-9.2606560000000004E-2</v>
      </c>
      <c r="W1875">
        <v>0.20516889999999999</v>
      </c>
      <c r="X1875">
        <v>0.97433559999999997</v>
      </c>
      <c r="Y1875">
        <v>1.7530529999999999E-2</v>
      </c>
      <c r="Z1875">
        <v>1.7425599999999999E-4</v>
      </c>
      <c r="AA1875">
        <v>0.99984629999999997</v>
      </c>
      <c r="AB1875">
        <v>30</v>
      </c>
      <c r="AC1875">
        <v>-78.915599999999998</v>
      </c>
      <c r="AD1875">
        <v>-1.1098577961422</v>
      </c>
      <c r="AE1875">
        <v>1.8031999999999999</v>
      </c>
      <c r="AF1875">
        <v>1.38898261040031</v>
      </c>
      <c r="AG1875">
        <v>-1.1098577961422</v>
      </c>
      <c r="AH1875">
        <v>78.908373082901605</v>
      </c>
      <c r="AI1875">
        <v>90.805695579595593</v>
      </c>
      <c r="AJ1875">
        <v>88.991556658595897</v>
      </c>
      <c r="AK1875">
        <v>78.928400462761502</v>
      </c>
      <c r="AL1875">
        <v>78.160614213973801</v>
      </c>
      <c r="AM1875">
        <v>95.4294162767535</v>
      </c>
      <c r="AN1875">
        <v>1.0000000569548</v>
      </c>
    </row>
    <row r="1876" spans="1:40" x14ac:dyDescent="0.25">
      <c r="A1876" t="str">
        <f>"20190304155053428"</f>
        <v>20190304155053428</v>
      </c>
      <c r="B1876" t="str">
        <f>"1551685853418542"</f>
        <v>1551685853418542</v>
      </c>
      <c r="C1876" t="s">
        <v>40</v>
      </c>
      <c r="D1876">
        <v>4.8994929999999997</v>
      </c>
      <c r="E1876">
        <v>0.53982750000000002</v>
      </c>
      <c r="F1876" t="s">
        <v>70</v>
      </c>
      <c r="G1876">
        <v>-328.21129999999999</v>
      </c>
      <c r="H1876" s="1">
        <v>2.7539840000000002E-6</v>
      </c>
      <c r="I1876">
        <v>286.42110000000002</v>
      </c>
      <c r="J1876">
        <v>-254.69390000000001</v>
      </c>
      <c r="K1876">
        <v>1.109861</v>
      </c>
      <c r="L1876">
        <v>284.78019999999998</v>
      </c>
      <c r="M1876">
        <v>-0.9999458</v>
      </c>
      <c r="N1876">
        <v>-8.9382070000000001E-3</v>
      </c>
      <c r="O1876">
        <v>5.3615829999999996E-3</v>
      </c>
      <c r="P1876">
        <v>-0.97690880000000002</v>
      </c>
      <c r="Q1876">
        <v>0.19484689999999999</v>
      </c>
      <c r="R1876">
        <v>-8.7658990000000006E-2</v>
      </c>
      <c r="S1876">
        <v>-3.087418</v>
      </c>
      <c r="T1876">
        <v>-4.6497230000000001E-2</v>
      </c>
      <c r="U1876">
        <v>6.8786620000000007E-2</v>
      </c>
      <c r="V1876">
        <v>-9.2802830000000003E-2</v>
      </c>
      <c r="W1876">
        <v>0.20360890000000001</v>
      </c>
      <c r="X1876">
        <v>0.97464410000000001</v>
      </c>
      <c r="Y1876">
        <v>1.6910390000000001E-2</v>
      </c>
      <c r="Z1876">
        <v>1.7009330000000001E-4</v>
      </c>
      <c r="AA1876">
        <v>0.999857</v>
      </c>
      <c r="AB1876">
        <v>30</v>
      </c>
      <c r="AC1876">
        <v>-73.517399999999895</v>
      </c>
      <c r="AD1876">
        <v>-1.109858246016</v>
      </c>
      <c r="AE1876">
        <v>1.64090000000004</v>
      </c>
      <c r="AF1876">
        <v>1.24640715037892</v>
      </c>
      <c r="AG1876">
        <v>-1.109858246016</v>
      </c>
      <c r="AH1876">
        <v>73.508396769687906</v>
      </c>
      <c r="AI1876">
        <v>90.864883844118495</v>
      </c>
      <c r="AJ1876">
        <v>89.028586805957104</v>
      </c>
      <c r="AK1876">
        <v>73.527339893135206</v>
      </c>
      <c r="AL1876">
        <v>78.251922933892004</v>
      </c>
      <c r="AM1876">
        <v>95.439142540149405</v>
      </c>
      <c r="AN1876">
        <v>1.00000003554001</v>
      </c>
    </row>
    <row r="1877" spans="1:40" x14ac:dyDescent="0.25">
      <c r="A1877" t="str">
        <f>"20190304155053449"</f>
        <v>20190304155053449</v>
      </c>
      <c r="B1877" t="str">
        <f>"1551685853438062"</f>
        <v>1551685853438062</v>
      </c>
      <c r="C1877" t="s">
        <v>40</v>
      </c>
      <c r="D1877">
        <v>4.6839139999999997</v>
      </c>
      <c r="E1877">
        <v>0.54015419999999903</v>
      </c>
      <c r="F1877" t="s">
        <v>70</v>
      </c>
      <c r="G1877">
        <v>-321.11739999999998</v>
      </c>
      <c r="H1877" s="1">
        <v>-1.0133249999999999E-6</v>
      </c>
      <c r="I1877">
        <v>286.24369999999999</v>
      </c>
      <c r="J1877">
        <v>-254.9847</v>
      </c>
      <c r="K1877">
        <v>1.109861</v>
      </c>
      <c r="L1877">
        <v>284.78199999999998</v>
      </c>
      <c r="M1877">
        <v>-0.99994459999999996</v>
      </c>
      <c r="N1877">
        <v>-8.9744400000000002E-3</v>
      </c>
      <c r="O1877">
        <v>5.5335970000000003E-3</v>
      </c>
      <c r="P1877">
        <v>-0.97761010000000004</v>
      </c>
      <c r="Q1877">
        <v>0.19127269999999999</v>
      </c>
      <c r="R1877">
        <v>-8.7714329999999993E-2</v>
      </c>
      <c r="S1877">
        <v>-3.0873409999999999</v>
      </c>
      <c r="T1877">
        <v>-5.1586029999999998E-2</v>
      </c>
      <c r="U1877">
        <v>6.8023680000000003E-2</v>
      </c>
      <c r="V1877">
        <v>-9.3038410000000002E-2</v>
      </c>
      <c r="W1877">
        <v>0.20007359999999999</v>
      </c>
      <c r="X1877">
        <v>0.97535349999999998</v>
      </c>
      <c r="Y1877">
        <v>1.6491559999999999E-2</v>
      </c>
      <c r="Z1877">
        <v>1.6898560000000001E-4</v>
      </c>
      <c r="AA1877">
        <v>0.99986399999999998</v>
      </c>
      <c r="AB1877">
        <v>30</v>
      </c>
      <c r="AC1877">
        <v>-66.1326999999999</v>
      </c>
      <c r="AD1877">
        <v>-1.1098620133249999</v>
      </c>
      <c r="AE1877">
        <v>1.4617</v>
      </c>
      <c r="AF1877">
        <v>1.09540287085155</v>
      </c>
      <c r="AG1877">
        <v>-1.1098620133249999</v>
      </c>
      <c r="AH1877">
        <v>66.121162431165303</v>
      </c>
      <c r="AI1877">
        <v>90.961503303337196</v>
      </c>
      <c r="AJ1877">
        <v>89.050890542698397</v>
      </c>
      <c r="AK1877">
        <v>66.139548096329094</v>
      </c>
      <c r="AL1877">
        <v>78.4587372483591</v>
      </c>
      <c r="AM1877">
        <v>95.448924554268203</v>
      </c>
      <c r="AN1877">
        <v>1.0000000205572599</v>
      </c>
    </row>
    <row r="1878" spans="1:40" x14ac:dyDescent="0.25">
      <c r="A1878" t="str">
        <f>"20190304155053472"</f>
        <v>20190304155053472</v>
      </c>
      <c r="B1878" t="str">
        <f>"1551685853468319"</f>
        <v>1551685853468319</v>
      </c>
      <c r="C1878" t="s">
        <v>40</v>
      </c>
      <c r="D1878">
        <v>4.9671960000000004</v>
      </c>
      <c r="E1878">
        <v>0.48849860000000001</v>
      </c>
      <c r="F1878" t="s">
        <v>72</v>
      </c>
      <c r="G1878">
        <v>-310.75170000000003</v>
      </c>
      <c r="H1878" s="1">
        <v>2.4245389999999998E-6</v>
      </c>
      <c r="I1878">
        <v>286.05549999999999</v>
      </c>
      <c r="J1878">
        <v>-255.285</v>
      </c>
      <c r="K1878">
        <v>1.109874</v>
      </c>
      <c r="L1878">
        <v>284.78379999999999</v>
      </c>
      <c r="M1878">
        <v>-0.99994320000000003</v>
      </c>
      <c r="N1878">
        <v>-9.0156609999999995E-3</v>
      </c>
      <c r="O1878">
        <v>5.6877319999999896E-3</v>
      </c>
      <c r="P1878">
        <v>-0.97808890000000004</v>
      </c>
      <c r="Q1878">
        <v>0.1888078</v>
      </c>
      <c r="R1878">
        <v>-8.7715219999999997E-2</v>
      </c>
      <c r="S1878">
        <v>-3.0870820000000001</v>
      </c>
      <c r="T1878">
        <v>-6.1438199999999901E-2</v>
      </c>
      <c r="U1878">
        <v>7.049561E-2</v>
      </c>
      <c r="V1878">
        <v>-9.3201909999999999E-2</v>
      </c>
      <c r="W1878">
        <v>0.1976492</v>
      </c>
      <c r="X1878">
        <v>0.97583200000000003</v>
      </c>
      <c r="Y1878">
        <v>1.713829E-2</v>
      </c>
      <c r="Z1878">
        <v>1.8588470000000001E-4</v>
      </c>
      <c r="AA1878">
        <v>0.99985310000000005</v>
      </c>
      <c r="AB1878">
        <v>30</v>
      </c>
      <c r="AC1878">
        <v>-55.466700000000003</v>
      </c>
      <c r="AD1878">
        <v>-1.109871575461</v>
      </c>
      <c r="AE1878">
        <v>1.2717000000000001</v>
      </c>
      <c r="AF1878">
        <v>0.95580439578458498</v>
      </c>
      <c r="AG1878">
        <v>-1.109871575461</v>
      </c>
      <c r="AH1878">
        <v>55.4508459444381</v>
      </c>
      <c r="AI1878">
        <v>91.146475318834803</v>
      </c>
      <c r="AJ1878">
        <v>89.012492338087398</v>
      </c>
      <c r="AK1878">
        <v>55.470187424514997</v>
      </c>
      <c r="AL1878">
        <v>78.600475186554604</v>
      </c>
      <c r="AM1878">
        <v>95.455781979258802</v>
      </c>
      <c r="AN1878">
        <v>0.99999994725614205</v>
      </c>
    </row>
    <row r="1879" spans="1:40" x14ac:dyDescent="0.25">
      <c r="A1879" t="str">
        <f>"20190304155053491"</f>
        <v>20190304155053491</v>
      </c>
      <c r="B1879" t="str">
        <f>"1551685853488814"</f>
        <v>1551685853488814</v>
      </c>
      <c r="C1879" t="s">
        <v>40</v>
      </c>
      <c r="D1879">
        <v>4.9226460000000003</v>
      </c>
      <c r="E1879">
        <v>0.47975250000000003</v>
      </c>
      <c r="F1879" t="s">
        <v>70</v>
      </c>
      <c r="G1879">
        <v>-274.85059999999999</v>
      </c>
      <c r="H1879" s="1">
        <v>1.1311850000000001E-6</v>
      </c>
      <c r="I1879">
        <v>282.63299999999998</v>
      </c>
      <c r="J1879">
        <v>-255.5556</v>
      </c>
      <c r="K1879">
        <v>1.1098969999999999</v>
      </c>
      <c r="L1879">
        <v>284.78550000000001</v>
      </c>
      <c r="M1879">
        <v>-0.99994240000000001</v>
      </c>
      <c r="N1879">
        <v>-9.053551E-3</v>
      </c>
      <c r="O1879">
        <v>5.8072480000000001E-3</v>
      </c>
      <c r="P1879">
        <v>-0.97814290000000004</v>
      </c>
      <c r="Q1879">
        <v>0.1885858</v>
      </c>
      <c r="R1879">
        <v>-8.7591769999999999E-2</v>
      </c>
      <c r="S1879">
        <v>-3.0705870000000002</v>
      </c>
      <c r="T1879">
        <v>-0.1741809</v>
      </c>
      <c r="U1879">
        <v>-0.33755489999999999</v>
      </c>
      <c r="V1879">
        <v>-9.3204140000000005E-2</v>
      </c>
      <c r="W1879">
        <v>0.19746030000000001</v>
      </c>
      <c r="X1879">
        <v>0.97587009999999996</v>
      </c>
      <c r="Y1879">
        <v>-0.11482589999999999</v>
      </c>
      <c r="Z1879">
        <v>-4.042075E-3</v>
      </c>
      <c r="AA1879">
        <v>0.99337739999999997</v>
      </c>
      <c r="AB1879">
        <v>30</v>
      </c>
      <c r="AC1879">
        <v>-19.294999999999899</v>
      </c>
      <c r="AD1879">
        <v>-1.109895868815</v>
      </c>
      <c r="AE1879">
        <v>-2.1525000000000301</v>
      </c>
      <c r="AF1879">
        <v>-2.25714241134723</v>
      </c>
      <c r="AG1879">
        <v>-1.109895868815</v>
      </c>
      <c r="AH1879">
        <v>19.2193620374643</v>
      </c>
      <c r="AI1879">
        <v>93.282583999462304</v>
      </c>
      <c r="AJ1879">
        <v>96.6981952715456</v>
      </c>
      <c r="AK1879">
        <v>19.383251477289299</v>
      </c>
      <c r="AL1879">
        <v>78.611516757059405</v>
      </c>
      <c r="AM1879">
        <v>95.455700004716604</v>
      </c>
      <c r="AN1879">
        <v>1.0000000169316099</v>
      </c>
    </row>
    <row r="1880" spans="1:40" x14ac:dyDescent="0.25">
      <c r="A1880" t="str">
        <f>"20190304155053515"</f>
        <v>20190304155053515</v>
      </c>
      <c r="B1880" t="str">
        <f>"1551685853508335"</f>
        <v>1551685853508335</v>
      </c>
      <c r="C1880" t="s">
        <v>40</v>
      </c>
      <c r="D1880">
        <v>4.8904269999999999</v>
      </c>
      <c r="E1880">
        <v>0.47740680000000002</v>
      </c>
      <c r="F1880" t="s">
        <v>72</v>
      </c>
      <c r="G1880">
        <v>-282.33179999999999</v>
      </c>
      <c r="H1880" s="1">
        <v>8.0712429999999992E-6</v>
      </c>
      <c r="I1880">
        <v>281.21379999999999</v>
      </c>
      <c r="J1880">
        <v>-255.86709999999999</v>
      </c>
      <c r="K1880">
        <v>1.109926</v>
      </c>
      <c r="L1880">
        <v>284.78739999999999</v>
      </c>
      <c r="M1880">
        <v>-0.99994110000000003</v>
      </c>
      <c r="N1880">
        <v>-9.0966769999999992E-3</v>
      </c>
      <c r="O1880">
        <v>5.91925E-3</v>
      </c>
      <c r="P1880">
        <v>-0.97798479999999999</v>
      </c>
      <c r="Q1880">
        <v>0.18944610000000001</v>
      </c>
      <c r="R1880">
        <v>-8.7498419999999993E-2</v>
      </c>
      <c r="S1880">
        <v>-3.0549930000000001</v>
      </c>
      <c r="T1880">
        <v>-0.12663099999999999</v>
      </c>
      <c r="U1880">
        <v>-0.40750120000000001</v>
      </c>
      <c r="V1880">
        <v>-9.3228790000000006E-2</v>
      </c>
      <c r="W1880">
        <v>0.1983568</v>
      </c>
      <c r="X1880">
        <v>0.97568589999999999</v>
      </c>
      <c r="Y1880">
        <v>-0.13793739999999999</v>
      </c>
      <c r="Z1880">
        <v>-3.6660740000000001E-3</v>
      </c>
      <c r="AA1880">
        <v>0.99043419999999904</v>
      </c>
      <c r="AB1880">
        <v>30</v>
      </c>
      <c r="AC1880">
        <v>-26.464700000000001</v>
      </c>
      <c r="AD1880">
        <v>-1.109917928757</v>
      </c>
      <c r="AE1880">
        <v>-3.5735999999999901</v>
      </c>
      <c r="AF1880">
        <v>-3.7237625111007402</v>
      </c>
      <c r="AG1880">
        <v>-1.109917928757</v>
      </c>
      <c r="AH1880">
        <v>26.397482638949899</v>
      </c>
      <c r="AI1880">
        <v>92.384084152765595</v>
      </c>
      <c r="AJ1880">
        <v>98.029452079314495</v>
      </c>
      <c r="AK1880">
        <v>26.681930490901799</v>
      </c>
      <c r="AL1880">
        <v>78.559114420752294</v>
      </c>
      <c r="AM1880">
        <v>95.458158214739498</v>
      </c>
      <c r="AN1880">
        <v>1.0000000014249499</v>
      </c>
    </row>
    <row r="1881" spans="1:40" x14ac:dyDescent="0.25">
      <c r="A1881" t="str">
        <f>"20190304155053537"</f>
        <v>20190304155053537</v>
      </c>
      <c r="B1881" t="str">
        <f>"1551685853528834"</f>
        <v>1551685853528834</v>
      </c>
      <c r="C1881" t="s">
        <v>40</v>
      </c>
      <c r="D1881">
        <v>4.8687050000000003</v>
      </c>
      <c r="E1881">
        <v>0.47646290000000002</v>
      </c>
      <c r="F1881" t="s">
        <v>72</v>
      </c>
      <c r="G1881">
        <v>-287.12830000000002</v>
      </c>
      <c r="H1881" s="1">
        <v>6.1086759999999998E-6</v>
      </c>
      <c r="I1881">
        <v>280.41800000000001</v>
      </c>
      <c r="J1881">
        <v>-256.18299999999999</v>
      </c>
      <c r="K1881">
        <v>1.1099559999999999</v>
      </c>
      <c r="L1881">
        <v>284.7894</v>
      </c>
      <c r="M1881">
        <v>-0.99994019999999995</v>
      </c>
      <c r="N1881">
        <v>-9.1450920000000005E-3</v>
      </c>
      <c r="O1881">
        <v>6.0026580000000001E-3</v>
      </c>
      <c r="P1881">
        <v>-0.9778715</v>
      </c>
      <c r="Q1881">
        <v>0.1900483</v>
      </c>
      <c r="R1881">
        <v>-8.7458659999999994E-2</v>
      </c>
      <c r="S1881">
        <v>-3.0503999999999998</v>
      </c>
      <c r="T1881">
        <v>-0.1083035</v>
      </c>
      <c r="U1881">
        <v>-0.42636109999999999</v>
      </c>
      <c r="V1881">
        <v>-9.3280569999999993E-2</v>
      </c>
      <c r="W1881">
        <v>0.1989998</v>
      </c>
      <c r="X1881">
        <v>0.97555000000000003</v>
      </c>
      <c r="Y1881">
        <v>-0.14425470000000001</v>
      </c>
      <c r="Z1881">
        <v>-3.3681890000000002E-3</v>
      </c>
      <c r="AA1881">
        <v>0.9895349</v>
      </c>
      <c r="AB1881">
        <v>30</v>
      </c>
      <c r="AC1881">
        <v>-30.9453</v>
      </c>
      <c r="AD1881">
        <v>-1.109949891324</v>
      </c>
      <c r="AE1881">
        <v>-4.3713999999999897</v>
      </c>
      <c r="AF1881">
        <v>-4.5513422069651703</v>
      </c>
      <c r="AG1881">
        <v>-1.109949891324</v>
      </c>
      <c r="AH1881">
        <v>30.879551336271302</v>
      </c>
      <c r="AI1881">
        <v>92.036597919131196</v>
      </c>
      <c r="AJ1881">
        <v>98.384467905574894</v>
      </c>
      <c r="AK1881">
        <v>31.232889641779401</v>
      </c>
      <c r="AL1881">
        <v>78.5215237684301</v>
      </c>
      <c r="AM1881">
        <v>95.4619275698157</v>
      </c>
      <c r="AN1881">
        <v>0.999999993819782</v>
      </c>
    </row>
    <row r="1882" spans="1:40" x14ac:dyDescent="0.25">
      <c r="A1882" t="str">
        <f>"20190304155053560"</f>
        <v>20190304155053560</v>
      </c>
      <c r="B1882" t="str">
        <f>"1551685853548353"</f>
        <v>1551685853548353</v>
      </c>
      <c r="C1882" t="s">
        <v>40</v>
      </c>
      <c r="D1882">
        <v>4.8868859999999996</v>
      </c>
      <c r="E1882">
        <v>0.47568120000000003</v>
      </c>
      <c r="F1882" t="s">
        <v>72</v>
      </c>
      <c r="G1882">
        <v>-291.64580000000001</v>
      </c>
      <c r="H1882" s="1">
        <v>2.924602E-6</v>
      </c>
      <c r="I1882">
        <v>279.73289999999997</v>
      </c>
      <c r="J1882">
        <v>-256.47660000000002</v>
      </c>
      <c r="K1882">
        <v>1.1099840000000001</v>
      </c>
      <c r="L1882">
        <v>284.7912</v>
      </c>
      <c r="M1882">
        <v>-0.99993940000000003</v>
      </c>
      <c r="N1882">
        <v>-9.1943289999999993E-3</v>
      </c>
      <c r="O1882">
        <v>6.0535299999999997E-3</v>
      </c>
      <c r="P1882">
        <v>-0.9778348</v>
      </c>
      <c r="Q1882">
        <v>0.19039980000000001</v>
      </c>
      <c r="R1882">
        <v>-8.7103829999999993E-2</v>
      </c>
      <c r="S1882">
        <v>-3.0475460000000001</v>
      </c>
      <c r="T1882">
        <v>-9.5385670000000006E-2</v>
      </c>
      <c r="U1882">
        <v>-0.43453979999999998</v>
      </c>
      <c r="V1882">
        <v>-9.2985029999999996E-2</v>
      </c>
      <c r="W1882">
        <v>0.19939470000000001</v>
      </c>
      <c r="X1882">
        <v>0.97549759999999996</v>
      </c>
      <c r="Y1882">
        <v>-0.14705650000000001</v>
      </c>
      <c r="Z1882">
        <v>-3.1020380000000001E-3</v>
      </c>
      <c r="AA1882">
        <v>0.98912319999999998</v>
      </c>
      <c r="AB1882">
        <v>30</v>
      </c>
      <c r="AC1882">
        <v>-35.169199999999897</v>
      </c>
      <c r="AD1882">
        <v>-1.109981075398</v>
      </c>
      <c r="AE1882">
        <v>-5.0583000000000302</v>
      </c>
      <c r="AF1882">
        <v>-5.2659749522666903</v>
      </c>
      <c r="AG1882">
        <v>-1.109981075398</v>
      </c>
      <c r="AH1882">
        <v>35.103675332302203</v>
      </c>
      <c r="AI1882">
        <v>91.791066436626593</v>
      </c>
      <c r="AJ1882">
        <v>98.531441872985098</v>
      </c>
      <c r="AK1882">
        <v>35.513808188102303</v>
      </c>
      <c r="AL1882">
        <v>78.4984351971422</v>
      </c>
      <c r="AM1882">
        <v>95.445017461708304</v>
      </c>
      <c r="AN1882">
        <v>1.0000000148989701</v>
      </c>
    </row>
    <row r="1883" spans="1:40" x14ac:dyDescent="0.25">
      <c r="A1883" t="str">
        <f>"20190304155053581"</f>
        <v>20190304155053581</v>
      </c>
      <c r="B1883" t="str">
        <f>"1551685853578606"</f>
        <v>1551685853578606</v>
      </c>
      <c r="C1883" t="s">
        <v>40</v>
      </c>
      <c r="D1883">
        <v>4.9024330000000003</v>
      </c>
      <c r="E1883">
        <v>0.4748404</v>
      </c>
      <c r="F1883" t="s">
        <v>72</v>
      </c>
      <c r="G1883">
        <v>-292.89499999999998</v>
      </c>
      <c r="H1883" s="1">
        <v>3.1809509999999998E-6</v>
      </c>
      <c r="I1883">
        <v>279.54689999999999</v>
      </c>
      <c r="J1883">
        <v>-256.76850000000002</v>
      </c>
      <c r="K1883">
        <v>1.110012</v>
      </c>
      <c r="L1883">
        <v>284.79300000000001</v>
      </c>
      <c r="M1883">
        <v>-0.99993880000000002</v>
      </c>
      <c r="N1883">
        <v>-9.2457660000000007E-3</v>
      </c>
      <c r="O1883">
        <v>6.0824750000000004E-3</v>
      </c>
      <c r="P1883">
        <v>-0.97777959999999997</v>
      </c>
      <c r="Q1883">
        <v>0.19082789999999999</v>
      </c>
      <c r="R1883">
        <v>-8.6786550000000004E-2</v>
      </c>
      <c r="S1883">
        <v>-3.0470280000000001</v>
      </c>
      <c r="T1883">
        <v>-9.286904E-2</v>
      </c>
      <c r="U1883">
        <v>-0.4387817</v>
      </c>
      <c r="V1883">
        <v>-9.2704709999999996E-2</v>
      </c>
      <c r="W1883">
        <v>0.19986799999999999</v>
      </c>
      <c r="X1883">
        <v>0.97542740000000006</v>
      </c>
      <c r="Y1883">
        <v>-0.14846119999999999</v>
      </c>
      <c r="Z1883">
        <v>-3.0688550000000001E-3</v>
      </c>
      <c r="AA1883">
        <v>0.9889135</v>
      </c>
      <c r="AB1883">
        <v>30</v>
      </c>
      <c r="AC1883">
        <v>-36.126499999999901</v>
      </c>
      <c r="AD1883">
        <v>-1.1100088190490001</v>
      </c>
      <c r="AE1883">
        <v>-5.24610000000001</v>
      </c>
      <c r="AF1883">
        <v>-5.46070208089135</v>
      </c>
      <c r="AG1883">
        <v>-1.1100088190490001</v>
      </c>
      <c r="AH1883">
        <v>36.060580616633402</v>
      </c>
      <c r="AI1883">
        <v>91.743247464671299</v>
      </c>
      <c r="AJ1883">
        <v>98.610953903025404</v>
      </c>
      <c r="AK1883">
        <v>36.488585354920701</v>
      </c>
      <c r="AL1883">
        <v>78.470759820551606</v>
      </c>
      <c r="AM1883">
        <v>95.429089056034996</v>
      </c>
      <c r="AN1883">
        <v>0.99999999667547101</v>
      </c>
    </row>
    <row r="1884" spans="1:40" x14ac:dyDescent="0.25">
      <c r="A1884" t="str">
        <f>"20190304155053594"</f>
        <v>20190304155053594</v>
      </c>
      <c r="B1884" t="str">
        <f>"1551685853588367"</f>
        <v>1551685853588367</v>
      </c>
      <c r="C1884" t="s">
        <v>40</v>
      </c>
      <c r="D1884">
        <v>4.916086</v>
      </c>
      <c r="E1884">
        <v>0.47466720000000001</v>
      </c>
      <c r="F1884" t="s">
        <v>72</v>
      </c>
      <c r="G1884">
        <v>-294.45940000000002</v>
      </c>
      <c r="H1884" s="1">
        <v>3.5454800000000001E-6</v>
      </c>
      <c r="I1884">
        <v>279.30070000000001</v>
      </c>
      <c r="J1884">
        <v>-256.94850000000002</v>
      </c>
      <c r="K1884">
        <v>1.110028</v>
      </c>
      <c r="L1884">
        <v>284.79419999999999</v>
      </c>
      <c r="M1884">
        <v>-0.99993840000000001</v>
      </c>
      <c r="N1884">
        <v>-9.2781640000000002E-3</v>
      </c>
      <c r="O1884">
        <v>6.0926490000000003E-3</v>
      </c>
      <c r="P1884">
        <v>-0.97776249999999998</v>
      </c>
      <c r="Q1884">
        <v>0.19098770000000001</v>
      </c>
      <c r="R1884">
        <v>-8.6627889999999999E-2</v>
      </c>
      <c r="S1884">
        <v>-3.0462950000000002</v>
      </c>
      <c r="T1884">
        <v>-8.9714290000000002E-2</v>
      </c>
      <c r="U1884">
        <v>-0.44390869999999999</v>
      </c>
      <c r="V1884">
        <v>-9.2560600000000007E-2</v>
      </c>
      <c r="W1884">
        <v>0.2000567</v>
      </c>
      <c r="X1884">
        <v>0.9754024</v>
      </c>
      <c r="Y1884">
        <v>-0.15013899999999999</v>
      </c>
      <c r="Z1884">
        <v>-3.021363E-3</v>
      </c>
      <c r="AA1884">
        <v>0.98866030000000005</v>
      </c>
      <c r="AB1884">
        <v>30</v>
      </c>
      <c r="AC1884">
        <v>-37.5108999999999</v>
      </c>
      <c r="AD1884">
        <v>-1.11002445452</v>
      </c>
      <c r="AE1884">
        <v>-5.4934999999999796</v>
      </c>
      <c r="AF1884">
        <v>-5.7170473765531504</v>
      </c>
      <c r="AG1884">
        <v>-1.11002445452</v>
      </c>
      <c r="AH1884">
        <v>37.444630952143399</v>
      </c>
      <c r="AI1884">
        <v>91.6785623924399</v>
      </c>
      <c r="AJ1884">
        <v>98.680881706191201</v>
      </c>
      <c r="AK1884">
        <v>37.894817220005201</v>
      </c>
      <c r="AL1884">
        <v>78.459725227363705</v>
      </c>
      <c r="AM1884">
        <v>95.420837923094098</v>
      </c>
      <c r="AN1884">
        <v>0.99999999490650404</v>
      </c>
    </row>
    <row r="1885" spans="1:40" x14ac:dyDescent="0.25">
      <c r="A1885" t="str">
        <f>"20190304155053615"</f>
        <v>20190304155053615</v>
      </c>
      <c r="B1885" t="str">
        <f>"1551685853608862"</f>
        <v>1551685853608862</v>
      </c>
      <c r="C1885" t="s">
        <v>40</v>
      </c>
      <c r="D1885">
        <v>4.9050399999999996</v>
      </c>
      <c r="E1885">
        <v>0.47425319999999999</v>
      </c>
      <c r="F1885" t="s">
        <v>72</v>
      </c>
      <c r="G1885">
        <v>-295.0992</v>
      </c>
      <c r="H1885" s="1">
        <v>3.6847379999999998E-6</v>
      </c>
      <c r="I1885">
        <v>279.2278</v>
      </c>
      <c r="J1885">
        <v>-257.23590000000002</v>
      </c>
      <c r="K1885">
        <v>1.110053</v>
      </c>
      <c r="L1885">
        <v>284.79599999999999</v>
      </c>
      <c r="M1885">
        <v>-0.99993799999999999</v>
      </c>
      <c r="N1885">
        <v>-9.3290869999999998E-3</v>
      </c>
      <c r="O1885">
        <v>6.099312E-3</v>
      </c>
      <c r="P1885">
        <v>-0.97758679999999998</v>
      </c>
      <c r="Q1885">
        <v>0.1922644</v>
      </c>
      <c r="R1885">
        <v>-8.5781369999999996E-2</v>
      </c>
      <c r="S1885">
        <v>-3.0462039999999999</v>
      </c>
      <c r="T1885">
        <v>-8.8631630000000003E-2</v>
      </c>
      <c r="U1885">
        <v>-0.44445800000000002</v>
      </c>
      <c r="V1885">
        <v>-9.1725429999999997E-2</v>
      </c>
      <c r="W1885">
        <v>0.20137920000000001</v>
      </c>
      <c r="X1885">
        <v>0.97520910000000005</v>
      </c>
      <c r="Y1885">
        <v>-0.15032609999999999</v>
      </c>
      <c r="Z1885">
        <v>-2.999982E-3</v>
      </c>
      <c r="AA1885">
        <v>0.98863190000000001</v>
      </c>
      <c r="AB1885">
        <v>30</v>
      </c>
      <c r="AC1885">
        <v>-37.863299999999903</v>
      </c>
      <c r="AD1885">
        <v>-1.1100493152619999</v>
      </c>
      <c r="AE1885">
        <v>-5.5681999999999903</v>
      </c>
      <c r="AF1885">
        <v>-5.7941718332610197</v>
      </c>
      <c r="AG1885">
        <v>-1.1100493152619999</v>
      </c>
      <c r="AH1885">
        <v>37.796833180206903</v>
      </c>
      <c r="AI1885">
        <v>91.662813605818698</v>
      </c>
      <c r="AJ1885">
        <v>98.715468491898093</v>
      </c>
      <c r="AK1885">
        <v>38.2544799359246</v>
      </c>
      <c r="AL1885">
        <v>78.382377073868597</v>
      </c>
      <c r="AM1885">
        <v>95.373272028224406</v>
      </c>
      <c r="AN1885">
        <v>0.99999996271206604</v>
      </c>
    </row>
    <row r="1886" spans="1:40" x14ac:dyDescent="0.25">
      <c r="A1886" t="str">
        <f>"20190304155053638"</f>
        <v>20190304155053638</v>
      </c>
      <c r="B1886" t="str">
        <f>"1551685853628386"</f>
        <v>1551685853628386</v>
      </c>
      <c r="C1886" t="s">
        <v>40</v>
      </c>
      <c r="D1886">
        <v>4.9174249999999997</v>
      </c>
      <c r="E1886">
        <v>0.473491</v>
      </c>
      <c r="F1886" t="s">
        <v>72</v>
      </c>
      <c r="G1886">
        <v>-297.33819999999997</v>
      </c>
      <c r="H1886" s="1">
        <v>4.1831090000000003E-6</v>
      </c>
      <c r="I1886">
        <v>278.94139999999999</v>
      </c>
      <c r="J1886">
        <v>-257.5428</v>
      </c>
      <c r="K1886">
        <v>1.11008</v>
      </c>
      <c r="L1886">
        <v>284.7978</v>
      </c>
      <c r="M1886">
        <v>-0.99993750000000003</v>
      </c>
      <c r="N1886">
        <v>-9.3802980000000005E-3</v>
      </c>
      <c r="O1886">
        <v>6.0985019999999996E-3</v>
      </c>
      <c r="P1886">
        <v>-0.97720079999999998</v>
      </c>
      <c r="Q1886">
        <v>0.1946754</v>
      </c>
      <c r="R1886">
        <v>-8.4736069999999997E-2</v>
      </c>
      <c r="S1886">
        <v>-3.0463260000000001</v>
      </c>
      <c r="T1886">
        <v>-8.4323759999999998E-2</v>
      </c>
      <c r="U1886">
        <v>-0.44473269999999998</v>
      </c>
      <c r="V1886">
        <v>-9.068089E-2</v>
      </c>
      <c r="W1886">
        <v>0.2038344</v>
      </c>
      <c r="X1886">
        <v>0.97479669999999896</v>
      </c>
      <c r="Y1886">
        <v>-0.15041379999999999</v>
      </c>
      <c r="Z1886">
        <v>-2.8907870000000001E-3</v>
      </c>
      <c r="AA1886">
        <v>0.98861889999999997</v>
      </c>
      <c r="AB1886">
        <v>30</v>
      </c>
      <c r="AC1886">
        <v>-39.795399999999901</v>
      </c>
      <c r="AD1886">
        <v>-1.1100758168910001</v>
      </c>
      <c r="AE1886">
        <v>-5.8563999999999998</v>
      </c>
      <c r="AF1886">
        <v>-6.0943525270691801</v>
      </c>
      <c r="AG1886">
        <v>-1.1100758168910001</v>
      </c>
      <c r="AH1886">
        <v>39.728685171251598</v>
      </c>
      <c r="AI1886">
        <v>91.582013268890606</v>
      </c>
      <c r="AJ1886">
        <v>98.721149763011297</v>
      </c>
      <c r="AK1886">
        <v>40.208728237533997</v>
      </c>
      <c r="AL1886">
        <v>78.2387261101224</v>
      </c>
      <c r="AM1886">
        <v>95.314669628581996</v>
      </c>
      <c r="AN1886">
        <v>1.0000000463827099</v>
      </c>
    </row>
    <row r="1887" spans="1:40" x14ac:dyDescent="0.25">
      <c r="A1887" t="str">
        <f>"20190304155053661"</f>
        <v>20190304155053661</v>
      </c>
      <c r="B1887" t="str">
        <f>"1551685853658640"</f>
        <v>1551685853658640</v>
      </c>
      <c r="C1887" t="s">
        <v>40</v>
      </c>
      <c r="D1887">
        <v>5.1598290000000002</v>
      </c>
      <c r="E1887">
        <v>0.47228350000000002</v>
      </c>
      <c r="F1887" t="s">
        <v>72</v>
      </c>
      <c r="G1887">
        <v>-301.49169999999998</v>
      </c>
      <c r="H1887" s="1">
        <v>4.5228640000000002E-6</v>
      </c>
      <c r="I1887">
        <v>278.33260000000001</v>
      </c>
      <c r="J1887">
        <v>-257.86040000000003</v>
      </c>
      <c r="K1887">
        <v>1.110098</v>
      </c>
      <c r="L1887">
        <v>284.79969999999997</v>
      </c>
      <c r="M1887">
        <v>-0.99993710000000002</v>
      </c>
      <c r="N1887">
        <v>-9.4321309999999998E-3</v>
      </c>
      <c r="O1887">
        <v>6.0929590000000002E-3</v>
      </c>
      <c r="P1887">
        <v>-0.97680089999999997</v>
      </c>
      <c r="Q1887">
        <v>0.19654740000000001</v>
      </c>
      <c r="R1887">
        <v>-8.5025569999999995E-2</v>
      </c>
      <c r="S1887">
        <v>-3.0464479999999998</v>
      </c>
      <c r="T1887">
        <v>-7.6948050000000004E-2</v>
      </c>
      <c r="U1887">
        <v>-0.44815060000000001</v>
      </c>
      <c r="V1887">
        <v>-9.0964320000000001E-2</v>
      </c>
      <c r="W1887">
        <v>0.20575180000000001</v>
      </c>
      <c r="X1887">
        <v>0.97436730000000005</v>
      </c>
      <c r="Y1887">
        <v>-0.1514992</v>
      </c>
      <c r="Z1887">
        <v>-2.7171560000000001E-3</v>
      </c>
      <c r="AA1887">
        <v>0.98845360000000004</v>
      </c>
      <c r="AB1887">
        <v>31</v>
      </c>
      <c r="AC1887">
        <v>-43.631299999999896</v>
      </c>
      <c r="AD1887">
        <v>-1.110093477136</v>
      </c>
      <c r="AE1887">
        <v>-6.4670999999999497</v>
      </c>
      <c r="AF1887">
        <v>-6.7285735100361901</v>
      </c>
      <c r="AG1887">
        <v>-1.110093477136</v>
      </c>
      <c r="AH1887">
        <v>43.563490967266603</v>
      </c>
      <c r="AI1887">
        <v>91.442607703168704</v>
      </c>
      <c r="AJ1887">
        <v>98.780204141364294</v>
      </c>
      <c r="AK1887">
        <v>44.094033091372502</v>
      </c>
      <c r="AL1887">
        <v>78.1264874361229</v>
      </c>
      <c r="AM1887">
        <v>95.333521355086901</v>
      </c>
      <c r="AN1887">
        <v>0.99999997301279497</v>
      </c>
    </row>
    <row r="1888" spans="1:40" x14ac:dyDescent="0.25">
      <c r="A1888" t="str">
        <f>"20190304155053683"</f>
        <v>20190304155053683</v>
      </c>
      <c r="B1888" t="str">
        <f>"1551685853678159"</f>
        <v>1551685853678159</v>
      </c>
      <c r="C1888" t="s">
        <v>40</v>
      </c>
      <c r="D1888">
        <v>4.9254419999999897</v>
      </c>
      <c r="E1888">
        <v>0.4717171</v>
      </c>
      <c r="F1888" t="s">
        <v>72</v>
      </c>
      <c r="G1888">
        <v>-300.74560000000002</v>
      </c>
      <c r="H1888" s="1">
        <v>4.684285E-6</v>
      </c>
      <c r="I1888">
        <v>278.34399999999999</v>
      </c>
      <c r="J1888">
        <v>-258.15359999999998</v>
      </c>
      <c r="K1888">
        <v>1.1100939999999999</v>
      </c>
      <c r="L1888">
        <v>284.80160000000001</v>
      </c>
      <c r="M1888">
        <v>-0.99993659999999995</v>
      </c>
      <c r="N1888">
        <v>-9.4806700000000001E-3</v>
      </c>
      <c r="O1888">
        <v>6.0850030000000003E-3</v>
      </c>
      <c r="P1888">
        <v>-0.97699449999999999</v>
      </c>
      <c r="Q1888">
        <v>0.19508490000000001</v>
      </c>
      <c r="R1888">
        <v>-8.616037E-2</v>
      </c>
      <c r="S1888">
        <v>-3.04718</v>
      </c>
      <c r="T1888">
        <v>-7.8876849999999998E-2</v>
      </c>
      <c r="U1888">
        <v>-0.4587097</v>
      </c>
      <c r="V1888">
        <v>-9.2094640000000005E-2</v>
      </c>
      <c r="W1888">
        <v>0.20433809999999999</v>
      </c>
      <c r="X1888">
        <v>0.9745587</v>
      </c>
      <c r="Y1888">
        <v>-0.15480289999999999</v>
      </c>
      <c r="Z1888">
        <v>-2.8293749999999999E-3</v>
      </c>
      <c r="AA1888">
        <v>0.98794130000000002</v>
      </c>
      <c r="AB1888">
        <v>31</v>
      </c>
      <c r="AC1888">
        <v>-42.591999999999999</v>
      </c>
      <c r="AD1888">
        <v>-1.110089315715</v>
      </c>
      <c r="AE1888">
        <v>-6.45760000000001</v>
      </c>
      <c r="AF1888">
        <v>-6.7122073895771202</v>
      </c>
      <c r="AG1888">
        <v>-1.110089315715</v>
      </c>
      <c r="AH1888">
        <v>42.523677990380797</v>
      </c>
      <c r="AI1888">
        <v>91.477098582758202</v>
      </c>
      <c r="AJ1888">
        <v>98.969921708455402</v>
      </c>
      <c r="AK1888">
        <v>43.064477428144301</v>
      </c>
      <c r="AL1888">
        <v>78.209246043168505</v>
      </c>
      <c r="AM1888">
        <v>95.398352080770394</v>
      </c>
      <c r="AN1888">
        <v>1.00000007078701</v>
      </c>
    </row>
    <row r="1889" spans="1:40" x14ac:dyDescent="0.25">
      <c r="A1889" t="str">
        <f>"20190304155053704"</f>
        <v>20190304155053704</v>
      </c>
      <c r="B1889" t="str">
        <f>"1551685853698654"</f>
        <v>1551685853698654</v>
      </c>
      <c r="C1889" t="s">
        <v>40</v>
      </c>
      <c r="D1889">
        <v>4.9299790000000003</v>
      </c>
      <c r="E1889">
        <v>0.47140609999999999</v>
      </c>
      <c r="F1889" t="s">
        <v>72</v>
      </c>
      <c r="G1889">
        <v>-296.8956</v>
      </c>
      <c r="H1889" s="1">
        <v>4.12885299999999E-6</v>
      </c>
      <c r="I1889">
        <v>278.87279999999998</v>
      </c>
      <c r="J1889">
        <v>-258.45650000000001</v>
      </c>
      <c r="K1889">
        <v>1.1100890000000001</v>
      </c>
      <c r="L1889">
        <v>284.80340000000001</v>
      </c>
      <c r="M1889">
        <v>-0.99993620000000005</v>
      </c>
      <c r="N1889">
        <v>-9.5284489999999996E-3</v>
      </c>
      <c r="O1889">
        <v>6.0707670000000004E-3</v>
      </c>
      <c r="P1889">
        <v>-0.97730090000000003</v>
      </c>
      <c r="Q1889">
        <v>0.19278790000000001</v>
      </c>
      <c r="R1889">
        <v>-8.784032E-2</v>
      </c>
      <c r="S1889">
        <v>-3.0469360000000001</v>
      </c>
      <c r="T1889">
        <v>-8.7305069999999999E-2</v>
      </c>
      <c r="U1889">
        <v>-0.46627809999999997</v>
      </c>
      <c r="V1889">
        <v>-9.3765219999999996E-2</v>
      </c>
      <c r="W1889">
        <v>0.20208909999999999</v>
      </c>
      <c r="X1889">
        <v>0.97486819999999996</v>
      </c>
      <c r="Y1889">
        <v>-0.15718360000000001</v>
      </c>
      <c r="Z1889">
        <v>-3.1072780000000002E-3</v>
      </c>
      <c r="AA1889">
        <v>0.98756449999999996</v>
      </c>
      <c r="AB1889">
        <v>31</v>
      </c>
      <c r="AC1889">
        <v>-38.439100000000003</v>
      </c>
      <c r="AD1889">
        <v>-1.1100848711469999</v>
      </c>
      <c r="AE1889">
        <v>-5.9306000000000196</v>
      </c>
      <c r="AF1889">
        <v>-6.1588390687266701</v>
      </c>
      <c r="AG1889">
        <v>-1.1100848711469999</v>
      </c>
      <c r="AH1889">
        <v>38.3711292234754</v>
      </c>
      <c r="AI1889">
        <v>91.636186266422001</v>
      </c>
      <c r="AJ1889">
        <v>99.118604705837399</v>
      </c>
      <c r="AK1889">
        <v>38.878106242206101</v>
      </c>
      <c r="AL1889">
        <v>78.340849009554503</v>
      </c>
      <c r="AM1889">
        <v>95.493948890325598</v>
      </c>
      <c r="AN1889">
        <v>0.99999996409584802</v>
      </c>
    </row>
    <row r="1890" spans="1:40" x14ac:dyDescent="0.25">
      <c r="A1890" t="str">
        <f>"20190304155053727"</f>
        <v>20190304155053727</v>
      </c>
      <c r="B1890" t="str">
        <f>"1551685853718174"</f>
        <v>1551685853718174</v>
      </c>
      <c r="C1890" t="s">
        <v>40</v>
      </c>
      <c r="D1890">
        <v>4.9162919999999897</v>
      </c>
      <c r="E1890">
        <v>0.47117140000000002</v>
      </c>
      <c r="F1890" t="s">
        <v>72</v>
      </c>
      <c r="G1890">
        <v>-293.44159999999999</v>
      </c>
      <c r="H1890" s="1">
        <v>3.3422400000000002E-6</v>
      </c>
      <c r="I1890">
        <v>279.36489999999998</v>
      </c>
      <c r="J1890">
        <v>-258.77300000000002</v>
      </c>
      <c r="K1890">
        <v>1.1101030000000001</v>
      </c>
      <c r="L1890">
        <v>284.80529999999999</v>
      </c>
      <c r="M1890">
        <v>-0.99993589999999999</v>
      </c>
      <c r="N1890">
        <v>-9.5789039999999992E-3</v>
      </c>
      <c r="O1890">
        <v>6.0450219999999997E-3</v>
      </c>
      <c r="P1890">
        <v>-0.97718190000000005</v>
      </c>
      <c r="Q1890">
        <v>0.192941</v>
      </c>
      <c r="R1890">
        <v>-8.8823280000000004E-2</v>
      </c>
      <c r="S1890">
        <v>-3.0462039999999999</v>
      </c>
      <c r="T1890">
        <v>-9.6656800000000001E-2</v>
      </c>
      <c r="U1890">
        <v>-0.4735413</v>
      </c>
      <c r="V1890">
        <v>-9.4726690000000002E-2</v>
      </c>
      <c r="W1890">
        <v>0.20228850000000001</v>
      </c>
      <c r="X1890">
        <v>0.97473390000000004</v>
      </c>
      <c r="Y1890">
        <v>-0.159474799999999</v>
      </c>
      <c r="Z1890">
        <v>-3.416077E-3</v>
      </c>
      <c r="AA1890">
        <v>0.98719610000000002</v>
      </c>
      <c r="AB1890">
        <v>31</v>
      </c>
      <c r="AC1890">
        <v>-34.668599999999998</v>
      </c>
      <c r="AD1890">
        <v>-1.11009965776</v>
      </c>
      <c r="AE1890">
        <v>-5.4404000000000101</v>
      </c>
      <c r="AF1890">
        <v>-5.6442346882314798</v>
      </c>
      <c r="AG1890">
        <v>-1.11009965776</v>
      </c>
      <c r="AH1890">
        <v>34.600454402709801</v>
      </c>
      <c r="AI1890">
        <v>91.813656117263307</v>
      </c>
      <c r="AJ1890">
        <v>99.264828737556201</v>
      </c>
      <c r="AK1890">
        <v>35.075363880364698</v>
      </c>
      <c r="AL1890">
        <v>78.329183474890499</v>
      </c>
      <c r="AM1890">
        <v>95.550693870434102</v>
      </c>
      <c r="AN1890">
        <v>0.99999997941990704</v>
      </c>
    </row>
    <row r="1891" spans="1:40" x14ac:dyDescent="0.25">
      <c r="A1891" t="str">
        <f>"20190304155053749"</f>
        <v>20190304155053749</v>
      </c>
      <c r="B1891" t="str">
        <f>"1551685853738674"</f>
        <v>1551685853738674</v>
      </c>
      <c r="C1891" t="s">
        <v>40</v>
      </c>
      <c r="D1891">
        <v>5.1235499999999998</v>
      </c>
      <c r="E1891">
        <v>0.47074549999999998</v>
      </c>
      <c r="F1891" t="s">
        <v>72</v>
      </c>
      <c r="G1891">
        <v>-293.99889999999999</v>
      </c>
      <c r="H1891" s="1">
        <v>3.4775869999999998E-6</v>
      </c>
      <c r="I1891">
        <v>279.26159999999999</v>
      </c>
      <c r="J1891">
        <v>-259.07119999999998</v>
      </c>
      <c r="K1891">
        <v>1.1101270000000001</v>
      </c>
      <c r="L1891">
        <v>284.80709999999999</v>
      </c>
      <c r="M1891">
        <v>-0.99993569999999998</v>
      </c>
      <c r="N1891">
        <v>-9.6261279999999994E-3</v>
      </c>
      <c r="O1891">
        <v>6.004934E-3</v>
      </c>
      <c r="P1891">
        <v>-0.97689630000000005</v>
      </c>
      <c r="Q1891">
        <v>0.1943685</v>
      </c>
      <c r="R1891">
        <v>-8.8852710000000001E-2</v>
      </c>
      <c r="S1891">
        <v>-3.0454409999999998</v>
      </c>
      <c r="T1891">
        <v>-9.5973249999999996E-2</v>
      </c>
      <c r="U1891">
        <v>-0.4792786</v>
      </c>
      <c r="V1891">
        <v>-9.4722819999999999E-2</v>
      </c>
      <c r="W1891">
        <v>0.20375550000000001</v>
      </c>
      <c r="X1891">
        <v>0.97442870000000004</v>
      </c>
      <c r="Y1891">
        <v>-0.16128789999999901</v>
      </c>
      <c r="Z1891">
        <v>-3.4371549999999999E-3</v>
      </c>
      <c r="AA1891">
        <v>0.98690140000000004</v>
      </c>
      <c r="AB1891">
        <v>31</v>
      </c>
      <c r="AC1891">
        <v>-34.927700000000002</v>
      </c>
      <c r="AD1891">
        <v>-1.1101235224129999</v>
      </c>
      <c r="AE1891">
        <v>-5.5454999999999997</v>
      </c>
      <c r="AF1891">
        <v>-5.7494829910688603</v>
      </c>
      <c r="AG1891">
        <v>-1.1101235224129999</v>
      </c>
      <c r="AH1891">
        <v>34.8594195675349</v>
      </c>
      <c r="AI1891">
        <v>91.7997110192875</v>
      </c>
      <c r="AJ1891">
        <v>99.365670931967998</v>
      </c>
      <c r="AK1891">
        <v>35.347815512207198</v>
      </c>
      <c r="AL1891">
        <v>78.243343145897498</v>
      </c>
      <c r="AM1891">
        <v>95.552196112918807</v>
      </c>
      <c r="AN1891">
        <v>1.0000000038963399</v>
      </c>
    </row>
    <row r="1892" spans="1:40" x14ac:dyDescent="0.25">
      <c r="A1892" t="str">
        <f>"20190304155053770"</f>
        <v>20190304155053770</v>
      </c>
      <c r="B1892" t="str">
        <f>"1551685853768926"</f>
        <v>1551685853768926</v>
      </c>
      <c r="C1892" t="s">
        <v>40</v>
      </c>
      <c r="D1892">
        <v>4.9587110000000001</v>
      </c>
      <c r="E1892">
        <v>0.470883</v>
      </c>
      <c r="F1892" t="s">
        <v>72</v>
      </c>
      <c r="G1892">
        <v>-295.709</v>
      </c>
      <c r="H1892" s="1">
        <v>3.8748709999999998E-6</v>
      </c>
      <c r="I1892">
        <v>278.99590000000001</v>
      </c>
      <c r="J1892">
        <v>-259.36610000000002</v>
      </c>
      <c r="K1892">
        <v>1.1101449999999999</v>
      </c>
      <c r="L1892">
        <v>284.80880000000002</v>
      </c>
      <c r="M1892">
        <v>-0.99993560000000004</v>
      </c>
      <c r="N1892">
        <v>-9.6701909999999999E-3</v>
      </c>
      <c r="O1892">
        <v>5.9509659999999898E-3</v>
      </c>
      <c r="P1892">
        <v>-0.97659739999999995</v>
      </c>
      <c r="Q1892">
        <v>0.19571659999999999</v>
      </c>
      <c r="R1892">
        <v>-8.9177850000000003E-2</v>
      </c>
      <c r="S1892">
        <v>-3.0453800000000002</v>
      </c>
      <c r="T1892">
        <v>-9.2274789999999995E-2</v>
      </c>
      <c r="U1892">
        <v>-0.48303220000000002</v>
      </c>
      <c r="V1892">
        <v>-9.5000479999999998E-2</v>
      </c>
      <c r="W1892">
        <v>0.2051404</v>
      </c>
      <c r="X1892">
        <v>0.97411099999999995</v>
      </c>
      <c r="Y1892">
        <v>-0.16243050000000001</v>
      </c>
      <c r="Z1892">
        <v>-3.3574759999999999E-3</v>
      </c>
      <c r="AA1892">
        <v>0.98671419999999999</v>
      </c>
      <c r="AB1892">
        <v>31</v>
      </c>
      <c r="AC1892">
        <v>-36.342899999999901</v>
      </c>
      <c r="AD1892">
        <v>-1.1101411251289901</v>
      </c>
      <c r="AE1892">
        <v>-5.8129000000000097</v>
      </c>
      <c r="AF1892">
        <v>-6.0236022406035099</v>
      </c>
      <c r="AG1892">
        <v>-1.1101411251289901</v>
      </c>
      <c r="AH1892">
        <v>36.274659693914799</v>
      </c>
      <c r="AI1892">
        <v>91.729254627573894</v>
      </c>
      <c r="AJ1892">
        <v>99.428241041385306</v>
      </c>
      <c r="AK1892">
        <v>36.7881384848436</v>
      </c>
      <c r="AL1892">
        <v>78.162281438594206</v>
      </c>
      <c r="AM1892">
        <v>95.570173735173299</v>
      </c>
      <c r="AN1892">
        <v>0.99999995761669402</v>
      </c>
    </row>
    <row r="1893" spans="1:40" x14ac:dyDescent="0.25">
      <c r="A1893" t="str">
        <f>"20190304155053794"</f>
        <v>20190304155053794</v>
      </c>
      <c r="B1893" t="str">
        <f>"1551685853788447"</f>
        <v>1551685853788447</v>
      </c>
      <c r="C1893" t="s">
        <v>40</v>
      </c>
      <c r="D1893">
        <v>4.5007409999999997</v>
      </c>
      <c r="E1893">
        <v>0.55916460000000001</v>
      </c>
      <c r="F1893" t="s">
        <v>72</v>
      </c>
      <c r="G1893">
        <v>-299.55889999999999</v>
      </c>
      <c r="H1893" s="1">
        <v>4.7606529999999998E-6</v>
      </c>
      <c r="I1893">
        <v>278.42200000000003</v>
      </c>
      <c r="J1893">
        <v>-259.67860000000002</v>
      </c>
      <c r="K1893">
        <v>1.1101529999999999</v>
      </c>
      <c r="L1893">
        <v>284.81060000000002</v>
      </c>
      <c r="M1893">
        <v>-0.99993549999999998</v>
      </c>
      <c r="N1893">
        <v>-9.7129569999999995E-3</v>
      </c>
      <c r="O1893">
        <v>5.8754139999999998E-3</v>
      </c>
      <c r="P1893">
        <v>-0.97696640000000001</v>
      </c>
      <c r="Q1893">
        <v>0.19407269999999999</v>
      </c>
      <c r="R1893">
        <v>-8.8726470000000002E-2</v>
      </c>
      <c r="S1893">
        <v>-3.044556</v>
      </c>
      <c r="T1893">
        <v>-8.4091899999999997E-2</v>
      </c>
      <c r="U1893">
        <v>-0.48379519999999998</v>
      </c>
      <c r="V1893">
        <v>-9.448463E-2</v>
      </c>
      <c r="W1893">
        <v>0.20353850000000001</v>
      </c>
      <c r="X1893">
        <v>0.97449719999999995</v>
      </c>
      <c r="Y1893">
        <v>-0.16265299999999999</v>
      </c>
      <c r="Z1893">
        <v>-3.1314730000000001E-3</v>
      </c>
      <c r="AA1893">
        <v>0.98667839999999996</v>
      </c>
      <c r="AB1893">
        <v>31</v>
      </c>
      <c r="AC1893">
        <v>-39.880299999999899</v>
      </c>
      <c r="AD1893">
        <v>-1.1101482393469999</v>
      </c>
      <c r="AE1893">
        <v>-6.3885999999999896</v>
      </c>
      <c r="AF1893">
        <v>-6.6178142310234103</v>
      </c>
      <c r="AG1893">
        <v>-1.1101482393469999</v>
      </c>
      <c r="AH1893">
        <v>39.8119957444584</v>
      </c>
      <c r="AI1893">
        <v>91.575656321605706</v>
      </c>
      <c r="AJ1893">
        <v>99.437790110056596</v>
      </c>
      <c r="AK1893">
        <v>40.373542072332903</v>
      </c>
      <c r="AL1893">
        <v>78.256042757395704</v>
      </c>
      <c r="AM1893">
        <v>95.537934590367001</v>
      </c>
      <c r="AN1893">
        <v>1.0000000295481599</v>
      </c>
    </row>
    <row r="1894" spans="1:40" x14ac:dyDescent="0.25">
      <c r="A1894" t="str">
        <f>"20190304155053816"</f>
        <v>20190304155053816</v>
      </c>
      <c r="B1894" t="str">
        <f>"1551685853808943"</f>
        <v>1551685853808943</v>
      </c>
      <c r="C1894" t="s">
        <v>40</v>
      </c>
      <c r="D1894">
        <v>4.8628830000000001</v>
      </c>
      <c r="E1894">
        <v>0.57667469999999998</v>
      </c>
      <c r="F1894" t="s">
        <v>76</v>
      </c>
      <c r="G1894">
        <v>-511.82369999999997</v>
      </c>
      <c r="H1894">
        <v>10.72222</v>
      </c>
      <c r="I1894">
        <v>302.48340000000002</v>
      </c>
      <c r="J1894">
        <v>-260.0059</v>
      </c>
      <c r="K1894">
        <v>1.110174</v>
      </c>
      <c r="L1894">
        <v>284.8125</v>
      </c>
      <c r="M1894">
        <v>-0.99993589999999999</v>
      </c>
      <c r="N1894">
        <v>-9.7535079999999993E-3</v>
      </c>
      <c r="O1894">
        <v>5.7735249999999998E-3</v>
      </c>
      <c r="P1894">
        <v>-0.97737410000000002</v>
      </c>
      <c r="Q1894">
        <v>0.19262290000000001</v>
      </c>
      <c r="R1894">
        <v>-8.7387290000000006E-2</v>
      </c>
      <c r="S1894">
        <v>-3.0670169999999999</v>
      </c>
      <c r="T1894">
        <v>0.1169193</v>
      </c>
      <c r="U1894">
        <v>0.21496580000000001</v>
      </c>
      <c r="V1894">
        <v>-9.3055959999999993E-2</v>
      </c>
      <c r="W1894">
        <v>0.20212930000000001</v>
      </c>
      <c r="X1894">
        <v>0.97492780000000001</v>
      </c>
      <c r="Y1894">
        <v>6.4129340000000007E-2</v>
      </c>
      <c r="Z1894">
        <v>-6.3124019999999999E-4</v>
      </c>
      <c r="AA1894">
        <v>0.99794139999999998</v>
      </c>
      <c r="AB1894">
        <v>31</v>
      </c>
      <c r="AC1894">
        <v>-251.81780000000001</v>
      </c>
      <c r="AD1894">
        <v>9.6120459999999994</v>
      </c>
      <c r="AE1894">
        <v>17.6709</v>
      </c>
      <c r="AF1894">
        <v>16.193182309025701</v>
      </c>
      <c r="AG1894">
        <v>9.6120459999999994</v>
      </c>
      <c r="AH1894">
        <v>251.55091767206201</v>
      </c>
      <c r="AI1894">
        <v>87.816243463702804</v>
      </c>
      <c r="AJ1894">
        <v>86.316759217264703</v>
      </c>
      <c r="AK1894">
        <v>252.25478144775701</v>
      </c>
      <c r="AL1894">
        <v>78.338496904426606</v>
      </c>
      <c r="AM1894">
        <v>95.452311575866901</v>
      </c>
      <c r="AN1894">
        <v>0.99999994041142404</v>
      </c>
    </row>
    <row r="1895" spans="1:40" x14ac:dyDescent="0.25">
      <c r="A1895" t="str">
        <f>"20190304155053838"</f>
        <v>20190304155053838</v>
      </c>
      <c r="B1895" t="str">
        <f>"1551685853828466"</f>
        <v>1551685853828466</v>
      </c>
      <c r="C1895" t="s">
        <v>40</v>
      </c>
      <c r="D1895">
        <v>4.841723</v>
      </c>
      <c r="E1895">
        <v>0.58293899999999998</v>
      </c>
      <c r="F1895" t="s">
        <v>71</v>
      </c>
      <c r="G1895">
        <v>-440.20030000000003</v>
      </c>
      <c r="H1895">
        <v>7.2685000000000004</v>
      </c>
      <c r="I1895">
        <v>305.77019999999999</v>
      </c>
      <c r="J1895">
        <v>-260.30220000000003</v>
      </c>
      <c r="K1895">
        <v>1.110187</v>
      </c>
      <c r="L1895">
        <v>284.8141</v>
      </c>
      <c r="M1895">
        <v>-0.99993600000000005</v>
      </c>
      <c r="N1895">
        <v>-9.7868739999999992E-3</v>
      </c>
      <c r="O1895">
        <v>5.6615579999999997E-3</v>
      </c>
      <c r="P1895">
        <v>-0.97748520000000005</v>
      </c>
      <c r="Q1895">
        <v>0.19244639999999999</v>
      </c>
      <c r="R1895">
        <v>-8.6526530000000004E-2</v>
      </c>
      <c r="S1895">
        <v>-3.0807190000000002</v>
      </c>
      <c r="T1895">
        <v>0.1052868</v>
      </c>
      <c r="U1895">
        <v>0.35830689999999998</v>
      </c>
      <c r="V1895">
        <v>-9.20932E-2</v>
      </c>
      <c r="W1895">
        <v>0.2019831</v>
      </c>
      <c r="X1895">
        <v>0.97504959999999996</v>
      </c>
      <c r="Y1895">
        <v>0.10986219999999999</v>
      </c>
      <c r="Z1895">
        <v>-1.0829730000000001E-3</v>
      </c>
      <c r="AA1895">
        <v>0.99394629999999995</v>
      </c>
      <c r="AB1895">
        <v>31</v>
      </c>
      <c r="AC1895">
        <v>-179.8981</v>
      </c>
      <c r="AD1895">
        <v>6.1583129999999997</v>
      </c>
      <c r="AE1895">
        <v>20.9560999999999</v>
      </c>
      <c r="AF1895">
        <v>19.914187794165599</v>
      </c>
      <c r="AG1895">
        <v>6.1583129999999997</v>
      </c>
      <c r="AH1895">
        <v>179.80598248097101</v>
      </c>
      <c r="AI1895">
        <v>88.050311770132396</v>
      </c>
      <c r="AJ1895">
        <v>83.680034328612095</v>
      </c>
      <c r="AK1895">
        <v>181.010195929551</v>
      </c>
      <c r="AL1895">
        <v>78.347050979013105</v>
      </c>
      <c r="AM1895">
        <v>95.395566393147703</v>
      </c>
      <c r="AN1895">
        <v>1.000000026316</v>
      </c>
    </row>
    <row r="1896" spans="1:40" x14ac:dyDescent="0.25">
      <c r="A1896" t="str">
        <f>"20190304155053862"</f>
        <v>20190304155053862</v>
      </c>
      <c r="B1896" t="str">
        <f>"1551685853858718"</f>
        <v>1551685853858718</v>
      </c>
      <c r="C1896" t="s">
        <v>40</v>
      </c>
      <c r="D1896">
        <v>4.8232290000000004</v>
      </c>
      <c r="E1896">
        <v>0.58696619999999899</v>
      </c>
      <c r="F1896" t="s">
        <v>71</v>
      </c>
      <c r="G1896">
        <v>-440.20030000000003</v>
      </c>
      <c r="H1896">
        <v>7.186636</v>
      </c>
      <c r="I1896">
        <v>308.78019999999998</v>
      </c>
      <c r="J1896">
        <v>-260.62459999999999</v>
      </c>
      <c r="K1896">
        <v>1.110198</v>
      </c>
      <c r="L1896">
        <v>284.81580000000002</v>
      </c>
      <c r="M1896">
        <v>-0.99993650000000001</v>
      </c>
      <c r="N1896">
        <v>-9.8229010000000002E-3</v>
      </c>
      <c r="O1896">
        <v>5.5198160000000003E-3</v>
      </c>
      <c r="P1896">
        <v>-0.97759810000000003</v>
      </c>
      <c r="Q1896">
        <v>0.19221379999999999</v>
      </c>
      <c r="R1896">
        <v>-8.5764880000000002E-2</v>
      </c>
      <c r="S1896">
        <v>-3.0849609999999998</v>
      </c>
      <c r="T1896">
        <v>0.1042014</v>
      </c>
      <c r="U1896">
        <v>0.41098020000000002</v>
      </c>
      <c r="V1896">
        <v>-9.1201030000000002E-2</v>
      </c>
      <c r="W1896">
        <v>0.20178409999999999</v>
      </c>
      <c r="X1896">
        <v>0.9751746</v>
      </c>
      <c r="Y1896">
        <v>0.12653529999999999</v>
      </c>
      <c r="Z1896">
        <v>-1.263143E-3</v>
      </c>
      <c r="AA1896">
        <v>0.99196130000000005</v>
      </c>
      <c r="AB1896">
        <v>31</v>
      </c>
      <c r="AC1896">
        <v>-179.57570000000001</v>
      </c>
      <c r="AD1896">
        <v>6.0764379999999996</v>
      </c>
      <c r="AE1896">
        <v>23.964399999999898</v>
      </c>
      <c r="AF1896">
        <v>22.9469478395071</v>
      </c>
      <c r="AG1896">
        <v>6.0764379999999996</v>
      </c>
      <c r="AH1896">
        <v>179.50331559458601</v>
      </c>
      <c r="AI1896">
        <v>88.076836742723103</v>
      </c>
      <c r="AJ1896">
        <v>82.715060857726399</v>
      </c>
      <c r="AK1896">
        <v>181.06608137187499</v>
      </c>
      <c r="AL1896">
        <v>78.358691946584699</v>
      </c>
      <c r="AM1896">
        <v>95.342918891375803</v>
      </c>
      <c r="AN1896">
        <v>0.99999997568551502</v>
      </c>
    </row>
    <row r="1897" spans="1:40" x14ac:dyDescent="0.25">
      <c r="A1897" t="str">
        <f>"20190304155053885"</f>
        <v>20190304155053885</v>
      </c>
      <c r="B1897" t="str">
        <f>"1551685853878239"</f>
        <v>1551685853878239</v>
      </c>
      <c r="C1897" t="s">
        <v>40</v>
      </c>
      <c r="D1897">
        <v>4.7914870000000001</v>
      </c>
      <c r="E1897">
        <v>0.58817149999999996</v>
      </c>
      <c r="F1897" t="s">
        <v>71</v>
      </c>
      <c r="G1897">
        <v>-440.20030000000003</v>
      </c>
      <c r="H1897">
        <v>7.2317509999999903</v>
      </c>
      <c r="I1897">
        <v>310.73829999999998</v>
      </c>
      <c r="J1897">
        <v>-260.93770000000001</v>
      </c>
      <c r="K1897">
        <v>1.1102179999999999</v>
      </c>
      <c r="L1897">
        <v>284.81729999999999</v>
      </c>
      <c r="M1897">
        <v>-0.99993719999999997</v>
      </c>
      <c r="N1897">
        <v>-9.8593499999999994E-3</v>
      </c>
      <c r="O1897">
        <v>5.3631080000000001E-3</v>
      </c>
      <c r="P1897">
        <v>-0.97768379999999999</v>
      </c>
      <c r="Q1897">
        <v>0.19209209999999999</v>
      </c>
      <c r="R1897">
        <v>-8.5061849999999994E-2</v>
      </c>
      <c r="S1897">
        <v>-3.087189</v>
      </c>
      <c r="T1897">
        <v>0.10523929999999999</v>
      </c>
      <c r="U1897">
        <v>0.44564819999999999</v>
      </c>
      <c r="V1897">
        <v>-9.0352669999999996E-2</v>
      </c>
      <c r="W1897">
        <v>0.20169590000000001</v>
      </c>
      <c r="X1897">
        <v>0.97527180000000002</v>
      </c>
      <c r="Y1897">
        <v>0.13751250000000001</v>
      </c>
      <c r="Z1897">
        <v>-1.415141E-3</v>
      </c>
      <c r="AA1897">
        <v>0.99049900000000002</v>
      </c>
      <c r="AB1897">
        <v>31</v>
      </c>
      <c r="AC1897">
        <v>-179.26259999999999</v>
      </c>
      <c r="AD1897">
        <v>6.1215330000000003</v>
      </c>
      <c r="AE1897">
        <v>25.9209999999999</v>
      </c>
      <c r="AF1897">
        <v>24.930699311812699</v>
      </c>
      <c r="AG1897">
        <v>6.1215330000000003</v>
      </c>
      <c r="AH1897">
        <v>179.194364065559</v>
      </c>
      <c r="AI1897">
        <v>88.062106773364107</v>
      </c>
      <c r="AJ1897">
        <v>82.079476678019404</v>
      </c>
      <c r="AK1897">
        <v>181.02384662609001</v>
      </c>
      <c r="AL1897">
        <v>78.363851363883796</v>
      </c>
      <c r="AM1897">
        <v>95.292977662278204</v>
      </c>
      <c r="AN1897">
        <v>0.99999996246408795</v>
      </c>
    </row>
    <row r="1898" spans="1:40" x14ac:dyDescent="0.25">
      <c r="A1898" t="str">
        <f>"20190304155053906"</f>
        <v>20190304155053906</v>
      </c>
      <c r="B1898" t="str">
        <f>"1551685853898735"</f>
        <v>1551685853898735</v>
      </c>
      <c r="C1898" t="s">
        <v>40</v>
      </c>
      <c r="D1898">
        <v>4.8640619999999997</v>
      </c>
      <c r="E1898">
        <v>0.5890706</v>
      </c>
      <c r="F1898" t="s">
        <v>71</v>
      </c>
      <c r="G1898">
        <v>-440.20030000000003</v>
      </c>
      <c r="H1898">
        <v>7.3046490000000004</v>
      </c>
      <c r="I1898">
        <v>311.36360000000002</v>
      </c>
      <c r="J1898">
        <v>-261.23680000000002</v>
      </c>
      <c r="K1898">
        <v>1.110239</v>
      </c>
      <c r="L1898">
        <v>284.81880000000001</v>
      </c>
      <c r="M1898">
        <v>-0.99993770000000004</v>
      </c>
      <c r="N1898">
        <v>-9.8927189999999995E-3</v>
      </c>
      <c r="O1898">
        <v>5.1971259999999998E-3</v>
      </c>
      <c r="P1898">
        <v>-0.97747839999999997</v>
      </c>
      <c r="Q1898">
        <v>0.1928549</v>
      </c>
      <c r="R1898">
        <v>-8.5692130000000005E-2</v>
      </c>
      <c r="S1898">
        <v>-3.0872799999999998</v>
      </c>
      <c r="T1898">
        <v>0.10668130000000001</v>
      </c>
      <c r="U1898">
        <v>0.45718379999999997</v>
      </c>
      <c r="V1898">
        <v>-9.0826760000000006E-2</v>
      </c>
      <c r="W1898">
        <v>0.202486</v>
      </c>
      <c r="X1898">
        <v>0.97506400000000004</v>
      </c>
      <c r="Y1898">
        <v>0.141292</v>
      </c>
      <c r="Z1898">
        <v>-1.494731E-3</v>
      </c>
      <c r="AA1898">
        <v>0.98996689999999998</v>
      </c>
      <c r="AB1898">
        <v>31</v>
      </c>
      <c r="AC1898">
        <v>-178.96350000000001</v>
      </c>
      <c r="AD1898">
        <v>6.1944099999999898</v>
      </c>
      <c r="AE1898">
        <v>26.544799999999999</v>
      </c>
      <c r="AF1898">
        <v>25.584309045552502</v>
      </c>
      <c r="AG1898">
        <v>6.1944099999999898</v>
      </c>
      <c r="AH1898">
        <v>178.88934336333</v>
      </c>
      <c r="AI1898">
        <v>88.036769105576298</v>
      </c>
      <c r="AJ1898">
        <v>81.860893068960394</v>
      </c>
      <c r="AK1898">
        <v>180.81572042704099</v>
      </c>
      <c r="AL1898">
        <v>78.317627993562894</v>
      </c>
      <c r="AM1898">
        <v>95.321718883933002</v>
      </c>
      <c r="AN1898">
        <v>0.99999994231204703</v>
      </c>
    </row>
    <row r="1899" spans="1:40" x14ac:dyDescent="0.25">
      <c r="A1899" t="str">
        <f>"20190304155053929"</f>
        <v>20190304155053929</v>
      </c>
      <c r="B1899" t="str">
        <f>"1551685853918254"</f>
        <v>1551685853918254</v>
      </c>
      <c r="C1899" t="s">
        <v>40</v>
      </c>
      <c r="D1899">
        <v>4.862222</v>
      </c>
      <c r="E1899">
        <v>0.59018230000000005</v>
      </c>
      <c r="F1899" t="s">
        <v>71</v>
      </c>
      <c r="G1899">
        <v>-440.2004</v>
      </c>
      <c r="H1899">
        <v>7.4579069999999996</v>
      </c>
      <c r="I1899">
        <v>311.58870000000002</v>
      </c>
      <c r="J1899">
        <v>-261.55630000000002</v>
      </c>
      <c r="K1899">
        <v>1.11026</v>
      </c>
      <c r="L1899">
        <v>284.82029999999997</v>
      </c>
      <c r="M1899">
        <v>-0.99993829999999995</v>
      </c>
      <c r="N1899">
        <v>-9.9250620000000001E-3</v>
      </c>
      <c r="O1899">
        <v>5.0048000000000002E-3</v>
      </c>
      <c r="P1899">
        <v>-0.97739169999999997</v>
      </c>
      <c r="Q1899">
        <v>0.19319549999999999</v>
      </c>
      <c r="R1899">
        <v>-8.5915130000000006E-2</v>
      </c>
      <c r="S1899">
        <v>-3.0880130000000001</v>
      </c>
      <c r="T1899">
        <v>0.109529</v>
      </c>
      <c r="U1899">
        <v>0.46191409999999999</v>
      </c>
      <c r="V1899">
        <v>-9.0868500000000005E-2</v>
      </c>
      <c r="W1899">
        <v>0.20285439999999999</v>
      </c>
      <c r="X1899">
        <v>0.97498359999999995</v>
      </c>
      <c r="Y1899">
        <v>0.14292739999999901</v>
      </c>
      <c r="Z1899">
        <v>-1.5807250000000001E-3</v>
      </c>
      <c r="AA1899">
        <v>0.9897319</v>
      </c>
      <c r="AB1899">
        <v>31</v>
      </c>
      <c r="AC1899">
        <v>-178.64409999999901</v>
      </c>
      <c r="AD1899">
        <v>6.3476470000000003</v>
      </c>
      <c r="AE1899">
        <v>26.7684</v>
      </c>
      <c r="AF1899">
        <v>25.842032401177601</v>
      </c>
      <c r="AG1899">
        <v>6.3476470000000003</v>
      </c>
      <c r="AH1899">
        <v>178.555355106934</v>
      </c>
      <c r="AI1899">
        <v>87.984967929328405</v>
      </c>
      <c r="AJ1899">
        <v>81.764853962791307</v>
      </c>
      <c r="AK1899">
        <v>180.52733338312899</v>
      </c>
      <c r="AL1899">
        <v>78.296073652052499</v>
      </c>
      <c r="AM1899">
        <v>95.3245869835267</v>
      </c>
      <c r="AN1899">
        <v>1.0000000060802801</v>
      </c>
    </row>
    <row r="1900" spans="1:40" x14ac:dyDescent="0.25">
      <c r="A1900" t="str">
        <f>"20190304155053950"</f>
        <v>20190304155053950</v>
      </c>
      <c r="B1900" t="str">
        <f>"1551685853938754"</f>
        <v>1551685853938754</v>
      </c>
      <c r="C1900" t="s">
        <v>40</v>
      </c>
      <c r="D1900">
        <v>4.8815160000000004</v>
      </c>
      <c r="E1900">
        <v>0.59089449999999999</v>
      </c>
      <c r="F1900" t="s">
        <v>71</v>
      </c>
      <c r="G1900">
        <v>-440.2004</v>
      </c>
      <c r="H1900">
        <v>7.3302240000000003</v>
      </c>
      <c r="I1900">
        <v>311.9787</v>
      </c>
      <c r="J1900">
        <v>-261.84980000000002</v>
      </c>
      <c r="K1900">
        <v>1.110279</v>
      </c>
      <c r="L1900">
        <v>284.82150000000001</v>
      </c>
      <c r="M1900">
        <v>-0.99993900000000002</v>
      </c>
      <c r="N1900">
        <v>-9.9520900000000002E-3</v>
      </c>
      <c r="O1900">
        <v>4.8152669999999998E-3</v>
      </c>
      <c r="P1900">
        <v>-0.97729359999999998</v>
      </c>
      <c r="Q1900">
        <v>0.1934611</v>
      </c>
      <c r="R1900">
        <v>-8.6432780000000001E-2</v>
      </c>
      <c r="S1900">
        <v>-3.0893860000000002</v>
      </c>
      <c r="T1900">
        <v>0.1075653</v>
      </c>
      <c r="U1900">
        <v>0.46966550000000001</v>
      </c>
      <c r="V1900">
        <v>-9.1206499999999996E-2</v>
      </c>
      <c r="W1900">
        <v>0.20314209999999999</v>
      </c>
      <c r="X1900">
        <v>0.97489210000000004</v>
      </c>
      <c r="Y1900">
        <v>0.14547969999999999</v>
      </c>
      <c r="Z1900">
        <v>-1.57493E-3</v>
      </c>
      <c r="AA1900">
        <v>0.98936000000000002</v>
      </c>
      <c r="AB1900">
        <v>31</v>
      </c>
      <c r="AC1900">
        <v>-178.35059999999999</v>
      </c>
      <c r="AD1900">
        <v>6.2199450000000001</v>
      </c>
      <c r="AE1900">
        <v>27.1571999999999</v>
      </c>
      <c r="AF1900">
        <v>26.266813771707898</v>
      </c>
      <c r="AG1900">
        <v>6.2199450000000001</v>
      </c>
      <c r="AH1900">
        <v>178.26740262850501</v>
      </c>
      <c r="AI1900">
        <v>88.023026267703798</v>
      </c>
      <c r="AJ1900">
        <v>81.618063879218695</v>
      </c>
      <c r="AK1900">
        <v>180.29947326998499</v>
      </c>
      <c r="AL1900">
        <v>78.279238748066604</v>
      </c>
      <c r="AM1900">
        <v>95.3447768657729</v>
      </c>
      <c r="AN1900">
        <v>0.99999997253853401</v>
      </c>
    </row>
    <row r="1901" spans="1:40" x14ac:dyDescent="0.25">
      <c r="A1901" t="str">
        <f>"20190304155053972"</f>
        <v>20190304155053972</v>
      </c>
      <c r="B1901" t="str">
        <f>"1551685853969006"</f>
        <v>1551685853969006</v>
      </c>
      <c r="C1901" t="s">
        <v>40</v>
      </c>
      <c r="D1901">
        <v>4.9102560000000004</v>
      </c>
      <c r="E1901">
        <v>0.59167409999999998</v>
      </c>
      <c r="F1901" t="s">
        <v>71</v>
      </c>
      <c r="G1901">
        <v>-440.20030000000003</v>
      </c>
      <c r="H1901">
        <v>7.3221929999999897</v>
      </c>
      <c r="I1901">
        <v>312.1533</v>
      </c>
      <c r="J1901">
        <v>-262.154</v>
      </c>
      <c r="K1901">
        <v>1.1102860000000001</v>
      </c>
      <c r="L1901">
        <v>284.82279999999997</v>
      </c>
      <c r="M1901">
        <v>-0.99993969999999999</v>
      </c>
      <c r="N1901">
        <v>-9.9778190000000006E-3</v>
      </c>
      <c r="O1901">
        <v>4.6093169999999999E-3</v>
      </c>
      <c r="P1901">
        <v>-0.97716619999999998</v>
      </c>
      <c r="Q1901">
        <v>0.19381300000000001</v>
      </c>
      <c r="R1901">
        <v>-8.7081190000000003E-2</v>
      </c>
      <c r="S1901">
        <v>-3.0902400000000001</v>
      </c>
      <c r="T1901">
        <v>0.10763259999999999</v>
      </c>
      <c r="U1901">
        <v>0.47357179999999999</v>
      </c>
      <c r="V1901">
        <v>-9.1658519999999993E-2</v>
      </c>
      <c r="W1901">
        <v>0.203516</v>
      </c>
      <c r="X1901">
        <v>0.97477170000000002</v>
      </c>
      <c r="Y1901">
        <v>0.1468641</v>
      </c>
      <c r="Z1901">
        <v>-1.599652E-3</v>
      </c>
      <c r="AA1901">
        <v>0.98915540000000002</v>
      </c>
      <c r="AB1901">
        <v>31</v>
      </c>
      <c r="AC1901">
        <v>-178.0463</v>
      </c>
      <c r="AD1901">
        <v>6.2119069999999903</v>
      </c>
      <c r="AE1901">
        <v>27.330500000000001</v>
      </c>
      <c r="AF1901">
        <v>26.478008331445398</v>
      </c>
      <c r="AG1901">
        <v>6.2119069999999903</v>
      </c>
      <c r="AH1901">
        <v>177.95875399657999</v>
      </c>
      <c r="AI1901">
        <v>88.0225703426335</v>
      </c>
      <c r="AJ1901">
        <v>81.537198253449901</v>
      </c>
      <c r="AK1901">
        <v>180.024972817085</v>
      </c>
      <c r="AL1901">
        <v>78.257358606150603</v>
      </c>
      <c r="AM1901">
        <v>95.371770617109604</v>
      </c>
      <c r="AN1901">
        <v>0.99999995683273901</v>
      </c>
    </row>
    <row r="1902" spans="1:40" x14ac:dyDescent="0.25">
      <c r="A1902" t="str">
        <f>"20190304155053995"</f>
        <v>20190304155053995</v>
      </c>
      <c r="B1902" t="str">
        <f>"1551685853988527"</f>
        <v>1551685853988527</v>
      </c>
      <c r="C1902" t="s">
        <v>40</v>
      </c>
      <c r="D1902">
        <v>4.7908429999999997</v>
      </c>
      <c r="E1902">
        <v>0.59223689999999996</v>
      </c>
      <c r="F1902" t="s">
        <v>71</v>
      </c>
      <c r="G1902">
        <v>-440.20030000000003</v>
      </c>
      <c r="H1902">
        <v>7.2042960000000003</v>
      </c>
      <c r="I1902">
        <v>312.3168</v>
      </c>
      <c r="J1902">
        <v>-262.47239999999999</v>
      </c>
      <c r="K1902">
        <v>1.1102939999999999</v>
      </c>
      <c r="L1902">
        <v>284.82400000000001</v>
      </c>
      <c r="M1902">
        <v>-0.99994050000000001</v>
      </c>
      <c r="N1902">
        <v>-1.0002E-2</v>
      </c>
      <c r="O1902">
        <v>4.3865960000000004E-3</v>
      </c>
      <c r="P1902">
        <v>-0.97720680000000004</v>
      </c>
      <c r="Q1902">
        <v>0.19318289999999999</v>
      </c>
      <c r="R1902">
        <v>-8.8020349999999997E-2</v>
      </c>
      <c r="S1902">
        <v>-3.091675</v>
      </c>
      <c r="T1902">
        <v>0.1058192</v>
      </c>
      <c r="U1902">
        <v>0.47741699999999998</v>
      </c>
      <c r="V1902">
        <v>-9.2384330000000001E-2</v>
      </c>
      <c r="W1902">
        <v>0.20290820000000001</v>
      </c>
      <c r="X1902">
        <v>0.97482990000000003</v>
      </c>
      <c r="Y1902">
        <v>0.14821909999999999</v>
      </c>
      <c r="Z1902">
        <v>-1.582307E-3</v>
      </c>
      <c r="AA1902">
        <v>0.98895330000000004</v>
      </c>
      <c r="AB1902">
        <v>31</v>
      </c>
      <c r="AC1902">
        <v>-177.72790000000001</v>
      </c>
      <c r="AD1902">
        <v>6.0940019999999997</v>
      </c>
      <c r="AE1902">
        <v>27.4927999999999</v>
      </c>
      <c r="AF1902">
        <v>26.682239070161302</v>
      </c>
      <c r="AG1902">
        <v>6.0940019999999997</v>
      </c>
      <c r="AH1902">
        <v>177.642823147147</v>
      </c>
      <c r="AI1902">
        <v>88.057028070558403</v>
      </c>
      <c r="AJ1902">
        <v>81.457937185128401</v>
      </c>
      <c r="AK1902">
        <v>179.738842095585</v>
      </c>
      <c r="AL1902">
        <v>78.292925219478093</v>
      </c>
      <c r="AM1902">
        <v>95.413734601016898</v>
      </c>
      <c r="AN1902">
        <v>0.99999996799539803</v>
      </c>
    </row>
    <row r="1903" spans="1:40" x14ac:dyDescent="0.25">
      <c r="A1903" t="str">
        <f>"20190304155054017"</f>
        <v>20190304155054017</v>
      </c>
      <c r="B1903" t="str">
        <f>"1551685854008063"</f>
        <v>1551685854008063</v>
      </c>
      <c r="C1903" t="s">
        <v>40</v>
      </c>
      <c r="D1903">
        <v>4.883826</v>
      </c>
      <c r="E1903">
        <v>0.59253080000000002</v>
      </c>
      <c r="F1903" t="s">
        <v>71</v>
      </c>
      <c r="G1903">
        <v>-440.8734</v>
      </c>
      <c r="H1903">
        <v>6.9252449999999897</v>
      </c>
      <c r="I1903">
        <v>312.47179999999997</v>
      </c>
      <c r="J1903">
        <v>-262.7885</v>
      </c>
      <c r="K1903">
        <v>1.11029</v>
      </c>
      <c r="L1903">
        <v>284.8252</v>
      </c>
      <c r="M1903">
        <v>-0.99994110000000003</v>
      </c>
      <c r="N1903">
        <v>-1.0025890000000001E-2</v>
      </c>
      <c r="O1903">
        <v>4.1603289999999999E-3</v>
      </c>
      <c r="P1903">
        <v>-0.97735349999999999</v>
      </c>
      <c r="Q1903">
        <v>0.19193250000000001</v>
      </c>
      <c r="R1903">
        <v>-8.9117009999999997E-2</v>
      </c>
      <c r="S1903">
        <v>-3.0932010000000001</v>
      </c>
      <c r="T1903">
        <v>0.1008226</v>
      </c>
      <c r="U1903">
        <v>0.47937010000000002</v>
      </c>
      <c r="V1903">
        <v>-9.3262339999999999E-2</v>
      </c>
      <c r="W1903">
        <v>0.20168140000000001</v>
      </c>
      <c r="X1903">
        <v>0.97500089999999995</v>
      </c>
      <c r="Y1903">
        <v>0.14898510000000001</v>
      </c>
      <c r="Z1903">
        <v>-1.485395E-3</v>
      </c>
      <c r="AA1903">
        <v>0.98883829999999995</v>
      </c>
      <c r="AB1903">
        <v>31</v>
      </c>
      <c r="AC1903">
        <v>-178.0849</v>
      </c>
      <c r="AD1903">
        <v>5.8149549999999897</v>
      </c>
      <c r="AE1903">
        <v>27.6465999999999</v>
      </c>
      <c r="AF1903">
        <v>26.8774493813237</v>
      </c>
      <c r="AG1903">
        <v>5.8149549999999897</v>
      </c>
      <c r="AH1903">
        <v>178.01305254327201</v>
      </c>
      <c r="AI1903">
        <v>88.150000897398002</v>
      </c>
      <c r="AJ1903">
        <v>81.414001137856602</v>
      </c>
      <c r="AK1903">
        <v>180.124562074892</v>
      </c>
      <c r="AL1903">
        <v>78.364700063143502</v>
      </c>
      <c r="AM1903">
        <v>95.463923426655498</v>
      </c>
      <c r="AN1903">
        <v>1.00000000308452</v>
      </c>
    </row>
    <row r="1904" spans="1:40" x14ac:dyDescent="0.25">
      <c r="A1904" t="str">
        <f>"20190304155054039"</f>
        <v>20190304155054039</v>
      </c>
      <c r="B1904" t="str">
        <f>"1551685854028546"</f>
        <v>1551685854028546</v>
      </c>
      <c r="C1904" t="s">
        <v>40</v>
      </c>
      <c r="D1904">
        <v>4.8465049999999996</v>
      </c>
      <c r="E1904">
        <v>0.59292009999999995</v>
      </c>
      <c r="F1904" t="s">
        <v>71</v>
      </c>
      <c r="G1904">
        <v>-440.87329999999997</v>
      </c>
      <c r="H1904">
        <v>6.7202219999999997</v>
      </c>
      <c r="I1904">
        <v>312.36059999999998</v>
      </c>
      <c r="J1904">
        <v>-263.09410000000003</v>
      </c>
      <c r="K1904">
        <v>1.110284</v>
      </c>
      <c r="L1904">
        <v>284.82619999999997</v>
      </c>
      <c r="M1904">
        <v>-0.99994170000000004</v>
      </c>
      <c r="N1904">
        <v>-1.00517E-2</v>
      </c>
      <c r="O1904">
        <v>3.9377040000000002E-3</v>
      </c>
      <c r="P1904">
        <v>-0.97782829999999998</v>
      </c>
      <c r="Q1904">
        <v>0.18905739999999999</v>
      </c>
      <c r="R1904">
        <v>-9.0051389999999995E-2</v>
      </c>
      <c r="S1904">
        <v>-3.0939939999999999</v>
      </c>
      <c r="T1904">
        <v>9.746552E-2</v>
      </c>
      <c r="U1904">
        <v>0.47839359999999997</v>
      </c>
      <c r="V1904">
        <v>-9.3982010000000005E-2</v>
      </c>
      <c r="W1904">
        <v>0.19883490000000001</v>
      </c>
      <c r="X1904">
        <v>0.9755163</v>
      </c>
      <c r="Y1904">
        <v>0.1488661</v>
      </c>
      <c r="Z1904">
        <v>-1.4149879999999901E-3</v>
      </c>
      <c r="AA1904">
        <v>0.98885639999999997</v>
      </c>
      <c r="AB1904">
        <v>31</v>
      </c>
      <c r="AC1904">
        <v>-177.77919999999901</v>
      </c>
      <c r="AD1904">
        <v>5.6099379999999996</v>
      </c>
      <c r="AE1904">
        <v>27.534400000000002</v>
      </c>
      <c r="AF1904">
        <v>26.8080402465161</v>
      </c>
      <c r="AG1904">
        <v>5.6099379999999996</v>
      </c>
      <c r="AH1904">
        <v>177.713435051961</v>
      </c>
      <c r="AI1904">
        <v>88.212140048117504</v>
      </c>
      <c r="AJ1904">
        <v>81.421620504163002</v>
      </c>
      <c r="AK1904">
        <v>179.81158868157101</v>
      </c>
      <c r="AL1904">
        <v>78.531164497940395</v>
      </c>
      <c r="AM1904">
        <v>95.502937280310704</v>
      </c>
      <c r="AN1904">
        <v>0.99999999361366998</v>
      </c>
    </row>
    <row r="1905" spans="1:40" x14ac:dyDescent="0.25">
      <c r="A1905" t="str">
        <f>"20190304155054063"</f>
        <v>20190304155054063</v>
      </c>
      <c r="B1905" t="str">
        <f>"1551685854058798"</f>
        <v>1551685854058798</v>
      </c>
      <c r="C1905" t="s">
        <v>40</v>
      </c>
      <c r="D1905">
        <v>4.8820059999999996</v>
      </c>
      <c r="E1905">
        <v>0.59327010000000002</v>
      </c>
      <c r="F1905" t="s">
        <v>71</v>
      </c>
      <c r="G1905">
        <v>-440.87310000000002</v>
      </c>
      <c r="H1905">
        <v>6.2375530000000001</v>
      </c>
      <c r="I1905">
        <v>312.35509999999999</v>
      </c>
      <c r="J1905">
        <v>-263.41930000000002</v>
      </c>
      <c r="K1905">
        <v>1.110284</v>
      </c>
      <c r="L1905">
        <v>284.82729999999998</v>
      </c>
      <c r="M1905">
        <v>-0.99994240000000001</v>
      </c>
      <c r="N1905">
        <v>-1.007921E-2</v>
      </c>
      <c r="O1905">
        <v>3.6989219999999999E-3</v>
      </c>
      <c r="P1905">
        <v>-0.9782805</v>
      </c>
      <c r="Q1905">
        <v>0.18623890000000001</v>
      </c>
      <c r="R1905">
        <v>-9.1006870000000004E-2</v>
      </c>
      <c r="S1905">
        <v>-3.0949399999999998</v>
      </c>
      <c r="T1905">
        <v>8.9260339999999994E-2</v>
      </c>
      <c r="U1905">
        <v>0.47924800000000001</v>
      </c>
      <c r="V1905">
        <v>-9.4706490000000004E-2</v>
      </c>
      <c r="W1905">
        <v>0.19604750000000001</v>
      </c>
      <c r="X1905">
        <v>0.9760103</v>
      </c>
      <c r="Y1905">
        <v>0.1493322</v>
      </c>
      <c r="Z1905">
        <v>-1.2400079999999999E-3</v>
      </c>
      <c r="AA1905">
        <v>0.98878630000000001</v>
      </c>
      <c r="AB1905">
        <v>31</v>
      </c>
      <c r="AC1905">
        <v>-177.4538</v>
      </c>
      <c r="AD1905">
        <v>5.1272690000000001</v>
      </c>
      <c r="AE1905">
        <v>27.527799999999999</v>
      </c>
      <c r="AF1905">
        <v>26.849302511875401</v>
      </c>
      <c r="AG1905">
        <v>5.1272690000000001</v>
      </c>
      <c r="AH1905">
        <v>177.409786401178</v>
      </c>
      <c r="AI1905">
        <v>88.363200199184206</v>
      </c>
      <c r="AJ1905">
        <v>81.3941290114509</v>
      </c>
      <c r="AK1905">
        <v>179.50322070560199</v>
      </c>
      <c r="AL1905">
        <v>78.694078150976395</v>
      </c>
      <c r="AM1905">
        <v>95.542305309221703</v>
      </c>
      <c r="AN1905">
        <v>1.00000002360522</v>
      </c>
    </row>
    <row r="1906" spans="1:40" x14ac:dyDescent="0.25">
      <c r="A1906" t="str">
        <f>"20190304155054086"</f>
        <v>20190304155054086</v>
      </c>
      <c r="B1906" t="str">
        <f>"1551685854078319"</f>
        <v>1551685854078319</v>
      </c>
      <c r="C1906" t="s">
        <v>40</v>
      </c>
      <c r="D1906">
        <v>5.7008489999999998</v>
      </c>
      <c r="E1906">
        <v>0.59334809999999905</v>
      </c>
      <c r="F1906" t="s">
        <v>71</v>
      </c>
      <c r="G1906">
        <v>-440.19979999999998</v>
      </c>
      <c r="H1906">
        <v>5.7227169999999896</v>
      </c>
      <c r="I1906">
        <v>312.18529999999998</v>
      </c>
      <c r="J1906">
        <v>-263.73630000000003</v>
      </c>
      <c r="K1906">
        <v>1.1102909999999999</v>
      </c>
      <c r="L1906">
        <v>284.82819999999998</v>
      </c>
      <c r="M1906">
        <v>-0.99994300000000003</v>
      </c>
      <c r="N1906">
        <v>-1.0104200000000001E-2</v>
      </c>
      <c r="O1906">
        <v>3.4658829999999999E-3</v>
      </c>
      <c r="P1906">
        <v>-0.97839339999999997</v>
      </c>
      <c r="Q1906">
        <v>0.18530550000000001</v>
      </c>
      <c r="R1906">
        <v>-9.1697650000000006E-2</v>
      </c>
      <c r="S1906">
        <v>-3.0957949999999999</v>
      </c>
      <c r="T1906">
        <v>8.077347E-2</v>
      </c>
      <c r="U1906">
        <v>0.47909550000000001</v>
      </c>
      <c r="V1906">
        <v>-9.5170400000000002E-2</v>
      </c>
      <c r="W1906">
        <v>0.19513839999999999</v>
      </c>
      <c r="X1906">
        <v>0.9761474</v>
      </c>
      <c r="Y1906">
        <v>0.14948220000000001</v>
      </c>
      <c r="Z1906">
        <v>-1.0537910000000001E-3</v>
      </c>
      <c r="AA1906">
        <v>0.98876390000000003</v>
      </c>
      <c r="AB1906">
        <v>31</v>
      </c>
      <c r="AC1906">
        <v>-176.46349999999899</v>
      </c>
      <c r="AD1906">
        <v>4.6124259999999904</v>
      </c>
      <c r="AE1906">
        <v>27.357099999999999</v>
      </c>
      <c r="AF1906">
        <v>26.7274709501025</v>
      </c>
      <c r="AG1906">
        <v>4.6124259999999904</v>
      </c>
      <c r="AH1906">
        <v>176.43954671528499</v>
      </c>
      <c r="AI1906">
        <v>88.5194165727913</v>
      </c>
      <c r="AJ1906">
        <v>81.386191010858994</v>
      </c>
      <c r="AK1906">
        <v>178.512032709533</v>
      </c>
      <c r="AL1906">
        <v>78.7471921899253</v>
      </c>
      <c r="AM1906">
        <v>95.568506162545503</v>
      </c>
      <c r="AN1906">
        <v>1.00000007335873</v>
      </c>
    </row>
    <row r="1907" spans="1:40" x14ac:dyDescent="0.25">
      <c r="A1907" t="str">
        <f>"20190304155054108"</f>
        <v>20190304155054108</v>
      </c>
      <c r="B1907" t="str">
        <f>"1551685854098817"</f>
        <v>1551685854098817</v>
      </c>
      <c r="C1907" t="s">
        <v>40</v>
      </c>
      <c r="D1907">
        <v>4.8640720000000002</v>
      </c>
      <c r="E1907">
        <v>0.59358809999999995</v>
      </c>
      <c r="F1907" t="s">
        <v>71</v>
      </c>
      <c r="G1907">
        <v>-440.19979999999998</v>
      </c>
      <c r="H1907">
        <v>5.5663330000000002</v>
      </c>
      <c r="I1907">
        <v>312.05650000000003</v>
      </c>
      <c r="J1907">
        <v>-264.0471</v>
      </c>
      <c r="K1907">
        <v>1.110295</v>
      </c>
      <c r="L1907">
        <v>284.82909999999998</v>
      </c>
      <c r="M1907">
        <v>-0.99994360000000004</v>
      </c>
      <c r="N1907">
        <v>-1.012676E-2</v>
      </c>
      <c r="O1907">
        <v>3.2375160000000002E-3</v>
      </c>
      <c r="P1907">
        <v>-0.97820359999999995</v>
      </c>
      <c r="Q1907">
        <v>0.18614359999999999</v>
      </c>
      <c r="R1907">
        <v>-9.2024930000000005E-2</v>
      </c>
      <c r="S1907">
        <v>-3.0962519999999998</v>
      </c>
      <c r="T1907">
        <v>7.8186510000000001E-2</v>
      </c>
      <c r="U1907">
        <v>0.47775269999999997</v>
      </c>
      <c r="V1907">
        <v>-9.5275260000000001E-2</v>
      </c>
      <c r="W1907">
        <v>0.19599649999999999</v>
      </c>
      <c r="X1907">
        <v>0.97596510000000003</v>
      </c>
      <c r="Y1907">
        <v>0.1492695</v>
      </c>
      <c r="Z1907">
        <v>-9.9911029999999999E-4</v>
      </c>
      <c r="AA1907">
        <v>0.98879609999999996</v>
      </c>
      <c r="AB1907">
        <v>31</v>
      </c>
      <c r="AC1907">
        <v>-176.15269999999899</v>
      </c>
      <c r="AD1907">
        <v>4.4560379999999897</v>
      </c>
      <c r="AE1907">
        <v>27.227399999999999</v>
      </c>
      <c r="AF1907">
        <v>26.6402813135077</v>
      </c>
      <c r="AG1907">
        <v>4.4560379999999897</v>
      </c>
      <c r="AH1907">
        <v>176.12985291692999</v>
      </c>
      <c r="AI1907">
        <v>88.567033179652</v>
      </c>
      <c r="AJ1907">
        <v>81.398999651173895</v>
      </c>
      <c r="AK1907">
        <v>178.18890524289</v>
      </c>
      <c r="AL1907">
        <v>78.697057087404005</v>
      </c>
      <c r="AM1907">
        <v>95.575637706348701</v>
      </c>
      <c r="AN1907">
        <v>0.99999993979916202</v>
      </c>
    </row>
    <row r="1908" spans="1:40" x14ac:dyDescent="0.25">
      <c r="A1908" t="str">
        <f>"20190304155054130"</f>
        <v>20190304155054130</v>
      </c>
      <c r="B1908" t="str">
        <f>"1551685854118341"</f>
        <v>1551685854118341</v>
      </c>
      <c r="C1908" t="s">
        <v>40</v>
      </c>
      <c r="D1908">
        <v>4.7713570000000001</v>
      </c>
      <c r="E1908">
        <v>0.59359980000000001</v>
      </c>
      <c r="F1908" t="s">
        <v>71</v>
      </c>
      <c r="G1908">
        <v>-440.87299999999999</v>
      </c>
      <c r="H1908">
        <v>5.8034530000000002</v>
      </c>
      <c r="I1908">
        <v>312.15719999999999</v>
      </c>
      <c r="J1908">
        <v>-264.35489999999999</v>
      </c>
      <c r="K1908">
        <v>1.1103000000000001</v>
      </c>
      <c r="L1908">
        <v>284.82990000000001</v>
      </c>
      <c r="M1908">
        <v>-0.9999441</v>
      </c>
      <c r="N1908">
        <v>-1.014724E-2</v>
      </c>
      <c r="O1908">
        <v>3.0116710000000001E-3</v>
      </c>
      <c r="P1908">
        <v>-0.97799179999999997</v>
      </c>
      <c r="Q1908">
        <v>0.18709190000000001</v>
      </c>
      <c r="R1908">
        <v>-9.2352809999999994E-2</v>
      </c>
      <c r="S1908">
        <v>-3.096222</v>
      </c>
      <c r="T1908">
        <v>8.2177399999999901E-2</v>
      </c>
      <c r="U1908">
        <v>0.47851559999999999</v>
      </c>
      <c r="V1908">
        <v>-9.5382549999999997E-2</v>
      </c>
      <c r="W1908">
        <v>0.19696240000000001</v>
      </c>
      <c r="X1908">
        <v>0.97576019999999997</v>
      </c>
      <c r="Y1908">
        <v>0.14972820000000001</v>
      </c>
      <c r="Z1908">
        <v>-1.1008509999999999E-3</v>
      </c>
      <c r="AA1908">
        <v>0.98872660000000001</v>
      </c>
      <c r="AB1908">
        <v>31</v>
      </c>
      <c r="AC1908">
        <v>-176.5181</v>
      </c>
      <c r="AD1908">
        <v>4.6931529999999997</v>
      </c>
      <c r="AE1908">
        <v>27.327299999999902</v>
      </c>
      <c r="AF1908">
        <v>26.777048955912601</v>
      </c>
      <c r="AG1908">
        <v>4.6931529999999997</v>
      </c>
      <c r="AH1908">
        <v>176.477774254531</v>
      </c>
      <c r="AI1908">
        <v>88.493896669350093</v>
      </c>
      <c r="AJ1908">
        <v>81.372294338022499</v>
      </c>
      <c r="AK1908">
        <v>178.55934823386301</v>
      </c>
      <c r="AL1908">
        <v>78.640615524926204</v>
      </c>
      <c r="AM1908">
        <v>95.583041566465099</v>
      </c>
      <c r="AN1908">
        <v>0.99999999288115105</v>
      </c>
    </row>
    <row r="1909" spans="1:40" x14ac:dyDescent="0.25">
      <c r="A1909" t="str">
        <f>"20190304155054151"</f>
        <v>20190304155054151</v>
      </c>
      <c r="B1909" t="str">
        <f>"1551685854148591"</f>
        <v>1551685854148591</v>
      </c>
      <c r="C1909" t="s">
        <v>40</v>
      </c>
      <c r="D1909">
        <v>5.4545899999999996</v>
      </c>
      <c r="E1909">
        <v>0.59382809999999997</v>
      </c>
      <c r="F1909" t="s">
        <v>71</v>
      </c>
      <c r="G1909">
        <v>-440.87310000000002</v>
      </c>
      <c r="H1909">
        <v>6.1686620000000003</v>
      </c>
      <c r="I1909">
        <v>312.06479999999999</v>
      </c>
      <c r="J1909">
        <v>-264.6576</v>
      </c>
      <c r="K1909">
        <v>1.110298</v>
      </c>
      <c r="L1909">
        <v>284.8306</v>
      </c>
      <c r="M1909">
        <v>-0.99994459999999996</v>
      </c>
      <c r="N1909">
        <v>-1.016572E-2</v>
      </c>
      <c r="O1909">
        <v>2.7891840000000001E-3</v>
      </c>
      <c r="P1909">
        <v>-0.97795100000000001</v>
      </c>
      <c r="Q1909">
        <v>0.18722440000000001</v>
      </c>
      <c r="R1909">
        <v>-9.2515650000000005E-2</v>
      </c>
      <c r="S1909">
        <v>-3.0956730000000001</v>
      </c>
      <c r="T1909">
        <v>8.8710780000000003E-2</v>
      </c>
      <c r="U1909">
        <v>0.47763060000000002</v>
      </c>
      <c r="V1909">
        <v>-9.5327960000000003E-2</v>
      </c>
      <c r="W1909">
        <v>0.1971125</v>
      </c>
      <c r="X1909">
        <v>0.97573520000000002</v>
      </c>
      <c r="Y1909">
        <v>0.14969180000000001</v>
      </c>
      <c r="Z1909">
        <v>-1.2586940000000001E-3</v>
      </c>
      <c r="AA1909">
        <v>0.9887319</v>
      </c>
      <c r="AB1909">
        <v>31</v>
      </c>
      <c r="AC1909">
        <v>-176.21549999999999</v>
      </c>
      <c r="AD1909">
        <v>5.0583640000000001</v>
      </c>
      <c r="AE1909">
        <v>27.234199999999898</v>
      </c>
      <c r="AF1909">
        <v>26.721066543175301</v>
      </c>
      <c r="AG1909">
        <v>5.0583640000000001</v>
      </c>
      <c r="AH1909">
        <v>176.14901734053799</v>
      </c>
      <c r="AI1909">
        <v>88.373719137431195</v>
      </c>
      <c r="AJ1909">
        <v>81.374233831462504</v>
      </c>
      <c r="AK1909">
        <v>178.23601979846401</v>
      </c>
      <c r="AL1909">
        <v>78.6318431861297</v>
      </c>
      <c r="AM1909">
        <v>95.5800084758732</v>
      </c>
      <c r="AN1909">
        <v>0.999999969066525</v>
      </c>
    </row>
    <row r="1910" spans="1:40" x14ac:dyDescent="0.25">
      <c r="A1910" t="str">
        <f>"20190304155054172"</f>
        <v>20190304155054172</v>
      </c>
      <c r="B1910" t="str">
        <f>"1551685854169087"</f>
        <v>1551685854169087</v>
      </c>
      <c r="C1910" t="s">
        <v>40</v>
      </c>
      <c r="D1910">
        <v>4.8444190000000003</v>
      </c>
      <c r="E1910">
        <v>0.59410529999999995</v>
      </c>
      <c r="F1910" t="s">
        <v>71</v>
      </c>
      <c r="G1910">
        <v>-440.8732</v>
      </c>
      <c r="H1910">
        <v>6.3534269999999999</v>
      </c>
      <c r="I1910">
        <v>312.08980000000003</v>
      </c>
      <c r="J1910">
        <v>-264.96069999999997</v>
      </c>
      <c r="K1910">
        <v>1.1102909999999999</v>
      </c>
      <c r="L1910">
        <v>284.83120000000002</v>
      </c>
      <c r="M1910">
        <v>-0.99994499999999997</v>
      </c>
      <c r="N1910">
        <v>-1.018262E-2</v>
      </c>
      <c r="O1910">
        <v>2.566352E-3</v>
      </c>
      <c r="P1910">
        <v>-0.97802999999999995</v>
      </c>
      <c r="Q1910">
        <v>0.1869236</v>
      </c>
      <c r="R1910">
        <v>-9.2288560000000006E-2</v>
      </c>
      <c r="S1910">
        <v>-3.0953059999999999</v>
      </c>
      <c r="T1910">
        <v>9.2098120000000006E-2</v>
      </c>
      <c r="U1910">
        <v>0.47882079999999999</v>
      </c>
      <c r="V1910">
        <v>-9.4883549999999997E-2</v>
      </c>
      <c r="W1910">
        <v>0.19682920000000001</v>
      </c>
      <c r="X1910">
        <v>0.97583569999999997</v>
      </c>
      <c r="Y1910">
        <v>0.15029709999999999</v>
      </c>
      <c r="Z1910">
        <v>-1.3505570000000001E-3</v>
      </c>
      <c r="AA1910">
        <v>0.98863999999999996</v>
      </c>
      <c r="AB1910">
        <v>31</v>
      </c>
      <c r="AC1910">
        <v>-175.91249999999999</v>
      </c>
      <c r="AD1910">
        <v>5.2431359999999998</v>
      </c>
      <c r="AE1910">
        <v>27.258600000000001</v>
      </c>
      <c r="AF1910">
        <v>26.783797756398499</v>
      </c>
      <c r="AG1910">
        <v>5.2431359999999998</v>
      </c>
      <c r="AH1910">
        <v>175.829342322131</v>
      </c>
      <c r="AI1910">
        <v>88.311443702848294</v>
      </c>
      <c r="AJ1910">
        <v>81.338808765525897</v>
      </c>
      <c r="AK1910">
        <v>177.934875498883</v>
      </c>
      <c r="AL1910">
        <v>78.648399413124395</v>
      </c>
      <c r="AM1910">
        <v>95.553589598806099</v>
      </c>
      <c r="AN1910">
        <v>0.99999996771386501</v>
      </c>
    </row>
    <row r="1911" spans="1:40" x14ac:dyDescent="0.25">
      <c r="A1911" t="str">
        <f>"20190304155054197"</f>
        <v>20190304155054197</v>
      </c>
      <c r="B1911" t="str">
        <f>"1551685854188606"</f>
        <v>1551685854188606</v>
      </c>
      <c r="C1911" t="s">
        <v>40</v>
      </c>
      <c r="D1911">
        <v>4.9542739999999998</v>
      </c>
      <c r="E1911">
        <v>0.59401780000000004</v>
      </c>
      <c r="F1911" t="s">
        <v>71</v>
      </c>
      <c r="G1911">
        <v>-440.8732</v>
      </c>
      <c r="H1911">
        <v>6.4241640000000002</v>
      </c>
      <c r="I1911">
        <v>312.21469999999999</v>
      </c>
      <c r="J1911">
        <v>-265.3021</v>
      </c>
      <c r="K1911">
        <v>1.1102970000000001</v>
      </c>
      <c r="L1911">
        <v>284.83179999999999</v>
      </c>
      <c r="M1911">
        <v>-0.99994539999999998</v>
      </c>
      <c r="N1911">
        <v>-1.019983E-2</v>
      </c>
      <c r="O1911">
        <v>2.3152089999999999E-3</v>
      </c>
      <c r="P1911">
        <v>-0.97815110000000005</v>
      </c>
      <c r="Q1911">
        <v>0.18657650000000001</v>
      </c>
      <c r="R1911">
        <v>-9.1702820000000004E-2</v>
      </c>
      <c r="S1911">
        <v>-3.0949710000000001</v>
      </c>
      <c r="T1911">
        <v>9.3491439999999995E-2</v>
      </c>
      <c r="U1911">
        <v>0.48178100000000001</v>
      </c>
      <c r="V1911">
        <v>-9.4052739999999996E-2</v>
      </c>
      <c r="W1911">
        <v>0.1965006</v>
      </c>
      <c r="X1911">
        <v>0.97598240000000003</v>
      </c>
      <c r="Y1911">
        <v>0.1514827</v>
      </c>
      <c r="Z1911">
        <v>-1.403482E-3</v>
      </c>
      <c r="AA1911">
        <v>0.98845890000000003</v>
      </c>
      <c r="AB1911">
        <v>31</v>
      </c>
      <c r="AC1911">
        <v>-175.5711</v>
      </c>
      <c r="AD1911">
        <v>5.3138670000000001</v>
      </c>
      <c r="AE1911">
        <v>27.382899999999999</v>
      </c>
      <c r="AF1911">
        <v>26.952218654292398</v>
      </c>
      <c r="AG1911">
        <v>5.3138670000000001</v>
      </c>
      <c r="AH1911">
        <v>175.47710271871901</v>
      </c>
      <c r="AI1911">
        <v>88.285569181963197</v>
      </c>
      <c r="AJ1911">
        <v>81.267955236220402</v>
      </c>
      <c r="AK1911">
        <v>177.61439370568601</v>
      </c>
      <c r="AL1911">
        <v>78.667602466232196</v>
      </c>
      <c r="AM1911">
        <v>95.504439442873803</v>
      </c>
      <c r="AN1911">
        <v>1.00000002440581</v>
      </c>
    </row>
    <row r="1912" spans="1:40" x14ac:dyDescent="0.25">
      <c r="A1912" t="str">
        <f>"20190304155054210"</f>
        <v>20190304155054210</v>
      </c>
      <c r="B1912" t="str">
        <f>"1551685854198367"</f>
        <v>1551685854198367</v>
      </c>
      <c r="C1912" t="s">
        <v>40</v>
      </c>
      <c r="D1912">
        <v>4.8866930000000002</v>
      </c>
      <c r="E1912">
        <v>0.54580410000000001</v>
      </c>
      <c r="F1912" t="s">
        <v>71</v>
      </c>
      <c r="G1912">
        <v>-440.87310000000002</v>
      </c>
      <c r="H1912">
        <v>6.2071290000000001</v>
      </c>
      <c r="I1912">
        <v>312.19920000000002</v>
      </c>
      <c r="J1912">
        <v>-265.48419999999999</v>
      </c>
      <c r="K1912">
        <v>1.1102959999999999</v>
      </c>
      <c r="L1912">
        <v>284.83199999999999</v>
      </c>
      <c r="M1912">
        <v>-0.99994559999999999</v>
      </c>
      <c r="N1912">
        <v>-1.020836E-2</v>
      </c>
      <c r="O1912">
        <v>2.181115E-3</v>
      </c>
      <c r="P1912">
        <v>-0.97823780000000005</v>
      </c>
      <c r="Q1912">
        <v>0.1862917</v>
      </c>
      <c r="R1912">
        <v>-9.1358449999999994E-2</v>
      </c>
      <c r="S1912">
        <v>-3.0950929999999999</v>
      </c>
      <c r="T1912">
        <v>8.9850780000000005E-2</v>
      </c>
      <c r="U1912">
        <v>0.4824524</v>
      </c>
      <c r="V1912">
        <v>-9.3576759999999995E-2</v>
      </c>
      <c r="W1912">
        <v>0.1962256</v>
      </c>
      <c r="X1912">
        <v>0.97608349999999999</v>
      </c>
      <c r="Y1912">
        <v>0.1518226</v>
      </c>
      <c r="Z1912">
        <v>-1.325279E-3</v>
      </c>
      <c r="AA1912">
        <v>0.98840689999999998</v>
      </c>
      <c r="AB1912">
        <v>31</v>
      </c>
      <c r="AC1912">
        <v>-175.38890000000001</v>
      </c>
      <c r="AD1912">
        <v>5.0968330000000002</v>
      </c>
      <c r="AE1912">
        <v>27.3672</v>
      </c>
      <c r="AF1912">
        <v>26.9623433028455</v>
      </c>
      <c r="AG1912">
        <v>5.0968330000000002</v>
      </c>
      <c r="AH1912">
        <v>175.30365281016199</v>
      </c>
      <c r="AI1912">
        <v>88.353977969955096</v>
      </c>
      <c r="AJ1912">
        <v>81.256216211967498</v>
      </c>
      <c r="AK1912">
        <v>177.438204318</v>
      </c>
      <c r="AL1912">
        <v>78.683671917465304</v>
      </c>
      <c r="AM1912">
        <v>95.476188681287795</v>
      </c>
      <c r="AN1912">
        <v>1.0000000475398501</v>
      </c>
    </row>
    <row r="1913" spans="1:40" x14ac:dyDescent="0.25">
      <c r="A1913" t="str">
        <f>"20190304155054229"</f>
        <v>20190304155054229</v>
      </c>
      <c r="B1913" t="str">
        <f>"1551685854218866"</f>
        <v>1551685854218866</v>
      </c>
      <c r="C1913" t="s">
        <v>40</v>
      </c>
      <c r="D1913">
        <v>4.986192</v>
      </c>
      <c r="E1913">
        <v>0.54270600000000002</v>
      </c>
      <c r="F1913" t="s">
        <v>72</v>
      </c>
      <c r="G1913">
        <v>-405.21879999999999</v>
      </c>
      <c r="H1913" s="1">
        <v>5.0810019999999998E-6</v>
      </c>
      <c r="I1913">
        <v>289.48950000000002</v>
      </c>
      <c r="J1913">
        <v>-265.7595</v>
      </c>
      <c r="K1913">
        <v>1.1102959999999999</v>
      </c>
      <c r="L1913">
        <v>284.83249999999998</v>
      </c>
      <c r="M1913">
        <v>-0.99994590000000005</v>
      </c>
      <c r="N1913">
        <v>-1.022028E-2</v>
      </c>
      <c r="O1913">
        <v>1.9789909999999998E-3</v>
      </c>
      <c r="P1913">
        <v>-0.97827909999999996</v>
      </c>
      <c r="Q1913">
        <v>0.18627869999999999</v>
      </c>
      <c r="R1913">
        <v>-9.0941729999999998E-2</v>
      </c>
      <c r="S1913">
        <v>-3.0809630000000001</v>
      </c>
      <c r="T1913">
        <v>-2.4480459999999999E-2</v>
      </c>
      <c r="U1913">
        <v>0.1026917</v>
      </c>
      <c r="V1913">
        <v>-9.2962879999999998E-2</v>
      </c>
      <c r="W1913">
        <v>0.1962247</v>
      </c>
      <c r="X1913">
        <v>0.97614230000000002</v>
      </c>
      <c r="Y1913">
        <v>3.1332209999999999E-2</v>
      </c>
      <c r="Z1913">
        <v>2.891096E-4</v>
      </c>
      <c r="AA1913">
        <v>0.99950899999999998</v>
      </c>
      <c r="AB1913">
        <v>31</v>
      </c>
      <c r="AC1913">
        <v>-139.45929999999899</v>
      </c>
      <c r="AD1913">
        <v>-1.1102909189979999</v>
      </c>
      <c r="AE1913">
        <v>4.6570000000000302</v>
      </c>
      <c r="AF1913">
        <v>4.3807104318468504</v>
      </c>
      <c r="AG1913">
        <v>-1.1102909189979999</v>
      </c>
      <c r="AH1913">
        <v>139.459413894797</v>
      </c>
      <c r="AI1913">
        <v>90.455919597364499</v>
      </c>
      <c r="AJ1913">
        <v>88.200811930772701</v>
      </c>
      <c r="AK1913">
        <v>139.53261802780301</v>
      </c>
      <c r="AL1913">
        <v>78.683724074460997</v>
      </c>
      <c r="AM1913">
        <v>95.440154423045797</v>
      </c>
      <c r="AN1913">
        <v>1.0000000098986299</v>
      </c>
    </row>
    <row r="1914" spans="1:40" x14ac:dyDescent="0.25">
      <c r="A1914" t="str">
        <f>"20190304155054243"</f>
        <v>20190304155054243</v>
      </c>
      <c r="B1914" t="str">
        <f>"1551685854238383"</f>
        <v>1551685854238383</v>
      </c>
      <c r="C1914" t="s">
        <v>40</v>
      </c>
      <c r="D1914">
        <v>4.9993179999999997</v>
      </c>
      <c r="E1914">
        <v>0.54035159999999904</v>
      </c>
      <c r="F1914" t="s">
        <v>70</v>
      </c>
      <c r="G1914">
        <v>-358.99970000000002</v>
      </c>
      <c r="H1914" s="1">
        <v>3.2523850000000002E-6</v>
      </c>
      <c r="I1914">
        <v>287.23</v>
      </c>
      <c r="J1914">
        <v>-265.94569999999999</v>
      </c>
      <c r="K1914">
        <v>1.1102959999999999</v>
      </c>
      <c r="L1914">
        <v>284.83269999999999</v>
      </c>
      <c r="M1914">
        <v>-0.99994609999999995</v>
      </c>
      <c r="N1914">
        <v>-1.0227740000000001E-2</v>
      </c>
      <c r="O1914">
        <v>1.842516E-3</v>
      </c>
      <c r="P1914">
        <v>-0.97818959999999999</v>
      </c>
      <c r="Q1914">
        <v>0.1866778</v>
      </c>
      <c r="R1914">
        <v>-9.1084769999999995E-2</v>
      </c>
      <c r="S1914">
        <v>-3.0809630000000001</v>
      </c>
      <c r="T1914">
        <v>-3.6687730000000002E-2</v>
      </c>
      <c r="U1914">
        <v>7.9223630000000003E-2</v>
      </c>
      <c r="V1914">
        <v>-9.2972379999999993E-2</v>
      </c>
      <c r="W1914">
        <v>0.19663050000000001</v>
      </c>
      <c r="X1914">
        <v>0.97605969999999997</v>
      </c>
      <c r="Y1914">
        <v>2.386023E-2</v>
      </c>
      <c r="Z1914">
        <v>2.6098959999999998E-4</v>
      </c>
      <c r="AA1914">
        <v>0.99971529999999997</v>
      </c>
      <c r="AB1914">
        <v>32</v>
      </c>
      <c r="AC1914">
        <v>-93.054000000000002</v>
      </c>
      <c r="AD1914">
        <v>-1.110292747615</v>
      </c>
      <c r="AE1914">
        <v>2.39730000000002</v>
      </c>
      <c r="AF1914">
        <v>2.2255168688999101</v>
      </c>
      <c r="AG1914">
        <v>-1.110292747615</v>
      </c>
      <c r="AH1914">
        <v>93.045021704763002</v>
      </c>
      <c r="AI1914">
        <v>90.683474314425595</v>
      </c>
      <c r="AJ1914">
        <v>88.629820134857695</v>
      </c>
      <c r="AK1914">
        <v>93.078255996548293</v>
      </c>
      <c r="AL1914">
        <v>78.660011113768206</v>
      </c>
      <c r="AM1914">
        <v>95.441164685850296</v>
      </c>
      <c r="AN1914">
        <v>0.99999997746860103</v>
      </c>
    </row>
    <row r="1915" spans="1:40" x14ac:dyDescent="0.25">
      <c r="A1915" t="str">
        <f>"20190304155054263"</f>
        <v>20190304155054263</v>
      </c>
      <c r="B1915" t="str">
        <f>"1551685854258879"</f>
        <v>1551685854258879</v>
      </c>
      <c r="C1915" t="s">
        <v>40</v>
      </c>
      <c r="D1915">
        <v>5.1096029999999999</v>
      </c>
      <c r="E1915">
        <v>0.54103669999999904</v>
      </c>
      <c r="F1915" t="s">
        <v>70</v>
      </c>
      <c r="G1915">
        <v>-353.85379999999998</v>
      </c>
      <c r="H1915" s="1">
        <v>5.1400270000000002E-7</v>
      </c>
      <c r="I1915">
        <v>286.54610000000002</v>
      </c>
      <c r="J1915">
        <v>-266.23439999999999</v>
      </c>
      <c r="K1915">
        <v>1.1102939999999999</v>
      </c>
      <c r="L1915">
        <v>284.83300000000003</v>
      </c>
      <c r="M1915">
        <v>-0.99994620000000001</v>
      </c>
      <c r="N1915">
        <v>-1.023847E-2</v>
      </c>
      <c r="O1915">
        <v>1.630919E-3</v>
      </c>
      <c r="P1915">
        <v>-0.97811910000000002</v>
      </c>
      <c r="Q1915">
        <v>0.18715000000000001</v>
      </c>
      <c r="R1915">
        <v>-9.0874300000000005E-2</v>
      </c>
      <c r="S1915">
        <v>-3.079895</v>
      </c>
      <c r="T1915">
        <v>-3.8899660000000003E-2</v>
      </c>
      <c r="U1915">
        <v>6.0028079999999998E-2</v>
      </c>
      <c r="V1915">
        <v>-9.255555E-2</v>
      </c>
      <c r="W1915">
        <v>0.1971125</v>
      </c>
      <c r="X1915">
        <v>0.97600209999999998</v>
      </c>
      <c r="Y1915">
        <v>1.7853310000000001E-2</v>
      </c>
      <c r="Z1915">
        <v>2.00244E-4</v>
      </c>
      <c r="AA1915">
        <v>0.99984059999999997</v>
      </c>
      <c r="AB1915">
        <v>32</v>
      </c>
      <c r="AC1915">
        <v>-87.619399999999899</v>
      </c>
      <c r="AD1915">
        <v>-1.1102934859972999</v>
      </c>
      <c r="AE1915">
        <v>1.71310000000005</v>
      </c>
      <c r="AF1915">
        <v>1.56993808403744</v>
      </c>
      <c r="AG1915">
        <v>-1.1102934859972999</v>
      </c>
      <c r="AH1915">
        <v>87.608015344610806</v>
      </c>
      <c r="AI1915">
        <v>90.725978265830605</v>
      </c>
      <c r="AJ1915">
        <v>88.973367913257704</v>
      </c>
      <c r="AK1915">
        <v>87.629115080744299</v>
      </c>
      <c r="AL1915">
        <v>78.631843350650996</v>
      </c>
      <c r="AM1915">
        <v>95.4172331216092</v>
      </c>
      <c r="AN1915">
        <v>0.99999998334823104</v>
      </c>
    </row>
    <row r="1916" spans="1:40" x14ac:dyDescent="0.25">
      <c r="A1916" t="str">
        <f>"20190304155054288"</f>
        <v>20190304155054288</v>
      </c>
      <c r="B1916" t="str">
        <f>"1551685854278398"</f>
        <v>1551685854278398</v>
      </c>
      <c r="C1916" t="s">
        <v>40</v>
      </c>
      <c r="D1916">
        <v>4.9423779999999997</v>
      </c>
      <c r="E1916">
        <v>0.54054559999999996</v>
      </c>
      <c r="F1916" t="s">
        <v>70</v>
      </c>
      <c r="G1916">
        <v>-343.62860000000001</v>
      </c>
      <c r="H1916" s="1">
        <v>3.9415459999999998E-7</v>
      </c>
      <c r="I1916">
        <v>286.50299999999999</v>
      </c>
      <c r="J1916">
        <v>-266.56810000000002</v>
      </c>
      <c r="K1916">
        <v>1.110298</v>
      </c>
      <c r="L1916">
        <v>284.83330000000001</v>
      </c>
      <c r="M1916">
        <v>-0.99994660000000002</v>
      </c>
      <c r="N1916">
        <v>-1.024973E-2</v>
      </c>
      <c r="O1916">
        <v>1.3867129999999999E-3</v>
      </c>
      <c r="P1916">
        <v>-0.97822960000000003</v>
      </c>
      <c r="Q1916">
        <v>0.1866527</v>
      </c>
      <c r="R1916">
        <v>-9.0707659999999996E-2</v>
      </c>
      <c r="S1916">
        <v>-3.0817570000000001</v>
      </c>
      <c r="T1916">
        <v>-4.421079E-2</v>
      </c>
      <c r="U1916">
        <v>6.6497799999999996E-2</v>
      </c>
      <c r="V1916">
        <v>-9.2150460000000003E-2</v>
      </c>
      <c r="W1916">
        <v>0.19662769999999999</v>
      </c>
      <c r="X1916">
        <v>0.97613819999999996</v>
      </c>
      <c r="Y1916">
        <v>2.0182840000000001E-2</v>
      </c>
      <c r="Z1916">
        <v>2.4252670000000001E-4</v>
      </c>
      <c r="AA1916">
        <v>0.99979629999999997</v>
      </c>
      <c r="AB1916">
        <v>32</v>
      </c>
      <c r="AC1916">
        <v>-77.060499999999905</v>
      </c>
      <c r="AD1916">
        <v>-1.1102976058453999</v>
      </c>
      <c r="AE1916">
        <v>1.66969999999997</v>
      </c>
      <c r="AF1916">
        <v>1.5625077780899701</v>
      </c>
      <c r="AG1916">
        <v>-1.1102976058453999</v>
      </c>
      <c r="AH1916">
        <v>77.046754463803694</v>
      </c>
      <c r="AI1916">
        <v>90.825445395086106</v>
      </c>
      <c r="AJ1916">
        <v>88.838201147457099</v>
      </c>
      <c r="AK1916">
        <v>77.070594682640106</v>
      </c>
      <c r="AL1916">
        <v>78.660174680171906</v>
      </c>
      <c r="AM1916">
        <v>95.3929159353724</v>
      </c>
      <c r="AN1916">
        <v>0.99999997259236995</v>
      </c>
    </row>
    <row r="1917" spans="1:40" x14ac:dyDescent="0.25">
      <c r="A1917" t="str">
        <f>"20190304155054310"</f>
        <v>20190304155054310</v>
      </c>
      <c r="B1917" t="str">
        <f>"1551685854298895"</f>
        <v>1551685854298895</v>
      </c>
      <c r="C1917" t="s">
        <v>40</v>
      </c>
      <c r="D1917">
        <v>4.8291729999999999</v>
      </c>
      <c r="E1917">
        <v>0.54104110000000005</v>
      </c>
      <c r="F1917" t="s">
        <v>70</v>
      </c>
      <c r="G1917">
        <v>-341.7407</v>
      </c>
      <c r="H1917" s="1">
        <v>-6.104678E-7</v>
      </c>
      <c r="I1917">
        <v>286.36779999999999</v>
      </c>
      <c r="J1917">
        <v>-266.88029999999998</v>
      </c>
      <c r="K1917">
        <v>1.1103000000000001</v>
      </c>
      <c r="L1917">
        <v>284.83350000000002</v>
      </c>
      <c r="M1917">
        <v>-0.99994669999999997</v>
      </c>
      <c r="N1917">
        <v>-1.0259010000000001E-2</v>
      </c>
      <c r="O1917">
        <v>1.1581969999999999E-3</v>
      </c>
      <c r="P1917">
        <v>-0.978163</v>
      </c>
      <c r="Q1917">
        <v>0.18679100000000001</v>
      </c>
      <c r="R1917">
        <v>-9.1140360000000004E-2</v>
      </c>
      <c r="S1917">
        <v>-3.0812680000000001</v>
      </c>
      <c r="T1917">
        <v>-4.5510290000000002E-2</v>
      </c>
      <c r="U1917">
        <v>6.2896729999999998E-2</v>
      </c>
      <c r="V1917">
        <v>-9.2359930000000007E-2</v>
      </c>
      <c r="W1917">
        <v>0.19677449999999999</v>
      </c>
      <c r="X1917">
        <v>0.97608879999999998</v>
      </c>
      <c r="Y1917">
        <v>1.924679E-2</v>
      </c>
      <c r="Z1917">
        <v>2.3564039999999999E-4</v>
      </c>
      <c r="AA1917">
        <v>0.99981469999999995</v>
      </c>
      <c r="AB1917">
        <v>32</v>
      </c>
      <c r="AC1917">
        <v>-74.860399999999998</v>
      </c>
      <c r="AD1917">
        <v>-1.1103006104677999</v>
      </c>
      <c r="AE1917">
        <v>1.53429999999997</v>
      </c>
      <c r="AF1917">
        <v>1.4472730839464201</v>
      </c>
      <c r="AG1917">
        <v>-1.1103006104677999</v>
      </c>
      <c r="AH1917">
        <v>74.8456695029179</v>
      </c>
      <c r="AI1917">
        <v>90.849735010953097</v>
      </c>
      <c r="AJ1917">
        <v>88.892223061566497</v>
      </c>
      <c r="AK1917">
        <v>74.867894388483705</v>
      </c>
      <c r="AL1917">
        <v>78.651595838088298</v>
      </c>
      <c r="AM1917">
        <v>95.405374148586603</v>
      </c>
      <c r="AN1917">
        <v>0.99999995300264599</v>
      </c>
    </row>
    <row r="1918" spans="1:40" x14ac:dyDescent="0.25">
      <c r="A1918" t="str">
        <f>"20190304155054331"</f>
        <v>20190304155054331</v>
      </c>
      <c r="B1918" t="str">
        <f>"1551685854328175"</f>
        <v>1551685854328175</v>
      </c>
      <c r="C1918" t="s">
        <v>40</v>
      </c>
      <c r="D1918">
        <v>4.8846809999999996</v>
      </c>
      <c r="E1918">
        <v>0.54036049999999902</v>
      </c>
      <c r="F1918" t="s">
        <v>70</v>
      </c>
      <c r="G1918">
        <v>-351.35449999999997</v>
      </c>
      <c r="H1918" s="1">
        <v>-8.1599549999999998E-7</v>
      </c>
      <c r="I1918">
        <v>286.6259</v>
      </c>
      <c r="J1918">
        <v>-267.1884</v>
      </c>
      <c r="K1918">
        <v>1.110309</v>
      </c>
      <c r="L1918">
        <v>284.83359999999999</v>
      </c>
      <c r="M1918">
        <v>-0.99994689999999997</v>
      </c>
      <c r="N1918">
        <v>-1.026766E-2</v>
      </c>
      <c r="O1918">
        <v>9.3325910000000001E-4</v>
      </c>
      <c r="P1918">
        <v>-0.97777159999999996</v>
      </c>
      <c r="Q1918">
        <v>0.1884248</v>
      </c>
      <c r="R1918">
        <v>-9.1972529999999997E-2</v>
      </c>
      <c r="S1918">
        <v>-3.0807799999999999</v>
      </c>
      <c r="T1918">
        <v>-4.0492769999999997E-2</v>
      </c>
      <c r="U1918">
        <v>6.536865E-2</v>
      </c>
      <c r="V1918">
        <v>-9.2972760000000002E-2</v>
      </c>
      <c r="W1918">
        <v>0.19841239999999999</v>
      </c>
      <c r="X1918">
        <v>0.97569899999999998</v>
      </c>
      <c r="Y1918">
        <v>2.0277219999999999E-2</v>
      </c>
      <c r="Z1918">
        <v>2.3467710000000001E-4</v>
      </c>
      <c r="AA1918">
        <v>0.99979439999999997</v>
      </c>
      <c r="AB1918">
        <v>32</v>
      </c>
      <c r="AC1918">
        <v>-84.166099999999901</v>
      </c>
      <c r="AD1918">
        <v>-1.1103098159955</v>
      </c>
      <c r="AE1918">
        <v>1.79230000000001</v>
      </c>
      <c r="AF1918">
        <v>1.71344825444806</v>
      </c>
      <c r="AG1918">
        <v>-1.1103098159955</v>
      </c>
      <c r="AH1918">
        <v>84.153097928564605</v>
      </c>
      <c r="AI1918">
        <v>90.755755837342704</v>
      </c>
      <c r="AJ1918">
        <v>88.833557023017704</v>
      </c>
      <c r="AK1918">
        <v>84.177862789350698</v>
      </c>
      <c r="AL1918">
        <v>78.555863886264603</v>
      </c>
      <c r="AM1918">
        <v>95.443186230691694</v>
      </c>
      <c r="AN1918">
        <v>0.99999997658838802</v>
      </c>
    </row>
    <row r="1919" spans="1:40" x14ac:dyDescent="0.25">
      <c r="A1919" t="str">
        <f>"20190304155054353"</f>
        <v>20190304155054353</v>
      </c>
      <c r="B1919" t="str">
        <f>"1551685854348672"</f>
        <v>1551685854348672</v>
      </c>
      <c r="C1919" t="s">
        <v>40</v>
      </c>
      <c r="D1919">
        <v>4.9536280000000001</v>
      </c>
      <c r="E1919">
        <v>0.53933039999999999</v>
      </c>
      <c r="F1919" t="s">
        <v>70</v>
      </c>
      <c r="G1919">
        <v>-350.90780000000001</v>
      </c>
      <c r="H1919" s="1">
        <v>-1.0536820000000001E-6</v>
      </c>
      <c r="I1919">
        <v>286.38159999999999</v>
      </c>
      <c r="J1919">
        <v>-267.49950000000001</v>
      </c>
      <c r="K1919">
        <v>1.1103179999999999</v>
      </c>
      <c r="L1919">
        <v>284.83359999999999</v>
      </c>
      <c r="M1919">
        <v>-0.99994700000000003</v>
      </c>
      <c r="N1919">
        <v>-1.027555E-2</v>
      </c>
      <c r="O1919">
        <v>7.0552789999999896E-4</v>
      </c>
      <c r="P1919">
        <v>-0.97745139999999997</v>
      </c>
      <c r="Q1919">
        <v>0.1896883</v>
      </c>
      <c r="R1919">
        <v>-9.2776230000000001E-2</v>
      </c>
      <c r="S1919">
        <v>-3.0814509999999999</v>
      </c>
      <c r="T1919">
        <v>-4.0867090000000002E-2</v>
      </c>
      <c r="U1919">
        <v>5.6976319999999997E-2</v>
      </c>
      <c r="V1919">
        <v>-9.3553929999999993E-2</v>
      </c>
      <c r="W1919">
        <v>0.1996802</v>
      </c>
      <c r="X1919">
        <v>0.97538480000000005</v>
      </c>
      <c r="Y1919">
        <v>1.7778720000000001E-2</v>
      </c>
      <c r="Z1919">
        <v>2.0713179999999999E-4</v>
      </c>
      <c r="AA1919">
        <v>0.99984189999999995</v>
      </c>
      <c r="AB1919">
        <v>32</v>
      </c>
      <c r="AC1919">
        <v>-83.408299999999997</v>
      </c>
      <c r="AD1919">
        <v>-1.110319053682</v>
      </c>
      <c r="AE1919">
        <v>1.548</v>
      </c>
      <c r="AF1919">
        <v>1.4888858797148199</v>
      </c>
      <c r="AG1919">
        <v>-1.110319053682</v>
      </c>
      <c r="AH1919">
        <v>83.394598565650099</v>
      </c>
      <c r="AI1919">
        <v>90.762671727086399</v>
      </c>
      <c r="AJ1919">
        <v>88.977178180651507</v>
      </c>
      <c r="AK1919">
        <v>83.415278333706397</v>
      </c>
      <c r="AL1919">
        <v>78.481741536764204</v>
      </c>
      <c r="AM1919">
        <v>95.478758736956706</v>
      </c>
      <c r="AN1919">
        <v>1.0000000140807599</v>
      </c>
    </row>
    <row r="1920" spans="1:40" x14ac:dyDescent="0.25">
      <c r="A1920" t="str">
        <f>"20190304155054375"</f>
        <v>20190304155054375</v>
      </c>
      <c r="B1920" t="str">
        <f>"1551685854368383"</f>
        <v>1551685854368383</v>
      </c>
      <c r="C1920" t="s">
        <v>40</v>
      </c>
      <c r="D1920">
        <v>4.8354850000000003</v>
      </c>
      <c r="E1920">
        <v>0.53930659999999997</v>
      </c>
      <c r="F1920" t="s">
        <v>70</v>
      </c>
      <c r="G1920">
        <v>-349.21879999999999</v>
      </c>
      <c r="H1920" s="1">
        <v>3.3689979999999998E-6</v>
      </c>
      <c r="I1920">
        <v>286.07420000000002</v>
      </c>
      <c r="J1920">
        <v>-267.80799999999999</v>
      </c>
      <c r="K1920">
        <v>1.1103240000000001</v>
      </c>
      <c r="L1920">
        <v>284.83359999999999</v>
      </c>
      <c r="M1920">
        <v>-0.99994709999999998</v>
      </c>
      <c r="N1920">
        <v>-1.028287E-2</v>
      </c>
      <c r="O1920">
        <v>4.7964790000000002E-4</v>
      </c>
      <c r="P1920">
        <v>-0.97733449999999999</v>
      </c>
      <c r="Q1920">
        <v>0.18979370000000001</v>
      </c>
      <c r="R1920">
        <v>-9.3786540000000002E-2</v>
      </c>
      <c r="S1920">
        <v>-3.0817869999999998</v>
      </c>
      <c r="T1920">
        <v>-4.1872020000000003E-2</v>
      </c>
      <c r="U1920">
        <v>4.6783449999999997E-2</v>
      </c>
      <c r="V1920">
        <v>-9.4344239999999996E-2</v>
      </c>
      <c r="W1920">
        <v>0.19979140000000001</v>
      </c>
      <c r="X1920">
        <v>0.97528590000000004</v>
      </c>
      <c r="Y1920">
        <v>1.4696870000000001E-2</v>
      </c>
      <c r="Z1920">
        <v>1.7382349999999999E-4</v>
      </c>
      <c r="AA1920">
        <v>0.999892</v>
      </c>
      <c r="AB1920">
        <v>32</v>
      </c>
      <c r="AC1920">
        <v>-81.410799999999995</v>
      </c>
      <c r="AD1920">
        <v>-1.110320631002</v>
      </c>
      <c r="AE1920">
        <v>1.2406000000000199</v>
      </c>
      <c r="AF1920">
        <v>1.20132587180071</v>
      </c>
      <c r="AG1920">
        <v>-1.110320631002</v>
      </c>
      <c r="AH1920">
        <v>81.396248838338494</v>
      </c>
      <c r="AI1920">
        <v>90.7814342217454</v>
      </c>
      <c r="AJ1920">
        <v>89.154433943173302</v>
      </c>
      <c r="AK1920">
        <v>81.412685256700698</v>
      </c>
      <c r="AL1920">
        <v>78.475239209822703</v>
      </c>
      <c r="AM1920">
        <v>95.525312936535101</v>
      </c>
      <c r="AN1920">
        <v>1.0000000129369699</v>
      </c>
    </row>
    <row r="1921" spans="1:40" x14ac:dyDescent="0.25">
      <c r="A1921" t="str">
        <f>"20190304155054398"</f>
        <v>20190304155054398</v>
      </c>
      <c r="B1921" t="str">
        <f>"1551685854388882"</f>
        <v>1551685854388882</v>
      </c>
      <c r="C1921" t="s">
        <v>40</v>
      </c>
      <c r="D1921">
        <v>4.8383430000000001</v>
      </c>
      <c r="E1921">
        <v>0.53921589999999997</v>
      </c>
      <c r="F1921" t="s">
        <v>70</v>
      </c>
      <c r="G1921">
        <v>-344.91050000000001</v>
      </c>
      <c r="H1921" s="1">
        <v>1.076353E-6</v>
      </c>
      <c r="I1921">
        <v>285.9359</v>
      </c>
      <c r="J1921">
        <v>-268.14229999999998</v>
      </c>
      <c r="K1921">
        <v>1.110328</v>
      </c>
      <c r="L1921">
        <v>284.83350000000002</v>
      </c>
      <c r="M1921">
        <v>-0.99994720000000004</v>
      </c>
      <c r="N1921">
        <v>-1.0290280000000001E-2</v>
      </c>
      <c r="O1921">
        <v>2.345177E-4</v>
      </c>
      <c r="P1921">
        <v>-0.97719800000000001</v>
      </c>
      <c r="Q1921">
        <v>0.18994240000000001</v>
      </c>
      <c r="R1921">
        <v>-9.4901330000000006E-2</v>
      </c>
      <c r="S1921">
        <v>-3.0823969999999998</v>
      </c>
      <c r="T1921">
        <v>-4.4388410000000003E-2</v>
      </c>
      <c r="U1921">
        <v>4.4067380000000003E-2</v>
      </c>
      <c r="V1921">
        <v>-9.5219170000000006E-2</v>
      </c>
      <c r="W1921">
        <v>0.1999456</v>
      </c>
      <c r="X1921">
        <v>0.97516919999999996</v>
      </c>
      <c r="Y1921">
        <v>1.4057999999999999E-2</v>
      </c>
      <c r="Z1921">
        <v>1.7259020000000001E-4</v>
      </c>
      <c r="AA1921">
        <v>0.99990120000000005</v>
      </c>
      <c r="AB1921">
        <v>32</v>
      </c>
      <c r="AC1921">
        <v>-76.768199999999993</v>
      </c>
      <c r="AD1921">
        <v>-1.1103269236469999</v>
      </c>
      <c r="AE1921">
        <v>1.1023999999999801</v>
      </c>
      <c r="AF1921">
        <v>1.0841687683274199</v>
      </c>
      <c r="AG1921">
        <v>-1.1103269236469999</v>
      </c>
      <c r="AH1921">
        <v>76.752403979504393</v>
      </c>
      <c r="AI1921">
        <v>90.828720164315996</v>
      </c>
      <c r="AJ1921">
        <v>89.190720283978195</v>
      </c>
      <c r="AK1921">
        <v>76.7680907957768</v>
      </c>
      <c r="AL1921">
        <v>78.466221538746694</v>
      </c>
      <c r="AM1921">
        <v>95.576895233504501</v>
      </c>
      <c r="AN1921">
        <v>0.99999995096174299</v>
      </c>
    </row>
    <row r="1922" spans="1:40" x14ac:dyDescent="0.25">
      <c r="A1922" t="str">
        <f>"20190304155054411"</f>
        <v>20190304155054411</v>
      </c>
      <c r="B1922" t="str">
        <f>"1551685854408400"</f>
        <v>1551685854408400</v>
      </c>
      <c r="C1922" t="s">
        <v>40</v>
      </c>
      <c r="D1922">
        <v>5.1810039999999997</v>
      </c>
      <c r="E1922">
        <v>0.53968519999999998</v>
      </c>
      <c r="F1922" t="s">
        <v>70</v>
      </c>
      <c r="G1922">
        <v>-347.80549999999999</v>
      </c>
      <c r="H1922" s="1">
        <v>2.6169220000000001E-6</v>
      </c>
      <c r="I1922">
        <v>285.87310000000002</v>
      </c>
      <c r="J1922">
        <v>-268.32339999999999</v>
      </c>
      <c r="K1922">
        <v>1.110328</v>
      </c>
      <c r="L1922">
        <v>284.83339999999998</v>
      </c>
      <c r="M1922">
        <v>-0.99994709999999998</v>
      </c>
      <c r="N1922">
        <v>-1.0294050000000001E-2</v>
      </c>
      <c r="O1922">
        <v>1.023604E-4</v>
      </c>
      <c r="P1922">
        <v>-0.97715280000000004</v>
      </c>
      <c r="Q1922">
        <v>0.18981190000000001</v>
      </c>
      <c r="R1922">
        <v>-9.5625979999999999E-2</v>
      </c>
      <c r="S1922">
        <v>-3.0822750000000001</v>
      </c>
      <c r="T1922">
        <v>-4.295993E-2</v>
      </c>
      <c r="U1922">
        <v>4.0222170000000002E-2</v>
      </c>
      <c r="V1922">
        <v>-9.5814570000000002E-2</v>
      </c>
      <c r="W1922">
        <v>0.199818</v>
      </c>
      <c r="X1922">
        <v>0.97513709999999998</v>
      </c>
      <c r="Y1922">
        <v>1.294385E-2</v>
      </c>
      <c r="Z1922">
        <v>1.5645540000000001E-4</v>
      </c>
      <c r="AA1922">
        <v>0.99991620000000003</v>
      </c>
      <c r="AB1922">
        <v>32</v>
      </c>
      <c r="AC1922">
        <v>-79.482100000000003</v>
      </c>
      <c r="AD1922">
        <v>-1.110325383078</v>
      </c>
      <c r="AE1922">
        <v>1.03970000000003</v>
      </c>
      <c r="AF1922">
        <v>1.03136251177594</v>
      </c>
      <c r="AG1922">
        <v>-1.110325383078</v>
      </c>
      <c r="AH1922">
        <v>79.466700978399203</v>
      </c>
      <c r="AI1922">
        <v>90.800429136099197</v>
      </c>
      <c r="AJ1922">
        <v>89.2564256378176</v>
      </c>
      <c r="AK1922">
        <v>79.481149308986005</v>
      </c>
      <c r="AL1922">
        <v>78.473683794750997</v>
      </c>
      <c r="AM1922">
        <v>95.611728895031007</v>
      </c>
      <c r="AN1922">
        <v>1.00000001437234</v>
      </c>
    </row>
    <row r="1923" spans="1:40" x14ac:dyDescent="0.25">
      <c r="A1923" t="str">
        <f>"20190304155054430"</f>
        <v>20190304155054430</v>
      </c>
      <c r="B1923" t="str">
        <f>"1551685854428894"</f>
        <v>1551685854428894</v>
      </c>
      <c r="C1923" t="s">
        <v>40</v>
      </c>
      <c r="D1923">
        <v>4.8660750000000004</v>
      </c>
      <c r="E1923">
        <v>0.53984290000000001</v>
      </c>
      <c r="F1923" t="s">
        <v>70</v>
      </c>
      <c r="G1923">
        <v>-335.0138</v>
      </c>
      <c r="H1923" s="1">
        <v>1.0816459999999999E-6</v>
      </c>
      <c r="I1923">
        <v>285.75200000000001</v>
      </c>
      <c r="J1923">
        <v>-268.60599999999999</v>
      </c>
      <c r="K1923">
        <v>1.1103209999999999</v>
      </c>
      <c r="L1923">
        <v>284.83330000000001</v>
      </c>
      <c r="M1923">
        <v>-0.99994700000000003</v>
      </c>
      <c r="N1923">
        <v>-1.0299549999999999E-2</v>
      </c>
      <c r="O1923" s="1">
        <v>-9.9399079999999994E-5</v>
      </c>
      <c r="P1923">
        <v>-0.97714610000000002</v>
      </c>
      <c r="Q1923">
        <v>0.1894827</v>
      </c>
      <c r="R1923">
        <v>-9.6341960000000004E-2</v>
      </c>
      <c r="S1923">
        <v>-3.0842900000000002</v>
      </c>
      <c r="T1923">
        <v>-5.1350239999999998E-2</v>
      </c>
      <c r="U1923">
        <v>4.2480469999999999E-2</v>
      </c>
      <c r="V1923">
        <v>-9.6332509999999996E-2</v>
      </c>
      <c r="W1923">
        <v>0.1994947</v>
      </c>
      <c r="X1923">
        <v>0.97515229999999997</v>
      </c>
      <c r="Y1923">
        <v>1.3868149999999999E-2</v>
      </c>
      <c r="Z1923">
        <v>1.8749390000000001E-4</v>
      </c>
      <c r="AA1923">
        <v>0.99990380000000001</v>
      </c>
      <c r="AB1923">
        <v>32</v>
      </c>
      <c r="AC1923">
        <v>-66.407799999999995</v>
      </c>
      <c r="AD1923">
        <v>-1.11031991835399</v>
      </c>
      <c r="AE1923">
        <v>0.91870000000000096</v>
      </c>
      <c r="AF1923">
        <v>0.92504267416640096</v>
      </c>
      <c r="AG1923">
        <v>-1.11031991835399</v>
      </c>
      <c r="AH1923">
        <v>66.389152873408904</v>
      </c>
      <c r="AI1923">
        <v>90.9580562381975</v>
      </c>
      <c r="AJ1923">
        <v>89.201712791649101</v>
      </c>
      <c r="AK1923">
        <v>66.404880344135705</v>
      </c>
      <c r="AL1923">
        <v>78.492588532822793</v>
      </c>
      <c r="AM1923">
        <v>95.641781372647898</v>
      </c>
      <c r="AN1923">
        <v>1.0000000480031299</v>
      </c>
    </row>
    <row r="1924" spans="1:40" x14ac:dyDescent="0.25">
      <c r="A1924" t="str">
        <f>"20190304155054444"</f>
        <v>20190304155054444</v>
      </c>
      <c r="B1924" t="str">
        <f>"1551685854438656"</f>
        <v>1551685854438656</v>
      </c>
      <c r="C1924" t="s">
        <v>40</v>
      </c>
      <c r="D1924">
        <v>4.8988719999999999</v>
      </c>
      <c r="E1924">
        <v>0.54005029999999998</v>
      </c>
      <c r="F1924" t="s">
        <v>70</v>
      </c>
      <c r="G1924">
        <v>-333.79730000000001</v>
      </c>
      <c r="H1924" s="1">
        <v>4.3535889999999998E-7</v>
      </c>
      <c r="I1924">
        <v>285.7278</v>
      </c>
      <c r="J1924">
        <v>-268.7998</v>
      </c>
      <c r="K1924">
        <v>1.110317</v>
      </c>
      <c r="L1924">
        <v>284.8331</v>
      </c>
      <c r="M1924">
        <v>-0.99994700000000003</v>
      </c>
      <c r="N1924">
        <v>-1.030299E-2</v>
      </c>
      <c r="O1924">
        <v>-2.315672E-4</v>
      </c>
      <c r="P1924">
        <v>-0.97710649999999999</v>
      </c>
      <c r="Q1924">
        <v>0.189334</v>
      </c>
      <c r="R1924">
        <v>-9.7035319999999994E-2</v>
      </c>
      <c r="S1924">
        <v>-3.0845030000000002</v>
      </c>
      <c r="T1924">
        <v>-5.2534459999999998E-2</v>
      </c>
      <c r="U1924">
        <v>4.2327879999999998E-2</v>
      </c>
      <c r="V1924">
        <v>-9.6894320000000006E-2</v>
      </c>
      <c r="W1924">
        <v>0.1993499</v>
      </c>
      <c r="X1924">
        <v>0.97512619999999905</v>
      </c>
      <c r="Y1924">
        <v>1.394977E-2</v>
      </c>
      <c r="Z1924">
        <v>1.922138E-4</v>
      </c>
      <c r="AA1924">
        <v>0.99990270000000003</v>
      </c>
      <c r="AB1924">
        <v>32</v>
      </c>
      <c r="AC1924">
        <v>-64.997500000000002</v>
      </c>
      <c r="AD1924">
        <v>-1.1103165646411</v>
      </c>
      <c r="AE1924">
        <v>0.89470000000000005</v>
      </c>
      <c r="AF1924">
        <v>0.90948671530834602</v>
      </c>
      <c r="AG1924">
        <v>-1.1103165646411</v>
      </c>
      <c r="AH1924">
        <v>64.978333320547804</v>
      </c>
      <c r="AI1924">
        <v>90.978849879409793</v>
      </c>
      <c r="AJ1924">
        <v>89.198096579041504</v>
      </c>
      <c r="AK1924">
        <v>64.994182586407305</v>
      </c>
      <c r="AL1924">
        <v>78.501054449913198</v>
      </c>
      <c r="AM1924">
        <v>95.674620946698397</v>
      </c>
      <c r="AN1924">
        <v>0.99999999890235602</v>
      </c>
    </row>
    <row r="1925" spans="1:40" x14ac:dyDescent="0.25">
      <c r="A1925" t="str">
        <f>"20190304155054457"</f>
        <v>20190304155054457</v>
      </c>
      <c r="B1925" t="str">
        <f>"1551685854448415"</f>
        <v>1551685854448415</v>
      </c>
      <c r="C1925" t="s">
        <v>40</v>
      </c>
      <c r="D1925">
        <v>4.9043989999999997</v>
      </c>
      <c r="E1925">
        <v>0.54021549999999996</v>
      </c>
      <c r="F1925" t="s">
        <v>70</v>
      </c>
      <c r="G1925">
        <v>-335.577</v>
      </c>
      <c r="H1925" s="1">
        <v>1.3819059999999901E-6</v>
      </c>
      <c r="I1925">
        <v>285.74020000000002</v>
      </c>
      <c r="J1925">
        <v>-268.98610000000002</v>
      </c>
      <c r="K1925">
        <v>1.1103099999999999</v>
      </c>
      <c r="L1925">
        <v>284.8329</v>
      </c>
      <c r="M1925">
        <v>-0.99994700000000003</v>
      </c>
      <c r="N1925">
        <v>-1.0306249999999999E-2</v>
      </c>
      <c r="O1925">
        <v>-3.51429E-4</v>
      </c>
      <c r="P1925">
        <v>-0.9771109</v>
      </c>
      <c r="Q1925">
        <v>0.1892104</v>
      </c>
      <c r="R1925">
        <v>-9.7232890000000002E-2</v>
      </c>
      <c r="S1925">
        <v>-3.0844119999999999</v>
      </c>
      <c r="T1925">
        <v>-5.1285030000000002E-2</v>
      </c>
      <c r="U1925">
        <v>4.1900630000000001E-2</v>
      </c>
      <c r="V1925">
        <v>-9.6972039999999995E-2</v>
      </c>
      <c r="W1925">
        <v>0.19923070000000001</v>
      </c>
      <c r="X1925">
        <v>0.97514279999999998</v>
      </c>
      <c r="Y1925">
        <v>1.393168E-2</v>
      </c>
      <c r="Z1925">
        <v>1.8983469999999999E-4</v>
      </c>
      <c r="AA1925">
        <v>0.99990290000000004</v>
      </c>
      <c r="AB1925">
        <v>32</v>
      </c>
      <c r="AC1925">
        <v>-66.590899999999905</v>
      </c>
      <c r="AD1925">
        <v>-1.1103086180940001</v>
      </c>
      <c r="AE1925">
        <v>0.90730000000001998</v>
      </c>
      <c r="AF1925">
        <v>0.93044453306166597</v>
      </c>
      <c r="AG1925">
        <v>-1.1103086180940001</v>
      </c>
      <c r="AH1925">
        <v>66.572072870068396</v>
      </c>
      <c r="AI1925">
        <v>90.955413983770995</v>
      </c>
      <c r="AJ1925">
        <v>89.199257711953905</v>
      </c>
      <c r="AK1925">
        <v>66.587832210353596</v>
      </c>
      <c r="AL1925">
        <v>78.508023508609497</v>
      </c>
      <c r="AM1925">
        <v>95.679046835341296</v>
      </c>
      <c r="AN1925">
        <v>0.99999996437804495</v>
      </c>
    </row>
    <row r="1926" spans="1:40" x14ac:dyDescent="0.25">
      <c r="A1926" t="str">
        <f>"20190304155054476"</f>
        <v>20190304155054476</v>
      </c>
      <c r="B1926" t="str">
        <f>"1551685854468912"</f>
        <v>1551685854468912</v>
      </c>
      <c r="C1926" t="s">
        <v>40</v>
      </c>
      <c r="D1926">
        <v>4.9089739999999997</v>
      </c>
      <c r="E1926">
        <v>0.54058079999999997</v>
      </c>
      <c r="F1926" t="s">
        <v>70</v>
      </c>
      <c r="G1926">
        <v>-337.07889999999998</v>
      </c>
      <c r="H1926" s="1">
        <v>2.1791660000000002E-6</v>
      </c>
      <c r="I1926">
        <v>285.78559999999999</v>
      </c>
      <c r="J1926">
        <v>-269.24869999999999</v>
      </c>
      <c r="K1926">
        <v>1.1102920000000001</v>
      </c>
      <c r="L1926">
        <v>284.83269999999999</v>
      </c>
      <c r="M1926">
        <v>-0.99994669999999997</v>
      </c>
      <c r="N1926">
        <v>-1.031082E-2</v>
      </c>
      <c r="O1926">
        <v>-5.0625460000000002E-4</v>
      </c>
      <c r="P1926">
        <v>-0.97716530000000001</v>
      </c>
      <c r="Q1926">
        <v>0.18845709999999999</v>
      </c>
      <c r="R1926">
        <v>-9.8141539999999999E-2</v>
      </c>
      <c r="S1926">
        <v>-3.08432</v>
      </c>
      <c r="T1926">
        <v>-5.0292249999999997E-2</v>
      </c>
      <c r="U1926">
        <v>4.315186E-2</v>
      </c>
      <c r="V1926">
        <v>-9.7723160000000003E-2</v>
      </c>
      <c r="W1926">
        <v>0.19848579999999999</v>
      </c>
      <c r="X1926">
        <v>0.97521979999999997</v>
      </c>
      <c r="Y1926">
        <v>1.4492430000000001E-2</v>
      </c>
      <c r="Z1926">
        <v>1.9590410000000001E-4</v>
      </c>
      <c r="AA1926">
        <v>0.99989499999999998</v>
      </c>
      <c r="AB1926">
        <v>32</v>
      </c>
      <c r="AC1926">
        <v>-67.830199999999905</v>
      </c>
      <c r="AD1926">
        <v>-1.110289820834</v>
      </c>
      <c r="AE1926">
        <v>0.95289999999999897</v>
      </c>
      <c r="AF1926">
        <v>0.98697666299792697</v>
      </c>
      <c r="AG1926">
        <v>-1.110289820834</v>
      </c>
      <c r="AH1926">
        <v>67.811543492783301</v>
      </c>
      <c r="AI1926">
        <v>90.937930307604503</v>
      </c>
      <c r="AJ1926">
        <v>89.166136003982402</v>
      </c>
      <c r="AK1926">
        <v>67.827813596585798</v>
      </c>
      <c r="AL1926">
        <v>78.551573813116605</v>
      </c>
      <c r="AM1926">
        <v>95.722295530417199</v>
      </c>
      <c r="AN1926">
        <v>1.00000004355703</v>
      </c>
    </row>
    <row r="1927" spans="1:40" x14ac:dyDescent="0.25">
      <c r="A1927" t="str">
        <f>"20190304155054499"</f>
        <v>20190304155054499</v>
      </c>
      <c r="B1927" t="str">
        <f>"1551685854488430"</f>
        <v>1551685854488430</v>
      </c>
      <c r="C1927" t="s">
        <v>40</v>
      </c>
      <c r="D1927">
        <v>4.8996300000000002</v>
      </c>
      <c r="E1927">
        <v>0.54089390000000004</v>
      </c>
      <c r="F1927" t="s">
        <v>70</v>
      </c>
      <c r="G1927">
        <v>-337.17590000000001</v>
      </c>
      <c r="H1927" s="1">
        <v>2.2299769999999998E-6</v>
      </c>
      <c r="I1927">
        <v>285.8039</v>
      </c>
      <c r="J1927">
        <v>-269.56900000000002</v>
      </c>
      <c r="K1927">
        <v>1.110263</v>
      </c>
      <c r="L1927">
        <v>284.83229999999998</v>
      </c>
      <c r="M1927">
        <v>-0.99994669999999997</v>
      </c>
      <c r="N1927">
        <v>-1.03163E-2</v>
      </c>
      <c r="O1927">
        <v>-6.6296720000000005E-4</v>
      </c>
      <c r="P1927">
        <v>-0.97723309999999997</v>
      </c>
      <c r="Q1927">
        <v>0.18750330000000001</v>
      </c>
      <c r="R1927">
        <v>-9.9290710000000004E-2</v>
      </c>
      <c r="S1927">
        <v>-3.0842589999999999</v>
      </c>
      <c r="T1927">
        <v>-5.041313E-2</v>
      </c>
      <c r="U1927">
        <v>4.4097900000000002E-2</v>
      </c>
      <c r="V1927">
        <v>-9.8707199999999995E-2</v>
      </c>
      <c r="W1927">
        <v>0.19754350000000001</v>
      </c>
      <c r="X1927">
        <v>0.97531199999999996</v>
      </c>
      <c r="Y1927">
        <v>1.4955929999999999E-2</v>
      </c>
      <c r="Z1927">
        <v>2.0337059999999999E-4</v>
      </c>
      <c r="AA1927">
        <v>0.99988809999999995</v>
      </c>
      <c r="AB1927">
        <v>32</v>
      </c>
      <c r="AC1927">
        <v>-67.606899999999996</v>
      </c>
      <c r="AD1927">
        <v>-1.1102607700229901</v>
      </c>
      <c r="AE1927">
        <v>0.971600000000023</v>
      </c>
      <c r="AF1927">
        <v>1.01614933221131</v>
      </c>
      <c r="AG1927">
        <v>-1.1102607700229901</v>
      </c>
      <c r="AH1927">
        <v>67.588016789340202</v>
      </c>
      <c r="AI1927">
        <v>90.941000374312594</v>
      </c>
      <c r="AJ1927">
        <v>89.138653791234702</v>
      </c>
      <c r="AK1927">
        <v>67.604772405200407</v>
      </c>
      <c r="AL1927">
        <v>78.606654016567802</v>
      </c>
      <c r="AM1927">
        <v>95.778986343487304</v>
      </c>
      <c r="AN1927">
        <v>1.0000000215340401</v>
      </c>
    </row>
    <row r="1928" spans="1:40" x14ac:dyDescent="0.25">
      <c r="A1928" t="str">
        <f>"20190304155054520"</f>
        <v>20190304155054520</v>
      </c>
      <c r="B1928" t="str">
        <f>"1551685854508927"</f>
        <v>1551685854508927</v>
      </c>
      <c r="C1928" t="s">
        <v>40</v>
      </c>
      <c r="D1928">
        <v>4.9884370000000002</v>
      </c>
      <c r="E1928">
        <v>0.54076250000000003</v>
      </c>
      <c r="F1928" t="s">
        <v>70</v>
      </c>
      <c r="G1928">
        <v>-337.13310000000001</v>
      </c>
      <c r="H1928" s="1">
        <v>2.2073220000000002E-6</v>
      </c>
      <c r="I1928">
        <v>285.80040000000002</v>
      </c>
      <c r="J1928">
        <v>-269.8818</v>
      </c>
      <c r="K1928">
        <v>1.1102289999999999</v>
      </c>
      <c r="L1928">
        <v>284.83199999999999</v>
      </c>
      <c r="M1928">
        <v>-0.99994649999999996</v>
      </c>
      <c r="N1928">
        <v>-1.0321439999999999E-2</v>
      </c>
      <c r="O1928">
        <v>-7.7620749999999996E-4</v>
      </c>
      <c r="P1928">
        <v>-0.97733740000000002</v>
      </c>
      <c r="Q1928">
        <v>0.1863784</v>
      </c>
      <c r="R1928">
        <v>-0.10037450000000001</v>
      </c>
      <c r="S1928">
        <v>-3.084076</v>
      </c>
      <c r="T1928">
        <v>-5.0679679999999998E-2</v>
      </c>
      <c r="U1928">
        <v>4.4189449999999998E-2</v>
      </c>
      <c r="V1928">
        <v>-9.9665119999999996E-2</v>
      </c>
      <c r="W1928">
        <v>0.19643179999999999</v>
      </c>
      <c r="X1928">
        <v>0.9754391</v>
      </c>
      <c r="Y1928">
        <v>1.5099629999999999E-2</v>
      </c>
      <c r="Z1928">
        <v>2.067312E-4</v>
      </c>
      <c r="AA1928">
        <v>0.99988600000000005</v>
      </c>
      <c r="AB1928">
        <v>32</v>
      </c>
      <c r="AC1928">
        <v>-67.251300000000001</v>
      </c>
      <c r="AD1928">
        <v>-1.1102267926780001</v>
      </c>
      <c r="AE1928">
        <v>0.96840000000003001</v>
      </c>
      <c r="AF1928">
        <v>1.0203254322690101</v>
      </c>
      <c r="AG1928">
        <v>-1.1102267926780001</v>
      </c>
      <c r="AH1928">
        <v>67.232208697969199</v>
      </c>
      <c r="AI1928">
        <v>90.945948490856694</v>
      </c>
      <c r="AJ1928">
        <v>89.130537957198399</v>
      </c>
      <c r="AK1928">
        <v>67.2491156367592</v>
      </c>
      <c r="AL1928">
        <v>78.671622638169694</v>
      </c>
      <c r="AM1928">
        <v>95.833929346727899</v>
      </c>
      <c r="AN1928">
        <v>1.0000000130023301</v>
      </c>
    </row>
    <row r="1929" spans="1:40" x14ac:dyDescent="0.25">
      <c r="A1929" t="str">
        <f>"20190304155054542"</f>
        <v>20190304155054542</v>
      </c>
      <c r="B1929" t="str">
        <f>"1551685854538207"</f>
        <v>1551685854538207</v>
      </c>
      <c r="C1929" t="s">
        <v>40</v>
      </c>
      <c r="D1929">
        <v>5.0146199999999999</v>
      </c>
      <c r="E1929">
        <v>0.54095859999999996</v>
      </c>
      <c r="F1929" t="s">
        <v>70</v>
      </c>
      <c r="G1929">
        <v>-332.21899999999999</v>
      </c>
      <c r="H1929" s="1">
        <v>-4.008614E-7</v>
      </c>
      <c r="I1929">
        <v>285.64370000000002</v>
      </c>
      <c r="J1929">
        <v>-270.18619999999999</v>
      </c>
      <c r="K1929">
        <v>1.110196</v>
      </c>
      <c r="L1929">
        <v>284.83170000000001</v>
      </c>
      <c r="M1929">
        <v>-0.99994640000000001</v>
      </c>
      <c r="N1929">
        <v>-1.032636E-2</v>
      </c>
      <c r="O1929">
        <v>-8.4949839999999999E-4</v>
      </c>
      <c r="P1929">
        <v>-0.97741259999999996</v>
      </c>
      <c r="Q1929">
        <v>0.18575810000000001</v>
      </c>
      <c r="R1929">
        <v>-0.10079009999999999</v>
      </c>
      <c r="S1929">
        <v>-3.0841370000000001</v>
      </c>
      <c r="T1929">
        <v>-5.4928659999999997E-2</v>
      </c>
      <c r="U1929">
        <v>4.0161130000000003E-2</v>
      </c>
      <c r="V1929">
        <v>-9.9994230000000003E-2</v>
      </c>
      <c r="W1929">
        <v>0.1958249</v>
      </c>
      <c r="X1929">
        <v>0.97552740000000004</v>
      </c>
      <c r="Y1929">
        <v>1.3866710000000001E-2</v>
      </c>
      <c r="Z1929">
        <v>2.014346E-4</v>
      </c>
      <c r="AA1929">
        <v>0.99990389999999996</v>
      </c>
      <c r="AB1929">
        <v>32</v>
      </c>
      <c r="AC1929">
        <v>-62.032800000000002</v>
      </c>
      <c r="AD1929">
        <v>-1.11019640086139</v>
      </c>
      <c r="AE1929">
        <v>0.81200000000001105</v>
      </c>
      <c r="AF1929">
        <v>0.86442244997950601</v>
      </c>
      <c r="AG1929">
        <v>-1.11019640086139</v>
      </c>
      <c r="AH1929">
        <v>62.012228674724803</v>
      </c>
      <c r="AI1929">
        <v>91.025549280189097</v>
      </c>
      <c r="AJ1929">
        <v>89.2013744449591</v>
      </c>
      <c r="AK1929">
        <v>62.028189296697001</v>
      </c>
      <c r="AL1929">
        <v>78.707083712857795</v>
      </c>
      <c r="AM1929">
        <v>95.852534263084806</v>
      </c>
      <c r="AN1929">
        <v>0.99999997282203101</v>
      </c>
    </row>
    <row r="1930" spans="1:40" x14ac:dyDescent="0.25">
      <c r="A1930" t="str">
        <f>"20190304155054566"</f>
        <v>20190304155054566</v>
      </c>
      <c r="B1930" t="str">
        <f>"1551685854558703"</f>
        <v>1551685854558703</v>
      </c>
      <c r="C1930" t="s">
        <v>40</v>
      </c>
      <c r="D1930">
        <v>5.0043009999999999</v>
      </c>
      <c r="E1930">
        <v>0.54090119999999997</v>
      </c>
      <c r="F1930" t="s">
        <v>70</v>
      </c>
      <c r="G1930">
        <v>-326.66840000000002</v>
      </c>
      <c r="H1930" s="1">
        <v>1.9695739999999999E-6</v>
      </c>
      <c r="I1930">
        <v>285.58199999999999</v>
      </c>
      <c r="J1930">
        <v>-270.52609999999999</v>
      </c>
      <c r="K1930">
        <v>1.110169</v>
      </c>
      <c r="L1930">
        <v>284.8313</v>
      </c>
      <c r="M1930">
        <v>-0.99994640000000001</v>
      </c>
      <c r="N1930">
        <v>-1.033158E-2</v>
      </c>
      <c r="O1930">
        <v>-8.9741630000000005E-4</v>
      </c>
      <c r="P1930">
        <v>-0.97719500000000004</v>
      </c>
      <c r="Q1930">
        <v>0.18663289999999999</v>
      </c>
      <c r="R1930">
        <v>-0.10128479999999999</v>
      </c>
      <c r="S1930">
        <v>-3.085083</v>
      </c>
      <c r="T1930">
        <v>-6.063926E-2</v>
      </c>
      <c r="U1930">
        <v>4.0985109999999998E-2</v>
      </c>
      <c r="V1930">
        <v>-0.1004278</v>
      </c>
      <c r="W1930">
        <v>0.19670950000000001</v>
      </c>
      <c r="X1930">
        <v>0.97530490000000003</v>
      </c>
      <c r="Y1930">
        <v>1.4176920000000001E-2</v>
      </c>
      <c r="Z1930">
        <v>2.209252E-4</v>
      </c>
      <c r="AA1930">
        <v>0.99989950000000005</v>
      </c>
      <c r="AB1930">
        <v>32</v>
      </c>
      <c r="AC1930">
        <v>-56.142299999999999</v>
      </c>
      <c r="AD1930">
        <v>-1.1101670304260001</v>
      </c>
      <c r="AE1930">
        <v>0.75069999999999404</v>
      </c>
      <c r="AF1930">
        <v>0.80077233313737095</v>
      </c>
      <c r="AG1930">
        <v>-1.1101670304260001</v>
      </c>
      <c r="AH1930">
        <v>56.119663813330199</v>
      </c>
      <c r="AI1930">
        <v>91.133169976815097</v>
      </c>
      <c r="AJ1930">
        <v>89.182501133342498</v>
      </c>
      <c r="AK1930">
        <v>56.136355187045901</v>
      </c>
      <c r="AL1930">
        <v>78.655394949643906</v>
      </c>
      <c r="AM1930">
        <v>95.879064794656998</v>
      </c>
      <c r="AN1930">
        <v>1.0000000091835499</v>
      </c>
    </row>
    <row r="1931" spans="1:40" x14ac:dyDescent="0.25">
      <c r="A1931" t="str">
        <f>"20190304155054587"</f>
        <v>20190304155054587</v>
      </c>
      <c r="B1931" t="str">
        <f>"1551685854578223"</f>
        <v>1551685854578223</v>
      </c>
      <c r="C1931" t="s">
        <v>40</v>
      </c>
      <c r="D1931">
        <v>5.0257509999999996</v>
      </c>
      <c r="E1931">
        <v>0.54083700000000001</v>
      </c>
      <c r="F1931" t="s">
        <v>70</v>
      </c>
      <c r="G1931">
        <v>-329.15260000000001</v>
      </c>
      <c r="H1931" s="1">
        <v>3.291841E-6</v>
      </c>
      <c r="I1931">
        <v>285.57530000000003</v>
      </c>
      <c r="J1931">
        <v>-270.84460000000001</v>
      </c>
      <c r="K1931">
        <v>1.11015</v>
      </c>
      <c r="L1931">
        <v>284.83100000000002</v>
      </c>
      <c r="M1931">
        <v>-0.99994620000000001</v>
      </c>
      <c r="N1931">
        <v>-1.033626E-2</v>
      </c>
      <c r="O1931">
        <v>-9.0894879999999997E-4</v>
      </c>
      <c r="P1931">
        <v>-0.97692710000000005</v>
      </c>
      <c r="Q1931">
        <v>0.18811269999999999</v>
      </c>
      <c r="R1931">
        <v>-0.1011295</v>
      </c>
      <c r="S1931">
        <v>-3.0852360000000001</v>
      </c>
      <c r="T1931">
        <v>-5.8422799999999997E-2</v>
      </c>
      <c r="U1931">
        <v>3.9154050000000003E-2</v>
      </c>
      <c r="V1931">
        <v>-0.10025009999999999</v>
      </c>
      <c r="W1931">
        <v>0.19819690000000001</v>
      </c>
      <c r="X1931">
        <v>0.97502200000000006</v>
      </c>
      <c r="Y1931">
        <v>1.359488E-2</v>
      </c>
      <c r="Z1931">
        <v>2.0679119999999999E-4</v>
      </c>
      <c r="AA1931">
        <v>0.99990760000000001</v>
      </c>
      <c r="AB1931">
        <v>32</v>
      </c>
      <c r="AC1931">
        <v>-58.3079999999999</v>
      </c>
      <c r="AD1931">
        <v>-1.110146708159</v>
      </c>
      <c r="AE1931">
        <v>0.74430000000006602</v>
      </c>
      <c r="AF1931">
        <v>0.79701264108230996</v>
      </c>
      <c r="AG1931">
        <v>-1.110146708159</v>
      </c>
      <c r="AH1931">
        <v>58.286174220813699</v>
      </c>
      <c r="AI1931">
        <v>91.091049264696807</v>
      </c>
      <c r="AJ1931">
        <v>89.216578969557204</v>
      </c>
      <c r="AK1931">
        <v>58.302193442122999</v>
      </c>
      <c r="AL1931">
        <v>78.568461544066494</v>
      </c>
      <c r="AM1931">
        <v>95.870425777488705</v>
      </c>
      <c r="AN1931">
        <v>0.99999999710180998</v>
      </c>
    </row>
    <row r="1932" spans="1:40" x14ac:dyDescent="0.25">
      <c r="A1932" t="str">
        <f>"20190304155054599"</f>
        <v>20190304155054599</v>
      </c>
      <c r="B1932" t="str">
        <f>"1551685854588959"</f>
        <v>1551685854588959</v>
      </c>
      <c r="C1932" t="s">
        <v>40</v>
      </c>
      <c r="D1932">
        <v>5.0100089999999904</v>
      </c>
      <c r="E1932">
        <v>0.54070200000000002</v>
      </c>
      <c r="F1932" t="s">
        <v>70</v>
      </c>
      <c r="G1932">
        <v>-331.24239999999998</v>
      </c>
      <c r="H1932" s="1">
        <v>-9.1827580000000005E-7</v>
      </c>
      <c r="I1932">
        <v>285.59199999999998</v>
      </c>
      <c r="J1932">
        <v>-271.02910000000003</v>
      </c>
      <c r="K1932">
        <v>1.1101379999999901</v>
      </c>
      <c r="L1932">
        <v>284.83080000000001</v>
      </c>
      <c r="M1932">
        <v>-0.99994620000000001</v>
      </c>
      <c r="N1932">
        <v>-1.034172E-2</v>
      </c>
      <c r="O1932">
        <v>-8.9282899999999896E-4</v>
      </c>
      <c r="P1932">
        <v>-0.97693750000000001</v>
      </c>
      <c r="Q1932">
        <v>0.18813350000000001</v>
      </c>
      <c r="R1932">
        <v>-0.100991</v>
      </c>
      <c r="S1932">
        <v>-3.085785</v>
      </c>
      <c r="T1932">
        <v>-5.6718709999999999E-2</v>
      </c>
      <c r="U1932">
        <v>3.887939E-2</v>
      </c>
      <c r="V1932">
        <v>-0.10012119999999999</v>
      </c>
      <c r="W1932">
        <v>0.1982264</v>
      </c>
      <c r="X1932">
        <v>0.97502920000000004</v>
      </c>
      <c r="Y1932">
        <v>1.348773E-2</v>
      </c>
      <c r="Z1932">
        <v>2.00874E-4</v>
      </c>
      <c r="AA1932">
        <v>0.99990900000000005</v>
      </c>
      <c r="AB1932">
        <v>32</v>
      </c>
      <c r="AC1932">
        <v>-60.213299999999897</v>
      </c>
      <c r="AD1932">
        <v>-1.1101389182757999</v>
      </c>
      <c r="AE1932">
        <v>0.76119999999997301</v>
      </c>
      <c r="AF1932">
        <v>0.81468586866450698</v>
      </c>
      <c r="AG1932">
        <v>-1.1101389182757999</v>
      </c>
      <c r="AH1932">
        <v>60.192139423686001</v>
      </c>
      <c r="AI1932">
        <v>91.056504081424706</v>
      </c>
      <c r="AJ1932">
        <v>89.224563001883794</v>
      </c>
      <c r="AK1932">
        <v>60.207887937403498</v>
      </c>
      <c r="AL1932">
        <v>78.566736565532807</v>
      </c>
      <c r="AM1932">
        <v>95.8628872973906</v>
      </c>
      <c r="AN1932">
        <v>0.99999995059951896</v>
      </c>
    </row>
    <row r="1933" spans="1:40" x14ac:dyDescent="0.25">
      <c r="A1933" t="str">
        <f>"20190304155054613"</f>
        <v>20190304155054613</v>
      </c>
      <c r="B1933" t="str">
        <f>"1551685854608482"</f>
        <v>1551685854608482</v>
      </c>
      <c r="C1933" t="s">
        <v>40</v>
      </c>
      <c r="D1933">
        <v>4.8660690000000004</v>
      </c>
      <c r="E1933">
        <v>0.54070659999999904</v>
      </c>
      <c r="F1933" t="s">
        <v>70</v>
      </c>
      <c r="G1933">
        <v>-330.1173</v>
      </c>
      <c r="H1933" s="1">
        <v>-1.5157449999999999E-6</v>
      </c>
      <c r="I1933">
        <v>285.56360000000001</v>
      </c>
      <c r="J1933">
        <v>-271.20870000000002</v>
      </c>
      <c r="K1933">
        <v>1.1101240000000001</v>
      </c>
      <c r="L1933">
        <v>284.83069999999998</v>
      </c>
      <c r="M1933">
        <v>-0.99994609999999995</v>
      </c>
      <c r="N1933">
        <v>-1.034785E-2</v>
      </c>
      <c r="O1933">
        <v>-8.7027759999999904E-4</v>
      </c>
      <c r="P1933">
        <v>-0.976939</v>
      </c>
      <c r="Q1933">
        <v>0.18832579999999999</v>
      </c>
      <c r="R1933">
        <v>-0.1006155</v>
      </c>
      <c r="S1933">
        <v>-3.0859679999999998</v>
      </c>
      <c r="T1933">
        <v>-5.7978630000000003E-2</v>
      </c>
      <c r="U1933">
        <v>3.8269039999999997E-2</v>
      </c>
      <c r="V1933">
        <v>-9.9760920000000003E-2</v>
      </c>
      <c r="W1933">
        <v>0.19842779999999999</v>
      </c>
      <c r="X1933">
        <v>0.97502520000000004</v>
      </c>
      <c r="Y1933">
        <v>1.326663E-2</v>
      </c>
      <c r="Z1933">
        <v>2.0060769999999999E-4</v>
      </c>
      <c r="AA1933">
        <v>0.99991200000000002</v>
      </c>
      <c r="AB1933">
        <v>32</v>
      </c>
      <c r="AC1933">
        <v>-58.9085999999999</v>
      </c>
      <c r="AD1933">
        <v>-1.1101255157449901</v>
      </c>
      <c r="AE1933">
        <v>0.73290000000002897</v>
      </c>
      <c r="AF1933">
        <v>0.78389096173568096</v>
      </c>
      <c r="AG1933">
        <v>-1.1101255157449901</v>
      </c>
      <c r="AH1933">
        <v>58.887030542780501</v>
      </c>
      <c r="AI1933">
        <v>91.079904014225605</v>
      </c>
      <c r="AJ1933">
        <v>89.237336462305194</v>
      </c>
      <c r="AK1933">
        <v>58.902709868451403</v>
      </c>
      <c r="AL1933">
        <v>78.554963750026801</v>
      </c>
      <c r="AM1933">
        <v>95.841960032916703</v>
      </c>
      <c r="AN1933">
        <v>0.99999998680356295</v>
      </c>
    </row>
    <row r="1934" spans="1:40" x14ac:dyDescent="0.25">
      <c r="A1934" t="str">
        <f>"20190304155054641"</f>
        <v>20190304155054641</v>
      </c>
      <c r="B1934" t="str">
        <f>"1551685854638734"</f>
        <v>1551685854638734</v>
      </c>
      <c r="C1934" t="s">
        <v>40</v>
      </c>
      <c r="D1934">
        <v>5.0804790000000004</v>
      </c>
      <c r="E1934">
        <v>0.54032449999999999</v>
      </c>
      <c r="F1934" t="s">
        <v>70</v>
      </c>
      <c r="G1934">
        <v>-330.17959999999999</v>
      </c>
      <c r="H1934" s="1">
        <v>-1.4834150000000001E-6</v>
      </c>
      <c r="I1934">
        <v>285.58120000000002</v>
      </c>
      <c r="J1934">
        <v>-271.6241</v>
      </c>
      <c r="K1934">
        <v>1.110088</v>
      </c>
      <c r="L1934">
        <v>284.8304</v>
      </c>
      <c r="M1934">
        <v>-0.99994609999999995</v>
      </c>
      <c r="N1934">
        <v>-1.0364979999999999E-2</v>
      </c>
      <c r="O1934">
        <v>-7.7538539999999902E-4</v>
      </c>
      <c r="P1934">
        <v>-0.97672979999999998</v>
      </c>
      <c r="Q1934">
        <v>0.1897818</v>
      </c>
      <c r="R1934">
        <v>-9.9909129999999999E-2</v>
      </c>
      <c r="S1934">
        <v>-3.0860289999999999</v>
      </c>
      <c r="T1934">
        <v>-5.80945E-2</v>
      </c>
      <c r="U1934">
        <v>3.9276119999999998E-2</v>
      </c>
      <c r="V1934">
        <v>-9.9129800000000004E-2</v>
      </c>
      <c r="W1934">
        <v>0.19990720000000001</v>
      </c>
      <c r="X1934">
        <v>0.97478739999999997</v>
      </c>
      <c r="Y1934">
        <v>1.349767E-2</v>
      </c>
      <c r="Z1934">
        <v>2.0355460000000001E-4</v>
      </c>
      <c r="AA1934">
        <v>0.99990889999999999</v>
      </c>
      <c r="AB1934">
        <v>32</v>
      </c>
      <c r="AC1934">
        <v>-58.555500000000002</v>
      </c>
      <c r="AD1934">
        <v>-1.1100894834149999</v>
      </c>
      <c r="AE1934">
        <v>0.750800000000026</v>
      </c>
      <c r="AF1934">
        <v>0.79591927974792698</v>
      </c>
      <c r="AG1934">
        <v>-1.1100894834149999</v>
      </c>
      <c r="AH1934">
        <v>58.5338664696366</v>
      </c>
      <c r="AI1934">
        <v>91.086378627665198</v>
      </c>
      <c r="AJ1934">
        <v>89.220963724811995</v>
      </c>
      <c r="AK1934">
        <v>58.549801964193797</v>
      </c>
      <c r="AL1934">
        <v>78.468468078251803</v>
      </c>
      <c r="AM1934">
        <v>95.806661630001301</v>
      </c>
      <c r="AN1934">
        <v>1.0000000405293099</v>
      </c>
    </row>
    <row r="1935" spans="1:40" x14ac:dyDescent="0.25">
      <c r="A1935" t="str">
        <f>"20190304155054666"</f>
        <v>20190304155054666</v>
      </c>
      <c r="B1935" t="str">
        <f>"1551685854658255"</f>
        <v>1551685854658255</v>
      </c>
      <c r="C1935" t="s">
        <v>40</v>
      </c>
      <c r="D1935">
        <v>5.0497990000000001</v>
      </c>
      <c r="E1935">
        <v>0.54020679999999999</v>
      </c>
      <c r="F1935" t="s">
        <v>70</v>
      </c>
      <c r="G1935">
        <v>-332.43</v>
      </c>
      <c r="H1935" s="1">
        <v>-2.8633689999999999E-7</v>
      </c>
      <c r="I1935">
        <v>285.59219999999999</v>
      </c>
      <c r="J1935">
        <v>-271.9597</v>
      </c>
      <c r="K1935">
        <v>1.1100509999999999</v>
      </c>
      <c r="L1935">
        <v>284.83019999999999</v>
      </c>
      <c r="M1935">
        <v>-0.999946</v>
      </c>
      <c r="N1935">
        <v>-1.0378999999999999E-2</v>
      </c>
      <c r="O1935">
        <v>-6.5390999999999995E-4</v>
      </c>
      <c r="P1935">
        <v>-0.97699689999999995</v>
      </c>
      <c r="Q1935">
        <v>0.1886526</v>
      </c>
      <c r="R1935">
        <v>-9.9437159999999997E-2</v>
      </c>
      <c r="S1935">
        <v>-3.0863649999999998</v>
      </c>
      <c r="T1935">
        <v>-5.634546E-2</v>
      </c>
      <c r="U1935">
        <v>3.8665770000000002E-2</v>
      </c>
      <c r="V1935">
        <v>-9.8759659999999999E-2</v>
      </c>
      <c r="W1935">
        <v>0.1988026</v>
      </c>
      <c r="X1935">
        <v>0.9750508</v>
      </c>
      <c r="Y1935">
        <v>1.3177380000000001E-2</v>
      </c>
      <c r="Z1935">
        <v>1.9381739999999999E-4</v>
      </c>
      <c r="AA1935">
        <v>0.99991319999999995</v>
      </c>
      <c r="AB1935">
        <v>32</v>
      </c>
      <c r="AC1935">
        <v>-60.470300000000002</v>
      </c>
      <c r="AD1935">
        <v>-1.1100512863368901</v>
      </c>
      <c r="AE1935">
        <v>0.76200000000000001</v>
      </c>
      <c r="AF1935">
        <v>0.80127412880803095</v>
      </c>
      <c r="AG1935">
        <v>-1.1100512863368901</v>
      </c>
      <c r="AH1935">
        <v>60.449421858894397</v>
      </c>
      <c r="AI1935">
        <v>91.051929355079395</v>
      </c>
      <c r="AJ1935">
        <v>89.240572765239705</v>
      </c>
      <c r="AK1935">
        <v>60.464922534990301</v>
      </c>
      <c r="AL1935">
        <v>78.533052963859603</v>
      </c>
      <c r="AM1935">
        <v>95.783575315125702</v>
      </c>
      <c r="AN1935">
        <v>1.00000000339535</v>
      </c>
    </row>
    <row r="1936" spans="1:40" x14ac:dyDescent="0.25">
      <c r="A1936" t="str">
        <f>"20190304155054690"</f>
        <v>20190304155054690</v>
      </c>
      <c r="B1936" t="str">
        <f>"1551685854678751"</f>
        <v>1551685854678751</v>
      </c>
      <c r="C1936" t="s">
        <v>40</v>
      </c>
      <c r="D1936">
        <v>5.0200329999999997</v>
      </c>
      <c r="E1936">
        <v>0.54003639999999997</v>
      </c>
      <c r="F1936" t="s">
        <v>70</v>
      </c>
      <c r="G1936">
        <v>-327.21230000000003</v>
      </c>
      <c r="H1936" s="1">
        <v>2.2616769999999999E-6</v>
      </c>
      <c r="I1936">
        <v>285.5213</v>
      </c>
      <c r="J1936">
        <v>-272.30669999999998</v>
      </c>
      <c r="K1936">
        <v>1.1100110000000001</v>
      </c>
      <c r="L1936">
        <v>284.83019999999999</v>
      </c>
      <c r="M1936">
        <v>-0.999946</v>
      </c>
      <c r="N1936">
        <v>-1.0393329999999999E-2</v>
      </c>
      <c r="O1936">
        <v>-4.8256150000000001E-4</v>
      </c>
      <c r="P1936">
        <v>-0.97724690000000003</v>
      </c>
      <c r="Q1936">
        <v>0.18753330000000001</v>
      </c>
      <c r="R1936">
        <v>-9.9097290000000005E-2</v>
      </c>
      <c r="S1936">
        <v>-3.0865480000000001</v>
      </c>
      <c r="T1936">
        <v>-6.2010170000000003E-2</v>
      </c>
      <c r="U1936">
        <v>3.8604739999999999E-2</v>
      </c>
      <c r="V1936">
        <v>-9.8568509999999998E-2</v>
      </c>
      <c r="W1936">
        <v>0.197709</v>
      </c>
      <c r="X1936">
        <v>0.97529239999999995</v>
      </c>
      <c r="Y1936">
        <v>1.298499E-2</v>
      </c>
      <c r="Z1936">
        <v>2.025908E-4</v>
      </c>
      <c r="AA1936">
        <v>0.99991569999999996</v>
      </c>
      <c r="AB1936">
        <v>32</v>
      </c>
      <c r="AC1936">
        <v>-54.9056</v>
      </c>
      <c r="AD1936">
        <v>-1.110008738323</v>
      </c>
      <c r="AE1936">
        <v>0.69110000000000504</v>
      </c>
      <c r="AF1936">
        <v>0.71730355039801397</v>
      </c>
      <c r="AG1936">
        <v>-1.110008738323</v>
      </c>
      <c r="AH1936">
        <v>54.882832261825698</v>
      </c>
      <c r="AI1936">
        <v>91.158553862544593</v>
      </c>
      <c r="AJ1936">
        <v>89.2512025254848</v>
      </c>
      <c r="AK1936">
        <v>54.898742434251197</v>
      </c>
      <c r="AL1936">
        <v>78.596979757486395</v>
      </c>
      <c r="AM1936">
        <v>95.771036529833097</v>
      </c>
      <c r="AN1936">
        <v>0.99999993267118703</v>
      </c>
    </row>
    <row r="1937" spans="1:40" x14ac:dyDescent="0.25">
      <c r="A1937" t="str">
        <f>"20190304155054709"</f>
        <v>20190304155054709</v>
      </c>
      <c r="B1937" t="str">
        <f>"1551685854698271"</f>
        <v>1551685854698271</v>
      </c>
      <c r="C1937" t="s">
        <v>40</v>
      </c>
      <c r="D1937">
        <v>4.9330160000000003</v>
      </c>
      <c r="E1937">
        <v>0.54002280000000003</v>
      </c>
      <c r="F1937" t="s">
        <v>70</v>
      </c>
      <c r="G1937">
        <v>-322.28219999999999</v>
      </c>
      <c r="H1937" s="1">
        <v>-3.5848989999999998E-7</v>
      </c>
      <c r="I1937">
        <v>285.4434</v>
      </c>
      <c r="J1937">
        <v>-272.5958</v>
      </c>
      <c r="K1937">
        <v>1.10998</v>
      </c>
      <c r="L1937">
        <v>284.83019999999999</v>
      </c>
      <c r="M1937">
        <v>-0.9999458</v>
      </c>
      <c r="N1937">
        <v>-1.04092E-2</v>
      </c>
      <c r="O1937">
        <v>-3.0654709999999998E-4</v>
      </c>
      <c r="P1937">
        <v>-0.97733150000000002</v>
      </c>
      <c r="Q1937">
        <v>0.18717549999999999</v>
      </c>
      <c r="R1937">
        <v>-9.8937940000000002E-2</v>
      </c>
      <c r="S1937">
        <v>-3.0868530000000001</v>
      </c>
      <c r="T1937">
        <v>-6.8562509999999993E-2</v>
      </c>
      <c r="U1937">
        <v>3.7872309999999999E-2</v>
      </c>
      <c r="V1937">
        <v>-9.8566429999999997E-2</v>
      </c>
      <c r="W1937">
        <v>0.19737479999999999</v>
      </c>
      <c r="X1937">
        <v>0.97536040000000002</v>
      </c>
      <c r="Y1937">
        <v>1.256995E-2</v>
      </c>
      <c r="Z1937">
        <v>2.086286E-4</v>
      </c>
      <c r="AA1937">
        <v>0.99992099999999995</v>
      </c>
      <c r="AB1937">
        <v>32</v>
      </c>
      <c r="AC1937">
        <v>-49.6863999999999</v>
      </c>
      <c r="AD1937">
        <v>-1.1099803584899</v>
      </c>
      <c r="AE1937">
        <v>0.61320000000000596</v>
      </c>
      <c r="AF1937">
        <v>0.62811859475348697</v>
      </c>
      <c r="AG1937">
        <v>-1.1099803584899</v>
      </c>
      <c r="AH1937">
        <v>49.661429264099503</v>
      </c>
      <c r="AI1937">
        <v>91.280299821003595</v>
      </c>
      <c r="AJ1937">
        <v>89.275360653662403</v>
      </c>
      <c r="AK1937">
        <v>49.6778033523874</v>
      </c>
      <c r="AL1937">
        <v>78.616514058516898</v>
      </c>
      <c r="AM1937">
        <v>95.770515950596504</v>
      </c>
      <c r="AN1937">
        <v>1.0000000313430699</v>
      </c>
    </row>
    <row r="1938" spans="1:40" x14ac:dyDescent="0.25">
      <c r="A1938" t="str">
        <f>"20190304155054732"</f>
        <v>20190304155054732</v>
      </c>
      <c r="B1938" t="str">
        <f>"1551685854728526"</f>
        <v>1551685854728526</v>
      </c>
      <c r="C1938" t="s">
        <v>40</v>
      </c>
      <c r="D1938">
        <v>5.0369609999999998</v>
      </c>
      <c r="E1938">
        <v>0.49934810000000002</v>
      </c>
      <c r="F1938" t="s">
        <v>70</v>
      </c>
      <c r="G1938">
        <v>-320.82049999999998</v>
      </c>
      <c r="H1938" s="1">
        <v>-1.135156E-6</v>
      </c>
      <c r="I1938">
        <v>285.4171</v>
      </c>
      <c r="J1938">
        <v>-272.91370000000001</v>
      </c>
      <c r="K1938">
        <v>1.109952</v>
      </c>
      <c r="L1938">
        <v>284.83030000000002</v>
      </c>
      <c r="M1938">
        <v>-0.99994570000000005</v>
      </c>
      <c r="N1938">
        <v>-1.042937E-2</v>
      </c>
      <c r="O1938" s="1">
        <v>-8.4805709999999994E-5</v>
      </c>
      <c r="P1938">
        <v>-0.97729659999999996</v>
      </c>
      <c r="Q1938">
        <v>0.187414</v>
      </c>
      <c r="R1938">
        <v>-9.8831790000000003E-2</v>
      </c>
      <c r="S1938">
        <v>-3.0870060000000001</v>
      </c>
      <c r="T1938">
        <v>-7.1053149999999995E-2</v>
      </c>
      <c r="U1938">
        <v>3.7567139999999999E-2</v>
      </c>
      <c r="V1938">
        <v>-9.8662920000000001E-2</v>
      </c>
      <c r="W1938">
        <v>0.19763929999999999</v>
      </c>
      <c r="X1938">
        <v>0.97529699999999997</v>
      </c>
      <c r="Y1938">
        <v>1.224863E-2</v>
      </c>
      <c r="Z1938">
        <v>2.0589490000000001E-4</v>
      </c>
      <c r="AA1938">
        <v>0.99992499999999995</v>
      </c>
      <c r="AB1938">
        <v>32</v>
      </c>
      <c r="AC1938">
        <v>-47.906799999999897</v>
      </c>
      <c r="AD1938">
        <v>-1.1099531351559999</v>
      </c>
      <c r="AE1938">
        <v>0.586799999999982</v>
      </c>
      <c r="AF1938">
        <v>0.59054602933897704</v>
      </c>
      <c r="AG1938">
        <v>-1.1099531351559999</v>
      </c>
      <c r="AH1938">
        <v>47.8810512232549</v>
      </c>
      <c r="AI1938">
        <v>91.327861577778293</v>
      </c>
      <c r="AJ1938">
        <v>89.293372248405504</v>
      </c>
      <c r="AK1938">
        <v>47.897555332385899</v>
      </c>
      <c r="AL1938">
        <v>78.601053877641405</v>
      </c>
      <c r="AM1938">
        <v>95.776499668071807</v>
      </c>
      <c r="AN1938">
        <v>0.99999995144820697</v>
      </c>
    </row>
    <row r="1939" spans="1:40" x14ac:dyDescent="0.25">
      <c r="A1939" t="str">
        <f>"20190304155054753"</f>
        <v>20190304155054753</v>
      </c>
      <c r="B1939" t="str">
        <f>"1551685854749023"</f>
        <v>1551685854749023</v>
      </c>
      <c r="C1939" t="s">
        <v>40</v>
      </c>
      <c r="D1939">
        <v>5.0246649999999997</v>
      </c>
      <c r="E1939">
        <v>0.49897360000000002</v>
      </c>
      <c r="F1939" t="s">
        <v>72</v>
      </c>
      <c r="G1939">
        <v>-306.49380000000002</v>
      </c>
      <c r="H1939" s="1">
        <v>3.0672809999999999E-6</v>
      </c>
      <c r="I1939">
        <v>281.70440000000002</v>
      </c>
      <c r="J1939">
        <v>-273.23599999999999</v>
      </c>
      <c r="K1939">
        <v>1.109931</v>
      </c>
      <c r="L1939">
        <v>284.8306</v>
      </c>
      <c r="M1939">
        <v>-0.99994539999999998</v>
      </c>
      <c r="N1939">
        <v>-1.044957E-2</v>
      </c>
      <c r="O1939">
        <v>1.667866E-4</v>
      </c>
      <c r="P1939">
        <v>-0.97732600000000003</v>
      </c>
      <c r="Q1939">
        <v>0.18730559999999999</v>
      </c>
      <c r="R1939">
        <v>-9.874513E-2</v>
      </c>
      <c r="S1939">
        <v>-3.0603030000000002</v>
      </c>
      <c r="T1939">
        <v>-0.1011547</v>
      </c>
      <c r="U1939">
        <v>-0.28488160000000001</v>
      </c>
      <c r="V1939">
        <v>-9.8810640000000005E-2</v>
      </c>
      <c r="W1939">
        <v>0.1975566</v>
      </c>
      <c r="X1939">
        <v>0.97529889999999997</v>
      </c>
      <c r="Y1939">
        <v>-9.2788389999999998E-2</v>
      </c>
      <c r="Z1939">
        <v>-2.0195740000000001E-3</v>
      </c>
      <c r="AA1939">
        <v>0.99568380000000001</v>
      </c>
      <c r="AB1939">
        <v>32</v>
      </c>
      <c r="AC1939">
        <v>-33.257800000000003</v>
      </c>
      <c r="AD1939">
        <v>-1.1099279327189999</v>
      </c>
      <c r="AE1939">
        <v>-3.1261999999999799</v>
      </c>
      <c r="AF1939">
        <v>-3.1282934756138898</v>
      </c>
      <c r="AG1939">
        <v>-1.1099279327189999</v>
      </c>
      <c r="AH1939">
        <v>33.220601461860703</v>
      </c>
      <c r="AI1939">
        <v>91.905165727564494</v>
      </c>
      <c r="AJ1939">
        <v>95.379523855077807</v>
      </c>
      <c r="AK1939">
        <v>33.386022847490899</v>
      </c>
      <c r="AL1939">
        <v>78.605888664858099</v>
      </c>
      <c r="AM1939">
        <v>95.785078542150103</v>
      </c>
      <c r="AN1939">
        <v>1.0000000485609799</v>
      </c>
    </row>
    <row r="1940" spans="1:40" x14ac:dyDescent="0.25">
      <c r="A1940" t="str">
        <f>"20190304155054777"</f>
        <v>20190304155054777</v>
      </c>
      <c r="B1940" t="str">
        <f>"1551685854768546"</f>
        <v>1551685854768546</v>
      </c>
      <c r="C1940" t="s">
        <v>40</v>
      </c>
      <c r="D1940">
        <v>5.0050739999999996</v>
      </c>
      <c r="E1940">
        <v>0.49906089999999997</v>
      </c>
      <c r="F1940" t="s">
        <v>72</v>
      </c>
      <c r="G1940">
        <v>-307.57319999999999</v>
      </c>
      <c r="H1940" s="1">
        <v>2.8850590000000001E-6</v>
      </c>
      <c r="I1940">
        <v>281.59870000000001</v>
      </c>
      <c r="J1940">
        <v>-273.56560000000002</v>
      </c>
      <c r="K1940">
        <v>1.10991</v>
      </c>
      <c r="L1940">
        <v>284.83089999999999</v>
      </c>
      <c r="M1940">
        <v>-0.99994510000000003</v>
      </c>
      <c r="N1940">
        <v>-1.047096E-2</v>
      </c>
      <c r="O1940">
        <v>4.4603580000000001E-4</v>
      </c>
      <c r="P1940">
        <v>-0.97741009999999995</v>
      </c>
      <c r="Q1940">
        <v>0.18706429999999999</v>
      </c>
      <c r="R1940">
        <v>-9.8369399999999996E-2</v>
      </c>
      <c r="S1940">
        <v>-3.0594790000000001</v>
      </c>
      <c r="T1940">
        <v>-9.8895910000000004E-2</v>
      </c>
      <c r="U1940">
        <v>-0.28796389999999999</v>
      </c>
      <c r="V1940">
        <v>-9.8698279999999999E-2</v>
      </c>
      <c r="W1940">
        <v>0.19734160000000001</v>
      </c>
      <c r="X1940">
        <v>0.97535380000000005</v>
      </c>
      <c r="Y1940">
        <v>-9.4087089999999998E-2</v>
      </c>
      <c r="Z1940">
        <v>-2.020492E-3</v>
      </c>
      <c r="AA1940">
        <v>0.9955619</v>
      </c>
      <c r="AB1940">
        <v>32</v>
      </c>
      <c r="AC1940">
        <v>-34.007599999999897</v>
      </c>
      <c r="AD1940">
        <v>-1.109907114941</v>
      </c>
      <c r="AE1940">
        <v>-3.23219999999997</v>
      </c>
      <c r="AF1940">
        <v>-3.2439446791778699</v>
      </c>
      <c r="AG1940">
        <v>-1.109907114941</v>
      </c>
      <c r="AH1940">
        <v>33.970294460541297</v>
      </c>
      <c r="AI1940">
        <v>91.862883464728</v>
      </c>
      <c r="AJ1940">
        <v>95.4548377109857</v>
      </c>
      <c r="AK1940">
        <v>34.142875927801398</v>
      </c>
      <c r="AL1940">
        <v>78.618454616207799</v>
      </c>
      <c r="AM1940">
        <v>95.778221672950295</v>
      </c>
      <c r="AN1940">
        <v>1.0000000463699701</v>
      </c>
    </row>
    <row r="1941" spans="1:40" x14ac:dyDescent="0.25">
      <c r="A1941" t="str">
        <f>"20190304155054798"</f>
        <v>20190304155054798</v>
      </c>
      <c r="B1941" t="str">
        <f>"1551685854789041"</f>
        <v>1551685854789041</v>
      </c>
      <c r="C1941" t="s">
        <v>40</v>
      </c>
      <c r="D1941">
        <v>4.9215479999999996</v>
      </c>
      <c r="E1941">
        <v>0.49800929999999999</v>
      </c>
      <c r="F1941" t="s">
        <v>72</v>
      </c>
      <c r="G1941">
        <v>-309.15789999999998</v>
      </c>
      <c r="H1941" s="1">
        <v>2.6131780000000001E-6</v>
      </c>
      <c r="I1941">
        <v>281.4932</v>
      </c>
      <c r="J1941">
        <v>-273.88720000000001</v>
      </c>
      <c r="K1941">
        <v>1.1098980000000001</v>
      </c>
      <c r="L1941">
        <v>284.8313</v>
      </c>
      <c r="M1941">
        <v>-0.99994470000000002</v>
      </c>
      <c r="N1941">
        <v>-1.049799E-2</v>
      </c>
      <c r="O1941">
        <v>7.3559259999999996E-4</v>
      </c>
      <c r="P1941">
        <v>-0.97740329999999997</v>
      </c>
      <c r="Q1941">
        <v>0.1874054</v>
      </c>
      <c r="R1941">
        <v>-9.7785759999999999E-2</v>
      </c>
      <c r="S1941">
        <v>-3.0587460000000002</v>
      </c>
      <c r="T1941">
        <v>-9.5383880000000004E-2</v>
      </c>
      <c r="U1941">
        <v>-0.2868347</v>
      </c>
      <c r="V1941">
        <v>-9.8390320000000003E-2</v>
      </c>
      <c r="W1941">
        <v>0.19771230000000001</v>
      </c>
      <c r="X1941">
        <v>0.9753098</v>
      </c>
      <c r="Y1941">
        <v>-9.4037190000000007E-2</v>
      </c>
      <c r="Z1941">
        <v>-1.9726969999999998E-3</v>
      </c>
      <c r="AA1941">
        <v>0.99556670000000003</v>
      </c>
      <c r="AB1941">
        <v>32</v>
      </c>
      <c r="AC1941">
        <v>-35.270699999999898</v>
      </c>
      <c r="AD1941">
        <v>-1.1098953868220001</v>
      </c>
      <c r="AE1941">
        <v>-3.3380999999999901</v>
      </c>
      <c r="AF1941">
        <v>-3.36074702311396</v>
      </c>
      <c r="AG1941">
        <v>-1.1098953868220001</v>
      </c>
      <c r="AH1941">
        <v>35.233655164844201</v>
      </c>
      <c r="AI1941">
        <v>91.796130814699296</v>
      </c>
      <c r="AJ1941">
        <v>95.448648825277701</v>
      </c>
      <c r="AK1941">
        <v>35.410972093380998</v>
      </c>
      <c r="AL1941">
        <v>78.596787736485695</v>
      </c>
      <c r="AM1941">
        <v>95.760571923526101</v>
      </c>
      <c r="AN1941">
        <v>1.00000000730851</v>
      </c>
    </row>
    <row r="1942" spans="1:40" x14ac:dyDescent="0.25">
      <c r="A1942" t="str">
        <f>"20190304155054821"</f>
        <v>20190304155054821</v>
      </c>
      <c r="B1942" t="str">
        <f>"1551685854818318"</f>
        <v>1551685854818318</v>
      </c>
      <c r="C1942" t="s">
        <v>40</v>
      </c>
      <c r="D1942">
        <v>5.006043</v>
      </c>
      <c r="E1942">
        <v>0.49740960000000001</v>
      </c>
      <c r="F1942" t="s">
        <v>72</v>
      </c>
      <c r="G1942">
        <v>-305.8365</v>
      </c>
      <c r="H1942" s="1">
        <v>3.1783059999999999E-6</v>
      </c>
      <c r="I1942">
        <v>281.7681</v>
      </c>
      <c r="J1942">
        <v>-274.20370000000003</v>
      </c>
      <c r="K1942">
        <v>1.109893</v>
      </c>
      <c r="L1942">
        <v>284.83179999999999</v>
      </c>
      <c r="M1942">
        <v>-0.99994400000000006</v>
      </c>
      <c r="N1942">
        <v>-1.0536210000000001E-2</v>
      </c>
      <c r="O1942">
        <v>1.0355729999999999E-3</v>
      </c>
      <c r="P1942">
        <v>-0.97731780000000001</v>
      </c>
      <c r="Q1942">
        <v>0.18820300000000001</v>
      </c>
      <c r="R1942">
        <v>-9.7106680000000001E-2</v>
      </c>
      <c r="S1942">
        <v>-3.0603940000000001</v>
      </c>
      <c r="T1942">
        <v>-0.1063159</v>
      </c>
      <c r="U1942">
        <v>-0.29342649999999998</v>
      </c>
      <c r="V1942">
        <v>-9.7995760000000001E-2</v>
      </c>
      <c r="W1942">
        <v>0.19854930000000001</v>
      </c>
      <c r="X1942">
        <v>0.97517949999999998</v>
      </c>
      <c r="Y1942">
        <v>-9.6396300000000004E-2</v>
      </c>
      <c r="Z1942">
        <v>-2.204236E-3</v>
      </c>
      <c r="AA1942">
        <v>0.99534060000000002</v>
      </c>
      <c r="AB1942">
        <v>32</v>
      </c>
      <c r="AC1942">
        <v>-31.6327999999999</v>
      </c>
      <c r="AD1942">
        <v>-1.1098898216940001</v>
      </c>
      <c r="AE1942">
        <v>-3.0636999999999799</v>
      </c>
      <c r="AF1942">
        <v>-3.0926863012636798</v>
      </c>
      <c r="AG1942">
        <v>-1.1098898216940001</v>
      </c>
      <c r="AH1942">
        <v>31.591080609254099</v>
      </c>
      <c r="AI1942">
        <v>92.002580170684595</v>
      </c>
      <c r="AJ1942">
        <v>95.591294098853595</v>
      </c>
      <c r="AK1942">
        <v>31.761500878181302</v>
      </c>
      <c r="AL1942">
        <v>78.547861438157696</v>
      </c>
      <c r="AM1942">
        <v>95.738387123106804</v>
      </c>
      <c r="AN1942">
        <v>1.00000002536435</v>
      </c>
    </row>
    <row r="1943" spans="1:40" x14ac:dyDescent="0.25">
      <c r="A1943" t="str">
        <f>"20190304155054843"</f>
        <v>20190304155054843</v>
      </c>
      <c r="B1943" t="str">
        <f>"1551685854838815"</f>
        <v>1551685854838815</v>
      </c>
      <c r="C1943" t="s">
        <v>40</v>
      </c>
      <c r="D1943">
        <v>4.9796880000000003</v>
      </c>
      <c r="E1943">
        <v>0.49696249999999997</v>
      </c>
      <c r="F1943" t="s">
        <v>72</v>
      </c>
      <c r="G1943">
        <v>-305.98270000000002</v>
      </c>
      <c r="H1943" s="1">
        <v>3.1531680000000001E-6</v>
      </c>
      <c r="I1943">
        <v>281.75900000000001</v>
      </c>
      <c r="J1943">
        <v>-274.52980000000002</v>
      </c>
      <c r="K1943">
        <v>1.1098859999999999</v>
      </c>
      <c r="L1943">
        <v>284.83249999999998</v>
      </c>
      <c r="M1943">
        <v>-0.99994309999999997</v>
      </c>
      <c r="N1943">
        <v>-1.0589049999999999E-2</v>
      </c>
      <c r="O1943">
        <v>1.3591580000000001E-3</v>
      </c>
      <c r="P1943">
        <v>-0.97727850000000005</v>
      </c>
      <c r="Q1943">
        <v>0.18867100000000001</v>
      </c>
      <c r="R1943">
        <v>-9.6591129999999997E-2</v>
      </c>
      <c r="S1943">
        <v>-3.060791</v>
      </c>
      <c r="T1943">
        <v>-0.10689890000000001</v>
      </c>
      <c r="U1943">
        <v>-0.29595949999999999</v>
      </c>
      <c r="V1943">
        <v>-9.7788020000000003E-2</v>
      </c>
      <c r="W1943">
        <v>0.19907230000000001</v>
      </c>
      <c r="X1943">
        <v>0.97509369999999995</v>
      </c>
      <c r="Y1943">
        <v>-9.7520430000000005E-2</v>
      </c>
      <c r="Z1943">
        <v>-2.2492189999999998E-3</v>
      </c>
      <c r="AA1943">
        <v>0.99523099999999998</v>
      </c>
      <c r="AB1943">
        <v>32</v>
      </c>
      <c r="AC1943">
        <v>-31.4529</v>
      </c>
      <c r="AD1943">
        <v>-1.1098828468319999</v>
      </c>
      <c r="AE1943">
        <v>-3.0734999999999602</v>
      </c>
      <c r="AF1943">
        <v>-3.1124101531740598</v>
      </c>
      <c r="AG1943">
        <v>-1.1098828468319999</v>
      </c>
      <c r="AH1943">
        <v>31.409952155618502</v>
      </c>
      <c r="AI1943">
        <v>92.013872025753798</v>
      </c>
      <c r="AJ1943">
        <v>95.658961946333804</v>
      </c>
      <c r="AK1943">
        <v>31.5832872151319</v>
      </c>
      <c r="AL1943">
        <v>78.517285095425507</v>
      </c>
      <c r="AM1943">
        <v>95.726803833303293</v>
      </c>
      <c r="AN1943">
        <v>1.0000000006312499</v>
      </c>
    </row>
    <row r="1944" spans="1:40" x14ac:dyDescent="0.25">
      <c r="A1944" t="str">
        <f>"20190304155054866"</f>
        <v>20190304155054866</v>
      </c>
      <c r="B1944" t="str">
        <f>"1551685854858335"</f>
        <v>1551685854858335</v>
      </c>
      <c r="C1944" t="s">
        <v>40</v>
      </c>
      <c r="D1944">
        <v>5.0202400000000003</v>
      </c>
      <c r="E1944">
        <v>0.49691590000000002</v>
      </c>
      <c r="F1944" t="s">
        <v>72</v>
      </c>
      <c r="G1944">
        <v>-306.01690000000002</v>
      </c>
      <c r="H1944" s="1">
        <v>3.1464890000000002E-6</v>
      </c>
      <c r="I1944">
        <v>281.76589999999999</v>
      </c>
      <c r="J1944">
        <v>-274.86689999999999</v>
      </c>
      <c r="K1944">
        <v>1.1098840000000001</v>
      </c>
      <c r="L1944">
        <v>284.83330000000001</v>
      </c>
      <c r="M1944">
        <v>-0.99994179999999999</v>
      </c>
      <c r="N1944">
        <v>-1.0658630000000001E-2</v>
      </c>
      <c r="O1944">
        <v>1.7112449999999999E-3</v>
      </c>
      <c r="P1944">
        <v>-0.97710900000000001</v>
      </c>
      <c r="Q1944">
        <v>0.18972739999999999</v>
      </c>
      <c r="R1944">
        <v>-9.623756E-2</v>
      </c>
      <c r="S1944">
        <v>-3.0611269999999999</v>
      </c>
      <c r="T1944">
        <v>-0.1079012</v>
      </c>
      <c r="U1944">
        <v>-0.29812620000000001</v>
      </c>
      <c r="V1944">
        <v>-9.7767900000000005E-2</v>
      </c>
      <c r="W1944">
        <v>0.20019880000000001</v>
      </c>
      <c r="X1944">
        <v>0.97486510000000004</v>
      </c>
      <c r="Y1944">
        <v>-9.8555920000000005E-2</v>
      </c>
      <c r="Z1944">
        <v>-2.3010259999999999E-3</v>
      </c>
      <c r="AA1944">
        <v>0.99512889999999998</v>
      </c>
      <c r="AB1944">
        <v>32</v>
      </c>
      <c r="AC1944">
        <v>-31.15</v>
      </c>
      <c r="AD1944">
        <v>-1.1098808535110001</v>
      </c>
      <c r="AE1944">
        <v>-3.0674000000000201</v>
      </c>
      <c r="AF1944">
        <v>-3.1167850197207301</v>
      </c>
      <c r="AG1944">
        <v>-1.1098808535110001</v>
      </c>
      <c r="AH1944">
        <v>31.1055953413262</v>
      </c>
      <c r="AI1944">
        <v>92.033334355877798</v>
      </c>
      <c r="AJ1944">
        <v>95.721946574679706</v>
      </c>
      <c r="AK1944">
        <v>31.2810525063733</v>
      </c>
      <c r="AL1944">
        <v>78.451415944560196</v>
      </c>
      <c r="AM1944">
        <v>95.726967069100596</v>
      </c>
      <c r="AN1944">
        <v>1.00000004249492</v>
      </c>
    </row>
    <row r="1945" spans="1:40" x14ac:dyDescent="0.25">
      <c r="A1945" t="str">
        <f>"20190304155054890"</f>
        <v>20190304155054890</v>
      </c>
      <c r="B1945" t="str">
        <f>"1551685854878605"</f>
        <v>1551685854878605</v>
      </c>
      <c r="C1945" t="s">
        <v>40</v>
      </c>
      <c r="D1945">
        <v>5.0076239999999999</v>
      </c>
      <c r="E1945">
        <v>0.49666320000000003</v>
      </c>
      <c r="F1945" t="s">
        <v>72</v>
      </c>
      <c r="G1945">
        <v>-308.07339999999999</v>
      </c>
      <c r="H1945" s="1">
        <v>2.7962800000000001E-6</v>
      </c>
      <c r="I1945">
        <v>281.59930000000003</v>
      </c>
      <c r="J1945">
        <v>-275.197</v>
      </c>
      <c r="K1945">
        <v>1.1098809999999999</v>
      </c>
      <c r="L1945">
        <v>284.83429999999998</v>
      </c>
      <c r="M1945">
        <v>-0.99994019999999995</v>
      </c>
      <c r="N1945">
        <v>-1.0745680000000001E-2</v>
      </c>
      <c r="O1945">
        <v>2.0822940000000002E-3</v>
      </c>
      <c r="P1945">
        <v>-0.97699009999999997</v>
      </c>
      <c r="Q1945">
        <v>0.19057489999999999</v>
      </c>
      <c r="R1945">
        <v>-9.5769140000000003E-2</v>
      </c>
      <c r="S1945">
        <v>-3.060791</v>
      </c>
      <c r="T1945">
        <v>-0.1023027</v>
      </c>
      <c r="U1945">
        <v>-0.29809570000000002</v>
      </c>
      <c r="V1945">
        <v>-9.7650230000000005E-2</v>
      </c>
      <c r="W1945">
        <v>0.20113490000000001</v>
      </c>
      <c r="X1945">
        <v>0.97468410000000005</v>
      </c>
      <c r="Y1945">
        <v>-9.8932500000000007E-2</v>
      </c>
      <c r="Z1945">
        <v>-2.2290909999999999E-3</v>
      </c>
      <c r="AA1945">
        <v>0.99509170000000002</v>
      </c>
      <c r="AB1945">
        <v>32</v>
      </c>
      <c r="AC1945">
        <v>-32.876399999999897</v>
      </c>
      <c r="AD1945">
        <v>-1.1098782037199999</v>
      </c>
      <c r="AE1945">
        <v>-3.2349999999999501</v>
      </c>
      <c r="AF1945">
        <v>-3.2997306941604401</v>
      </c>
      <c r="AG1945">
        <v>-1.1098782037199999</v>
      </c>
      <c r="AH1945">
        <v>32.832532419267601</v>
      </c>
      <c r="AI1945">
        <v>91.926404843088406</v>
      </c>
      <c r="AJ1945">
        <v>95.739061685895294</v>
      </c>
      <c r="AK1945">
        <v>33.016590334910902</v>
      </c>
      <c r="AL1945">
        <v>78.396666734142102</v>
      </c>
      <c r="AM1945">
        <v>95.721175216623095</v>
      </c>
      <c r="AN1945">
        <v>0.999999955104935</v>
      </c>
    </row>
    <row r="1946" spans="1:40" x14ac:dyDescent="0.25">
      <c r="A1946" t="str">
        <f>"20190304155054911"</f>
        <v>20190304155054911</v>
      </c>
      <c r="B1946" t="str">
        <f>"1551685854908861"</f>
        <v>1551685854908861</v>
      </c>
      <c r="C1946" t="s">
        <v>40</v>
      </c>
      <c r="D1946">
        <v>4.9359089999999997</v>
      </c>
      <c r="E1946">
        <v>0.49652170000000001</v>
      </c>
      <c r="F1946" t="s">
        <v>72</v>
      </c>
      <c r="G1946">
        <v>-308.56670000000003</v>
      </c>
      <c r="H1946" s="1">
        <v>2.7107990000000001E-6</v>
      </c>
      <c r="I1946">
        <v>281.57619999999997</v>
      </c>
      <c r="J1946">
        <v>-275.51280000000003</v>
      </c>
      <c r="K1946">
        <v>1.1098760000000001</v>
      </c>
      <c r="L1946">
        <v>284.83530000000002</v>
      </c>
      <c r="M1946">
        <v>-0.9999382</v>
      </c>
      <c r="N1946">
        <v>-1.083932E-2</v>
      </c>
      <c r="O1946">
        <v>2.4648999999999999E-3</v>
      </c>
      <c r="P1946">
        <v>-0.97692259999999997</v>
      </c>
      <c r="Q1946">
        <v>0.19101389999999999</v>
      </c>
      <c r="R1946">
        <v>-9.5582310000000004E-2</v>
      </c>
      <c r="S1946">
        <v>-3.0612180000000002</v>
      </c>
      <c r="T1946">
        <v>-0.1018163</v>
      </c>
      <c r="U1946">
        <v>-0.29888920000000002</v>
      </c>
      <c r="V1946">
        <v>-9.7823750000000001E-2</v>
      </c>
      <c r="W1946">
        <v>0.20167019999999999</v>
      </c>
      <c r="X1946">
        <v>0.97455610000000004</v>
      </c>
      <c r="Y1946">
        <v>-9.9555249999999998E-2</v>
      </c>
      <c r="Z1946">
        <v>-2.2473929999999999E-3</v>
      </c>
      <c r="AA1946">
        <v>0.99502950000000001</v>
      </c>
      <c r="AB1946">
        <v>32</v>
      </c>
      <c r="AC1946">
        <v>-33.053899999999999</v>
      </c>
      <c r="AD1946">
        <v>-1.1098732892009999</v>
      </c>
      <c r="AE1946">
        <v>-3.2591000000000401</v>
      </c>
      <c r="AF1946">
        <v>-3.3368435075438301</v>
      </c>
      <c r="AG1946">
        <v>-1.1098732892009999</v>
      </c>
      <c r="AH1946">
        <v>33.008907831379098</v>
      </c>
      <c r="AI1946">
        <v>91.915998558579403</v>
      </c>
      <c r="AJ1946">
        <v>95.772374134035402</v>
      </c>
      <c r="AK1946">
        <v>33.195697605750098</v>
      </c>
      <c r="AL1946">
        <v>78.3653548931822</v>
      </c>
      <c r="AM1946">
        <v>95.732021607301604</v>
      </c>
      <c r="AN1946">
        <v>0.999999973839655</v>
      </c>
    </row>
    <row r="1947" spans="1:40" x14ac:dyDescent="0.25">
      <c r="A1947" t="str">
        <f>"20190304155054933"</f>
        <v>20190304155054933</v>
      </c>
      <c r="B1947" t="str">
        <f>"1551685854928381"</f>
        <v>1551685854928381</v>
      </c>
      <c r="C1947" t="s">
        <v>40</v>
      </c>
      <c r="D1947">
        <v>4.9355099999999998</v>
      </c>
      <c r="E1947">
        <v>0.49623610000000001</v>
      </c>
      <c r="F1947" t="s">
        <v>72</v>
      </c>
      <c r="G1947">
        <v>-307.42070000000001</v>
      </c>
      <c r="H1947" s="1">
        <v>2.9016220000000001E-6</v>
      </c>
      <c r="I1947">
        <v>281.71859999999998</v>
      </c>
      <c r="J1947">
        <v>-275.81610000000001</v>
      </c>
      <c r="K1947">
        <v>1.109861</v>
      </c>
      <c r="L1947">
        <v>284.83640000000003</v>
      </c>
      <c r="M1947">
        <v>-0.99993620000000005</v>
      </c>
      <c r="N1947">
        <v>-1.093038E-2</v>
      </c>
      <c r="O1947">
        <v>2.8541159999999999E-3</v>
      </c>
      <c r="P1947">
        <v>-0.97702239999999996</v>
      </c>
      <c r="Q1947">
        <v>0.19054789999999999</v>
      </c>
      <c r="R1947">
        <v>-9.5492090000000002E-2</v>
      </c>
      <c r="S1947">
        <v>-3.0624389999999999</v>
      </c>
      <c r="T1947">
        <v>-0.106522699999999</v>
      </c>
      <c r="U1947">
        <v>-0.29913329999999999</v>
      </c>
      <c r="V1947">
        <v>-9.8102780000000001E-2</v>
      </c>
      <c r="W1947">
        <v>0.20129929999999999</v>
      </c>
      <c r="X1947">
        <v>0.97460469999999999</v>
      </c>
      <c r="Y1947">
        <v>-9.997615E-2</v>
      </c>
      <c r="Z1947">
        <v>-2.3499329999999998E-3</v>
      </c>
      <c r="AA1947">
        <v>0.99498710000000001</v>
      </c>
      <c r="AB1947">
        <v>32</v>
      </c>
      <c r="AC1947">
        <v>-31.604600000000001</v>
      </c>
      <c r="AD1947">
        <v>-1.109858098378</v>
      </c>
      <c r="AE1947">
        <v>-3.1178000000000399</v>
      </c>
      <c r="AF1947">
        <v>-3.20408268277603</v>
      </c>
      <c r="AG1947">
        <v>-1.109858098378</v>
      </c>
      <c r="AH1947">
        <v>31.5570310394532</v>
      </c>
      <c r="AI1947">
        <v>92.003963029310796</v>
      </c>
      <c r="AJ1947">
        <v>95.797549417978203</v>
      </c>
      <c r="AK1947">
        <v>31.738685210033701</v>
      </c>
      <c r="AL1947">
        <v>78.387050477017993</v>
      </c>
      <c r="AM1947">
        <v>95.747977419270001</v>
      </c>
      <c r="AN1947">
        <v>0.99999994244315205</v>
      </c>
    </row>
    <row r="1948" spans="1:40" x14ac:dyDescent="0.25">
      <c r="A1948" t="str">
        <f>"20190304155054954"</f>
        <v>20190304155054954</v>
      </c>
      <c r="B1948" t="str">
        <f>"1551685854948878"</f>
        <v>1551685854948878</v>
      </c>
      <c r="C1948" t="s">
        <v>40</v>
      </c>
      <c r="D1948">
        <v>4.9964089999999999</v>
      </c>
      <c r="E1948">
        <v>0.49597469999999999</v>
      </c>
      <c r="F1948" t="s">
        <v>72</v>
      </c>
      <c r="G1948">
        <v>-306.8999</v>
      </c>
      <c r="H1948" s="1">
        <v>2.9886000000000001E-6</v>
      </c>
      <c r="I1948">
        <v>281.78039999999999</v>
      </c>
      <c r="J1948">
        <v>-276.14139999999998</v>
      </c>
      <c r="K1948">
        <v>1.1098479999999999</v>
      </c>
      <c r="L1948">
        <v>284.83789999999999</v>
      </c>
      <c r="M1948">
        <v>-0.99993370000000004</v>
      </c>
      <c r="N1948">
        <v>-1.102932E-2</v>
      </c>
      <c r="O1948">
        <v>3.3003469999999999E-3</v>
      </c>
      <c r="P1948">
        <v>-0.97718510000000003</v>
      </c>
      <c r="Q1948">
        <v>0.19014819999999999</v>
      </c>
      <c r="R1948">
        <v>-9.4620339999999997E-2</v>
      </c>
      <c r="S1948">
        <v>-3.0624690000000001</v>
      </c>
      <c r="T1948">
        <v>-0.10934670000000001</v>
      </c>
      <c r="U1948">
        <v>-0.30108639999999998</v>
      </c>
      <c r="V1948">
        <v>-9.7655270000000002E-2</v>
      </c>
      <c r="W1948">
        <v>0.20100270000000001</v>
      </c>
      <c r="X1948">
        <v>0.97471090000000005</v>
      </c>
      <c r="Y1948">
        <v>-0.1010427</v>
      </c>
      <c r="Z1948">
        <v>-2.439002E-3</v>
      </c>
      <c r="AA1948">
        <v>0.99487910000000002</v>
      </c>
      <c r="AB1948">
        <v>32</v>
      </c>
      <c r="AC1948">
        <v>-30.758500000000002</v>
      </c>
      <c r="AD1948">
        <v>-1.1098450114</v>
      </c>
      <c r="AE1948">
        <v>-3.0575000000000001</v>
      </c>
      <c r="AF1948">
        <v>-3.15493586801569</v>
      </c>
      <c r="AG1948">
        <v>-1.1098450114</v>
      </c>
      <c r="AH1948">
        <v>30.708651095020599</v>
      </c>
      <c r="AI1948">
        <v>92.059004200756505</v>
      </c>
      <c r="AJ1948">
        <v>95.865855688719904</v>
      </c>
      <c r="AK1948">
        <v>30.8902351618814</v>
      </c>
      <c r="AL1948">
        <v>78.404399540073001</v>
      </c>
      <c r="AM1948">
        <v>95.721312273334803</v>
      </c>
      <c r="AN1948">
        <v>0.99999998787243605</v>
      </c>
    </row>
    <row r="1949" spans="1:40" x14ac:dyDescent="0.25">
      <c r="A1949" t="str">
        <f>"20190304155054977"</f>
        <v>20190304155054977</v>
      </c>
      <c r="B1949" t="str">
        <f>"1551685854968785"</f>
        <v>1551685854968785</v>
      </c>
      <c r="C1949" t="s">
        <v>40</v>
      </c>
      <c r="D1949">
        <v>4.9205430000000003</v>
      </c>
      <c r="E1949">
        <v>0.4955949</v>
      </c>
      <c r="F1949" t="s">
        <v>72</v>
      </c>
      <c r="G1949">
        <v>-306.42930000000001</v>
      </c>
      <c r="H1949" s="1">
        <v>3.0643189999999999E-6</v>
      </c>
      <c r="I1949">
        <v>281.86919999999998</v>
      </c>
      <c r="J1949">
        <v>-276.47640000000001</v>
      </c>
      <c r="K1949">
        <v>1.1098330000000001</v>
      </c>
      <c r="L1949">
        <v>284.83949999999999</v>
      </c>
      <c r="M1949">
        <v>-0.99993080000000001</v>
      </c>
      <c r="N1949">
        <v>-1.113252E-2</v>
      </c>
      <c r="O1949">
        <v>3.7955670000000001E-3</v>
      </c>
      <c r="P1949">
        <v>-0.97727949999999997</v>
      </c>
      <c r="Q1949">
        <v>0.1898329</v>
      </c>
      <c r="R1949">
        <v>-9.4278189999999998E-2</v>
      </c>
      <c r="S1949">
        <v>-3.0627749999999998</v>
      </c>
      <c r="T1949">
        <v>-0.1122301</v>
      </c>
      <c r="U1949">
        <v>-0.30020140000000001</v>
      </c>
      <c r="V1949">
        <v>-9.7784540000000003E-2</v>
      </c>
      <c r="W1949">
        <v>0.20079540000000001</v>
      </c>
      <c r="X1949">
        <v>0.97474070000000002</v>
      </c>
      <c r="Y1949">
        <v>-0.10123649999999999</v>
      </c>
      <c r="Z1949">
        <v>-2.5114540000000002E-3</v>
      </c>
      <c r="AA1949">
        <v>0.99485919999999906</v>
      </c>
      <c r="AB1949">
        <v>32</v>
      </c>
      <c r="AC1949">
        <v>-29.9529</v>
      </c>
      <c r="AD1949">
        <v>-1.109829935681</v>
      </c>
      <c r="AE1949">
        <v>-2.9702999999999999</v>
      </c>
      <c r="AF1949">
        <v>-3.07978686123761</v>
      </c>
      <c r="AG1949">
        <v>-1.109829935681</v>
      </c>
      <c r="AH1949">
        <v>29.9007589030048</v>
      </c>
      <c r="AI1949">
        <v>92.114501672695695</v>
      </c>
      <c r="AJ1949">
        <v>95.880744070994893</v>
      </c>
      <c r="AK1949">
        <v>30.079431387119101</v>
      </c>
      <c r="AL1949">
        <v>78.416524536670707</v>
      </c>
      <c r="AM1949">
        <v>95.728661470658494</v>
      </c>
      <c r="AN1949">
        <v>1.0000000205803301</v>
      </c>
    </row>
    <row r="1950" spans="1:40" x14ac:dyDescent="0.25">
      <c r="A1950" t="str">
        <f>"20190304155055000"</f>
        <v>20190304155055000</v>
      </c>
      <c r="B1950" t="str">
        <f>"1551685854988302"</f>
        <v>1551685854988302</v>
      </c>
      <c r="C1950" t="s">
        <v>40</v>
      </c>
      <c r="D1950">
        <v>5.1842569999999997</v>
      </c>
      <c r="E1950">
        <v>0.4957336</v>
      </c>
      <c r="F1950" t="s">
        <v>72</v>
      </c>
      <c r="G1950">
        <v>-305.49009999999998</v>
      </c>
      <c r="H1950" s="1">
        <v>3.2214709999999998E-6</v>
      </c>
      <c r="I1950">
        <v>281.97719999999998</v>
      </c>
      <c r="J1950">
        <v>-276.79599999999999</v>
      </c>
      <c r="K1950">
        <v>1.1098140000000001</v>
      </c>
      <c r="L1950">
        <v>284.84120000000001</v>
      </c>
      <c r="M1950">
        <v>-0.99992780000000003</v>
      </c>
      <c r="N1950">
        <v>-1.1226460000000001E-2</v>
      </c>
      <c r="O1950">
        <v>4.3016259999999898E-3</v>
      </c>
      <c r="P1950">
        <v>-0.97729860000000002</v>
      </c>
      <c r="Q1950">
        <v>0.19001950000000001</v>
      </c>
      <c r="R1950">
        <v>-9.3702530000000006E-2</v>
      </c>
      <c r="S1950">
        <v>-3.0633539999999999</v>
      </c>
      <c r="T1950">
        <v>-0.1171794</v>
      </c>
      <c r="U1950">
        <v>-0.30221559999999997</v>
      </c>
      <c r="V1950">
        <v>-9.7689929999999994E-2</v>
      </c>
      <c r="W1950">
        <v>0.2010798</v>
      </c>
      <c r="X1950">
        <v>0.97469150000000004</v>
      </c>
      <c r="Y1950">
        <v>-0.10236099999999999</v>
      </c>
      <c r="Z1950">
        <v>-2.644497E-3</v>
      </c>
      <c r="AA1950">
        <v>0.99474379999999996</v>
      </c>
      <c r="AB1950">
        <v>32</v>
      </c>
      <c r="AC1950">
        <v>-28.694099999999899</v>
      </c>
      <c r="AD1950">
        <v>-1.1098107785289999</v>
      </c>
      <c r="AE1950">
        <v>-2.8640000000000301</v>
      </c>
      <c r="AF1950">
        <v>-2.98299420782504</v>
      </c>
      <c r="AG1950">
        <v>-1.1098107785289999</v>
      </c>
      <c r="AH1950">
        <v>28.639094236093499</v>
      </c>
      <c r="AI1950">
        <v>92.207263836632606</v>
      </c>
      <c r="AJ1950">
        <v>95.9463786095492</v>
      </c>
      <c r="AK1950">
        <v>28.815406522759702</v>
      </c>
      <c r="AL1950">
        <v>78.399889684904096</v>
      </c>
      <c r="AM1950">
        <v>95.723442573387302</v>
      </c>
      <c r="AN1950">
        <v>0.99999996428184601</v>
      </c>
    </row>
    <row r="1951" spans="1:40" x14ac:dyDescent="0.25">
      <c r="A1951" t="str">
        <f>"20190304155055021"</f>
        <v>20190304155055021</v>
      </c>
      <c r="B1951" t="str">
        <f>"1551685855018558"</f>
        <v>1551685855018558</v>
      </c>
      <c r="C1951" t="s">
        <v>40</v>
      </c>
      <c r="D1951">
        <v>5.1180909999999997</v>
      </c>
      <c r="E1951">
        <v>0.53441110000000003</v>
      </c>
      <c r="F1951" t="s">
        <v>72</v>
      </c>
      <c r="G1951">
        <v>-306.22340000000003</v>
      </c>
      <c r="H1951" s="1">
        <v>3.0923360000000002E-6</v>
      </c>
      <c r="I1951">
        <v>281.96629999999999</v>
      </c>
      <c r="J1951">
        <v>-277.10890000000001</v>
      </c>
      <c r="K1951">
        <v>1.109799</v>
      </c>
      <c r="L1951">
        <v>284.84309999999999</v>
      </c>
      <c r="M1951">
        <v>-0.99992440000000005</v>
      </c>
      <c r="N1951">
        <v>-1.1314340000000001E-2</v>
      </c>
      <c r="O1951">
        <v>4.8281019999999999E-3</v>
      </c>
      <c r="P1951">
        <v>-0.97750440000000005</v>
      </c>
      <c r="Q1951">
        <v>0.18961929999999999</v>
      </c>
      <c r="R1951">
        <v>-9.2357529999999993E-2</v>
      </c>
      <c r="S1951">
        <v>-3.0634769999999998</v>
      </c>
      <c r="T1951">
        <v>-0.1155342</v>
      </c>
      <c r="U1951">
        <v>-0.29928589999999999</v>
      </c>
      <c r="V1951">
        <v>-9.6847459999999996E-2</v>
      </c>
      <c r="W1951">
        <v>0.20077239999999999</v>
      </c>
      <c r="X1951">
        <v>0.97483900000000001</v>
      </c>
      <c r="Y1951">
        <v>-0.1019412</v>
      </c>
      <c r="Z1951">
        <v>-2.6225010000000002E-3</v>
      </c>
      <c r="AA1951">
        <v>0.99478699999999998</v>
      </c>
      <c r="AB1951">
        <v>32</v>
      </c>
      <c r="AC1951">
        <v>-29.1145</v>
      </c>
      <c r="AD1951">
        <v>-1.109795907664</v>
      </c>
      <c r="AE1951">
        <v>-2.8767999999999998</v>
      </c>
      <c r="AF1951">
        <v>-3.0130076405816801</v>
      </c>
      <c r="AG1951">
        <v>-1.109795907664</v>
      </c>
      <c r="AH1951">
        <v>29.058456363241199</v>
      </c>
      <c r="AI1951">
        <v>92.175516126753294</v>
      </c>
      <c r="AJ1951">
        <v>95.919719639325706</v>
      </c>
      <c r="AK1951">
        <v>29.235316796868599</v>
      </c>
      <c r="AL1951">
        <v>78.417869862167706</v>
      </c>
      <c r="AM1951">
        <v>95.673554598833604</v>
      </c>
      <c r="AN1951">
        <v>1.0000000315155999</v>
      </c>
    </row>
    <row r="1952" spans="1:40" x14ac:dyDescent="0.25">
      <c r="A1952" t="str">
        <f>"20190304155055044"</f>
        <v>20190304155055044</v>
      </c>
      <c r="B1952" t="str">
        <f>"1551685855038078"</f>
        <v>1551685855038078</v>
      </c>
      <c r="C1952" t="s">
        <v>40</v>
      </c>
      <c r="D1952">
        <v>5.0124389999999996</v>
      </c>
      <c r="E1952">
        <v>0.53591759999999999</v>
      </c>
      <c r="F1952" t="s">
        <v>70</v>
      </c>
      <c r="G1952">
        <v>-332.18979999999999</v>
      </c>
      <c r="H1952" s="1">
        <v>-3.8991410000000003E-7</v>
      </c>
      <c r="I1952">
        <v>285.03829999999999</v>
      </c>
      <c r="J1952">
        <v>-277.44349999999997</v>
      </c>
      <c r="K1952">
        <v>1.1097699999999999</v>
      </c>
      <c r="L1952">
        <v>284.84539999999998</v>
      </c>
      <c r="M1952">
        <v>-0.99992029999999998</v>
      </c>
      <c r="N1952">
        <v>-1.140453E-2</v>
      </c>
      <c r="O1952">
        <v>5.4215690000000002E-3</v>
      </c>
      <c r="P1952">
        <v>-0.97754830000000004</v>
      </c>
      <c r="Q1952">
        <v>0.189886</v>
      </c>
      <c r="R1952">
        <v>-9.1339009999999998E-2</v>
      </c>
      <c r="S1952">
        <v>-3.0821230000000002</v>
      </c>
      <c r="T1952">
        <v>-6.2100170000000003E-2</v>
      </c>
      <c r="U1952">
        <v>1.0925290000000001E-2</v>
      </c>
      <c r="V1952">
        <v>-9.6395330000000001E-2</v>
      </c>
      <c r="W1952">
        <v>0.20113310000000001</v>
      </c>
      <c r="X1952">
        <v>0.97480940000000005</v>
      </c>
      <c r="Y1952">
        <v>-1.8764280000000001E-3</v>
      </c>
      <c r="Z1952" s="1">
        <v>-7.6998130000000006E-5</v>
      </c>
      <c r="AA1952">
        <v>0.99999819999999995</v>
      </c>
      <c r="AB1952">
        <v>32</v>
      </c>
      <c r="AC1952">
        <v>-54.746299999999998</v>
      </c>
      <c r="AD1952">
        <v>-1.1097703899141</v>
      </c>
      <c r="AE1952">
        <v>0.19290000000000801</v>
      </c>
      <c r="AF1952">
        <v>-0.103890282939748</v>
      </c>
      <c r="AG1952">
        <v>-1.1097703899141</v>
      </c>
      <c r="AH1952">
        <v>54.724054287630501</v>
      </c>
      <c r="AI1952">
        <v>91.161762071008198</v>
      </c>
      <c r="AJ1952">
        <v>90.108772415920598</v>
      </c>
      <c r="AK1952">
        <v>54.735404458035703</v>
      </c>
      <c r="AL1952">
        <v>78.396772251569104</v>
      </c>
      <c r="AM1952">
        <v>95.647409721988197</v>
      </c>
      <c r="AN1952">
        <v>0.99999997494488901</v>
      </c>
    </row>
    <row r="1953" spans="1:40" x14ac:dyDescent="0.25">
      <c r="A1953" t="str">
        <f>"20190304155055067"</f>
        <v>20190304155055067</v>
      </c>
      <c r="B1953" t="str">
        <f>"1551685855058577"</f>
        <v>1551685855058577</v>
      </c>
      <c r="C1953" t="s">
        <v>40</v>
      </c>
      <c r="D1953">
        <v>5.0661310000000004</v>
      </c>
      <c r="E1953">
        <v>0.53551249999999995</v>
      </c>
      <c r="F1953" t="s">
        <v>72</v>
      </c>
      <c r="G1953">
        <v>-318.28899999999999</v>
      </c>
      <c r="H1953" s="1">
        <v>5.8419799999999996E-6</v>
      </c>
      <c r="I1953">
        <v>285.19779999999997</v>
      </c>
      <c r="J1953">
        <v>-277.77550000000002</v>
      </c>
      <c r="K1953">
        <v>1.1097549999999901</v>
      </c>
      <c r="L1953">
        <v>284.84780000000001</v>
      </c>
      <c r="M1953">
        <v>-0.99991580000000002</v>
      </c>
      <c r="N1953">
        <v>-1.148764E-2</v>
      </c>
      <c r="O1953">
        <v>6.0359960000000001E-3</v>
      </c>
      <c r="P1953">
        <v>-0.97753460000000003</v>
      </c>
      <c r="Q1953">
        <v>0.19019639999999999</v>
      </c>
      <c r="R1953">
        <v>-9.0837840000000003E-2</v>
      </c>
      <c r="S1953">
        <v>-3.0876769999999998</v>
      </c>
      <c r="T1953">
        <v>-8.3891629999999995E-2</v>
      </c>
      <c r="U1953">
        <v>2.6641850000000002E-2</v>
      </c>
      <c r="V1953">
        <v>-9.6482600000000002E-2</v>
      </c>
      <c r="W1953">
        <v>0.20152870000000001</v>
      </c>
      <c r="X1953">
        <v>0.97471909999999895</v>
      </c>
      <c r="Y1953">
        <v>2.5911770000000001E-3</v>
      </c>
      <c r="Z1953" s="1">
        <v>-4.4546370000000002E-5</v>
      </c>
      <c r="AA1953">
        <v>0.99999669999999896</v>
      </c>
      <c r="AB1953">
        <v>32</v>
      </c>
      <c r="AC1953">
        <v>-40.513499999999901</v>
      </c>
      <c r="AD1953">
        <v>-1.1097491580199901</v>
      </c>
      <c r="AE1953">
        <v>0.34999999999996501</v>
      </c>
      <c r="AF1953">
        <v>0.10535911526910501</v>
      </c>
      <c r="AG1953">
        <v>-1.1097491580199901</v>
      </c>
      <c r="AH1953">
        <v>40.484500299738798</v>
      </c>
      <c r="AI1953">
        <v>91.570176460870798</v>
      </c>
      <c r="AJ1953">
        <v>89.850890613314604</v>
      </c>
      <c r="AK1953">
        <v>40.499844546077497</v>
      </c>
      <c r="AL1953">
        <v>78.373632697864707</v>
      </c>
      <c r="AM1953">
        <v>95.653009687612098</v>
      </c>
      <c r="AN1953">
        <v>1.00000001646562</v>
      </c>
    </row>
    <row r="1954" spans="1:40" x14ac:dyDescent="0.25">
      <c r="A1954" t="str">
        <f>"20190304155055090"</f>
        <v>20190304155055090</v>
      </c>
      <c r="B1954" t="str">
        <f>"1551685855078602"</f>
        <v>1551685855078602</v>
      </c>
      <c r="C1954" t="s">
        <v>40</v>
      </c>
      <c r="D1954">
        <v>5.0550319999999997</v>
      </c>
      <c r="E1954">
        <v>0.535686</v>
      </c>
      <c r="F1954" t="s">
        <v>72</v>
      </c>
      <c r="G1954">
        <v>-317.50029999999998</v>
      </c>
      <c r="H1954" s="1">
        <v>5.4947199999999998E-6</v>
      </c>
      <c r="I1954">
        <v>285.16930000000002</v>
      </c>
      <c r="J1954">
        <v>-278.09879999999998</v>
      </c>
      <c r="K1954">
        <v>1.109747</v>
      </c>
      <c r="L1954">
        <v>284.85039999999998</v>
      </c>
      <c r="M1954">
        <v>-0.99991110000000005</v>
      </c>
      <c r="N1954">
        <v>-1.1560050000000001E-2</v>
      </c>
      <c r="O1954">
        <v>6.6529019999999996E-3</v>
      </c>
      <c r="P1954">
        <v>-0.97755829999999999</v>
      </c>
      <c r="Q1954">
        <v>0.19022410000000001</v>
      </c>
      <c r="R1954">
        <v>-9.052557E-2</v>
      </c>
      <c r="S1954">
        <v>-3.0880429999999999</v>
      </c>
      <c r="T1954">
        <v>-8.6267469999999999E-2</v>
      </c>
      <c r="U1954">
        <v>2.4993899999999999E-2</v>
      </c>
      <c r="V1954">
        <v>-9.6764500000000003E-2</v>
      </c>
      <c r="W1954">
        <v>0.201631</v>
      </c>
      <c r="X1954">
        <v>0.97467000000000004</v>
      </c>
      <c r="Y1954">
        <v>1.4402900000000001E-3</v>
      </c>
      <c r="Z1954" s="1">
        <v>-8.0470999999999996E-5</v>
      </c>
      <c r="AA1954">
        <v>0.99999899999999997</v>
      </c>
      <c r="AB1954">
        <v>32</v>
      </c>
      <c r="AC1954">
        <v>-39.401499999999999</v>
      </c>
      <c r="AD1954">
        <v>-1.1097415052799999</v>
      </c>
      <c r="AE1954">
        <v>0.31890000000004098</v>
      </c>
      <c r="AF1954">
        <v>5.6696148003717403E-2</v>
      </c>
      <c r="AG1954">
        <v>-1.1097415052799999</v>
      </c>
      <c r="AH1954">
        <v>39.371519656730399</v>
      </c>
      <c r="AI1954">
        <v>91.614532759727297</v>
      </c>
      <c r="AJ1954">
        <v>89.917492446870995</v>
      </c>
      <c r="AK1954">
        <v>39.3871971678875</v>
      </c>
      <c r="AL1954">
        <v>78.3676485236074</v>
      </c>
      <c r="AM1954">
        <v>95.6697027799691</v>
      </c>
      <c r="AN1954">
        <v>1.0000000187606199</v>
      </c>
    </row>
    <row r="1955" spans="1:40" x14ac:dyDescent="0.25">
      <c r="A1955" t="str">
        <f>"20190304155055112"</f>
        <v>20190304155055112</v>
      </c>
      <c r="B1955" t="str">
        <f>"1551685855108858"</f>
        <v>1551685855108858</v>
      </c>
      <c r="C1955" t="s">
        <v>40</v>
      </c>
      <c r="D1955">
        <v>4.9455330000000002</v>
      </c>
      <c r="E1955">
        <v>0.53596519999999903</v>
      </c>
      <c r="F1955" t="s">
        <v>72</v>
      </c>
      <c r="G1955">
        <v>-316.40750000000003</v>
      </c>
      <c r="H1955" s="1">
        <v>5.0081070000000004E-6</v>
      </c>
      <c r="I1955">
        <v>285.19209999999998</v>
      </c>
      <c r="J1955">
        <v>-278.42720000000003</v>
      </c>
      <c r="K1955">
        <v>1.109747</v>
      </c>
      <c r="L1955">
        <v>284.85329999999999</v>
      </c>
      <c r="M1955">
        <v>-0.99990579999999996</v>
      </c>
      <c r="N1955">
        <v>-1.163104E-2</v>
      </c>
      <c r="O1955">
        <v>7.2920369999999899E-3</v>
      </c>
      <c r="P1955">
        <v>-0.97760639999999999</v>
      </c>
      <c r="Q1955">
        <v>0.1899458</v>
      </c>
      <c r="R1955">
        <v>-9.0590779999999996E-2</v>
      </c>
      <c r="S1955">
        <v>-3.0888369999999998</v>
      </c>
      <c r="T1955">
        <v>-8.947861E-2</v>
      </c>
      <c r="U1955">
        <v>2.7557370000000001E-2</v>
      </c>
      <c r="V1955">
        <v>-9.7449090000000002E-2</v>
      </c>
      <c r="W1955">
        <v>0.20142550000000001</v>
      </c>
      <c r="X1955">
        <v>0.97464430000000002</v>
      </c>
      <c r="Y1955">
        <v>1.6289080000000001E-3</v>
      </c>
      <c r="Z1955" s="1">
        <v>-9.3316919999999996E-5</v>
      </c>
      <c r="AA1955">
        <v>0.99999870000000002</v>
      </c>
      <c r="AB1955">
        <v>32</v>
      </c>
      <c r="AC1955">
        <v>-37.9803</v>
      </c>
      <c r="AD1955">
        <v>-1.109741991893</v>
      </c>
      <c r="AE1955">
        <v>0.338799999999992</v>
      </c>
      <c r="AF1955">
        <v>6.1765783854784297E-2</v>
      </c>
      <c r="AG1955">
        <v>-1.109741991893</v>
      </c>
      <c r="AH1955">
        <v>37.949364346822001</v>
      </c>
      <c r="AI1955">
        <v>91.675003904382095</v>
      </c>
      <c r="AJ1955">
        <v>89.906746379834999</v>
      </c>
      <c r="AK1955">
        <v>37.9656370502125</v>
      </c>
      <c r="AL1955">
        <v>78.379669626633302</v>
      </c>
      <c r="AM1955">
        <v>95.7097002820623</v>
      </c>
      <c r="AN1955">
        <v>1.0000000343572799</v>
      </c>
    </row>
    <row r="1956" spans="1:40" x14ac:dyDescent="0.25">
      <c r="A1956" t="str">
        <f>"20190304155055134"</f>
        <v>20190304155055134</v>
      </c>
      <c r="B1956" t="str">
        <f>"1551685855128379"</f>
        <v>1551685855128379</v>
      </c>
      <c r="C1956" t="s">
        <v>40</v>
      </c>
      <c r="D1956">
        <v>5.0148380000000001</v>
      </c>
      <c r="E1956">
        <v>0.53609600000000002</v>
      </c>
      <c r="F1956" t="s">
        <v>72</v>
      </c>
      <c r="G1956">
        <v>-315.43819999999999</v>
      </c>
      <c r="H1956" s="1">
        <v>4.5773950000000001E-6</v>
      </c>
      <c r="I1956">
        <v>285.20209999999997</v>
      </c>
      <c r="J1956">
        <v>-278.7303</v>
      </c>
      <c r="K1956">
        <v>1.1097429999999999</v>
      </c>
      <c r="L1956">
        <v>284.85610000000003</v>
      </c>
      <c r="M1956">
        <v>-0.99990060000000003</v>
      </c>
      <c r="N1956">
        <v>-1.1693139999999999E-2</v>
      </c>
      <c r="O1956">
        <v>7.8872950000000008E-3</v>
      </c>
      <c r="P1956">
        <v>-0.97781430000000003</v>
      </c>
      <c r="Q1956">
        <v>0.18871740000000001</v>
      </c>
      <c r="R1956">
        <v>-9.0914960000000003E-2</v>
      </c>
      <c r="S1956">
        <v>-3.0894170000000001</v>
      </c>
      <c r="T1956">
        <v>-9.2633610000000005E-2</v>
      </c>
      <c r="U1956">
        <v>2.9113770000000001E-2</v>
      </c>
      <c r="V1956">
        <v>-9.8354150000000001E-2</v>
      </c>
      <c r="W1956">
        <v>0.2002623</v>
      </c>
      <c r="X1956">
        <v>0.97479300000000002</v>
      </c>
      <c r="Y1956">
        <v>1.535876E-3</v>
      </c>
      <c r="Z1956">
        <v>-1.1221109999999999E-4</v>
      </c>
      <c r="AA1956">
        <v>0.99999879999999997</v>
      </c>
      <c r="AB1956">
        <v>32</v>
      </c>
      <c r="AC1956">
        <v>-36.707900000000002</v>
      </c>
      <c r="AD1956">
        <v>-1.109738422605</v>
      </c>
      <c r="AE1956">
        <v>0.34599999999994602</v>
      </c>
      <c r="AF1956">
        <v>5.6391891383976302E-2</v>
      </c>
      <c r="AG1956">
        <v>-1.109738422605</v>
      </c>
      <c r="AH1956">
        <v>36.675970223858101</v>
      </c>
      <c r="AI1956">
        <v>91.733120044577703</v>
      </c>
      <c r="AJ1956">
        <v>89.9119037667123</v>
      </c>
      <c r="AK1956">
        <v>36.692798902146201</v>
      </c>
      <c r="AL1956">
        <v>78.447701496870806</v>
      </c>
      <c r="AM1956">
        <v>95.761500869546595</v>
      </c>
      <c r="AN1956">
        <v>0.99999996023625504</v>
      </c>
    </row>
    <row r="1957" spans="1:40" x14ac:dyDescent="0.25">
      <c r="A1957" t="str">
        <f>"20190304155055157"</f>
        <v>20190304155055157</v>
      </c>
      <c r="B1957" t="str">
        <f>"1551685855148877"</f>
        <v>1551685855148877</v>
      </c>
      <c r="C1957" t="s">
        <v>40</v>
      </c>
      <c r="D1957">
        <v>5.0212810000000001</v>
      </c>
      <c r="E1957">
        <v>0.53618589999999999</v>
      </c>
      <c r="F1957" t="s">
        <v>72</v>
      </c>
      <c r="G1957">
        <v>-314.28440000000001</v>
      </c>
      <c r="H1957" s="1">
        <v>4.0652240000000003E-6</v>
      </c>
      <c r="I1957">
        <v>285.20800000000003</v>
      </c>
      <c r="J1957">
        <v>-279.07650000000001</v>
      </c>
      <c r="K1957">
        <v>1.1097349999999999</v>
      </c>
      <c r="L1957">
        <v>284.8596</v>
      </c>
      <c r="M1957">
        <v>-0.99989419999999996</v>
      </c>
      <c r="N1957">
        <v>-1.1759850000000001E-2</v>
      </c>
      <c r="O1957">
        <v>8.5691680000000003E-3</v>
      </c>
      <c r="P1957">
        <v>-0.97780929999999999</v>
      </c>
      <c r="Q1957">
        <v>0.18875249999999999</v>
      </c>
      <c r="R1957">
        <v>-9.0893130000000003E-2</v>
      </c>
      <c r="S1957">
        <v>-3.0894780000000002</v>
      </c>
      <c r="T1957">
        <v>-9.6430779999999994E-2</v>
      </c>
      <c r="U1957">
        <v>3.0578609999999999E-2</v>
      </c>
      <c r="V1957">
        <v>-9.8996269999999997E-2</v>
      </c>
      <c r="W1957">
        <v>0.20036370000000001</v>
      </c>
      <c r="X1957">
        <v>0.9747072</v>
      </c>
      <c r="Y1957">
        <v>1.3282070000000001E-3</v>
      </c>
      <c r="Z1957">
        <v>-1.380939E-4</v>
      </c>
      <c r="AA1957">
        <v>0.99999910000000003</v>
      </c>
      <c r="AB1957">
        <v>32</v>
      </c>
      <c r="AC1957">
        <v>-35.207899999999903</v>
      </c>
      <c r="AD1957">
        <v>-1.109730934776</v>
      </c>
      <c r="AE1957">
        <v>0.34839999999996901</v>
      </c>
      <c r="AF1957">
        <v>4.6617644129942397E-2</v>
      </c>
      <c r="AG1957">
        <v>-1.109730934776</v>
      </c>
      <c r="AH1957">
        <v>35.1746512625515</v>
      </c>
      <c r="AI1957">
        <v>91.807033125741796</v>
      </c>
      <c r="AJ1957">
        <v>89.924064842158302</v>
      </c>
      <c r="AK1957">
        <v>35.192183328041097</v>
      </c>
      <c r="AL1957">
        <v>78.441771978359</v>
      </c>
      <c r="AM1957">
        <v>95.799367157844202</v>
      </c>
      <c r="AN1957">
        <v>0.99999999974172105</v>
      </c>
    </row>
    <row r="1958" spans="1:40" x14ac:dyDescent="0.25">
      <c r="A1958" t="str">
        <f>"20190304155055178"</f>
        <v>20190304155055178</v>
      </c>
      <c r="B1958" t="str">
        <f>"1551685855168905"</f>
        <v>1551685855168905</v>
      </c>
      <c r="C1958" t="s">
        <v>40</v>
      </c>
      <c r="D1958">
        <v>5.0509069999999996</v>
      </c>
      <c r="E1958">
        <v>0.53643200000000002</v>
      </c>
      <c r="F1958" t="s">
        <v>72</v>
      </c>
      <c r="G1958">
        <v>-314.90120000000002</v>
      </c>
      <c r="H1958" s="1">
        <v>4.3365940000000004E-6</v>
      </c>
      <c r="I1958">
        <v>285.23259999999999</v>
      </c>
      <c r="J1958">
        <v>-279.3809</v>
      </c>
      <c r="K1958">
        <v>1.1097410000000001</v>
      </c>
      <c r="L1958">
        <v>284.86279999999999</v>
      </c>
      <c r="M1958">
        <v>-0.99988809999999995</v>
      </c>
      <c r="N1958">
        <v>-1.181917E-2</v>
      </c>
      <c r="O1958">
        <v>9.1685629999999994E-3</v>
      </c>
      <c r="P1958">
        <v>-0.97795880000000002</v>
      </c>
      <c r="Q1958">
        <v>0.1880329</v>
      </c>
      <c r="R1958">
        <v>-9.0775369999999994E-2</v>
      </c>
      <c r="S1958">
        <v>-3.0895389999999998</v>
      </c>
      <c r="T1958">
        <v>-9.5703839999999998E-2</v>
      </c>
      <c r="U1958">
        <v>3.2165529999999998E-2</v>
      </c>
      <c r="V1958">
        <v>-9.9464469999999999E-2</v>
      </c>
      <c r="W1958">
        <v>0.19970499999999999</v>
      </c>
      <c r="X1958">
        <v>0.97479470000000001</v>
      </c>
      <c r="Y1958">
        <v>1.2422589999999999E-3</v>
      </c>
      <c r="Z1958">
        <v>-1.4899849999999999E-4</v>
      </c>
      <c r="AA1958">
        <v>0.99999919999999998</v>
      </c>
      <c r="AB1958">
        <v>32</v>
      </c>
      <c r="AC1958">
        <v>-35.520299999999999</v>
      </c>
      <c r="AD1958">
        <v>-1.109736663406</v>
      </c>
      <c r="AE1958">
        <v>0.36979999999999702</v>
      </c>
      <c r="AF1958">
        <v>4.404860108783E-2</v>
      </c>
      <c r="AG1958">
        <v>-1.109736663406</v>
      </c>
      <c r="AH1958">
        <v>35.487562525933399</v>
      </c>
      <c r="AI1958">
        <v>91.791119485153999</v>
      </c>
      <c r="AJ1958">
        <v>89.928882192519595</v>
      </c>
      <c r="AK1958">
        <v>35.504936977459899</v>
      </c>
      <c r="AL1958">
        <v>78.480291082932297</v>
      </c>
      <c r="AM1958">
        <v>95.826087416009699</v>
      </c>
      <c r="AN1958">
        <v>0.999999987482735</v>
      </c>
    </row>
    <row r="1959" spans="1:40" x14ac:dyDescent="0.25">
      <c r="A1959" t="str">
        <f>"20190304155055200"</f>
        <v>20190304155055200</v>
      </c>
      <c r="B1959" t="str">
        <f>"1551685855188422"</f>
        <v>1551685855188422</v>
      </c>
      <c r="C1959" t="s">
        <v>40</v>
      </c>
      <c r="D1959">
        <v>5.1441589999999904</v>
      </c>
      <c r="E1959">
        <v>0.53703630000000002</v>
      </c>
      <c r="F1959" t="s">
        <v>72</v>
      </c>
      <c r="G1959">
        <v>-314.18049999999999</v>
      </c>
      <c r="H1959" s="1">
        <v>4.0154340000000002E-6</v>
      </c>
      <c r="I1959">
        <v>285.25020000000001</v>
      </c>
      <c r="J1959">
        <v>-279.70049999999998</v>
      </c>
      <c r="K1959">
        <v>1.1097360000000001</v>
      </c>
      <c r="L1959">
        <v>284.8664</v>
      </c>
      <c r="M1959">
        <v>-0.99988149999999998</v>
      </c>
      <c r="N1959">
        <v>-1.18853E-2</v>
      </c>
      <c r="O1959">
        <v>9.7953899999999993E-3</v>
      </c>
      <c r="P1959">
        <v>-0.97805629999999999</v>
      </c>
      <c r="Q1959">
        <v>0.18766340000000001</v>
      </c>
      <c r="R1959">
        <v>-9.0492610000000001E-2</v>
      </c>
      <c r="S1959">
        <v>-3.0897519999999998</v>
      </c>
      <c r="T1959">
        <v>-9.8530290000000006E-2</v>
      </c>
      <c r="U1959">
        <v>3.4393310000000003E-2</v>
      </c>
      <c r="V1959">
        <v>-9.9794259999999996E-2</v>
      </c>
      <c r="W1959">
        <v>0.1994012</v>
      </c>
      <c r="X1959">
        <v>0.9748232</v>
      </c>
      <c r="Y1959">
        <v>1.3357429999999999E-3</v>
      </c>
      <c r="Z1959">
        <v>-1.666328E-4</v>
      </c>
      <c r="AA1959">
        <v>0.99999910000000003</v>
      </c>
      <c r="AB1959">
        <v>32</v>
      </c>
      <c r="AC1959">
        <v>-34.479999999999997</v>
      </c>
      <c r="AD1959">
        <v>-1.1097319845659901</v>
      </c>
      <c r="AE1959">
        <v>0.38380000000000702</v>
      </c>
      <c r="AF1959">
        <v>4.59651097569823E-2</v>
      </c>
      <c r="AG1959">
        <v>-1.1097319845659901</v>
      </c>
      <c r="AH1959">
        <v>34.446427982419401</v>
      </c>
      <c r="AI1959">
        <v>91.845210745296299</v>
      </c>
      <c r="AJ1959">
        <v>89.923544896088003</v>
      </c>
      <c r="AK1959">
        <v>34.464329655701903</v>
      </c>
      <c r="AL1959">
        <v>78.498054993029399</v>
      </c>
      <c r="AM1959">
        <v>95.845101472104204</v>
      </c>
      <c r="AN1959">
        <v>1.0000000020743101</v>
      </c>
    </row>
    <row r="1960" spans="1:40" x14ac:dyDescent="0.25">
      <c r="A1960" t="str">
        <f>"20190304155055213"</f>
        <v>20190304155055213</v>
      </c>
      <c r="B1960" t="str">
        <f>"1551685855208918"</f>
        <v>1551685855208918</v>
      </c>
      <c r="C1960" t="s">
        <v>40</v>
      </c>
      <c r="D1960">
        <v>5.0668449999999998</v>
      </c>
      <c r="E1960">
        <v>0.53728450000000005</v>
      </c>
      <c r="F1960" t="s">
        <v>72</v>
      </c>
      <c r="G1960">
        <v>-315.97890000000001</v>
      </c>
      <c r="H1960" s="1">
        <v>4.8052859999999996E-6</v>
      </c>
      <c r="I1960">
        <v>285.3381</v>
      </c>
      <c r="J1960">
        <v>-279.88889999999998</v>
      </c>
      <c r="K1960">
        <v>1.1097410000000001</v>
      </c>
      <c r="L1960">
        <v>284.86860000000001</v>
      </c>
      <c r="M1960">
        <v>-0.99987729999999997</v>
      </c>
      <c r="N1960">
        <v>-1.1925099999999999E-2</v>
      </c>
      <c r="O1960">
        <v>1.016354E-2</v>
      </c>
      <c r="P1960">
        <v>-0.97815560000000001</v>
      </c>
      <c r="Q1960">
        <v>0.1872723</v>
      </c>
      <c r="R1960">
        <v>-9.0226669999999995E-2</v>
      </c>
      <c r="S1960">
        <v>-3.0891419999999998</v>
      </c>
      <c r="T1960">
        <v>-9.4494700000000001E-2</v>
      </c>
      <c r="U1960">
        <v>4.0161130000000003E-2</v>
      </c>
      <c r="V1960">
        <v>-9.988938E-2</v>
      </c>
      <c r="W1960">
        <v>0.1990508</v>
      </c>
      <c r="X1960">
        <v>0.974885</v>
      </c>
      <c r="Y1960">
        <v>2.8354919999999998E-3</v>
      </c>
      <c r="Z1960">
        <v>-1.293446E-4</v>
      </c>
      <c r="AA1960">
        <v>0.99999590000000005</v>
      </c>
      <c r="AB1960">
        <v>32</v>
      </c>
      <c r="AC1960">
        <v>-36.090000000000003</v>
      </c>
      <c r="AD1960">
        <v>-1.1097361947139901</v>
      </c>
      <c r="AE1960">
        <v>0.46949999999998199</v>
      </c>
      <c r="AF1960">
        <v>0.102550580363526</v>
      </c>
      <c r="AG1960">
        <v>-1.1097361947139901</v>
      </c>
      <c r="AH1960">
        <v>36.0588196287814</v>
      </c>
      <c r="AI1960">
        <v>91.762755445709402</v>
      </c>
      <c r="AJ1960">
        <v>89.837052358877997</v>
      </c>
      <c r="AK1960">
        <v>36.076037809942299</v>
      </c>
      <c r="AL1960">
        <v>78.518541361776002</v>
      </c>
      <c r="AM1960">
        <v>95.850265854301398</v>
      </c>
      <c r="AN1960">
        <v>0.99999993622120997</v>
      </c>
    </row>
    <row r="1961" spans="1:40" x14ac:dyDescent="0.25">
      <c r="A1961" t="str">
        <f>"20190304155055234"</f>
        <v>20190304155055234</v>
      </c>
      <c r="B1961" t="str">
        <f>"1551685855228438"</f>
        <v>1551685855228438</v>
      </c>
      <c r="C1961" t="s">
        <v>40</v>
      </c>
      <c r="D1961">
        <v>4.9863879999999998</v>
      </c>
      <c r="E1961">
        <v>0.53727769999999897</v>
      </c>
      <c r="F1961" t="s">
        <v>72</v>
      </c>
      <c r="G1961">
        <v>-317.21190000000001</v>
      </c>
      <c r="H1961" s="1">
        <v>5.3476479999999999E-6</v>
      </c>
      <c r="I1961">
        <v>285.3886</v>
      </c>
      <c r="J1961">
        <v>-280.19260000000003</v>
      </c>
      <c r="K1961">
        <v>1.1097440000000001</v>
      </c>
      <c r="L1961">
        <v>284.8723</v>
      </c>
      <c r="M1961">
        <v>-0.99987040000000005</v>
      </c>
      <c r="N1961">
        <v>-1.1989130000000001E-2</v>
      </c>
      <c r="O1961">
        <v>1.075484E-2</v>
      </c>
      <c r="P1961">
        <v>-0.9782786</v>
      </c>
      <c r="Q1961">
        <v>0.18690309999999999</v>
      </c>
      <c r="R1961">
        <v>-8.9657100000000003E-2</v>
      </c>
      <c r="S1961">
        <v>-3.0885009999999999</v>
      </c>
      <c r="T1961">
        <v>-9.1831209999999996E-2</v>
      </c>
      <c r="U1961">
        <v>4.3029789999999998E-2</v>
      </c>
      <c r="V1961">
        <v>-9.9898039999999994E-2</v>
      </c>
      <c r="W1961">
        <v>0.19874510000000001</v>
      </c>
      <c r="X1961">
        <v>0.9749466</v>
      </c>
      <c r="Y1961">
        <v>3.1752529999999998E-3</v>
      </c>
      <c r="Z1961">
        <v>-1.2451859999999999E-4</v>
      </c>
      <c r="AA1961">
        <v>0.99999490000000002</v>
      </c>
      <c r="AB1961">
        <v>32</v>
      </c>
      <c r="AC1961">
        <v>-37.019299999999902</v>
      </c>
      <c r="AD1961">
        <v>-1.1097386523520001</v>
      </c>
      <c r="AE1961">
        <v>0.51630000000000098</v>
      </c>
      <c r="AF1961">
        <v>0.117998896691468</v>
      </c>
      <c r="AG1961">
        <v>-1.1097386523520001</v>
      </c>
      <c r="AH1961">
        <v>36.989478100442703</v>
      </c>
      <c r="AI1961">
        <v>91.718433311245803</v>
      </c>
      <c r="AJ1961">
        <v>89.817223270480994</v>
      </c>
      <c r="AK1961">
        <v>37.006309377716498</v>
      </c>
      <c r="AL1961">
        <v>78.536415126817303</v>
      </c>
      <c r="AM1961">
        <v>95.850402425388594</v>
      </c>
      <c r="AN1961">
        <v>1.0000000530107001</v>
      </c>
    </row>
    <row r="1962" spans="1:40" x14ac:dyDescent="0.25">
      <c r="A1962" t="str">
        <f>"20190304155055246"</f>
        <v>20190304155055246</v>
      </c>
      <c r="B1962" t="str">
        <f>"1551685855238198"</f>
        <v>1551685855238198</v>
      </c>
      <c r="C1962" t="s">
        <v>40</v>
      </c>
      <c r="D1962">
        <v>5.0478870000000002</v>
      </c>
      <c r="E1962">
        <v>0.53730789999999995</v>
      </c>
      <c r="F1962" t="s">
        <v>72</v>
      </c>
      <c r="G1962">
        <v>-316.67660000000001</v>
      </c>
      <c r="H1962" s="1">
        <v>5.1089399999999997E-6</v>
      </c>
      <c r="I1962">
        <v>285.40410000000003</v>
      </c>
      <c r="J1962">
        <v>-280.36219999999997</v>
      </c>
      <c r="K1962">
        <v>1.1097459999999999</v>
      </c>
      <c r="L1962">
        <v>284.87450000000001</v>
      </c>
      <c r="M1962">
        <v>-0.99986620000000004</v>
      </c>
      <c r="N1962">
        <v>-1.202516E-2</v>
      </c>
      <c r="O1962">
        <v>1.108426E-2</v>
      </c>
      <c r="P1962">
        <v>-0.97833340000000002</v>
      </c>
      <c r="Q1962">
        <v>0.18675800000000001</v>
      </c>
      <c r="R1962">
        <v>-8.9360090000000003E-2</v>
      </c>
      <c r="S1962">
        <v>-3.0886840000000002</v>
      </c>
      <c r="T1962">
        <v>-9.3948719999999999E-2</v>
      </c>
      <c r="U1962">
        <v>4.501343E-2</v>
      </c>
      <c r="V1962">
        <v>-9.9923079999999997E-2</v>
      </c>
      <c r="W1962">
        <v>0.1986358</v>
      </c>
      <c r="X1962">
        <v>0.97496620000000001</v>
      </c>
      <c r="Y1962">
        <v>3.4869580000000001E-3</v>
      </c>
      <c r="Z1962">
        <v>-1.2977830000000001E-4</v>
      </c>
      <c r="AA1962">
        <v>0.99999389999999999</v>
      </c>
      <c r="AB1962">
        <v>32</v>
      </c>
      <c r="AC1962">
        <v>-36.314399999999999</v>
      </c>
      <c r="AD1962">
        <v>-1.10974089106</v>
      </c>
      <c r="AE1962">
        <v>0.52960000000001595</v>
      </c>
      <c r="AF1962">
        <v>0.12690159564022299</v>
      </c>
      <c r="AG1962">
        <v>-1.10974089106</v>
      </c>
      <c r="AH1962">
        <v>36.284162041253701</v>
      </c>
      <c r="AI1962">
        <v>91.751818495647598</v>
      </c>
      <c r="AJ1962">
        <v>89.799612398669893</v>
      </c>
      <c r="AK1962">
        <v>36.301350441770403</v>
      </c>
      <c r="AL1962">
        <v>78.542803723196201</v>
      </c>
      <c r="AM1962">
        <v>95.851741860805305</v>
      </c>
      <c r="AN1962">
        <v>0.99999994705038098</v>
      </c>
    </row>
    <row r="1963" spans="1:40" x14ac:dyDescent="0.25">
      <c r="A1963" t="str">
        <f>"20190304155055268"</f>
        <v>20190304155055268</v>
      </c>
      <c r="B1963" t="str">
        <f>"1551685855258697"</f>
        <v>1551685855258697</v>
      </c>
      <c r="C1963" t="s">
        <v>40</v>
      </c>
      <c r="D1963">
        <v>5.0958579999999998</v>
      </c>
      <c r="E1963">
        <v>0.53740690000000002</v>
      </c>
      <c r="F1963" t="s">
        <v>72</v>
      </c>
      <c r="G1963">
        <v>-316.63600000000002</v>
      </c>
      <c r="H1963" s="1">
        <v>5.0898690000000004E-6</v>
      </c>
      <c r="I1963">
        <v>285.416</v>
      </c>
      <c r="J1963">
        <v>-280.68259999999998</v>
      </c>
      <c r="K1963">
        <v>1.109756</v>
      </c>
      <c r="L1963">
        <v>284.87869999999998</v>
      </c>
      <c r="M1963">
        <v>-0.99985840000000004</v>
      </c>
      <c r="N1963">
        <v>-1.2096869999999999E-2</v>
      </c>
      <c r="O1963">
        <v>1.170474E-2</v>
      </c>
      <c r="P1963">
        <v>-0.97846529999999998</v>
      </c>
      <c r="Q1963">
        <v>0.18633530000000001</v>
      </c>
      <c r="R1963">
        <v>-8.8797909999999994E-2</v>
      </c>
      <c r="S1963">
        <v>-3.0887150000000001</v>
      </c>
      <c r="T1963">
        <v>-9.4494339999999996E-2</v>
      </c>
      <c r="U1963">
        <v>4.6112060000000003E-2</v>
      </c>
      <c r="V1963">
        <v>-9.9969859999999994E-2</v>
      </c>
      <c r="W1963">
        <v>0.19828390000000001</v>
      </c>
      <c r="X1963">
        <v>0.97503309999999999</v>
      </c>
      <c r="Y1963">
        <v>3.2221289999999998E-3</v>
      </c>
      <c r="Z1963">
        <v>-1.476262E-4</v>
      </c>
      <c r="AA1963">
        <v>0.99999479999999996</v>
      </c>
      <c r="AB1963">
        <v>32</v>
      </c>
      <c r="AC1963">
        <v>-35.953399999999903</v>
      </c>
      <c r="AD1963">
        <v>-1.1097509101309999</v>
      </c>
      <c r="AE1963">
        <v>0.53730000000001599</v>
      </c>
      <c r="AF1963">
        <v>0.116296452963848</v>
      </c>
      <c r="AG1963">
        <v>-1.1097509101309999</v>
      </c>
      <c r="AH1963">
        <v>35.923008762845299</v>
      </c>
      <c r="AI1963">
        <v>91.769436839972599</v>
      </c>
      <c r="AJ1963">
        <v>89.814512400874193</v>
      </c>
      <c r="AK1963">
        <v>35.940334312899303</v>
      </c>
      <c r="AL1963">
        <v>78.563376050905106</v>
      </c>
      <c r="AM1963">
        <v>95.854063485861303</v>
      </c>
      <c r="AN1963">
        <v>1.0000000120016099</v>
      </c>
    </row>
    <row r="1964" spans="1:40" x14ac:dyDescent="0.25">
      <c r="A1964" t="str">
        <f>"20190304155055280"</f>
        <v>20190304155055280</v>
      </c>
      <c r="B1964" t="str">
        <f>"1551685855278722"</f>
        <v>1551685855278722</v>
      </c>
      <c r="C1964" t="s">
        <v>40</v>
      </c>
      <c r="D1964">
        <v>5.1211640000000003</v>
      </c>
      <c r="E1964">
        <v>0.53755769999999903</v>
      </c>
      <c r="F1964" t="s">
        <v>72</v>
      </c>
      <c r="G1964">
        <v>-316.12849999999997</v>
      </c>
      <c r="H1964" s="1">
        <v>4.8628850000000003E-6</v>
      </c>
      <c r="I1964">
        <v>285.43799999999999</v>
      </c>
      <c r="J1964">
        <v>-280.8725</v>
      </c>
      <c r="K1964">
        <v>1.109764</v>
      </c>
      <c r="L1964">
        <v>284.88139999999999</v>
      </c>
      <c r="M1964">
        <v>-0.99985349999999995</v>
      </c>
      <c r="N1964">
        <v>-1.214489E-2</v>
      </c>
      <c r="O1964">
        <v>1.207042E-2</v>
      </c>
      <c r="P1964">
        <v>-0.97853199999999996</v>
      </c>
      <c r="Q1964">
        <v>0.18621309999999999</v>
      </c>
      <c r="R1964">
        <v>-8.8319750000000002E-2</v>
      </c>
      <c r="S1964">
        <v>-3.0888369999999998</v>
      </c>
      <c r="T1964">
        <v>-9.6706150000000005E-2</v>
      </c>
      <c r="U1964">
        <v>4.873657E-2</v>
      </c>
      <c r="V1964">
        <v>-9.9850999999999995E-2</v>
      </c>
      <c r="W1964">
        <v>0.1982082</v>
      </c>
      <c r="X1964">
        <v>0.97506060000000006</v>
      </c>
      <c r="Y1964">
        <v>3.7050730000000001E-3</v>
      </c>
      <c r="Z1964">
        <v>-1.5070700000000001E-4</v>
      </c>
      <c r="AA1964">
        <v>0.99999309999999997</v>
      </c>
      <c r="AB1964">
        <v>32</v>
      </c>
      <c r="AC1964">
        <v>-35.255999999999901</v>
      </c>
      <c r="AD1964">
        <v>-1.109759137115</v>
      </c>
      <c r="AE1964">
        <v>0.55660000000000298</v>
      </c>
      <c r="AF1964">
        <v>0.130843766735881</v>
      </c>
      <c r="AG1964">
        <v>-1.109759137115</v>
      </c>
      <c r="AH1964">
        <v>35.2252571856353</v>
      </c>
      <c r="AI1964">
        <v>91.804473762321095</v>
      </c>
      <c r="AJ1964">
        <v>89.787176539505793</v>
      </c>
      <c r="AK1964">
        <v>35.242977019937697</v>
      </c>
      <c r="AL1964">
        <v>78.567800372815299</v>
      </c>
      <c r="AM1964">
        <v>95.846987734640507</v>
      </c>
      <c r="AN1964">
        <v>0.99999994321029795</v>
      </c>
    </row>
    <row r="1965" spans="1:40" x14ac:dyDescent="0.25">
      <c r="A1965" t="str">
        <f>"20190304155055304"</f>
        <v>20190304155055304</v>
      </c>
      <c r="B1965" t="str">
        <f>"1551685855298242"</f>
        <v>1551685855298242</v>
      </c>
      <c r="C1965" t="s">
        <v>40</v>
      </c>
      <c r="D1965">
        <v>4.9440679999999997</v>
      </c>
      <c r="E1965">
        <v>0.53796860000000002</v>
      </c>
      <c r="F1965" t="s">
        <v>72</v>
      </c>
      <c r="G1965">
        <v>-315.90699999999998</v>
      </c>
      <c r="H1965" s="1">
        <v>4.762427E-6</v>
      </c>
      <c r="I1965">
        <v>285.46390000000002</v>
      </c>
      <c r="J1965">
        <v>-281.18400000000003</v>
      </c>
      <c r="K1965">
        <v>1.1097870000000001</v>
      </c>
      <c r="L1965">
        <v>284.88580000000002</v>
      </c>
      <c r="M1965">
        <v>-0.99984499999999998</v>
      </c>
      <c r="N1965">
        <v>-1.2225730000000001E-2</v>
      </c>
      <c r="O1965">
        <v>1.266989E-2</v>
      </c>
      <c r="P1965">
        <v>-0.97865559999999996</v>
      </c>
      <c r="Q1965">
        <v>0.1858532</v>
      </c>
      <c r="R1965">
        <v>-8.7703890000000007E-2</v>
      </c>
      <c r="S1965">
        <v>-3.0890499999999999</v>
      </c>
      <c r="T1965">
        <v>-9.7849249999999999E-2</v>
      </c>
      <c r="U1965">
        <v>5.1361080000000003E-2</v>
      </c>
      <c r="V1965">
        <v>-9.9824700000000002E-2</v>
      </c>
      <c r="W1965">
        <v>0.1979273</v>
      </c>
      <c r="X1965">
        <v>0.9751204</v>
      </c>
      <c r="Y1965">
        <v>3.9537460000000002E-3</v>
      </c>
      <c r="Z1965">
        <v>-1.5953009999999999E-4</v>
      </c>
      <c r="AA1965">
        <v>0.9999922</v>
      </c>
      <c r="AB1965">
        <v>32</v>
      </c>
      <c r="AC1965">
        <v>-34.7229999999999</v>
      </c>
      <c r="AD1965">
        <v>-1.109782237573</v>
      </c>
      <c r="AE1965">
        <v>0.57810000000000605</v>
      </c>
      <c r="AF1965">
        <v>0.13794325188582601</v>
      </c>
      <c r="AG1965">
        <v>-1.109782237573</v>
      </c>
      <c r="AH1965">
        <v>34.692109119725103</v>
      </c>
      <c r="AI1965">
        <v>91.832222412826297</v>
      </c>
      <c r="AJ1965">
        <v>89.772180916819906</v>
      </c>
      <c r="AK1965">
        <v>34.710129359172498</v>
      </c>
      <c r="AL1965">
        <v>78.584220608586406</v>
      </c>
      <c r="AM1965">
        <v>95.845102352785702</v>
      </c>
      <c r="AN1965">
        <v>0.99999999065576906</v>
      </c>
    </row>
    <row r="1966" spans="1:40" x14ac:dyDescent="0.25">
      <c r="A1966" t="str">
        <f>"20190304155055327"</f>
        <v>20190304155055327</v>
      </c>
      <c r="B1966" t="str">
        <f>"1551685855318739"</f>
        <v>1551685855318739</v>
      </c>
      <c r="C1966" t="s">
        <v>40</v>
      </c>
      <c r="D1966">
        <v>4.5436629999999996</v>
      </c>
      <c r="E1966">
        <v>0.53814719999999905</v>
      </c>
      <c r="F1966" t="s">
        <v>72</v>
      </c>
      <c r="G1966">
        <v>-316.32420000000002</v>
      </c>
      <c r="H1966" s="1">
        <v>4.9419890000000002E-6</v>
      </c>
      <c r="I1966">
        <v>285.52589999999998</v>
      </c>
      <c r="J1966">
        <v>-281.51960000000003</v>
      </c>
      <c r="K1966">
        <v>1.1098049999999999</v>
      </c>
      <c r="L1966">
        <v>284.89069999999998</v>
      </c>
      <c r="M1966">
        <v>-0.99983560000000005</v>
      </c>
      <c r="N1966">
        <v>-1.231468E-2</v>
      </c>
      <c r="O1966">
        <v>1.331514E-2</v>
      </c>
      <c r="P1966">
        <v>-0.97881169999999995</v>
      </c>
      <c r="Q1966">
        <v>0.18537110000000001</v>
      </c>
      <c r="R1966">
        <v>-8.6979899999999999E-2</v>
      </c>
      <c r="S1966">
        <v>-3.0890200000000001</v>
      </c>
      <c r="T1966">
        <v>-9.7555879999999998E-2</v>
      </c>
      <c r="U1966">
        <v>5.6274409999999997E-2</v>
      </c>
      <c r="V1966">
        <v>-9.9735630000000006E-2</v>
      </c>
      <c r="W1966">
        <v>0.19753229999999999</v>
      </c>
      <c r="X1966">
        <v>0.97520960000000001</v>
      </c>
      <c r="Y1966">
        <v>4.8980589999999997E-3</v>
      </c>
      <c r="Z1966">
        <v>-1.48911E-4</v>
      </c>
      <c r="AA1966">
        <v>0.99998799999999999</v>
      </c>
      <c r="AB1966">
        <v>32</v>
      </c>
      <c r="AC1966">
        <v>-34.804599999999901</v>
      </c>
      <c r="AD1966">
        <v>-1.1098000580109999</v>
      </c>
      <c r="AE1966">
        <v>0.63519999999999699</v>
      </c>
      <c r="AF1966">
        <v>0.17150613344188001</v>
      </c>
      <c r="AG1966">
        <v>-1.1098000580109999</v>
      </c>
      <c r="AH1966">
        <v>34.774627015269701</v>
      </c>
      <c r="AI1966">
        <v>91.827899178580097</v>
      </c>
      <c r="AJ1966">
        <v>89.717423340589605</v>
      </c>
      <c r="AK1966">
        <v>34.792754340145301</v>
      </c>
      <c r="AL1966">
        <v>78.607308202794101</v>
      </c>
      <c r="AM1966">
        <v>95.839392567936699</v>
      </c>
      <c r="AN1966">
        <v>0.99999998468347295</v>
      </c>
    </row>
    <row r="1967" spans="1:40" x14ac:dyDescent="0.25">
      <c r="A1967" t="str">
        <f>"20190304155055413"</f>
        <v>20190304155055413</v>
      </c>
      <c r="B1967" t="str">
        <f>"1551685855408944"</f>
        <v>1551685855408944</v>
      </c>
      <c r="C1967" t="s">
        <v>40</v>
      </c>
      <c r="D1967">
        <v>4.654706</v>
      </c>
      <c r="E1967">
        <v>0.53707139999999998</v>
      </c>
      <c r="F1967" t="s">
        <v>72</v>
      </c>
      <c r="G1967">
        <v>-314.96359999999999</v>
      </c>
      <c r="H1967" s="1">
        <v>4.3372599999999997E-6</v>
      </c>
      <c r="I1967">
        <v>285.54149999999998</v>
      </c>
      <c r="J1967">
        <v>-282.77499999999998</v>
      </c>
      <c r="K1967">
        <v>1.109861</v>
      </c>
      <c r="L1967">
        <v>284.91120000000001</v>
      </c>
      <c r="M1967">
        <v>-0.99979660000000004</v>
      </c>
      <c r="N1967">
        <v>-1.264934E-2</v>
      </c>
      <c r="O1967">
        <v>1.5714869999999999E-2</v>
      </c>
      <c r="P1967">
        <v>-0.97904950000000002</v>
      </c>
      <c r="Q1967">
        <v>0.1853793</v>
      </c>
      <c r="R1967">
        <v>-8.4242620000000004E-2</v>
      </c>
      <c r="S1967">
        <v>-3.0896910000000002</v>
      </c>
      <c r="T1967">
        <v>-0.1025277</v>
      </c>
      <c r="U1967">
        <v>6.011963E-2</v>
      </c>
      <c r="V1967">
        <v>-9.9354509999999993E-2</v>
      </c>
      <c r="W1967">
        <v>0.1978637</v>
      </c>
      <c r="X1967">
        <v>0.97518130000000003</v>
      </c>
      <c r="Y1967">
        <v>3.7393610000000001E-3</v>
      </c>
      <c r="Z1967">
        <v>-2.368162E-4</v>
      </c>
      <c r="AA1967">
        <v>0.99999300000000002</v>
      </c>
      <c r="AB1967">
        <v>32</v>
      </c>
      <c r="AC1967">
        <v>-32.188600000000001</v>
      </c>
      <c r="AD1967">
        <v>-1.1098566627399999</v>
      </c>
      <c r="AE1967">
        <v>0.63029999999997699</v>
      </c>
      <c r="AF1967">
        <v>0.12419447504261601</v>
      </c>
      <c r="AG1967">
        <v>-1.1098566627399999</v>
      </c>
      <c r="AH1967">
        <v>32.156315783431999</v>
      </c>
      <c r="AI1967">
        <v>91.976731318408497</v>
      </c>
      <c r="AJ1967">
        <v>89.778712713061594</v>
      </c>
      <c r="AK1967">
        <v>32.175702802631299</v>
      </c>
      <c r="AL1967">
        <v>78.587937846430805</v>
      </c>
      <c r="AM1967">
        <v>95.817399464364897</v>
      </c>
      <c r="AN1967">
        <v>0.999999965152359</v>
      </c>
    </row>
    <row r="1968" spans="1:40" x14ac:dyDescent="0.25">
      <c r="A1968" t="str">
        <f>"20190304155055424"</f>
        <v>20190304155055424</v>
      </c>
      <c r="B1968" t="str">
        <f>"1551685855418703"</f>
        <v>1551685855418703</v>
      </c>
      <c r="C1968" t="s">
        <v>40</v>
      </c>
      <c r="D1968">
        <v>4.7283980000000003</v>
      </c>
      <c r="E1968">
        <v>0.53658219999999901</v>
      </c>
      <c r="F1968" t="s">
        <v>72</v>
      </c>
      <c r="G1968">
        <v>-307.90820000000002</v>
      </c>
      <c r="H1968" s="1">
        <v>2.492957E-6</v>
      </c>
      <c r="I1968">
        <v>285.40410000000003</v>
      </c>
      <c r="J1968">
        <v>-282.9511</v>
      </c>
      <c r="K1968">
        <v>1.109869</v>
      </c>
      <c r="L1968">
        <v>284.91419999999999</v>
      </c>
      <c r="M1968">
        <v>-0.99979070000000003</v>
      </c>
      <c r="N1968">
        <v>-1.2694489999999999E-2</v>
      </c>
      <c r="O1968">
        <v>1.60474E-2</v>
      </c>
      <c r="P1968">
        <v>-0.97912679999999996</v>
      </c>
      <c r="Q1968">
        <v>0.1851479</v>
      </c>
      <c r="R1968">
        <v>-8.3854090000000006E-2</v>
      </c>
      <c r="S1968">
        <v>-3.0952760000000001</v>
      </c>
      <c r="T1968">
        <v>-0.13668469999999999</v>
      </c>
      <c r="U1968">
        <v>6.0699459999999997E-2</v>
      </c>
      <c r="V1968">
        <v>-9.9293690000000004E-2</v>
      </c>
      <c r="W1968">
        <v>0.1976763</v>
      </c>
      <c r="X1968">
        <v>0.97522560000000003</v>
      </c>
      <c r="Y1968">
        <v>3.5619169999999999E-3</v>
      </c>
      <c r="Z1968">
        <v>-4.03304E-4</v>
      </c>
      <c r="AA1968">
        <v>0.99999360000000004</v>
      </c>
      <c r="AB1968">
        <v>32</v>
      </c>
      <c r="AC1968">
        <v>-24.957100000000001</v>
      </c>
      <c r="AD1968">
        <v>-1.1098665070430001</v>
      </c>
      <c r="AE1968">
        <v>0.48990000000003397</v>
      </c>
      <c r="AF1968">
        <v>8.9131883316414404E-2</v>
      </c>
      <c r="AG1968">
        <v>-1.1098665070430001</v>
      </c>
      <c r="AH1968">
        <v>24.912498406832899</v>
      </c>
      <c r="AI1968">
        <v>92.550857759999104</v>
      </c>
      <c r="AJ1968">
        <v>89.795008157736305</v>
      </c>
      <c r="AK1968">
        <v>24.937368045295599</v>
      </c>
      <c r="AL1968">
        <v>78.598892564412907</v>
      </c>
      <c r="AM1968">
        <v>95.8136004488682</v>
      </c>
      <c r="AN1968">
        <v>1.00000006367543</v>
      </c>
    </row>
    <row r="1969" spans="1:40" x14ac:dyDescent="0.25">
      <c r="A1969" t="str">
        <f>"20190304155055447"</f>
        <v>20190304155055447</v>
      </c>
      <c r="B1969" t="str">
        <f>"1551685855438224"</f>
        <v>1551685855438224</v>
      </c>
      <c r="C1969" t="s">
        <v>40</v>
      </c>
      <c r="D1969">
        <v>4.9583500000000003</v>
      </c>
      <c r="E1969">
        <v>0.53789909999999996</v>
      </c>
      <c r="F1969" t="s">
        <v>72</v>
      </c>
      <c r="G1969">
        <v>-307.18970000000002</v>
      </c>
      <c r="H1969" s="1">
        <v>2.6233489999999998E-6</v>
      </c>
      <c r="I1969">
        <v>285.37040000000002</v>
      </c>
      <c r="J1969">
        <v>-283.27100000000002</v>
      </c>
      <c r="K1969">
        <v>1.109896</v>
      </c>
      <c r="L1969">
        <v>284.92</v>
      </c>
      <c r="M1969">
        <v>-0.99977990000000005</v>
      </c>
      <c r="N1969">
        <v>-1.278754E-2</v>
      </c>
      <c r="O1969">
        <v>1.664129E-2</v>
      </c>
      <c r="P1969">
        <v>-0.97925890000000004</v>
      </c>
      <c r="Q1969">
        <v>0.18470880000000001</v>
      </c>
      <c r="R1969">
        <v>-8.3275440000000006E-2</v>
      </c>
      <c r="S1969">
        <v>-3.095764</v>
      </c>
      <c r="T1969">
        <v>-0.14175270000000001</v>
      </c>
      <c r="U1969">
        <v>5.825806E-2</v>
      </c>
      <c r="V1969">
        <v>-9.9302230000000005E-2</v>
      </c>
      <c r="W1969">
        <v>0.19732710000000001</v>
      </c>
      <c r="X1969">
        <v>0.97529540000000003</v>
      </c>
      <c r="Y1969">
        <v>2.1791229999999998E-3</v>
      </c>
      <c r="Z1969">
        <v>-4.8493970000000001E-4</v>
      </c>
      <c r="AA1969">
        <v>0.99999749999999998</v>
      </c>
      <c r="AB1969">
        <v>32</v>
      </c>
      <c r="AC1969">
        <v>-23.918700000000001</v>
      </c>
      <c r="AD1969">
        <v>-1.109893376651</v>
      </c>
      <c r="AE1969">
        <v>0.45040000000000102</v>
      </c>
      <c r="AF1969">
        <v>5.2154848713199302E-2</v>
      </c>
      <c r="AG1969">
        <v>-1.109893376651</v>
      </c>
      <c r="AH1969">
        <v>23.8715008936916</v>
      </c>
      <c r="AI1969">
        <v>92.662014891256206</v>
      </c>
      <c r="AJ1969">
        <v>89.874819435484994</v>
      </c>
      <c r="AK1969">
        <v>23.8973458432793</v>
      </c>
      <c r="AL1969">
        <v>78.619301733464098</v>
      </c>
      <c r="AM1969">
        <v>95.813683783347301</v>
      </c>
      <c r="AN1969">
        <v>1.00000001726927</v>
      </c>
    </row>
    <row r="1970" spans="1:40" x14ac:dyDescent="0.25">
      <c r="A1970" t="str">
        <f>"20190304155055491"</f>
        <v>20190304155055491</v>
      </c>
      <c r="B1970" t="str">
        <f>"1551685855488976"</f>
        <v>1551685855488976</v>
      </c>
      <c r="C1970" t="s">
        <v>40</v>
      </c>
      <c r="D1970">
        <v>4.9913780000000001</v>
      </c>
      <c r="E1970">
        <v>0.53799229999999998</v>
      </c>
      <c r="F1970" t="s">
        <v>72</v>
      </c>
      <c r="G1970">
        <v>-309.4753</v>
      </c>
      <c r="H1970" s="1">
        <v>2.2057590000000001E-6</v>
      </c>
      <c r="I1970">
        <v>285.50959999999998</v>
      </c>
      <c r="J1970">
        <v>-283.8972</v>
      </c>
      <c r="K1970">
        <v>1.1099810000000001</v>
      </c>
      <c r="L1970">
        <v>284.93189999999998</v>
      </c>
      <c r="M1970">
        <v>-0.99975800000000004</v>
      </c>
      <c r="N1970">
        <v>-1.303111E-2</v>
      </c>
      <c r="O1970">
        <v>1.773141E-2</v>
      </c>
      <c r="P1970">
        <v>-0.97950769999999998</v>
      </c>
      <c r="Q1970">
        <v>0.18394430000000001</v>
      </c>
      <c r="R1970">
        <v>-8.2033200000000001E-2</v>
      </c>
      <c r="S1970">
        <v>-3.094147</v>
      </c>
      <c r="T1970">
        <v>-0.1310539</v>
      </c>
      <c r="U1970">
        <v>6.9610599999999995E-2</v>
      </c>
      <c r="V1970">
        <v>-9.9150779999999994E-2</v>
      </c>
      <c r="W1970">
        <v>0.19679279999999999</v>
      </c>
      <c r="X1970">
        <v>0.97541869999999997</v>
      </c>
      <c r="Y1970">
        <v>4.7618829999999997E-3</v>
      </c>
      <c r="Z1970">
        <v>-3.8769629999999998E-4</v>
      </c>
      <c r="AA1970">
        <v>0.99998860000000001</v>
      </c>
      <c r="AB1970">
        <v>32</v>
      </c>
      <c r="AC1970">
        <v>-25.578099999999999</v>
      </c>
      <c r="AD1970">
        <v>-1.109978794241</v>
      </c>
      <c r="AE1970">
        <v>0.577699999999992</v>
      </c>
      <c r="AF1970">
        <v>0.12380191034218101</v>
      </c>
      <c r="AG1970">
        <v>-1.109978794241</v>
      </c>
      <c r="AH1970">
        <v>25.5362574336975</v>
      </c>
      <c r="AI1970">
        <v>92.488866944562602</v>
      </c>
      <c r="AJ1970">
        <v>89.722227448410706</v>
      </c>
      <c r="AK1970">
        <v>25.560669466129799</v>
      </c>
      <c r="AL1970">
        <v>78.650526516034603</v>
      </c>
      <c r="AM1970">
        <v>95.804148918035295</v>
      </c>
      <c r="AN1970">
        <v>0.99999996180806805</v>
      </c>
    </row>
    <row r="1971" spans="1:40" x14ac:dyDescent="0.25">
      <c r="A1971" t="str">
        <f>"20190304155055516"</f>
        <v>20190304155055516</v>
      </c>
      <c r="B1971" t="str">
        <f>"1551685855508498"</f>
        <v>1551685855508498</v>
      </c>
      <c r="C1971" t="s">
        <v>40</v>
      </c>
      <c r="D1971">
        <v>4.9339060000000003</v>
      </c>
      <c r="E1971">
        <v>0.53732800000000003</v>
      </c>
      <c r="F1971" t="s">
        <v>72</v>
      </c>
      <c r="G1971">
        <v>-312.14530000000002</v>
      </c>
      <c r="H1971" s="1">
        <v>3.0822840000000001E-6</v>
      </c>
      <c r="I1971">
        <v>285.60079999999999</v>
      </c>
      <c r="J1971">
        <v>-284.24810000000002</v>
      </c>
      <c r="K1971">
        <v>1.1100399999999999</v>
      </c>
      <c r="L1971">
        <v>284.93880000000001</v>
      </c>
      <c r="M1971">
        <v>-0.99974589999999997</v>
      </c>
      <c r="N1971">
        <v>-1.317658E-2</v>
      </c>
      <c r="O1971">
        <v>1.828714E-2</v>
      </c>
      <c r="P1971">
        <v>-0.97959070000000004</v>
      </c>
      <c r="Q1971">
        <v>0.18375320000000001</v>
      </c>
      <c r="R1971">
        <v>-8.1467949999999997E-2</v>
      </c>
      <c r="S1971">
        <v>-3.0917050000000001</v>
      </c>
      <c r="T1971">
        <v>-0.1214852</v>
      </c>
      <c r="U1971">
        <v>7.3211670000000006E-2</v>
      </c>
      <c r="V1971">
        <v>-9.9147269999999996E-2</v>
      </c>
      <c r="W1971">
        <v>0.19673570000000001</v>
      </c>
      <c r="X1971">
        <v>0.97543060000000004</v>
      </c>
      <c r="Y1971">
        <v>5.3865110000000001E-3</v>
      </c>
      <c r="Z1971">
        <v>-3.3594130000000002E-4</v>
      </c>
      <c r="AA1971">
        <v>0.99998549999999997</v>
      </c>
      <c r="AB1971">
        <v>32</v>
      </c>
      <c r="AC1971">
        <v>-27.897200000000002</v>
      </c>
      <c r="AD1971">
        <v>-1.1100369177160001</v>
      </c>
      <c r="AE1971">
        <v>0.66199999999997705</v>
      </c>
      <c r="AF1971">
        <v>0.151445316288011</v>
      </c>
      <c r="AG1971">
        <v>-1.1100369177160001</v>
      </c>
      <c r="AH1971">
        <v>27.860555436674101</v>
      </c>
      <c r="AI1971">
        <v>92.281572265121895</v>
      </c>
      <c r="AJ1971">
        <v>89.688552799804995</v>
      </c>
      <c r="AK1971">
        <v>27.883071331589498</v>
      </c>
      <c r="AL1971">
        <v>78.653863616651705</v>
      </c>
      <c r="AM1971">
        <v>95.803874527002804</v>
      </c>
      <c r="AN1971">
        <v>0.99999998610965102</v>
      </c>
    </row>
    <row r="1972" spans="1:40" x14ac:dyDescent="0.25">
      <c r="A1972" t="str">
        <f>"20190304155055536"</f>
        <v>20190304155055536</v>
      </c>
      <c r="B1972" t="str">
        <f>"1551685855528991"</f>
        <v>1551685855528991</v>
      </c>
      <c r="C1972" t="s">
        <v>40</v>
      </c>
      <c r="D1972">
        <v>5.0528529999999998</v>
      </c>
      <c r="E1972">
        <v>0.53713710000000003</v>
      </c>
      <c r="F1972" t="s">
        <v>72</v>
      </c>
      <c r="G1972">
        <v>-312.55270000000002</v>
      </c>
      <c r="H1972" s="1">
        <v>3.2655089999999999E-6</v>
      </c>
      <c r="I1972">
        <v>285.57139999999998</v>
      </c>
      <c r="J1972">
        <v>-284.55779999999999</v>
      </c>
      <c r="K1972">
        <v>1.110082</v>
      </c>
      <c r="L1972">
        <v>284.94490000000002</v>
      </c>
      <c r="M1972">
        <v>-0.99973610000000002</v>
      </c>
      <c r="N1972">
        <v>-1.329644E-2</v>
      </c>
      <c r="O1972">
        <v>1.8736349999999999E-2</v>
      </c>
      <c r="P1972">
        <v>-0.97964779999999996</v>
      </c>
      <c r="Q1972">
        <v>0.18379210000000001</v>
      </c>
      <c r="R1972">
        <v>-8.0689720000000006E-2</v>
      </c>
      <c r="S1972">
        <v>-3.0910030000000002</v>
      </c>
      <c r="T1972">
        <v>-0.1212215</v>
      </c>
      <c r="U1972">
        <v>6.9091799999999995E-2</v>
      </c>
      <c r="V1972">
        <v>-9.882473E-2</v>
      </c>
      <c r="W1972">
        <v>0.1968839</v>
      </c>
      <c r="X1972">
        <v>0.97543349999999995</v>
      </c>
      <c r="Y1972">
        <v>3.6122889999999999E-3</v>
      </c>
      <c r="Z1972">
        <v>-3.9045319999999998E-4</v>
      </c>
      <c r="AA1972">
        <v>0.99999340000000003</v>
      </c>
      <c r="AB1972">
        <v>32</v>
      </c>
      <c r="AC1972">
        <v>-27.994900000000001</v>
      </c>
      <c r="AD1972">
        <v>-1.1100787344909999</v>
      </c>
      <c r="AE1972">
        <v>0.62649999999996397</v>
      </c>
      <c r="AF1972">
        <v>0.101661649450009</v>
      </c>
      <c r="AG1972">
        <v>-1.1100787344909999</v>
      </c>
      <c r="AH1972">
        <v>27.957786772637</v>
      </c>
      <c r="AI1972">
        <v>92.273749878188795</v>
      </c>
      <c r="AJ1972">
        <v>89.791658838127901</v>
      </c>
      <c r="AK1972">
        <v>27.980000913366201</v>
      </c>
      <c r="AL1972">
        <v>78.645203788990401</v>
      </c>
      <c r="AM1972">
        <v>95.785104894718003</v>
      </c>
      <c r="AN1972">
        <v>1.0000000551305099</v>
      </c>
    </row>
    <row r="1973" spans="1:40" x14ac:dyDescent="0.25">
      <c r="A1973" t="str">
        <f>"20190304155055551"</f>
        <v>20190304155055551</v>
      </c>
      <c r="B1973" t="str">
        <f>"1551685855548512"</f>
        <v>1551685855548512</v>
      </c>
      <c r="C1973" t="s">
        <v>40</v>
      </c>
      <c r="D1973">
        <v>5.0183939999999998</v>
      </c>
      <c r="E1973">
        <v>0.53681029999999996</v>
      </c>
      <c r="F1973" t="s">
        <v>72</v>
      </c>
      <c r="G1973">
        <v>-313.57479999999998</v>
      </c>
      <c r="H1973" s="1">
        <v>3.7164819999999998E-6</v>
      </c>
      <c r="I1973">
        <v>285.59769999999997</v>
      </c>
      <c r="J1973">
        <v>-284.75060000000002</v>
      </c>
      <c r="K1973">
        <v>1.1101110000000001</v>
      </c>
      <c r="L1973">
        <v>284.94880000000001</v>
      </c>
      <c r="M1973">
        <v>-0.99973029999999996</v>
      </c>
      <c r="N1973">
        <v>-1.336674E-2</v>
      </c>
      <c r="O1973">
        <v>1.8994090000000002E-2</v>
      </c>
      <c r="P1973">
        <v>-0.97968840000000001</v>
      </c>
      <c r="Q1973">
        <v>0.18369379999999999</v>
      </c>
      <c r="R1973">
        <v>-8.0421939999999997E-2</v>
      </c>
      <c r="S1973">
        <v>-3.0902400000000001</v>
      </c>
      <c r="T1973">
        <v>-0.1182206</v>
      </c>
      <c r="U1973">
        <v>6.9519040000000004E-2</v>
      </c>
      <c r="V1973">
        <v>-9.8818939999999994E-2</v>
      </c>
      <c r="W1973">
        <v>0.1968493</v>
      </c>
      <c r="X1973">
        <v>0.975441</v>
      </c>
      <c r="Y1973">
        <v>3.498012E-3</v>
      </c>
      <c r="Z1973">
        <v>-3.8210689999999999E-4</v>
      </c>
      <c r="AA1973">
        <v>0.99999380000000004</v>
      </c>
      <c r="AB1973">
        <v>32</v>
      </c>
      <c r="AC1973">
        <v>-28.824199999999902</v>
      </c>
      <c r="AD1973">
        <v>-1.1101072835179999</v>
      </c>
      <c r="AE1973">
        <v>0.64889999999996895</v>
      </c>
      <c r="AF1973">
        <v>0.101094708673899</v>
      </c>
      <c r="AG1973">
        <v>-1.1101072835179999</v>
      </c>
      <c r="AH1973">
        <v>28.788646205862001</v>
      </c>
      <c r="AI1973">
        <v>92.208251590180893</v>
      </c>
      <c r="AJ1973">
        <v>89.798799975250304</v>
      </c>
      <c r="AK1973">
        <v>28.810218824009901</v>
      </c>
      <c r="AL1973">
        <v>78.647225010827995</v>
      </c>
      <c r="AM1973">
        <v>95.784724075937604</v>
      </c>
      <c r="AN1973">
        <v>0.99999998714710603</v>
      </c>
    </row>
    <row r="1974" spans="1:40" x14ac:dyDescent="0.25">
      <c r="A1974" t="str">
        <f>"20190304155055569"</f>
        <v>20190304155055569</v>
      </c>
      <c r="B1974" t="str">
        <f>"1551685855558272"</f>
        <v>1551685855558272</v>
      </c>
      <c r="C1974" t="s">
        <v>40</v>
      </c>
      <c r="D1974">
        <v>4.9900419999999999</v>
      </c>
      <c r="E1974">
        <v>0.53671969999999902</v>
      </c>
      <c r="F1974" t="s">
        <v>72</v>
      </c>
      <c r="G1974">
        <v>-314.27539999999999</v>
      </c>
      <c r="H1974" s="1">
        <v>4.0275750000000001E-6</v>
      </c>
      <c r="I1974">
        <v>285.59269999999998</v>
      </c>
      <c r="J1974">
        <v>-285.01609999999999</v>
      </c>
      <c r="K1974">
        <v>1.11015</v>
      </c>
      <c r="L1974">
        <v>284.95420000000001</v>
      </c>
      <c r="M1974">
        <v>-0.99972300000000003</v>
      </c>
      <c r="N1974">
        <v>-1.3457179999999999E-2</v>
      </c>
      <c r="O1974">
        <v>1.9309759999999999E-2</v>
      </c>
      <c r="P1974">
        <v>-0.97977769999999997</v>
      </c>
      <c r="Q1974">
        <v>0.1836313</v>
      </c>
      <c r="R1974">
        <v>-7.9469010000000007E-2</v>
      </c>
      <c r="S1974">
        <v>-3.0895079999999999</v>
      </c>
      <c r="T1974">
        <v>-0.11616310000000001</v>
      </c>
      <c r="U1974">
        <v>6.7382810000000001E-2</v>
      </c>
      <c r="V1974">
        <v>-9.8192500000000002E-2</v>
      </c>
      <c r="W1974">
        <v>0.1968676</v>
      </c>
      <c r="X1974">
        <v>0.97550060000000005</v>
      </c>
      <c r="Y1974">
        <v>2.4972639999999999E-3</v>
      </c>
      <c r="Z1974">
        <v>-4.0207570000000002E-4</v>
      </c>
      <c r="AA1974">
        <v>0.99999680000000002</v>
      </c>
      <c r="AB1974">
        <v>32</v>
      </c>
      <c r="AC1974">
        <v>-29.2593</v>
      </c>
      <c r="AD1974">
        <v>-1.110145972425</v>
      </c>
      <c r="AE1974">
        <v>0.63849999999996498</v>
      </c>
      <c r="AF1974">
        <v>7.3234338685309694E-2</v>
      </c>
      <c r="AG1974">
        <v>-1.110145972425</v>
      </c>
      <c r="AH1974">
        <v>29.224123888773601</v>
      </c>
      <c r="AI1974">
        <v>92.175459923511895</v>
      </c>
      <c r="AJ1974">
        <v>89.856419656763606</v>
      </c>
      <c r="AK1974">
        <v>29.245293713943902</v>
      </c>
      <c r="AL1974">
        <v>78.646155946756195</v>
      </c>
      <c r="AM1974">
        <v>95.747950646712795</v>
      </c>
      <c r="AN1974">
        <v>1.00000001979318</v>
      </c>
    </row>
    <row r="1975" spans="1:40" x14ac:dyDescent="0.25">
      <c r="A1975" t="str">
        <f>"20190304155055582"</f>
        <v>20190304155055582</v>
      </c>
      <c r="B1975" t="str">
        <f>"1551685855578768"</f>
        <v>1551685855578768</v>
      </c>
      <c r="C1975" t="s">
        <v>40</v>
      </c>
      <c r="D1975">
        <v>4.9732839999999996</v>
      </c>
      <c r="E1975">
        <v>0.53646910000000003</v>
      </c>
      <c r="F1975" t="s">
        <v>72</v>
      </c>
      <c r="G1975">
        <v>-314.77780000000001</v>
      </c>
      <c r="H1975" s="1">
        <v>4.2479340000000001E-6</v>
      </c>
      <c r="I1975">
        <v>285.6207</v>
      </c>
      <c r="J1975">
        <v>-285.20490000000001</v>
      </c>
      <c r="K1975">
        <v>1.110185</v>
      </c>
      <c r="L1975">
        <v>284.95800000000003</v>
      </c>
      <c r="M1975">
        <v>-0.99971849999999995</v>
      </c>
      <c r="N1975">
        <v>-1.3519099999999999E-2</v>
      </c>
      <c r="O1975">
        <v>1.950176E-2</v>
      </c>
      <c r="P1975">
        <v>-0.97984990000000005</v>
      </c>
      <c r="Q1975">
        <v>0.18339949999999999</v>
      </c>
      <c r="R1975">
        <v>-7.9114069999999995E-2</v>
      </c>
      <c r="S1975">
        <v>-3.0891109999999999</v>
      </c>
      <c r="T1975">
        <v>-0.1152275</v>
      </c>
      <c r="U1975">
        <v>6.9183350000000005E-2</v>
      </c>
      <c r="V1975">
        <v>-9.803974E-2</v>
      </c>
      <c r="W1975">
        <v>0.1966908</v>
      </c>
      <c r="X1975">
        <v>0.97555159999999996</v>
      </c>
      <c r="Y1975">
        <v>2.8901159999999999E-3</v>
      </c>
      <c r="Z1975">
        <v>-3.9000120000000002E-4</v>
      </c>
      <c r="AA1975">
        <v>0.99999579999999999</v>
      </c>
      <c r="AB1975">
        <v>32</v>
      </c>
      <c r="AC1975">
        <v>-29.572900000000001</v>
      </c>
      <c r="AD1975">
        <v>-1.1101807520659901</v>
      </c>
      <c r="AE1975">
        <v>0.66270000000002904</v>
      </c>
      <c r="AF1975">
        <v>8.5677002508889599E-2</v>
      </c>
      <c r="AG1975">
        <v>-1.1101807520659901</v>
      </c>
      <c r="AH1975">
        <v>29.538592400661901</v>
      </c>
      <c r="AI1975">
        <v>92.152386900504595</v>
      </c>
      <c r="AJ1975">
        <v>89.833813446072199</v>
      </c>
      <c r="AK1975">
        <v>29.5595717638713</v>
      </c>
      <c r="AL1975">
        <v>78.656487541779498</v>
      </c>
      <c r="AM1975">
        <v>95.738770160424906</v>
      </c>
      <c r="AN1975">
        <v>0.99999999284323304</v>
      </c>
    </row>
    <row r="1976" spans="1:40" x14ac:dyDescent="0.25">
      <c r="A1976" t="str">
        <f>"20190304155055602"</f>
        <v>20190304155055602</v>
      </c>
      <c r="B1976" t="str">
        <f>"1551685855598288"</f>
        <v>1551685855598288</v>
      </c>
      <c r="C1976" t="s">
        <v>40</v>
      </c>
      <c r="D1976">
        <v>4.9686909999999997</v>
      </c>
      <c r="E1976">
        <v>0.53627930000000001</v>
      </c>
      <c r="F1976" t="s">
        <v>72</v>
      </c>
      <c r="G1976">
        <v>-315.26260000000002</v>
      </c>
      <c r="H1976" s="1">
        <v>4.4628200000000004E-6</v>
      </c>
      <c r="I1976">
        <v>285.62180000000001</v>
      </c>
      <c r="J1976">
        <v>-285.48610000000002</v>
      </c>
      <c r="K1976">
        <v>1.1102350000000001</v>
      </c>
      <c r="L1976">
        <v>284.96379999999999</v>
      </c>
      <c r="M1976">
        <v>-0.9997123</v>
      </c>
      <c r="N1976">
        <v>-1.360783E-2</v>
      </c>
      <c r="O1976">
        <v>1.9751850000000001E-2</v>
      </c>
      <c r="P1976">
        <v>-0.97986010000000001</v>
      </c>
      <c r="Q1976">
        <v>0.18361250000000001</v>
      </c>
      <c r="R1976">
        <v>-7.8491930000000001E-2</v>
      </c>
      <c r="S1976">
        <v>-3.088562</v>
      </c>
      <c r="T1976">
        <v>-0.114076</v>
      </c>
      <c r="U1976">
        <v>6.8206790000000003E-2</v>
      </c>
      <c r="V1976">
        <v>-9.7683210000000006E-2</v>
      </c>
      <c r="W1976">
        <v>0.19697980000000001</v>
      </c>
      <c r="X1976">
        <v>0.97552910000000004</v>
      </c>
      <c r="Y1976">
        <v>2.3283079999999999E-3</v>
      </c>
      <c r="Z1976">
        <v>-4.0156270000000002E-4</v>
      </c>
      <c r="AA1976">
        <v>0.99999720000000003</v>
      </c>
      <c r="AB1976">
        <v>32</v>
      </c>
      <c r="AC1976">
        <v>-29.776499999999999</v>
      </c>
      <c r="AD1976">
        <v>-1.1102305371799901</v>
      </c>
      <c r="AE1976">
        <v>0.65800000000001502</v>
      </c>
      <c r="AF1976">
        <v>6.9579500947740597E-2</v>
      </c>
      <c r="AG1976">
        <v>-1.1102305371799901</v>
      </c>
      <c r="AH1976">
        <v>29.742360027260499</v>
      </c>
      <c r="AI1976">
        <v>92.1377533406922</v>
      </c>
      <c r="AJ1976">
        <v>89.865962066607196</v>
      </c>
      <c r="AK1976">
        <v>29.7631556314821</v>
      </c>
      <c r="AL1976">
        <v>78.639599176999397</v>
      </c>
      <c r="AM1976">
        <v>95.718170179586494</v>
      </c>
      <c r="AN1976">
        <v>1.00000003803537</v>
      </c>
    </row>
    <row r="1977" spans="1:40" x14ac:dyDescent="0.25">
      <c r="A1977" t="str">
        <f>"20190304155055625"</f>
        <v>20190304155055625</v>
      </c>
      <c r="B1977" t="str">
        <f>"1551685855618784"</f>
        <v>1551685855618784</v>
      </c>
      <c r="C1977" t="s">
        <v>40</v>
      </c>
      <c r="D1977">
        <v>4.9938909999999996</v>
      </c>
      <c r="E1977">
        <v>0.53612609999999905</v>
      </c>
      <c r="F1977" t="s">
        <v>72</v>
      </c>
      <c r="G1977">
        <v>-316.32339999999999</v>
      </c>
      <c r="H1977" s="1">
        <v>4.9310620000000003E-6</v>
      </c>
      <c r="I1977">
        <v>285.64679999999998</v>
      </c>
      <c r="J1977">
        <v>-285.82130000000001</v>
      </c>
      <c r="K1977">
        <v>1.110303</v>
      </c>
      <c r="L1977">
        <v>284.97070000000002</v>
      </c>
      <c r="M1977">
        <v>-0.99970630000000005</v>
      </c>
      <c r="N1977">
        <v>-1.370681E-2</v>
      </c>
      <c r="O1977">
        <v>1.998314E-2</v>
      </c>
      <c r="P1977">
        <v>-0.97980679999999998</v>
      </c>
      <c r="Q1977">
        <v>0.18394350000000001</v>
      </c>
      <c r="R1977">
        <v>-7.8380549999999993E-2</v>
      </c>
      <c r="S1977">
        <v>-3.0879819999999998</v>
      </c>
      <c r="T1977">
        <v>-0.111176</v>
      </c>
      <c r="U1977">
        <v>6.8389889999999995E-2</v>
      </c>
      <c r="V1977">
        <v>-9.7824700000000001E-2</v>
      </c>
      <c r="W1977">
        <v>0.1973925</v>
      </c>
      <c r="X1977">
        <v>0.97543139999999995</v>
      </c>
      <c r="Y1977">
        <v>2.1601709999999998E-3</v>
      </c>
      <c r="Z1977">
        <v>-3.9151159999999997E-4</v>
      </c>
      <c r="AA1977">
        <v>0.99999760000000004</v>
      </c>
      <c r="AB1977">
        <v>32</v>
      </c>
      <c r="AC1977">
        <v>-30.502099999999899</v>
      </c>
      <c r="AD1977">
        <v>-1.110298068938</v>
      </c>
      <c r="AE1977">
        <v>0.67609999999996195</v>
      </c>
      <c r="AF1977">
        <v>6.6292139719472704E-2</v>
      </c>
      <c r="AG1977">
        <v>-1.110298068938</v>
      </c>
      <c r="AH1977">
        <v>30.469167802858401</v>
      </c>
      <c r="AI1977">
        <v>92.086932862512697</v>
      </c>
      <c r="AJ1977">
        <v>89.875341070944003</v>
      </c>
      <c r="AK1977">
        <v>30.489462819938598</v>
      </c>
      <c r="AL1977">
        <v>78.615478558187206</v>
      </c>
      <c r="AM1977">
        <v>95.726967449445198</v>
      </c>
      <c r="AN1977">
        <v>0.99999994354614796</v>
      </c>
    </row>
    <row r="1978" spans="1:40" x14ac:dyDescent="0.25">
      <c r="A1978" t="str">
        <f>"20190304155055649"</f>
        <v>20190304155055649</v>
      </c>
      <c r="B1978" t="str">
        <f>"1551685855638304"</f>
        <v>1551685855638304</v>
      </c>
      <c r="C1978" t="s">
        <v>40</v>
      </c>
      <c r="D1978">
        <v>5.0140010000000004</v>
      </c>
      <c r="E1978">
        <v>0.5359564</v>
      </c>
      <c r="F1978" t="s">
        <v>72</v>
      </c>
      <c r="G1978">
        <v>-317.4932</v>
      </c>
      <c r="H1978" s="1">
        <v>5.4484339999999999E-6</v>
      </c>
      <c r="I1978">
        <v>285.66250000000002</v>
      </c>
      <c r="J1978">
        <v>-286.14749999999998</v>
      </c>
      <c r="K1978">
        <v>1.1103730000000001</v>
      </c>
      <c r="L1978">
        <v>284.97739999999999</v>
      </c>
      <c r="M1978">
        <v>-0.99970230000000004</v>
      </c>
      <c r="N1978">
        <v>-1.379383E-2</v>
      </c>
      <c r="O1978">
        <v>2.0129919999999999E-2</v>
      </c>
      <c r="P1978">
        <v>-0.97991099999999998</v>
      </c>
      <c r="Q1978">
        <v>0.18377769999999999</v>
      </c>
      <c r="R1978">
        <v>-7.7461669999999996E-2</v>
      </c>
      <c r="S1978">
        <v>-3.0875849999999998</v>
      </c>
      <c r="T1978">
        <v>-0.1082391</v>
      </c>
      <c r="U1978">
        <v>6.744385E-2</v>
      </c>
      <c r="V1978">
        <v>-9.7081440000000005E-2</v>
      </c>
      <c r="W1978">
        <v>0.1972981</v>
      </c>
      <c r="X1978">
        <v>0.97552479999999997</v>
      </c>
      <c r="Y1978">
        <v>1.7099719999999999E-3</v>
      </c>
      <c r="Z1978">
        <v>-3.8591660000000002E-4</v>
      </c>
      <c r="AA1978">
        <v>0.99999850000000001</v>
      </c>
      <c r="AB1978">
        <v>32</v>
      </c>
      <c r="AC1978">
        <v>-31.345700000000001</v>
      </c>
      <c r="AD1978">
        <v>-1.1103675515660001</v>
      </c>
      <c r="AE1978">
        <v>0.68510000000003402</v>
      </c>
      <c r="AF1978">
        <v>5.3847201479043302E-2</v>
      </c>
      <c r="AG1978">
        <v>-1.1103675515660001</v>
      </c>
      <c r="AH1978">
        <v>31.313865459893201</v>
      </c>
      <c r="AI1978">
        <v>92.030814000426403</v>
      </c>
      <c r="AJ1978">
        <v>89.901474497094895</v>
      </c>
      <c r="AK1978">
        <v>31.333591968699899</v>
      </c>
      <c r="AL1978">
        <v>78.620996326875201</v>
      </c>
      <c r="AM1978">
        <v>95.683200019872103</v>
      </c>
      <c r="AN1978">
        <v>0.99999999083556101</v>
      </c>
    </row>
    <row r="1979" spans="1:40" x14ac:dyDescent="0.25">
      <c r="A1979" t="str">
        <f>"20190304155055669"</f>
        <v>20190304155055669</v>
      </c>
      <c r="B1979" t="str">
        <f>"1551685855658803"</f>
        <v>1551685855658803</v>
      </c>
      <c r="C1979" t="s">
        <v>40</v>
      </c>
      <c r="D1979">
        <v>4.9645919999999997</v>
      </c>
      <c r="E1979">
        <v>0.53567069999999894</v>
      </c>
      <c r="F1979" t="s">
        <v>72</v>
      </c>
      <c r="G1979">
        <v>-318.19400000000002</v>
      </c>
      <c r="H1979" s="1">
        <v>5.7566559999999999E-6</v>
      </c>
      <c r="I1979">
        <v>285.69209999999998</v>
      </c>
      <c r="J1979">
        <v>-286.44819999999999</v>
      </c>
      <c r="K1979">
        <v>1.1104339999999999</v>
      </c>
      <c r="L1979">
        <v>284.98360000000002</v>
      </c>
      <c r="M1979">
        <v>-0.99969980000000003</v>
      </c>
      <c r="N1979">
        <v>-1.3865540000000001E-2</v>
      </c>
      <c r="O1979">
        <v>2.020665E-2</v>
      </c>
      <c r="P1979">
        <v>-0.9800122</v>
      </c>
      <c r="Q1979">
        <v>0.1834798</v>
      </c>
      <c r="R1979">
        <v>-7.6886189999999993E-2</v>
      </c>
      <c r="S1979">
        <v>-3.0869749999999998</v>
      </c>
      <c r="T1979">
        <v>-0.10695929999999999</v>
      </c>
      <c r="U1979">
        <v>6.8847660000000005E-2</v>
      </c>
      <c r="V1979">
        <v>-9.6607960000000007E-2</v>
      </c>
      <c r="W1979">
        <v>0.19705919999999999</v>
      </c>
      <c r="X1979">
        <v>0.97562009999999999</v>
      </c>
      <c r="Y1979">
        <v>2.0915590000000002E-3</v>
      </c>
      <c r="Z1979">
        <v>-3.6889719999999999E-4</v>
      </c>
      <c r="AA1979">
        <v>0.99999769999999999</v>
      </c>
      <c r="AB1979">
        <v>32</v>
      </c>
      <c r="AC1979">
        <v>-31.745799999999999</v>
      </c>
      <c r="AD1979">
        <v>-1.11042824334399</v>
      </c>
      <c r="AE1979">
        <v>0.70849999999995805</v>
      </c>
      <c r="AF1979">
        <v>6.6735842058716993E-2</v>
      </c>
      <c r="AG1979">
        <v>-1.11042824334399</v>
      </c>
      <c r="AH1979">
        <v>31.714850634868402</v>
      </c>
      <c r="AI1979">
        <v>92.0052666334809</v>
      </c>
      <c r="AJ1979">
        <v>89.879435773080203</v>
      </c>
      <c r="AK1979">
        <v>31.734354497110001</v>
      </c>
      <c r="AL1979">
        <v>78.634958536833395</v>
      </c>
      <c r="AM1979">
        <v>95.655113505668496</v>
      </c>
      <c r="AN1979">
        <v>1.000000002882</v>
      </c>
    </row>
    <row r="1980" spans="1:40" x14ac:dyDescent="0.25">
      <c r="A1980" t="str">
        <f>"20190304155055691"</f>
        <v>20190304155055691</v>
      </c>
      <c r="B1980" t="str">
        <f>"1551685855689056"</f>
        <v>1551685855689056</v>
      </c>
      <c r="C1980" t="s">
        <v>40</v>
      </c>
      <c r="D1980">
        <v>5.0880289999999997</v>
      </c>
      <c r="E1980">
        <v>0.53540459999999901</v>
      </c>
      <c r="F1980" t="s">
        <v>72</v>
      </c>
      <c r="G1980">
        <v>-318.73950000000002</v>
      </c>
      <c r="H1980" s="1">
        <v>5.997809E-6</v>
      </c>
      <c r="I1980">
        <v>285.70069999999998</v>
      </c>
      <c r="J1980">
        <v>-286.75240000000002</v>
      </c>
      <c r="K1980">
        <v>1.110479</v>
      </c>
      <c r="L1980">
        <v>284.9898</v>
      </c>
      <c r="M1980">
        <v>-0.99969799999999998</v>
      </c>
      <c r="N1980">
        <v>-1.392996E-2</v>
      </c>
      <c r="O1980">
        <v>2.024509E-2</v>
      </c>
      <c r="P1980">
        <v>-0.9800681</v>
      </c>
      <c r="Q1980">
        <v>0.1832106</v>
      </c>
      <c r="R1980">
        <v>-7.681557E-2</v>
      </c>
      <c r="S1980">
        <v>-3.0864560000000001</v>
      </c>
      <c r="T1980">
        <v>-0.1061366</v>
      </c>
      <c r="U1980">
        <v>6.8542480000000003E-2</v>
      </c>
      <c r="V1980">
        <v>-9.6596399999999999E-2</v>
      </c>
      <c r="W1980">
        <v>0.19684370000000001</v>
      </c>
      <c r="X1980">
        <v>0.97566470000000005</v>
      </c>
      <c r="Y1980">
        <v>1.9580159999999999E-3</v>
      </c>
      <c r="Z1980">
        <v>-3.6654830000000001E-4</v>
      </c>
      <c r="AA1980">
        <v>0.99999800000000005</v>
      </c>
      <c r="AB1980">
        <v>32</v>
      </c>
      <c r="AC1980">
        <v>-31.987100000000002</v>
      </c>
      <c r="AD1980">
        <v>-1.1104730021910001</v>
      </c>
      <c r="AE1980">
        <v>0.71089999999997999</v>
      </c>
      <c r="AF1980">
        <v>6.3033781165751604E-2</v>
      </c>
      <c r="AG1980">
        <v>-1.1104730021910001</v>
      </c>
      <c r="AH1980">
        <v>31.9564409890808</v>
      </c>
      <c r="AI1980">
        <v>91.990199762346506</v>
      </c>
      <c r="AJ1980">
        <v>89.886984757003205</v>
      </c>
      <c r="AK1980">
        <v>31.975791534139798</v>
      </c>
      <c r="AL1980">
        <v>78.647551920861702</v>
      </c>
      <c r="AM1980">
        <v>95.654184403219801</v>
      </c>
      <c r="AN1980">
        <v>0.99999995677436904</v>
      </c>
    </row>
    <row r="1981" spans="1:40" x14ac:dyDescent="0.25">
      <c r="A1981" t="str">
        <f>"20190304155055715"</f>
        <v>20190304155055715</v>
      </c>
      <c r="B1981" t="str">
        <f>"1551685855708576"</f>
        <v>1551685855708576</v>
      </c>
      <c r="C1981" t="s">
        <v>40</v>
      </c>
      <c r="D1981">
        <v>4.996613</v>
      </c>
      <c r="E1981">
        <v>0.53522840000000005</v>
      </c>
      <c r="F1981" t="s">
        <v>72</v>
      </c>
      <c r="G1981">
        <v>-319.35579999999999</v>
      </c>
      <c r="H1981" s="1">
        <v>6.2715E-6</v>
      </c>
      <c r="I1981">
        <v>285.69589999999999</v>
      </c>
      <c r="J1981">
        <v>-287.096</v>
      </c>
      <c r="K1981">
        <v>1.110517</v>
      </c>
      <c r="L1981">
        <v>284.99680000000001</v>
      </c>
      <c r="M1981">
        <v>-0.99969699999999995</v>
      </c>
      <c r="N1981">
        <v>-1.399336E-2</v>
      </c>
      <c r="O1981">
        <v>2.0252249999999999E-2</v>
      </c>
      <c r="P1981">
        <v>-0.98017299999999996</v>
      </c>
      <c r="Q1981">
        <v>0.1827281</v>
      </c>
      <c r="R1981">
        <v>-7.6626109999999997E-2</v>
      </c>
      <c r="S1981">
        <v>-3.0859070000000002</v>
      </c>
      <c r="T1981">
        <v>-0.105106199999999</v>
      </c>
      <c r="U1981">
        <v>6.6833500000000004E-2</v>
      </c>
      <c r="V1981">
        <v>-9.6432219999999999E-2</v>
      </c>
      <c r="W1981">
        <v>0.19641729999999999</v>
      </c>
      <c r="X1981">
        <v>0.97576689999999999</v>
      </c>
      <c r="Y1981">
        <v>1.40157E-3</v>
      </c>
      <c r="Z1981">
        <v>-3.7240910000000001E-4</v>
      </c>
      <c r="AA1981">
        <v>0.99999890000000002</v>
      </c>
      <c r="AB1981">
        <v>32</v>
      </c>
      <c r="AC1981">
        <v>-32.259799999999899</v>
      </c>
      <c r="AD1981">
        <v>-1.1105107285</v>
      </c>
      <c r="AE1981">
        <v>0.69909999999998695</v>
      </c>
      <c r="AF1981">
        <v>4.5505198745757397E-2</v>
      </c>
      <c r="AG1981">
        <v>-1.1105107285</v>
      </c>
      <c r="AH1981">
        <v>32.229168049890902</v>
      </c>
      <c r="AI1981">
        <v>91.973440686156096</v>
      </c>
      <c r="AJ1981">
        <v>89.919102655785196</v>
      </c>
      <c r="AK1981">
        <v>32.248326747124899</v>
      </c>
      <c r="AL1981">
        <v>78.672469622838605</v>
      </c>
      <c r="AM1981">
        <v>95.644048995287406</v>
      </c>
      <c r="AN1981">
        <v>0.999999985964514</v>
      </c>
    </row>
    <row r="1982" spans="1:40" x14ac:dyDescent="0.25">
      <c r="A1982" t="str">
        <f>"20190304155055736"</f>
        <v>20190304155055736</v>
      </c>
      <c r="B1982" t="str">
        <f>"1551685855729072"</f>
        <v>1551685855729072</v>
      </c>
      <c r="C1982" t="s">
        <v>40</v>
      </c>
      <c r="D1982">
        <v>5.0562079999999998</v>
      </c>
      <c r="E1982">
        <v>0.53504189999999996</v>
      </c>
      <c r="F1982" t="s">
        <v>72</v>
      </c>
      <c r="G1982">
        <v>-319.55900000000003</v>
      </c>
      <c r="H1982" s="1">
        <v>6.36203499999999E-6</v>
      </c>
      <c r="I1982">
        <v>285.69099999999997</v>
      </c>
      <c r="J1982">
        <v>-287.40249999999997</v>
      </c>
      <c r="K1982">
        <v>1.110544</v>
      </c>
      <c r="L1982">
        <v>285.00299999999999</v>
      </c>
      <c r="M1982">
        <v>-0.99969680000000005</v>
      </c>
      <c r="N1982">
        <v>-1.4042550000000001E-2</v>
      </c>
      <c r="O1982">
        <v>2.02303E-2</v>
      </c>
      <c r="P1982">
        <v>-0.98009999999999997</v>
      </c>
      <c r="Q1982">
        <v>0.1830852</v>
      </c>
      <c r="R1982">
        <v>-7.6706479999999994E-2</v>
      </c>
      <c r="S1982">
        <v>-3.0855100000000002</v>
      </c>
      <c r="T1982">
        <v>-0.1055508</v>
      </c>
      <c r="U1982">
        <v>6.5978999999999996E-2</v>
      </c>
      <c r="V1982">
        <v>-9.6500660000000002E-2</v>
      </c>
      <c r="W1982">
        <v>0.19681570000000001</v>
      </c>
      <c r="X1982">
        <v>0.97567990000000004</v>
      </c>
      <c r="Y1982">
        <v>1.149728E-3</v>
      </c>
      <c r="Z1982">
        <v>-3.7991270000000001E-4</v>
      </c>
      <c r="AA1982">
        <v>0.99999930000000004</v>
      </c>
      <c r="AB1982">
        <v>32</v>
      </c>
      <c r="AC1982">
        <v>-32.156500000000001</v>
      </c>
      <c r="AD1982">
        <v>-1.110537637965</v>
      </c>
      <c r="AE1982">
        <v>0.68799999999998795</v>
      </c>
      <c r="AF1982">
        <v>3.7215061616039102E-2</v>
      </c>
      <c r="AG1982">
        <v>-1.110537637965</v>
      </c>
      <c r="AH1982">
        <v>32.125539176877297</v>
      </c>
      <c r="AI1982">
        <v>91.979850029559202</v>
      </c>
      <c r="AJ1982">
        <v>89.933627105855507</v>
      </c>
      <c r="AK1982">
        <v>32.1447499012083</v>
      </c>
      <c r="AL1982">
        <v>78.649189079982193</v>
      </c>
      <c r="AM1982">
        <v>95.648529176654606</v>
      </c>
      <c r="AN1982">
        <v>1.0000000322054601</v>
      </c>
    </row>
    <row r="1983" spans="1:40" x14ac:dyDescent="0.25">
      <c r="A1983" t="str">
        <f>"20190304155055759"</f>
        <v>20190304155055759</v>
      </c>
      <c r="B1983" t="str">
        <f>"1551685855748592"</f>
        <v>1551685855748592</v>
      </c>
      <c r="C1983" t="s">
        <v>40</v>
      </c>
      <c r="D1983">
        <v>5.0059639999999996</v>
      </c>
      <c r="E1983">
        <v>0.53488000000000002</v>
      </c>
      <c r="F1983" t="s">
        <v>70</v>
      </c>
      <c r="G1983">
        <v>-320.65140000000002</v>
      </c>
      <c r="H1983" s="1">
        <v>-1.2371270000000001E-6</v>
      </c>
      <c r="I1983">
        <v>285.69139999999999</v>
      </c>
      <c r="J1983">
        <v>-287.72000000000003</v>
      </c>
      <c r="K1983">
        <v>1.1105719999999999</v>
      </c>
      <c r="L1983">
        <v>285.0095</v>
      </c>
      <c r="M1983">
        <v>-0.99969730000000001</v>
      </c>
      <c r="N1983">
        <v>-1.4086960000000001E-2</v>
      </c>
      <c r="O1983">
        <v>2.0178660000000001E-2</v>
      </c>
      <c r="P1983">
        <v>-0.97992789999999996</v>
      </c>
      <c r="Q1983">
        <v>0.1837831</v>
      </c>
      <c r="R1983">
        <v>-7.7235750000000006E-2</v>
      </c>
      <c r="S1983">
        <v>-3.0851440000000001</v>
      </c>
      <c r="T1983">
        <v>-0.1030467</v>
      </c>
      <c r="U1983">
        <v>6.3873289999999999E-2</v>
      </c>
      <c r="V1983">
        <v>-9.6987610000000002E-2</v>
      </c>
      <c r="W1983">
        <v>0.19754820000000001</v>
      </c>
      <c r="X1983">
        <v>0.97548349999999995</v>
      </c>
      <c r="Y1983">
        <v>5.218636E-4</v>
      </c>
      <c r="Z1983">
        <v>-3.7704349999999998E-4</v>
      </c>
      <c r="AA1983">
        <v>0.99999979999999999</v>
      </c>
      <c r="AB1983">
        <v>32</v>
      </c>
      <c r="AC1983">
        <v>-32.931399999999996</v>
      </c>
      <c r="AD1983">
        <v>-1.1105732371269901</v>
      </c>
      <c r="AE1983">
        <v>0.68189999999998396</v>
      </c>
      <c r="AF1983">
        <v>1.7164254845813898E-2</v>
      </c>
      <c r="AG1983">
        <v>-1.1105732371269901</v>
      </c>
      <c r="AH1983">
        <v>32.901052461786797</v>
      </c>
      <c r="AI1983">
        <v>91.933281624450004</v>
      </c>
      <c r="AJ1983">
        <v>89.970109185015403</v>
      </c>
      <c r="AK1983">
        <v>32.919795270018298</v>
      </c>
      <c r="AL1983">
        <v>78.606378756020902</v>
      </c>
      <c r="AM1983">
        <v>95.677981880469702</v>
      </c>
      <c r="AN1983">
        <v>0.99999997329449997</v>
      </c>
    </row>
    <row r="1984" spans="1:40" x14ac:dyDescent="0.25">
      <c r="A1984" t="str">
        <f>"20190304155055780"</f>
        <v>20190304155055780</v>
      </c>
      <c r="B1984" t="str">
        <f>"1551685855778848"</f>
        <v>1551685855778848</v>
      </c>
      <c r="C1984" t="s">
        <v>40</v>
      </c>
      <c r="D1984">
        <v>5.0171260000000002</v>
      </c>
      <c r="E1984">
        <v>0.53465549999999995</v>
      </c>
      <c r="F1984" t="s">
        <v>70</v>
      </c>
      <c r="G1984">
        <v>-322.3682</v>
      </c>
      <c r="H1984" s="1">
        <v>-3.2343640000000001E-7</v>
      </c>
      <c r="I1984">
        <v>285.68849999999998</v>
      </c>
      <c r="J1984">
        <v>-288.01990000000001</v>
      </c>
      <c r="K1984">
        <v>1.1106020000000001</v>
      </c>
      <c r="L1984">
        <v>285.0154</v>
      </c>
      <c r="M1984">
        <v>-0.99969830000000004</v>
      </c>
      <c r="N1984">
        <v>-1.412332E-2</v>
      </c>
      <c r="O1984">
        <v>2.0101500000000001E-2</v>
      </c>
      <c r="P1984">
        <v>-0.97982930000000001</v>
      </c>
      <c r="Q1984">
        <v>0.1839836</v>
      </c>
      <c r="R1984">
        <v>-7.8005119999999997E-2</v>
      </c>
      <c r="S1984">
        <v>-3.0847470000000001</v>
      </c>
      <c r="T1984">
        <v>-9.8874809999999994E-2</v>
      </c>
      <c r="U1984">
        <v>6.045532E-2</v>
      </c>
      <c r="V1984">
        <v>-9.7692810000000005E-2</v>
      </c>
      <c r="W1984">
        <v>0.19777629999999999</v>
      </c>
      <c r="X1984">
        <v>0.97536699999999998</v>
      </c>
      <c r="Y1984">
        <v>-5.0562529999999999E-4</v>
      </c>
      <c r="Z1984">
        <v>-3.7181660000000001E-4</v>
      </c>
      <c r="AA1984">
        <v>0.99999979999999999</v>
      </c>
      <c r="AB1984">
        <v>32</v>
      </c>
      <c r="AC1984">
        <v>-34.348299999999902</v>
      </c>
      <c r="AD1984">
        <v>-1.1106023234364</v>
      </c>
      <c r="AE1984">
        <v>0.67309999999997605</v>
      </c>
      <c r="AF1984">
        <v>-1.7538846749413702E-2</v>
      </c>
      <c r="AG1984">
        <v>-1.1106023234364</v>
      </c>
      <c r="AH1984">
        <v>34.3190246875238</v>
      </c>
      <c r="AI1984">
        <v>91.853508923243794</v>
      </c>
      <c r="AJ1984">
        <v>90.029281187852305</v>
      </c>
      <c r="AK1984">
        <v>34.3369946360312</v>
      </c>
      <c r="AL1984">
        <v>78.593047633319401</v>
      </c>
      <c r="AM1984">
        <v>95.719672535180393</v>
      </c>
      <c r="AN1984">
        <v>1.0000000673281899</v>
      </c>
    </row>
    <row r="1985" spans="1:40" x14ac:dyDescent="0.25">
      <c r="A1985" t="str">
        <f>"20190304155055803"</f>
        <v>20190304155055803</v>
      </c>
      <c r="B1985" t="str">
        <f>"1551685855798369"</f>
        <v>1551685855798369</v>
      </c>
      <c r="C1985" t="s">
        <v>40</v>
      </c>
      <c r="D1985">
        <v>5.0816679999999996</v>
      </c>
      <c r="E1985">
        <v>0.53457369999999904</v>
      </c>
      <c r="F1985" t="s">
        <v>70</v>
      </c>
      <c r="G1985">
        <v>-323.32530000000003</v>
      </c>
      <c r="H1985" s="1">
        <v>1.8718580000000001E-7</v>
      </c>
      <c r="I1985">
        <v>285.65890000000002</v>
      </c>
      <c r="J1985">
        <v>-288.33339999999998</v>
      </c>
      <c r="K1985">
        <v>1.110638</v>
      </c>
      <c r="L1985">
        <v>285.02159999999998</v>
      </c>
      <c r="M1985">
        <v>-0.99970009999999998</v>
      </c>
      <c r="N1985">
        <v>-1.415611E-2</v>
      </c>
      <c r="O1985">
        <v>1.9990049999999999E-2</v>
      </c>
      <c r="P1985">
        <v>-0.97969980000000001</v>
      </c>
      <c r="Q1985">
        <v>0.184338</v>
      </c>
      <c r="R1985">
        <v>-7.8793440000000006E-2</v>
      </c>
      <c r="S1985">
        <v>-3.0844420000000001</v>
      </c>
      <c r="T1985">
        <v>-9.7027420000000003E-2</v>
      </c>
      <c r="U1985">
        <v>5.621338E-2</v>
      </c>
      <c r="V1985">
        <v>-9.8386059999999997E-2</v>
      </c>
      <c r="W1985">
        <v>0.1981521</v>
      </c>
      <c r="X1985">
        <v>0.975221</v>
      </c>
      <c r="Y1985">
        <v>-1.7663329999999999E-3</v>
      </c>
      <c r="Z1985">
        <v>-3.858806E-4</v>
      </c>
      <c r="AA1985">
        <v>0.99999839999999995</v>
      </c>
      <c r="AB1985">
        <v>32</v>
      </c>
      <c r="AC1985">
        <v>-34.991900000000001</v>
      </c>
      <c r="AD1985">
        <v>-1.1106378128141901</v>
      </c>
      <c r="AE1985">
        <v>0.63730000000003795</v>
      </c>
      <c r="AF1985">
        <v>-6.2324433306296001E-2</v>
      </c>
      <c r="AG1985">
        <v>-1.1106378128141901</v>
      </c>
      <c r="AH1985">
        <v>34.962437295323802</v>
      </c>
      <c r="AI1985">
        <v>91.819477447916199</v>
      </c>
      <c r="AJ1985">
        <v>90.102135991732794</v>
      </c>
      <c r="AK1985">
        <v>34.980128963680102</v>
      </c>
      <c r="AL1985">
        <v>78.571080775261706</v>
      </c>
      <c r="AM1985">
        <v>95.760845171664698</v>
      </c>
      <c r="AN1985">
        <v>1.00000003518886</v>
      </c>
    </row>
    <row r="1986" spans="1:40" x14ac:dyDescent="0.25">
      <c r="A1986" t="str">
        <f>"20190304155055826"</f>
        <v>20190304155055826</v>
      </c>
      <c r="B1986" t="str">
        <f>"1551685855818864"</f>
        <v>1551685855818864</v>
      </c>
      <c r="C1986" t="s">
        <v>40</v>
      </c>
      <c r="D1986">
        <v>4.9750230000000002</v>
      </c>
      <c r="E1986">
        <v>0.53443009999999902</v>
      </c>
      <c r="F1986" t="s">
        <v>70</v>
      </c>
      <c r="G1986">
        <v>-324.39449999999999</v>
      </c>
      <c r="H1986" s="1">
        <v>7.5703E-7</v>
      </c>
      <c r="I1986">
        <v>285.63959999999997</v>
      </c>
      <c r="J1986">
        <v>-288.66480000000001</v>
      </c>
      <c r="K1986">
        <v>1.1106849999999999</v>
      </c>
      <c r="L1986">
        <v>285.02820000000003</v>
      </c>
      <c r="M1986">
        <v>-0.99970270000000006</v>
      </c>
      <c r="N1986">
        <v>-1.4185909999999999E-2</v>
      </c>
      <c r="O1986">
        <v>1.983528E-2</v>
      </c>
      <c r="P1986">
        <v>-0.97959940000000001</v>
      </c>
      <c r="Q1986">
        <v>0.18470500000000001</v>
      </c>
      <c r="R1986">
        <v>-7.9180379999999995E-2</v>
      </c>
      <c r="S1986">
        <v>-3.0842589999999999</v>
      </c>
      <c r="T1986">
        <v>-9.4991210000000006E-2</v>
      </c>
      <c r="U1986">
        <v>5.2856449999999999E-2</v>
      </c>
      <c r="V1986">
        <v>-9.8637660000000002E-2</v>
      </c>
      <c r="W1986">
        <v>0.1985381</v>
      </c>
      <c r="X1986">
        <v>0.97511700000000001</v>
      </c>
      <c r="Y1986">
        <v>-2.6981639999999999E-3</v>
      </c>
      <c r="Z1986">
        <v>-3.899749E-4</v>
      </c>
      <c r="AA1986">
        <v>0.99999629999999995</v>
      </c>
      <c r="AB1986">
        <v>32</v>
      </c>
      <c r="AC1986">
        <v>-35.729699999999902</v>
      </c>
      <c r="AD1986">
        <v>-1.1106842429699999</v>
      </c>
      <c r="AE1986">
        <v>0.61139999999994599</v>
      </c>
      <c r="AF1986">
        <v>-9.7406077653211506E-2</v>
      </c>
      <c r="AG1986">
        <v>-1.1106842429699999</v>
      </c>
      <c r="AH1986">
        <v>35.700309742501503</v>
      </c>
      <c r="AI1986">
        <v>91.781966692256503</v>
      </c>
      <c r="AJ1986">
        <v>90.156327587627601</v>
      </c>
      <c r="AK1986">
        <v>35.717715816413801</v>
      </c>
      <c r="AL1986">
        <v>78.548515478042802</v>
      </c>
      <c r="AM1986">
        <v>95.776089571569102</v>
      </c>
      <c r="AN1986">
        <v>0.99999996440544203</v>
      </c>
    </row>
    <row r="1987" spans="1:40" x14ac:dyDescent="0.25">
      <c r="A1987" t="str">
        <f>"20190304155055849"</f>
        <v>20190304155055849</v>
      </c>
      <c r="B1987" t="str">
        <f>"1551685855838385"</f>
        <v>1551685855838385</v>
      </c>
      <c r="C1987" t="s">
        <v>40</v>
      </c>
      <c r="D1987">
        <v>5.002758</v>
      </c>
      <c r="E1987">
        <v>0.53424700000000003</v>
      </c>
      <c r="F1987" t="s">
        <v>70</v>
      </c>
      <c r="G1987">
        <v>-325.5111</v>
      </c>
      <c r="H1987" s="1">
        <v>1.3517530000000001E-6</v>
      </c>
      <c r="I1987">
        <v>285.62759999999997</v>
      </c>
      <c r="J1987">
        <v>-288.97559999999999</v>
      </c>
      <c r="K1987">
        <v>1.1107229999999999</v>
      </c>
      <c r="L1987">
        <v>285.0342</v>
      </c>
      <c r="M1987">
        <v>-0.99970590000000004</v>
      </c>
      <c r="N1987">
        <v>-1.4209400000000001E-2</v>
      </c>
      <c r="O1987">
        <v>1.9652619999999999E-2</v>
      </c>
      <c r="P1987">
        <v>-0.9795587</v>
      </c>
      <c r="Q1987">
        <v>0.1850097</v>
      </c>
      <c r="R1987">
        <v>-7.8969659999999997E-2</v>
      </c>
      <c r="S1987">
        <v>-3.0840450000000001</v>
      </c>
      <c r="T1987">
        <v>-9.2964409999999997E-2</v>
      </c>
      <c r="U1987">
        <v>5.0170899999999997E-2</v>
      </c>
      <c r="V1987">
        <v>-9.8263390000000006E-2</v>
      </c>
      <c r="W1987">
        <v>0.19885729999999999</v>
      </c>
      <c r="X1987">
        <v>0.97508980000000001</v>
      </c>
      <c r="Y1987">
        <v>-3.3846620000000001E-3</v>
      </c>
      <c r="Z1987">
        <v>-3.8799320000000001E-4</v>
      </c>
      <c r="AA1987">
        <v>0.99999420000000006</v>
      </c>
      <c r="AB1987">
        <v>32</v>
      </c>
      <c r="AC1987">
        <v>-36.535499999999999</v>
      </c>
      <c r="AD1987">
        <v>-1.1107216482469999</v>
      </c>
      <c r="AE1987">
        <v>0.59339999999997395</v>
      </c>
      <c r="AF1987">
        <v>-0.124690203831139</v>
      </c>
      <c r="AG1987">
        <v>-1.1107216482469999</v>
      </c>
      <c r="AH1987">
        <v>36.506374053993902</v>
      </c>
      <c r="AI1987">
        <v>91.742700203264803</v>
      </c>
      <c r="AJ1987">
        <v>90.195697185207607</v>
      </c>
      <c r="AK1987">
        <v>36.523480075109703</v>
      </c>
      <c r="AL1987">
        <v>78.529855214231503</v>
      </c>
      <c r="AM1987">
        <v>95.754479615604296</v>
      </c>
      <c r="AN1987">
        <v>1.00000001882081</v>
      </c>
    </row>
    <row r="1988" spans="1:40" x14ac:dyDescent="0.25">
      <c r="A1988" t="str">
        <f>"20190304155055869"</f>
        <v>20190304155055869</v>
      </c>
      <c r="B1988" t="str">
        <f>"1551685855858880"</f>
        <v>1551685855858880</v>
      </c>
      <c r="C1988" t="s">
        <v>40</v>
      </c>
      <c r="D1988">
        <v>4.9382900000000003</v>
      </c>
      <c r="E1988">
        <v>0.53405049999999998</v>
      </c>
      <c r="F1988" t="s">
        <v>70</v>
      </c>
      <c r="G1988">
        <v>-326.59370000000001</v>
      </c>
      <c r="H1988" s="1">
        <v>1.9276610000000002E-6</v>
      </c>
      <c r="I1988">
        <v>285.63209999999998</v>
      </c>
      <c r="J1988">
        <v>-289.2749</v>
      </c>
      <c r="K1988">
        <v>1.110752</v>
      </c>
      <c r="L1988">
        <v>285.03989999999999</v>
      </c>
      <c r="M1988">
        <v>-0.99970959999999998</v>
      </c>
      <c r="N1988">
        <v>-1.4228579999999999E-2</v>
      </c>
      <c r="O1988">
        <v>1.9444840000000001E-2</v>
      </c>
      <c r="P1988">
        <v>-0.97968639999999996</v>
      </c>
      <c r="Q1988">
        <v>0.18436559999999999</v>
      </c>
      <c r="R1988">
        <v>-7.8891729999999993E-2</v>
      </c>
      <c r="S1988">
        <v>-3.08371</v>
      </c>
      <c r="T1988">
        <v>-9.1050389999999995E-2</v>
      </c>
      <c r="U1988">
        <v>4.9011230000000003E-2</v>
      </c>
      <c r="V1988">
        <v>-9.7997609999999999E-2</v>
      </c>
      <c r="W1988">
        <v>0.19822780000000001</v>
      </c>
      <c r="X1988">
        <v>0.97524469999999996</v>
      </c>
      <c r="Y1988">
        <v>-3.5512030000000002E-3</v>
      </c>
      <c r="Z1988">
        <v>-3.7494850000000001E-4</v>
      </c>
      <c r="AA1988">
        <v>0.99999360000000004</v>
      </c>
      <c r="AB1988">
        <v>31</v>
      </c>
      <c r="AC1988">
        <v>-37.318800000000003</v>
      </c>
      <c r="AD1988">
        <v>-1.110750072339</v>
      </c>
      <c r="AE1988">
        <v>0.59219999999999096</v>
      </c>
      <c r="AF1988">
        <v>-0.133525351252333</v>
      </c>
      <c r="AG1988">
        <v>-1.110750072339</v>
      </c>
      <c r="AH1988">
        <v>37.290232609165301</v>
      </c>
      <c r="AI1988">
        <v>91.706132341333003</v>
      </c>
      <c r="AJ1988">
        <v>90.205158451775006</v>
      </c>
      <c r="AK1988">
        <v>37.3070106385956</v>
      </c>
      <c r="AL1988">
        <v>78.566655399169207</v>
      </c>
      <c r="AM1988">
        <v>95.738113644550097</v>
      </c>
      <c r="AN1988">
        <v>1.0000000085683201</v>
      </c>
    </row>
    <row r="1989" spans="1:40" x14ac:dyDescent="0.25">
      <c r="A1989" t="str">
        <f>"20190304155055893"</f>
        <v>20190304155055893</v>
      </c>
      <c r="B1989" t="str">
        <f>"1551685855889137"</f>
        <v>1551685855889137</v>
      </c>
      <c r="C1989" t="s">
        <v>40</v>
      </c>
      <c r="D1989">
        <v>4.9281800000000002</v>
      </c>
      <c r="E1989">
        <v>0.53374679999999997</v>
      </c>
      <c r="F1989" t="s">
        <v>70</v>
      </c>
      <c r="G1989">
        <v>-326.37060000000002</v>
      </c>
      <c r="H1989" s="1">
        <v>1.809493E-6</v>
      </c>
      <c r="I1989">
        <v>285.61959999999999</v>
      </c>
      <c r="J1989">
        <v>-289.59280000000001</v>
      </c>
      <c r="K1989">
        <v>1.110773</v>
      </c>
      <c r="L1989">
        <v>285.04579999999999</v>
      </c>
      <c r="M1989">
        <v>-0.99971410000000005</v>
      </c>
      <c r="N1989">
        <v>-1.4245799999999999E-2</v>
      </c>
      <c r="O1989">
        <v>1.919943E-2</v>
      </c>
      <c r="P1989">
        <v>-0.97964660000000003</v>
      </c>
      <c r="Q1989">
        <v>0.18434149999999999</v>
      </c>
      <c r="R1989">
        <v>-7.9440990000000003E-2</v>
      </c>
      <c r="S1989">
        <v>-3.0835270000000001</v>
      </c>
      <c r="T1989">
        <v>-9.2329499999999995E-2</v>
      </c>
      <c r="U1989">
        <v>4.8187260000000003E-2</v>
      </c>
      <c r="V1989">
        <v>-9.8315970000000003E-2</v>
      </c>
      <c r="W1989">
        <v>0.19821469999999999</v>
      </c>
      <c r="X1989">
        <v>0.97521530000000001</v>
      </c>
      <c r="Y1989">
        <v>-3.5717790000000002E-3</v>
      </c>
      <c r="Z1989">
        <v>-3.800861E-4</v>
      </c>
      <c r="AA1989">
        <v>0.99999360000000004</v>
      </c>
      <c r="AB1989">
        <v>31</v>
      </c>
      <c r="AC1989">
        <v>-36.777799999999999</v>
      </c>
      <c r="AD1989">
        <v>-1.1107711905069999</v>
      </c>
      <c r="AE1989">
        <v>0.57380000000000497</v>
      </c>
      <c r="AF1989">
        <v>-0.13236958643716601</v>
      </c>
      <c r="AG1989">
        <v>-1.1107711905069999</v>
      </c>
      <c r="AH1989">
        <v>36.748524374885001</v>
      </c>
      <c r="AI1989">
        <v>91.731299924934703</v>
      </c>
      <c r="AJ1989">
        <v>90.206380690573994</v>
      </c>
      <c r="AK1989">
        <v>36.765546073417603</v>
      </c>
      <c r="AL1989">
        <v>78.567420945594506</v>
      </c>
      <c r="AM1989">
        <v>95.756802154903795</v>
      </c>
      <c r="AN1989">
        <v>0.99999998930361</v>
      </c>
    </row>
    <row r="1990" spans="1:40" x14ac:dyDescent="0.25">
      <c r="A1990" t="str">
        <f>"20190304155055917"</f>
        <v>20190304155055917</v>
      </c>
      <c r="B1990" t="str">
        <f>"1551685855908657"</f>
        <v>1551685855908657</v>
      </c>
      <c r="C1990" t="s">
        <v>40</v>
      </c>
      <c r="D1990">
        <v>5.0791680000000001</v>
      </c>
      <c r="E1990">
        <v>0.53340730000000003</v>
      </c>
      <c r="F1990" t="s">
        <v>70</v>
      </c>
      <c r="G1990">
        <v>-327.2002</v>
      </c>
      <c r="H1990" s="1">
        <v>2.2522549999999998E-6</v>
      </c>
      <c r="I1990">
        <v>285.58960000000002</v>
      </c>
      <c r="J1990">
        <v>-289.93990000000002</v>
      </c>
      <c r="K1990">
        <v>1.110795</v>
      </c>
      <c r="L1990">
        <v>285.0521</v>
      </c>
      <c r="M1990">
        <v>-0.99971949999999998</v>
      </c>
      <c r="N1990">
        <v>-1.426147E-2</v>
      </c>
      <c r="O1990">
        <v>1.8911859999999999E-2</v>
      </c>
      <c r="P1990">
        <v>-0.9795973</v>
      </c>
      <c r="Q1990">
        <v>0.18427740000000001</v>
      </c>
      <c r="R1990">
        <v>-8.0194219999999997E-2</v>
      </c>
      <c r="S1990">
        <v>-3.0830690000000001</v>
      </c>
      <c r="T1990">
        <v>-9.1061349999999999E-2</v>
      </c>
      <c r="U1990">
        <v>4.4586180000000003E-2</v>
      </c>
      <c r="V1990">
        <v>-9.8795069999999999E-2</v>
      </c>
      <c r="W1990">
        <v>0.19816139999999999</v>
      </c>
      <c r="X1990">
        <v>0.97517770000000004</v>
      </c>
      <c r="Y1990">
        <v>-4.4491959999999999E-3</v>
      </c>
      <c r="Z1990">
        <v>-3.8611059999999999E-4</v>
      </c>
      <c r="AA1990">
        <v>0.99999000000000005</v>
      </c>
      <c r="AB1990">
        <v>31</v>
      </c>
      <c r="AC1990">
        <v>-37.260299999999901</v>
      </c>
      <c r="AD1990">
        <v>-1.1107927477449999</v>
      </c>
      <c r="AE1990">
        <v>0.53750000000002196</v>
      </c>
      <c r="AF1990">
        <v>-0.16718080380146599</v>
      </c>
      <c r="AG1990">
        <v>-1.1107927477449999</v>
      </c>
      <c r="AH1990">
        <v>37.230719533989202</v>
      </c>
      <c r="AI1990">
        <v>91.708917313752593</v>
      </c>
      <c r="AJ1990">
        <v>90.257279209564004</v>
      </c>
      <c r="AK1990">
        <v>37.2476614966385</v>
      </c>
      <c r="AL1990">
        <v>78.570536464022894</v>
      </c>
      <c r="AM1990">
        <v>95.784887155791793</v>
      </c>
      <c r="AN1990">
        <v>0.99999997644177696</v>
      </c>
    </row>
    <row r="1991" spans="1:40" x14ac:dyDescent="0.25">
      <c r="A1991" t="str">
        <f>"20190304155055938"</f>
        <v>20190304155055938</v>
      </c>
      <c r="B1991" t="str">
        <f>"1551685855929152"</f>
        <v>1551685855929152</v>
      </c>
      <c r="C1991" t="s">
        <v>40</v>
      </c>
      <c r="D1991">
        <v>5.0778349999999897</v>
      </c>
      <c r="E1991">
        <v>0.51000599999999996</v>
      </c>
      <c r="F1991" t="s">
        <v>70</v>
      </c>
      <c r="G1991">
        <v>-327.93130000000002</v>
      </c>
      <c r="H1991" s="1">
        <v>2.643517E-6</v>
      </c>
      <c r="I1991">
        <v>285.53919999999999</v>
      </c>
      <c r="J1991">
        <v>-290.23540000000003</v>
      </c>
      <c r="K1991">
        <v>1.110806</v>
      </c>
      <c r="L1991">
        <v>285.0575</v>
      </c>
      <c r="M1991">
        <v>-0.99972419999999995</v>
      </c>
      <c r="N1991">
        <v>-1.427237E-2</v>
      </c>
      <c r="O1991">
        <v>1.8658770000000002E-2</v>
      </c>
      <c r="P1991">
        <v>-0.97953480000000004</v>
      </c>
      <c r="Q1991">
        <v>0.18434439999999999</v>
      </c>
      <c r="R1991">
        <v>-8.0803459999999994E-2</v>
      </c>
      <c r="S1991">
        <v>-3.0826720000000001</v>
      </c>
      <c r="T1991">
        <v>-9.0131160000000002E-2</v>
      </c>
      <c r="U1991">
        <v>3.9520260000000001E-2</v>
      </c>
      <c r="V1991">
        <v>-9.9160429999999994E-2</v>
      </c>
      <c r="W1991">
        <v>0.1982362</v>
      </c>
      <c r="X1991">
        <v>0.97512540000000003</v>
      </c>
      <c r="Y1991">
        <v>-5.8364910000000001E-3</v>
      </c>
      <c r="Z1991">
        <v>-4.060375E-4</v>
      </c>
      <c r="AA1991">
        <v>0.99998290000000001</v>
      </c>
      <c r="AB1991">
        <v>31</v>
      </c>
      <c r="AC1991">
        <v>-37.695900000000002</v>
      </c>
      <c r="AD1991">
        <v>-1.110803356483</v>
      </c>
      <c r="AE1991">
        <v>0.48169999999998903</v>
      </c>
      <c r="AF1991">
        <v>-0.22162212741993401</v>
      </c>
      <c r="AG1991">
        <v>-1.110803356483</v>
      </c>
      <c r="AH1991">
        <v>37.665624077714597</v>
      </c>
      <c r="AI1991">
        <v>91.689200790953194</v>
      </c>
      <c r="AJ1991">
        <v>90.337120818353299</v>
      </c>
      <c r="AK1991">
        <v>37.682651679889098</v>
      </c>
      <c r="AL1991">
        <v>78.566163851401896</v>
      </c>
      <c r="AM1991">
        <v>95.806443981840204</v>
      </c>
      <c r="AN1991">
        <v>0.99999996379669098</v>
      </c>
    </row>
    <row r="1992" spans="1:40" x14ac:dyDescent="0.25">
      <c r="A1992" t="str">
        <f>"20190304155055960"</f>
        <v>20190304155055960</v>
      </c>
      <c r="B1992" t="str">
        <f>"1551685855948674"</f>
        <v>1551685855948674</v>
      </c>
      <c r="C1992" t="s">
        <v>40</v>
      </c>
      <c r="D1992">
        <v>5.034294</v>
      </c>
      <c r="E1992">
        <v>0.51041190000000003</v>
      </c>
      <c r="F1992" t="s">
        <v>75</v>
      </c>
      <c r="G1992">
        <v>-512.82870000000003</v>
      </c>
      <c r="H1992">
        <v>10.61828</v>
      </c>
      <c r="I1992">
        <v>273.76229999999998</v>
      </c>
      <c r="J1992">
        <v>-290.53989999999999</v>
      </c>
      <c r="K1992">
        <v>1.1108100000000001</v>
      </c>
      <c r="L1992">
        <v>285.06290000000001</v>
      </c>
      <c r="M1992">
        <v>-0.99972890000000003</v>
      </c>
      <c r="N1992">
        <v>-1.42817E-2</v>
      </c>
      <c r="O1992">
        <v>1.839472E-2</v>
      </c>
      <c r="P1992">
        <v>-0.9796163</v>
      </c>
      <c r="Q1992">
        <v>0.1838003</v>
      </c>
      <c r="R1992">
        <v>-8.1052849999999996E-2</v>
      </c>
      <c r="S1992">
        <v>-3.0256959999999999</v>
      </c>
      <c r="T1992">
        <v>0.1292354</v>
      </c>
      <c r="U1992">
        <v>-0.1535339</v>
      </c>
      <c r="V1992">
        <v>-9.9155560000000004E-2</v>
      </c>
      <c r="W1992">
        <v>0.19770109999999999</v>
      </c>
      <c r="X1992">
        <v>0.97523459999999995</v>
      </c>
      <c r="Y1992">
        <v>-6.8971030000000003E-2</v>
      </c>
      <c r="Z1992">
        <v>2.0256039999999999E-3</v>
      </c>
      <c r="AA1992">
        <v>0.99761659999999996</v>
      </c>
      <c r="AB1992">
        <v>31</v>
      </c>
      <c r="AC1992">
        <v>-222.28880000000001</v>
      </c>
      <c r="AD1992">
        <v>9.5074699999999996</v>
      </c>
      <c r="AE1992">
        <v>-11.300599999999999</v>
      </c>
      <c r="AF1992">
        <v>-15.3600181775435</v>
      </c>
      <c r="AG1992">
        <v>9.5074699999999996</v>
      </c>
      <c r="AH1992">
        <v>221.638881131912</v>
      </c>
      <c r="AI1992">
        <v>87.549603635600207</v>
      </c>
      <c r="AJ1992">
        <v>93.964373677899204</v>
      </c>
      <c r="AK1992">
        <v>222.37381989258799</v>
      </c>
      <c r="AL1992">
        <v>78.597442720104596</v>
      </c>
      <c r="AM1992">
        <v>95.805515069573204</v>
      </c>
      <c r="AN1992">
        <v>1.00000003752864</v>
      </c>
    </row>
    <row r="1993" spans="1:40" x14ac:dyDescent="0.25">
      <c r="A1993" t="str">
        <f>"20190304155055981"</f>
        <v>20190304155055981</v>
      </c>
      <c r="B1993" t="str">
        <f>"1551685855978929"</f>
        <v>1551685855978929</v>
      </c>
      <c r="C1993" t="s">
        <v>40</v>
      </c>
      <c r="D1993">
        <v>5.0009079999999999</v>
      </c>
      <c r="E1993">
        <v>0.51192280000000001</v>
      </c>
      <c r="F1993" t="s">
        <v>75</v>
      </c>
      <c r="G1993">
        <v>-512.82899999999995</v>
      </c>
      <c r="H1993">
        <v>11.736370000000001</v>
      </c>
      <c r="I1993">
        <v>273.90679999999998</v>
      </c>
      <c r="J1993">
        <v>-290.83679999999998</v>
      </c>
      <c r="K1993">
        <v>1.1108199999999999</v>
      </c>
      <c r="L1993">
        <v>285.06810000000002</v>
      </c>
      <c r="M1993">
        <v>-0.99973350000000005</v>
      </c>
      <c r="N1993">
        <v>-1.428926E-2</v>
      </c>
      <c r="O1993">
        <v>1.813669E-2</v>
      </c>
      <c r="P1993">
        <v>-0.97961640000000005</v>
      </c>
      <c r="Q1993">
        <v>0.18367910000000001</v>
      </c>
      <c r="R1993">
        <v>-8.13247E-2</v>
      </c>
      <c r="S1993">
        <v>-3.0227360000000001</v>
      </c>
      <c r="T1993">
        <v>0.14448949999999999</v>
      </c>
      <c r="U1993">
        <v>-0.1517029</v>
      </c>
      <c r="V1993">
        <v>-9.9176970000000003E-2</v>
      </c>
      <c r="W1993">
        <v>0.19758600000000001</v>
      </c>
      <c r="X1993">
        <v>0.97525569999999895</v>
      </c>
      <c r="Y1993">
        <v>-6.8142469999999997E-2</v>
      </c>
      <c r="Z1993">
        <v>2.2640809999999998E-3</v>
      </c>
      <c r="AA1993">
        <v>0.99767300000000003</v>
      </c>
      <c r="AB1993">
        <v>31</v>
      </c>
      <c r="AC1993">
        <v>-221.9922</v>
      </c>
      <c r="AD1993">
        <v>10.62555</v>
      </c>
      <c r="AE1993">
        <v>-11.161300000000001</v>
      </c>
      <c r="AF1993">
        <v>-15.151453567256301</v>
      </c>
      <c r="AG1993">
        <v>10.62555</v>
      </c>
      <c r="AH1993">
        <v>221.247625933275</v>
      </c>
      <c r="AI1993">
        <v>87.256863382753394</v>
      </c>
      <c r="AJ1993">
        <v>93.917606167209698</v>
      </c>
      <c r="AK1993">
        <v>222.02022619372701</v>
      </c>
      <c r="AL1993">
        <v>78.604169616299004</v>
      </c>
      <c r="AM1993">
        <v>95.806635277853701</v>
      </c>
      <c r="AN1993">
        <v>0.99999998957843494</v>
      </c>
    </row>
    <row r="1994" spans="1:40" x14ac:dyDescent="0.25">
      <c r="A1994" t="str">
        <f>"20190304155056004"</f>
        <v>20190304155056004</v>
      </c>
      <c r="B1994" t="str">
        <f>"1551685855998449"</f>
        <v>1551685855998449</v>
      </c>
      <c r="C1994" t="s">
        <v>40</v>
      </c>
      <c r="D1994">
        <v>5.1223830000000001</v>
      </c>
      <c r="E1994">
        <v>0.51156509999999999</v>
      </c>
      <c r="F1994" t="s">
        <v>75</v>
      </c>
      <c r="G1994">
        <v>-512.82929999999999</v>
      </c>
      <c r="H1994">
        <v>12.48377</v>
      </c>
      <c r="I1994">
        <v>274.7122</v>
      </c>
      <c r="J1994">
        <v>-291.14850000000001</v>
      </c>
      <c r="K1994">
        <v>1.1108340000000001</v>
      </c>
      <c r="L1994">
        <v>285.07350000000002</v>
      </c>
      <c r="M1994">
        <v>-0.99973820000000002</v>
      </c>
      <c r="N1994">
        <v>-1.429572E-2</v>
      </c>
      <c r="O1994">
        <v>1.7867129999999998E-2</v>
      </c>
      <c r="P1994">
        <v>-0.97945590000000005</v>
      </c>
      <c r="Q1994">
        <v>0.18438080000000001</v>
      </c>
      <c r="R1994">
        <v>-8.1669050000000007E-2</v>
      </c>
      <c r="S1994">
        <v>-3.0216980000000002</v>
      </c>
      <c r="T1994">
        <v>0.15480629999999901</v>
      </c>
      <c r="U1994">
        <v>-0.14096069999999999</v>
      </c>
      <c r="V1994">
        <v>-9.9256929999999993E-2</v>
      </c>
      <c r="W1994">
        <v>0.19829179999999999</v>
      </c>
      <c r="X1994">
        <v>0.97510430000000003</v>
      </c>
      <c r="Y1994">
        <v>-6.4342010000000005E-2</v>
      </c>
      <c r="Z1994">
        <v>2.3551900000000001E-3</v>
      </c>
      <c r="AA1994">
        <v>0.99792510000000001</v>
      </c>
      <c r="AB1994">
        <v>31</v>
      </c>
      <c r="AC1994">
        <v>-221.6808</v>
      </c>
      <c r="AD1994">
        <v>11.372935999999999</v>
      </c>
      <c r="AE1994">
        <v>-10.3613</v>
      </c>
      <c r="AF1994">
        <v>-14.283337943939699</v>
      </c>
      <c r="AG1994">
        <v>11.372935999999999</v>
      </c>
      <c r="AH1994">
        <v>220.88016673959001</v>
      </c>
      <c r="AI1994">
        <v>87.058623536745998</v>
      </c>
      <c r="AJ1994">
        <v>93.699911731943203</v>
      </c>
      <c r="AK1994">
        <v>221.63349357664799</v>
      </c>
      <c r="AL1994">
        <v>78.562913943027596</v>
      </c>
      <c r="AM1994">
        <v>95.812180880787906</v>
      </c>
      <c r="AN1994">
        <v>0.999999985989377</v>
      </c>
    </row>
    <row r="1995" spans="1:40" x14ac:dyDescent="0.25">
      <c r="A1995" t="str">
        <f>"20190304155056027"</f>
        <v>20190304155056027</v>
      </c>
      <c r="B1995" t="str">
        <f>"1551685856018944"</f>
        <v>1551685856018944</v>
      </c>
      <c r="C1995" t="s">
        <v>40</v>
      </c>
      <c r="D1995">
        <v>4.9312440000000004</v>
      </c>
      <c r="E1995">
        <v>0.51186220000000004</v>
      </c>
      <c r="F1995" t="s">
        <v>75</v>
      </c>
      <c r="G1995">
        <v>-512.82950000000005</v>
      </c>
      <c r="H1995">
        <v>12.96885</v>
      </c>
      <c r="I1995">
        <v>274.4434</v>
      </c>
      <c r="J1995">
        <v>-291.47649999999999</v>
      </c>
      <c r="K1995">
        <v>1.1108420000000001</v>
      </c>
      <c r="L1995">
        <v>285.07900000000001</v>
      </c>
      <c r="M1995">
        <v>-0.99974300000000005</v>
      </c>
      <c r="N1995">
        <v>-1.4301049999999999E-2</v>
      </c>
      <c r="O1995">
        <v>1.758473E-2</v>
      </c>
      <c r="P1995">
        <v>-0.97934650000000001</v>
      </c>
      <c r="Q1995">
        <v>0.18493889999999999</v>
      </c>
      <c r="R1995">
        <v>-8.171979E-2</v>
      </c>
      <c r="S1995">
        <v>-3.0204469999999999</v>
      </c>
      <c r="T1995">
        <v>0.16156879999999901</v>
      </c>
      <c r="U1995">
        <v>-0.1448364</v>
      </c>
      <c r="V1995">
        <v>-9.9030160000000006E-2</v>
      </c>
      <c r="W1995">
        <v>0.1988531</v>
      </c>
      <c r="X1995">
        <v>0.97501309999999997</v>
      </c>
      <c r="Y1995">
        <v>-6.5347359999999993E-2</v>
      </c>
      <c r="Z1995">
        <v>2.4683109999999999E-3</v>
      </c>
      <c r="AA1995">
        <v>0.99785950000000001</v>
      </c>
      <c r="AB1995">
        <v>31</v>
      </c>
      <c r="AC1995">
        <v>-221.35300000000001</v>
      </c>
      <c r="AD1995">
        <v>11.858008</v>
      </c>
      <c r="AE1995">
        <v>-10.6356</v>
      </c>
      <c r="AF1995">
        <v>-14.4853120668391</v>
      </c>
      <c r="AG1995">
        <v>11.858008</v>
      </c>
      <c r="AH1995">
        <v>220.500387372131</v>
      </c>
      <c r="AI1995">
        <v>86.9283369641512</v>
      </c>
      <c r="AJ1995">
        <v>93.758525972961195</v>
      </c>
      <c r="AK1995">
        <v>221.29360011229801</v>
      </c>
      <c r="AL1995">
        <v>78.530100966681104</v>
      </c>
      <c r="AM1995">
        <v>95.799531251852997</v>
      </c>
      <c r="AN1995">
        <v>1.00000003657042</v>
      </c>
    </row>
    <row r="1996" spans="1:40" x14ac:dyDescent="0.25">
      <c r="A1996" t="str">
        <f>"20190304155056049"</f>
        <v>20190304155056049</v>
      </c>
      <c r="B1996" t="str">
        <f>"1551685856038468"</f>
        <v>1551685856038468</v>
      </c>
      <c r="C1996" t="s">
        <v>40</v>
      </c>
      <c r="D1996">
        <v>4.9823459999999997</v>
      </c>
      <c r="E1996">
        <v>0.51206679999999904</v>
      </c>
      <c r="F1996" t="s">
        <v>75</v>
      </c>
      <c r="G1996">
        <v>-512.82950000000005</v>
      </c>
      <c r="H1996">
        <v>13.26136</v>
      </c>
      <c r="I1996">
        <v>274.58839999999998</v>
      </c>
      <c r="J1996">
        <v>-291.77730000000003</v>
      </c>
      <c r="K1996">
        <v>1.110846</v>
      </c>
      <c r="L1996">
        <v>285.08409999999998</v>
      </c>
      <c r="M1996">
        <v>-0.99974779999999996</v>
      </c>
      <c r="N1996">
        <v>-1.430474E-2</v>
      </c>
      <c r="O1996">
        <v>1.7326859999999999E-2</v>
      </c>
      <c r="P1996">
        <v>-0.979236</v>
      </c>
      <c r="Q1996">
        <v>0.1854778</v>
      </c>
      <c r="R1996">
        <v>-8.1823999999999994E-2</v>
      </c>
      <c r="S1996">
        <v>-3.0200200000000001</v>
      </c>
      <c r="T1996">
        <v>0.1657759</v>
      </c>
      <c r="U1996">
        <v>-0.14312739999999999</v>
      </c>
      <c r="V1996">
        <v>-9.8880960000000004E-2</v>
      </c>
      <c r="W1996">
        <v>0.19939470000000001</v>
      </c>
      <c r="X1996">
        <v>0.97491760000000005</v>
      </c>
      <c r="Y1996">
        <v>-6.4528879999999997E-2</v>
      </c>
      <c r="Z1996">
        <v>2.5040800000000001E-3</v>
      </c>
      <c r="AA1996">
        <v>0.99791269999999999</v>
      </c>
      <c r="AB1996">
        <v>31</v>
      </c>
      <c r="AC1996">
        <v>-221.0522</v>
      </c>
      <c r="AD1996">
        <v>12.150513999999999</v>
      </c>
      <c r="AE1996">
        <v>-10.495699999999999</v>
      </c>
      <c r="AF1996">
        <v>-14.281603007115701</v>
      </c>
      <c r="AG1996">
        <v>12.150513999999999</v>
      </c>
      <c r="AH1996">
        <v>220.17341003887401</v>
      </c>
      <c r="AI1996">
        <v>86.847883761920698</v>
      </c>
      <c r="AJ1996">
        <v>93.7113057100362</v>
      </c>
      <c r="AK1996">
        <v>220.970427123322</v>
      </c>
      <c r="AL1996">
        <v>78.498435125036295</v>
      </c>
      <c r="AM1996">
        <v>95.791416435361995</v>
      </c>
      <c r="AN1996">
        <v>1.00000000871418</v>
      </c>
    </row>
    <row r="1997" spans="1:40" x14ac:dyDescent="0.25">
      <c r="A1997" t="str">
        <f>"20190304155056070"</f>
        <v>20190304155056070</v>
      </c>
      <c r="B1997" t="str">
        <f>"1551685856068720"</f>
        <v>1551685856068720</v>
      </c>
      <c r="C1997" t="s">
        <v>40</v>
      </c>
      <c r="D1997">
        <v>5.0302069999999999</v>
      </c>
      <c r="E1997">
        <v>0.51192289999999996</v>
      </c>
      <c r="F1997" t="s">
        <v>75</v>
      </c>
      <c r="G1997">
        <v>-512.82960000000003</v>
      </c>
      <c r="H1997">
        <v>13.355869999999999</v>
      </c>
      <c r="I1997">
        <v>274.71510000000001</v>
      </c>
      <c r="J1997">
        <v>-292.07659999999998</v>
      </c>
      <c r="K1997">
        <v>1.1108480000000001</v>
      </c>
      <c r="L1997">
        <v>285.08890000000002</v>
      </c>
      <c r="M1997">
        <v>-0.99975199999999997</v>
      </c>
      <c r="N1997">
        <v>-1.430755E-2</v>
      </c>
      <c r="O1997">
        <v>1.7070970000000001E-2</v>
      </c>
      <c r="P1997">
        <v>-0.97910730000000001</v>
      </c>
      <c r="Q1997">
        <v>0.1860704</v>
      </c>
      <c r="R1997">
        <v>-8.2019930000000005E-2</v>
      </c>
      <c r="S1997">
        <v>-3.0200499999999999</v>
      </c>
      <c r="T1997">
        <v>0.16729430000000001</v>
      </c>
      <c r="U1997">
        <v>-0.1416626</v>
      </c>
      <c r="V1997">
        <v>-9.8824609999999993E-2</v>
      </c>
      <c r="W1997">
        <v>0.19998850000000001</v>
      </c>
      <c r="X1997">
        <v>0.97480169999999999</v>
      </c>
      <c r="Y1997">
        <v>-6.3789310000000002E-2</v>
      </c>
      <c r="Z1997">
        <v>2.495929E-3</v>
      </c>
      <c r="AA1997">
        <v>0.99796030000000002</v>
      </c>
      <c r="AB1997">
        <v>31</v>
      </c>
      <c r="AC1997">
        <v>-220.75299999999999</v>
      </c>
      <c r="AD1997">
        <v>12.245022000000001</v>
      </c>
      <c r="AE1997">
        <v>-10.373799999999999</v>
      </c>
      <c r="AF1997">
        <v>-14.097859908740899</v>
      </c>
      <c r="AG1997">
        <v>12.245022000000001</v>
      </c>
      <c r="AH1997">
        <v>219.86870469768201</v>
      </c>
      <c r="AI1997">
        <v>86.8188709856354</v>
      </c>
      <c r="AJ1997">
        <v>93.6687514538485</v>
      </c>
      <c r="AK1997">
        <v>220.660230950716</v>
      </c>
      <c r="AL1997">
        <v>78.463713793999005</v>
      </c>
      <c r="AM1997">
        <v>95.788821967608797</v>
      </c>
      <c r="AN1997">
        <v>1.0000000289983899</v>
      </c>
    </row>
    <row r="1998" spans="1:40" x14ac:dyDescent="0.25">
      <c r="A1998" t="str">
        <f>"20190304155056094"</f>
        <v>20190304155056094</v>
      </c>
      <c r="B1998" t="str">
        <f>"1551685856088241"</f>
        <v>1551685856088241</v>
      </c>
      <c r="C1998" t="s">
        <v>40</v>
      </c>
      <c r="D1998">
        <v>4.8678860000000004</v>
      </c>
      <c r="E1998">
        <v>0.51196260000000005</v>
      </c>
      <c r="F1998" t="s">
        <v>75</v>
      </c>
      <c r="G1998">
        <v>-512.82960000000003</v>
      </c>
      <c r="H1998">
        <v>13.43797</v>
      </c>
      <c r="I1998">
        <v>274.5976</v>
      </c>
      <c r="J1998">
        <v>-292.39229999999998</v>
      </c>
      <c r="K1998">
        <v>1.110854</v>
      </c>
      <c r="L1998">
        <v>285.09410000000003</v>
      </c>
      <c r="M1998">
        <v>-0.99975650000000005</v>
      </c>
      <c r="N1998">
        <v>-1.430963E-2</v>
      </c>
      <c r="O1998">
        <v>1.680185E-2</v>
      </c>
      <c r="P1998">
        <v>-0.97911239999999999</v>
      </c>
      <c r="Q1998">
        <v>0.18596750000000001</v>
      </c>
      <c r="R1998">
        <v>-8.2190390000000002E-2</v>
      </c>
      <c r="S1998">
        <v>-3.0199579999999999</v>
      </c>
      <c r="T1998">
        <v>0.16863919999999999</v>
      </c>
      <c r="U1998">
        <v>-0.14352419999999999</v>
      </c>
      <c r="V1998">
        <v>-9.8731849999999996E-2</v>
      </c>
      <c r="W1998">
        <v>0.1998876</v>
      </c>
      <c r="X1998">
        <v>0.97483180000000003</v>
      </c>
      <c r="Y1998">
        <v>-6.4134239999999995E-2</v>
      </c>
      <c r="Z1998">
        <v>2.5059599999999998E-3</v>
      </c>
      <c r="AA1998">
        <v>0.9979382</v>
      </c>
      <c r="AB1998">
        <v>31</v>
      </c>
      <c r="AC1998">
        <v>-220.43729999999999</v>
      </c>
      <c r="AD1998">
        <v>12.327116</v>
      </c>
      <c r="AE1998">
        <v>-10.496499999999999</v>
      </c>
      <c r="AF1998">
        <v>-14.1549864278409</v>
      </c>
      <c r="AG1998">
        <v>12.327116</v>
      </c>
      <c r="AH1998">
        <v>219.54479498163099</v>
      </c>
      <c r="AI1998">
        <v>86.792945886466399</v>
      </c>
      <c r="AJ1998">
        <v>93.688996546058604</v>
      </c>
      <c r="AK1998">
        <v>220.34572478987701</v>
      </c>
      <c r="AL1998">
        <v>78.469614138291305</v>
      </c>
      <c r="AM1998">
        <v>95.783247875464198</v>
      </c>
      <c r="AN1998">
        <v>1.00000003456471</v>
      </c>
    </row>
    <row r="1999" spans="1:40" x14ac:dyDescent="0.25">
      <c r="A1999" t="str">
        <f>"20190304155056117"</f>
        <v>20190304155056117</v>
      </c>
      <c r="B1999" t="str">
        <f>"1551685856108736"</f>
        <v>1551685856108736</v>
      </c>
      <c r="C1999" t="s">
        <v>40</v>
      </c>
      <c r="D1999">
        <v>4.8511670000000002</v>
      </c>
      <c r="E1999">
        <v>0.5120055</v>
      </c>
      <c r="F1999" t="s">
        <v>75</v>
      </c>
      <c r="G1999">
        <v>-512.8297</v>
      </c>
      <c r="H1999">
        <v>13.463749999999999</v>
      </c>
      <c r="I1999">
        <v>274.59269999999998</v>
      </c>
      <c r="J1999">
        <v>-292.72570000000002</v>
      </c>
      <c r="K1999">
        <v>1.110854</v>
      </c>
      <c r="L1999">
        <v>285.09930000000003</v>
      </c>
      <c r="M1999">
        <v>-0.99976120000000002</v>
      </c>
      <c r="N1999">
        <v>-1.4311010000000001E-2</v>
      </c>
      <c r="O1999">
        <v>1.6518020000000001E-2</v>
      </c>
      <c r="P1999">
        <v>-0.97912790000000005</v>
      </c>
      <c r="Q1999">
        <v>0.18554390000000001</v>
      </c>
      <c r="R1999">
        <v>-8.2958149999999994E-2</v>
      </c>
      <c r="S1999">
        <v>-3.019806</v>
      </c>
      <c r="T1999">
        <v>0.16922519999999999</v>
      </c>
      <c r="U1999">
        <v>-0.14385990000000001</v>
      </c>
      <c r="V1999">
        <v>-9.9222089999999999E-2</v>
      </c>
      <c r="W1999">
        <v>0.19946620000000001</v>
      </c>
      <c r="X1999">
        <v>0.97486830000000002</v>
      </c>
      <c r="Y1999">
        <v>-6.3964069999999998E-2</v>
      </c>
      <c r="Z1999">
        <v>2.4920369999999999E-3</v>
      </c>
      <c r="AA1999">
        <v>0.99794910000000003</v>
      </c>
      <c r="AB1999">
        <v>31</v>
      </c>
      <c r="AC1999">
        <v>-220.10400000000001</v>
      </c>
      <c r="AD1999">
        <v>12.352895999999999</v>
      </c>
      <c r="AE1999">
        <v>-10.506600000000001</v>
      </c>
      <c r="AF1999">
        <v>-14.096919311373499</v>
      </c>
      <c r="AG1999">
        <v>12.352895999999999</v>
      </c>
      <c r="AH1999">
        <v>219.211498059614</v>
      </c>
      <c r="AI1999">
        <v>86.781342543137995</v>
      </c>
      <c r="AJ1999">
        <v>93.679475539321501</v>
      </c>
      <c r="AK1999">
        <v>220.01135892312101</v>
      </c>
      <c r="AL1999">
        <v>78.494254338866</v>
      </c>
      <c r="AM1999">
        <v>95.811551636339004</v>
      </c>
      <c r="AN1999">
        <v>0.99999999521564897</v>
      </c>
    </row>
    <row r="2000" spans="1:40" x14ac:dyDescent="0.25">
      <c r="A2000" t="str">
        <f>"20190304155056140"</f>
        <v>20190304155056140</v>
      </c>
      <c r="B2000" t="str">
        <f>"1551685856128258"</f>
        <v>1551685856128258</v>
      </c>
      <c r="C2000" t="s">
        <v>40</v>
      </c>
      <c r="D2000">
        <v>4.8250169999999999</v>
      </c>
      <c r="E2000">
        <v>0.51193699999999998</v>
      </c>
      <c r="F2000" t="s">
        <v>75</v>
      </c>
      <c r="G2000">
        <v>-512.82960000000003</v>
      </c>
      <c r="H2000">
        <v>13.34807</v>
      </c>
      <c r="I2000">
        <v>274.47809999999998</v>
      </c>
      <c r="J2000">
        <v>-293.0333</v>
      </c>
      <c r="K2000">
        <v>1.110851</v>
      </c>
      <c r="L2000">
        <v>285.10419999999999</v>
      </c>
      <c r="M2000">
        <v>-0.99976549999999997</v>
      </c>
      <c r="N2000">
        <v>-1.431167E-2</v>
      </c>
      <c r="O2000">
        <v>1.6256369999999999E-2</v>
      </c>
      <c r="P2000">
        <v>-0.97916040000000004</v>
      </c>
      <c r="Q2000">
        <v>0.18513540000000001</v>
      </c>
      <c r="R2000">
        <v>-8.3486969999999994E-2</v>
      </c>
      <c r="S2000">
        <v>-3.0197750000000001</v>
      </c>
      <c r="T2000">
        <v>0.16789279999999901</v>
      </c>
      <c r="U2000">
        <v>-0.1457214</v>
      </c>
      <c r="V2000">
        <v>-9.9495009999999995E-2</v>
      </c>
      <c r="W2000">
        <v>0.19905919999999999</v>
      </c>
      <c r="X2000">
        <v>0.97492369999999995</v>
      </c>
      <c r="Y2000">
        <v>-6.4319280000000006E-2</v>
      </c>
      <c r="Z2000">
        <v>2.4597249999999998E-3</v>
      </c>
      <c r="AA2000">
        <v>0.99792639999999999</v>
      </c>
      <c r="AB2000">
        <v>31</v>
      </c>
      <c r="AC2000">
        <v>-219.7963</v>
      </c>
      <c r="AD2000">
        <v>12.237219</v>
      </c>
      <c r="AE2000">
        <v>-10.626099999999999</v>
      </c>
      <c r="AF2000">
        <v>-14.1543787080554</v>
      </c>
      <c r="AG2000">
        <v>12.237219</v>
      </c>
      <c r="AH2000">
        <v>218.917485822674</v>
      </c>
      <c r="AI2000">
        <v>86.807218610042497</v>
      </c>
      <c r="AJ2000">
        <v>93.699379677231306</v>
      </c>
      <c r="AK2000">
        <v>219.71563796049099</v>
      </c>
      <c r="AL2000">
        <v>78.518051241354797</v>
      </c>
      <c r="AM2000">
        <v>95.827098147104095</v>
      </c>
      <c r="AN2000">
        <v>1.00000002147061</v>
      </c>
    </row>
    <row r="2001" spans="1:40" x14ac:dyDescent="0.25">
      <c r="A2001" t="str">
        <f>"20190304155056160"</f>
        <v>20190304155056160</v>
      </c>
      <c r="B2001" t="str">
        <f>"1551685856148752"</f>
        <v>1551685856148752</v>
      </c>
      <c r="C2001" t="s">
        <v>40</v>
      </c>
      <c r="D2001">
        <v>4.9585299999999997</v>
      </c>
      <c r="E2001">
        <v>0.51211930000000006</v>
      </c>
      <c r="F2001" t="s">
        <v>75</v>
      </c>
      <c r="G2001">
        <v>-512.82960000000003</v>
      </c>
      <c r="H2001">
        <v>13.2813</v>
      </c>
      <c r="I2001">
        <v>274.3417</v>
      </c>
      <c r="J2001">
        <v>-293.31529999999998</v>
      </c>
      <c r="K2001">
        <v>1.1108480000000001</v>
      </c>
      <c r="L2001">
        <v>285.10849999999999</v>
      </c>
      <c r="M2001">
        <v>-0.99976940000000003</v>
      </c>
      <c r="N2001">
        <v>-1.43118E-2</v>
      </c>
      <c r="O2001">
        <v>1.6015950000000001E-2</v>
      </c>
      <c r="P2001">
        <v>-0.97927629999999999</v>
      </c>
      <c r="Q2001">
        <v>0.18444849999999999</v>
      </c>
      <c r="R2001">
        <v>-8.36475E-2</v>
      </c>
      <c r="S2001">
        <v>-3.0196230000000002</v>
      </c>
      <c r="T2001">
        <v>0.16720189999999999</v>
      </c>
      <c r="U2001">
        <v>-0.14785770000000001</v>
      </c>
      <c r="V2001">
        <v>-9.9421689999999993E-2</v>
      </c>
      <c r="W2001">
        <v>0.1983741</v>
      </c>
      <c r="X2001">
        <v>0.97507080000000002</v>
      </c>
      <c r="Y2001">
        <v>-6.4787049999999999E-2</v>
      </c>
      <c r="Z2001">
        <v>2.4416080000000001E-3</v>
      </c>
      <c r="AA2001">
        <v>0.99789609999999995</v>
      </c>
      <c r="AB2001">
        <v>31</v>
      </c>
      <c r="AC2001">
        <v>-219.51429999999999</v>
      </c>
      <c r="AD2001">
        <v>12.170451999999999</v>
      </c>
      <c r="AE2001">
        <v>-10.7667999999999</v>
      </c>
      <c r="AF2001">
        <v>-14.2378480715747</v>
      </c>
      <c r="AG2001">
        <v>12.170451999999999</v>
      </c>
      <c r="AH2001">
        <v>218.64320901455699</v>
      </c>
      <c r="AI2001">
        <v>86.820722556899895</v>
      </c>
      <c r="AJ2001">
        <v>93.725788898071798</v>
      </c>
      <c r="AK2001">
        <v>219.44404541426201</v>
      </c>
      <c r="AL2001">
        <v>78.558103212345301</v>
      </c>
      <c r="AM2001">
        <v>95.821961147580595</v>
      </c>
      <c r="AN2001">
        <v>1.0000000105029501</v>
      </c>
    </row>
    <row r="2002" spans="1:40" x14ac:dyDescent="0.25">
      <c r="A2002" t="str">
        <f>"20190304155056173"</f>
        <v>20190304155056173</v>
      </c>
      <c r="B2002" t="str">
        <f>"1551685856168273"</f>
        <v>1551685856168273</v>
      </c>
      <c r="C2002" t="s">
        <v>40</v>
      </c>
      <c r="D2002">
        <v>5.0017480000000001</v>
      </c>
      <c r="E2002">
        <v>0.51234559999999996</v>
      </c>
      <c r="F2002" t="s">
        <v>75</v>
      </c>
      <c r="G2002">
        <v>-512.82950000000005</v>
      </c>
      <c r="H2002">
        <v>13.165430000000001</v>
      </c>
      <c r="I2002">
        <v>274.42450000000002</v>
      </c>
      <c r="J2002">
        <v>-293.48759999999999</v>
      </c>
      <c r="K2002">
        <v>1.1108480000000001</v>
      </c>
      <c r="L2002">
        <v>285.11110000000002</v>
      </c>
      <c r="M2002">
        <v>-0.99977169999999904</v>
      </c>
      <c r="N2002">
        <v>-1.431164E-2</v>
      </c>
      <c r="O2002">
        <v>1.586916E-2</v>
      </c>
      <c r="P2002">
        <v>-0.9793172</v>
      </c>
      <c r="Q2002">
        <v>0.18407370000000001</v>
      </c>
      <c r="R2002">
        <v>-8.3993219999999993E-2</v>
      </c>
      <c r="S2002">
        <v>-3.019714</v>
      </c>
      <c r="T2002">
        <v>0.165828</v>
      </c>
      <c r="U2002">
        <v>-0.14697270000000001</v>
      </c>
      <c r="V2002">
        <v>-9.9623749999999997E-2</v>
      </c>
      <c r="W2002">
        <v>0.1979997</v>
      </c>
      <c r="X2002">
        <v>0.9751263</v>
      </c>
      <c r="Y2002">
        <v>-6.4350019999999994E-2</v>
      </c>
      <c r="Z2002">
        <v>2.4005979999999999E-3</v>
      </c>
      <c r="AA2002">
        <v>0.99792449999999999</v>
      </c>
      <c r="AB2002">
        <v>31</v>
      </c>
      <c r="AC2002">
        <v>-219.34190000000001</v>
      </c>
      <c r="AD2002">
        <v>12.0545819999999</v>
      </c>
      <c r="AE2002">
        <v>-10.6866</v>
      </c>
      <c r="AF2002">
        <v>-14.1238238380597</v>
      </c>
      <c r="AG2002">
        <v>12.0545819999999</v>
      </c>
      <c r="AH2002">
        <v>218.486321184378</v>
      </c>
      <c r="AI2002">
        <v>86.848576740948502</v>
      </c>
      <c r="AJ2002">
        <v>93.698680481453707</v>
      </c>
      <c r="AK2002">
        <v>219.273956254924</v>
      </c>
      <c r="AL2002">
        <v>78.579989175624704</v>
      </c>
      <c r="AM2002">
        <v>95.833382165470198</v>
      </c>
      <c r="AN2002">
        <v>1.00000003685792</v>
      </c>
    </row>
    <row r="2003" spans="1:40" x14ac:dyDescent="0.25">
      <c r="A2003" t="str">
        <f>"20190304155056194"</f>
        <v>20190304155056194</v>
      </c>
      <c r="B2003" t="str">
        <f>"1551685856188769"</f>
        <v>1551685856188769</v>
      </c>
      <c r="C2003" t="s">
        <v>40</v>
      </c>
      <c r="D2003">
        <v>4.7584</v>
      </c>
      <c r="E2003">
        <v>0.51227730000000005</v>
      </c>
      <c r="F2003" t="s">
        <v>75</v>
      </c>
      <c r="G2003">
        <v>-512.82950000000005</v>
      </c>
      <c r="H2003">
        <v>13.07202</v>
      </c>
      <c r="I2003">
        <v>274.49579999999997</v>
      </c>
      <c r="J2003">
        <v>-293.78820000000002</v>
      </c>
      <c r="K2003">
        <v>1.110849</v>
      </c>
      <c r="L2003">
        <v>285.11559999999997</v>
      </c>
      <c r="M2003">
        <v>-0.99977559999999999</v>
      </c>
      <c r="N2003">
        <v>-1.4310939999999999E-2</v>
      </c>
      <c r="O2003">
        <v>1.5612289999999999E-2</v>
      </c>
      <c r="P2003">
        <v>-0.97930620000000002</v>
      </c>
      <c r="Q2003">
        <v>0.18382209999999999</v>
      </c>
      <c r="R2003">
        <v>-8.466825E-2</v>
      </c>
      <c r="S2003">
        <v>-3.0198670000000001</v>
      </c>
      <c r="T2003">
        <v>0.16468060000000001</v>
      </c>
      <c r="U2003">
        <v>-0.14614869999999999</v>
      </c>
      <c r="V2003">
        <v>-0.100047</v>
      </c>
      <c r="W2003">
        <v>0.1977478</v>
      </c>
      <c r="X2003">
        <v>0.9751341</v>
      </c>
      <c r="Y2003">
        <v>-6.3822309999999993E-2</v>
      </c>
      <c r="Z2003">
        <v>2.354053E-3</v>
      </c>
      <c r="AA2003">
        <v>0.99795849999999997</v>
      </c>
      <c r="AB2003">
        <v>31</v>
      </c>
      <c r="AC2003">
        <v>-219.04130000000001</v>
      </c>
      <c r="AD2003">
        <v>11.961171</v>
      </c>
      <c r="AE2003">
        <v>-10.6197999999999</v>
      </c>
      <c r="AF2003">
        <v>-13.996952431290801</v>
      </c>
      <c r="AG2003">
        <v>11.961171</v>
      </c>
      <c r="AH2003">
        <v>218.19965438608401</v>
      </c>
      <c r="AI2003">
        <v>86.868748878707095</v>
      </c>
      <c r="AJ2003">
        <v>93.670349560676399</v>
      </c>
      <c r="AK2003">
        <v>218.97505214809601</v>
      </c>
      <c r="AL2003">
        <v>78.594713306580999</v>
      </c>
      <c r="AM2003">
        <v>95.857946681964094</v>
      </c>
      <c r="AN2003">
        <v>1.00000005379832</v>
      </c>
    </row>
    <row r="2004" spans="1:40" x14ac:dyDescent="0.25">
      <c r="A2004" t="str">
        <f>"20190304155056209"</f>
        <v>20190304155056209</v>
      </c>
      <c r="B2004" t="str">
        <f>"1551685856198528"</f>
        <v>1551685856198528</v>
      </c>
      <c r="C2004" t="s">
        <v>40</v>
      </c>
      <c r="D2004">
        <v>4.7114520000000004</v>
      </c>
      <c r="E2004">
        <v>0.51229789999999997</v>
      </c>
      <c r="F2004" t="s">
        <v>75</v>
      </c>
      <c r="G2004">
        <v>-512.82950000000005</v>
      </c>
      <c r="H2004">
        <v>13.1116299999999</v>
      </c>
      <c r="I2004">
        <v>274.31439999999998</v>
      </c>
      <c r="J2004">
        <v>-293.97669999999999</v>
      </c>
      <c r="K2004">
        <v>1.110851</v>
      </c>
      <c r="L2004">
        <v>285.11829999999998</v>
      </c>
      <c r="M2004">
        <v>-0.99977830000000001</v>
      </c>
      <c r="N2004">
        <v>-1.4310420000000001E-2</v>
      </c>
      <c r="O2004">
        <v>1.54512E-2</v>
      </c>
      <c r="P2004">
        <v>-0.97932229999999998</v>
      </c>
      <c r="Q2004">
        <v>0.1835822</v>
      </c>
      <c r="R2004">
        <v>-8.5005419999999998E-2</v>
      </c>
      <c r="S2004">
        <v>-3.019501</v>
      </c>
      <c r="T2004">
        <v>0.16543260000000001</v>
      </c>
      <c r="U2004">
        <v>-0.14889530000000001</v>
      </c>
      <c r="V2004">
        <v>-0.1002262</v>
      </c>
      <c r="W2004">
        <v>0.19750799999999999</v>
      </c>
      <c r="X2004">
        <v>0.97516420000000004</v>
      </c>
      <c r="Y2004">
        <v>-6.4571429999999999E-2</v>
      </c>
      <c r="Z2004">
        <v>2.3701109999999998E-3</v>
      </c>
      <c r="AA2004">
        <v>0.99791030000000003</v>
      </c>
      <c r="AB2004">
        <v>31</v>
      </c>
      <c r="AC2004">
        <v>-218.8528</v>
      </c>
      <c r="AD2004">
        <v>12.0007789999999</v>
      </c>
      <c r="AE2004">
        <v>-10.803900000000001</v>
      </c>
      <c r="AF2004">
        <v>-14.1420743844031</v>
      </c>
      <c r="AG2004">
        <v>12.0007789999999</v>
      </c>
      <c r="AH2004">
        <v>218.00579688707299</v>
      </c>
      <c r="AI2004">
        <v>86.855758536941906</v>
      </c>
      <c r="AJ2004">
        <v>93.711586831051704</v>
      </c>
      <c r="AK2004">
        <v>218.793382991508</v>
      </c>
      <c r="AL2004">
        <v>78.608728175836603</v>
      </c>
      <c r="AM2004">
        <v>95.868186157145999</v>
      </c>
      <c r="AN2004">
        <v>0.999999959096039</v>
      </c>
    </row>
    <row r="2005" spans="1:40" x14ac:dyDescent="0.25">
      <c r="A2005" t="str">
        <f>"20190304155056220"</f>
        <v>20190304155056220</v>
      </c>
      <c r="B2005" t="str">
        <f>"1551685856219024"</f>
        <v>1551685856219024</v>
      </c>
      <c r="C2005" t="s">
        <v>40</v>
      </c>
      <c r="D2005">
        <v>4.800421</v>
      </c>
      <c r="E2005">
        <v>0.51225799999999999</v>
      </c>
      <c r="F2005" t="s">
        <v>75</v>
      </c>
      <c r="G2005">
        <v>-512.82950000000005</v>
      </c>
      <c r="H2005">
        <v>13.113300000000001</v>
      </c>
      <c r="I2005">
        <v>274.28149999999999</v>
      </c>
      <c r="J2005">
        <v>-294.1497</v>
      </c>
      <c r="K2005">
        <v>1.110852</v>
      </c>
      <c r="L2005">
        <v>285.12090000000001</v>
      </c>
      <c r="M2005">
        <v>-0.99978069999999997</v>
      </c>
      <c r="N2005">
        <v>-1.4309789999999999E-2</v>
      </c>
      <c r="O2005">
        <v>1.5303509999999999E-2</v>
      </c>
      <c r="P2005">
        <v>-0.97927679999999995</v>
      </c>
      <c r="Q2005">
        <v>0.1835059</v>
      </c>
      <c r="R2005">
        <v>-8.568953E-2</v>
      </c>
      <c r="S2005">
        <v>-3.0193180000000002</v>
      </c>
      <c r="T2005">
        <v>0.16558800000000001</v>
      </c>
      <c r="U2005">
        <v>-0.14950559999999999</v>
      </c>
      <c r="V2005">
        <v>-0.1007654</v>
      </c>
      <c r="W2005">
        <v>0.19743040000000001</v>
      </c>
      <c r="X2005">
        <v>0.9751244</v>
      </c>
      <c r="Y2005">
        <v>-6.4628309999999994E-2</v>
      </c>
      <c r="Z2005">
        <v>2.3636640000000001E-3</v>
      </c>
      <c r="AA2005">
        <v>0.99790659999999998</v>
      </c>
      <c r="AB2005">
        <v>31</v>
      </c>
      <c r="AC2005">
        <v>-218.6798</v>
      </c>
      <c r="AD2005">
        <v>12.002447999999999</v>
      </c>
      <c r="AE2005">
        <v>-10.839399999999999</v>
      </c>
      <c r="AF2005">
        <v>-14.142541364274701</v>
      </c>
      <c r="AG2005">
        <v>12.002447999999999</v>
      </c>
      <c r="AH2005">
        <v>217.83367983376999</v>
      </c>
      <c r="AI2005">
        <v>86.852853256727698</v>
      </c>
      <c r="AJ2005">
        <v>93.714633574242796</v>
      </c>
      <c r="AK2005">
        <v>218.62200782207299</v>
      </c>
      <c r="AL2005">
        <v>78.613264247210594</v>
      </c>
      <c r="AM2005">
        <v>95.899773023603501</v>
      </c>
      <c r="AN2005">
        <v>1.0000000120783299</v>
      </c>
    </row>
    <row r="2006" spans="1:40" x14ac:dyDescent="0.25">
      <c r="A2006" t="str">
        <f>"20190304155056233"</f>
        <v>20190304155056233</v>
      </c>
      <c r="B2006" t="str">
        <f>"1551685856228785"</f>
        <v>1551685856228785</v>
      </c>
      <c r="C2006" t="s">
        <v>40</v>
      </c>
      <c r="D2006">
        <v>4.7161600000000004</v>
      </c>
      <c r="E2006">
        <v>0.51230109999999995</v>
      </c>
      <c r="F2006" t="s">
        <v>75</v>
      </c>
      <c r="G2006">
        <v>-512.82950000000005</v>
      </c>
      <c r="H2006">
        <v>13.229200000000001</v>
      </c>
      <c r="I2006">
        <v>274.11849999999998</v>
      </c>
      <c r="J2006">
        <v>-294.3261</v>
      </c>
      <c r="K2006">
        <v>1.1108469999999999</v>
      </c>
      <c r="L2006">
        <v>285.1234</v>
      </c>
      <c r="M2006">
        <v>-0.99978279999999997</v>
      </c>
      <c r="N2006">
        <v>-1.430907E-2</v>
      </c>
      <c r="O2006">
        <v>1.5152789999999999E-2</v>
      </c>
      <c r="P2006">
        <v>-0.97928970000000004</v>
      </c>
      <c r="Q2006">
        <v>0.18334030000000001</v>
      </c>
      <c r="R2006">
        <v>-8.5895399999999997E-2</v>
      </c>
      <c r="S2006">
        <v>-3.0188290000000002</v>
      </c>
      <c r="T2006">
        <v>0.1672922</v>
      </c>
      <c r="U2006">
        <v>-0.15188599999999999</v>
      </c>
      <c r="V2006">
        <v>-0.1008237</v>
      </c>
      <c r="W2006">
        <v>0.19726399999999999</v>
      </c>
      <c r="X2006">
        <v>0.97515200000000002</v>
      </c>
      <c r="Y2006">
        <v>-6.5267989999999998E-2</v>
      </c>
      <c r="Z2006">
        <v>2.3934500000000001E-3</v>
      </c>
      <c r="AA2006">
        <v>0.99786490000000005</v>
      </c>
      <c r="AB2006">
        <v>31</v>
      </c>
      <c r="AC2006">
        <v>-218.5034</v>
      </c>
      <c r="AD2006">
        <v>12.1183529999999</v>
      </c>
      <c r="AE2006">
        <v>-11.004899999999999</v>
      </c>
      <c r="AF2006">
        <v>-14.271126057064199</v>
      </c>
      <c r="AG2006">
        <v>12.1183529999999</v>
      </c>
      <c r="AH2006">
        <v>217.64378195872499</v>
      </c>
      <c r="AI2006">
        <v>86.819890717876007</v>
      </c>
      <c r="AJ2006">
        <v>93.751572488490595</v>
      </c>
      <c r="AK2006">
        <v>218.44755742206399</v>
      </c>
      <c r="AL2006">
        <v>78.622988967021797</v>
      </c>
      <c r="AM2006">
        <v>95.902996467859793</v>
      </c>
      <c r="AN2006">
        <v>0.99999996364084398</v>
      </c>
    </row>
    <row r="2007" spans="1:40" x14ac:dyDescent="0.25">
      <c r="A2007" t="str">
        <f>"20190304155056250"</f>
        <v>20190304155056250</v>
      </c>
      <c r="B2007" t="str">
        <f>"1551685856238545"</f>
        <v>1551685856238545</v>
      </c>
      <c r="C2007" t="s">
        <v>40</v>
      </c>
      <c r="D2007">
        <v>4.9294609999999999</v>
      </c>
      <c r="E2007">
        <v>0.51262489999999905</v>
      </c>
      <c r="F2007" t="s">
        <v>75</v>
      </c>
      <c r="G2007">
        <v>-512.82950000000005</v>
      </c>
      <c r="H2007">
        <v>13.244260000000001</v>
      </c>
      <c r="I2007">
        <v>274.08940000000001</v>
      </c>
      <c r="J2007">
        <v>-294.54969999999997</v>
      </c>
      <c r="K2007">
        <v>1.1108499999999999</v>
      </c>
      <c r="L2007">
        <v>285.1266</v>
      </c>
      <c r="M2007">
        <v>-0.9997857</v>
      </c>
      <c r="N2007">
        <v>-1.4308039999999999E-2</v>
      </c>
      <c r="O2007">
        <v>1.4962080000000001E-2</v>
      </c>
      <c r="P2007">
        <v>-0.97923550000000004</v>
      </c>
      <c r="Q2007">
        <v>0.1835281</v>
      </c>
      <c r="R2007">
        <v>-8.6111499999999994E-2</v>
      </c>
      <c r="S2007">
        <v>-3.0186459999999999</v>
      </c>
      <c r="T2007">
        <v>0.1676252</v>
      </c>
      <c r="U2007">
        <v>-0.1524353</v>
      </c>
      <c r="V2007">
        <v>-0.10085239999999999</v>
      </c>
      <c r="W2007">
        <v>0.1974505</v>
      </c>
      <c r="X2007">
        <v>0.97511130000000001</v>
      </c>
      <c r="Y2007">
        <v>-6.5261819999999998E-2</v>
      </c>
      <c r="Z2007">
        <v>2.385439E-3</v>
      </c>
      <c r="AA2007">
        <v>0.99786529999999996</v>
      </c>
      <c r="AB2007">
        <v>31</v>
      </c>
      <c r="AC2007">
        <v>-218.27979999999999</v>
      </c>
      <c r="AD2007">
        <v>12.13341</v>
      </c>
      <c r="AE2007">
        <v>-11.037199999999901</v>
      </c>
      <c r="AF2007">
        <v>-14.2582746914978</v>
      </c>
      <c r="AG2007">
        <v>12.13341</v>
      </c>
      <c r="AH2007">
        <v>217.42012052639501</v>
      </c>
      <c r="AI2007">
        <v>86.812680599578599</v>
      </c>
      <c r="AJ2007">
        <v>93.752048567489496</v>
      </c>
      <c r="AK2007">
        <v>218.22471639371699</v>
      </c>
      <c r="AL2007">
        <v>78.612089071304496</v>
      </c>
      <c r="AM2007">
        <v>95.904909629139397</v>
      </c>
      <c r="AN2007">
        <v>0.99999997696184895</v>
      </c>
    </row>
    <row r="2008" spans="1:40" x14ac:dyDescent="0.25">
      <c r="A2008" t="str">
        <f>"20190304155056261"</f>
        <v>20190304155056261</v>
      </c>
      <c r="B2008" t="str">
        <f>"1551685856259041"</f>
        <v>1551685856259041</v>
      </c>
      <c r="C2008" t="s">
        <v>40</v>
      </c>
      <c r="D2008">
        <v>4.6469649999999998</v>
      </c>
      <c r="E2008">
        <v>0.512961</v>
      </c>
      <c r="F2008" t="s">
        <v>75</v>
      </c>
      <c r="G2008">
        <v>-512.82950000000005</v>
      </c>
      <c r="H2008">
        <v>13.24991</v>
      </c>
      <c r="I2008">
        <v>274.24400000000003</v>
      </c>
      <c r="J2008">
        <v>-294.71550000000002</v>
      </c>
      <c r="K2008">
        <v>1.110852</v>
      </c>
      <c r="L2008">
        <v>285.12889999999999</v>
      </c>
      <c r="M2008">
        <v>-0.99978789999999995</v>
      </c>
      <c r="N2008">
        <v>-1.4307179999999999E-2</v>
      </c>
      <c r="O2008">
        <v>1.482089E-2</v>
      </c>
      <c r="P2008">
        <v>-0.97925899999999999</v>
      </c>
      <c r="Q2008">
        <v>0.18334039999999999</v>
      </c>
      <c r="R2008">
        <v>-8.6245760000000005E-2</v>
      </c>
      <c r="S2008">
        <v>-3.0189509999999999</v>
      </c>
      <c r="T2008">
        <v>0.16789200000000001</v>
      </c>
      <c r="U2008">
        <v>-0.1505127</v>
      </c>
      <c r="V2008">
        <v>-0.1008488</v>
      </c>
      <c r="W2008">
        <v>0.19726260000000001</v>
      </c>
      <c r="X2008">
        <v>0.97514979999999996</v>
      </c>
      <c r="Y2008">
        <v>-6.4482789999999998E-2</v>
      </c>
      <c r="Z2008">
        <v>2.3635230000000002E-3</v>
      </c>
      <c r="AA2008">
        <v>0.99791600000000003</v>
      </c>
      <c r="AB2008">
        <v>31</v>
      </c>
      <c r="AC2008">
        <v>-218.114</v>
      </c>
      <c r="AD2008">
        <v>12.139058</v>
      </c>
      <c r="AE2008">
        <v>-10.884899999999901</v>
      </c>
      <c r="AF2008">
        <v>-14.073195805762399</v>
      </c>
      <c r="AG2008">
        <v>12.139058</v>
      </c>
      <c r="AH2008">
        <v>217.257428007377</v>
      </c>
      <c r="AI2008">
        <v>86.808651073301206</v>
      </c>
      <c r="AJ2008">
        <v>93.7062473160248</v>
      </c>
      <c r="AK2008">
        <v>218.05091514069699</v>
      </c>
      <c r="AL2008">
        <v>78.6230720511561</v>
      </c>
      <c r="AM2008">
        <v>95.904468861226903</v>
      </c>
      <c r="AN2008">
        <v>1.00000007313011</v>
      </c>
    </row>
    <row r="2009" spans="1:40" x14ac:dyDescent="0.25">
      <c r="A2009" t="str">
        <f>"20190304155056284"</f>
        <v>20190304155056284</v>
      </c>
      <c r="B2009" t="str">
        <f>"1551685856278561"</f>
        <v>1551685856278561</v>
      </c>
      <c r="C2009" t="s">
        <v>40</v>
      </c>
      <c r="D2009">
        <v>4.5932199999999996</v>
      </c>
      <c r="E2009">
        <v>0.51298109999999997</v>
      </c>
      <c r="F2009" t="s">
        <v>75</v>
      </c>
      <c r="G2009">
        <v>-512.82960000000003</v>
      </c>
      <c r="H2009">
        <v>13.28112</v>
      </c>
      <c r="I2009">
        <v>274.42439999999999</v>
      </c>
      <c r="J2009">
        <v>-295.0179</v>
      </c>
      <c r="K2009">
        <v>1.110852</v>
      </c>
      <c r="L2009">
        <v>285.13310000000001</v>
      </c>
      <c r="M2009">
        <v>-0.99979169999999995</v>
      </c>
      <c r="N2009">
        <v>-1.4305450000000001E-2</v>
      </c>
      <c r="O2009">
        <v>1.45628999999999E-2</v>
      </c>
      <c r="P2009">
        <v>-0.97926069999999998</v>
      </c>
      <c r="Q2009">
        <v>0.18324560000000001</v>
      </c>
      <c r="R2009">
        <v>-8.6426840000000005E-2</v>
      </c>
      <c r="S2009">
        <v>-3.0189509999999999</v>
      </c>
      <c r="T2009">
        <v>0.1684515</v>
      </c>
      <c r="U2009">
        <v>-0.14816279999999901</v>
      </c>
      <c r="V2009">
        <v>-0.1007773</v>
      </c>
      <c r="W2009">
        <v>0.19716629999999999</v>
      </c>
      <c r="X2009">
        <v>0.97517659999999995</v>
      </c>
      <c r="Y2009">
        <v>-6.3451430000000003E-2</v>
      </c>
      <c r="Z2009">
        <v>2.3328989999999998E-3</v>
      </c>
      <c r="AA2009">
        <v>0.99798220000000004</v>
      </c>
      <c r="AB2009">
        <v>31</v>
      </c>
      <c r="AC2009">
        <v>-217.8117</v>
      </c>
      <c r="AD2009">
        <v>12.170268</v>
      </c>
      <c r="AE2009">
        <v>-10.7087</v>
      </c>
      <c r="AF2009">
        <v>-13.836763819562799</v>
      </c>
      <c r="AG2009">
        <v>12.170268</v>
      </c>
      <c r="AH2009">
        <v>216.95691790829201</v>
      </c>
      <c r="AI2009">
        <v>86.795835836468697</v>
      </c>
      <c r="AJ2009">
        <v>93.649184903753607</v>
      </c>
      <c r="AK2009">
        <v>217.738089650055</v>
      </c>
      <c r="AL2009">
        <v>78.628699413549597</v>
      </c>
      <c r="AM2009">
        <v>95.900151231924298</v>
      </c>
      <c r="AN2009">
        <v>1.0000000076192599</v>
      </c>
    </row>
    <row r="2010" spans="1:40" x14ac:dyDescent="0.25">
      <c r="A2010" t="str">
        <f>"20190304155056306"</f>
        <v>20190304155056306</v>
      </c>
      <c r="B2010" t="str">
        <f>"1551685856299057"</f>
        <v>1551685856299057</v>
      </c>
      <c r="C2010" t="s">
        <v>40</v>
      </c>
      <c r="D2010">
        <v>4.567704</v>
      </c>
      <c r="E2010">
        <v>0.51260019999999995</v>
      </c>
      <c r="F2010" t="s">
        <v>75</v>
      </c>
      <c r="G2010">
        <v>-512.82950000000005</v>
      </c>
      <c r="H2010">
        <v>13.22556</v>
      </c>
      <c r="I2010">
        <v>274.40629999999999</v>
      </c>
      <c r="J2010">
        <v>-295.32850000000002</v>
      </c>
      <c r="K2010">
        <v>1.110857</v>
      </c>
      <c r="L2010">
        <v>285.13740000000001</v>
      </c>
      <c r="M2010">
        <v>-0.99979560000000001</v>
      </c>
      <c r="N2010">
        <v>-1.4303440000000001E-2</v>
      </c>
      <c r="O2010">
        <v>1.4297809999999999E-2</v>
      </c>
      <c r="P2010">
        <v>-0.97919029999999996</v>
      </c>
      <c r="Q2010">
        <v>0.18363930000000001</v>
      </c>
      <c r="R2010">
        <v>-8.6390590000000003E-2</v>
      </c>
      <c r="S2010">
        <v>-3.019012</v>
      </c>
      <c r="T2010">
        <v>0.1679187</v>
      </c>
      <c r="U2010">
        <v>-0.1486816</v>
      </c>
      <c r="V2010">
        <v>-0.1004805</v>
      </c>
      <c r="W2010">
        <v>0.1975575</v>
      </c>
      <c r="X2010">
        <v>0.97512810000000005</v>
      </c>
      <c r="Y2010">
        <v>-6.3358410000000004E-2</v>
      </c>
      <c r="Z2010">
        <v>2.3042969999999999E-3</v>
      </c>
      <c r="AA2010">
        <v>0.99798819999999999</v>
      </c>
      <c r="AB2010">
        <v>31</v>
      </c>
      <c r="AC2010">
        <v>-217.501</v>
      </c>
      <c r="AD2010">
        <v>12.114703</v>
      </c>
      <c r="AE2010">
        <v>-10.7311</v>
      </c>
      <c r="AF2010">
        <v>-13.797406944134501</v>
      </c>
      <c r="AG2010">
        <v>12.114703</v>
      </c>
      <c r="AH2010">
        <v>216.654790140751</v>
      </c>
      <c r="AI2010">
        <v>86.805977162715905</v>
      </c>
      <c r="AJ2010">
        <v>93.643893934768499</v>
      </c>
      <c r="AK2010">
        <v>217.43144335190601</v>
      </c>
      <c r="AL2010">
        <v>78.605836125286501</v>
      </c>
      <c r="AM2010">
        <v>95.883187244239807</v>
      </c>
      <c r="AN2010">
        <v>1.00000005404805</v>
      </c>
    </row>
    <row r="2011" spans="1:40" x14ac:dyDescent="0.25">
      <c r="A2011" t="str">
        <f>"20190304155056332"</f>
        <v>20190304155056332</v>
      </c>
      <c r="B2011" t="str">
        <f>"1551685856328338"</f>
        <v>1551685856328338</v>
      </c>
      <c r="C2011" t="s">
        <v>40</v>
      </c>
      <c r="D2011">
        <v>4.5448729999999999</v>
      </c>
      <c r="E2011">
        <v>0.51211249999999997</v>
      </c>
      <c r="F2011" t="s">
        <v>75</v>
      </c>
      <c r="G2011">
        <v>-512.82950000000005</v>
      </c>
      <c r="H2011">
        <v>13.237109999999999</v>
      </c>
      <c r="I2011">
        <v>274.21620000000001</v>
      </c>
      <c r="J2011">
        <v>-295.65350000000001</v>
      </c>
      <c r="K2011">
        <v>1.1108640000000001</v>
      </c>
      <c r="L2011">
        <v>285.14179999999999</v>
      </c>
      <c r="M2011">
        <v>-0.9997994</v>
      </c>
      <c r="N2011">
        <v>-1.430113E-2</v>
      </c>
      <c r="O2011">
        <v>1.4019810000000001E-2</v>
      </c>
      <c r="P2011">
        <v>-0.97909869999999999</v>
      </c>
      <c r="Q2011">
        <v>0.18401600000000001</v>
      </c>
      <c r="R2011">
        <v>-8.6624450000000006E-2</v>
      </c>
      <c r="S2011">
        <v>-3.018799</v>
      </c>
      <c r="T2011">
        <v>0.16830680000000001</v>
      </c>
      <c r="U2011">
        <v>-0.15158079999999999</v>
      </c>
      <c r="V2011">
        <v>-0.10044119999999999</v>
      </c>
      <c r="W2011">
        <v>0.19793150000000001</v>
      </c>
      <c r="X2011">
        <v>0.97505620000000004</v>
      </c>
      <c r="Y2011">
        <v>-6.4039799999999994E-2</v>
      </c>
      <c r="Z2011">
        <v>2.304974E-3</v>
      </c>
      <c r="AA2011">
        <v>0.99794470000000002</v>
      </c>
      <c r="AB2011">
        <v>31</v>
      </c>
      <c r="AC2011">
        <v>-217.17599999999999</v>
      </c>
      <c r="AD2011">
        <v>12.126246</v>
      </c>
      <c r="AE2011">
        <v>-10.9255999999999</v>
      </c>
      <c r="AF2011">
        <v>-13.926295893969799</v>
      </c>
      <c r="AG2011">
        <v>12.126246</v>
      </c>
      <c r="AH2011">
        <v>216.328723219316</v>
      </c>
      <c r="AI2011">
        <v>86.798272299527298</v>
      </c>
      <c r="AJ2011">
        <v>93.683368766012407</v>
      </c>
      <c r="AK2011">
        <v>217.11541642425701</v>
      </c>
      <c r="AL2011">
        <v>78.583974676702795</v>
      </c>
      <c r="AM2011">
        <v>95.881332952657203</v>
      </c>
      <c r="AN2011">
        <v>0.99999995325406399</v>
      </c>
    </row>
    <row r="2012" spans="1:40" x14ac:dyDescent="0.25">
      <c r="A2012" t="str">
        <f>"20190304155056352"</f>
        <v>20190304155056352</v>
      </c>
      <c r="B2012" t="str">
        <f>"1551685856348833"</f>
        <v>1551685856348833</v>
      </c>
      <c r="C2012" t="s">
        <v>40</v>
      </c>
      <c r="D2012">
        <v>4.4780819999999997</v>
      </c>
      <c r="E2012">
        <v>0.51172470000000003</v>
      </c>
      <c r="F2012" t="s">
        <v>75</v>
      </c>
      <c r="G2012">
        <v>-512.82950000000005</v>
      </c>
      <c r="H2012">
        <v>13.18744</v>
      </c>
      <c r="I2012">
        <v>273.89370000000002</v>
      </c>
      <c r="J2012">
        <v>-295.9402</v>
      </c>
      <c r="K2012">
        <v>1.1108640000000001</v>
      </c>
      <c r="L2012">
        <v>285.14550000000003</v>
      </c>
      <c r="M2012">
        <v>-0.99980279999999999</v>
      </c>
      <c r="N2012">
        <v>-1.4298989999999999E-2</v>
      </c>
      <c r="O2012">
        <v>1.377492E-2</v>
      </c>
      <c r="P2012">
        <v>-0.97906579999999999</v>
      </c>
      <c r="Q2012">
        <v>0.18412790000000001</v>
      </c>
      <c r="R2012">
        <v>-8.6759489999999995E-2</v>
      </c>
      <c r="S2012">
        <v>-3.0186160000000002</v>
      </c>
      <c r="T2012">
        <v>0.16785799999999901</v>
      </c>
      <c r="U2012">
        <v>-0.1563416</v>
      </c>
      <c r="V2012">
        <v>-0.1003366</v>
      </c>
      <c r="W2012">
        <v>0.19804079999999999</v>
      </c>
      <c r="X2012">
        <v>0.97504480000000004</v>
      </c>
      <c r="Y2012">
        <v>-6.5367830000000002E-2</v>
      </c>
      <c r="Z2012">
        <v>2.3084870000000001E-3</v>
      </c>
      <c r="AA2012">
        <v>0.99785860000000004</v>
      </c>
      <c r="AB2012">
        <v>31</v>
      </c>
      <c r="AC2012">
        <v>-216.88929999999999</v>
      </c>
      <c r="AD2012">
        <v>12.076575999999999</v>
      </c>
      <c r="AE2012">
        <v>-11.251799999999999</v>
      </c>
      <c r="AF2012">
        <v>-14.194779954113899</v>
      </c>
      <c r="AG2012">
        <v>12.076575999999999</v>
      </c>
      <c r="AH2012">
        <v>216.04568870619201</v>
      </c>
      <c r="AI2012">
        <v>86.807464829970698</v>
      </c>
      <c r="AJ2012">
        <v>93.759083145961796</v>
      </c>
      <c r="AK2012">
        <v>216.848046046908</v>
      </c>
      <c r="AL2012">
        <v>78.577586051847206</v>
      </c>
      <c r="AM2012">
        <v>95.875319179714694</v>
      </c>
      <c r="AN2012">
        <v>0.99999997688561904</v>
      </c>
    </row>
    <row r="2013" spans="1:40" x14ac:dyDescent="0.25">
      <c r="A2013" t="str">
        <f>"20190304155056373"</f>
        <v>20190304155056373</v>
      </c>
      <c r="B2013" t="str">
        <f>"1551685856368354"</f>
        <v>1551685856368354</v>
      </c>
      <c r="C2013" t="s">
        <v>40</v>
      </c>
      <c r="D2013">
        <v>4.4958910000000003</v>
      </c>
      <c r="E2013">
        <v>0.51136590000000004</v>
      </c>
      <c r="F2013" t="s">
        <v>75</v>
      </c>
      <c r="G2013">
        <v>-512.82950000000005</v>
      </c>
      <c r="H2013">
        <v>13.16386</v>
      </c>
      <c r="I2013">
        <v>273.66609999999997</v>
      </c>
      <c r="J2013">
        <v>-296.22620000000001</v>
      </c>
      <c r="K2013">
        <v>1.1108549999999999</v>
      </c>
      <c r="L2013">
        <v>285.14920000000001</v>
      </c>
      <c r="M2013">
        <v>-0.99980630000000004</v>
      </c>
      <c r="N2013">
        <v>-1.4296730000000001E-2</v>
      </c>
      <c r="O2013">
        <v>1.3530520000000001E-2</v>
      </c>
      <c r="P2013">
        <v>-0.97909210000000002</v>
      </c>
      <c r="Q2013">
        <v>0.18400269999999999</v>
      </c>
      <c r="R2013">
        <v>-8.6729769999999998E-2</v>
      </c>
      <c r="S2013">
        <v>-3.0184630000000001</v>
      </c>
      <c r="T2013">
        <v>0.16774330000000001</v>
      </c>
      <c r="U2013">
        <v>-0.1597595</v>
      </c>
      <c r="V2013">
        <v>-0.1000672</v>
      </c>
      <c r="W2013">
        <v>0.1979146</v>
      </c>
      <c r="X2013">
        <v>0.97509809999999997</v>
      </c>
      <c r="Y2013">
        <v>-6.6253060000000003E-2</v>
      </c>
      <c r="Z2013">
        <v>2.3079799999999998E-3</v>
      </c>
      <c r="AA2013">
        <v>0.99780020000000003</v>
      </c>
      <c r="AB2013">
        <v>31</v>
      </c>
      <c r="AC2013">
        <v>-216.60329999999999</v>
      </c>
      <c r="AD2013">
        <v>12.053005000000001</v>
      </c>
      <c r="AE2013">
        <v>-11.4831</v>
      </c>
      <c r="AF2013">
        <v>-14.368736273552299</v>
      </c>
      <c r="AG2013">
        <v>12.053005000000001</v>
      </c>
      <c r="AH2013">
        <v>215.76186158086401</v>
      </c>
      <c r="AI2013">
        <v>86.809687501325698</v>
      </c>
      <c r="AJ2013">
        <v>93.810006641578099</v>
      </c>
      <c r="AK2013">
        <v>216.57542894905899</v>
      </c>
      <c r="AL2013">
        <v>78.584962699666306</v>
      </c>
      <c r="AM2013">
        <v>95.859336013810903</v>
      </c>
      <c r="AN2013">
        <v>0.99999996901630395</v>
      </c>
    </row>
    <row r="2014" spans="1:40" x14ac:dyDescent="0.25">
      <c r="A2014" t="str">
        <f>"20190304155056386"</f>
        <v>20190304155056386</v>
      </c>
      <c r="B2014" t="str">
        <f>"1551685856379090"</f>
        <v>1551685856379090</v>
      </c>
      <c r="C2014" t="s">
        <v>40</v>
      </c>
      <c r="D2014">
        <v>4.8763719999999999</v>
      </c>
      <c r="E2014">
        <v>0.51140920000000001</v>
      </c>
      <c r="F2014" t="s">
        <v>75</v>
      </c>
      <c r="G2014">
        <v>-512.82950000000005</v>
      </c>
      <c r="H2014">
        <v>13.099629999999999</v>
      </c>
      <c r="I2014">
        <v>273.48050000000001</v>
      </c>
      <c r="J2014">
        <v>-296.4162</v>
      </c>
      <c r="K2014">
        <v>1.1108549999999999</v>
      </c>
      <c r="L2014">
        <v>285.15159999999997</v>
      </c>
      <c r="M2014">
        <v>-0.99980840000000004</v>
      </c>
      <c r="N2014">
        <v>-1.4295179999999999E-2</v>
      </c>
      <c r="O2014">
        <v>1.3368130000000001E-2</v>
      </c>
      <c r="P2014">
        <v>-0.97917779999999999</v>
      </c>
      <c r="Q2014">
        <v>0.18355199999999999</v>
      </c>
      <c r="R2014">
        <v>-8.6716230000000005E-2</v>
      </c>
      <c r="S2014">
        <v>-3.0182799999999999</v>
      </c>
      <c r="T2014">
        <v>0.16705970000000001</v>
      </c>
      <c r="U2014">
        <v>-0.16259770000000001</v>
      </c>
      <c r="V2014">
        <v>-9.9896059999999995E-2</v>
      </c>
      <c r="W2014">
        <v>0.197464</v>
      </c>
      <c r="X2014">
        <v>0.97520700000000005</v>
      </c>
      <c r="Y2014">
        <v>-6.7030199999999998E-2</v>
      </c>
      <c r="Z2014">
        <v>2.3021729999999998E-3</v>
      </c>
      <c r="AA2014">
        <v>0.99774830000000003</v>
      </c>
      <c r="AB2014">
        <v>31</v>
      </c>
      <c r="AC2014">
        <v>-216.41329999999999</v>
      </c>
      <c r="AD2014">
        <v>11.988775</v>
      </c>
      <c r="AE2014">
        <v>-11.6710999999999</v>
      </c>
      <c r="AF2014">
        <v>-14.518965875147501</v>
      </c>
      <c r="AG2014">
        <v>11.988775</v>
      </c>
      <c r="AH2014">
        <v>215.578253198944</v>
      </c>
      <c r="AI2014">
        <v>86.824115747514099</v>
      </c>
      <c r="AJ2014">
        <v>93.852991222496001</v>
      </c>
      <c r="AK2014">
        <v>216.39897030344699</v>
      </c>
      <c r="AL2014">
        <v>78.611300003236707</v>
      </c>
      <c r="AM2014">
        <v>95.848735959222495</v>
      </c>
      <c r="AN2014">
        <v>0.99999997347426095</v>
      </c>
    </row>
    <row r="2015" spans="1:40" x14ac:dyDescent="0.25">
      <c r="A2015" t="str">
        <f>"20190304155056407"</f>
        <v>20190304155056407</v>
      </c>
      <c r="B2015" t="str">
        <f>"1551685856398612"</f>
        <v>1551685856398612</v>
      </c>
      <c r="C2015" t="s">
        <v>40</v>
      </c>
      <c r="D2015">
        <v>4.5659939999999999</v>
      </c>
      <c r="E2015">
        <v>0.53317729999999997</v>
      </c>
      <c r="F2015" t="s">
        <v>75</v>
      </c>
      <c r="G2015">
        <v>-512.82939999999996</v>
      </c>
      <c r="H2015">
        <v>12.83042</v>
      </c>
      <c r="I2015">
        <v>273.52140000000003</v>
      </c>
      <c r="J2015">
        <v>-296.69319999999999</v>
      </c>
      <c r="K2015">
        <v>1.110857</v>
      </c>
      <c r="L2015">
        <v>285.1551</v>
      </c>
      <c r="M2015">
        <v>-0.99981169999999997</v>
      </c>
      <c r="N2015">
        <v>-1.4292849999999999E-2</v>
      </c>
      <c r="O2015">
        <v>1.3131240000000001E-2</v>
      </c>
      <c r="P2015">
        <v>-0.97923439999999995</v>
      </c>
      <c r="Q2015">
        <v>0.18336189999999999</v>
      </c>
      <c r="R2015">
        <v>-8.6480470000000004E-2</v>
      </c>
      <c r="S2015">
        <v>-3.018799</v>
      </c>
      <c r="T2015">
        <v>0.16347979999999901</v>
      </c>
      <c r="U2015">
        <v>-0.1622314</v>
      </c>
      <c r="V2015">
        <v>-9.9428879999999997E-2</v>
      </c>
      <c r="W2015">
        <v>0.19727330000000001</v>
      </c>
      <c r="X2015">
        <v>0.97529330000000003</v>
      </c>
      <c r="Y2015">
        <v>-6.6669709999999993E-2</v>
      </c>
      <c r="Z2015">
        <v>2.2230150000000001E-3</v>
      </c>
      <c r="AA2015">
        <v>0.99777260000000001</v>
      </c>
      <c r="AB2015">
        <v>31</v>
      </c>
      <c r="AC2015">
        <v>-216.1362</v>
      </c>
      <c r="AD2015">
        <v>11.719563000000001</v>
      </c>
      <c r="AE2015">
        <v>-11.6336999999999</v>
      </c>
      <c r="AF2015">
        <v>-14.428822610017599</v>
      </c>
      <c r="AG2015">
        <v>11.719563000000001</v>
      </c>
      <c r="AH2015">
        <v>215.33349937711799</v>
      </c>
      <c r="AI2015">
        <v>86.891697239234801</v>
      </c>
      <c r="AJ2015">
        <v>93.833480046753195</v>
      </c>
      <c r="AK2015">
        <v>216.13434487100301</v>
      </c>
      <c r="AL2015">
        <v>78.622445152025804</v>
      </c>
      <c r="AM2015">
        <v>95.821060114294795</v>
      </c>
      <c r="AN2015">
        <v>0.99999993904791495</v>
      </c>
    </row>
    <row r="2016" spans="1:40" x14ac:dyDescent="0.25">
      <c r="A2016" t="str">
        <f>"20190304155056429"</f>
        <v>20190304155056429</v>
      </c>
      <c r="B2016" t="str">
        <f>"1551685856419105"</f>
        <v>1551685856419105</v>
      </c>
      <c r="C2016" t="s">
        <v>40</v>
      </c>
      <c r="D2016">
        <v>4.5293049999999999</v>
      </c>
      <c r="E2016">
        <v>0.53402759999999905</v>
      </c>
      <c r="F2016" t="s">
        <v>53</v>
      </c>
      <c r="G2016">
        <v>0</v>
      </c>
      <c r="H2016">
        <v>0</v>
      </c>
      <c r="I2016">
        <v>0</v>
      </c>
      <c r="J2016">
        <v>-296.99590000000001</v>
      </c>
      <c r="K2016">
        <v>1.1108579999999999</v>
      </c>
      <c r="L2016">
        <v>285.15879999999999</v>
      </c>
      <c r="M2016">
        <v>-0.99981520000000002</v>
      </c>
      <c r="N2016">
        <v>-1.429017E-2</v>
      </c>
      <c r="O2016">
        <v>1.2872649999999999E-2</v>
      </c>
      <c r="P2016">
        <v>-0.97920070000000003</v>
      </c>
      <c r="Q2016">
        <v>0.1835205</v>
      </c>
      <c r="R2016">
        <v>-8.6526249999999999E-2</v>
      </c>
      <c r="S2016">
        <v>-3.0475460000000001</v>
      </c>
      <c r="T2016">
        <v>9.1803549999999998E-2</v>
      </c>
      <c r="U2016">
        <v>1.281738E-2</v>
      </c>
      <c r="V2016">
        <v>-9.9221539999999997E-2</v>
      </c>
      <c r="W2016">
        <v>0.19742950000000001</v>
      </c>
      <c r="X2016">
        <v>0.97528289999999995</v>
      </c>
      <c r="Y2016">
        <v>-8.6536759999999904E-3</v>
      </c>
      <c r="Z2016">
        <v>6.400453E-4</v>
      </c>
      <c r="AA2016">
        <v>0.99996229999999997</v>
      </c>
      <c r="AB2016">
        <v>30</v>
      </c>
      <c r="AC2016">
        <v>-3.0475460000000001</v>
      </c>
      <c r="AD2016">
        <v>9.1803549999999998E-2</v>
      </c>
      <c r="AE2016">
        <v>1.281738E-2</v>
      </c>
      <c r="AF2016">
        <v>-2.6393724244553801E-2</v>
      </c>
      <c r="AG2016">
        <v>9.1803549999999998E-2</v>
      </c>
      <c r="AH2016">
        <v>3.0446956186772698</v>
      </c>
      <c r="AI2016">
        <v>88.273007870755507</v>
      </c>
      <c r="AJ2016">
        <v>90.496670707174104</v>
      </c>
      <c r="AK2016">
        <v>3.0461936791452802</v>
      </c>
      <c r="AL2016">
        <v>78.613317035388107</v>
      </c>
      <c r="AM2016">
        <v>95.809066021639893</v>
      </c>
      <c r="AN2016">
        <v>1.00000002825131</v>
      </c>
    </row>
    <row r="2017" spans="1:40" x14ac:dyDescent="0.25">
      <c r="A2017" t="str">
        <f>"20190304155056441"</f>
        <v>20190304155056441</v>
      </c>
      <c r="B2017" t="str">
        <f>"1551685856438625"</f>
        <v>1551685856438625</v>
      </c>
      <c r="C2017" t="s">
        <v>40</v>
      </c>
      <c r="D2017">
        <v>4.6089729999999998</v>
      </c>
      <c r="E2017">
        <v>0.53269109999999997</v>
      </c>
      <c r="F2017" t="s">
        <v>53</v>
      </c>
      <c r="G2017">
        <v>0</v>
      </c>
      <c r="H2017">
        <v>0</v>
      </c>
      <c r="I2017">
        <v>0</v>
      </c>
      <c r="J2017">
        <v>-297.1651</v>
      </c>
      <c r="K2017">
        <v>1.110859</v>
      </c>
      <c r="L2017">
        <v>285.16079999999999</v>
      </c>
      <c r="M2017">
        <v>-0.99981699999999996</v>
      </c>
      <c r="N2017">
        <v>-1.428862E-2</v>
      </c>
      <c r="O2017">
        <v>1.272766E-2</v>
      </c>
      <c r="P2017">
        <v>-0.97920200000000002</v>
      </c>
      <c r="Q2017">
        <v>0.18362780000000001</v>
      </c>
      <c r="R2017">
        <v>-8.6281640000000007E-2</v>
      </c>
      <c r="S2017">
        <v>-3.0488590000000002</v>
      </c>
      <c r="T2017">
        <v>8.8844179999999995E-2</v>
      </c>
      <c r="U2017">
        <v>1.9439700000000001E-2</v>
      </c>
      <c r="V2017">
        <v>-9.8834790000000006E-2</v>
      </c>
      <c r="W2017">
        <v>0.19753560000000001</v>
      </c>
      <c r="X2017">
        <v>0.97530070000000002</v>
      </c>
      <c r="Y2017">
        <v>-6.3399160000000001E-3</v>
      </c>
      <c r="Z2017">
        <v>5.9965859999999997E-4</v>
      </c>
      <c r="AA2017">
        <v>0.99997970000000003</v>
      </c>
      <c r="AB2017">
        <v>30</v>
      </c>
      <c r="AC2017">
        <v>-3.0488590000000002</v>
      </c>
      <c r="AD2017">
        <v>8.8844179999999995E-2</v>
      </c>
      <c r="AE2017">
        <v>1.9439700000000001E-2</v>
      </c>
      <c r="AF2017">
        <v>-1.9354239912732201E-2</v>
      </c>
      <c r="AG2017">
        <v>8.8844179999999995E-2</v>
      </c>
      <c r="AH2017">
        <v>3.0462728086503601</v>
      </c>
      <c r="AI2017">
        <v>88.329482723707699</v>
      </c>
      <c r="AJ2017">
        <v>90.364019052756603</v>
      </c>
      <c r="AK2017">
        <v>3.0476295542019201</v>
      </c>
      <c r="AL2017">
        <v>78.607115990355794</v>
      </c>
      <c r="AM2017">
        <v>95.786472254659699</v>
      </c>
      <c r="AN2017">
        <v>1.00000004220109</v>
      </c>
    </row>
    <row r="2018" spans="1:40" x14ac:dyDescent="0.25">
      <c r="A2018" t="str">
        <f>"20190304155056454"</f>
        <v>20190304155056454</v>
      </c>
      <c r="B2018" t="str">
        <f>"1551685856448385"</f>
        <v>1551685856448385</v>
      </c>
      <c r="C2018" t="s">
        <v>40</v>
      </c>
      <c r="D2018">
        <v>4.5548060000000001</v>
      </c>
      <c r="E2018">
        <v>0.53213900000000003</v>
      </c>
      <c r="F2018" t="s">
        <v>53</v>
      </c>
      <c r="G2018">
        <v>0</v>
      </c>
      <c r="H2018">
        <v>0</v>
      </c>
      <c r="I2018">
        <v>0</v>
      </c>
      <c r="J2018">
        <v>-297.32769999999999</v>
      </c>
      <c r="K2018">
        <v>1.11086</v>
      </c>
      <c r="L2018">
        <v>285.16269999999997</v>
      </c>
      <c r="M2018">
        <v>-0.99981889999999995</v>
      </c>
      <c r="N2018">
        <v>-1.428713E-2</v>
      </c>
      <c r="O2018">
        <v>1.258833E-2</v>
      </c>
      <c r="P2018">
        <v>-0.97918400000000005</v>
      </c>
      <c r="Q2018">
        <v>0.18371860000000001</v>
      </c>
      <c r="R2018">
        <v>-8.6293750000000002E-2</v>
      </c>
      <c r="S2018">
        <v>-3.0508730000000002</v>
      </c>
      <c r="T2018">
        <v>7.3499320000000007E-2</v>
      </c>
      <c r="U2018">
        <v>9.765625E-3</v>
      </c>
      <c r="V2018">
        <v>-9.8709720000000001E-2</v>
      </c>
      <c r="W2018">
        <v>0.1976253</v>
      </c>
      <c r="X2018">
        <v>0.97529509999999997</v>
      </c>
      <c r="Y2018">
        <v>-9.3785129999999998E-3</v>
      </c>
      <c r="Z2018">
        <v>5.2898859999999997E-4</v>
      </c>
      <c r="AA2018">
        <v>0.99995590000000001</v>
      </c>
      <c r="AB2018">
        <v>30</v>
      </c>
      <c r="AC2018">
        <v>-3.0508730000000002</v>
      </c>
      <c r="AD2018">
        <v>7.3499320000000007E-2</v>
      </c>
      <c r="AE2018">
        <v>9.765625E-3</v>
      </c>
      <c r="AF2018">
        <v>-2.8627842185558701E-2</v>
      </c>
      <c r="AG2018">
        <v>7.3499320000000007E-2</v>
      </c>
      <c r="AH2018">
        <v>3.04898458093674</v>
      </c>
      <c r="AI2018">
        <v>88.619146873843206</v>
      </c>
      <c r="AJ2018">
        <v>90.537951666113401</v>
      </c>
      <c r="AK2018">
        <v>3.0500047013371301</v>
      </c>
      <c r="AL2018">
        <v>78.601872142065105</v>
      </c>
      <c r="AM2018">
        <v>95.779232346169195</v>
      </c>
      <c r="AN2018">
        <v>0.99999995005328701</v>
      </c>
    </row>
    <row r="2019" spans="1:40" x14ac:dyDescent="0.25">
      <c r="A2019" t="str">
        <f>"20190304155056466"</f>
        <v>20190304155056466</v>
      </c>
      <c r="B2019" t="str">
        <f>"1551685856458146"</f>
        <v>1551685856458146</v>
      </c>
      <c r="C2019" t="s">
        <v>40</v>
      </c>
      <c r="D2019">
        <v>4.5533609999999998</v>
      </c>
      <c r="E2019">
        <v>0.53163749999999999</v>
      </c>
      <c r="F2019" t="s">
        <v>53</v>
      </c>
      <c r="G2019">
        <v>0</v>
      </c>
      <c r="H2019">
        <v>0</v>
      </c>
      <c r="I2019">
        <v>0</v>
      </c>
      <c r="J2019">
        <v>-297.50810000000001</v>
      </c>
      <c r="K2019">
        <v>1.1108629999999999</v>
      </c>
      <c r="L2019">
        <v>285.16480000000001</v>
      </c>
      <c r="M2019">
        <v>-0.99982079999999995</v>
      </c>
      <c r="N2019">
        <v>-1.428544E-2</v>
      </c>
      <c r="O2019">
        <v>1.243404E-2</v>
      </c>
      <c r="P2019">
        <v>-0.9791301</v>
      </c>
      <c r="Q2019">
        <v>0.184</v>
      </c>
      <c r="R2019">
        <v>-8.6305850000000003E-2</v>
      </c>
      <c r="S2019">
        <v>-3.0509029999999999</v>
      </c>
      <c r="T2019">
        <v>7.0973399999999895E-2</v>
      </c>
      <c r="U2019">
        <v>5.5236819999999898E-3</v>
      </c>
      <c r="V2019">
        <v>-9.8570119999999997E-2</v>
      </c>
      <c r="W2019">
        <v>0.19790479999999999</v>
      </c>
      <c r="X2019">
        <v>0.97525260000000003</v>
      </c>
      <c r="Y2019">
        <v>-1.0615049999999999E-2</v>
      </c>
      <c r="Z2019">
        <v>5.1443229999999999E-4</v>
      </c>
      <c r="AA2019">
        <v>0.99994360000000004</v>
      </c>
      <c r="AB2019">
        <v>30</v>
      </c>
      <c r="AC2019">
        <v>-3.0509029999999999</v>
      </c>
      <c r="AD2019">
        <v>7.0973399999999895E-2</v>
      </c>
      <c r="AE2019">
        <v>5.5236819999999898E-3</v>
      </c>
      <c r="AF2019">
        <v>-3.23981276329387E-2</v>
      </c>
      <c r="AG2019">
        <v>7.0973399999999895E-2</v>
      </c>
      <c r="AH2019">
        <v>3.0490857175315602</v>
      </c>
      <c r="AI2019">
        <v>88.666645331383805</v>
      </c>
      <c r="AJ2019">
        <v>90.608774660756794</v>
      </c>
      <c r="AK2019">
        <v>3.0500836996772098</v>
      </c>
      <c r="AL2019">
        <v>78.585535957870604</v>
      </c>
      <c r="AM2019">
        <v>95.771364086237995</v>
      </c>
      <c r="AN2019">
        <v>1.0000000061133001</v>
      </c>
    </row>
    <row r="2020" spans="1:40" x14ac:dyDescent="0.25">
      <c r="A2020" t="str">
        <f>"20190304155056486"</f>
        <v>20190304155056486</v>
      </c>
      <c r="B2020" t="str">
        <f>"1551685856478641"</f>
        <v>1551685856478641</v>
      </c>
      <c r="C2020" t="s">
        <v>40</v>
      </c>
      <c r="D2020">
        <v>4.5425990000000001</v>
      </c>
      <c r="E2020">
        <v>0.53070719999999905</v>
      </c>
      <c r="F2020" t="s">
        <v>53</v>
      </c>
      <c r="G2020">
        <v>0</v>
      </c>
      <c r="H2020">
        <v>0</v>
      </c>
      <c r="I2020">
        <v>0</v>
      </c>
      <c r="J2020">
        <v>-297.75540000000001</v>
      </c>
      <c r="K2020">
        <v>1.1108629999999999</v>
      </c>
      <c r="L2020">
        <v>285.16770000000002</v>
      </c>
      <c r="M2020">
        <v>-0.99982349999999998</v>
      </c>
      <c r="N2020">
        <v>-1.428314E-2</v>
      </c>
      <c r="O2020">
        <v>1.222212E-2</v>
      </c>
      <c r="P2020">
        <v>-0.97908680000000003</v>
      </c>
      <c r="Q2020">
        <v>0.18418780000000001</v>
      </c>
      <c r="R2020">
        <v>-8.6394760000000001E-2</v>
      </c>
      <c r="S2020">
        <v>-3.0511170000000001</v>
      </c>
      <c r="T2020">
        <v>6.9025639999999999E-2</v>
      </c>
      <c r="U2020">
        <v>1.495361E-3</v>
      </c>
      <c r="V2020">
        <v>-9.8451479999999994E-2</v>
      </c>
      <c r="W2020">
        <v>0.19808990000000001</v>
      </c>
      <c r="X2020">
        <v>0.97522699999999996</v>
      </c>
      <c r="Y2020">
        <v>-1.1723870000000001E-2</v>
      </c>
      <c r="Z2020">
        <v>4.9987030000000002E-4</v>
      </c>
      <c r="AA2020">
        <v>0.99993120000000002</v>
      </c>
      <c r="AB2020">
        <v>30</v>
      </c>
      <c r="AC2020">
        <v>-3.0511170000000001</v>
      </c>
      <c r="AD2020">
        <v>6.9025639999999999E-2</v>
      </c>
      <c r="AE2020">
        <v>1.495361E-3</v>
      </c>
      <c r="AF2020">
        <v>-3.5781352414006998E-2</v>
      </c>
      <c r="AG2020">
        <v>6.9025639999999999E-2</v>
      </c>
      <c r="AH2020">
        <v>3.0493466695653102</v>
      </c>
      <c r="AI2020">
        <v>88.703351605607494</v>
      </c>
      <c r="AJ2020">
        <v>90.672283808748602</v>
      </c>
      <c r="AK2020">
        <v>3.0503376789049201</v>
      </c>
      <c r="AL2020">
        <v>78.574716259644902</v>
      </c>
      <c r="AM2020">
        <v>95.764614722045707</v>
      </c>
      <c r="AN2020">
        <v>1.0000000019626001</v>
      </c>
    </row>
    <row r="2021" spans="1:40" x14ac:dyDescent="0.25">
      <c r="A2021" t="str">
        <f>"20190304155056497"</f>
        <v>20190304155056497</v>
      </c>
      <c r="B2021" t="str">
        <f>"1551685856488400"</f>
        <v>1551685856488400</v>
      </c>
      <c r="C2021" t="s">
        <v>40</v>
      </c>
      <c r="D2021">
        <v>4.5198970000000003</v>
      </c>
      <c r="E2021">
        <v>0.53043249999999997</v>
      </c>
      <c r="F2021" t="s">
        <v>53</v>
      </c>
      <c r="G2021">
        <v>0</v>
      </c>
      <c r="H2021">
        <v>0</v>
      </c>
      <c r="I2021">
        <v>0</v>
      </c>
      <c r="J2021">
        <v>-297.91899999999998</v>
      </c>
      <c r="K2021">
        <v>1.1108610000000001</v>
      </c>
      <c r="L2021">
        <v>285.16950000000003</v>
      </c>
      <c r="M2021">
        <v>-0.99982510000000002</v>
      </c>
      <c r="N2021">
        <v>-1.428157E-2</v>
      </c>
      <c r="O2021">
        <v>1.2082249999999999E-2</v>
      </c>
      <c r="P2021">
        <v>-0.97908850000000003</v>
      </c>
      <c r="Q2021">
        <v>0.1842674</v>
      </c>
      <c r="R2021">
        <v>-8.6206249999999998E-2</v>
      </c>
      <c r="S2021">
        <v>-3.0512999999999999</v>
      </c>
      <c r="T2021">
        <v>6.4920309999999995E-2</v>
      </c>
      <c r="U2021">
        <v>-6.0119630000000004E-3</v>
      </c>
      <c r="V2021">
        <v>-9.8125779999999996E-2</v>
      </c>
      <c r="W2021">
        <v>0.1981685</v>
      </c>
      <c r="X2021">
        <v>0.97524390000000005</v>
      </c>
      <c r="Y2021">
        <v>-1.4044930000000001E-2</v>
      </c>
      <c r="Z2021">
        <v>4.7865849999999998E-4</v>
      </c>
      <c r="AA2021">
        <v>0.99990120000000005</v>
      </c>
      <c r="AB2021">
        <v>30</v>
      </c>
      <c r="AC2021">
        <v>-3.0512999999999999</v>
      </c>
      <c r="AD2021">
        <v>6.4920309999999995E-2</v>
      </c>
      <c r="AE2021">
        <v>-6.0119630000000004E-3</v>
      </c>
      <c r="AF2021">
        <v>-4.2862447672930397E-2</v>
      </c>
      <c r="AG2021">
        <v>6.4920309999999995E-2</v>
      </c>
      <c r="AH2021">
        <v>3.0496240868608702</v>
      </c>
      <c r="AI2021">
        <v>88.780593689510695</v>
      </c>
      <c r="AJ2021">
        <v>90.805238806305994</v>
      </c>
      <c r="AK2021">
        <v>3.0506161520638799</v>
      </c>
      <c r="AL2021">
        <v>78.570122213534106</v>
      </c>
      <c r="AM2021">
        <v>95.745572963864802</v>
      </c>
      <c r="AN2021">
        <v>1.00000004379003</v>
      </c>
    </row>
    <row r="2022" spans="1:40" x14ac:dyDescent="0.25">
      <c r="A2022" t="str">
        <f>"20190304155056519"</f>
        <v>20190304155056519</v>
      </c>
      <c r="B2022" t="str">
        <f>"1551685856508899"</f>
        <v>1551685856508899</v>
      </c>
      <c r="C2022" t="s">
        <v>40</v>
      </c>
      <c r="D2022">
        <v>4.5313150000000002</v>
      </c>
      <c r="E2022">
        <v>0.5295377</v>
      </c>
      <c r="F2022" t="s">
        <v>53</v>
      </c>
      <c r="G2022">
        <v>0</v>
      </c>
      <c r="H2022">
        <v>0</v>
      </c>
      <c r="I2022">
        <v>0</v>
      </c>
      <c r="J2022">
        <v>-298.21769999999998</v>
      </c>
      <c r="K2022">
        <v>1.1108610000000001</v>
      </c>
      <c r="L2022">
        <v>285.17290000000003</v>
      </c>
      <c r="M2022">
        <v>-0.99982819999999994</v>
      </c>
      <c r="N2022">
        <v>-1.42787E-2</v>
      </c>
      <c r="O2022">
        <v>1.1826410000000001E-2</v>
      </c>
      <c r="P2022">
        <v>-0.97901640000000001</v>
      </c>
      <c r="Q2022">
        <v>0.18477879999999999</v>
      </c>
      <c r="R2022">
        <v>-8.5929950000000005E-2</v>
      </c>
      <c r="S2022">
        <v>-3.0515439999999998</v>
      </c>
      <c r="T2022">
        <v>6.2979460000000001E-2</v>
      </c>
      <c r="U2022">
        <v>-7.5683590000000002E-3</v>
      </c>
      <c r="V2022">
        <v>-9.7598870000000004E-2</v>
      </c>
      <c r="W2022">
        <v>0.19867699999999999</v>
      </c>
      <c r="X2022">
        <v>0.97519330000000004</v>
      </c>
      <c r="Y2022">
        <v>-1.429943E-2</v>
      </c>
      <c r="Z2022">
        <v>4.5834290000000002E-4</v>
      </c>
      <c r="AA2022">
        <v>0.9998977</v>
      </c>
      <c r="AB2022">
        <v>30</v>
      </c>
      <c r="AC2022">
        <v>-3.0515439999999998</v>
      </c>
      <c r="AD2022">
        <v>6.2979460000000001E-2</v>
      </c>
      <c r="AE2022">
        <v>-7.5683590000000002E-3</v>
      </c>
      <c r="AF2022">
        <v>-4.3641727326707798E-2</v>
      </c>
      <c r="AG2022">
        <v>6.2979460000000001E-2</v>
      </c>
      <c r="AH2022">
        <v>3.0499419182072298</v>
      </c>
      <c r="AI2022">
        <v>88.817165898952297</v>
      </c>
      <c r="AJ2022">
        <v>90.8197913985002</v>
      </c>
      <c r="AK2022">
        <v>3.0509042458234501</v>
      </c>
      <c r="AL2022">
        <v>78.540396107552098</v>
      </c>
      <c r="AM2022">
        <v>95.7152200642944</v>
      </c>
      <c r="AN2022">
        <v>1.00000003105958</v>
      </c>
    </row>
    <row r="2023" spans="1:40" x14ac:dyDescent="0.25">
      <c r="A2023" t="str">
        <f>"20190304155056542"</f>
        <v>20190304155056542</v>
      </c>
      <c r="B2023" t="str">
        <f>"1551685856539153"</f>
        <v>1551685856539153</v>
      </c>
      <c r="C2023" t="s">
        <v>40</v>
      </c>
      <c r="D2023">
        <v>4.518491</v>
      </c>
      <c r="E2023">
        <v>0.52958079999999996</v>
      </c>
      <c r="F2023" t="s">
        <v>53</v>
      </c>
      <c r="G2023">
        <v>0</v>
      </c>
      <c r="H2023">
        <v>0</v>
      </c>
      <c r="I2023">
        <v>0</v>
      </c>
      <c r="J2023">
        <v>-298.51600000000002</v>
      </c>
      <c r="K2023">
        <v>1.1108640000000001</v>
      </c>
      <c r="L2023">
        <v>285.17610000000002</v>
      </c>
      <c r="M2023">
        <v>-0.99983129999999998</v>
      </c>
      <c r="N2023">
        <v>-1.427579E-2</v>
      </c>
      <c r="O2023">
        <v>1.1571349999999999E-2</v>
      </c>
      <c r="P2023">
        <v>-0.97901859999999996</v>
      </c>
      <c r="Q2023">
        <v>0.18498049999999999</v>
      </c>
      <c r="R2023">
        <v>-8.5470899999999905E-2</v>
      </c>
      <c r="S2023">
        <v>-3.0519409999999998</v>
      </c>
      <c r="T2023">
        <v>5.905473E-2</v>
      </c>
      <c r="U2023">
        <v>-1.464844E-2</v>
      </c>
      <c r="V2023">
        <v>-9.6889879999999998E-2</v>
      </c>
      <c r="W2023">
        <v>0.19887650000000001</v>
      </c>
      <c r="X2023">
        <v>0.97522330000000002</v>
      </c>
      <c r="Y2023">
        <v>-1.6364380000000001E-2</v>
      </c>
      <c r="Z2023">
        <v>4.305442E-4</v>
      </c>
      <c r="AA2023">
        <v>0.99986600000000003</v>
      </c>
      <c r="AB2023">
        <v>30</v>
      </c>
      <c r="AC2023">
        <v>-3.0519409999999998</v>
      </c>
      <c r="AD2023">
        <v>5.905473E-2</v>
      </c>
      <c r="AE2023">
        <v>-1.464844E-2</v>
      </c>
      <c r="AF2023">
        <v>-4.9947429193737403E-2</v>
      </c>
      <c r="AG2023">
        <v>5.905473E-2</v>
      </c>
      <c r="AH2023">
        <v>3.05042500179646</v>
      </c>
      <c r="AI2023">
        <v>88.891068997838801</v>
      </c>
      <c r="AJ2023">
        <v>90.938072949558205</v>
      </c>
      <c r="AK2023">
        <v>3.0514053972560502</v>
      </c>
      <c r="AL2023">
        <v>78.528732472750093</v>
      </c>
      <c r="AM2023">
        <v>95.673801322417305</v>
      </c>
      <c r="AN2023">
        <v>0.99999999798077699</v>
      </c>
    </row>
    <row r="2024" spans="1:40" x14ac:dyDescent="0.25">
      <c r="A2024" t="str">
        <f>"20190304155056563"</f>
        <v>20190304155056563</v>
      </c>
      <c r="B2024" t="str">
        <f>"1551685856558673"</f>
        <v>1551685856558673</v>
      </c>
      <c r="C2024" t="s">
        <v>40</v>
      </c>
      <c r="D2024">
        <v>4.5316229999999997</v>
      </c>
      <c r="E2024">
        <v>0.52957049999999894</v>
      </c>
      <c r="F2024" t="s">
        <v>53</v>
      </c>
      <c r="G2024">
        <v>0</v>
      </c>
      <c r="H2024">
        <v>0</v>
      </c>
      <c r="I2024">
        <v>0</v>
      </c>
      <c r="J2024">
        <v>-298.79899999999998</v>
      </c>
      <c r="K2024">
        <v>1.110865</v>
      </c>
      <c r="L2024">
        <v>285.17910000000001</v>
      </c>
      <c r="M2024">
        <v>-0.99983390000000005</v>
      </c>
      <c r="N2024">
        <v>-1.4272979999999999E-2</v>
      </c>
      <c r="O2024">
        <v>1.132904E-2</v>
      </c>
      <c r="P2024">
        <v>-0.97911760000000003</v>
      </c>
      <c r="Q2024">
        <v>0.1845802</v>
      </c>
      <c r="R2024">
        <v>-8.5199150000000001E-2</v>
      </c>
      <c r="S2024">
        <v>-3.0519099999999999</v>
      </c>
      <c r="T2024">
        <v>5.970454E-2</v>
      </c>
      <c r="U2024">
        <v>-1.2969970000000001E-2</v>
      </c>
      <c r="V2024">
        <v>-9.6382129999999996E-2</v>
      </c>
      <c r="W2024">
        <v>0.19847590000000001</v>
      </c>
      <c r="X2024">
        <v>0.97535519999999998</v>
      </c>
      <c r="Y2024">
        <v>-1.5572280000000001E-2</v>
      </c>
      <c r="Z2024">
        <v>4.2445180000000001E-4</v>
      </c>
      <c r="AA2024">
        <v>0.99987859999999995</v>
      </c>
      <c r="AB2024">
        <v>30</v>
      </c>
      <c r="AC2024">
        <v>-3.0519099999999999</v>
      </c>
      <c r="AD2024">
        <v>5.970454E-2</v>
      </c>
      <c r="AE2024">
        <v>-1.2969970000000001E-2</v>
      </c>
      <c r="AF2024">
        <v>-4.7529682312824902E-2</v>
      </c>
      <c r="AG2024">
        <v>5.970454E-2</v>
      </c>
      <c r="AH2024">
        <v>3.05039974820372</v>
      </c>
      <c r="AI2024">
        <v>88.878846481383903</v>
      </c>
      <c r="AJ2024">
        <v>90.892679671422002</v>
      </c>
      <c r="AK2024">
        <v>3.05135417915369</v>
      </c>
      <c r="AL2024">
        <v>78.5521518414795</v>
      </c>
      <c r="AM2024">
        <v>95.643501979267995</v>
      </c>
      <c r="AN2024">
        <v>0.99999998201559304</v>
      </c>
    </row>
    <row r="2025" spans="1:40" x14ac:dyDescent="0.25">
      <c r="A2025" t="str">
        <f>"20190304155056576"</f>
        <v>20190304155056576</v>
      </c>
      <c r="B2025" t="str">
        <f>"1551685856568433"</f>
        <v>1551685856568433</v>
      </c>
      <c r="C2025" t="s">
        <v>40</v>
      </c>
      <c r="D2025">
        <v>4.5075570000000003</v>
      </c>
      <c r="E2025">
        <v>0.52969509999999997</v>
      </c>
      <c r="F2025" t="s">
        <v>53</v>
      </c>
      <c r="G2025">
        <v>0</v>
      </c>
      <c r="H2025">
        <v>0</v>
      </c>
      <c r="I2025">
        <v>0</v>
      </c>
      <c r="J2025">
        <v>-298.97059999999999</v>
      </c>
      <c r="K2025">
        <v>1.1108640000000001</v>
      </c>
      <c r="L2025">
        <v>285.18090000000001</v>
      </c>
      <c r="M2025">
        <v>-0.99983569999999999</v>
      </c>
      <c r="N2025">
        <v>-1.4271270000000001E-2</v>
      </c>
      <c r="O2025">
        <v>1.1181719999999999E-2</v>
      </c>
      <c r="P2025">
        <v>-0.97914939999999995</v>
      </c>
      <c r="Q2025">
        <v>0.18446460000000001</v>
      </c>
      <c r="R2025">
        <v>-8.5085079999999993E-2</v>
      </c>
      <c r="S2025">
        <v>-3.0518489999999998</v>
      </c>
      <c r="T2025">
        <v>5.8769229999999999E-2</v>
      </c>
      <c r="U2025">
        <v>-1.184082E-2</v>
      </c>
      <c r="V2025">
        <v>-9.6123990000000006E-2</v>
      </c>
      <c r="W2025">
        <v>0.1983596</v>
      </c>
      <c r="X2025">
        <v>0.9754043</v>
      </c>
      <c r="Y2025">
        <v>-1.505538E-2</v>
      </c>
      <c r="Z2025">
        <v>4.1237149999999998E-4</v>
      </c>
      <c r="AA2025">
        <v>0.99988659999999996</v>
      </c>
      <c r="AB2025">
        <v>30</v>
      </c>
      <c r="AC2025">
        <v>-3.0518489999999998</v>
      </c>
      <c r="AD2025">
        <v>5.8769229999999999E-2</v>
      </c>
      <c r="AE2025">
        <v>-1.184082E-2</v>
      </c>
      <c r="AF2025">
        <v>-4.59514341756911E-2</v>
      </c>
      <c r="AG2025">
        <v>5.8769229999999999E-2</v>
      </c>
      <c r="AH2025">
        <v>3.0503945949835201</v>
      </c>
      <c r="AI2025">
        <v>88.896395085242801</v>
      </c>
      <c r="AJ2025">
        <v>90.863043790932096</v>
      </c>
      <c r="AK2025">
        <v>3.0513066941561702</v>
      </c>
      <c r="AL2025">
        <v>78.558950148646701</v>
      </c>
      <c r="AM2025">
        <v>95.628202678456901</v>
      </c>
      <c r="AN2025">
        <v>0.99999995041208301</v>
      </c>
    </row>
    <row r="2026" spans="1:40" x14ac:dyDescent="0.25">
      <c r="A2026" t="str">
        <f>"20190304155056587"</f>
        <v>20190304155056587</v>
      </c>
      <c r="B2026" t="str">
        <f>"1551685856578193"</f>
        <v>1551685856578193</v>
      </c>
      <c r="C2026" t="s">
        <v>40</v>
      </c>
      <c r="D2026">
        <v>4.5389269999999904</v>
      </c>
      <c r="E2026">
        <v>0.52977549999999995</v>
      </c>
      <c r="F2026" t="s">
        <v>53</v>
      </c>
      <c r="G2026">
        <v>0</v>
      </c>
      <c r="H2026">
        <v>0</v>
      </c>
      <c r="I2026">
        <v>0</v>
      </c>
      <c r="J2026">
        <v>-299.14069999999998</v>
      </c>
      <c r="K2026">
        <v>1.11086</v>
      </c>
      <c r="L2026">
        <v>285.18270000000001</v>
      </c>
      <c r="M2026">
        <v>-0.99983730000000004</v>
      </c>
      <c r="N2026">
        <v>-1.426958E-2</v>
      </c>
      <c r="O2026">
        <v>1.103608E-2</v>
      </c>
      <c r="P2026">
        <v>-0.97914239999999997</v>
      </c>
      <c r="Q2026">
        <v>0.18452470000000001</v>
      </c>
      <c r="R2026">
        <v>-8.5033990000000004E-2</v>
      </c>
      <c r="S2026">
        <v>-3.0518489999999998</v>
      </c>
      <c r="T2026">
        <v>5.8910610000000002E-2</v>
      </c>
      <c r="U2026">
        <v>-1.0345460000000001E-2</v>
      </c>
      <c r="V2026">
        <v>-9.5930290000000001E-2</v>
      </c>
      <c r="W2026">
        <v>0.19841809999999999</v>
      </c>
      <c r="X2026">
        <v>0.97541149999999999</v>
      </c>
      <c r="Y2026">
        <v>-1.4419889999999999E-2</v>
      </c>
      <c r="Z2026">
        <v>4.0674439999999998E-4</v>
      </c>
      <c r="AA2026">
        <v>0.99989589999999995</v>
      </c>
      <c r="AB2026">
        <v>30</v>
      </c>
      <c r="AC2026">
        <v>-3.0518489999999998</v>
      </c>
      <c r="AD2026">
        <v>5.8910610000000002E-2</v>
      </c>
      <c r="AE2026">
        <v>-1.0345460000000001E-2</v>
      </c>
      <c r="AF2026">
        <v>-4.4012308900647702E-2</v>
      </c>
      <c r="AG2026">
        <v>5.8910610000000002E-2</v>
      </c>
      <c r="AH2026">
        <v>3.0504123035318602</v>
      </c>
      <c r="AI2026">
        <v>88.893736877075796</v>
      </c>
      <c r="AJ2026">
        <v>90.826624183943906</v>
      </c>
      <c r="AK2026">
        <v>3.05129853748267</v>
      </c>
      <c r="AL2026">
        <v>78.555530699224803</v>
      </c>
      <c r="AM2026">
        <v>95.616892657564193</v>
      </c>
      <c r="AN2026">
        <v>0.99999997863967105</v>
      </c>
    </row>
    <row r="2027" spans="1:40" x14ac:dyDescent="0.25">
      <c r="A2027" t="str">
        <f>"20190304155056601"</f>
        <v>20190304155056601</v>
      </c>
      <c r="B2027" t="str">
        <f>"1551685856598689"</f>
        <v>1551685856598689</v>
      </c>
      <c r="C2027" t="s">
        <v>40</v>
      </c>
      <c r="D2027">
        <v>4.4891920000000001</v>
      </c>
      <c r="E2027">
        <v>0.53093250000000003</v>
      </c>
      <c r="F2027" t="s">
        <v>53</v>
      </c>
      <c r="G2027">
        <v>0</v>
      </c>
      <c r="H2027">
        <v>0</v>
      </c>
      <c r="I2027">
        <v>0</v>
      </c>
      <c r="J2027">
        <v>-299.32380000000001</v>
      </c>
      <c r="K2027">
        <v>1.11086</v>
      </c>
      <c r="L2027">
        <v>285.18450000000001</v>
      </c>
      <c r="M2027">
        <v>-0.99983909999999998</v>
      </c>
      <c r="N2027">
        <v>-1.4267729999999999E-2</v>
      </c>
      <c r="O2027">
        <v>1.0880010000000001E-2</v>
      </c>
      <c r="P2027">
        <v>-0.97918959999999999</v>
      </c>
      <c r="Q2027">
        <v>0.184284</v>
      </c>
      <c r="R2027">
        <v>-8.5014019999999996E-2</v>
      </c>
      <c r="S2027">
        <v>-3.0518800000000001</v>
      </c>
      <c r="T2027">
        <v>5.9365750000000002E-2</v>
      </c>
      <c r="U2027">
        <v>-9.4909669999999995E-3</v>
      </c>
      <c r="V2027">
        <v>-9.5757369999999994E-2</v>
      </c>
      <c r="W2027">
        <v>0.19817679999999999</v>
      </c>
      <c r="X2027">
        <v>0.97547759999999994</v>
      </c>
      <c r="Y2027">
        <v>-1.3983850000000001E-2</v>
      </c>
      <c r="Z2027">
        <v>4.0306229999999998E-4</v>
      </c>
      <c r="AA2027">
        <v>0.99990210000000002</v>
      </c>
      <c r="AB2027">
        <v>30</v>
      </c>
      <c r="AC2027">
        <v>-3.0518800000000001</v>
      </c>
      <c r="AD2027">
        <v>5.9365750000000002E-2</v>
      </c>
      <c r="AE2027">
        <v>-9.4909669999999995E-3</v>
      </c>
      <c r="AF2027">
        <v>-4.26821172140322E-2</v>
      </c>
      <c r="AG2027">
        <v>5.9365750000000002E-2</v>
      </c>
      <c r="AH2027">
        <v>3.0504418145195</v>
      </c>
      <c r="AI2027">
        <v>88.885195975490703</v>
      </c>
      <c r="AJ2027">
        <v>90.801636533824194</v>
      </c>
      <c r="AK2027">
        <v>3.0513179642855901</v>
      </c>
      <c r="AL2027">
        <v>78.569636911529699</v>
      </c>
      <c r="AM2027">
        <v>95.606454941252295</v>
      </c>
      <c r="AN2027">
        <v>1.0000000330346499</v>
      </c>
    </row>
    <row r="2028" spans="1:40" x14ac:dyDescent="0.25">
      <c r="A2028" t="str">
        <f>"20190304155056619"</f>
        <v>20190304155056619</v>
      </c>
      <c r="B2028" t="str">
        <f>"1551685856608449"</f>
        <v>1551685856608449</v>
      </c>
      <c r="C2028" t="s">
        <v>40</v>
      </c>
      <c r="D2028">
        <v>4.6423489999999896</v>
      </c>
      <c r="E2028">
        <v>0.53152940000000004</v>
      </c>
      <c r="F2028" t="s">
        <v>53</v>
      </c>
      <c r="G2028">
        <v>0</v>
      </c>
      <c r="H2028">
        <v>0</v>
      </c>
      <c r="I2028">
        <v>0</v>
      </c>
      <c r="J2028">
        <v>-299.55079999999998</v>
      </c>
      <c r="K2028">
        <v>1.1108530000000001</v>
      </c>
      <c r="L2028">
        <v>285.18680000000001</v>
      </c>
      <c r="M2028">
        <v>-0.99984130000000004</v>
      </c>
      <c r="N2028">
        <v>-1.4265440000000001E-2</v>
      </c>
      <c r="O2028">
        <v>1.0687769999999999E-2</v>
      </c>
      <c r="P2028">
        <v>-0.97924560000000005</v>
      </c>
      <c r="Q2028">
        <v>0.18423680000000001</v>
      </c>
      <c r="R2028">
        <v>-8.4470920000000005E-2</v>
      </c>
      <c r="S2028">
        <v>-3.0516049999999999</v>
      </c>
      <c r="T2028">
        <v>6.4255709999999994E-2</v>
      </c>
      <c r="U2028">
        <v>-6.408691E-4</v>
      </c>
      <c r="V2028">
        <v>-9.5026609999999997E-2</v>
      </c>
      <c r="W2028">
        <v>0.19812920000000001</v>
      </c>
      <c r="X2028">
        <v>0.9755587</v>
      </c>
      <c r="Y2028">
        <v>-1.0891420000000001E-2</v>
      </c>
      <c r="Z2028">
        <v>4.144269E-4</v>
      </c>
      <c r="AA2028">
        <v>0.99994059999999996</v>
      </c>
      <c r="AB2028">
        <v>30</v>
      </c>
      <c r="AC2028">
        <v>-3.0516049999999999</v>
      </c>
      <c r="AD2028">
        <v>6.4255709999999994E-2</v>
      </c>
      <c r="AE2028">
        <v>-6.408691E-4</v>
      </c>
      <c r="AF2028">
        <v>-3.32442586354154E-2</v>
      </c>
      <c r="AG2028">
        <v>6.4255709999999994E-2</v>
      </c>
      <c r="AH2028">
        <v>3.0500715076839602</v>
      </c>
      <c r="AI2028">
        <v>88.793202745657695</v>
      </c>
      <c r="AJ2028">
        <v>90.624470700327507</v>
      </c>
      <c r="AK2028">
        <v>3.0509293959358201</v>
      </c>
      <c r="AL2028">
        <v>78.572419059928706</v>
      </c>
      <c r="AM2028">
        <v>95.563479860530606</v>
      </c>
      <c r="AN2028">
        <v>1.00000000682321</v>
      </c>
    </row>
    <row r="2029" spans="1:40" x14ac:dyDescent="0.25">
      <c r="A2029" t="str">
        <f>"20190304155056640"</f>
        <v>20190304155056640</v>
      </c>
      <c r="B2029" t="str">
        <f>"1551685856628945"</f>
        <v>1551685856628945</v>
      </c>
      <c r="C2029" t="s">
        <v>40</v>
      </c>
      <c r="D2029">
        <v>4.5103900000000001</v>
      </c>
      <c r="E2029">
        <v>0.53219459999999996</v>
      </c>
      <c r="F2029" t="s">
        <v>53</v>
      </c>
      <c r="G2029">
        <v>0</v>
      </c>
      <c r="H2029">
        <v>0</v>
      </c>
      <c r="I2029">
        <v>0</v>
      </c>
      <c r="J2029">
        <v>-299.84690000000001</v>
      </c>
      <c r="K2029">
        <v>1.110852</v>
      </c>
      <c r="L2029">
        <v>285.18970000000002</v>
      </c>
      <c r="M2029">
        <v>-0.99984379999999995</v>
      </c>
      <c r="N2029">
        <v>-1.426232E-2</v>
      </c>
      <c r="O2029">
        <v>1.044135E-2</v>
      </c>
      <c r="P2029">
        <v>-0.9794254</v>
      </c>
      <c r="Q2029">
        <v>0.18325050000000001</v>
      </c>
      <c r="R2029">
        <v>-8.4528160000000005E-2</v>
      </c>
      <c r="S2029">
        <v>-3.0515140000000001</v>
      </c>
      <c r="T2029">
        <v>6.6402550000000005E-2</v>
      </c>
      <c r="U2029">
        <v>5.2795409999999996E-3</v>
      </c>
      <c r="V2029">
        <v>-9.4842079999999995E-2</v>
      </c>
      <c r="W2029">
        <v>0.1971434</v>
      </c>
      <c r="X2029">
        <v>0.97577630000000004</v>
      </c>
      <c r="Y2029">
        <v>-8.7048730000000001E-3</v>
      </c>
      <c r="Z2029">
        <v>4.0869570000000001E-4</v>
      </c>
      <c r="AA2029">
        <v>0.99996200000000002</v>
      </c>
      <c r="AB2029">
        <v>30</v>
      </c>
      <c r="AC2029">
        <v>-3.0515140000000001</v>
      </c>
      <c r="AD2029">
        <v>6.6402550000000005E-2</v>
      </c>
      <c r="AE2029">
        <v>5.2795409999999996E-3</v>
      </c>
      <c r="AF2029">
        <v>-2.65733297004015E-2</v>
      </c>
      <c r="AG2029">
        <v>6.6402550000000005E-2</v>
      </c>
      <c r="AH2029">
        <v>3.04995853845812</v>
      </c>
      <c r="AI2029">
        <v>88.752822200829499</v>
      </c>
      <c r="AJ2029">
        <v>90.499187479508294</v>
      </c>
      <c r="AK2029">
        <v>3.0507970314020301</v>
      </c>
      <c r="AL2029">
        <v>78.630037252494603</v>
      </c>
      <c r="AM2029">
        <v>95.551513314824902</v>
      </c>
      <c r="AN2029">
        <v>0.99999996397198698</v>
      </c>
    </row>
    <row r="2030" spans="1:40" x14ac:dyDescent="0.25">
      <c r="A2030" t="str">
        <f>"20190304155056664"</f>
        <v>20190304155056664</v>
      </c>
      <c r="B2030" t="str">
        <f>"1551685856658226"</f>
        <v>1551685856658226</v>
      </c>
      <c r="C2030" t="s">
        <v>40</v>
      </c>
      <c r="D2030">
        <v>4.500845</v>
      </c>
      <c r="E2030">
        <v>0.53292269999999997</v>
      </c>
      <c r="F2030" t="s">
        <v>53</v>
      </c>
      <c r="G2030">
        <v>0</v>
      </c>
      <c r="H2030">
        <v>0</v>
      </c>
      <c r="I2030">
        <v>0</v>
      </c>
      <c r="J2030">
        <v>-300.15820000000002</v>
      </c>
      <c r="K2030">
        <v>1.110851</v>
      </c>
      <c r="L2030">
        <v>285.1927</v>
      </c>
      <c r="M2030">
        <v>-0.99984649999999997</v>
      </c>
      <c r="N2030">
        <v>-1.4259050000000001E-2</v>
      </c>
      <c r="O2030">
        <v>1.019165E-2</v>
      </c>
      <c r="P2030">
        <v>-0.97955599999999998</v>
      </c>
      <c r="Q2030">
        <v>0.18241640000000001</v>
      </c>
      <c r="R2030">
        <v>-8.4820090000000001E-2</v>
      </c>
      <c r="S2030">
        <v>-3.0511780000000002</v>
      </c>
      <c r="T2030">
        <v>6.7944409999999997E-2</v>
      </c>
      <c r="U2030">
        <v>1.004028E-2</v>
      </c>
      <c r="V2030">
        <v>-9.4887579999999999E-2</v>
      </c>
      <c r="W2030">
        <v>0.19631019999999999</v>
      </c>
      <c r="X2030">
        <v>0.97593989999999997</v>
      </c>
      <c r="Y2030">
        <v>-6.8947770000000004E-3</v>
      </c>
      <c r="Z2030">
        <v>3.9981700000000001E-4</v>
      </c>
      <c r="AA2030">
        <v>0.99997619999999998</v>
      </c>
      <c r="AB2030">
        <v>30</v>
      </c>
      <c r="AC2030">
        <v>-3.0511780000000002</v>
      </c>
      <c r="AD2030">
        <v>6.7944409999999997E-2</v>
      </c>
      <c r="AE2030">
        <v>1.004028E-2</v>
      </c>
      <c r="AF2030">
        <v>-2.1049500450760001E-2</v>
      </c>
      <c r="AG2030">
        <v>6.7944409999999997E-2</v>
      </c>
      <c r="AH2030">
        <v>3.0496096292252002</v>
      </c>
      <c r="AI2030">
        <v>88.723708348450401</v>
      </c>
      <c r="AJ2030">
        <v>90.395469758690794</v>
      </c>
      <c r="AK2030">
        <v>3.0504390528221501</v>
      </c>
      <c r="AL2030">
        <v>78.678728208179393</v>
      </c>
      <c r="AM2030">
        <v>95.553234733627207</v>
      </c>
      <c r="AN2030">
        <v>1.00000001793715</v>
      </c>
    </row>
    <row r="2031" spans="1:40" x14ac:dyDescent="0.25">
      <c r="A2031" t="str">
        <f>"20190304155056686"</f>
        <v>20190304155056686</v>
      </c>
      <c r="B2031" t="str">
        <f>"1551685856678724"</f>
        <v>1551685856678724</v>
      </c>
      <c r="C2031" t="s">
        <v>40</v>
      </c>
      <c r="D2031">
        <v>4.4390460000000003</v>
      </c>
      <c r="E2031">
        <v>0.5332479</v>
      </c>
      <c r="F2031" t="s">
        <v>53</v>
      </c>
      <c r="G2031">
        <v>0</v>
      </c>
      <c r="H2031">
        <v>0</v>
      </c>
      <c r="I2031">
        <v>0</v>
      </c>
      <c r="J2031">
        <v>-300.45269999999999</v>
      </c>
      <c r="K2031">
        <v>1.110838</v>
      </c>
      <c r="L2031">
        <v>285.19540000000001</v>
      </c>
      <c r="M2031">
        <v>-0.99984879999999998</v>
      </c>
      <c r="N2031">
        <v>-1.425601E-2</v>
      </c>
      <c r="O2031">
        <v>9.9690430000000003E-3</v>
      </c>
      <c r="P2031">
        <v>-0.97954010000000002</v>
      </c>
      <c r="Q2031">
        <v>0.1822183</v>
      </c>
      <c r="R2031">
        <v>-8.5429649999999996E-2</v>
      </c>
      <c r="S2031">
        <v>-3.050751</v>
      </c>
      <c r="T2031">
        <v>7.0645089999999994E-2</v>
      </c>
      <c r="U2031">
        <v>1.4770510000000001E-2</v>
      </c>
      <c r="V2031">
        <v>-9.5274440000000002E-2</v>
      </c>
      <c r="W2031">
        <v>0.19611110000000001</v>
      </c>
      <c r="X2031">
        <v>0.97594230000000004</v>
      </c>
      <c r="Y2031">
        <v>-5.1211340000000003E-3</v>
      </c>
      <c r="Z2031">
        <v>3.9568809999999998E-4</v>
      </c>
      <c r="AA2031">
        <v>0.99998679999999995</v>
      </c>
      <c r="AB2031">
        <v>30</v>
      </c>
      <c r="AC2031">
        <v>-3.050751</v>
      </c>
      <c r="AD2031">
        <v>7.0645089999999994E-2</v>
      </c>
      <c r="AE2031">
        <v>1.4770510000000001E-2</v>
      </c>
      <c r="AF2031">
        <v>-1.56379940018074E-2</v>
      </c>
      <c r="AG2031">
        <v>7.0645089999999994E-2</v>
      </c>
      <c r="AH2031">
        <v>3.0491116493541002</v>
      </c>
      <c r="AI2031">
        <v>88.672764816740099</v>
      </c>
      <c r="AJ2031">
        <v>90.293850571438995</v>
      </c>
      <c r="AK2031">
        <v>3.0499700204796101</v>
      </c>
      <c r="AL2031">
        <v>78.690362621560894</v>
      </c>
      <c r="AM2031">
        <v>95.575719457550093</v>
      </c>
      <c r="AN2031">
        <v>1.0000000776949001</v>
      </c>
    </row>
    <row r="2032" spans="1:40" x14ac:dyDescent="0.25">
      <c r="A2032" t="str">
        <f>"20190304155056708"</f>
        <v>20190304155056708</v>
      </c>
      <c r="B2032" t="str">
        <f>"1551685856698241"</f>
        <v>1551685856698241</v>
      </c>
      <c r="C2032" t="s">
        <v>40</v>
      </c>
      <c r="D2032">
        <v>4.4178009999999999</v>
      </c>
      <c r="E2032">
        <v>0.5333135</v>
      </c>
      <c r="F2032" t="s">
        <v>53</v>
      </c>
      <c r="G2032">
        <v>0</v>
      </c>
      <c r="H2032">
        <v>0</v>
      </c>
      <c r="I2032">
        <v>0</v>
      </c>
      <c r="J2032">
        <v>-300.7516</v>
      </c>
      <c r="K2032">
        <v>1.1108290000000001</v>
      </c>
      <c r="L2032">
        <v>285.19819999999999</v>
      </c>
      <c r="M2032">
        <v>-0.99985080000000004</v>
      </c>
      <c r="N2032">
        <v>-1.4252900000000001E-2</v>
      </c>
      <c r="O2032">
        <v>9.7618329999999993E-3</v>
      </c>
      <c r="P2032">
        <v>-0.97964470000000003</v>
      </c>
      <c r="Q2032">
        <v>0.18159139999999999</v>
      </c>
      <c r="R2032">
        <v>-8.556271E-2</v>
      </c>
      <c r="S2032">
        <v>-3.0507810000000002</v>
      </c>
      <c r="T2032">
        <v>7.1295499999999998E-2</v>
      </c>
      <c r="U2032">
        <v>1.5716549999999999E-2</v>
      </c>
      <c r="V2032">
        <v>-9.5199049999999993E-2</v>
      </c>
      <c r="W2032">
        <v>0.1954863</v>
      </c>
      <c r="X2032">
        <v>0.97607489999999997</v>
      </c>
      <c r="Y2032">
        <v>-4.603963E-3</v>
      </c>
      <c r="Z2032">
        <v>3.881809E-4</v>
      </c>
      <c r="AA2032">
        <v>0.99998929999999997</v>
      </c>
      <c r="AB2032">
        <v>30</v>
      </c>
      <c r="AC2032">
        <v>-3.0507810000000002</v>
      </c>
      <c r="AD2032">
        <v>7.1295499999999998E-2</v>
      </c>
      <c r="AE2032">
        <v>1.5716549999999999E-2</v>
      </c>
      <c r="AF2032">
        <v>-1.40607592560244E-2</v>
      </c>
      <c r="AG2032">
        <v>7.1295499999999998E-2</v>
      </c>
      <c r="AH2032">
        <v>3.0491238479546499</v>
      </c>
      <c r="AI2032">
        <v>88.660551740865003</v>
      </c>
      <c r="AJ2032">
        <v>90.264212439972795</v>
      </c>
      <c r="AK2032">
        <v>3.0499896710377401</v>
      </c>
      <c r="AL2032">
        <v>78.726866510407305</v>
      </c>
      <c r="AM2032">
        <v>95.570583092965194</v>
      </c>
      <c r="AN2032">
        <v>0.99999998150930103</v>
      </c>
    </row>
    <row r="2033" spans="1:40" x14ac:dyDescent="0.25">
      <c r="A2033" t="str">
        <f>"20190304155056730"</f>
        <v>20190304155056730</v>
      </c>
      <c r="B2033" t="str">
        <f>"1551685856718737"</f>
        <v>1551685856718737</v>
      </c>
      <c r="C2033" t="s">
        <v>40</v>
      </c>
      <c r="D2033">
        <v>4.4690190000000003</v>
      </c>
      <c r="E2033">
        <v>0.53331619999999902</v>
      </c>
      <c r="F2033" t="s">
        <v>53</v>
      </c>
      <c r="G2033">
        <v>0</v>
      </c>
      <c r="H2033">
        <v>0</v>
      </c>
      <c r="I2033">
        <v>0</v>
      </c>
      <c r="J2033">
        <v>-301.04770000000002</v>
      </c>
      <c r="K2033">
        <v>1.110814</v>
      </c>
      <c r="L2033">
        <v>285.20089999999999</v>
      </c>
      <c r="M2033">
        <v>-0.99985270000000004</v>
      </c>
      <c r="N2033">
        <v>-1.424981E-2</v>
      </c>
      <c r="O2033">
        <v>9.5782750000000007E-3</v>
      </c>
      <c r="P2033">
        <v>-0.97972429999999999</v>
      </c>
      <c r="Q2033">
        <v>0.1813815</v>
      </c>
      <c r="R2033">
        <v>-8.5096350000000001E-2</v>
      </c>
      <c r="S2033">
        <v>-3.0522770000000001</v>
      </c>
      <c r="T2033">
        <v>6.210852E-2</v>
      </c>
      <c r="U2033">
        <v>1.6174319999999999E-2</v>
      </c>
      <c r="V2033">
        <v>-9.4545840000000006E-2</v>
      </c>
      <c r="W2033">
        <v>0.19527829999999999</v>
      </c>
      <c r="X2033">
        <v>0.9761801</v>
      </c>
      <c r="Y2033">
        <v>-4.2743340000000003E-3</v>
      </c>
      <c r="Z2033">
        <v>3.4437500000000001E-4</v>
      </c>
      <c r="AA2033">
        <v>0.99999079999999996</v>
      </c>
      <c r="AB2033">
        <v>30</v>
      </c>
      <c r="AC2033">
        <v>-3.0522770000000001</v>
      </c>
      <c r="AD2033">
        <v>6.210852E-2</v>
      </c>
      <c r="AE2033">
        <v>1.6174319999999999E-2</v>
      </c>
      <c r="AF2033">
        <v>-1.3059528872479499E-2</v>
      </c>
      <c r="AG2033">
        <v>6.210852E-2</v>
      </c>
      <c r="AH2033">
        <v>3.0510286452839699</v>
      </c>
      <c r="AI2033">
        <v>88.833825416113001</v>
      </c>
      <c r="AJ2033">
        <v>90.245245588988695</v>
      </c>
      <c r="AK2033">
        <v>3.0516886823354601</v>
      </c>
      <c r="AL2033">
        <v>78.739019114739193</v>
      </c>
      <c r="AM2033">
        <v>95.532005870058995</v>
      </c>
      <c r="AN2033">
        <v>1.0000000589741</v>
      </c>
    </row>
    <row r="2034" spans="1:40" x14ac:dyDescent="0.25">
      <c r="A2034" t="str">
        <f>"20190304155056753"</f>
        <v>20190304155056753</v>
      </c>
      <c r="B2034" t="str">
        <f>"1551685856748994"</f>
        <v>1551685856748994</v>
      </c>
      <c r="C2034" t="s">
        <v>40</v>
      </c>
      <c r="D2034">
        <v>4.4209129999999996</v>
      </c>
      <c r="E2034">
        <v>0.53353209999999995</v>
      </c>
      <c r="F2034" t="s">
        <v>53</v>
      </c>
      <c r="G2034">
        <v>0</v>
      </c>
      <c r="H2034">
        <v>0</v>
      </c>
      <c r="I2034">
        <v>0</v>
      </c>
      <c r="J2034">
        <v>-301.3612</v>
      </c>
      <c r="K2034">
        <v>1.1108020000000001</v>
      </c>
      <c r="L2034">
        <v>285.20359999999999</v>
      </c>
      <c r="M2034">
        <v>-0.99985440000000003</v>
      </c>
      <c r="N2034">
        <v>-1.42465E-2</v>
      </c>
      <c r="O2034">
        <v>9.4043259999999993E-3</v>
      </c>
      <c r="P2034">
        <v>-0.97961410000000004</v>
      </c>
      <c r="Q2034">
        <v>0.18218380000000001</v>
      </c>
      <c r="R2034">
        <v>-8.4649000000000002E-2</v>
      </c>
      <c r="S2034">
        <v>-3.0534970000000001</v>
      </c>
      <c r="T2034">
        <v>5.4675340000000003E-2</v>
      </c>
      <c r="U2034">
        <v>1.7822270000000001E-2</v>
      </c>
      <c r="V2034">
        <v>-9.3919310000000006E-2</v>
      </c>
      <c r="W2034">
        <v>0.19608020000000001</v>
      </c>
      <c r="X2034">
        <v>0.97607980000000005</v>
      </c>
      <c r="Y2034">
        <v>-3.5638269999999999E-3</v>
      </c>
      <c r="Z2034">
        <v>3.0885739999999997E-4</v>
      </c>
      <c r="AA2034">
        <v>0.99999360000000004</v>
      </c>
      <c r="AB2034">
        <v>30</v>
      </c>
      <c r="AC2034">
        <v>-3.0534970000000001</v>
      </c>
      <c r="AD2034">
        <v>5.4675340000000003E-2</v>
      </c>
      <c r="AE2034">
        <v>1.7822270000000001E-2</v>
      </c>
      <c r="AF2034">
        <v>-1.0894018173281001E-2</v>
      </c>
      <c r="AG2034">
        <v>5.4675340000000003E-2</v>
      </c>
      <c r="AH2034">
        <v>3.0525508957444401</v>
      </c>
      <c r="AI2034">
        <v>88.973870887057799</v>
      </c>
      <c r="AJ2034">
        <v>90.204477708854895</v>
      </c>
      <c r="AK2034">
        <v>3.0530599475847602</v>
      </c>
      <c r="AL2034">
        <v>78.692167554832807</v>
      </c>
      <c r="AM2034">
        <v>95.496133169380201</v>
      </c>
      <c r="AN2034">
        <v>1.00000002879547</v>
      </c>
    </row>
    <row r="2035" spans="1:40" x14ac:dyDescent="0.25">
      <c r="A2035" t="str">
        <f>"20190304155056775"</f>
        <v>20190304155056775</v>
      </c>
      <c r="B2035" t="str">
        <f>"1551685856768516"</f>
        <v>1551685856768516</v>
      </c>
      <c r="C2035" t="s">
        <v>40</v>
      </c>
      <c r="D2035">
        <v>4.4799689999999996</v>
      </c>
      <c r="E2035">
        <v>0.53351440000000006</v>
      </c>
      <c r="F2035" t="s">
        <v>53</v>
      </c>
      <c r="G2035">
        <v>0</v>
      </c>
      <c r="H2035">
        <v>0</v>
      </c>
      <c r="I2035">
        <v>0</v>
      </c>
      <c r="J2035">
        <v>-301.64699999999999</v>
      </c>
      <c r="K2035">
        <v>1.1107880000000001</v>
      </c>
      <c r="L2035">
        <v>285.20620000000002</v>
      </c>
      <c r="M2035">
        <v>-0.99985570000000001</v>
      </c>
      <c r="N2035">
        <v>-1.4243520000000001E-2</v>
      </c>
      <c r="O2035">
        <v>9.2649640000000005E-3</v>
      </c>
      <c r="P2035">
        <v>-0.97962210000000005</v>
      </c>
      <c r="Q2035">
        <v>0.1823273</v>
      </c>
      <c r="R2035">
        <v>-8.4247600000000006E-2</v>
      </c>
      <c r="S2035">
        <v>-3.05545</v>
      </c>
      <c r="T2035">
        <v>4.770398E-2</v>
      </c>
      <c r="U2035">
        <v>2.139282E-2</v>
      </c>
      <c r="V2035">
        <v>-9.3374780000000004E-2</v>
      </c>
      <c r="W2035">
        <v>0.1962247</v>
      </c>
      <c r="X2035">
        <v>0.97610300000000005</v>
      </c>
      <c r="Y2035">
        <v>-2.2604669999999999E-3</v>
      </c>
      <c r="Z2035">
        <v>2.7814130000000003E-4</v>
      </c>
      <c r="AA2035">
        <v>0.99999740000000004</v>
      </c>
      <c r="AB2035">
        <v>30</v>
      </c>
      <c r="AC2035">
        <v>-3.05545</v>
      </c>
      <c r="AD2035">
        <v>4.770398E-2</v>
      </c>
      <c r="AE2035">
        <v>2.139282E-2</v>
      </c>
      <c r="AF2035">
        <v>-6.9179164973097998E-3</v>
      </c>
      <c r="AG2035">
        <v>4.770398E-2</v>
      </c>
      <c r="AH2035">
        <v>3.0547724664496698</v>
      </c>
      <c r="AI2035">
        <v>89.105331871948394</v>
      </c>
      <c r="AJ2035">
        <v>90.129753277889293</v>
      </c>
      <c r="AK2035">
        <v>3.0551527538006198</v>
      </c>
      <c r="AL2035">
        <v>78.683724242100993</v>
      </c>
      <c r="AM2035">
        <v>95.464331763932705</v>
      </c>
      <c r="AN2035">
        <v>1.0000000245195599</v>
      </c>
    </row>
    <row r="2036" spans="1:40" x14ac:dyDescent="0.25">
      <c r="A2036" t="str">
        <f>"20190304155056797"</f>
        <v>20190304155056797</v>
      </c>
      <c r="B2036" t="str">
        <f>"1551685856789013"</f>
        <v>1551685856789013</v>
      </c>
      <c r="C2036" t="s">
        <v>40</v>
      </c>
      <c r="D2036">
        <v>4.6956639999999998</v>
      </c>
      <c r="E2036">
        <v>0.53360569999999996</v>
      </c>
      <c r="F2036" t="s">
        <v>53</v>
      </c>
      <c r="G2036">
        <v>0</v>
      </c>
      <c r="H2036">
        <v>0</v>
      </c>
      <c r="I2036">
        <v>0</v>
      </c>
      <c r="J2036">
        <v>-301.93799999999999</v>
      </c>
      <c r="K2036">
        <v>1.1107750000000001</v>
      </c>
      <c r="L2036">
        <v>285.20870000000002</v>
      </c>
      <c r="M2036">
        <v>-0.99985690000000005</v>
      </c>
      <c r="N2036">
        <v>-1.42405E-2</v>
      </c>
      <c r="O2036">
        <v>9.1439669999999994E-3</v>
      </c>
      <c r="P2036">
        <v>-0.97966949999999997</v>
      </c>
      <c r="Q2036">
        <v>0.18209649999999999</v>
      </c>
      <c r="R2036">
        <v>-8.4196899999999894E-2</v>
      </c>
      <c r="S2036">
        <v>-3.0563660000000001</v>
      </c>
      <c r="T2036">
        <v>4.274356E-2</v>
      </c>
      <c r="U2036">
        <v>2.2369380000000001E-2</v>
      </c>
      <c r="V2036">
        <v>-9.3198089999999997E-2</v>
      </c>
      <c r="W2036">
        <v>0.19599559999999999</v>
      </c>
      <c r="X2036">
        <v>0.97616590000000003</v>
      </c>
      <c r="Y2036">
        <v>-1.822564E-3</v>
      </c>
      <c r="Z2036">
        <v>2.5784359999999999E-4</v>
      </c>
      <c r="AA2036">
        <v>0.99999830000000001</v>
      </c>
      <c r="AB2036">
        <v>30</v>
      </c>
      <c r="AC2036">
        <v>-3.0563660000000001</v>
      </c>
      <c r="AD2036">
        <v>4.274356E-2</v>
      </c>
      <c r="AE2036">
        <v>2.2369380000000001E-2</v>
      </c>
      <c r="AF2036">
        <v>-5.5806048537892202E-3</v>
      </c>
      <c r="AG2036">
        <v>4.274356E-2</v>
      </c>
      <c r="AH2036">
        <v>3.0558451236578601</v>
      </c>
      <c r="AI2036">
        <v>89.198630261294795</v>
      </c>
      <c r="AJ2036">
        <v>90.104633820387093</v>
      </c>
      <c r="AK2036">
        <v>3.0561491414614501</v>
      </c>
      <c r="AL2036">
        <v>78.697110497627193</v>
      </c>
      <c r="AM2036">
        <v>95.453704881182304</v>
      </c>
      <c r="AN2036">
        <v>1.0000000117609</v>
      </c>
    </row>
    <row r="2037" spans="1:40" x14ac:dyDescent="0.25">
      <c r="A2037" t="str">
        <f>"20190304155056820"</f>
        <v>20190304155056820</v>
      </c>
      <c r="B2037" t="str">
        <f>"1551685856808533"</f>
        <v>1551685856808533</v>
      </c>
      <c r="C2037" t="s">
        <v>40</v>
      </c>
      <c r="D2037">
        <v>4.4765110000000004</v>
      </c>
      <c r="E2037">
        <v>0.53367900000000001</v>
      </c>
      <c r="F2037" t="s">
        <v>53</v>
      </c>
      <c r="G2037">
        <v>0</v>
      </c>
      <c r="H2037">
        <v>0</v>
      </c>
      <c r="I2037">
        <v>0</v>
      </c>
      <c r="J2037">
        <v>-302.2364</v>
      </c>
      <c r="K2037">
        <v>1.1107579999999999</v>
      </c>
      <c r="L2037">
        <v>285.21129999999999</v>
      </c>
      <c r="M2037">
        <v>-0.99985780000000002</v>
      </c>
      <c r="N2037">
        <v>-1.4237319999999999E-2</v>
      </c>
      <c r="O2037">
        <v>9.0407439999999999E-3</v>
      </c>
      <c r="P2037">
        <v>-0.97975440000000003</v>
      </c>
      <c r="Q2037">
        <v>0.18154300000000001</v>
      </c>
      <c r="R2037">
        <v>-8.4399899999999903E-2</v>
      </c>
      <c r="S2037">
        <v>-3.0568849999999999</v>
      </c>
      <c r="T2037">
        <v>3.9797190000000003E-2</v>
      </c>
      <c r="U2037">
        <v>2.3651120000000001E-2</v>
      </c>
      <c r="V2037">
        <v>-9.3293269999999998E-2</v>
      </c>
      <c r="W2037">
        <v>0.19544420000000001</v>
      </c>
      <c r="X2037">
        <v>0.97626729999999995</v>
      </c>
      <c r="Y2037">
        <v>-1.301588E-3</v>
      </c>
      <c r="Z2037">
        <v>2.4560890000000001E-4</v>
      </c>
      <c r="AA2037">
        <v>0.99999910000000003</v>
      </c>
      <c r="AB2037">
        <v>30</v>
      </c>
      <c r="AC2037">
        <v>-3.0568849999999999</v>
      </c>
      <c r="AD2037">
        <v>3.9797190000000003E-2</v>
      </c>
      <c r="AE2037">
        <v>2.3651120000000001E-2</v>
      </c>
      <c r="AF2037">
        <v>-3.9884861515176997E-3</v>
      </c>
      <c r="AG2037">
        <v>3.9797190000000003E-2</v>
      </c>
      <c r="AH2037">
        <v>3.0564558794646999</v>
      </c>
      <c r="AI2037">
        <v>89.254011729878798</v>
      </c>
      <c r="AJ2037">
        <v>90.0747674111539</v>
      </c>
      <c r="AK2037">
        <v>3.0567175642293098</v>
      </c>
      <c r="AL2037">
        <v>78.729325807519402</v>
      </c>
      <c r="AM2037">
        <v>95.458677331426202</v>
      </c>
      <c r="AN2037">
        <v>0.99999995529510999</v>
      </c>
    </row>
    <row r="2038" spans="1:40" x14ac:dyDescent="0.25">
      <c r="A2038" t="str">
        <f>"20190304155056841"</f>
        <v>20190304155056841</v>
      </c>
      <c r="B2038" t="str">
        <f>"1551685856838785"</f>
        <v>1551685856838785</v>
      </c>
      <c r="C2038" t="s">
        <v>40</v>
      </c>
      <c r="D2038">
        <v>4.4720950000000004</v>
      </c>
      <c r="E2038">
        <v>0.53360189999999996</v>
      </c>
      <c r="F2038" t="s">
        <v>53</v>
      </c>
      <c r="G2038">
        <v>0</v>
      </c>
      <c r="H2038">
        <v>0</v>
      </c>
      <c r="I2038">
        <v>0</v>
      </c>
      <c r="J2038">
        <v>-302.52050000000003</v>
      </c>
      <c r="K2038">
        <v>1.1107400000000001</v>
      </c>
      <c r="L2038">
        <v>285.21379999999999</v>
      </c>
      <c r="M2038">
        <v>-0.99985869999999999</v>
      </c>
      <c r="N2038">
        <v>-1.423428E-2</v>
      </c>
      <c r="O2038">
        <v>8.9591359999999995E-3</v>
      </c>
      <c r="P2038">
        <v>-0.979819</v>
      </c>
      <c r="Q2038">
        <v>0.1810426</v>
      </c>
      <c r="R2038">
        <v>-8.4726739999999995E-2</v>
      </c>
      <c r="S2038">
        <v>-3.057312</v>
      </c>
      <c r="T2038">
        <v>3.6325450000000002E-2</v>
      </c>
      <c r="U2038">
        <v>2.4078370000000002E-2</v>
      </c>
      <c r="V2038">
        <v>-9.3533640000000001E-2</v>
      </c>
      <c r="W2038">
        <v>0.19494520000000001</v>
      </c>
      <c r="X2038">
        <v>0.97634410000000005</v>
      </c>
      <c r="Y2038">
        <v>-1.081619E-3</v>
      </c>
      <c r="Z2038">
        <v>2.326912E-4</v>
      </c>
      <c r="AA2038">
        <v>0.99999939999999998</v>
      </c>
      <c r="AB2038">
        <v>30</v>
      </c>
      <c r="AC2038">
        <v>-3.057312</v>
      </c>
      <c r="AD2038">
        <v>3.6325450000000002E-2</v>
      </c>
      <c r="AE2038">
        <v>2.4078370000000002E-2</v>
      </c>
      <c r="AF2038">
        <v>-3.31577369519476E-3</v>
      </c>
      <c r="AG2038">
        <v>3.6325450000000002E-2</v>
      </c>
      <c r="AH2038">
        <v>3.0569734903909702</v>
      </c>
      <c r="AI2038">
        <v>89.319197302786307</v>
      </c>
      <c r="AJ2038">
        <v>90.062146356404298</v>
      </c>
      <c r="AK2038">
        <v>3.0571911051856202</v>
      </c>
      <c r="AL2038">
        <v>78.758477506768799</v>
      </c>
      <c r="AM2038">
        <v>95.4722284598827</v>
      </c>
      <c r="AN2038">
        <v>0.99999998720974903</v>
      </c>
    </row>
    <row r="2039" spans="1:40" x14ac:dyDescent="0.25">
      <c r="A2039" t="str">
        <f>"20190304155056864"</f>
        <v>20190304155056864</v>
      </c>
      <c r="B2039" t="str">
        <f>"1551685856858305"</f>
        <v>1551685856858305</v>
      </c>
      <c r="C2039" t="s">
        <v>40</v>
      </c>
      <c r="D2039">
        <v>4.5119199999999999</v>
      </c>
      <c r="E2039">
        <v>0.5335105</v>
      </c>
      <c r="F2039" t="s">
        <v>53</v>
      </c>
      <c r="G2039">
        <v>0</v>
      </c>
      <c r="H2039">
        <v>0</v>
      </c>
      <c r="I2039">
        <v>0</v>
      </c>
      <c r="J2039">
        <v>-302.82380000000001</v>
      </c>
      <c r="K2039">
        <v>1.110716</v>
      </c>
      <c r="L2039">
        <v>285.21640000000002</v>
      </c>
      <c r="M2039">
        <v>-0.99985919999999895</v>
      </c>
      <c r="N2039">
        <v>-1.4230990000000001E-2</v>
      </c>
      <c r="O2039">
        <v>8.8870579999999998E-3</v>
      </c>
      <c r="P2039">
        <v>-0.97991340000000005</v>
      </c>
      <c r="Q2039">
        <v>0.18020829999999999</v>
      </c>
      <c r="R2039">
        <v>-8.5408769999999995E-2</v>
      </c>
      <c r="S2039">
        <v>-3.058319</v>
      </c>
      <c r="T2039">
        <v>2.9533150000000001E-2</v>
      </c>
      <c r="U2039">
        <v>2.2827150000000001E-2</v>
      </c>
      <c r="V2039">
        <v>-9.4139340000000002E-2</v>
      </c>
      <c r="W2039">
        <v>0.19411220000000001</v>
      </c>
      <c r="X2039">
        <v>0.97645190000000004</v>
      </c>
      <c r="Y2039">
        <v>-1.4217570000000001E-3</v>
      </c>
      <c r="Z2039">
        <v>2.090332E-4</v>
      </c>
      <c r="AA2039">
        <v>0.99999899999999997</v>
      </c>
      <c r="AB2039">
        <v>30</v>
      </c>
      <c r="AC2039">
        <v>-3.058319</v>
      </c>
      <c r="AD2039">
        <v>2.9533150000000001E-2</v>
      </c>
      <c r="AE2039">
        <v>2.2827150000000001E-2</v>
      </c>
      <c r="AF2039">
        <v>-4.35555754259452E-3</v>
      </c>
      <c r="AG2039">
        <v>2.9533150000000001E-2</v>
      </c>
      <c r="AH2039">
        <v>3.0581159303920402</v>
      </c>
      <c r="AI2039">
        <v>89.446695098680607</v>
      </c>
      <c r="AJ2039">
        <v>90.081604131941006</v>
      </c>
      <c r="AK2039">
        <v>3.0582616339266999</v>
      </c>
      <c r="AL2039">
        <v>78.807134961834507</v>
      </c>
      <c r="AM2039">
        <v>95.506843747924094</v>
      </c>
      <c r="AN2039">
        <v>1.0000000372690401</v>
      </c>
    </row>
    <row r="2040" spans="1:40" x14ac:dyDescent="0.25">
      <c r="A2040" t="str">
        <f>"20190304155056886"</f>
        <v>20190304155056886</v>
      </c>
      <c r="B2040" t="str">
        <f>"1551685856878806"</f>
        <v>1551685856878806</v>
      </c>
      <c r="C2040" t="s">
        <v>40</v>
      </c>
      <c r="D2040">
        <v>4.7450729999999997</v>
      </c>
      <c r="E2040">
        <v>0.53345369999999903</v>
      </c>
      <c r="F2040" t="s">
        <v>53</v>
      </c>
      <c r="G2040">
        <v>0</v>
      </c>
      <c r="H2040">
        <v>0</v>
      </c>
      <c r="I2040">
        <v>0</v>
      </c>
      <c r="J2040">
        <v>-303.12430000000001</v>
      </c>
      <c r="K2040">
        <v>1.110703</v>
      </c>
      <c r="L2040">
        <v>285.21899999999999</v>
      </c>
      <c r="M2040">
        <v>-0.99985979999999997</v>
      </c>
      <c r="N2040">
        <v>-1.4227760000000001E-2</v>
      </c>
      <c r="O2040">
        <v>8.8272019999999993E-3</v>
      </c>
      <c r="P2040">
        <v>-0.98009420000000003</v>
      </c>
      <c r="Q2040">
        <v>0.1788719</v>
      </c>
      <c r="R2040">
        <v>-8.6140889999999998E-2</v>
      </c>
      <c r="S2040">
        <v>-3.0588989999999998</v>
      </c>
      <c r="T2040">
        <v>2.3637769999999999E-2</v>
      </c>
      <c r="U2040">
        <v>2.0080569999999999E-2</v>
      </c>
      <c r="V2040">
        <v>-9.4808680000000006E-2</v>
      </c>
      <c r="W2040">
        <v>0.19277749999999999</v>
      </c>
      <c r="X2040">
        <v>0.97665150000000001</v>
      </c>
      <c r="Y2040">
        <v>-2.2615930000000001E-3</v>
      </c>
      <c r="Z2040">
        <v>1.864514E-4</v>
      </c>
      <c r="AA2040">
        <v>0.99999740000000004</v>
      </c>
      <c r="AB2040">
        <v>30</v>
      </c>
      <c r="AC2040">
        <v>-3.0588989999999998</v>
      </c>
      <c r="AD2040">
        <v>2.3637769999999999E-2</v>
      </c>
      <c r="AE2040">
        <v>2.0080569999999999E-2</v>
      </c>
      <c r="AF2040">
        <v>-6.9240522173055399E-3</v>
      </c>
      <c r="AG2040">
        <v>2.3637769999999999E-2</v>
      </c>
      <c r="AH2040">
        <v>3.05877442625899</v>
      </c>
      <c r="AI2040">
        <v>89.5572363828731</v>
      </c>
      <c r="AJ2040">
        <v>90.129698446591604</v>
      </c>
      <c r="AK2040">
        <v>3.05887359617976</v>
      </c>
      <c r="AL2040">
        <v>78.885079529218899</v>
      </c>
      <c r="AM2040">
        <v>95.544628381775397</v>
      </c>
      <c r="AN2040">
        <v>1.00000000138092</v>
      </c>
    </row>
    <row r="2041" spans="1:40" x14ac:dyDescent="0.25">
      <c r="A2041" t="str">
        <f>"20190304155056910"</f>
        <v>20190304155056910</v>
      </c>
      <c r="B2041" t="str">
        <f>"1551685856898343"</f>
        <v>1551685856898343</v>
      </c>
      <c r="C2041" t="s">
        <v>40</v>
      </c>
      <c r="D2041">
        <v>4.5366299999999997</v>
      </c>
      <c r="E2041">
        <v>0.53343580000000002</v>
      </c>
      <c r="F2041" t="s">
        <v>53</v>
      </c>
      <c r="G2041">
        <v>0</v>
      </c>
      <c r="H2041">
        <v>0</v>
      </c>
      <c r="I2041">
        <v>0</v>
      </c>
      <c r="J2041">
        <v>-303.4153</v>
      </c>
      <c r="K2041">
        <v>1.110692</v>
      </c>
      <c r="L2041">
        <v>285.22149999999999</v>
      </c>
      <c r="M2041">
        <v>-0.99986019999999998</v>
      </c>
      <c r="N2041">
        <v>-1.422461E-2</v>
      </c>
      <c r="O2041">
        <v>8.7773460000000001E-3</v>
      </c>
      <c r="P2041">
        <v>-0.98016910000000002</v>
      </c>
      <c r="Q2041">
        <v>0.17807799999999999</v>
      </c>
      <c r="R2041">
        <v>-8.692925E-2</v>
      </c>
      <c r="S2041">
        <v>-3.0593870000000001</v>
      </c>
      <c r="T2041">
        <v>1.6681910000000001E-2</v>
      </c>
      <c r="U2041">
        <v>1.7272949999999999E-2</v>
      </c>
      <c r="V2041">
        <v>-9.5545169999999999E-2</v>
      </c>
      <c r="W2041">
        <v>0.19198390000000001</v>
      </c>
      <c r="X2041">
        <v>0.9767361</v>
      </c>
      <c r="Y2041">
        <v>-3.130893E-3</v>
      </c>
      <c r="Z2041">
        <v>1.589839E-4</v>
      </c>
      <c r="AA2041">
        <v>0.99999510000000003</v>
      </c>
      <c r="AB2041">
        <v>30</v>
      </c>
      <c r="AC2041">
        <v>-3.0593870000000001</v>
      </c>
      <c r="AD2041">
        <v>1.6681910000000001E-2</v>
      </c>
      <c r="AE2041">
        <v>1.7272949999999999E-2</v>
      </c>
      <c r="AF2041">
        <v>-9.5834486676187203E-3</v>
      </c>
      <c r="AG2041">
        <v>1.6681910000000001E-2</v>
      </c>
      <c r="AH2041">
        <v>3.0593297927258498</v>
      </c>
      <c r="AI2041">
        <v>89.687582268073101</v>
      </c>
      <c r="AJ2041">
        <v>90.179480279346805</v>
      </c>
      <c r="AK2041">
        <v>3.05939028390782</v>
      </c>
      <c r="AL2041">
        <v>78.931415571362606</v>
      </c>
      <c r="AM2041">
        <v>95.586947593747695</v>
      </c>
      <c r="AN2041">
        <v>1.00000005320637</v>
      </c>
    </row>
    <row r="2042" spans="1:40" x14ac:dyDescent="0.25">
      <c r="A2042" t="str">
        <f>"20190304155056932"</f>
        <v>20190304155056932</v>
      </c>
      <c r="B2042" t="str">
        <f>"1551685856928583"</f>
        <v>1551685856928583</v>
      </c>
      <c r="C2042" t="s">
        <v>40</v>
      </c>
      <c r="D2042">
        <v>4.4676429999999998</v>
      </c>
      <c r="E2042">
        <v>0.53339890000000001</v>
      </c>
      <c r="F2042" t="s">
        <v>53</v>
      </c>
      <c r="G2042">
        <v>0</v>
      </c>
      <c r="H2042">
        <v>0</v>
      </c>
      <c r="I2042">
        <v>0</v>
      </c>
      <c r="J2042">
        <v>-303.71409999999997</v>
      </c>
      <c r="K2042">
        <v>1.110684</v>
      </c>
      <c r="L2042">
        <v>285.22410000000002</v>
      </c>
      <c r="M2042">
        <v>-0.99986090000000005</v>
      </c>
      <c r="N2042">
        <v>-1.422142E-2</v>
      </c>
      <c r="O2042">
        <v>8.7299400000000003E-3</v>
      </c>
      <c r="P2042">
        <v>-0.98029710000000003</v>
      </c>
      <c r="Q2042">
        <v>0.17717359999999999</v>
      </c>
      <c r="R2042">
        <v>-8.7334519999999999E-2</v>
      </c>
      <c r="S2042">
        <v>-3.0599669999999999</v>
      </c>
      <c r="T2042">
        <v>1.161218E-2</v>
      </c>
      <c r="U2042">
        <v>1.51062E-2</v>
      </c>
      <c r="V2042">
        <v>-9.5903360000000007E-2</v>
      </c>
      <c r="W2042">
        <v>0.19107879999999999</v>
      </c>
      <c r="X2042">
        <v>0.97687840000000004</v>
      </c>
      <c r="Y2042">
        <v>-3.7929019999999999E-3</v>
      </c>
      <c r="Z2042">
        <v>1.375108E-4</v>
      </c>
      <c r="AA2042">
        <v>0.99999280000000002</v>
      </c>
      <c r="AB2042">
        <v>30</v>
      </c>
      <c r="AC2042">
        <v>-3.0599669999999999</v>
      </c>
      <c r="AD2042">
        <v>1.161218E-2</v>
      </c>
      <c r="AE2042">
        <v>1.51062E-2</v>
      </c>
      <c r="AF2042">
        <v>-1.16102349176402E-2</v>
      </c>
      <c r="AG2042">
        <v>1.161218E-2</v>
      </c>
      <c r="AH2042">
        <v>3.0599381956485998</v>
      </c>
      <c r="AI2042">
        <v>89.782570470551093</v>
      </c>
      <c r="AJ2042">
        <v>90.217394674390306</v>
      </c>
      <c r="AK2042">
        <v>3.0599822550904499</v>
      </c>
      <c r="AL2042">
        <v>78.984251414094999</v>
      </c>
      <c r="AM2042">
        <v>95.606947621559598</v>
      </c>
      <c r="AN2042">
        <v>0.999999985327644</v>
      </c>
    </row>
    <row r="2043" spans="1:40" x14ac:dyDescent="0.25">
      <c r="A2043" t="str">
        <f>"20190304155056954"</f>
        <v>20190304155056954</v>
      </c>
      <c r="B2043" t="str">
        <f>"1551685856949078"</f>
        <v>1551685856949078</v>
      </c>
      <c r="C2043" t="s">
        <v>40</v>
      </c>
      <c r="D2043">
        <v>4.5603899999999999</v>
      </c>
      <c r="E2043">
        <v>0.53331640000000002</v>
      </c>
      <c r="F2043" t="s">
        <v>53</v>
      </c>
      <c r="G2043">
        <v>0</v>
      </c>
      <c r="H2043">
        <v>0</v>
      </c>
      <c r="I2043">
        <v>0</v>
      </c>
      <c r="J2043">
        <v>-304.01620000000003</v>
      </c>
      <c r="K2043">
        <v>1.110681</v>
      </c>
      <c r="L2043">
        <v>285.22669999999999</v>
      </c>
      <c r="M2043">
        <v>-0.99986129999999995</v>
      </c>
      <c r="N2043">
        <v>-1.421823E-2</v>
      </c>
      <c r="O2043">
        <v>8.6838680000000008E-3</v>
      </c>
      <c r="P2043">
        <v>-0.98044940000000003</v>
      </c>
      <c r="Q2043">
        <v>0.17630750000000001</v>
      </c>
      <c r="R2043">
        <v>-8.7377620000000003E-2</v>
      </c>
      <c r="S2043">
        <v>-3.0606990000000001</v>
      </c>
      <c r="T2043">
        <v>4.5027729999999998E-3</v>
      </c>
      <c r="U2043">
        <v>1.370239E-2</v>
      </c>
      <c r="V2043">
        <v>-9.5901630000000002E-2</v>
      </c>
      <c r="W2043">
        <v>0.1902123</v>
      </c>
      <c r="X2043">
        <v>0.97704769999999996</v>
      </c>
      <c r="Y2043">
        <v>-4.20696E-3</v>
      </c>
      <c r="Z2043">
        <v>1.0943629999999999E-4</v>
      </c>
      <c r="AA2043">
        <v>0.99999110000000002</v>
      </c>
      <c r="AB2043">
        <v>30</v>
      </c>
      <c r="AC2043">
        <v>-3.0606990000000001</v>
      </c>
      <c r="AD2043">
        <v>4.5027729999999998E-3</v>
      </c>
      <c r="AE2043">
        <v>1.370239E-2</v>
      </c>
      <c r="AF2043">
        <v>-1.2879489462073001E-2</v>
      </c>
      <c r="AG2043">
        <v>4.5027729999999998E-3</v>
      </c>
      <c r="AH2043">
        <v>3.0606959491341401</v>
      </c>
      <c r="AI2043">
        <v>89.915709556575095</v>
      </c>
      <c r="AJ2043">
        <v>90.241100731689798</v>
      </c>
      <c r="AK2043">
        <v>3.0607263597485601</v>
      </c>
      <c r="AL2043">
        <v>79.034826236598306</v>
      </c>
      <c r="AM2043">
        <v>95.605881773051095</v>
      </c>
      <c r="AN2043">
        <v>1.0000000248916101</v>
      </c>
    </row>
    <row r="2044" spans="1:40" x14ac:dyDescent="0.25">
      <c r="A2044" t="str">
        <f>"20190304155056976"</f>
        <v>20190304155056976</v>
      </c>
      <c r="B2044" t="str">
        <f>"1551685856968601"</f>
        <v>1551685856968601</v>
      </c>
      <c r="C2044" t="s">
        <v>40</v>
      </c>
      <c r="D2044">
        <v>4.5281630000000002</v>
      </c>
      <c r="E2044">
        <v>0.53328980000000004</v>
      </c>
      <c r="F2044" t="s">
        <v>53</v>
      </c>
      <c r="G2044">
        <v>0</v>
      </c>
      <c r="H2044">
        <v>0</v>
      </c>
      <c r="I2044">
        <v>0</v>
      </c>
      <c r="J2044">
        <v>-304.3023</v>
      </c>
      <c r="K2044">
        <v>1.110684</v>
      </c>
      <c r="L2044">
        <v>285.22910000000002</v>
      </c>
      <c r="M2044">
        <v>-0.99986169999999996</v>
      </c>
      <c r="N2044">
        <v>-1.4215200000000001E-2</v>
      </c>
      <c r="O2044">
        <v>8.6397409999999994E-3</v>
      </c>
      <c r="P2044">
        <v>-0.98053619999999997</v>
      </c>
      <c r="Q2044">
        <v>0.17602409999999999</v>
      </c>
      <c r="R2044">
        <v>-8.6971489999999999E-2</v>
      </c>
      <c r="S2044">
        <v>-3.0611570000000001</v>
      </c>
      <c r="T2044">
        <v>-1.148105E-3</v>
      </c>
      <c r="U2044">
        <v>1.3031010000000001E-2</v>
      </c>
      <c r="V2044">
        <v>-9.5452250000000002E-2</v>
      </c>
      <c r="W2044">
        <v>0.18992819999999999</v>
      </c>
      <c r="X2044">
        <v>0.97714690000000004</v>
      </c>
      <c r="Y2044">
        <v>-4.3830040000000002E-3</v>
      </c>
      <c r="Z2044" s="1">
        <v>8.7606499999999995E-5</v>
      </c>
      <c r="AA2044">
        <v>0.99999039999999995</v>
      </c>
      <c r="AB2044">
        <v>29</v>
      </c>
      <c r="AC2044">
        <v>-3.0611570000000001</v>
      </c>
      <c r="AD2044">
        <v>-1.148105E-3</v>
      </c>
      <c r="AE2044">
        <v>1.3031010000000001E-2</v>
      </c>
      <c r="AF2044">
        <v>-1.34197489734679E-2</v>
      </c>
      <c r="AG2044">
        <v>-1.148105E-3</v>
      </c>
      <c r="AH2044">
        <v>3.0611548898934302</v>
      </c>
      <c r="AI2044">
        <v>90.021488927584201</v>
      </c>
      <c r="AJ2044">
        <v>90.251176461290996</v>
      </c>
      <c r="AK2044">
        <v>3.0611845203656101</v>
      </c>
      <c r="AL2044">
        <v>79.0514054781342</v>
      </c>
      <c r="AM2044">
        <v>95.579216760878893</v>
      </c>
      <c r="AN2044">
        <v>0.99999995868245495</v>
      </c>
    </row>
    <row r="2045" spans="1:40" x14ac:dyDescent="0.25">
      <c r="A2045" t="str">
        <f>"20190304155056998"</f>
        <v>20190304155056998</v>
      </c>
      <c r="B2045" t="str">
        <f>"1551685856989097"</f>
        <v>1551685856989097</v>
      </c>
      <c r="C2045" t="s">
        <v>40</v>
      </c>
      <c r="D2045">
        <v>4.6446300000000003</v>
      </c>
      <c r="E2045">
        <v>0.53327849999999999</v>
      </c>
      <c r="F2045" t="s">
        <v>52</v>
      </c>
      <c r="G2045">
        <v>-1089.0630000000001</v>
      </c>
      <c r="H2045">
        <v>-0.1</v>
      </c>
      <c r="I2045">
        <v>288.92899999999997</v>
      </c>
      <c r="J2045">
        <v>-304.5942</v>
      </c>
      <c r="K2045">
        <v>1.1106819999999999</v>
      </c>
      <c r="L2045">
        <v>285.23149999999998</v>
      </c>
      <c r="M2045">
        <v>-0.99986209999999998</v>
      </c>
      <c r="N2045">
        <v>-1.421208E-2</v>
      </c>
      <c r="O2045">
        <v>8.5929249999999995E-3</v>
      </c>
      <c r="P2045">
        <v>-0.98046060000000002</v>
      </c>
      <c r="Q2045">
        <v>0.1762358</v>
      </c>
      <c r="R2045">
        <v>-8.7395180000000003E-2</v>
      </c>
      <c r="S2045">
        <v>-3.0617070000000002</v>
      </c>
      <c r="T2045">
        <v>-4.7234299999999998E-3</v>
      </c>
      <c r="U2045">
        <v>1.4434809999999999E-2</v>
      </c>
      <c r="V2045">
        <v>-9.5828990000000003E-2</v>
      </c>
      <c r="W2045">
        <v>0.19013559999999999</v>
      </c>
      <c r="X2045">
        <v>0.97706970000000004</v>
      </c>
      <c r="Y2045">
        <v>-3.8785569999999999E-3</v>
      </c>
      <c r="Z2045" s="1">
        <v>7.832007E-5</v>
      </c>
      <c r="AA2045">
        <v>0.99999249999999995</v>
      </c>
      <c r="AB2045">
        <v>29</v>
      </c>
      <c r="AC2045">
        <v>-784.46879999999999</v>
      </c>
      <c r="AD2045">
        <v>-1.210682</v>
      </c>
      <c r="AE2045">
        <v>3.6975000000000402</v>
      </c>
      <c r="AF2045">
        <v>-3.04419159020649</v>
      </c>
      <c r="AG2045">
        <v>-1.210682</v>
      </c>
      <c r="AH2045">
        <v>784.46973879552195</v>
      </c>
      <c r="AI2045">
        <v>90.088424560111093</v>
      </c>
      <c r="AJ2045">
        <v>90.222339302604595</v>
      </c>
      <c r="AK2045">
        <v>784.47657959894298</v>
      </c>
      <c r="AL2045">
        <v>79.039301905933996</v>
      </c>
      <c r="AM2045">
        <v>95.601537327806895</v>
      </c>
      <c r="AN2045">
        <v>0.99999997018493403</v>
      </c>
    </row>
    <row r="2046" spans="1:40" x14ac:dyDescent="0.25">
      <c r="A2046" t="str">
        <f>"20190304155057021"</f>
        <v>20190304155057021</v>
      </c>
      <c r="B2046" t="str">
        <f>"1551685857008614"</f>
        <v>1551685857008614</v>
      </c>
      <c r="C2046" t="s">
        <v>40</v>
      </c>
      <c r="D2046">
        <v>4.6639330000000001</v>
      </c>
      <c r="E2046">
        <v>0.53313900000000003</v>
      </c>
      <c r="F2046" t="s">
        <v>52</v>
      </c>
      <c r="G2046">
        <v>-975.2645</v>
      </c>
      <c r="H2046">
        <v>-0.1</v>
      </c>
      <c r="I2046">
        <v>288.13920000000002</v>
      </c>
      <c r="J2046">
        <v>-304.8793</v>
      </c>
      <c r="K2046">
        <v>1.110681</v>
      </c>
      <c r="L2046">
        <v>285.23399999999998</v>
      </c>
      <c r="M2046">
        <v>-0.99986260000000005</v>
      </c>
      <c r="N2046">
        <v>-1.4209009999999999E-2</v>
      </c>
      <c r="O2046">
        <v>8.5459830000000001E-3</v>
      </c>
      <c r="P2046">
        <v>-0.98032770000000002</v>
      </c>
      <c r="Q2046">
        <v>0.1769252</v>
      </c>
      <c r="R2046">
        <v>-8.7493299999999996E-2</v>
      </c>
      <c r="S2046">
        <v>-3.0619510000000001</v>
      </c>
      <c r="T2046">
        <v>-5.5273769999999896E-3</v>
      </c>
      <c r="U2046">
        <v>1.3275149999999999E-2</v>
      </c>
      <c r="V2046">
        <v>-9.5880320000000005E-2</v>
      </c>
      <c r="W2046">
        <v>0.19081989999999999</v>
      </c>
      <c r="X2046">
        <v>0.97693129999999995</v>
      </c>
      <c r="Y2046">
        <v>-4.2107250000000002E-3</v>
      </c>
      <c r="Z2046" s="1">
        <v>7.2293559999999897E-5</v>
      </c>
      <c r="AA2046">
        <v>0.99999110000000002</v>
      </c>
      <c r="AB2046">
        <v>29</v>
      </c>
      <c r="AC2046">
        <v>-670.38519999999903</v>
      </c>
      <c r="AD2046">
        <v>-1.2106809999999999</v>
      </c>
      <c r="AE2046">
        <v>2.9051999999999798</v>
      </c>
      <c r="AF2046">
        <v>-2.8245754256238</v>
      </c>
      <c r="AG2046">
        <v>-1.2106809999999999</v>
      </c>
      <c r="AH2046">
        <v>670.38335812959895</v>
      </c>
      <c r="AI2046">
        <v>90.103472467916404</v>
      </c>
      <c r="AJ2046">
        <v>90.241407086237203</v>
      </c>
      <c r="AK2046">
        <v>670.39040180475195</v>
      </c>
      <c r="AL2046">
        <v>78.999363710889298</v>
      </c>
      <c r="AM2046">
        <v>95.605307572603493</v>
      </c>
      <c r="AN2046">
        <v>1.0000000174595001</v>
      </c>
    </row>
    <row r="2047" spans="1:40" x14ac:dyDescent="0.25">
      <c r="A2047" t="str">
        <f>"20190304155057042"</f>
        <v>20190304155057042</v>
      </c>
      <c r="B2047" t="str">
        <f>"1551685857038870"</f>
        <v>1551685857038870</v>
      </c>
      <c r="C2047" t="s">
        <v>40</v>
      </c>
      <c r="D2047">
        <v>4.6666980000000002</v>
      </c>
      <c r="E2047">
        <v>0.51091030000000004</v>
      </c>
      <c r="F2047" t="s">
        <v>52</v>
      </c>
      <c r="G2047">
        <v>-1014.426</v>
      </c>
      <c r="H2047">
        <v>-0.1</v>
      </c>
      <c r="I2047">
        <v>287.95639999999997</v>
      </c>
      <c r="J2047">
        <v>-305.1694</v>
      </c>
      <c r="K2047">
        <v>1.110679</v>
      </c>
      <c r="L2047">
        <v>285.2364</v>
      </c>
      <c r="M2047">
        <v>-0.9998631</v>
      </c>
      <c r="N2047">
        <v>-1.4205890000000001E-2</v>
      </c>
      <c r="O2047">
        <v>8.496834E-3</v>
      </c>
      <c r="P2047">
        <v>-0.98029860000000002</v>
      </c>
      <c r="Q2047">
        <v>0.1769435</v>
      </c>
      <c r="R2047">
        <v>-8.7783559999999997E-2</v>
      </c>
      <c r="S2047">
        <v>-3.062195</v>
      </c>
      <c r="T2047">
        <v>-5.2249430000000001E-3</v>
      </c>
      <c r="U2047">
        <v>1.1749269999999999E-2</v>
      </c>
      <c r="V2047">
        <v>-9.6122289999999999E-2</v>
      </c>
      <c r="W2047">
        <v>0.19083439999999999</v>
      </c>
      <c r="X2047">
        <v>0.97690469999999896</v>
      </c>
      <c r="Y2047">
        <v>-4.6601890000000003E-3</v>
      </c>
      <c r="Z2047" s="1">
        <v>6.9136389999999997E-5</v>
      </c>
      <c r="AA2047">
        <v>0.99998920000000002</v>
      </c>
      <c r="AB2047">
        <v>29</v>
      </c>
      <c r="AC2047">
        <v>-709.25660000000005</v>
      </c>
      <c r="AD2047">
        <v>-1.2106790000000001</v>
      </c>
      <c r="AE2047">
        <v>2.71999999999997</v>
      </c>
      <c r="AF2047">
        <v>-3.3071316775720301</v>
      </c>
      <c r="AG2047">
        <v>-1.2106790000000001</v>
      </c>
      <c r="AH2047">
        <v>709.25203873457895</v>
      </c>
      <c r="AI2047">
        <v>90.097801587880994</v>
      </c>
      <c r="AJ2047">
        <v>90.267159350727994</v>
      </c>
      <c r="AK2047">
        <v>709.26078230276505</v>
      </c>
      <c r="AL2047">
        <v>78.998517485399503</v>
      </c>
      <c r="AM2047">
        <v>95.619515106098504</v>
      </c>
      <c r="AN2047">
        <v>1.00000002787014</v>
      </c>
    </row>
    <row r="2048" spans="1:40" x14ac:dyDescent="0.25">
      <c r="A2048" t="str">
        <f>"20190304155057066"</f>
        <v>20190304155057066</v>
      </c>
      <c r="B2048" t="str">
        <f>"1551685857058390"</f>
        <v>1551685857058390</v>
      </c>
      <c r="C2048" t="s">
        <v>40</v>
      </c>
      <c r="D2048">
        <v>4.656758</v>
      </c>
      <c r="E2048">
        <v>0.51024550000000002</v>
      </c>
      <c r="F2048" t="s">
        <v>72</v>
      </c>
      <c r="G2048">
        <v>-430.65570000000002</v>
      </c>
      <c r="H2048">
        <v>4.524218E-2</v>
      </c>
      <c r="I2048">
        <v>278.38720000000001</v>
      </c>
      <c r="J2048">
        <v>-305.47809999999998</v>
      </c>
      <c r="K2048">
        <v>1.1106799999999999</v>
      </c>
      <c r="L2048">
        <v>285.23899999999998</v>
      </c>
      <c r="M2048">
        <v>-0.99986359999999996</v>
      </c>
      <c r="N2048">
        <v>-1.4202579999999999E-2</v>
      </c>
      <c r="O2048">
        <v>8.4439289999999993E-3</v>
      </c>
      <c r="P2048">
        <v>-0.98031270000000004</v>
      </c>
      <c r="Q2048">
        <v>0.17692140000000001</v>
      </c>
      <c r="R2048">
        <v>-8.7670670000000006E-2</v>
      </c>
      <c r="S2048">
        <v>-3.0500180000000001</v>
      </c>
      <c r="T2048">
        <v>-2.589607E-2</v>
      </c>
      <c r="U2048">
        <v>-0.16647339999999999</v>
      </c>
      <c r="V2048">
        <v>-9.5957849999999997E-2</v>
      </c>
      <c r="W2048">
        <v>0.1908096</v>
      </c>
      <c r="X2048">
        <v>0.97692570000000001</v>
      </c>
      <c r="Y2048">
        <v>-6.2924079999999993E-2</v>
      </c>
      <c r="Z2048">
        <v>-6.6594630000000004E-4</v>
      </c>
      <c r="AA2048">
        <v>0.99801810000000002</v>
      </c>
      <c r="AB2048">
        <v>29</v>
      </c>
      <c r="AC2048">
        <v>-125.1776</v>
      </c>
      <c r="AD2048">
        <v>-1.0654378200000001</v>
      </c>
      <c r="AE2048">
        <v>-6.8518000000000203</v>
      </c>
      <c r="AF2048">
        <v>-7.9080817623813999</v>
      </c>
      <c r="AG2048">
        <v>-1.0654378200000001</v>
      </c>
      <c r="AH2048">
        <v>125.106238366792</v>
      </c>
      <c r="AI2048">
        <v>90.486962376852503</v>
      </c>
      <c r="AJ2048">
        <v>93.616907405106801</v>
      </c>
      <c r="AK2048">
        <v>125.36045546023399</v>
      </c>
      <c r="AL2048">
        <v>78.999964908308499</v>
      </c>
      <c r="AM2048">
        <v>95.609843145019198</v>
      </c>
      <c r="AN2048">
        <v>1.00000001787463</v>
      </c>
    </row>
    <row r="2049" spans="1:40" x14ac:dyDescent="0.25">
      <c r="A2049" t="str">
        <f>"20190304155057087"</f>
        <v>20190304155057087</v>
      </c>
      <c r="B2049" t="str">
        <f>"1551685857078889"</f>
        <v>1551685857078889</v>
      </c>
      <c r="C2049" t="s">
        <v>40</v>
      </c>
      <c r="D2049">
        <v>4.6277480000000004</v>
      </c>
      <c r="E2049">
        <v>0.51010040000000001</v>
      </c>
      <c r="F2049" t="s">
        <v>72</v>
      </c>
      <c r="G2049">
        <v>-435.43189999999998</v>
      </c>
      <c r="H2049">
        <v>8.0001260000000005E-2</v>
      </c>
      <c r="I2049">
        <v>277.91789999999997</v>
      </c>
      <c r="J2049">
        <v>-305.75510000000003</v>
      </c>
      <c r="K2049">
        <v>1.1106780000000001</v>
      </c>
      <c r="L2049">
        <v>285.24130000000002</v>
      </c>
      <c r="M2049">
        <v>-0.99986399999999998</v>
      </c>
      <c r="N2049">
        <v>-1.419961E-2</v>
      </c>
      <c r="O2049">
        <v>8.3967969999999992E-3</v>
      </c>
      <c r="P2049">
        <v>-0.98031610000000002</v>
      </c>
      <c r="Q2049">
        <v>0.17692659999999999</v>
      </c>
      <c r="R2049">
        <v>-8.762296E-2</v>
      </c>
      <c r="S2049">
        <v>-3.049255</v>
      </c>
      <c r="T2049">
        <v>-2.4183989999999999E-2</v>
      </c>
      <c r="U2049">
        <v>-0.171783399999999</v>
      </c>
      <c r="V2049">
        <v>-9.5864160000000004E-2</v>
      </c>
      <c r="W2049">
        <v>0.19081200000000001</v>
      </c>
      <c r="X2049">
        <v>0.97693439999999998</v>
      </c>
      <c r="Y2049">
        <v>-6.4623539999999993E-2</v>
      </c>
      <c r="Z2049">
        <v>-6.6268969999999996E-4</v>
      </c>
      <c r="AA2049">
        <v>0.9979095</v>
      </c>
      <c r="AB2049">
        <v>29</v>
      </c>
      <c r="AC2049">
        <v>-129.67679999999899</v>
      </c>
      <c r="AD2049">
        <v>-1.0306767400000001</v>
      </c>
      <c r="AE2049">
        <v>-7.3234000000000403</v>
      </c>
      <c r="AF2049">
        <v>-8.4115915603120701</v>
      </c>
      <c r="AG2049">
        <v>-1.0306767400000001</v>
      </c>
      <c r="AH2049">
        <v>129.60256704556599</v>
      </c>
      <c r="AI2049">
        <v>90.454683922664401</v>
      </c>
      <c r="AJ2049">
        <v>93.713457935962694</v>
      </c>
      <c r="AK2049">
        <v>129.87933843348799</v>
      </c>
      <c r="AL2049">
        <v>78.999824505410999</v>
      </c>
      <c r="AM2049">
        <v>95.604351179170706</v>
      </c>
      <c r="AN2049">
        <v>0.99999998920993205</v>
      </c>
    </row>
    <row r="2050" spans="1:40" x14ac:dyDescent="0.25">
      <c r="A2050" t="str">
        <f>"20190304155057110"</f>
        <v>20190304155057110</v>
      </c>
      <c r="B2050" t="str">
        <f>"1551685857098406"</f>
        <v>1551685857098406</v>
      </c>
      <c r="C2050" t="s">
        <v>40</v>
      </c>
      <c r="D2050">
        <v>4.7288990000000002</v>
      </c>
      <c r="E2050">
        <v>0.50977669999999997</v>
      </c>
      <c r="F2050" t="s">
        <v>72</v>
      </c>
      <c r="G2050">
        <v>-406.6037</v>
      </c>
      <c r="H2050">
        <v>8.0001320000000001E-2</v>
      </c>
      <c r="I2050">
        <v>279.52969999999999</v>
      </c>
      <c r="J2050">
        <v>-306.04570000000001</v>
      </c>
      <c r="K2050">
        <v>1.1106720000000001</v>
      </c>
      <c r="L2050">
        <v>285.24369999999999</v>
      </c>
      <c r="M2050">
        <v>-0.99986439999999999</v>
      </c>
      <c r="N2050">
        <v>-1.4196479999999999E-2</v>
      </c>
      <c r="O2050">
        <v>8.3469909999999998E-3</v>
      </c>
      <c r="P2050">
        <v>-0.98038829999999999</v>
      </c>
      <c r="Q2050">
        <v>0.176624799999999</v>
      </c>
      <c r="R2050">
        <v>-8.7421139999999994E-2</v>
      </c>
      <c r="S2050">
        <v>-3.0504150000000001</v>
      </c>
      <c r="T2050">
        <v>-3.1175370000000001E-2</v>
      </c>
      <c r="U2050">
        <v>-0.17276</v>
      </c>
      <c r="V2050">
        <v>-9.5613699999999996E-2</v>
      </c>
      <c r="W2050">
        <v>0.19050819999999999</v>
      </c>
      <c r="X2050">
        <v>0.97701819999999895</v>
      </c>
      <c r="Y2050">
        <v>-6.4868670000000003E-2</v>
      </c>
      <c r="Z2050">
        <v>-7.5891629999999999E-4</v>
      </c>
      <c r="AA2050">
        <v>0.99789349999999999</v>
      </c>
      <c r="AB2050">
        <v>29</v>
      </c>
      <c r="AC2050">
        <v>-100.55800000000001</v>
      </c>
      <c r="AD2050">
        <v>-1.0306706799999901</v>
      </c>
      <c r="AE2050">
        <v>-5.7139999999999898</v>
      </c>
      <c r="AF2050">
        <v>-6.5525560584008504</v>
      </c>
      <c r="AG2050">
        <v>-1.0306706799999901</v>
      </c>
      <c r="AH2050">
        <v>100.496273257581</v>
      </c>
      <c r="AI2050">
        <v>90.586349061975795</v>
      </c>
      <c r="AJ2050">
        <v>93.730517769074694</v>
      </c>
      <c r="AK2050">
        <v>100.71494035947001</v>
      </c>
      <c r="AL2050">
        <v>79.017555890957595</v>
      </c>
      <c r="AM2050">
        <v>95.589325387684795</v>
      </c>
      <c r="AN2050">
        <v>0.99999995851308399</v>
      </c>
    </row>
    <row r="2051" spans="1:40" x14ac:dyDescent="0.25">
      <c r="A2051" t="str">
        <f>"20190304155057132"</f>
        <v>20190304155057132</v>
      </c>
      <c r="B2051" t="str">
        <f>"1551685857128662"</f>
        <v>1551685857128662</v>
      </c>
      <c r="C2051" t="s">
        <v>40</v>
      </c>
      <c r="D2051">
        <v>4.71624</v>
      </c>
      <c r="E2051">
        <v>0.51018289999999999</v>
      </c>
      <c r="F2051" t="s">
        <v>72</v>
      </c>
      <c r="G2051">
        <v>-401.23020000000002</v>
      </c>
      <c r="H2051" s="1">
        <v>8.8534439999999993E-6</v>
      </c>
      <c r="I2051">
        <v>279.79270000000002</v>
      </c>
      <c r="J2051">
        <v>-306.33249999999998</v>
      </c>
      <c r="K2051">
        <v>1.1106750000000001</v>
      </c>
      <c r="L2051">
        <v>285.24599999999998</v>
      </c>
      <c r="M2051">
        <v>-0.99986489999999995</v>
      </c>
      <c r="N2051">
        <v>-1.419341E-2</v>
      </c>
      <c r="O2051">
        <v>8.2967719999999991E-3</v>
      </c>
      <c r="P2051">
        <v>-0.98036330000000005</v>
      </c>
      <c r="Q2051">
        <v>0.17685600000000001</v>
      </c>
      <c r="R2051">
        <v>-8.7236369999999994E-2</v>
      </c>
      <c r="S2051">
        <v>-3.0508120000000001</v>
      </c>
      <c r="T2051">
        <v>-3.5598520000000002E-2</v>
      </c>
      <c r="U2051">
        <v>-0.17471310000000001</v>
      </c>
      <c r="V2051">
        <v>-9.5379259999999993E-2</v>
      </c>
      <c r="W2051">
        <v>0.19073609999999999</v>
      </c>
      <c r="X2051">
        <v>0.97699669999999905</v>
      </c>
      <c r="Y2051">
        <v>-6.5446260000000006E-2</v>
      </c>
      <c r="Z2051">
        <v>-8.2546659999999995E-4</v>
      </c>
      <c r="AA2051">
        <v>0.99785579999999996</v>
      </c>
      <c r="AB2051">
        <v>29</v>
      </c>
      <c r="AC2051">
        <v>-94.8977</v>
      </c>
      <c r="AD2051">
        <v>-1.1106661465559999</v>
      </c>
      <c r="AE2051">
        <v>-5.4532999999999499</v>
      </c>
      <c r="AF2051">
        <v>-6.2396842264967196</v>
      </c>
      <c r="AG2051">
        <v>-1.1106661465559999</v>
      </c>
      <c r="AH2051">
        <v>94.836235867522305</v>
      </c>
      <c r="AI2051">
        <v>90.669536275758006</v>
      </c>
      <c r="AJ2051">
        <v>93.764310485128902</v>
      </c>
      <c r="AK2051">
        <v>95.047771525984899</v>
      </c>
      <c r="AL2051">
        <v>79.004254821714099</v>
      </c>
      <c r="AM2051">
        <v>95.575829033873802</v>
      </c>
      <c r="AN2051">
        <v>1.0000000074461199</v>
      </c>
    </row>
    <row r="2052" spans="1:40" x14ac:dyDescent="0.25">
      <c r="A2052" t="str">
        <f>"20190304155057155"</f>
        <v>20190304155057155</v>
      </c>
      <c r="B2052" t="str">
        <f>"1551685857148182"</f>
        <v>1551685857148182</v>
      </c>
      <c r="C2052" t="s">
        <v>40</v>
      </c>
      <c r="D2052">
        <v>4.7273630000000004</v>
      </c>
      <c r="E2052">
        <v>0.50961429999999996</v>
      </c>
      <c r="F2052" t="s">
        <v>70</v>
      </c>
      <c r="G2052">
        <v>-399.90170000000001</v>
      </c>
      <c r="H2052" s="1">
        <v>3.7323900000000002E-6</v>
      </c>
      <c r="I2052">
        <v>280.00740000000002</v>
      </c>
      <c r="J2052">
        <v>-306.63850000000002</v>
      </c>
      <c r="K2052">
        <v>1.1106769999999999</v>
      </c>
      <c r="L2052">
        <v>285.24849999999998</v>
      </c>
      <c r="M2052">
        <v>-0.99986540000000002</v>
      </c>
      <c r="N2052">
        <v>-1.419013E-2</v>
      </c>
      <c r="O2052">
        <v>8.2437510000000006E-3</v>
      </c>
      <c r="P2052">
        <v>-0.98033890000000001</v>
      </c>
      <c r="Q2052">
        <v>0.1770253</v>
      </c>
      <c r="R2052">
        <v>-8.7166579999999994E-2</v>
      </c>
      <c r="S2052">
        <v>-3.0514220000000001</v>
      </c>
      <c r="T2052">
        <v>-3.6220549999999997E-2</v>
      </c>
      <c r="U2052">
        <v>-0.1708374</v>
      </c>
      <c r="V2052">
        <v>-9.5257770000000005E-2</v>
      </c>
      <c r="W2052">
        <v>0.1909023</v>
      </c>
      <c r="X2052">
        <v>0.97697610000000001</v>
      </c>
      <c r="Y2052">
        <v>-6.411849E-2</v>
      </c>
      <c r="Z2052">
        <v>-8.1646210000000004E-4</v>
      </c>
      <c r="AA2052">
        <v>0.997942</v>
      </c>
      <c r="AB2052">
        <v>29</v>
      </c>
      <c r="AC2052">
        <v>-93.263199999999898</v>
      </c>
      <c r="AD2052">
        <v>-1.11067326761</v>
      </c>
      <c r="AE2052">
        <v>-5.2410999999999603</v>
      </c>
      <c r="AF2052">
        <v>-6.0089882934651504</v>
      </c>
      <c r="AG2052">
        <v>-1.11067326761</v>
      </c>
      <c r="AH2052">
        <v>93.203642611414097</v>
      </c>
      <c r="AI2052">
        <v>90.681325860843998</v>
      </c>
      <c r="AJ2052">
        <v>93.688845430105303</v>
      </c>
      <c r="AK2052">
        <v>93.403750093101706</v>
      </c>
      <c r="AL2052">
        <v>78.994554101767804</v>
      </c>
      <c r="AM2052">
        <v>95.568888136304906</v>
      </c>
      <c r="AN2052">
        <v>1.0000000154309301</v>
      </c>
    </row>
    <row r="2053" spans="1:40" x14ac:dyDescent="0.25">
      <c r="A2053" t="str">
        <f>"20190304155057176"</f>
        <v>20190304155057176</v>
      </c>
      <c r="B2053" t="str">
        <f>"1551685857168678"</f>
        <v>1551685857168678</v>
      </c>
      <c r="C2053" t="s">
        <v>40</v>
      </c>
      <c r="D2053">
        <v>4.8798139999999997</v>
      </c>
      <c r="E2053">
        <v>0.50928099999999998</v>
      </c>
      <c r="F2053" t="s">
        <v>70</v>
      </c>
      <c r="G2053">
        <v>-399.18880000000001</v>
      </c>
      <c r="H2053" s="1">
        <v>3.3530290000000001E-6</v>
      </c>
      <c r="I2053">
        <v>279.9425</v>
      </c>
      <c r="J2053">
        <v>-306.92669999999998</v>
      </c>
      <c r="K2053">
        <v>1.1106819999999999</v>
      </c>
      <c r="L2053">
        <v>285.25080000000003</v>
      </c>
      <c r="M2053">
        <v>-0.99986580000000003</v>
      </c>
      <c r="N2053">
        <v>-1.4187150000000001E-2</v>
      </c>
      <c r="O2053">
        <v>8.194125E-3</v>
      </c>
      <c r="P2053">
        <v>-0.98038170000000002</v>
      </c>
      <c r="Q2053">
        <v>0.17675979999999999</v>
      </c>
      <c r="R2053">
        <v>-8.7222729999999998E-2</v>
      </c>
      <c r="S2053">
        <v>-3.0512079999999999</v>
      </c>
      <c r="T2053">
        <v>-3.6616799999999998E-2</v>
      </c>
      <c r="U2053">
        <v>-0.17492679999999999</v>
      </c>
      <c r="V2053">
        <v>-9.5265160000000002E-2</v>
      </c>
      <c r="W2053">
        <v>0.19063459999999999</v>
      </c>
      <c r="X2053">
        <v>0.97702770000000005</v>
      </c>
      <c r="Y2053">
        <v>-6.5405649999999996E-2</v>
      </c>
      <c r="Z2053">
        <v>-8.3862259999999903E-4</v>
      </c>
      <c r="AA2053">
        <v>0.99785840000000003</v>
      </c>
      <c r="AB2053">
        <v>29</v>
      </c>
      <c r="AC2053">
        <v>-92.262100000000004</v>
      </c>
      <c r="AD2053">
        <v>-1.1106786469709999</v>
      </c>
      <c r="AE2053">
        <v>-5.3083000000000302</v>
      </c>
      <c r="AF2053">
        <v>-6.0633292099125002</v>
      </c>
      <c r="AG2053">
        <v>-1.1106786469709999</v>
      </c>
      <c r="AH2053">
        <v>92.202182753616896</v>
      </c>
      <c r="AI2053">
        <v>90.688671166770007</v>
      </c>
      <c r="AJ2053">
        <v>93.762423754953502</v>
      </c>
      <c r="AK2053">
        <v>92.408008704310902</v>
      </c>
      <c r="AL2053">
        <v>79.010179674856602</v>
      </c>
      <c r="AM2053">
        <v>95.569025164228094</v>
      </c>
      <c r="AN2053">
        <v>1.00000006399713</v>
      </c>
    </row>
    <row r="2054" spans="1:40" x14ac:dyDescent="0.25">
      <c r="A2054" t="str">
        <f>"20190304155057190"</f>
        <v>20190304155057190</v>
      </c>
      <c r="B2054" t="str">
        <f>"1551685857188707"</f>
        <v>1551685857188707</v>
      </c>
      <c r="C2054" t="s">
        <v>40</v>
      </c>
      <c r="D2054">
        <v>4.748157</v>
      </c>
      <c r="E2054">
        <v>0.50912979999999997</v>
      </c>
      <c r="F2054" t="s">
        <v>72</v>
      </c>
      <c r="G2054">
        <v>-401.44349999999997</v>
      </c>
      <c r="H2054" s="1">
        <v>8.7700199999999903E-6</v>
      </c>
      <c r="I2054">
        <v>279.73849999999999</v>
      </c>
      <c r="J2054">
        <v>-307.09890000000001</v>
      </c>
      <c r="K2054">
        <v>1.1106830000000001</v>
      </c>
      <c r="L2054">
        <v>285.25220000000002</v>
      </c>
      <c r="M2054">
        <v>-0.99986609999999998</v>
      </c>
      <c r="N2054">
        <v>-1.4185410000000001E-2</v>
      </c>
      <c r="O2054">
        <v>8.1642190000000003E-3</v>
      </c>
      <c r="P2054">
        <v>-0.98038170000000002</v>
      </c>
      <c r="Q2054">
        <v>0.17671400000000001</v>
      </c>
      <c r="R2054">
        <v>-8.7314740000000002E-2</v>
      </c>
      <c r="S2054">
        <v>-3.050659</v>
      </c>
      <c r="T2054">
        <v>-3.5848499999999998E-2</v>
      </c>
      <c r="U2054">
        <v>-0.17791750000000001</v>
      </c>
      <c r="V2054">
        <v>-9.5328029999999994E-2</v>
      </c>
      <c r="W2054">
        <v>0.1905868</v>
      </c>
      <c r="X2054">
        <v>0.97703079999999998</v>
      </c>
      <c r="Y2054">
        <v>-6.6361199999999995E-2</v>
      </c>
      <c r="Z2054">
        <v>-8.4084570000000003E-4</v>
      </c>
      <c r="AA2054">
        <v>0.99779530000000005</v>
      </c>
      <c r="AB2054">
        <v>29</v>
      </c>
      <c r="AC2054">
        <v>-94.3445999999999</v>
      </c>
      <c r="AD2054">
        <v>-1.1106742299799901</v>
      </c>
      <c r="AE2054">
        <v>-5.5137000000000196</v>
      </c>
      <c r="AF2054">
        <v>-6.2829758419320196</v>
      </c>
      <c r="AG2054">
        <v>-1.1106742299799901</v>
      </c>
      <c r="AH2054">
        <v>94.283413005633705</v>
      </c>
      <c r="AI2054">
        <v>90.673429074770198</v>
      </c>
      <c r="AJ2054">
        <v>93.812510869497203</v>
      </c>
      <c r="AK2054">
        <v>94.499054760703004</v>
      </c>
      <c r="AL2054">
        <v>79.012968550158703</v>
      </c>
      <c r="AM2054">
        <v>95.572659731247398</v>
      </c>
      <c r="AN2054">
        <v>0.99999997289328002</v>
      </c>
    </row>
    <row r="2055" spans="1:40" x14ac:dyDescent="0.25">
      <c r="A2055" t="str">
        <f>"20190304155057203"</f>
        <v>20190304155057203</v>
      </c>
      <c r="B2055" t="str">
        <f>"1551685857198467"</f>
        <v>1551685857198467</v>
      </c>
      <c r="C2055" t="s">
        <v>40</v>
      </c>
      <c r="D2055">
        <v>4.8062050000000003</v>
      </c>
      <c r="E2055">
        <v>0.50901459999999998</v>
      </c>
      <c r="F2055" t="s">
        <v>70</v>
      </c>
      <c r="G2055">
        <v>-397.863</v>
      </c>
      <c r="H2055" s="1">
        <v>2.6475009999999999E-6</v>
      </c>
      <c r="I2055">
        <v>279.91719999999998</v>
      </c>
      <c r="J2055">
        <v>-307.26249999999999</v>
      </c>
      <c r="K2055">
        <v>1.1106830000000001</v>
      </c>
      <c r="L2055">
        <v>285.25349999999997</v>
      </c>
      <c r="M2055">
        <v>-0.99986640000000004</v>
      </c>
      <c r="N2055">
        <v>-1.418377E-2</v>
      </c>
      <c r="O2055">
        <v>8.1356850000000001E-3</v>
      </c>
      <c r="P2055">
        <v>-0.98036400000000001</v>
      </c>
      <c r="Q2055">
        <v>0.1768171</v>
      </c>
      <c r="R2055">
        <v>-8.7307780000000001E-2</v>
      </c>
      <c r="S2055">
        <v>-3.0507810000000002</v>
      </c>
      <c r="T2055">
        <v>-3.7332419999999998E-2</v>
      </c>
      <c r="U2055">
        <v>-0.17932129999999999</v>
      </c>
      <c r="V2055">
        <v>-9.5293039999999996E-2</v>
      </c>
      <c r="W2055">
        <v>0.19068840000000001</v>
      </c>
      <c r="X2055">
        <v>0.97701439999999995</v>
      </c>
      <c r="Y2055">
        <v>-6.6787280000000004E-2</v>
      </c>
      <c r="Z2055">
        <v>-8.6656470000000003E-4</v>
      </c>
      <c r="AA2055">
        <v>0.99776690000000001</v>
      </c>
      <c r="AB2055">
        <v>29</v>
      </c>
      <c r="AC2055">
        <v>-90.600499999999997</v>
      </c>
      <c r="AD2055">
        <v>-1.1106803524989901</v>
      </c>
      <c r="AE2055">
        <v>-5.3362999999999898</v>
      </c>
      <c r="AF2055">
        <v>-6.07238513771334</v>
      </c>
      <c r="AG2055">
        <v>-1.1106803524989901</v>
      </c>
      <c r="AH2055">
        <v>90.540522249080993</v>
      </c>
      <c r="AI2055">
        <v>90.701249352079998</v>
      </c>
      <c r="AJ2055">
        <v>93.836975619432593</v>
      </c>
      <c r="AK2055">
        <v>90.750722538404602</v>
      </c>
      <c r="AL2055">
        <v>79.007038664396504</v>
      </c>
      <c r="AM2055">
        <v>95.570720083024597</v>
      </c>
      <c r="AN2055">
        <v>0.99999998358718001</v>
      </c>
    </row>
    <row r="2056" spans="1:40" x14ac:dyDescent="0.25">
      <c r="A2056" t="str">
        <f>"20190304155057221"</f>
        <v>20190304155057221</v>
      </c>
      <c r="B2056" t="str">
        <f>"1551685857218963"</f>
        <v>1551685857218963</v>
      </c>
      <c r="C2056" t="s">
        <v>40</v>
      </c>
      <c r="D2056">
        <v>4.7851220000000003</v>
      </c>
      <c r="E2056">
        <v>0.50902159999999996</v>
      </c>
      <c r="F2056" t="s">
        <v>70</v>
      </c>
      <c r="G2056">
        <v>-399.44130000000001</v>
      </c>
      <c r="H2056" s="1">
        <v>3.487404E-6</v>
      </c>
      <c r="I2056">
        <v>279.80560000000003</v>
      </c>
      <c r="J2056">
        <v>-307.50459999999998</v>
      </c>
      <c r="K2056">
        <v>1.110684</v>
      </c>
      <c r="L2056">
        <v>285.25540000000001</v>
      </c>
      <c r="M2056">
        <v>-0.9998667</v>
      </c>
      <c r="N2056">
        <v>-1.4181330000000001E-2</v>
      </c>
      <c r="O2056">
        <v>8.0939219999999999E-3</v>
      </c>
      <c r="P2056">
        <v>-0.98026720000000001</v>
      </c>
      <c r="Q2056">
        <v>0.17744209999999999</v>
      </c>
      <c r="R2056">
        <v>-8.7124530000000006E-2</v>
      </c>
      <c r="S2056">
        <v>-3.0506899999999999</v>
      </c>
      <c r="T2056">
        <v>-3.6758300000000001E-2</v>
      </c>
      <c r="U2056">
        <v>-0.18029790000000001</v>
      </c>
      <c r="V2056">
        <v>-9.5068420000000001E-2</v>
      </c>
      <c r="W2056">
        <v>0.19130949999999999</v>
      </c>
      <c r="X2056">
        <v>0.97691490000000003</v>
      </c>
      <c r="Y2056">
        <v>-6.7065849999999996E-2</v>
      </c>
      <c r="Z2056">
        <v>-8.6245319999999996E-4</v>
      </c>
      <c r="AA2056">
        <v>0.99774819999999997</v>
      </c>
      <c r="AB2056">
        <v>29</v>
      </c>
      <c r="AC2056">
        <v>-91.936700000000002</v>
      </c>
      <c r="AD2056">
        <v>-1.110680512596</v>
      </c>
      <c r="AE2056">
        <v>-5.4497999999999802</v>
      </c>
      <c r="AF2056">
        <v>-6.1929240650435498</v>
      </c>
      <c r="AG2056">
        <v>-1.110680512596</v>
      </c>
      <c r="AH2056">
        <v>91.876210926381802</v>
      </c>
      <c r="AI2056">
        <v>90.691040159643094</v>
      </c>
      <c r="AJ2056">
        <v>93.856193972011695</v>
      </c>
      <c r="AK2056">
        <v>92.091389683647705</v>
      </c>
      <c r="AL2056">
        <v>78.970785298814604</v>
      </c>
      <c r="AM2056">
        <v>95.558233878043794</v>
      </c>
      <c r="AN2056">
        <v>1.00000002555677</v>
      </c>
    </row>
    <row r="2057" spans="1:40" x14ac:dyDescent="0.25">
      <c r="A2057" t="str">
        <f>"20190304155057235"</f>
        <v>20190304155057235</v>
      </c>
      <c r="B2057" t="str">
        <f>"1551685857228724"</f>
        <v>1551685857228724</v>
      </c>
      <c r="C2057" t="s">
        <v>40</v>
      </c>
      <c r="D2057">
        <v>4.8085420000000001</v>
      </c>
      <c r="E2057">
        <v>0.50905100000000003</v>
      </c>
      <c r="F2057" t="s">
        <v>72</v>
      </c>
      <c r="G2057">
        <v>-402.85250000000002</v>
      </c>
      <c r="H2057">
        <v>2.5599360000000002E-2</v>
      </c>
      <c r="I2057">
        <v>279.61630000000002</v>
      </c>
      <c r="J2057">
        <v>-307.68110000000001</v>
      </c>
      <c r="K2057">
        <v>1.110687</v>
      </c>
      <c r="L2057">
        <v>285.2568</v>
      </c>
      <c r="M2057">
        <v>-0.99986699999999995</v>
      </c>
      <c r="N2057">
        <v>-1.4179550000000001E-2</v>
      </c>
      <c r="O2057">
        <v>8.0633600000000003E-3</v>
      </c>
      <c r="P2057">
        <v>-0.98018899999999998</v>
      </c>
      <c r="Q2057">
        <v>0.17779020000000001</v>
      </c>
      <c r="R2057">
        <v>-8.7295230000000001E-2</v>
      </c>
      <c r="S2057">
        <v>-3.0506289999999998</v>
      </c>
      <c r="T2057">
        <v>-3.4716959999999998E-2</v>
      </c>
      <c r="U2057">
        <v>-0.18041989999999999</v>
      </c>
      <c r="V2057">
        <v>-9.5208630000000002E-2</v>
      </c>
      <c r="W2057">
        <v>0.19165489999999999</v>
      </c>
      <c r="X2057">
        <v>0.97683350000000002</v>
      </c>
      <c r="Y2057">
        <v>-6.7077129999999999E-2</v>
      </c>
      <c r="Z2057">
        <v>-8.3481660000000004E-4</v>
      </c>
      <c r="AA2057">
        <v>0.99774739999999995</v>
      </c>
      <c r="AB2057">
        <v>29</v>
      </c>
      <c r="AC2057">
        <v>-95.171400000000006</v>
      </c>
      <c r="AD2057">
        <v>-1.08508764</v>
      </c>
      <c r="AE2057">
        <v>-5.6404999999999701</v>
      </c>
      <c r="AF2057">
        <v>-6.4069650363564596</v>
      </c>
      <c r="AG2057">
        <v>-1.08508764</v>
      </c>
      <c r="AH2057">
        <v>95.110499127790803</v>
      </c>
      <c r="AI2057">
        <v>90.6521643948698</v>
      </c>
      <c r="AJ2057">
        <v>93.853815297080502</v>
      </c>
      <c r="AK2057">
        <v>95.332227816730807</v>
      </c>
      <c r="AL2057">
        <v>78.950621791335394</v>
      </c>
      <c r="AM2057">
        <v>95.5668408317581</v>
      </c>
      <c r="AN2057">
        <v>0.99999998532136802</v>
      </c>
    </row>
    <row r="2058" spans="1:40" x14ac:dyDescent="0.25">
      <c r="A2058" t="str">
        <f>"20190304155057248"</f>
        <v>20190304155057248</v>
      </c>
      <c r="B2058" t="str">
        <f>"1551685857238484"</f>
        <v>1551685857238484</v>
      </c>
      <c r="C2058" t="s">
        <v>40</v>
      </c>
      <c r="D2058">
        <v>4.7729359999999996</v>
      </c>
      <c r="E2058">
        <v>0.50897579999999998</v>
      </c>
      <c r="F2058" t="s">
        <v>72</v>
      </c>
      <c r="G2058">
        <v>-402.98790000000002</v>
      </c>
      <c r="H2058">
        <v>6.6274959999999994E-2</v>
      </c>
      <c r="I2058">
        <v>279.6001</v>
      </c>
      <c r="J2058">
        <v>-307.84660000000002</v>
      </c>
      <c r="K2058">
        <v>1.110689</v>
      </c>
      <c r="L2058">
        <v>285.25810000000001</v>
      </c>
      <c r="M2058">
        <v>-0.99986730000000001</v>
      </c>
      <c r="N2058">
        <v>-1.417788E-2</v>
      </c>
      <c r="O2058">
        <v>8.034823E-3</v>
      </c>
      <c r="P2058">
        <v>-0.98016510000000001</v>
      </c>
      <c r="Q2058">
        <v>0.1779319</v>
      </c>
      <c r="R2058">
        <v>-8.7275649999999996E-2</v>
      </c>
      <c r="S2058">
        <v>-3.0505680000000002</v>
      </c>
      <c r="T2058">
        <v>-3.3429380000000002E-2</v>
      </c>
      <c r="U2058">
        <v>-0.18106079999999999</v>
      </c>
      <c r="V2058">
        <v>-9.5160330000000001E-2</v>
      </c>
      <c r="W2058">
        <v>0.1917944</v>
      </c>
      <c r="X2058">
        <v>0.97681090000000004</v>
      </c>
      <c r="Y2058">
        <v>-6.7259189999999996E-2</v>
      </c>
      <c r="Z2058">
        <v>-8.1962020000000003E-4</v>
      </c>
      <c r="AA2058">
        <v>0.99773520000000004</v>
      </c>
      <c r="AB2058">
        <v>29</v>
      </c>
      <c r="AC2058">
        <v>-95.141300000000001</v>
      </c>
      <c r="AD2058">
        <v>-1.0444140399999999</v>
      </c>
      <c r="AE2058">
        <v>-5.6580000000000101</v>
      </c>
      <c r="AF2058">
        <v>-6.42156649343349</v>
      </c>
      <c r="AG2058">
        <v>-1.0444140399999999</v>
      </c>
      <c r="AH2058">
        <v>95.081345199658699</v>
      </c>
      <c r="AI2058">
        <v>90.627905665762498</v>
      </c>
      <c r="AJ2058">
        <v>93.863752334696997</v>
      </c>
      <c r="AK2058">
        <v>95.303670033704407</v>
      </c>
      <c r="AL2058">
        <v>78.942478757734094</v>
      </c>
      <c r="AM2058">
        <v>95.564162385299099</v>
      </c>
      <c r="AN2058">
        <v>1.00000005731793</v>
      </c>
    </row>
    <row r="2059" spans="1:40" x14ac:dyDescent="0.25">
      <c r="A2059" t="str">
        <f>"20190304155057260"</f>
        <v>20190304155057260</v>
      </c>
      <c r="B2059" t="str">
        <f>"1551685857248246"</f>
        <v>1551685857248246</v>
      </c>
      <c r="C2059" t="s">
        <v>40</v>
      </c>
      <c r="D2059">
        <v>4.8163999999999998</v>
      </c>
      <c r="E2059">
        <v>0.5089593</v>
      </c>
      <c r="F2059" t="s">
        <v>72</v>
      </c>
      <c r="G2059">
        <v>-402.7586</v>
      </c>
      <c r="H2059">
        <v>7.0010939999999994E-2</v>
      </c>
      <c r="I2059">
        <v>279.59629999999999</v>
      </c>
      <c r="J2059">
        <v>-308.00920000000002</v>
      </c>
      <c r="K2059">
        <v>1.110692</v>
      </c>
      <c r="L2059">
        <v>285.25940000000003</v>
      </c>
      <c r="M2059">
        <v>-0.99986750000000002</v>
      </c>
      <c r="N2059">
        <v>-1.417623E-2</v>
      </c>
      <c r="O2059">
        <v>8.0068229999999997E-3</v>
      </c>
      <c r="P2059">
        <v>-0.98019179999999995</v>
      </c>
      <c r="Q2059">
        <v>0.1777928</v>
      </c>
      <c r="R2059">
        <v>-8.7258989999999995E-2</v>
      </c>
      <c r="S2059">
        <v>-3.0505680000000002</v>
      </c>
      <c r="T2059">
        <v>-3.3448459999999999E-2</v>
      </c>
      <c r="U2059">
        <v>-0.18197630000000001</v>
      </c>
      <c r="V2059">
        <v>-9.5116409999999998E-2</v>
      </c>
      <c r="W2059">
        <v>0.1916544</v>
      </c>
      <c r="X2059">
        <v>0.97684260000000001</v>
      </c>
      <c r="Y2059">
        <v>-6.752959E-2</v>
      </c>
      <c r="Z2059">
        <v>-8.233289E-4</v>
      </c>
      <c r="AA2059">
        <v>0.99771690000000002</v>
      </c>
      <c r="AB2059">
        <v>29</v>
      </c>
      <c r="AC2059">
        <v>-94.749399999999895</v>
      </c>
      <c r="AD2059">
        <v>-1.04068106</v>
      </c>
      <c r="AE2059">
        <v>-5.66310000000004</v>
      </c>
      <c r="AF2059">
        <v>-6.4208644744001804</v>
      </c>
      <c r="AG2059">
        <v>-1.04068106</v>
      </c>
      <c r="AH2059">
        <v>94.689631733013499</v>
      </c>
      <c r="AI2059">
        <v>90.628238092184105</v>
      </c>
      <c r="AJ2059">
        <v>93.879264409202605</v>
      </c>
      <c r="AK2059">
        <v>94.912785626600197</v>
      </c>
      <c r="AL2059">
        <v>78.950651176242204</v>
      </c>
      <c r="AM2059">
        <v>95.561431072877198</v>
      </c>
      <c r="AN2059">
        <v>1.0000000028327001</v>
      </c>
    </row>
    <row r="2060" spans="1:40" x14ac:dyDescent="0.25">
      <c r="A2060" t="str">
        <f>"20190304155057278"</f>
        <v>20190304155057278</v>
      </c>
      <c r="B2060" t="str">
        <f>"1551685857268742"</f>
        <v>1551685857268742</v>
      </c>
      <c r="C2060" t="s">
        <v>40</v>
      </c>
      <c r="D2060">
        <v>4.8243330000000002</v>
      </c>
      <c r="E2060">
        <v>0.50873119999999905</v>
      </c>
      <c r="F2060" t="s">
        <v>72</v>
      </c>
      <c r="G2060">
        <v>-402.65620000000001</v>
      </c>
      <c r="H2060">
        <v>4.9072449999999997E-2</v>
      </c>
      <c r="I2060">
        <v>279.61630000000002</v>
      </c>
      <c r="J2060">
        <v>-308.2353</v>
      </c>
      <c r="K2060">
        <v>1.110684</v>
      </c>
      <c r="L2060">
        <v>285.26119999999997</v>
      </c>
      <c r="M2060">
        <v>-0.99986790000000003</v>
      </c>
      <c r="N2060">
        <v>-1.4173959999999999E-2</v>
      </c>
      <c r="O2060">
        <v>7.9678609999999997E-3</v>
      </c>
      <c r="P2060">
        <v>-0.98020589999999996</v>
      </c>
      <c r="Q2060">
        <v>0.17794479999999999</v>
      </c>
      <c r="R2060">
        <v>-8.6789580000000005E-2</v>
      </c>
      <c r="S2060">
        <v>-3.0506289999999998</v>
      </c>
      <c r="T2060">
        <v>-3.421772E-2</v>
      </c>
      <c r="U2060">
        <v>-0.18188480000000001</v>
      </c>
      <c r="V2060">
        <v>-9.4609109999999996E-2</v>
      </c>
      <c r="W2060">
        <v>0.19180469999999999</v>
      </c>
      <c r="X2060">
        <v>0.97686240000000002</v>
      </c>
      <c r="Y2060">
        <v>-6.7459389999999994E-2</v>
      </c>
      <c r="Z2060">
        <v>-8.3300889999999997E-4</v>
      </c>
      <c r="AA2060">
        <v>0.99772169999999905</v>
      </c>
      <c r="AB2060">
        <v>29</v>
      </c>
      <c r="AC2060">
        <v>-94.420900000000003</v>
      </c>
      <c r="AD2060">
        <v>-1.0616115500000001</v>
      </c>
      <c r="AE2060">
        <v>-5.6448999999999501</v>
      </c>
      <c r="AF2060">
        <v>-6.3963231811367498</v>
      </c>
      <c r="AG2060">
        <v>-1.0616115500000001</v>
      </c>
      <c r="AH2060">
        <v>94.361033749293696</v>
      </c>
      <c r="AI2060">
        <v>90.643104954576501</v>
      </c>
      <c r="AJ2060">
        <v>93.877898904729406</v>
      </c>
      <c r="AK2060">
        <v>94.583532708162195</v>
      </c>
      <c r="AL2060">
        <v>78.941877226429796</v>
      </c>
      <c r="AM2060">
        <v>95.531842429649004</v>
      </c>
      <c r="AN2060">
        <v>1.0000000375854201</v>
      </c>
    </row>
    <row r="2061" spans="1:40" x14ac:dyDescent="0.25">
      <c r="A2061" t="str">
        <f>"20190304155057291"</f>
        <v>20190304155057291</v>
      </c>
      <c r="B2061" t="str">
        <f>"1551685857288259"</f>
        <v>1551685857288259</v>
      </c>
      <c r="C2061" t="s">
        <v>40</v>
      </c>
      <c r="D2061">
        <v>4.827159</v>
      </c>
      <c r="E2061">
        <v>0.50870680000000001</v>
      </c>
      <c r="F2061" t="s">
        <v>72</v>
      </c>
      <c r="G2061">
        <v>-402.8329</v>
      </c>
      <c r="H2061">
        <v>5.1789380000000003E-2</v>
      </c>
      <c r="I2061">
        <v>279.6146</v>
      </c>
      <c r="J2061">
        <v>-308.399</v>
      </c>
      <c r="K2061">
        <v>1.110684</v>
      </c>
      <c r="L2061">
        <v>285.26249999999999</v>
      </c>
      <c r="M2061">
        <v>-0.99986810000000004</v>
      </c>
      <c r="N2061">
        <v>-1.417231E-2</v>
      </c>
      <c r="O2061">
        <v>7.93986E-3</v>
      </c>
      <c r="P2061">
        <v>-0.98018570000000005</v>
      </c>
      <c r="Q2061">
        <v>0.17816499999999999</v>
      </c>
      <c r="R2061">
        <v>-8.6563699999999993E-2</v>
      </c>
      <c r="S2061">
        <v>-3.050659</v>
      </c>
      <c r="T2061">
        <v>-3.4148100000000001E-2</v>
      </c>
      <c r="U2061">
        <v>-0.18209839999999999</v>
      </c>
      <c r="V2061">
        <v>-9.4355809999999998E-2</v>
      </c>
      <c r="W2061">
        <v>0.19202269999999999</v>
      </c>
      <c r="X2061">
        <v>0.97684400000000005</v>
      </c>
      <c r="Y2061">
        <v>-6.7500500000000005E-2</v>
      </c>
      <c r="Z2061">
        <v>-8.3261610000000003E-4</v>
      </c>
      <c r="AA2061">
        <v>0.99771889999999996</v>
      </c>
      <c r="AB2061">
        <v>29</v>
      </c>
      <c r="AC2061">
        <v>-94.433899999999994</v>
      </c>
      <c r="AD2061">
        <v>-1.05889462</v>
      </c>
      <c r="AE2061">
        <v>-5.6478999999999902</v>
      </c>
      <c r="AF2061">
        <v>-6.3967877281280296</v>
      </c>
      <c r="AG2061">
        <v>-1.05889462</v>
      </c>
      <c r="AH2061">
        <v>94.374251022768703</v>
      </c>
      <c r="AI2061">
        <v>90.641369593391204</v>
      </c>
      <c r="AJ2061">
        <v>93.8776381976935</v>
      </c>
      <c r="AK2061">
        <v>94.596719854144794</v>
      </c>
      <c r="AL2061">
        <v>78.929149396907704</v>
      </c>
      <c r="AM2061">
        <v>95.517226633380901</v>
      </c>
      <c r="AN2061">
        <v>0.999999968266022</v>
      </c>
    </row>
    <row r="2062" spans="1:40" x14ac:dyDescent="0.25">
      <c r="A2062" t="str">
        <f>"20190304155057304"</f>
        <v>20190304155057304</v>
      </c>
      <c r="B2062" t="str">
        <f>"1551685857298995"</f>
        <v>1551685857298995</v>
      </c>
      <c r="C2062" t="s">
        <v>40</v>
      </c>
      <c r="D2062">
        <v>4.8248949999999997</v>
      </c>
      <c r="E2062">
        <v>0.50867850000000003</v>
      </c>
      <c r="F2062" t="s">
        <v>72</v>
      </c>
      <c r="G2062">
        <v>-403.17680000000001</v>
      </c>
      <c r="H2062">
        <v>5.0583870000000003E-2</v>
      </c>
      <c r="I2062">
        <v>279.61579999999998</v>
      </c>
      <c r="J2062">
        <v>-308.58010000000002</v>
      </c>
      <c r="K2062">
        <v>1.1106860000000001</v>
      </c>
      <c r="L2062">
        <v>285.26389999999998</v>
      </c>
      <c r="M2062">
        <v>-0.99986839999999999</v>
      </c>
      <c r="N2062">
        <v>-1.4170490000000001E-2</v>
      </c>
      <c r="O2062">
        <v>7.9089980000000004E-3</v>
      </c>
      <c r="P2062">
        <v>-0.98025980000000001</v>
      </c>
      <c r="Q2062">
        <v>0.17791309999999999</v>
      </c>
      <c r="R2062">
        <v>-8.6243479999999997E-2</v>
      </c>
      <c r="S2062">
        <v>-3.0508120000000001</v>
      </c>
      <c r="T2062">
        <v>-3.412366E-2</v>
      </c>
      <c r="U2062">
        <v>-0.1817627</v>
      </c>
      <c r="V2062">
        <v>-9.4006039999999999E-2</v>
      </c>
      <c r="W2062">
        <v>0.19177050000000001</v>
      </c>
      <c r="X2062">
        <v>0.97692730000000005</v>
      </c>
      <c r="Y2062">
        <v>-6.735737E-2</v>
      </c>
      <c r="Z2062">
        <v>-8.3048859999999998E-4</v>
      </c>
      <c r="AA2062">
        <v>0.99772859999999997</v>
      </c>
      <c r="AB2062">
        <v>29</v>
      </c>
      <c r="AC2062">
        <v>-94.596699999999998</v>
      </c>
      <c r="AD2062">
        <v>-1.06010213</v>
      </c>
      <c r="AE2062">
        <v>-5.6481000000000003</v>
      </c>
      <c r="AF2062">
        <v>-6.3953631667754296</v>
      </c>
      <c r="AG2062">
        <v>-1.06010213</v>
      </c>
      <c r="AH2062">
        <v>94.537235009532395</v>
      </c>
      <c r="AI2062">
        <v>90.640999715594603</v>
      </c>
      <c r="AJ2062">
        <v>93.870113973895499</v>
      </c>
      <c r="AK2062">
        <v>94.759238545951405</v>
      </c>
      <c r="AL2062">
        <v>78.943873439178901</v>
      </c>
      <c r="AM2062">
        <v>95.496434344251199</v>
      </c>
      <c r="AN2062">
        <v>1.00000000485601</v>
      </c>
    </row>
    <row r="2063" spans="1:40" x14ac:dyDescent="0.25">
      <c r="A2063" t="str">
        <f>"20190304155057322"</f>
        <v>20190304155057322</v>
      </c>
      <c r="B2063" t="str">
        <f>"1551685857318515"</f>
        <v>1551685857318515</v>
      </c>
      <c r="C2063" t="s">
        <v>40</v>
      </c>
      <c r="D2063">
        <v>4.8617990000000004</v>
      </c>
      <c r="E2063">
        <v>0.50869409999999904</v>
      </c>
      <c r="F2063" t="s">
        <v>72</v>
      </c>
      <c r="G2063">
        <v>-403.66039999999998</v>
      </c>
      <c r="H2063">
        <v>1.7848409999999999E-2</v>
      </c>
      <c r="I2063">
        <v>279.6164</v>
      </c>
      <c r="J2063">
        <v>-308.80200000000002</v>
      </c>
      <c r="K2063">
        <v>1.1106860000000001</v>
      </c>
      <c r="L2063">
        <v>285.26560000000001</v>
      </c>
      <c r="M2063">
        <v>-0.99986870000000005</v>
      </c>
      <c r="N2063">
        <v>-1.4168210000000001E-2</v>
      </c>
      <c r="O2063">
        <v>7.8708719999999992E-3</v>
      </c>
      <c r="P2063">
        <v>-0.98025770000000001</v>
      </c>
      <c r="Q2063">
        <v>0.1781614</v>
      </c>
      <c r="R2063">
        <v>-8.5753019999999999E-2</v>
      </c>
      <c r="S2063">
        <v>-3.0508730000000002</v>
      </c>
      <c r="T2063">
        <v>-3.506625E-2</v>
      </c>
      <c r="U2063">
        <v>-0.1812134</v>
      </c>
      <c r="V2063">
        <v>-9.3477850000000001E-2</v>
      </c>
      <c r="W2063">
        <v>0.19201660000000001</v>
      </c>
      <c r="X2063">
        <v>0.97692959999999995</v>
      </c>
      <c r="Y2063">
        <v>-6.7138790000000004E-2</v>
      </c>
      <c r="Z2063">
        <v>-8.4055449999999895E-4</v>
      </c>
      <c r="AA2063">
        <v>0.9977433</v>
      </c>
      <c r="AB2063">
        <v>29</v>
      </c>
      <c r="AC2063">
        <v>-94.858399999999904</v>
      </c>
      <c r="AD2063">
        <v>-1.09283759</v>
      </c>
      <c r="AE2063">
        <v>-5.6492000000000004</v>
      </c>
      <c r="AF2063">
        <v>-6.3948724367562599</v>
      </c>
      <c r="AG2063">
        <v>-1.09283759</v>
      </c>
      <c r="AH2063">
        <v>94.798454647229093</v>
      </c>
      <c r="AI2063">
        <v>90.658979580225704</v>
      </c>
      <c r="AJ2063">
        <v>93.859186795449006</v>
      </c>
      <c r="AK2063">
        <v>95.020185702740406</v>
      </c>
      <c r="AL2063">
        <v>78.929505472009893</v>
      </c>
      <c r="AM2063">
        <v>95.465726382475907</v>
      </c>
      <c r="AN2063">
        <v>0.99999996323617002</v>
      </c>
    </row>
    <row r="2064" spans="1:40" x14ac:dyDescent="0.25">
      <c r="A2064" t="str">
        <f>"20190304155057337"</f>
        <v>20190304155057337</v>
      </c>
      <c r="B2064" t="str">
        <f>"1551685857328277"</f>
        <v>1551685857328277</v>
      </c>
      <c r="C2064" t="s">
        <v>40</v>
      </c>
      <c r="D2064">
        <v>4.8729509999999996</v>
      </c>
      <c r="E2064">
        <v>0.50864620000000005</v>
      </c>
      <c r="F2064" t="s">
        <v>72</v>
      </c>
      <c r="G2064">
        <v>-404.65789999999998</v>
      </c>
      <c r="H2064">
        <v>2.1190569999999999E-2</v>
      </c>
      <c r="I2064">
        <v>279.6164</v>
      </c>
      <c r="J2064">
        <v>-308.98520000000002</v>
      </c>
      <c r="K2064">
        <v>1.11069</v>
      </c>
      <c r="L2064">
        <v>285.267</v>
      </c>
      <c r="M2064">
        <v>-0.99986900000000001</v>
      </c>
      <c r="N2064">
        <v>-1.4166379999999999E-2</v>
      </c>
      <c r="O2064">
        <v>7.8393569999999999E-3</v>
      </c>
      <c r="P2064">
        <v>-0.98026789999999997</v>
      </c>
      <c r="Q2064">
        <v>0.1780207</v>
      </c>
      <c r="R2064">
        <v>-8.5928530000000003E-2</v>
      </c>
      <c r="S2064">
        <v>-3.0509949999999999</v>
      </c>
      <c r="T2064">
        <v>-3.4677510000000002E-2</v>
      </c>
      <c r="U2064">
        <v>-0.17980960000000001</v>
      </c>
      <c r="V2064">
        <v>-9.3622570000000002E-2</v>
      </c>
      <c r="W2064">
        <v>0.1918744</v>
      </c>
      <c r="X2064">
        <v>0.97694369999999997</v>
      </c>
      <c r="Y2064">
        <v>-6.6647719999999994E-2</v>
      </c>
      <c r="Z2064">
        <v>-8.2902929999999903E-4</v>
      </c>
      <c r="AA2064">
        <v>0.9977762</v>
      </c>
      <c r="AB2064">
        <v>29</v>
      </c>
      <c r="AC2064">
        <v>-95.672699999999907</v>
      </c>
      <c r="AD2064">
        <v>-1.08949943</v>
      </c>
      <c r="AE2064">
        <v>-5.6505999999999901</v>
      </c>
      <c r="AF2064">
        <v>-6.3996869570668897</v>
      </c>
      <c r="AG2064">
        <v>-1.08949943</v>
      </c>
      <c r="AH2064">
        <v>95.6131018982245</v>
      </c>
      <c r="AI2064">
        <v>90.651392663232201</v>
      </c>
      <c r="AJ2064">
        <v>93.829275892714506</v>
      </c>
      <c r="AK2064">
        <v>95.833231484473501</v>
      </c>
      <c r="AL2064">
        <v>78.937807509749604</v>
      </c>
      <c r="AM2064">
        <v>95.474058390843695</v>
      </c>
      <c r="AN2064">
        <v>0.99999998197922702</v>
      </c>
    </row>
    <row r="2065" spans="1:40" x14ac:dyDescent="0.25">
      <c r="A2065" t="str">
        <f>"20190304155057357"</f>
        <v>20190304155057357</v>
      </c>
      <c r="B2065" t="str">
        <f>"1551685857348771"</f>
        <v>1551685857348771</v>
      </c>
      <c r="C2065" t="s">
        <v>40</v>
      </c>
      <c r="D2065">
        <v>4.8414089999999996</v>
      </c>
      <c r="E2065">
        <v>0.50861729999999905</v>
      </c>
      <c r="F2065" t="s">
        <v>72</v>
      </c>
      <c r="G2065">
        <v>-404.12729999999999</v>
      </c>
      <c r="H2065" s="1">
        <v>7.6026309999999996E-6</v>
      </c>
      <c r="I2065">
        <v>279.6284</v>
      </c>
      <c r="J2065">
        <v>-309.25310000000002</v>
      </c>
      <c r="K2065">
        <v>1.11069</v>
      </c>
      <c r="L2065">
        <v>285.26909999999998</v>
      </c>
      <c r="M2065">
        <v>-0.99986929999999996</v>
      </c>
      <c r="N2065">
        <v>-1.416367E-2</v>
      </c>
      <c r="O2065">
        <v>7.7931880000000004E-3</v>
      </c>
      <c r="P2065">
        <v>-0.98025689999999999</v>
      </c>
      <c r="Q2065">
        <v>0.1780292</v>
      </c>
      <c r="R2065">
        <v>-8.6034910000000006E-2</v>
      </c>
      <c r="S2065">
        <v>-3.0509949999999999</v>
      </c>
      <c r="T2065">
        <v>-3.561711E-2</v>
      </c>
      <c r="U2065">
        <v>-0.1808167</v>
      </c>
      <c r="V2065">
        <v>-9.3683950000000002E-2</v>
      </c>
      <c r="W2065">
        <v>0.19188050000000001</v>
      </c>
      <c r="X2065">
        <v>0.97693660000000004</v>
      </c>
      <c r="Y2065">
        <v>-6.6929429999999998E-2</v>
      </c>
      <c r="Z2065">
        <v>-8.4538210000000003E-4</v>
      </c>
      <c r="AA2065">
        <v>0.99775740000000002</v>
      </c>
      <c r="AB2065">
        <v>29</v>
      </c>
      <c r="AC2065">
        <v>-94.874199999999902</v>
      </c>
      <c r="AD2065">
        <v>-1.1106823973690001</v>
      </c>
      <c r="AE2065">
        <v>-5.6406999999999803</v>
      </c>
      <c r="AF2065">
        <v>-6.3791041520977299</v>
      </c>
      <c r="AG2065">
        <v>-1.1106823973690001</v>
      </c>
      <c r="AH2065">
        <v>94.814406220250305</v>
      </c>
      <c r="AI2065">
        <v>90.669634313414804</v>
      </c>
      <c r="AJ2065">
        <v>93.849053850925102</v>
      </c>
      <c r="AK2065">
        <v>95.035247208968599</v>
      </c>
      <c r="AL2065">
        <v>78.937451193604204</v>
      </c>
      <c r="AM2065">
        <v>95.477664990946195</v>
      </c>
      <c r="AN2065">
        <v>0.99999996459370499</v>
      </c>
    </row>
    <row r="2066" spans="1:40" x14ac:dyDescent="0.25">
      <c r="A2066" t="str">
        <f>"20190304155057380"</f>
        <v>20190304155057380</v>
      </c>
      <c r="B2066" t="str">
        <f>"1551685857368290"</f>
        <v>1551685857368290</v>
      </c>
      <c r="C2066" t="s">
        <v>40</v>
      </c>
      <c r="D2066">
        <v>4.8560610000000004</v>
      </c>
      <c r="E2066">
        <v>0.50844469999999997</v>
      </c>
      <c r="F2066" t="s">
        <v>72</v>
      </c>
      <c r="G2066">
        <v>-401.46210000000002</v>
      </c>
      <c r="H2066" s="1">
        <v>8.7536609999999904E-6</v>
      </c>
      <c r="I2066">
        <v>279.77789999999999</v>
      </c>
      <c r="J2066">
        <v>-309.54050000000001</v>
      </c>
      <c r="K2066">
        <v>1.11069</v>
      </c>
      <c r="L2066">
        <v>285.27120000000002</v>
      </c>
      <c r="M2066">
        <v>-0.99986989999999998</v>
      </c>
      <c r="N2066">
        <v>-1.416067E-2</v>
      </c>
      <c r="O2066">
        <v>7.743326E-3</v>
      </c>
      <c r="P2066">
        <v>-0.98028559999999998</v>
      </c>
      <c r="Q2066">
        <v>0.17776589999999901</v>
      </c>
      <c r="R2066">
        <v>-8.6252850000000006E-2</v>
      </c>
      <c r="S2066">
        <v>-3.0511469999999998</v>
      </c>
      <c r="T2066">
        <v>-3.6751869999999999E-2</v>
      </c>
      <c r="U2066">
        <v>-0.18170169999999999</v>
      </c>
      <c r="V2066">
        <v>-9.3852909999999998E-2</v>
      </c>
      <c r="W2066">
        <v>0.19161420000000001</v>
      </c>
      <c r="X2066">
        <v>0.97697270000000003</v>
      </c>
      <c r="Y2066">
        <v>-6.7164619999999994E-2</v>
      </c>
      <c r="Z2066">
        <v>-8.6380020000000003E-4</v>
      </c>
      <c r="AA2066">
        <v>0.99774149999999995</v>
      </c>
      <c r="AB2066">
        <v>29</v>
      </c>
      <c r="AC2066">
        <v>-91.921599999999998</v>
      </c>
      <c r="AD2066">
        <v>-1.1106812463389999</v>
      </c>
      <c r="AE2066">
        <v>-5.4933000000000298</v>
      </c>
      <c r="AF2066">
        <v>-6.2040829077026904</v>
      </c>
      <c r="AG2066">
        <v>-1.1106812463389999</v>
      </c>
      <c r="AH2066">
        <v>91.862938987092505</v>
      </c>
      <c r="AI2066">
        <v>90.691134354580299</v>
      </c>
      <c r="AJ2066">
        <v>93.863677746918896</v>
      </c>
      <c r="AK2066">
        <v>92.078899954891497</v>
      </c>
      <c r="AL2066">
        <v>78.952998079718</v>
      </c>
      <c r="AM2066">
        <v>95.487282240628204</v>
      </c>
      <c r="AN2066">
        <v>1.0000000134511899</v>
      </c>
    </row>
    <row r="2067" spans="1:40" x14ac:dyDescent="0.25">
      <c r="A2067" t="str">
        <f>"20190304155057399"</f>
        <v>20190304155057399</v>
      </c>
      <c r="B2067" t="str">
        <f>"1551685857388787"</f>
        <v>1551685857388787</v>
      </c>
      <c r="C2067" t="s">
        <v>40</v>
      </c>
      <c r="D2067">
        <v>4.8577309999999896</v>
      </c>
      <c r="E2067">
        <v>0.50830790000000003</v>
      </c>
      <c r="F2067" t="s">
        <v>70</v>
      </c>
      <c r="G2067">
        <v>-398.1377</v>
      </c>
      <c r="H2067" s="1">
        <v>2.7936639999999999E-6</v>
      </c>
      <c r="I2067">
        <v>279.94009999999997</v>
      </c>
      <c r="J2067">
        <v>-309.7971</v>
      </c>
      <c r="K2067">
        <v>1.1106910000000001</v>
      </c>
      <c r="L2067">
        <v>285.27319999999997</v>
      </c>
      <c r="M2067">
        <v>-0.99987020000000004</v>
      </c>
      <c r="N2067">
        <v>-1.4157970000000001E-2</v>
      </c>
      <c r="O2067">
        <v>7.6990030000000003E-3</v>
      </c>
      <c r="P2067">
        <v>-0.98017500000000002</v>
      </c>
      <c r="Q2067">
        <v>0.17802970000000001</v>
      </c>
      <c r="R2067">
        <v>-8.6963699999999894E-2</v>
      </c>
      <c r="S2067">
        <v>-3.0511170000000001</v>
      </c>
      <c r="T2067">
        <v>-3.8249970000000001E-2</v>
      </c>
      <c r="U2067">
        <v>-0.1835938</v>
      </c>
      <c r="V2067">
        <v>-9.451975E-2</v>
      </c>
      <c r="W2067">
        <v>0.19187389999999999</v>
      </c>
      <c r="X2067">
        <v>0.97685739999999999</v>
      </c>
      <c r="Y2067">
        <v>-6.7736770000000002E-2</v>
      </c>
      <c r="Z2067">
        <v>-8.9171879999999995E-4</v>
      </c>
      <c r="AA2067">
        <v>0.9977028</v>
      </c>
      <c r="AB2067">
        <v>29</v>
      </c>
      <c r="AC2067">
        <v>-88.340599999999995</v>
      </c>
      <c r="AD2067">
        <v>-1.110688206336</v>
      </c>
      <c r="AE2067">
        <v>-5.3331</v>
      </c>
      <c r="AF2067">
        <v>-6.0121976521797498</v>
      </c>
      <c r="AG2067">
        <v>-1.110688206336</v>
      </c>
      <c r="AH2067">
        <v>88.283012916126495</v>
      </c>
      <c r="AI2067">
        <v>90.719134430833407</v>
      </c>
      <c r="AJ2067">
        <v>93.895907981706202</v>
      </c>
      <c r="AK2067">
        <v>88.494466032908093</v>
      </c>
      <c r="AL2067">
        <v>78.937836658660501</v>
      </c>
      <c r="AM2067">
        <v>95.526677982113299</v>
      </c>
      <c r="AN2067">
        <v>0.99999997828801601</v>
      </c>
    </row>
    <row r="2068" spans="1:40" x14ac:dyDescent="0.25">
      <c r="A2068" t="str">
        <f>"20190304155057415"</f>
        <v>20190304155057415</v>
      </c>
      <c r="B2068" t="str">
        <f>"1551685857408307"</f>
        <v>1551685857408307</v>
      </c>
      <c r="C2068" t="s">
        <v>40</v>
      </c>
      <c r="D2068">
        <v>4.8712720000000003</v>
      </c>
      <c r="E2068">
        <v>0.50802769999999997</v>
      </c>
      <c r="F2068" t="s">
        <v>70</v>
      </c>
      <c r="G2068">
        <v>-398.85399999999998</v>
      </c>
      <c r="H2068" s="1">
        <v>3.1748850000000001E-6</v>
      </c>
      <c r="I2068">
        <v>279.82339999999999</v>
      </c>
      <c r="J2068">
        <v>-309.9837</v>
      </c>
      <c r="K2068">
        <v>1.110692</v>
      </c>
      <c r="L2068">
        <v>285.27460000000002</v>
      </c>
      <c r="M2068">
        <v>-0.9998705</v>
      </c>
      <c r="N2068">
        <v>-1.415599E-2</v>
      </c>
      <c r="O2068">
        <v>7.6665969999999998E-3</v>
      </c>
      <c r="P2068">
        <v>-0.98015560000000002</v>
      </c>
      <c r="Q2068">
        <v>0.17811399999999999</v>
      </c>
      <c r="R2068">
        <v>-8.7008719999999998E-2</v>
      </c>
      <c r="S2068">
        <v>-3.0510250000000001</v>
      </c>
      <c r="T2068">
        <v>-3.8051370000000001E-2</v>
      </c>
      <c r="U2068">
        <v>-0.1867065</v>
      </c>
      <c r="V2068">
        <v>-9.4532660000000004E-2</v>
      </c>
      <c r="W2068">
        <v>0.19195580000000001</v>
      </c>
      <c r="X2068">
        <v>0.97684009999999999</v>
      </c>
      <c r="Y2068">
        <v>-6.8720279999999995E-2</v>
      </c>
      <c r="Z2068">
        <v>-9.0213170000000005E-4</v>
      </c>
      <c r="AA2068">
        <v>0.99763550000000001</v>
      </c>
      <c r="AB2068">
        <v>29</v>
      </c>
      <c r="AC2068">
        <v>-88.8703</v>
      </c>
      <c r="AD2068">
        <v>-1.110688825115</v>
      </c>
      <c r="AE2068">
        <v>-5.4512000000000196</v>
      </c>
      <c r="AF2068">
        <v>-6.1314866256446896</v>
      </c>
      <c r="AG2068">
        <v>-1.110688825115</v>
      </c>
      <c r="AH2068">
        <v>88.812071205084493</v>
      </c>
      <c r="AI2068">
        <v>90.714805620893401</v>
      </c>
      <c r="AJ2068">
        <v>93.949370135682898</v>
      </c>
      <c r="AK2068">
        <v>89.030403512753495</v>
      </c>
      <c r="AL2068">
        <v>78.933055688913598</v>
      </c>
      <c r="AM2068">
        <v>95.527525455451695</v>
      </c>
      <c r="AN2068">
        <v>1.0000000169641601</v>
      </c>
    </row>
    <row r="2069" spans="1:40" x14ac:dyDescent="0.25">
      <c r="A2069" t="str">
        <f>"20190304155057426"</f>
        <v>20190304155057426</v>
      </c>
      <c r="B2069" t="str">
        <f>"1551685857419043"</f>
        <v>1551685857419043</v>
      </c>
      <c r="C2069" t="s">
        <v>40</v>
      </c>
      <c r="D2069">
        <v>4.8437710000000003</v>
      </c>
      <c r="E2069">
        <v>0.50793319999999997</v>
      </c>
      <c r="F2069" t="s">
        <v>70</v>
      </c>
      <c r="G2069">
        <v>-396.81639999999999</v>
      </c>
      <c r="H2069" s="1">
        <v>2.090586E-6</v>
      </c>
      <c r="I2069">
        <v>279.89400000000001</v>
      </c>
      <c r="J2069">
        <v>-310.15339999999998</v>
      </c>
      <c r="K2069">
        <v>1.1106929999999999</v>
      </c>
      <c r="L2069">
        <v>285.2758</v>
      </c>
      <c r="M2069">
        <v>-0.9998707</v>
      </c>
      <c r="N2069">
        <v>-1.4154180000000001E-2</v>
      </c>
      <c r="O2069">
        <v>7.6371109999999898E-3</v>
      </c>
      <c r="P2069">
        <v>-0.98013680000000003</v>
      </c>
      <c r="Q2069">
        <v>0.178111299999999</v>
      </c>
      <c r="R2069">
        <v>-8.7225929999999993E-2</v>
      </c>
      <c r="S2069">
        <v>-3.051056</v>
      </c>
      <c r="T2069">
        <v>-3.9026499999999999E-2</v>
      </c>
      <c r="U2069">
        <v>-0.18905640000000001</v>
      </c>
      <c r="V2069">
        <v>-9.4720479999999996E-2</v>
      </c>
      <c r="W2069">
        <v>0.19195119999999999</v>
      </c>
      <c r="X2069">
        <v>0.97682279999999999</v>
      </c>
      <c r="Y2069">
        <v>-6.9455139999999999E-2</v>
      </c>
      <c r="Z2069">
        <v>-9.2544100000000005E-4</v>
      </c>
      <c r="AA2069">
        <v>0.99758460000000004</v>
      </c>
      <c r="AB2069">
        <v>29</v>
      </c>
      <c r="AC2069">
        <v>-86.662999999999997</v>
      </c>
      <c r="AD2069">
        <v>-1.1106909094139901</v>
      </c>
      <c r="AE2069">
        <v>-5.3817999999999904</v>
      </c>
      <c r="AF2069">
        <v>-6.0425755384034403</v>
      </c>
      <c r="AG2069">
        <v>-1.1106909094139901</v>
      </c>
      <c r="AH2069">
        <v>86.6051959061069</v>
      </c>
      <c r="AI2069">
        <v>90.732982635468204</v>
      </c>
      <c r="AJ2069">
        <v>93.991145218617604</v>
      </c>
      <c r="AK2069">
        <v>86.8228444095718</v>
      </c>
      <c r="AL2069">
        <v>78.933324138103004</v>
      </c>
      <c r="AM2069">
        <v>95.538536951655104</v>
      </c>
      <c r="AN2069">
        <v>1.00000000755635</v>
      </c>
    </row>
    <row r="2070" spans="1:40" x14ac:dyDescent="0.25">
      <c r="A2070" t="str">
        <f>"20190304155057440"</f>
        <v>20190304155057440</v>
      </c>
      <c r="B2070" t="str">
        <f>"1551685857428804"</f>
        <v>1551685857428804</v>
      </c>
      <c r="C2070" t="s">
        <v>40</v>
      </c>
      <c r="D2070">
        <v>4.817647</v>
      </c>
      <c r="E2070">
        <v>0.50785670000000005</v>
      </c>
      <c r="F2070" t="s">
        <v>70</v>
      </c>
      <c r="G2070">
        <v>-396.05200000000002</v>
      </c>
      <c r="H2070" s="1">
        <v>1.6837779999999999E-6</v>
      </c>
      <c r="I2070">
        <v>279.90589999999997</v>
      </c>
      <c r="J2070">
        <v>-310.31639999999999</v>
      </c>
      <c r="K2070">
        <v>1.1106830000000001</v>
      </c>
      <c r="L2070">
        <v>285.27699999999999</v>
      </c>
      <c r="M2070">
        <v>-0.99987099999999995</v>
      </c>
      <c r="N2070">
        <v>-1.415246E-2</v>
      </c>
      <c r="O2070">
        <v>7.608694E-3</v>
      </c>
      <c r="P2070">
        <v>-0.98010339999999996</v>
      </c>
      <c r="Q2070">
        <v>0.17819679999999999</v>
      </c>
      <c r="R2070">
        <v>-8.7428060000000002E-2</v>
      </c>
      <c r="S2070">
        <v>-3.0509949999999999</v>
      </c>
      <c r="T2070">
        <v>-3.945017E-2</v>
      </c>
      <c r="U2070">
        <v>-0.19073490000000001</v>
      </c>
      <c r="V2070">
        <v>-9.4894489999999998E-2</v>
      </c>
      <c r="W2070">
        <v>0.1920345</v>
      </c>
      <c r="X2070">
        <v>0.97678949999999998</v>
      </c>
      <c r="Y2070">
        <v>-6.9974419999999996E-2</v>
      </c>
      <c r="Z2070">
        <v>-9.3835030000000001E-4</v>
      </c>
      <c r="AA2070">
        <v>0.99754830000000005</v>
      </c>
      <c r="AB2070">
        <v>29</v>
      </c>
      <c r="AC2070">
        <v>-85.735599999999906</v>
      </c>
      <c r="AD2070">
        <v>-1.1106813162219999</v>
      </c>
      <c r="AE2070">
        <v>-5.37110000000001</v>
      </c>
      <c r="AF2070">
        <v>-6.0223389649640104</v>
      </c>
      <c r="AG2070">
        <v>-1.1106813162219999</v>
      </c>
      <c r="AH2070">
        <v>85.677923927438101</v>
      </c>
      <c r="AI2070">
        <v>90.740881465069805</v>
      </c>
      <c r="AJ2070">
        <v>94.020732444079201</v>
      </c>
      <c r="AK2070">
        <v>85.896500674422199</v>
      </c>
      <c r="AL2070">
        <v>78.928460509134396</v>
      </c>
      <c r="AM2070">
        <v>95.548836281060105</v>
      </c>
      <c r="AN2070">
        <v>0.99999997036642896</v>
      </c>
    </row>
    <row r="2071" spans="1:40" x14ac:dyDescent="0.25">
      <c r="A2071" t="str">
        <f>"20190304155057457"</f>
        <v>20190304155057457</v>
      </c>
      <c r="B2071" t="str">
        <f>"1551685857448323"</f>
        <v>1551685857448323</v>
      </c>
      <c r="C2071" t="s">
        <v>40</v>
      </c>
      <c r="D2071">
        <v>4.7889540000000004</v>
      </c>
      <c r="E2071">
        <v>0.50792459999999995</v>
      </c>
      <c r="F2071" t="s">
        <v>70</v>
      </c>
      <c r="G2071">
        <v>-394.48939999999999</v>
      </c>
      <c r="H2071" s="1">
        <v>8.5226529999999999E-7</v>
      </c>
      <c r="I2071">
        <v>279.9796</v>
      </c>
      <c r="J2071">
        <v>-310.52289999999999</v>
      </c>
      <c r="K2071">
        <v>1.1106819999999999</v>
      </c>
      <c r="L2071">
        <v>285.27859999999998</v>
      </c>
      <c r="M2071">
        <v>-0.99987130000000002</v>
      </c>
      <c r="N2071">
        <v>-1.415024E-2</v>
      </c>
      <c r="O2071">
        <v>7.5731289999999996E-3</v>
      </c>
      <c r="P2071">
        <v>-0.9802052</v>
      </c>
      <c r="Q2071">
        <v>0.1777012</v>
      </c>
      <c r="R2071">
        <v>-8.7294549999999999E-2</v>
      </c>
      <c r="S2071">
        <v>-3.051056</v>
      </c>
      <c r="T2071">
        <v>-4.0259360000000001E-2</v>
      </c>
      <c r="U2071">
        <v>-0.19201660000000001</v>
      </c>
      <c r="V2071">
        <v>-9.4726850000000001E-2</v>
      </c>
      <c r="W2071">
        <v>0.1915384</v>
      </c>
      <c r="X2071">
        <v>0.97690319999999997</v>
      </c>
      <c r="Y2071">
        <v>-7.0354680000000003E-2</v>
      </c>
      <c r="Z2071">
        <v>-9.5479899999999999E-4</v>
      </c>
      <c r="AA2071">
        <v>0.99752160000000001</v>
      </c>
      <c r="AB2071">
        <v>29</v>
      </c>
      <c r="AC2071">
        <v>-83.966499999999996</v>
      </c>
      <c r="AD2071">
        <v>-1.1106811477346901</v>
      </c>
      <c r="AE2071">
        <v>-5.2989999999999702</v>
      </c>
      <c r="AF2071">
        <v>-5.9337666370800397</v>
      </c>
      <c r="AG2071">
        <v>-1.1106811477346901</v>
      </c>
      <c r="AH2071">
        <v>83.909334143136107</v>
      </c>
      <c r="AI2071">
        <v>90.756472798212201</v>
      </c>
      <c r="AJ2071">
        <v>94.045017851577498</v>
      </c>
      <c r="AK2071">
        <v>84.126212059379796</v>
      </c>
      <c r="AL2071">
        <v>78.957422893041297</v>
      </c>
      <c r="AM2071">
        <v>95.538454082379303</v>
      </c>
      <c r="AN2071">
        <v>0.99999999847786103</v>
      </c>
    </row>
    <row r="2072" spans="1:40" x14ac:dyDescent="0.25">
      <c r="A2072" t="str">
        <f>"20190304155057469"</f>
        <v>20190304155057469</v>
      </c>
      <c r="B2072" t="str">
        <f>"1551685857459059"</f>
        <v>1551685857459059</v>
      </c>
      <c r="C2072" t="s">
        <v>40</v>
      </c>
      <c r="D2072">
        <v>4.8804189999999998</v>
      </c>
      <c r="E2072">
        <v>0.50788440000000001</v>
      </c>
      <c r="F2072" t="s">
        <v>70</v>
      </c>
      <c r="G2072">
        <v>-390.41109999999998</v>
      </c>
      <c r="H2072" s="1">
        <v>-1.318025E-6</v>
      </c>
      <c r="I2072">
        <v>280.28559999999999</v>
      </c>
      <c r="J2072">
        <v>-310.69569999999999</v>
      </c>
      <c r="K2072">
        <v>1.1106769999999999</v>
      </c>
      <c r="L2072">
        <v>285.2799</v>
      </c>
      <c r="M2072">
        <v>-0.99987139999999997</v>
      </c>
      <c r="N2072">
        <v>-1.414836E-2</v>
      </c>
      <c r="O2072">
        <v>7.5432819999999897E-3</v>
      </c>
      <c r="P2072">
        <v>-0.98014730000000005</v>
      </c>
      <c r="Q2072">
        <v>0.17782719999999999</v>
      </c>
      <c r="R2072">
        <v>-8.7686550000000002E-2</v>
      </c>
      <c r="S2072">
        <v>-3.0512700000000001</v>
      </c>
      <c r="T2072">
        <v>-4.24217E-2</v>
      </c>
      <c r="U2072">
        <v>-0.19070429999999999</v>
      </c>
      <c r="V2072">
        <v>-9.508925E-2</v>
      </c>
      <c r="W2072">
        <v>0.1916619</v>
      </c>
      <c r="X2072">
        <v>0.97684380000000004</v>
      </c>
      <c r="Y2072">
        <v>-6.9892250000000003E-2</v>
      </c>
      <c r="Z2072">
        <v>-9.7849440000000003E-4</v>
      </c>
      <c r="AA2072">
        <v>0.9975541</v>
      </c>
      <c r="AB2072">
        <v>29</v>
      </c>
      <c r="AC2072">
        <v>-79.715399999999903</v>
      </c>
      <c r="AD2072">
        <v>-1.1106783180249999</v>
      </c>
      <c r="AE2072">
        <v>-4.9943000000000097</v>
      </c>
      <c r="AF2072">
        <v>-5.5944520430449698</v>
      </c>
      <c r="AG2072">
        <v>-1.1106783180249999</v>
      </c>
      <c r="AH2072">
        <v>79.6600504568095</v>
      </c>
      <c r="AI2072">
        <v>90.796845240296605</v>
      </c>
      <c r="AJ2072">
        <v>94.017234039268402</v>
      </c>
      <c r="AK2072">
        <v>79.863978981575301</v>
      </c>
      <c r="AL2072">
        <v>78.950213639438502</v>
      </c>
      <c r="AM2072">
        <v>95.559846199385404</v>
      </c>
      <c r="AN2072">
        <v>1.0000000294878</v>
      </c>
    </row>
    <row r="2073" spans="1:40" x14ac:dyDescent="0.25">
      <c r="A2073" t="str">
        <f>"20190304155057482"</f>
        <v>20190304155057482</v>
      </c>
      <c r="B2073" t="str">
        <f>"1551685857478579"</f>
        <v>1551685857478579</v>
      </c>
      <c r="C2073" t="s">
        <v>40</v>
      </c>
      <c r="D2073">
        <v>4.8925689999999999</v>
      </c>
      <c r="E2073">
        <v>0.48614560000000001</v>
      </c>
      <c r="F2073" t="s">
        <v>70</v>
      </c>
      <c r="G2073">
        <v>-390.77760000000001</v>
      </c>
      <c r="H2073" s="1">
        <v>-1.1230159999999999E-6</v>
      </c>
      <c r="I2073">
        <v>280.24110000000002</v>
      </c>
      <c r="J2073">
        <v>-310.86239999999998</v>
      </c>
      <c r="K2073">
        <v>1.1106750000000001</v>
      </c>
      <c r="L2073">
        <v>285.28109999999998</v>
      </c>
      <c r="M2073">
        <v>-0.99987179999999998</v>
      </c>
      <c r="N2073">
        <v>-1.4146550000000001E-2</v>
      </c>
      <c r="O2073">
        <v>7.5148630000000001E-3</v>
      </c>
      <c r="P2073">
        <v>-0.98008300000000004</v>
      </c>
      <c r="Q2073">
        <v>0.17816560000000001</v>
      </c>
      <c r="R2073">
        <v>-8.7717260000000005E-2</v>
      </c>
      <c r="S2073">
        <v>-3.0512700000000001</v>
      </c>
      <c r="T2073">
        <v>-4.2318939999999999E-2</v>
      </c>
      <c r="U2073">
        <v>-0.19198609999999999</v>
      </c>
      <c r="V2073">
        <v>-9.5091750000000003E-2</v>
      </c>
      <c r="W2073">
        <v>0.19199749999999999</v>
      </c>
      <c r="X2073">
        <v>0.97677760000000002</v>
      </c>
      <c r="Y2073">
        <v>-7.0281280000000002E-2</v>
      </c>
      <c r="Z2073">
        <v>-9.8247299999999998E-4</v>
      </c>
      <c r="AA2073">
        <v>0.99752669999999999</v>
      </c>
      <c r="AB2073">
        <v>29</v>
      </c>
      <c r="AC2073">
        <v>-79.915199999999999</v>
      </c>
      <c r="AD2073">
        <v>-1.110676123016</v>
      </c>
      <c r="AE2073">
        <v>-5.0399999999999601</v>
      </c>
      <c r="AF2073">
        <v>-5.6393844887673703</v>
      </c>
      <c r="AG2073">
        <v>-1.110676123016</v>
      </c>
      <c r="AH2073">
        <v>79.859699739971006</v>
      </c>
      <c r="AI2073">
        <v>90.794830255664195</v>
      </c>
      <c r="AJ2073">
        <v>94.039302049327304</v>
      </c>
      <c r="AK2073">
        <v>80.066271934071693</v>
      </c>
      <c r="AL2073">
        <v>78.930620761763805</v>
      </c>
      <c r="AM2073">
        <v>95.560365918601505</v>
      </c>
      <c r="AN2073">
        <v>0.99999998039303595</v>
      </c>
    </row>
    <row r="2074" spans="1:40" x14ac:dyDescent="0.25">
      <c r="A2074" t="str">
        <f>"20190304155057500"</f>
        <v>20190304155057500</v>
      </c>
      <c r="B2074" t="str">
        <f>"1551685857488339"</f>
        <v>1551685857488339</v>
      </c>
      <c r="C2074" t="s">
        <v>40</v>
      </c>
      <c r="D2074">
        <v>4.7854070000000002</v>
      </c>
      <c r="E2074">
        <v>0.482379</v>
      </c>
      <c r="F2074" t="s">
        <v>70</v>
      </c>
      <c r="G2074">
        <v>-351.76600000000002</v>
      </c>
      <c r="H2074" s="1">
        <v>-5.9703549999999999E-7</v>
      </c>
      <c r="I2074">
        <v>280.3809</v>
      </c>
      <c r="J2074">
        <v>-311.08139999999997</v>
      </c>
      <c r="K2074">
        <v>1.1106799999999999</v>
      </c>
      <c r="L2074">
        <v>285.28269999999998</v>
      </c>
      <c r="M2074">
        <v>-0.99987210000000004</v>
      </c>
      <c r="N2074">
        <v>-1.4144169999999999E-2</v>
      </c>
      <c r="O2074">
        <v>7.4769759999999998E-3</v>
      </c>
      <c r="P2074">
        <v>-0.98007270000000002</v>
      </c>
      <c r="Q2074">
        <v>0.17810999999999999</v>
      </c>
      <c r="R2074">
        <v>-8.7946940000000001E-2</v>
      </c>
      <c r="S2074">
        <v>-3.0433650000000001</v>
      </c>
      <c r="T2074">
        <v>-8.2638030000000001E-2</v>
      </c>
      <c r="U2074">
        <v>-0.36459350000000001</v>
      </c>
      <c r="V2074">
        <v>-9.5284270000000004E-2</v>
      </c>
      <c r="W2074">
        <v>0.19193940000000001</v>
      </c>
      <c r="X2074">
        <v>0.97677029999999998</v>
      </c>
      <c r="Y2074">
        <v>-0.12629949999999901</v>
      </c>
      <c r="Z2074">
        <v>-2.701915E-3</v>
      </c>
      <c r="AA2074">
        <v>0.99198850000000005</v>
      </c>
      <c r="AB2074">
        <v>29</v>
      </c>
      <c r="AC2074">
        <v>-40.684599999999897</v>
      </c>
      <c r="AD2074">
        <v>-1.11068059703549</v>
      </c>
      <c r="AE2074">
        <v>-4.9017999999999802</v>
      </c>
      <c r="AF2074">
        <v>-5.2020696222003497</v>
      </c>
      <c r="AG2074">
        <v>-1.11068059703549</v>
      </c>
      <c r="AH2074">
        <v>40.61697041008</v>
      </c>
      <c r="AI2074">
        <v>91.553691322892504</v>
      </c>
      <c r="AJ2074">
        <v>97.2984951533778</v>
      </c>
      <c r="AK2074">
        <v>40.963806281108297</v>
      </c>
      <c r="AL2074">
        <v>78.934013201735198</v>
      </c>
      <c r="AM2074">
        <v>95.571593890436503</v>
      </c>
      <c r="AN2074">
        <v>1.0000000221719401</v>
      </c>
    </row>
    <row r="2075" spans="1:40" x14ac:dyDescent="0.25">
      <c r="A2075" t="str">
        <f>"20190304155057514"</f>
        <v>20190304155057514</v>
      </c>
      <c r="B2075" t="str">
        <f>"1551685857508835"</f>
        <v>1551685857508835</v>
      </c>
      <c r="C2075" t="s">
        <v>40</v>
      </c>
      <c r="D2075">
        <v>4.8896430000000004</v>
      </c>
      <c r="E2075">
        <v>0.47800949999999998</v>
      </c>
      <c r="F2075" t="s">
        <v>70</v>
      </c>
      <c r="G2075">
        <v>-365.95269999999999</v>
      </c>
      <c r="H2075">
        <v>8.0001180000000005E-2</v>
      </c>
      <c r="I2075">
        <v>278.12860000000001</v>
      </c>
      <c r="J2075">
        <v>-311.25650000000002</v>
      </c>
      <c r="K2075">
        <v>1.110679</v>
      </c>
      <c r="L2075">
        <v>285.28399999999999</v>
      </c>
      <c r="M2075">
        <v>-0.99987230000000005</v>
      </c>
      <c r="N2075">
        <v>-1.414228E-2</v>
      </c>
      <c r="O2075">
        <v>7.4468919999999897E-3</v>
      </c>
      <c r="P2075">
        <v>-0.98009619999999997</v>
      </c>
      <c r="Q2075">
        <v>0.17790819999999999</v>
      </c>
      <c r="R2075">
        <v>-8.809227E-2</v>
      </c>
      <c r="S2075">
        <v>-3.0358580000000002</v>
      </c>
      <c r="T2075">
        <v>-5.7024239999999997E-2</v>
      </c>
      <c r="U2075">
        <v>-0.39581300000000003</v>
      </c>
      <c r="V2075">
        <v>-9.5399919999999999E-2</v>
      </c>
      <c r="W2075">
        <v>0.19173589999999999</v>
      </c>
      <c r="X2075">
        <v>0.97679899999999997</v>
      </c>
      <c r="Y2075">
        <v>-0.13662469999999999</v>
      </c>
      <c r="Z2075">
        <v>-2.2824220000000001E-3</v>
      </c>
      <c r="AA2075">
        <v>0.99062030000000001</v>
      </c>
      <c r="AB2075">
        <v>29</v>
      </c>
      <c r="AC2075">
        <v>-54.696199999999898</v>
      </c>
      <c r="AD2075">
        <v>-1.03067782</v>
      </c>
      <c r="AE2075">
        <v>-7.1553999999999798</v>
      </c>
      <c r="AF2075">
        <v>-7.5599197280245898</v>
      </c>
      <c r="AG2075">
        <v>-1.03067782</v>
      </c>
      <c r="AH2075">
        <v>54.622323054087701</v>
      </c>
      <c r="AI2075">
        <v>91.070790719028494</v>
      </c>
      <c r="AJ2075">
        <v>97.879875496433698</v>
      </c>
      <c r="AK2075">
        <v>55.152632384029801</v>
      </c>
      <c r="AL2075">
        <v>78.945893786062896</v>
      </c>
      <c r="AM2075">
        <v>95.578150843558504</v>
      </c>
      <c r="AN2075">
        <v>1.0000000432428999</v>
      </c>
    </row>
    <row r="2076" spans="1:40" x14ac:dyDescent="0.25">
      <c r="A2076" t="str">
        <f>"20190304155057528"</f>
        <v>20190304155057528</v>
      </c>
      <c r="B2076" t="str">
        <f>"1551685857518596"</f>
        <v>1551685857518596</v>
      </c>
      <c r="C2076" t="s">
        <v>40</v>
      </c>
      <c r="D2076">
        <v>4.8688929999999999</v>
      </c>
      <c r="E2076">
        <v>0.47679779999999999</v>
      </c>
      <c r="F2076" t="s">
        <v>70</v>
      </c>
      <c r="G2076">
        <v>-359.47129999999999</v>
      </c>
      <c r="H2076">
        <v>8.0000150000000006E-2</v>
      </c>
      <c r="I2076">
        <v>278.44009999999997</v>
      </c>
      <c r="J2076">
        <v>-311.43329999999997</v>
      </c>
      <c r="K2076">
        <v>1.110679</v>
      </c>
      <c r="L2076">
        <v>285.28530000000001</v>
      </c>
      <c r="M2076">
        <v>-0.99987250000000005</v>
      </c>
      <c r="N2076">
        <v>-1.4140389999999999E-2</v>
      </c>
      <c r="O2076">
        <v>7.4166850000000001E-3</v>
      </c>
      <c r="P2076">
        <v>-0.98013819999999996</v>
      </c>
      <c r="Q2076">
        <v>0.17758879999999999</v>
      </c>
      <c r="R2076">
        <v>-8.8268150000000004E-2</v>
      </c>
      <c r="S2076">
        <v>-3.0339969999999998</v>
      </c>
      <c r="T2076">
        <v>-6.4857129999999999E-2</v>
      </c>
      <c r="U2076">
        <v>-0.43066409999999999</v>
      </c>
      <c r="V2076">
        <v>-9.5546679999999995E-2</v>
      </c>
      <c r="W2076">
        <v>0.19141530000000001</v>
      </c>
      <c r="X2076">
        <v>0.97684749999999998</v>
      </c>
      <c r="Y2076">
        <v>-0.1478217</v>
      </c>
      <c r="Z2076">
        <v>-2.6759259999999999E-3</v>
      </c>
      <c r="AA2076">
        <v>0.98901039999999996</v>
      </c>
      <c r="AB2076">
        <v>29</v>
      </c>
      <c r="AC2076">
        <v>-48.037999999999997</v>
      </c>
      <c r="AD2076">
        <v>-1.0306788499999999</v>
      </c>
      <c r="AE2076">
        <v>-6.8452000000000304</v>
      </c>
      <c r="AF2076">
        <v>-7.1980824267574901</v>
      </c>
      <c r="AG2076">
        <v>-1.0306788499999999</v>
      </c>
      <c r="AH2076">
        <v>47.964264360289299</v>
      </c>
      <c r="AI2076">
        <v>91.2173812697133</v>
      </c>
      <c r="AJ2076">
        <v>98.534787639954402</v>
      </c>
      <c r="AK2076">
        <v>48.512321580583503</v>
      </c>
      <c r="AL2076">
        <v>78.964609114183105</v>
      </c>
      <c r="AM2076">
        <v>95.586402214740701</v>
      </c>
      <c r="AN2076">
        <v>1.0000000116946799</v>
      </c>
    </row>
    <row r="2077" spans="1:40" x14ac:dyDescent="0.25">
      <c r="A2077" t="str">
        <f>"20190304155057541"</f>
        <v>20190304155057541</v>
      </c>
      <c r="B2077" t="str">
        <f>"1551685857539091"</f>
        <v>1551685857539091</v>
      </c>
      <c r="C2077" t="s">
        <v>40</v>
      </c>
      <c r="D2077">
        <v>4.8472350000000004</v>
      </c>
      <c r="E2077">
        <v>0.47537430000000003</v>
      </c>
      <c r="F2077" t="s">
        <v>70</v>
      </c>
      <c r="G2077">
        <v>-356.26530000000002</v>
      </c>
      <c r="H2077">
        <v>8.0001089999999997E-2</v>
      </c>
      <c r="I2077">
        <v>278.774</v>
      </c>
      <c r="J2077">
        <v>-311.60140000000001</v>
      </c>
      <c r="K2077">
        <v>1.1106830000000001</v>
      </c>
      <c r="L2077">
        <v>285.28649999999999</v>
      </c>
      <c r="M2077">
        <v>-0.99987280000000001</v>
      </c>
      <c r="N2077">
        <v>-1.4138589999999999E-2</v>
      </c>
      <c r="O2077">
        <v>7.3876130000000003E-3</v>
      </c>
      <c r="P2077">
        <v>-0.98012449999999995</v>
      </c>
      <c r="Q2077">
        <v>0.17743809999999999</v>
      </c>
      <c r="R2077">
        <v>-8.8722880000000004E-2</v>
      </c>
      <c r="S2077">
        <v>-3.033722</v>
      </c>
      <c r="T2077">
        <v>-6.9744589999999995E-2</v>
      </c>
      <c r="U2077">
        <v>-0.44061280000000003</v>
      </c>
      <c r="V2077">
        <v>-9.5972989999999994E-2</v>
      </c>
      <c r="W2077">
        <v>0.19126270000000001</v>
      </c>
      <c r="X2077">
        <v>0.97683560000000003</v>
      </c>
      <c r="Y2077">
        <v>-0.1509742</v>
      </c>
      <c r="Z2077">
        <v>-2.8643409999999998E-3</v>
      </c>
      <c r="AA2077">
        <v>0.98853360000000001</v>
      </c>
      <c r="AB2077">
        <v>28</v>
      </c>
      <c r="AC2077">
        <v>-44.663899999999998</v>
      </c>
      <c r="AD2077">
        <v>-1.03068191</v>
      </c>
      <c r="AE2077">
        <v>-6.5124999999999797</v>
      </c>
      <c r="AF2077">
        <v>-6.8387488677483699</v>
      </c>
      <c r="AG2077">
        <v>-1.03068191</v>
      </c>
      <c r="AH2077">
        <v>44.591312871411098</v>
      </c>
      <c r="AI2077">
        <v>91.308799545099205</v>
      </c>
      <c r="AJ2077">
        <v>98.719232367868898</v>
      </c>
      <c r="AK2077">
        <v>45.124449856721903</v>
      </c>
      <c r="AL2077">
        <v>78.973517039657693</v>
      </c>
      <c r="AM2077">
        <v>95.611236816941897</v>
      </c>
      <c r="AN2077">
        <v>1.00000001232409</v>
      </c>
    </row>
    <row r="2078" spans="1:40" x14ac:dyDescent="0.25">
      <c r="A2078" t="str">
        <f>"20190304155057557"</f>
        <v>20190304155057557</v>
      </c>
      <c r="B2078" t="str">
        <f>"1551685857548851"</f>
        <v>1551685857548851</v>
      </c>
      <c r="C2078" t="s">
        <v>40</v>
      </c>
      <c r="D2078">
        <v>4.8680300000000001</v>
      </c>
      <c r="E2078">
        <v>0.47464630000000002</v>
      </c>
      <c r="F2078" t="s">
        <v>70</v>
      </c>
      <c r="G2078">
        <v>-353.08550000000002</v>
      </c>
      <c r="H2078">
        <v>8.0000559999999998E-2</v>
      </c>
      <c r="I2078">
        <v>279.08929999999998</v>
      </c>
      <c r="J2078">
        <v>-311.8125</v>
      </c>
      <c r="K2078">
        <v>1.1106819999999999</v>
      </c>
      <c r="L2078">
        <v>285.28800000000001</v>
      </c>
      <c r="M2078">
        <v>-0.99987300000000001</v>
      </c>
      <c r="N2078">
        <v>-1.4136330000000001E-2</v>
      </c>
      <c r="O2078">
        <v>7.3508590000000004E-3</v>
      </c>
      <c r="P2078">
        <v>-0.98006990000000005</v>
      </c>
      <c r="Q2078">
        <v>0.17742089999999999</v>
      </c>
      <c r="R2078">
        <v>-8.9358580000000007E-2</v>
      </c>
      <c r="S2078">
        <v>-3.033417</v>
      </c>
      <c r="T2078">
        <v>-7.5366020000000006E-2</v>
      </c>
      <c r="U2078">
        <v>-0.45315549999999999</v>
      </c>
      <c r="V2078">
        <v>-9.6571889999999994E-2</v>
      </c>
      <c r="W2078">
        <v>0.1912431</v>
      </c>
      <c r="X2078">
        <v>0.97678039999999999</v>
      </c>
      <c r="Y2078">
        <v>-0.15494089999999999</v>
      </c>
      <c r="Z2078">
        <v>-3.0936660000000001E-3</v>
      </c>
      <c r="AA2078">
        <v>0.98791890000000004</v>
      </c>
      <c r="AB2078">
        <v>28</v>
      </c>
      <c r="AC2078">
        <v>-41.273000000000003</v>
      </c>
      <c r="AD2078">
        <v>-1.0306814399999999</v>
      </c>
      <c r="AE2078">
        <v>-6.1987000000000299</v>
      </c>
      <c r="AF2078">
        <v>-6.4979919697756996</v>
      </c>
      <c r="AG2078">
        <v>-1.0306814399999999</v>
      </c>
      <c r="AH2078">
        <v>41.2011874170882</v>
      </c>
      <c r="AI2078">
        <v>91.415512891704296</v>
      </c>
      <c r="AJ2078">
        <v>98.962506343233201</v>
      </c>
      <c r="AK2078">
        <v>41.7231835847656</v>
      </c>
      <c r="AL2078">
        <v>78.974661035910003</v>
      </c>
      <c r="AM2078">
        <v>95.646344065231403</v>
      </c>
      <c r="AN2078">
        <v>1.0000000015299699</v>
      </c>
    </row>
    <row r="2079" spans="1:40" x14ac:dyDescent="0.25">
      <c r="A2079" t="str">
        <f>"20190304155057581"</f>
        <v>20190304155057581</v>
      </c>
      <c r="B2079" t="str">
        <f>"1551685857568524"</f>
        <v>1551685857568524</v>
      </c>
      <c r="C2079" t="s">
        <v>40</v>
      </c>
      <c r="D2079">
        <v>4.8545730000000002</v>
      </c>
      <c r="E2079">
        <v>0.47395890000000002</v>
      </c>
      <c r="F2079" t="s">
        <v>70</v>
      </c>
      <c r="G2079">
        <v>-349.3263</v>
      </c>
      <c r="H2079">
        <v>7.0687890000000003E-2</v>
      </c>
      <c r="I2079">
        <v>279.59559999999999</v>
      </c>
      <c r="J2079">
        <v>-312.09899999999999</v>
      </c>
      <c r="K2079">
        <v>1.110687</v>
      </c>
      <c r="L2079">
        <v>285.29000000000002</v>
      </c>
      <c r="M2079">
        <v>-0.99987360000000003</v>
      </c>
      <c r="N2079">
        <v>-1.413327E-2</v>
      </c>
      <c r="O2079">
        <v>7.3007009999999997E-3</v>
      </c>
      <c r="P2079">
        <v>-0.98010149999999996</v>
      </c>
      <c r="Q2079">
        <v>0.1769077</v>
      </c>
      <c r="R2079">
        <v>-9.0028839999999999E-2</v>
      </c>
      <c r="S2079">
        <v>-3.0342410000000002</v>
      </c>
      <c r="T2079">
        <v>-8.4118250000000006E-2</v>
      </c>
      <c r="U2079">
        <v>-0.46041870000000001</v>
      </c>
      <c r="V2079">
        <v>-9.7192890000000004E-2</v>
      </c>
      <c r="W2079">
        <v>0.1907268</v>
      </c>
      <c r="X2079">
        <v>0.97681980000000002</v>
      </c>
      <c r="Y2079">
        <v>-0.15714800000000001</v>
      </c>
      <c r="Z2079">
        <v>-3.3813580000000001E-3</v>
      </c>
      <c r="AA2079">
        <v>0.98756929999999998</v>
      </c>
      <c r="AB2079">
        <v>28</v>
      </c>
      <c r="AC2079">
        <v>-37.2273</v>
      </c>
      <c r="AD2079">
        <v>-1.0399991099999999</v>
      </c>
      <c r="AE2079">
        <v>-5.6944000000000301</v>
      </c>
      <c r="AF2079">
        <v>-5.9615144421113602</v>
      </c>
      <c r="AG2079">
        <v>-1.0399991099999999</v>
      </c>
      <c r="AH2079">
        <v>37.156394845096798</v>
      </c>
      <c r="AI2079">
        <v>91.583041806170797</v>
      </c>
      <c r="AJ2079">
        <v>99.1150702572982</v>
      </c>
      <c r="AK2079">
        <v>37.645968316368702</v>
      </c>
      <c r="AL2079">
        <v>79.004798065277896</v>
      </c>
      <c r="AM2079">
        <v>95.682187987801299</v>
      </c>
      <c r="AN2079">
        <v>1.00000004588841</v>
      </c>
    </row>
    <row r="2080" spans="1:40" x14ac:dyDescent="0.25">
      <c r="A2080" t="str">
        <f>"20190304155057600"</f>
        <v>20190304155057600</v>
      </c>
      <c r="B2080" t="str">
        <f>"1551685857589018"</f>
        <v>1551685857589018</v>
      </c>
      <c r="C2080" t="s">
        <v>40</v>
      </c>
      <c r="D2080">
        <v>4.8513440000000001</v>
      </c>
      <c r="E2080">
        <v>0.4735779</v>
      </c>
      <c r="F2080" t="s">
        <v>70</v>
      </c>
      <c r="G2080">
        <v>-348.56670000000003</v>
      </c>
      <c r="H2080" s="1">
        <v>3.0219529999999998E-6</v>
      </c>
      <c r="I2080">
        <v>279.6653</v>
      </c>
      <c r="J2080">
        <v>-312.35849999999999</v>
      </c>
      <c r="K2080">
        <v>1.1106830000000001</v>
      </c>
      <c r="L2080">
        <v>285.2919</v>
      </c>
      <c r="M2080">
        <v>-0.99987389999999998</v>
      </c>
      <c r="N2080">
        <v>-1.4130510000000001E-2</v>
      </c>
      <c r="O2080">
        <v>7.2555440000000001E-3</v>
      </c>
      <c r="P2080">
        <v>-0.98013550000000005</v>
      </c>
      <c r="Q2080">
        <v>0.17669270000000001</v>
      </c>
      <c r="R2080">
        <v>-9.0080640000000003E-2</v>
      </c>
      <c r="S2080">
        <v>-3.0345759999999999</v>
      </c>
      <c r="T2080">
        <v>-9.2423199999999997E-2</v>
      </c>
      <c r="U2080">
        <v>-0.46804810000000002</v>
      </c>
      <c r="V2080">
        <v>-9.7200800000000004E-2</v>
      </c>
      <c r="W2080">
        <v>0.19051009999999999</v>
      </c>
      <c r="X2080">
        <v>0.97686119999999999</v>
      </c>
      <c r="Y2080">
        <v>-0.1594959</v>
      </c>
      <c r="Z2080">
        <v>-3.6657270000000001E-3</v>
      </c>
      <c r="AA2080">
        <v>0.98719179999999995</v>
      </c>
      <c r="AB2080">
        <v>28</v>
      </c>
      <c r="AC2080">
        <v>-36.208199999999998</v>
      </c>
      <c r="AD2080">
        <v>-1.110679978047</v>
      </c>
      <c r="AE2080">
        <v>-5.6265999999999901</v>
      </c>
      <c r="AF2080">
        <v>-5.8837824960044403</v>
      </c>
      <c r="AG2080">
        <v>-1.110679978047</v>
      </c>
      <c r="AH2080">
        <v>36.133220923701003</v>
      </c>
      <c r="AI2080">
        <v>91.737756603073606</v>
      </c>
      <c r="AJ2080">
        <v>99.248631051306106</v>
      </c>
      <c r="AK2080">
        <v>36.625976584862599</v>
      </c>
      <c r="AL2080">
        <v>79.017444891059398</v>
      </c>
      <c r="AM2080">
        <v>95.682408145513605</v>
      </c>
      <c r="AN2080">
        <v>0.99999994889404298</v>
      </c>
    </row>
    <row r="2081" spans="1:40" x14ac:dyDescent="0.25">
      <c r="A2081" t="str">
        <f>"20190304155057615"</f>
        <v>20190304155057615</v>
      </c>
      <c r="B2081" t="str">
        <f>"1551685857608538"</f>
        <v>1551685857608538</v>
      </c>
      <c r="C2081" t="s">
        <v>40</v>
      </c>
      <c r="D2081">
        <v>4.838076</v>
      </c>
      <c r="E2081">
        <v>0.4732751</v>
      </c>
      <c r="F2081" t="s">
        <v>70</v>
      </c>
      <c r="G2081">
        <v>-348.66269999999997</v>
      </c>
      <c r="H2081" s="1">
        <v>3.0730780000000001E-6</v>
      </c>
      <c r="I2081">
        <v>279.65460000000002</v>
      </c>
      <c r="J2081">
        <v>-312.53640000000001</v>
      </c>
      <c r="K2081">
        <v>1.110684</v>
      </c>
      <c r="L2081">
        <v>285.29309999999998</v>
      </c>
      <c r="M2081">
        <v>-0.99987420000000005</v>
      </c>
      <c r="N2081">
        <v>-1.412864E-2</v>
      </c>
      <c r="O2081">
        <v>7.2244459999999998E-3</v>
      </c>
      <c r="P2081">
        <v>-0.98013280000000003</v>
      </c>
      <c r="Q2081">
        <v>0.17654489999999901</v>
      </c>
      <c r="R2081">
        <v>-9.0398820000000005E-2</v>
      </c>
      <c r="S2081">
        <v>-3.0342709999999999</v>
      </c>
      <c r="T2081">
        <v>-9.2829590000000003E-2</v>
      </c>
      <c r="U2081">
        <v>-0.47116089999999999</v>
      </c>
      <c r="V2081">
        <v>-9.7488740000000004E-2</v>
      </c>
      <c r="W2081">
        <v>0.19036030000000001</v>
      </c>
      <c r="X2081">
        <v>0.9768618</v>
      </c>
      <c r="Y2081">
        <v>-0.16046759999999999</v>
      </c>
      <c r="Z2081">
        <v>-3.698495E-3</v>
      </c>
      <c r="AA2081">
        <v>0.98703419999999997</v>
      </c>
      <c r="AB2081">
        <v>28</v>
      </c>
      <c r="AC2081">
        <v>-36.126299999999901</v>
      </c>
      <c r="AD2081">
        <v>-1.1106809269219999</v>
      </c>
      <c r="AE2081">
        <v>-5.6384999999999597</v>
      </c>
      <c r="AF2081">
        <v>-5.8939327890314601</v>
      </c>
      <c r="AG2081">
        <v>-1.1106809269219999</v>
      </c>
      <c r="AH2081">
        <v>36.051351939778698</v>
      </c>
      <c r="AI2081">
        <v>91.741521756946696</v>
      </c>
      <c r="AJ2081">
        <v>99.284982054004601</v>
      </c>
      <c r="AK2081">
        <v>36.546847094227303</v>
      </c>
      <c r="AL2081">
        <v>79.026188778360407</v>
      </c>
      <c r="AM2081">
        <v>95.699127136923906</v>
      </c>
      <c r="AN2081">
        <v>1.00000003727105</v>
      </c>
    </row>
    <row r="2082" spans="1:40" x14ac:dyDescent="0.25">
      <c r="A2082" t="str">
        <f>"20190304155057628"</f>
        <v>20190304155057628</v>
      </c>
      <c r="B2082" t="str">
        <f>"1551685857618299"</f>
        <v>1551685857618299</v>
      </c>
      <c r="C2082" t="s">
        <v>40</v>
      </c>
      <c r="D2082">
        <v>4.7987520000000004</v>
      </c>
      <c r="E2082">
        <v>0.47302549999999999</v>
      </c>
      <c r="F2082" t="s">
        <v>70</v>
      </c>
      <c r="G2082">
        <v>-347.34989999999999</v>
      </c>
      <c r="H2082" s="1">
        <v>2.374465E-6</v>
      </c>
      <c r="I2082">
        <v>279.8492</v>
      </c>
      <c r="J2082">
        <v>-312.7013</v>
      </c>
      <c r="K2082">
        <v>1.1106849999999999</v>
      </c>
      <c r="L2082">
        <v>285.29430000000002</v>
      </c>
      <c r="M2082">
        <v>-0.99987440000000005</v>
      </c>
      <c r="N2082">
        <v>-1.4126909999999999E-2</v>
      </c>
      <c r="O2082">
        <v>7.1962679999999996E-3</v>
      </c>
      <c r="P2082">
        <v>-0.98012869999999996</v>
      </c>
      <c r="Q2082">
        <v>0.17657339999999999</v>
      </c>
      <c r="R2082">
        <v>-9.0387729999999999E-2</v>
      </c>
      <c r="S2082">
        <v>-3.0345460000000002</v>
      </c>
      <c r="T2082">
        <v>-9.6813440000000001E-2</v>
      </c>
      <c r="U2082">
        <v>-0.47451779999999999</v>
      </c>
      <c r="V2082">
        <v>-9.7449560000000005E-2</v>
      </c>
      <c r="W2082">
        <v>0.190387</v>
      </c>
      <c r="X2082">
        <v>0.97686050000000002</v>
      </c>
      <c r="Y2082">
        <v>-0.1614835</v>
      </c>
      <c r="Z2082">
        <v>-3.8349080000000002E-3</v>
      </c>
      <c r="AA2082">
        <v>0.98686799999999997</v>
      </c>
      <c r="AB2082">
        <v>28</v>
      </c>
      <c r="AC2082">
        <v>-34.648599999999902</v>
      </c>
      <c r="AD2082">
        <v>-1.110682625535</v>
      </c>
      <c r="AE2082">
        <v>-5.4451000000000196</v>
      </c>
      <c r="AF2082">
        <v>-5.6886199201799101</v>
      </c>
      <c r="AG2082">
        <v>-1.110682625535</v>
      </c>
      <c r="AH2082">
        <v>34.573843781520203</v>
      </c>
      <c r="AI2082">
        <v>91.815595622109896</v>
      </c>
      <c r="AJ2082">
        <v>99.343466965588405</v>
      </c>
      <c r="AK2082">
        <v>35.0563073685734</v>
      </c>
      <c r="AL2082">
        <v>79.024630418260699</v>
      </c>
      <c r="AM2082">
        <v>95.696859300376403</v>
      </c>
      <c r="AN2082">
        <v>1.0000000314867199</v>
      </c>
    </row>
    <row r="2083" spans="1:40" x14ac:dyDescent="0.25">
      <c r="A2083" t="str">
        <f>"20190304155057646"</f>
        <v>20190304155057646</v>
      </c>
      <c r="B2083" t="str">
        <f>"1551685857638794"</f>
        <v>1551685857638794</v>
      </c>
      <c r="C2083" t="s">
        <v>40</v>
      </c>
      <c r="D2083">
        <v>4.879874</v>
      </c>
      <c r="E2083">
        <v>0.4728308</v>
      </c>
      <c r="F2083" t="s">
        <v>70</v>
      </c>
      <c r="G2083">
        <v>-346.20499999999998</v>
      </c>
      <c r="H2083" s="1">
        <v>1.7652320000000001E-6</v>
      </c>
      <c r="I2083">
        <v>280.03730000000002</v>
      </c>
      <c r="J2083">
        <v>-312.94170000000003</v>
      </c>
      <c r="K2083">
        <v>1.110687</v>
      </c>
      <c r="L2083">
        <v>285.29599999999999</v>
      </c>
      <c r="M2083">
        <v>-0.99987470000000001</v>
      </c>
      <c r="N2083">
        <v>-1.4124370000000001E-2</v>
      </c>
      <c r="O2083">
        <v>7.1541520000000004E-3</v>
      </c>
      <c r="P2083">
        <v>-0.98019780000000001</v>
      </c>
      <c r="Q2083">
        <v>0.1761056</v>
      </c>
      <c r="R2083">
        <v>-9.0550400000000003E-2</v>
      </c>
      <c r="S2083">
        <v>-3.0350649999999999</v>
      </c>
      <c r="T2083">
        <v>-0.10061539999999999</v>
      </c>
      <c r="U2083">
        <v>-0.47622680000000001</v>
      </c>
      <c r="V2083">
        <v>-9.7571779999999997E-2</v>
      </c>
      <c r="W2083">
        <v>0.1899179</v>
      </c>
      <c r="X2083">
        <v>0.97693960000000002</v>
      </c>
      <c r="Y2083">
        <v>-0.16195019999999999</v>
      </c>
      <c r="Z2083">
        <v>-3.9538209999999997E-3</v>
      </c>
      <c r="AA2083">
        <v>0.98679099999999997</v>
      </c>
      <c r="AB2083">
        <v>28</v>
      </c>
      <c r="AC2083">
        <v>-33.263299999999902</v>
      </c>
      <c r="AD2083">
        <v>-1.1106852347679901</v>
      </c>
      <c r="AE2083">
        <v>-5.25869999999997</v>
      </c>
      <c r="AF2083">
        <v>-5.4905874277593698</v>
      </c>
      <c r="AG2083">
        <v>-1.1106852347679901</v>
      </c>
      <c r="AH2083">
        <v>33.188722161191002</v>
      </c>
      <c r="AI2083">
        <v>91.891046316053007</v>
      </c>
      <c r="AJ2083">
        <v>99.393665282555006</v>
      </c>
      <c r="AK2083">
        <v>33.658155782593496</v>
      </c>
      <c r="AL2083">
        <v>79.0520072615315</v>
      </c>
      <c r="AM2083">
        <v>95.703498355737693</v>
      </c>
      <c r="AN2083">
        <v>1.0000000215204601</v>
      </c>
    </row>
    <row r="2084" spans="1:40" x14ac:dyDescent="0.25">
      <c r="A2084" t="str">
        <f>"20190304155057659"</f>
        <v>20190304155057659</v>
      </c>
      <c r="B2084" t="str">
        <f>"1551685857648556"</f>
        <v>1551685857648556</v>
      </c>
      <c r="C2084" t="s">
        <v>40</v>
      </c>
      <c r="D2084">
        <v>4.8661409999999998</v>
      </c>
      <c r="E2084">
        <v>0.47299190000000002</v>
      </c>
      <c r="F2084" t="s">
        <v>70</v>
      </c>
      <c r="G2084">
        <v>-346.47750000000002</v>
      </c>
      <c r="H2084" s="1">
        <v>1.9102069999999999E-6</v>
      </c>
      <c r="I2084">
        <v>280.00940000000003</v>
      </c>
      <c r="J2084">
        <v>-313.10079999999999</v>
      </c>
      <c r="K2084">
        <v>1.110687</v>
      </c>
      <c r="L2084">
        <v>285.2971</v>
      </c>
      <c r="M2084">
        <v>-0.99987490000000001</v>
      </c>
      <c r="N2084">
        <v>-1.412268E-2</v>
      </c>
      <c r="O2084">
        <v>7.126744E-3</v>
      </c>
      <c r="P2084">
        <v>-0.98028490000000001</v>
      </c>
      <c r="Q2084">
        <v>0.175753399999999</v>
      </c>
      <c r="R2084">
        <v>-9.0291869999999996E-2</v>
      </c>
      <c r="S2084">
        <v>-3.0345149999999999</v>
      </c>
      <c r="T2084">
        <v>-0.1005013</v>
      </c>
      <c r="U2084">
        <v>-0.47836299999999998</v>
      </c>
      <c r="V2084">
        <v>-9.7286910000000004E-2</v>
      </c>
      <c r="W2084">
        <v>0.18956529999999999</v>
      </c>
      <c r="X2084">
        <v>0.97703649999999997</v>
      </c>
      <c r="Y2084">
        <v>-0.1626281</v>
      </c>
      <c r="Z2084">
        <v>-3.9662909999999899E-3</v>
      </c>
      <c r="AA2084">
        <v>0.98667950000000004</v>
      </c>
      <c r="AB2084">
        <v>28</v>
      </c>
      <c r="AC2084">
        <v>-33.3767</v>
      </c>
      <c r="AD2084">
        <v>-1.1106850897930001</v>
      </c>
      <c r="AE2084">
        <v>-5.2876999999999699</v>
      </c>
      <c r="AF2084">
        <v>-5.5194940982598801</v>
      </c>
      <c r="AG2084">
        <v>-1.1106850897930001</v>
      </c>
      <c r="AH2084">
        <v>33.302189244822799</v>
      </c>
      <c r="AI2084">
        <v>91.884515187985301</v>
      </c>
      <c r="AJ2084">
        <v>99.410637348429006</v>
      </c>
      <c r="AK2084">
        <v>33.774757511600399</v>
      </c>
      <c r="AL2084">
        <v>79.072583679362694</v>
      </c>
      <c r="AM2084">
        <v>95.686395443912005</v>
      </c>
      <c r="AN2084">
        <v>1.00000003407684</v>
      </c>
    </row>
    <row r="2085" spans="1:40" x14ac:dyDescent="0.25">
      <c r="A2085" t="str">
        <f>"20190304155057672"</f>
        <v>20190304155057672</v>
      </c>
      <c r="B2085" t="str">
        <f>"1551685857669051"</f>
        <v>1551685857669051</v>
      </c>
      <c r="C2085" t="s">
        <v>40</v>
      </c>
      <c r="D2085">
        <v>4.8549939999999996</v>
      </c>
      <c r="E2085">
        <v>0.47288780000000002</v>
      </c>
      <c r="F2085" t="s">
        <v>70</v>
      </c>
      <c r="G2085">
        <v>-346.95949999999999</v>
      </c>
      <c r="H2085" s="1">
        <v>2.1667189999999998E-6</v>
      </c>
      <c r="I2085">
        <v>279.98239999999998</v>
      </c>
      <c r="J2085">
        <v>-313.26029999999997</v>
      </c>
      <c r="K2085">
        <v>1.1106910000000001</v>
      </c>
      <c r="L2085">
        <v>285.29820000000001</v>
      </c>
      <c r="M2085">
        <v>-0.99987510000000002</v>
      </c>
      <c r="N2085">
        <v>-1.412099E-2</v>
      </c>
      <c r="O2085">
        <v>7.0992190000000004E-3</v>
      </c>
      <c r="P2085">
        <v>-0.98029290000000002</v>
      </c>
      <c r="Q2085">
        <v>0.17555989999999999</v>
      </c>
      <c r="R2085">
        <v>-9.0578679999999995E-2</v>
      </c>
      <c r="S2085">
        <v>-3.034332</v>
      </c>
      <c r="T2085">
        <v>-9.9536780000000005E-2</v>
      </c>
      <c r="U2085">
        <v>-0.47628779999999998</v>
      </c>
      <c r="V2085">
        <v>-9.7546880000000002E-2</v>
      </c>
      <c r="W2085">
        <v>0.1893706</v>
      </c>
      <c r="X2085">
        <v>0.97704829999999998</v>
      </c>
      <c r="Y2085">
        <v>-0.16195409999999999</v>
      </c>
      <c r="Z2085">
        <v>-3.9222119999999996E-3</v>
      </c>
      <c r="AA2085">
        <v>0.98679050000000001</v>
      </c>
      <c r="AB2085">
        <v>28</v>
      </c>
      <c r="AC2085">
        <v>-33.699199999999998</v>
      </c>
      <c r="AD2085">
        <v>-1.1106888332809901</v>
      </c>
      <c r="AE2085">
        <v>-5.3158000000000198</v>
      </c>
      <c r="AF2085">
        <v>-5.5490463480494601</v>
      </c>
      <c r="AG2085">
        <v>-1.1106888332809901</v>
      </c>
      <c r="AH2085">
        <v>33.624969184131601</v>
      </c>
      <c r="AI2085">
        <v>91.866657920022703</v>
      </c>
      <c r="AJ2085">
        <v>99.370921860194699</v>
      </c>
      <c r="AK2085">
        <v>34.097860602843902</v>
      </c>
      <c r="AL2085">
        <v>79.083944570139394</v>
      </c>
      <c r="AM2085">
        <v>95.701422240768593</v>
      </c>
      <c r="AN2085">
        <v>0.99999999923749205</v>
      </c>
    </row>
    <row r="2086" spans="1:40" x14ac:dyDescent="0.25">
      <c r="A2086" t="str">
        <f>"20190304155057685"</f>
        <v>20190304155057685</v>
      </c>
      <c r="B2086" t="str">
        <f>"1551685857678811"</f>
        <v>1551685857678811</v>
      </c>
      <c r="C2086" t="s">
        <v>40</v>
      </c>
      <c r="D2086">
        <v>4.9221719999999998</v>
      </c>
      <c r="E2086">
        <v>0.47309010000000001</v>
      </c>
      <c r="F2086" t="s">
        <v>70</v>
      </c>
      <c r="G2086">
        <v>-347.28410000000002</v>
      </c>
      <c r="H2086" s="1">
        <v>2.3394279999999999E-6</v>
      </c>
      <c r="I2086">
        <v>279.93720000000002</v>
      </c>
      <c r="J2086">
        <v>-313.43340000000001</v>
      </c>
      <c r="K2086">
        <v>1.11069</v>
      </c>
      <c r="L2086">
        <v>285.29939999999999</v>
      </c>
      <c r="M2086">
        <v>-0.99987539999999997</v>
      </c>
      <c r="N2086">
        <v>-1.4119130000000001E-2</v>
      </c>
      <c r="O2086">
        <v>7.0693120000000003E-3</v>
      </c>
      <c r="P2086">
        <v>-0.98033700000000001</v>
      </c>
      <c r="Q2086">
        <v>0.17528440000000001</v>
      </c>
      <c r="R2086">
        <v>-9.0637400000000007E-2</v>
      </c>
      <c r="S2086">
        <v>-3.0338129999999999</v>
      </c>
      <c r="T2086">
        <v>-9.9037410000000006E-2</v>
      </c>
      <c r="U2086">
        <v>-0.47802729999999999</v>
      </c>
      <c r="V2086">
        <v>-9.7576399999999994E-2</v>
      </c>
      <c r="W2086">
        <v>0.18909380000000001</v>
      </c>
      <c r="X2086">
        <v>0.97709889999999999</v>
      </c>
      <c r="Y2086">
        <v>-0.16250319999999999</v>
      </c>
      <c r="Z2086">
        <v>-3.9203450000000004E-3</v>
      </c>
      <c r="AA2086">
        <v>0.98670020000000003</v>
      </c>
      <c r="AB2086">
        <v>28</v>
      </c>
      <c r="AC2086">
        <v>-33.850700000000003</v>
      </c>
      <c r="AD2086">
        <v>-1.110687660572</v>
      </c>
      <c r="AE2086">
        <v>-5.3621999999999703</v>
      </c>
      <c r="AF2086">
        <v>-5.5955143921231398</v>
      </c>
      <c r="AG2086">
        <v>-1.110687660572</v>
      </c>
      <c r="AH2086">
        <v>33.776469993299102</v>
      </c>
      <c r="AI2086">
        <v>91.858099209301002</v>
      </c>
      <c r="AJ2086">
        <v>99.406366491388994</v>
      </c>
      <c r="AK2086">
        <v>34.254829347116001</v>
      </c>
      <c r="AL2086">
        <v>79.100095200697695</v>
      </c>
      <c r="AM2086">
        <v>95.702842858456506</v>
      </c>
      <c r="AN2086">
        <v>0.99999993970830303</v>
      </c>
    </row>
    <row r="2087" spans="1:40" x14ac:dyDescent="0.25">
      <c r="A2087" t="str">
        <f>"20190304155057702"</f>
        <v>20190304155057702</v>
      </c>
      <c r="B2087" t="str">
        <f>"1551685857698331"</f>
        <v>1551685857698331</v>
      </c>
      <c r="C2087" t="s">
        <v>40</v>
      </c>
      <c r="D2087">
        <v>3.838524</v>
      </c>
      <c r="E2087">
        <v>0.47358660000000002</v>
      </c>
      <c r="F2087" t="s">
        <v>70</v>
      </c>
      <c r="G2087">
        <v>-348.90910000000002</v>
      </c>
      <c r="H2087" s="1">
        <v>3.2041610000000002E-6</v>
      </c>
      <c r="I2087">
        <v>279.72430000000003</v>
      </c>
      <c r="J2087">
        <v>-313.63249999999999</v>
      </c>
      <c r="K2087">
        <v>1.11069</v>
      </c>
      <c r="L2087">
        <v>285.30079999999998</v>
      </c>
      <c r="M2087">
        <v>-0.99987570000000003</v>
      </c>
      <c r="N2087">
        <v>-1.4116979999999999E-2</v>
      </c>
      <c r="O2087">
        <v>7.0349389999999996E-3</v>
      </c>
      <c r="P2087">
        <v>-0.9804406</v>
      </c>
      <c r="Q2087">
        <v>0.1745119</v>
      </c>
      <c r="R2087">
        <v>-9.1006400000000001E-2</v>
      </c>
      <c r="S2087">
        <v>-3.0330810000000001</v>
      </c>
      <c r="T2087">
        <v>-9.4960929999999999E-2</v>
      </c>
      <c r="U2087">
        <v>-0.47665410000000002</v>
      </c>
      <c r="V2087">
        <v>-9.7912700000000005E-2</v>
      </c>
      <c r="W2087">
        <v>0.18832070000000001</v>
      </c>
      <c r="X2087">
        <v>0.97721460000000004</v>
      </c>
      <c r="Y2087">
        <v>-0.16207869999999999</v>
      </c>
      <c r="Z2087">
        <v>-3.7927970000000001E-3</v>
      </c>
      <c r="AA2087">
        <v>0.98677060000000005</v>
      </c>
      <c r="AB2087">
        <v>28</v>
      </c>
      <c r="AC2087">
        <v>-35.276600000000002</v>
      </c>
      <c r="AD2087">
        <v>-1.1106867958390001</v>
      </c>
      <c r="AE2087">
        <v>-5.5764999999999496</v>
      </c>
      <c r="AF2087">
        <v>-5.8189276833279697</v>
      </c>
      <c r="AG2087">
        <v>-1.1106867958390001</v>
      </c>
      <c r="AH2087">
        <v>35.202446857766901</v>
      </c>
      <c r="AI2087">
        <v>91.782984248080794</v>
      </c>
      <c r="AJ2087">
        <v>99.3860591881229</v>
      </c>
      <c r="AK2087">
        <v>35.697420205333501</v>
      </c>
      <c r="AL2087">
        <v>79.145201397723099</v>
      </c>
      <c r="AM2087">
        <v>95.721694636558496</v>
      </c>
      <c r="AN2087">
        <v>0.99999997866146895</v>
      </c>
    </row>
    <row r="2088" spans="1:40" x14ac:dyDescent="0.25">
      <c r="A2088" t="str">
        <f>"20190304155057759"</f>
        <v>20190304155057759</v>
      </c>
      <c r="B2088" t="str">
        <f>"1551685857749084"</f>
        <v>1551685857749084</v>
      </c>
      <c r="C2088" t="s">
        <v>40</v>
      </c>
      <c r="D2088">
        <v>4.5197129999999897</v>
      </c>
      <c r="E2088">
        <v>0.47503869999999998</v>
      </c>
      <c r="F2088" t="s">
        <v>70</v>
      </c>
      <c r="G2088">
        <v>-347.13650000000001</v>
      </c>
      <c r="H2088" s="1">
        <v>2.2609100000000001E-6</v>
      </c>
      <c r="I2088">
        <v>280.06950000000001</v>
      </c>
      <c r="J2088">
        <v>-314.35489999999999</v>
      </c>
      <c r="K2088">
        <v>1.110689</v>
      </c>
      <c r="L2088">
        <v>285.30560000000003</v>
      </c>
      <c r="M2088">
        <v>-0.9998766</v>
      </c>
      <c r="N2088">
        <v>-1.4109299999999899E-2</v>
      </c>
      <c r="O2088">
        <v>6.9098329999999998E-3</v>
      </c>
      <c r="P2088">
        <v>-0.98041250000000002</v>
      </c>
      <c r="Q2088">
        <v>0.17417550000000001</v>
      </c>
      <c r="R2088">
        <v>-9.19465E-2</v>
      </c>
      <c r="S2088">
        <v>-3.0338129999999999</v>
      </c>
      <c r="T2088">
        <v>-0.1005735</v>
      </c>
      <c r="U2088">
        <v>-0.4736938</v>
      </c>
      <c r="V2088">
        <v>-9.8730079999999998E-2</v>
      </c>
      <c r="W2088">
        <v>0.18797649999999999</v>
      </c>
      <c r="X2088">
        <v>0.97719869999999998</v>
      </c>
      <c r="Y2088">
        <v>-0.160968</v>
      </c>
      <c r="Z2088">
        <v>-3.9250090000000001E-3</v>
      </c>
      <c r="AA2088">
        <v>0.98695180000000005</v>
      </c>
      <c r="AB2088">
        <v>28</v>
      </c>
      <c r="AC2088">
        <v>-32.781599999999997</v>
      </c>
      <c r="AD2088">
        <v>-1.1106867390899999</v>
      </c>
      <c r="AE2088">
        <v>-5.23610000000002</v>
      </c>
      <c r="AF2088">
        <v>-5.4564050489171603</v>
      </c>
      <c r="AG2088">
        <v>-1.1106867390899999</v>
      </c>
      <c r="AH2088">
        <v>32.708019998153802</v>
      </c>
      <c r="AI2088">
        <v>91.918390885448304</v>
      </c>
      <c r="AJ2088">
        <v>99.470960494964004</v>
      </c>
      <c r="AK2088">
        <v>33.178615903769497</v>
      </c>
      <c r="AL2088">
        <v>79.165281961029805</v>
      </c>
      <c r="AM2088">
        <v>95.769231986880101</v>
      </c>
      <c r="AN2088">
        <v>1.00000004626537</v>
      </c>
    </row>
    <row r="2089" spans="1:40" x14ac:dyDescent="0.25">
      <c r="A2089" t="str">
        <f>"20190304155057782"</f>
        <v>20190304155057782</v>
      </c>
      <c r="B2089" t="str">
        <f>"1551685857778363"</f>
        <v>1551685857778363</v>
      </c>
      <c r="C2089" t="s">
        <v>40</v>
      </c>
      <c r="D2089">
        <v>4.862876</v>
      </c>
      <c r="E2089">
        <v>0.46380440000000001</v>
      </c>
      <c r="F2089" t="s">
        <v>70</v>
      </c>
      <c r="G2089">
        <v>-320.75200000000001</v>
      </c>
      <c r="H2089" s="1">
        <v>-1.125574E-6</v>
      </c>
      <c r="I2089">
        <v>284.36380000000003</v>
      </c>
      <c r="J2089">
        <v>-314.6345</v>
      </c>
      <c r="K2089">
        <v>1.110676</v>
      </c>
      <c r="L2089">
        <v>285.3075</v>
      </c>
      <c r="M2089">
        <v>-0.99987700000000002</v>
      </c>
      <c r="N2089">
        <v>-1.410631E-2</v>
      </c>
      <c r="O2089">
        <v>6.8608039999999999E-3</v>
      </c>
      <c r="P2089">
        <v>-0.98056030000000005</v>
      </c>
      <c r="Q2089">
        <v>0.173087299999999</v>
      </c>
      <c r="R2089">
        <v>-9.2427060000000005E-2</v>
      </c>
      <c r="S2089">
        <v>-3.1129760000000002</v>
      </c>
      <c r="T2089">
        <v>-0.54048350000000001</v>
      </c>
      <c r="U2089">
        <v>-0.45828249999999998</v>
      </c>
      <c r="V2089">
        <v>-9.9163409999999994E-2</v>
      </c>
      <c r="W2089">
        <v>0.186888</v>
      </c>
      <c r="X2089">
        <v>0.97736350000000005</v>
      </c>
      <c r="Y2089">
        <v>-0.14996599999999999</v>
      </c>
      <c r="Z2089">
        <v>-1.5006810000000001E-2</v>
      </c>
      <c r="AA2089">
        <v>0.98857720000000004</v>
      </c>
      <c r="AB2089">
        <v>28</v>
      </c>
      <c r="AC2089">
        <v>-6.1174999999999997</v>
      </c>
      <c r="AD2089">
        <v>-1.110677125574</v>
      </c>
      <c r="AE2089">
        <v>-0.943699999999978</v>
      </c>
      <c r="AF2089">
        <v>-0.95490786665556604</v>
      </c>
      <c r="AG2089">
        <v>-1.110677125574</v>
      </c>
      <c r="AH2089">
        <v>5.9202666445316803</v>
      </c>
      <c r="AI2089">
        <v>100.492971264223</v>
      </c>
      <c r="AJ2089">
        <v>99.162593704079001</v>
      </c>
      <c r="AK2089">
        <v>6.0987711756901</v>
      </c>
      <c r="AL2089">
        <v>79.228772693301906</v>
      </c>
      <c r="AM2089">
        <v>95.793411052717303</v>
      </c>
      <c r="AN2089">
        <v>0.99999995877953796</v>
      </c>
    </row>
    <row r="2090" spans="1:40" x14ac:dyDescent="0.25">
      <c r="A2090" t="str">
        <f>"20190304155057801"</f>
        <v>20190304155057801</v>
      </c>
      <c r="B2090" t="str">
        <f>"1551685857798859"</f>
        <v>1551685857798859</v>
      </c>
      <c r="C2090" t="s">
        <v>40</v>
      </c>
      <c r="D2090">
        <v>4.7920280000000002</v>
      </c>
      <c r="E2090">
        <v>0.46371220000000002</v>
      </c>
      <c r="F2090" t="s">
        <v>70</v>
      </c>
      <c r="G2090">
        <v>-356.52420000000001</v>
      </c>
      <c r="H2090">
        <v>8.0001020000000006E-2</v>
      </c>
      <c r="I2090">
        <v>277.5976</v>
      </c>
      <c r="J2090">
        <v>-314.8913</v>
      </c>
      <c r="K2090">
        <v>1.110676</v>
      </c>
      <c r="L2090">
        <v>285.30919999999998</v>
      </c>
      <c r="M2090">
        <v>-0.99987749999999997</v>
      </c>
      <c r="N2090">
        <v>-1.4103549999999999E-2</v>
      </c>
      <c r="O2090">
        <v>6.8164769999999996E-3</v>
      </c>
      <c r="P2090">
        <v>-0.98084769999999999</v>
      </c>
      <c r="Q2090">
        <v>0.1711992</v>
      </c>
      <c r="R2090">
        <v>-9.2893199999999995E-2</v>
      </c>
      <c r="S2090">
        <v>-3.020203</v>
      </c>
      <c r="T2090">
        <v>-7.4310539999999994E-2</v>
      </c>
      <c r="U2090">
        <v>-0.55587769999999903</v>
      </c>
      <c r="V2090">
        <v>-9.9587819999999994E-2</v>
      </c>
      <c r="W2090">
        <v>0.18500130000000001</v>
      </c>
      <c r="X2090">
        <v>0.97767930000000003</v>
      </c>
      <c r="Y2090">
        <v>-0.18762529999999999</v>
      </c>
      <c r="Z2090">
        <v>-3.6941360000000002E-3</v>
      </c>
      <c r="AA2090">
        <v>0.98223369999999999</v>
      </c>
      <c r="AB2090">
        <v>28</v>
      </c>
      <c r="AC2090">
        <v>-41.632899999999999</v>
      </c>
      <c r="AD2090">
        <v>-1.0306749799999999</v>
      </c>
      <c r="AE2090">
        <v>-7.7115999999999696</v>
      </c>
      <c r="AF2090">
        <v>-7.9905039695554096</v>
      </c>
      <c r="AG2090">
        <v>-1.0306749799999999</v>
      </c>
      <c r="AH2090">
        <v>41.554738458096402</v>
      </c>
      <c r="AI2090">
        <v>91.395255770870193</v>
      </c>
      <c r="AJ2090">
        <v>100.88447413331799</v>
      </c>
      <c r="AK2090">
        <v>42.328556943541997</v>
      </c>
      <c r="AL2090">
        <v>79.338791963409506</v>
      </c>
      <c r="AM2090">
        <v>95.816170170283797</v>
      </c>
      <c r="AN2090">
        <v>1.00000001427126</v>
      </c>
    </row>
    <row r="2091" spans="1:40" x14ac:dyDescent="0.25">
      <c r="A2091" t="str">
        <f>"20190304155057817"</f>
        <v>20190304155057817</v>
      </c>
      <c r="B2091" t="str">
        <f>"1551685857808620"</f>
        <v>1551685857808620</v>
      </c>
      <c r="C2091" t="s">
        <v>40</v>
      </c>
      <c r="D2091">
        <v>4.9212850000000001</v>
      </c>
      <c r="E2091">
        <v>0.465949</v>
      </c>
      <c r="F2091" t="s">
        <v>70</v>
      </c>
      <c r="G2091">
        <v>-361.51979999999998</v>
      </c>
      <c r="H2091">
        <v>8.0001009999999997E-2</v>
      </c>
      <c r="I2091">
        <v>276.6841</v>
      </c>
      <c r="J2091">
        <v>-315.06979999999999</v>
      </c>
      <c r="K2091">
        <v>1.1106739999999999</v>
      </c>
      <c r="L2091">
        <v>285.31040000000002</v>
      </c>
      <c r="M2091">
        <v>-0.99987769999999998</v>
      </c>
      <c r="N2091">
        <v>-1.410164E-2</v>
      </c>
      <c r="O2091">
        <v>6.7855550000000004E-3</v>
      </c>
      <c r="P2091">
        <v>-0.98095580000000004</v>
      </c>
      <c r="Q2091">
        <v>0.1703276</v>
      </c>
      <c r="R2091">
        <v>-9.3352560000000001E-2</v>
      </c>
      <c r="S2091">
        <v>-3.0173649999999999</v>
      </c>
      <c r="T2091">
        <v>-6.6695690000000002E-2</v>
      </c>
      <c r="U2091">
        <v>-0.55813599999999997</v>
      </c>
      <c r="V2091">
        <v>-0.1000175</v>
      </c>
      <c r="W2091">
        <v>0.18412909999999999</v>
      </c>
      <c r="X2091">
        <v>0.97780009999999995</v>
      </c>
      <c r="Y2091">
        <v>-0.18848390000000001</v>
      </c>
      <c r="Z2091">
        <v>-3.4596869999999999E-3</v>
      </c>
      <c r="AA2091">
        <v>0.9820702</v>
      </c>
      <c r="AB2091">
        <v>28</v>
      </c>
      <c r="AC2091">
        <v>-46.449999999999903</v>
      </c>
      <c r="AD2091">
        <v>-1.03067299</v>
      </c>
      <c r="AE2091">
        <v>-8.6263000000000094</v>
      </c>
      <c r="AF2091">
        <v>-8.9370682545623801</v>
      </c>
      <c r="AG2091">
        <v>-1.03067299</v>
      </c>
      <c r="AH2091">
        <v>46.368322212955398</v>
      </c>
      <c r="AI2091">
        <v>91.250352926910793</v>
      </c>
      <c r="AJ2091">
        <v>100.909456257369</v>
      </c>
      <c r="AK2091">
        <v>47.232984032807799</v>
      </c>
      <c r="AL2091">
        <v>79.389639055543796</v>
      </c>
      <c r="AM2091">
        <v>95.840374747496298</v>
      </c>
      <c r="AN2091">
        <v>1.00000003066653</v>
      </c>
    </row>
    <row r="2092" spans="1:40" x14ac:dyDescent="0.25">
      <c r="A2092" t="str">
        <f>"20190304155057836"</f>
        <v>20190304155057836</v>
      </c>
      <c r="B2092" t="str">
        <f>"1551685857829115"</f>
        <v>1551685857829115</v>
      </c>
      <c r="C2092" t="s">
        <v>40</v>
      </c>
      <c r="D2092">
        <v>4.8291040000000001</v>
      </c>
      <c r="E2092">
        <v>0.4653582</v>
      </c>
      <c r="F2092" t="s">
        <v>70</v>
      </c>
      <c r="G2092">
        <v>-360.74979999999999</v>
      </c>
      <c r="H2092">
        <v>8.0001240000000001E-2</v>
      </c>
      <c r="I2092">
        <v>277.11750000000001</v>
      </c>
      <c r="J2092">
        <v>-315.32920000000001</v>
      </c>
      <c r="K2092">
        <v>1.1106720000000001</v>
      </c>
      <c r="L2092">
        <v>285.31209999999999</v>
      </c>
      <c r="M2092">
        <v>-0.99987789999999999</v>
      </c>
      <c r="N2092">
        <v>-1.409886E-2</v>
      </c>
      <c r="O2092">
        <v>6.7405750000000004E-3</v>
      </c>
      <c r="P2092">
        <v>-0.98098790000000002</v>
      </c>
      <c r="Q2092">
        <v>0.1691406</v>
      </c>
      <c r="R2092">
        <v>-9.5154680000000005E-2</v>
      </c>
      <c r="S2092">
        <v>-3.0185240000000002</v>
      </c>
      <c r="T2092">
        <v>-6.8106650000000005E-2</v>
      </c>
      <c r="U2092">
        <v>-0.54138180000000002</v>
      </c>
      <c r="V2092">
        <v>-0.1017757</v>
      </c>
      <c r="W2092">
        <v>0.1829395</v>
      </c>
      <c r="X2092">
        <v>0.97784190000000004</v>
      </c>
      <c r="Y2092">
        <v>-0.18309320000000001</v>
      </c>
      <c r="Z2092">
        <v>-3.406816E-3</v>
      </c>
      <c r="AA2092">
        <v>0.98308969999999996</v>
      </c>
      <c r="AB2092">
        <v>28</v>
      </c>
      <c r="AC2092">
        <v>-45.420599999999901</v>
      </c>
      <c r="AD2092">
        <v>-1.03067075999999</v>
      </c>
      <c r="AE2092">
        <v>-8.1945999999999799</v>
      </c>
      <c r="AF2092">
        <v>-8.4963682083557899</v>
      </c>
      <c r="AG2092">
        <v>-1.03067075999999</v>
      </c>
      <c r="AH2092">
        <v>45.341715059335201</v>
      </c>
      <c r="AI2092">
        <v>91.279907155464699</v>
      </c>
      <c r="AJ2092">
        <v>100.613303252305</v>
      </c>
      <c r="AK2092">
        <v>46.142406520135303</v>
      </c>
      <c r="AL2092">
        <v>79.458975248804194</v>
      </c>
      <c r="AM2092">
        <v>95.942061686110094</v>
      </c>
      <c r="AN2092">
        <v>0.999999967583174</v>
      </c>
    </row>
    <row r="2093" spans="1:40" x14ac:dyDescent="0.25">
      <c r="A2093" t="str">
        <f>"20190304155057880"</f>
        <v>20190304155057880</v>
      </c>
      <c r="B2093" t="str">
        <f>"1551685857869131"</f>
        <v>1551685857869131</v>
      </c>
      <c r="C2093" t="s">
        <v>40</v>
      </c>
      <c r="D2093">
        <v>4.7636810000000001</v>
      </c>
      <c r="E2093">
        <v>0.46309309999999998</v>
      </c>
      <c r="F2093" t="s">
        <v>70</v>
      </c>
      <c r="G2093">
        <v>-358.03160000000003</v>
      </c>
      <c r="H2093">
        <v>8.0000569999999993E-2</v>
      </c>
      <c r="I2093">
        <v>277.5027</v>
      </c>
      <c r="J2093">
        <v>-315.87099999999998</v>
      </c>
      <c r="K2093">
        <v>1.1106689999999999</v>
      </c>
      <c r="L2093">
        <v>285.31560000000002</v>
      </c>
      <c r="M2093">
        <v>-0.99987859999999995</v>
      </c>
      <c r="N2093">
        <v>-1.4093090000000001E-2</v>
      </c>
      <c r="O2093">
        <v>6.6468619999999999E-3</v>
      </c>
      <c r="P2093">
        <v>-0.98110600000000003</v>
      </c>
      <c r="Q2093">
        <v>0.16705420000000001</v>
      </c>
      <c r="R2093">
        <v>-9.7591940000000002E-2</v>
      </c>
      <c r="S2093">
        <v>-3.0172119999999998</v>
      </c>
      <c r="T2093">
        <v>-7.2823879999999994E-2</v>
      </c>
      <c r="U2093">
        <v>-0.55178830000000001</v>
      </c>
      <c r="V2093">
        <v>-0.1041221</v>
      </c>
      <c r="W2093">
        <v>0.18084919999999999</v>
      </c>
      <c r="X2093">
        <v>0.97798370000000001</v>
      </c>
      <c r="Y2093">
        <v>-0.18634729999999999</v>
      </c>
      <c r="Z2093">
        <v>-3.6205299999999998E-3</v>
      </c>
      <c r="AA2093">
        <v>0.98247720000000005</v>
      </c>
      <c r="AB2093">
        <v>28</v>
      </c>
      <c r="AC2093">
        <v>-42.160600000000002</v>
      </c>
      <c r="AD2093">
        <v>-1.03066843</v>
      </c>
      <c r="AE2093">
        <v>-7.8129000000000097</v>
      </c>
      <c r="AF2093">
        <v>-8.0883176472110101</v>
      </c>
      <c r="AG2093">
        <v>-1.03066843</v>
      </c>
      <c r="AH2093">
        <v>42.083417178806698</v>
      </c>
      <c r="AI2093">
        <v>91.377749053993497</v>
      </c>
      <c r="AJ2093">
        <v>100.87942550585799</v>
      </c>
      <c r="AK2093">
        <v>42.866037386493602</v>
      </c>
      <c r="AL2093">
        <v>79.580772599958607</v>
      </c>
      <c r="AM2093">
        <v>96.077164966108299</v>
      </c>
      <c r="AN2093">
        <v>0.99999998115736899</v>
      </c>
    </row>
    <row r="2094" spans="1:40" x14ac:dyDescent="0.25">
      <c r="A2094" t="str">
        <f>"20190304155057893"</f>
        <v>20190304155057893</v>
      </c>
      <c r="B2094" t="str">
        <f>"1551685857888651"</f>
        <v>1551685857888651</v>
      </c>
      <c r="C2094" t="s">
        <v>40</v>
      </c>
      <c r="D2094">
        <v>4.8327369999999998</v>
      </c>
      <c r="E2094">
        <v>0.46219300000000002</v>
      </c>
      <c r="F2094" t="s">
        <v>70</v>
      </c>
      <c r="G2094">
        <v>-354.75049999999999</v>
      </c>
      <c r="H2094">
        <v>8.0000070000000006E-2</v>
      </c>
      <c r="I2094">
        <v>277.86649999999997</v>
      </c>
      <c r="J2094">
        <v>-316.03300000000002</v>
      </c>
      <c r="K2094">
        <v>1.1106670000000001</v>
      </c>
      <c r="L2094">
        <v>285.31670000000003</v>
      </c>
      <c r="M2094">
        <v>-0.99987879999999996</v>
      </c>
      <c r="N2094">
        <v>-1.4091370000000001E-2</v>
      </c>
      <c r="O2094">
        <v>6.6188019999999896E-3</v>
      </c>
      <c r="P2094">
        <v>-0.98110839999999999</v>
      </c>
      <c r="Q2094">
        <v>0.16674600000000001</v>
      </c>
      <c r="R2094">
        <v>-9.8093680000000003E-2</v>
      </c>
      <c r="S2094">
        <v>-3.0139469999999999</v>
      </c>
      <c r="T2094">
        <v>-7.989752E-2</v>
      </c>
      <c r="U2094">
        <v>-0.57745360000000001</v>
      </c>
      <c r="V2094">
        <v>-0.10459589999999901</v>
      </c>
      <c r="W2094">
        <v>0.1805397</v>
      </c>
      <c r="X2094">
        <v>0.97799029999999998</v>
      </c>
      <c r="Y2094">
        <v>-0.19456580000000001</v>
      </c>
      <c r="Z2094">
        <v>-4.0203169999999998E-3</v>
      </c>
      <c r="AA2094">
        <v>0.98088120000000001</v>
      </c>
      <c r="AB2094">
        <v>28</v>
      </c>
      <c r="AC2094">
        <v>-38.717499999999902</v>
      </c>
      <c r="AD2094">
        <v>-1.03066693</v>
      </c>
      <c r="AE2094">
        <v>-7.4502000000000503</v>
      </c>
      <c r="AF2094">
        <v>-7.7010633040237302</v>
      </c>
      <c r="AG2094">
        <v>-1.03066693</v>
      </c>
      <c r="AH2094">
        <v>38.640930854635002</v>
      </c>
      <c r="AI2094">
        <v>91.498429187908698</v>
      </c>
      <c r="AJ2094">
        <v>101.271256980247</v>
      </c>
      <c r="AK2094">
        <v>39.414339873272802</v>
      </c>
      <c r="AL2094">
        <v>79.598802165968493</v>
      </c>
      <c r="AM2094">
        <v>96.104569434249797</v>
      </c>
      <c r="AN2094">
        <v>0.99999995623349403</v>
      </c>
    </row>
    <row r="2095" spans="1:40" x14ac:dyDescent="0.25">
      <c r="A2095" t="str">
        <f>"20190304155057914"</f>
        <v>20190304155057914</v>
      </c>
      <c r="B2095" t="str">
        <f>"1551685857909147"</f>
        <v>1551685857909147</v>
      </c>
      <c r="C2095" t="s">
        <v>40</v>
      </c>
      <c r="D2095">
        <v>4.8307640000000003</v>
      </c>
      <c r="E2095">
        <v>0.46187420000000001</v>
      </c>
      <c r="F2095" t="s">
        <v>70</v>
      </c>
      <c r="G2095">
        <v>-354.90289999999999</v>
      </c>
      <c r="H2095">
        <v>8.000003E-2</v>
      </c>
      <c r="I2095">
        <v>277.75409999999999</v>
      </c>
      <c r="J2095">
        <v>-316.29149999999998</v>
      </c>
      <c r="K2095">
        <v>1.1106670000000001</v>
      </c>
      <c r="L2095">
        <v>285.31830000000002</v>
      </c>
      <c r="M2095">
        <v>-0.99987930000000003</v>
      </c>
      <c r="N2095">
        <v>-1.408861E-2</v>
      </c>
      <c r="O2095">
        <v>6.573766E-3</v>
      </c>
      <c r="P2095">
        <v>-0.98106230000000005</v>
      </c>
      <c r="Q2095">
        <v>0.1666695</v>
      </c>
      <c r="R2095">
        <v>-9.8682590000000001E-2</v>
      </c>
      <c r="S2095">
        <v>-3.0126949999999999</v>
      </c>
      <c r="T2095">
        <v>-7.9884049999999998E-2</v>
      </c>
      <c r="U2095">
        <v>-0.58615109999999904</v>
      </c>
      <c r="V2095">
        <v>-0.1051407</v>
      </c>
      <c r="W2095">
        <v>0.18045990000000001</v>
      </c>
      <c r="X2095">
        <v>0.9779466</v>
      </c>
      <c r="Y2095">
        <v>-0.19732450000000001</v>
      </c>
      <c r="Z2095">
        <v>-4.0756769999999998E-3</v>
      </c>
      <c r="AA2095">
        <v>0.98032980000000003</v>
      </c>
      <c r="AB2095">
        <v>28</v>
      </c>
      <c r="AC2095">
        <v>-38.611400000000003</v>
      </c>
      <c r="AD2095">
        <v>-1.03066697</v>
      </c>
      <c r="AE2095">
        <v>-7.56420000000002</v>
      </c>
      <c r="AF2095">
        <v>-7.8125230465365698</v>
      </c>
      <c r="AG2095">
        <v>-1.03066697</v>
      </c>
      <c r="AH2095">
        <v>38.534393095454902</v>
      </c>
      <c r="AI2095">
        <v>91.501571221848806</v>
      </c>
      <c r="AJ2095">
        <v>101.46089093120899</v>
      </c>
      <c r="AK2095">
        <v>39.331885817880099</v>
      </c>
      <c r="AL2095">
        <v>79.603450628723195</v>
      </c>
      <c r="AM2095">
        <v>96.136395956187599</v>
      </c>
      <c r="AN2095">
        <v>0.999999947378028</v>
      </c>
    </row>
    <row r="2096" spans="1:40" x14ac:dyDescent="0.25">
      <c r="A2096" t="str">
        <f>"20190304155057936"</f>
        <v>20190304155057936</v>
      </c>
      <c r="B2096" t="str">
        <f>"1551685857928670"</f>
        <v>1551685857928670</v>
      </c>
      <c r="C2096" t="s">
        <v>40</v>
      </c>
      <c r="D2096">
        <v>4.8696510000000002</v>
      </c>
      <c r="E2096">
        <v>0.46184120000000001</v>
      </c>
      <c r="F2096" t="s">
        <v>44</v>
      </c>
      <c r="G2096">
        <v>-355.9588</v>
      </c>
      <c r="H2096">
        <v>0.10485990000000001</v>
      </c>
      <c r="I2096">
        <v>277.53769999999997</v>
      </c>
      <c r="J2096">
        <v>-316.57350000000002</v>
      </c>
      <c r="K2096">
        <v>1.1106750000000001</v>
      </c>
      <c r="L2096">
        <v>285.32010000000002</v>
      </c>
      <c r="M2096">
        <v>-0.99987950000000003</v>
      </c>
      <c r="N2096">
        <v>-1.408557E-2</v>
      </c>
      <c r="O2096">
        <v>6.5245590000000001E-3</v>
      </c>
      <c r="P2096">
        <v>-0.98089040000000005</v>
      </c>
      <c r="Q2096">
        <v>0.16733970000000001</v>
      </c>
      <c r="R2096">
        <v>-9.9254549999999997E-2</v>
      </c>
      <c r="S2096">
        <v>-3.0115050000000001</v>
      </c>
      <c r="T2096">
        <v>-7.6354980000000003E-2</v>
      </c>
      <c r="U2096">
        <v>-0.59069819999999995</v>
      </c>
      <c r="V2096">
        <v>-0.1056629</v>
      </c>
      <c r="W2096">
        <v>0.18112439999999999</v>
      </c>
      <c r="X2096">
        <v>0.97776750000000001</v>
      </c>
      <c r="Y2096">
        <v>-0.19878119999999999</v>
      </c>
      <c r="Z2096">
        <v>-3.9822640000000001E-3</v>
      </c>
      <c r="AA2096">
        <v>0.98003580000000001</v>
      </c>
      <c r="AB2096">
        <v>28</v>
      </c>
      <c r="AC2096">
        <v>-39.385299999999901</v>
      </c>
      <c r="AD2096">
        <v>-1.0058151</v>
      </c>
      <c r="AE2096">
        <v>-7.7824000000000497</v>
      </c>
      <c r="AF2096">
        <v>-8.0341886801300895</v>
      </c>
      <c r="AG2096">
        <v>-1.0058151</v>
      </c>
      <c r="AH2096">
        <v>39.3090065183886</v>
      </c>
      <c r="AI2096">
        <v>91.436055178891493</v>
      </c>
      <c r="AJ2096">
        <v>101.551330662163</v>
      </c>
      <c r="AK2096">
        <v>40.134247784480003</v>
      </c>
      <c r="AL2096">
        <v>79.564740128987907</v>
      </c>
      <c r="AM2096">
        <v>96.167760065509796</v>
      </c>
      <c r="AN2096">
        <v>0.999999990384009</v>
      </c>
    </row>
    <row r="2097" spans="1:40" x14ac:dyDescent="0.25">
      <c r="A2097" t="str">
        <f>"20190304155057972"</f>
        <v>20190304155057972</v>
      </c>
      <c r="B2097" t="str">
        <f>"1551685857968683"</f>
        <v>1551685857968683</v>
      </c>
      <c r="C2097" t="s">
        <v>40</v>
      </c>
      <c r="D2097">
        <v>4.8880850000000002</v>
      </c>
      <c r="E2097">
        <v>0.46268140000000002</v>
      </c>
      <c r="F2097" t="s">
        <v>44</v>
      </c>
      <c r="G2097">
        <v>-356.05149999999998</v>
      </c>
      <c r="H2097">
        <v>0.166000799999999</v>
      </c>
      <c r="I2097">
        <v>277.53769999999997</v>
      </c>
      <c r="J2097">
        <v>-317.00549999999998</v>
      </c>
      <c r="K2097">
        <v>1.110679</v>
      </c>
      <c r="L2097">
        <v>285.32279999999997</v>
      </c>
      <c r="M2097">
        <v>-0.99987999999999999</v>
      </c>
      <c r="N2097">
        <v>-1.408097E-2</v>
      </c>
      <c r="O2097">
        <v>6.450028E-3</v>
      </c>
      <c r="P2097">
        <v>-0.98067150000000003</v>
      </c>
      <c r="Q2097">
        <v>0.16847889999999999</v>
      </c>
      <c r="R2097">
        <v>-9.9490690000000007E-2</v>
      </c>
      <c r="S2097">
        <v>-3.0106809999999999</v>
      </c>
      <c r="T2097">
        <v>-7.2037699999999996E-2</v>
      </c>
      <c r="U2097">
        <v>-0.59350590000000003</v>
      </c>
      <c r="V2097">
        <v>-0.1058246</v>
      </c>
      <c r="W2097">
        <v>0.1822559</v>
      </c>
      <c r="X2097">
        <v>0.97753970000000001</v>
      </c>
      <c r="Y2097">
        <v>-0.19964709999999999</v>
      </c>
      <c r="Z2097">
        <v>-3.8477350000000001E-3</v>
      </c>
      <c r="AA2097">
        <v>0.97986030000000002</v>
      </c>
      <c r="AB2097">
        <v>28</v>
      </c>
      <c r="AC2097">
        <v>-39.0459999999999</v>
      </c>
      <c r="AD2097">
        <v>-0.94467820000000002</v>
      </c>
      <c r="AE2097">
        <v>-7.7850999999999999</v>
      </c>
      <c r="AF2097">
        <v>-8.0322888753565298</v>
      </c>
      <c r="AG2097">
        <v>-0.94467820000000002</v>
      </c>
      <c r="AH2097">
        <v>38.973027925832</v>
      </c>
      <c r="AI2097">
        <v>91.359964705299504</v>
      </c>
      <c r="AJ2097">
        <v>101.64552306671401</v>
      </c>
      <c r="AK2097">
        <v>39.803353969061597</v>
      </c>
      <c r="AL2097">
        <v>79.498812340827897</v>
      </c>
      <c r="AM2097">
        <v>96.178554259670705</v>
      </c>
      <c r="AN2097">
        <v>0.99999996206302899</v>
      </c>
    </row>
    <row r="2098" spans="1:40" x14ac:dyDescent="0.25">
      <c r="A2098" t="str">
        <f>"20190304155057992"</f>
        <v>20190304155057992</v>
      </c>
      <c r="B2098" t="str">
        <f>"1551685857989178"</f>
        <v>1551685857989178</v>
      </c>
      <c r="C2098" t="s">
        <v>40</v>
      </c>
      <c r="D2098">
        <v>4.8649570000000004</v>
      </c>
      <c r="E2098">
        <v>0.46252779999999999</v>
      </c>
      <c r="F2098" t="s">
        <v>70</v>
      </c>
      <c r="G2098">
        <v>-367.3184</v>
      </c>
      <c r="H2098">
        <v>8.0000779999999994E-2</v>
      </c>
      <c r="I2098">
        <v>275.49540000000002</v>
      </c>
      <c r="J2098">
        <v>-317.25420000000003</v>
      </c>
      <c r="K2098">
        <v>1.1106819999999999</v>
      </c>
      <c r="L2098">
        <v>285.32440000000003</v>
      </c>
      <c r="M2098">
        <v>-0.9998804</v>
      </c>
      <c r="N2098">
        <v>-1.407832E-2</v>
      </c>
      <c r="O2098">
        <v>6.4064819999999998E-3</v>
      </c>
      <c r="P2098">
        <v>-0.98047969999999895</v>
      </c>
      <c r="Q2098">
        <v>0.1691619</v>
      </c>
      <c r="R2098">
        <v>-0.1002204</v>
      </c>
      <c r="S2098">
        <v>-3.0101010000000001</v>
      </c>
      <c r="T2098">
        <v>-6.1663030000000001E-2</v>
      </c>
      <c r="U2098">
        <v>-0.58795169999999997</v>
      </c>
      <c r="V2098">
        <v>-0.1065101</v>
      </c>
      <c r="W2098">
        <v>0.18293380000000001</v>
      </c>
      <c r="X2098">
        <v>0.97733859999999995</v>
      </c>
      <c r="Y2098">
        <v>-0.19791919999999999</v>
      </c>
      <c r="Z2098">
        <v>-3.4552620000000002E-3</v>
      </c>
      <c r="AA2098">
        <v>0.98021230000000004</v>
      </c>
      <c r="AB2098">
        <v>28</v>
      </c>
      <c r="AC2098">
        <v>-50.0641999999999</v>
      </c>
      <c r="AD2098">
        <v>-1.03068122</v>
      </c>
      <c r="AE2098">
        <v>-9.8290000000000006</v>
      </c>
      <c r="AF2098">
        <v>-10.145425057814499</v>
      </c>
      <c r="AG2098">
        <v>-1.03068122</v>
      </c>
      <c r="AH2098">
        <v>49.979799973190097</v>
      </c>
      <c r="AI2098">
        <v>91.157777783935202</v>
      </c>
      <c r="AJ2098">
        <v>101.47459075753299</v>
      </c>
      <c r="AK2098">
        <v>51.009532038052299</v>
      </c>
      <c r="AL2098">
        <v>79.459307336476002</v>
      </c>
      <c r="AM2098">
        <v>96.219534002591899</v>
      </c>
      <c r="AN2098">
        <v>0.99999995781720397</v>
      </c>
    </row>
    <row r="2099" spans="1:40" x14ac:dyDescent="0.25">
      <c r="A2099" t="str">
        <f>"20190304155058015"</f>
        <v>20190304155058015</v>
      </c>
      <c r="B2099" t="str">
        <f>"1551685858008702"</f>
        <v>1551685858008702</v>
      </c>
      <c r="C2099" t="s">
        <v>40</v>
      </c>
      <c r="D2099">
        <v>4.8703949999999896</v>
      </c>
      <c r="E2099">
        <v>0.46237549999999999</v>
      </c>
      <c r="F2099" t="s">
        <v>70</v>
      </c>
      <c r="G2099">
        <v>-370.77300000000002</v>
      </c>
      <c r="H2099">
        <v>8.0001240000000001E-2</v>
      </c>
      <c r="I2099">
        <v>274.80160000000001</v>
      </c>
      <c r="J2099">
        <v>-317.54360000000003</v>
      </c>
      <c r="K2099">
        <v>1.110687</v>
      </c>
      <c r="L2099">
        <v>285.32619999999997</v>
      </c>
      <c r="M2099">
        <v>-0.99988089999999996</v>
      </c>
      <c r="N2099">
        <v>-1.4075229999999999E-2</v>
      </c>
      <c r="O2099">
        <v>6.3557800000000001E-3</v>
      </c>
      <c r="P2099">
        <v>-0.98051770000000005</v>
      </c>
      <c r="Q2099">
        <v>0.16889370000000001</v>
      </c>
      <c r="R2099">
        <v>-0.1003005</v>
      </c>
      <c r="S2099">
        <v>-3.0092469999999998</v>
      </c>
      <c r="T2099">
        <v>-5.7952879999999998E-2</v>
      </c>
      <c r="U2099">
        <v>-0.59167479999999995</v>
      </c>
      <c r="V2099">
        <v>-0.1065412</v>
      </c>
      <c r="W2099">
        <v>0.18266289999999999</v>
      </c>
      <c r="X2099">
        <v>0.97738590000000003</v>
      </c>
      <c r="Y2099">
        <v>-0.19909569999999999</v>
      </c>
      <c r="Z2099">
        <v>-3.3461530000000001E-3</v>
      </c>
      <c r="AA2099">
        <v>0.97997429999999996</v>
      </c>
      <c r="AB2099">
        <v>28</v>
      </c>
      <c r="AC2099">
        <v>-53.229399999999998</v>
      </c>
      <c r="AD2099">
        <v>-1.0306857599999999</v>
      </c>
      <c r="AE2099">
        <v>-10.5245999999999</v>
      </c>
      <c r="AF2099">
        <v>-10.85881708382</v>
      </c>
      <c r="AG2099">
        <v>-1.0306857599999999</v>
      </c>
      <c r="AH2099">
        <v>53.142251026444299</v>
      </c>
      <c r="AI2099">
        <v>91.088615136852596</v>
      </c>
      <c r="AJ2099">
        <v>101.54855145153201</v>
      </c>
      <c r="AK2099">
        <v>54.2501158132713</v>
      </c>
      <c r="AL2099">
        <v>79.475095010824106</v>
      </c>
      <c r="AM2099">
        <v>96.221037095341501</v>
      </c>
      <c r="AN2099">
        <v>0.99999997992632905</v>
      </c>
    </row>
    <row r="2100" spans="1:40" x14ac:dyDescent="0.25">
      <c r="A2100" t="str">
        <f>"20190304155058037"</f>
        <v>20190304155058037</v>
      </c>
      <c r="B2100" t="str">
        <f>"1551685858029195"</f>
        <v>1551685858029195</v>
      </c>
      <c r="C2100" t="s">
        <v>40</v>
      </c>
      <c r="D2100">
        <v>4.8575109999999997</v>
      </c>
      <c r="E2100">
        <v>0.46233760000000002</v>
      </c>
      <c r="F2100" t="s">
        <v>70</v>
      </c>
      <c r="G2100">
        <v>-368.67079999999999</v>
      </c>
      <c r="H2100">
        <v>8.0000390000000005E-2</v>
      </c>
      <c r="I2100">
        <v>275.24450000000002</v>
      </c>
      <c r="J2100">
        <v>-317.81169999999997</v>
      </c>
      <c r="K2100">
        <v>1.1106879999999999</v>
      </c>
      <c r="L2100">
        <v>285.3279</v>
      </c>
      <c r="M2100">
        <v>-0.99988109999999997</v>
      </c>
      <c r="N2100">
        <v>-1.4072360000000001E-2</v>
      </c>
      <c r="O2100">
        <v>6.3061849999999997E-3</v>
      </c>
      <c r="P2100">
        <v>-0.98058250000000002</v>
      </c>
      <c r="Q2100">
        <v>0.1685807</v>
      </c>
      <c r="R2100">
        <v>-0.10019500000000001</v>
      </c>
      <c r="S2100">
        <v>-3.009369</v>
      </c>
      <c r="T2100">
        <v>-6.0666680000000001E-2</v>
      </c>
      <c r="U2100">
        <v>-0.59341429999999995</v>
      </c>
      <c r="V2100">
        <v>-0.1063876</v>
      </c>
      <c r="W2100">
        <v>0.1823478</v>
      </c>
      <c r="X2100">
        <v>0.97746149999999998</v>
      </c>
      <c r="Y2100">
        <v>-0.19958000000000001</v>
      </c>
      <c r="Z2100">
        <v>-3.4483299999999999E-3</v>
      </c>
      <c r="AA2100">
        <v>0.97987539999999995</v>
      </c>
      <c r="AB2100">
        <v>28</v>
      </c>
      <c r="AC2100">
        <v>-50.859099999999998</v>
      </c>
      <c r="AD2100">
        <v>-1.03068761</v>
      </c>
      <c r="AE2100">
        <v>-10.0833999999999</v>
      </c>
      <c r="AF2100">
        <v>-10.399848512050299</v>
      </c>
      <c r="AG2100">
        <v>-1.03068761</v>
      </c>
      <c r="AH2100">
        <v>50.774430416194399</v>
      </c>
      <c r="AI2100">
        <v>91.139261193772498</v>
      </c>
      <c r="AJ2100">
        <v>101.575477306362</v>
      </c>
      <c r="AK2100">
        <v>51.838807375478602</v>
      </c>
      <c r="AL2100">
        <v>79.493457657979903</v>
      </c>
      <c r="AM2100">
        <v>96.211661714842606</v>
      </c>
      <c r="AN2100">
        <v>1.0000000127904201</v>
      </c>
    </row>
    <row r="2101" spans="1:40" x14ac:dyDescent="0.25">
      <c r="A2101" t="str">
        <f>"20190304155058058"</f>
        <v>20190304155058058</v>
      </c>
      <c r="B2101" t="str">
        <f>"1551685858048715"</f>
        <v>1551685858048715</v>
      </c>
      <c r="C2101" t="s">
        <v>40</v>
      </c>
      <c r="D2101">
        <v>4.6056660000000003</v>
      </c>
      <c r="E2101">
        <v>0.51241490000000001</v>
      </c>
      <c r="F2101" t="s">
        <v>70</v>
      </c>
      <c r="G2101">
        <v>-367.44479999999999</v>
      </c>
      <c r="H2101">
        <v>8.0000740000000001E-2</v>
      </c>
      <c r="I2101">
        <v>275.53359999999998</v>
      </c>
      <c r="J2101">
        <v>-318.08069999999998</v>
      </c>
      <c r="K2101">
        <v>1.11069</v>
      </c>
      <c r="L2101">
        <v>285.3295</v>
      </c>
      <c r="M2101">
        <v>-0.99988160000000004</v>
      </c>
      <c r="N2101">
        <v>-1.4069470000000001E-2</v>
      </c>
      <c r="O2101">
        <v>6.252578E-3</v>
      </c>
      <c r="P2101">
        <v>-0.98062009999999999</v>
      </c>
      <c r="Q2101">
        <v>0.1687216</v>
      </c>
      <c r="R2101">
        <v>-9.9586339999999995E-2</v>
      </c>
      <c r="S2101">
        <v>-3.0094910000000001</v>
      </c>
      <c r="T2101">
        <v>-6.2495469999999997E-2</v>
      </c>
      <c r="U2101">
        <v>-0.59387209999999901</v>
      </c>
      <c r="V2101">
        <v>-0.10572810000000001</v>
      </c>
      <c r="W2101">
        <v>0.18248610000000001</v>
      </c>
      <c r="X2101">
        <v>0.97750720000000002</v>
      </c>
      <c r="Y2101">
        <v>-0.19966010000000001</v>
      </c>
      <c r="Z2101">
        <v>-3.5128469999999999E-3</v>
      </c>
      <c r="AA2101">
        <v>0.97985889999999998</v>
      </c>
      <c r="AB2101">
        <v>28</v>
      </c>
      <c r="AC2101">
        <v>-49.364100000000001</v>
      </c>
      <c r="AD2101">
        <v>-1.0306892599999999</v>
      </c>
      <c r="AE2101">
        <v>-9.7959000000000103</v>
      </c>
      <c r="AF2101">
        <v>-10.1001555713574</v>
      </c>
      <c r="AG2101">
        <v>-1.0306892599999999</v>
      </c>
      <c r="AH2101">
        <v>49.281209180696997</v>
      </c>
      <c r="AI2101">
        <v>91.173744365304003</v>
      </c>
      <c r="AJ2101">
        <v>101.58234542559801</v>
      </c>
      <c r="AK2101">
        <v>50.316131024035599</v>
      </c>
      <c r="AL2101">
        <v>79.485397940476702</v>
      </c>
      <c r="AM2101">
        <v>96.1731672916371</v>
      </c>
      <c r="AN2101">
        <v>0.99999996693732895</v>
      </c>
    </row>
    <row r="2102" spans="1:40" x14ac:dyDescent="0.25">
      <c r="A2102" t="str">
        <f>"20190304155058080"</f>
        <v>20190304155058080</v>
      </c>
      <c r="B2102" t="str">
        <f>"1551685858078971"</f>
        <v>1551685858078971</v>
      </c>
      <c r="C2102" t="s">
        <v>40</v>
      </c>
      <c r="D2102">
        <v>4.8842749999999997</v>
      </c>
      <c r="E2102">
        <v>0.52195709999999995</v>
      </c>
      <c r="F2102" t="s">
        <v>70</v>
      </c>
      <c r="G2102">
        <v>-336.48129999999998</v>
      </c>
      <c r="H2102" s="1">
        <v>1.9318720000000002E-6</v>
      </c>
      <c r="I2102">
        <v>284.16750000000002</v>
      </c>
      <c r="J2102">
        <v>-318.35129999999998</v>
      </c>
      <c r="K2102">
        <v>1.1107009999999999</v>
      </c>
      <c r="L2102">
        <v>285.33120000000002</v>
      </c>
      <c r="M2102">
        <v>-0.99988189999999999</v>
      </c>
      <c r="N2102">
        <v>-1.4066560000000001E-2</v>
      </c>
      <c r="O2102">
        <v>6.1941909999999999E-3</v>
      </c>
      <c r="P2102">
        <v>-0.98062879999999997</v>
      </c>
      <c r="Q2102">
        <v>0.16910129999999901</v>
      </c>
      <c r="R2102">
        <v>-9.8853590000000005E-2</v>
      </c>
      <c r="S2102">
        <v>-3.071472</v>
      </c>
      <c r="T2102">
        <v>-0.18539820000000001</v>
      </c>
      <c r="U2102">
        <v>-0.19396969999999999</v>
      </c>
      <c r="V2102">
        <v>-0.1049399</v>
      </c>
      <c r="W2102">
        <v>0.1828621</v>
      </c>
      <c r="X2102">
        <v>0.97752190000000005</v>
      </c>
      <c r="Y2102">
        <v>-6.9046650000000001E-2</v>
      </c>
      <c r="Z2102">
        <v>-2.8528E-3</v>
      </c>
      <c r="AA2102">
        <v>0.99760939999999998</v>
      </c>
      <c r="AB2102">
        <v>28</v>
      </c>
      <c r="AC2102">
        <v>-18.1299999999999</v>
      </c>
      <c r="AD2102">
        <v>-1.110699068128</v>
      </c>
      <c r="AE2102">
        <v>-1.1637</v>
      </c>
      <c r="AF2102">
        <v>-1.27123787846054</v>
      </c>
      <c r="AG2102">
        <v>-1.110699068128</v>
      </c>
      <c r="AH2102">
        <v>18.054958094203698</v>
      </c>
      <c r="AI2102">
        <v>93.511595233732095</v>
      </c>
      <c r="AJ2102">
        <v>94.027511983548607</v>
      </c>
      <c r="AK2102">
        <v>18.1337037018648</v>
      </c>
      <c r="AL2102">
        <v>79.463486352952799</v>
      </c>
      <c r="AM2102">
        <v>96.127406456600298</v>
      </c>
      <c r="AN2102">
        <v>0.99999999760401503</v>
      </c>
    </row>
    <row r="2103" spans="1:40" x14ac:dyDescent="0.25">
      <c r="A2103" t="str">
        <f>"20190304155058103"</f>
        <v>20190304155058103</v>
      </c>
      <c r="B2103" t="str">
        <f>"1551685858098491"</f>
        <v>1551685858098491</v>
      </c>
      <c r="C2103" t="s">
        <v>40</v>
      </c>
      <c r="D2103">
        <v>4.8172810000000004</v>
      </c>
      <c r="E2103">
        <v>0.5249665</v>
      </c>
      <c r="F2103" t="s">
        <v>70</v>
      </c>
      <c r="G2103">
        <v>-348.6703</v>
      </c>
      <c r="H2103" s="1">
        <v>3.0771199999999999E-6</v>
      </c>
      <c r="I2103">
        <v>284.18200000000002</v>
      </c>
      <c r="J2103">
        <v>-318.63010000000003</v>
      </c>
      <c r="K2103">
        <v>1.1107100000000001</v>
      </c>
      <c r="L2103">
        <v>285.33280000000002</v>
      </c>
      <c r="M2103">
        <v>-0.9998823</v>
      </c>
      <c r="N2103">
        <v>-1.4063549999999999E-2</v>
      </c>
      <c r="O2103">
        <v>6.1289400000000003E-3</v>
      </c>
      <c r="P2103">
        <v>-0.98026519999999995</v>
      </c>
      <c r="Q2103">
        <v>0.17165229999999901</v>
      </c>
      <c r="R2103">
        <v>-9.8059969999999996E-2</v>
      </c>
      <c r="S2103">
        <v>-3.0669249999999999</v>
      </c>
      <c r="T2103">
        <v>-0.1123527</v>
      </c>
      <c r="U2103">
        <v>-0.1162415</v>
      </c>
      <c r="V2103">
        <v>-0.1040821</v>
      </c>
      <c r="W2103">
        <v>0.18540419999999999</v>
      </c>
      <c r="X2103">
        <v>0.97713470000000002</v>
      </c>
      <c r="Y2103">
        <v>-4.3956540000000002E-2</v>
      </c>
      <c r="Z2103">
        <v>-1.2521749999999999E-3</v>
      </c>
      <c r="AA2103">
        <v>0.9990327</v>
      </c>
      <c r="AB2103">
        <v>28</v>
      </c>
      <c r="AC2103">
        <v>-30.040199999999899</v>
      </c>
      <c r="AD2103">
        <v>-1.1107069228799999</v>
      </c>
      <c r="AE2103">
        <v>-1.1508</v>
      </c>
      <c r="AF2103">
        <v>-1.33309140889266</v>
      </c>
      <c r="AG2103">
        <v>-1.1107069228799999</v>
      </c>
      <c r="AH2103">
        <v>29.991640955664302</v>
      </c>
      <c r="AI2103">
        <v>92.118825800664396</v>
      </c>
      <c r="AJ2103">
        <v>92.545051456765805</v>
      </c>
      <c r="AK2103">
        <v>30.0417930521212</v>
      </c>
      <c r="AL2103">
        <v>79.315301079324598</v>
      </c>
      <c r="AM2103">
        <v>96.080086511554498</v>
      </c>
      <c r="AN2103">
        <v>1.0000000114310601</v>
      </c>
    </row>
    <row r="2104" spans="1:40" x14ac:dyDescent="0.25">
      <c r="A2104" t="str">
        <f>"20190304155058126"</f>
        <v>20190304155058126</v>
      </c>
      <c r="B2104" t="str">
        <f>"1551685858118986"</f>
        <v>1551685858118986</v>
      </c>
      <c r="C2104" t="s">
        <v>40</v>
      </c>
      <c r="D2104">
        <v>4.8422390000000002</v>
      </c>
      <c r="E2104">
        <v>0.52736890000000003</v>
      </c>
      <c r="F2104" t="s">
        <v>70</v>
      </c>
      <c r="G2104">
        <v>-358.8535</v>
      </c>
      <c r="H2104" s="1">
        <v>3.1746340000000002E-6</v>
      </c>
      <c r="I2104">
        <v>284.1454</v>
      </c>
      <c r="J2104">
        <v>-318.90600000000001</v>
      </c>
      <c r="K2104">
        <v>1.110717</v>
      </c>
      <c r="L2104">
        <v>285.33449999999999</v>
      </c>
      <c r="M2104">
        <v>-0.99988279999999996</v>
      </c>
      <c r="N2104">
        <v>-1.406023E-2</v>
      </c>
      <c r="O2104">
        <v>6.0593469999999997E-3</v>
      </c>
      <c r="P2104">
        <v>-0.98016460000000005</v>
      </c>
      <c r="Q2104">
        <v>0.17247460000000001</v>
      </c>
      <c r="R2104">
        <v>-9.7621840000000001E-2</v>
      </c>
      <c r="S2104">
        <v>-3.0661619999999998</v>
      </c>
      <c r="T2104">
        <v>-8.466709E-2</v>
      </c>
      <c r="U2104">
        <v>-9.0515139999999994E-2</v>
      </c>
      <c r="V2104">
        <v>-0.1035766</v>
      </c>
      <c r="W2104">
        <v>0.18622089999999999</v>
      </c>
      <c r="X2104">
        <v>0.97703309999999999</v>
      </c>
      <c r="Y2104">
        <v>-3.5543579999999998E-2</v>
      </c>
      <c r="Z2104">
        <v>-8.2263469999999995E-4</v>
      </c>
      <c r="AA2104">
        <v>0.99936780000000003</v>
      </c>
      <c r="AB2104">
        <v>28</v>
      </c>
      <c r="AC2104">
        <v>-39.947499999999899</v>
      </c>
      <c r="AD2104">
        <v>-1.1107138253659901</v>
      </c>
      <c r="AE2104">
        <v>-1.1890999999999901</v>
      </c>
      <c r="AF2104">
        <v>-1.4300532889601201</v>
      </c>
      <c r="AG2104">
        <v>-1.1107138253659901</v>
      </c>
      <c r="AH2104">
        <v>39.908735234151301</v>
      </c>
      <c r="AI2104">
        <v>91.593185165314296</v>
      </c>
      <c r="AJ2104">
        <v>92.052206755007106</v>
      </c>
      <c r="AK2104">
        <v>39.949792059542901</v>
      </c>
      <c r="AL2104">
        <v>79.267678226889004</v>
      </c>
      <c r="AM2104">
        <v>96.051401228578001</v>
      </c>
      <c r="AN2104">
        <v>1.0000000070799899</v>
      </c>
    </row>
    <row r="2105" spans="1:40" x14ac:dyDescent="0.25">
      <c r="A2105" t="str">
        <f>"20190304155058148"</f>
        <v>20190304155058148</v>
      </c>
      <c r="B2105" t="str">
        <f>"1551685858138510"</f>
        <v>1551685858138510</v>
      </c>
      <c r="C2105" t="s">
        <v>40</v>
      </c>
      <c r="D2105">
        <v>4.8518629999999998</v>
      </c>
      <c r="E2105">
        <v>0.52812369999999897</v>
      </c>
      <c r="F2105" t="s">
        <v>70</v>
      </c>
      <c r="G2105">
        <v>-362.53089999999997</v>
      </c>
      <c r="H2105" s="1">
        <v>-1.8998129999999999E-7</v>
      </c>
      <c r="I2105">
        <v>284.3306</v>
      </c>
      <c r="J2105">
        <v>-319.18090000000001</v>
      </c>
      <c r="K2105">
        <v>1.110725</v>
      </c>
      <c r="L2105">
        <v>285.33609999999999</v>
      </c>
      <c r="M2105">
        <v>-0.99988339999999998</v>
      </c>
      <c r="N2105">
        <v>-1.4057160000000001E-2</v>
      </c>
      <c r="O2105">
        <v>5.9858919999999996E-3</v>
      </c>
      <c r="P2105">
        <v>-0.98010549999999996</v>
      </c>
      <c r="Q2105">
        <v>0.17287620000000001</v>
      </c>
      <c r="R2105">
        <v>-9.7505720000000004E-2</v>
      </c>
      <c r="S2105">
        <v>-3.067383</v>
      </c>
      <c r="T2105">
        <v>-7.809758E-2</v>
      </c>
      <c r="U2105">
        <v>-7.0587159999999996E-2</v>
      </c>
      <c r="V2105">
        <v>-0.1033898</v>
      </c>
      <c r="W2105">
        <v>0.18661820000000001</v>
      </c>
      <c r="X2105">
        <v>0.97697710000000004</v>
      </c>
      <c r="Y2105">
        <v>-2.8975620000000001E-2</v>
      </c>
      <c r="Z2105">
        <v>-6.4073750000000001E-4</v>
      </c>
      <c r="AA2105">
        <v>0.99957989999999997</v>
      </c>
      <c r="AB2105">
        <v>27</v>
      </c>
      <c r="AC2105">
        <v>-43.349999999999902</v>
      </c>
      <c r="AD2105">
        <v>-1.1107251899813</v>
      </c>
      <c r="AE2105">
        <v>-1.0054999999999801</v>
      </c>
      <c r="AF2105">
        <v>-1.2641665303673999</v>
      </c>
      <c r="AG2105">
        <v>-1.1107251899813</v>
      </c>
      <c r="AH2105">
        <v>43.314782911879398</v>
      </c>
      <c r="AI2105">
        <v>91.468294392392906</v>
      </c>
      <c r="AJ2105">
        <v>91.671735301460501</v>
      </c>
      <c r="AK2105">
        <v>43.347459512264301</v>
      </c>
      <c r="AL2105">
        <v>79.244508687288501</v>
      </c>
      <c r="AM2105">
        <v>96.040911995852397</v>
      </c>
      <c r="AN2105">
        <v>1.0000000286198401</v>
      </c>
    </row>
    <row r="2106" spans="1:40" x14ac:dyDescent="0.25">
      <c r="A2106" t="str">
        <f>"20190304155058171"</f>
        <v>20190304155058171</v>
      </c>
      <c r="B2106" t="str">
        <f>"1551685858168763"</f>
        <v>1551685858168763</v>
      </c>
      <c r="C2106" t="s">
        <v>40</v>
      </c>
      <c r="D2106">
        <v>4.8274489999999997</v>
      </c>
      <c r="E2106">
        <v>0.52887700000000004</v>
      </c>
      <c r="F2106" t="s">
        <v>70</v>
      </c>
      <c r="G2106">
        <v>-367.98079999999999</v>
      </c>
      <c r="H2106" s="1">
        <v>2.7101839999999999E-6</v>
      </c>
      <c r="I2106">
        <v>284.31479999999999</v>
      </c>
      <c r="J2106">
        <v>-319.46249999999998</v>
      </c>
      <c r="K2106">
        <v>1.11073</v>
      </c>
      <c r="L2106">
        <v>285.33760000000001</v>
      </c>
      <c r="M2106">
        <v>-0.99988390000000005</v>
      </c>
      <c r="N2106">
        <v>-1.4054479999999999E-2</v>
      </c>
      <c r="O2106">
        <v>5.9077460000000002E-3</v>
      </c>
      <c r="P2106">
        <v>-0.97991620000000002</v>
      </c>
      <c r="Q2106">
        <v>0.17401620000000001</v>
      </c>
      <c r="R2106">
        <v>-9.7379759999999996E-2</v>
      </c>
      <c r="S2106">
        <v>-3.0668329999999999</v>
      </c>
      <c r="T2106">
        <v>-6.9803480000000001E-2</v>
      </c>
      <c r="U2106">
        <v>-6.4178470000000001E-2</v>
      </c>
      <c r="V2106">
        <v>-0.1031868</v>
      </c>
      <c r="W2106">
        <v>0.18775269999999999</v>
      </c>
      <c r="X2106">
        <v>0.97678109999999996</v>
      </c>
      <c r="Y2106">
        <v>-2.6817250000000001E-2</v>
      </c>
      <c r="Z2106">
        <v>-5.450524E-4</v>
      </c>
      <c r="AA2106">
        <v>0.99964019999999998</v>
      </c>
      <c r="AB2106">
        <v>27</v>
      </c>
      <c r="AC2106">
        <v>-48.518300000000004</v>
      </c>
      <c r="AD2106">
        <v>-1.1107272898160001</v>
      </c>
      <c r="AE2106">
        <v>-1.0228000000000099</v>
      </c>
      <c r="AF2106">
        <v>-1.30875861968419</v>
      </c>
      <c r="AG2106">
        <v>-1.1107272898160001</v>
      </c>
      <c r="AH2106">
        <v>48.486010486422202</v>
      </c>
      <c r="AI2106">
        <v>91.311836078744307</v>
      </c>
      <c r="AJ2106">
        <v>91.546180866495206</v>
      </c>
      <c r="AK2106">
        <v>48.516386686627598</v>
      </c>
      <c r="AL2106">
        <v>79.178336202348902</v>
      </c>
      <c r="AM2106">
        <v>96.030339345021602</v>
      </c>
      <c r="AN2106">
        <v>0.99999995468436798</v>
      </c>
    </row>
    <row r="2107" spans="1:40" x14ac:dyDescent="0.25">
      <c r="A2107" t="str">
        <f>"20190304155058194"</f>
        <v>20190304155058194</v>
      </c>
      <c r="B2107" t="str">
        <f>"1551685858189259"</f>
        <v>1551685858189259</v>
      </c>
      <c r="C2107" t="s">
        <v>40</v>
      </c>
      <c r="D2107">
        <v>4.8430960000000001</v>
      </c>
      <c r="E2107">
        <v>0.52917499999999995</v>
      </c>
      <c r="F2107" t="s">
        <v>70</v>
      </c>
      <c r="G2107">
        <v>-373.78559999999999</v>
      </c>
      <c r="H2107" s="1">
        <v>4.777094E-7</v>
      </c>
      <c r="I2107">
        <v>284.30950000000001</v>
      </c>
      <c r="J2107">
        <v>-319.73169999999999</v>
      </c>
      <c r="K2107">
        <v>1.110738</v>
      </c>
      <c r="L2107">
        <v>285.33920000000001</v>
      </c>
      <c r="M2107">
        <v>-0.99988440000000001</v>
      </c>
      <c r="N2107">
        <v>-1.405197E-2</v>
      </c>
      <c r="O2107">
        <v>5.8319390000000004E-3</v>
      </c>
      <c r="P2107">
        <v>-0.97971839999999999</v>
      </c>
      <c r="Q2107">
        <v>0.1751318</v>
      </c>
      <c r="R2107">
        <v>-9.7370280000000003E-2</v>
      </c>
      <c r="S2107">
        <v>-3.0668639999999998</v>
      </c>
      <c r="T2107">
        <v>-6.2707299999999994E-2</v>
      </c>
      <c r="U2107">
        <v>-5.8044430000000001E-2</v>
      </c>
      <c r="V2107">
        <v>-0.1031025</v>
      </c>
      <c r="W2107">
        <v>0.18886249999999999</v>
      </c>
      <c r="X2107">
        <v>0.97657609999999995</v>
      </c>
      <c r="Y2107">
        <v>-2.474523E-2</v>
      </c>
      <c r="Z2107">
        <v>-4.641232E-4</v>
      </c>
      <c r="AA2107">
        <v>0.99969370000000002</v>
      </c>
      <c r="AB2107">
        <v>27</v>
      </c>
      <c r="AC2107">
        <v>-54.053899999999999</v>
      </c>
      <c r="AD2107">
        <v>-1.1107375222906</v>
      </c>
      <c r="AE2107">
        <v>-1.0296999999999901</v>
      </c>
      <c r="AF2107">
        <v>-1.3443851567151699</v>
      </c>
      <c r="AG2107">
        <v>-1.1107375222906</v>
      </c>
      <c r="AH2107">
        <v>54.024171456416099</v>
      </c>
      <c r="AI2107">
        <v>91.177471453954595</v>
      </c>
      <c r="AJ2107">
        <v>91.4255045358384</v>
      </c>
      <c r="AK2107">
        <v>54.052309949208201</v>
      </c>
      <c r="AL2107">
        <v>79.113591821857796</v>
      </c>
      <c r="AM2107">
        <v>96.026704563631199</v>
      </c>
      <c r="AN2107">
        <v>1.0000000242518501</v>
      </c>
    </row>
    <row r="2108" spans="1:40" x14ac:dyDescent="0.25">
      <c r="A2108" t="str">
        <f>"20190304155058216"</f>
        <v>20190304155058216</v>
      </c>
      <c r="B2108" t="str">
        <f>"1551685858208779"</f>
        <v>1551685858208779</v>
      </c>
      <c r="C2108" t="s">
        <v>40</v>
      </c>
      <c r="D2108">
        <v>4.8627949999999904</v>
      </c>
      <c r="E2108">
        <v>0.52953339999999904</v>
      </c>
      <c r="F2108" t="s">
        <v>70</v>
      </c>
      <c r="G2108">
        <v>-379.84649999999999</v>
      </c>
      <c r="H2108" s="1">
        <v>3.7030040000000001E-6</v>
      </c>
      <c r="I2108">
        <v>284.2312</v>
      </c>
      <c r="J2108">
        <v>-320.0111</v>
      </c>
      <c r="K2108">
        <v>1.1107419999999999</v>
      </c>
      <c r="L2108">
        <v>285.3408</v>
      </c>
      <c r="M2108">
        <v>-0.99988480000000002</v>
      </c>
      <c r="N2108">
        <v>-1.4049290000000001E-2</v>
      </c>
      <c r="O2108">
        <v>5.753101E-3</v>
      </c>
      <c r="P2108">
        <v>-0.97960320000000001</v>
      </c>
      <c r="Q2108">
        <v>0.175681</v>
      </c>
      <c r="R2108">
        <v>-9.7539150000000005E-2</v>
      </c>
      <c r="S2108">
        <v>-3.0666199999999999</v>
      </c>
      <c r="T2108">
        <v>-5.6661610000000001E-2</v>
      </c>
      <c r="U2108">
        <v>-5.6518550000000001E-2</v>
      </c>
      <c r="V2108">
        <v>-0.1031934</v>
      </c>
      <c r="W2108">
        <v>0.18940760000000001</v>
      </c>
      <c r="X2108">
        <v>0.97646089999999997</v>
      </c>
      <c r="Y2108">
        <v>-2.4172180000000001E-2</v>
      </c>
      <c r="Z2108">
        <v>-4.1858539999999999E-4</v>
      </c>
      <c r="AA2108">
        <v>0.99970769999999998</v>
      </c>
      <c r="AB2108">
        <v>27</v>
      </c>
      <c r="AC2108">
        <v>-59.8353999999999</v>
      </c>
      <c r="AD2108">
        <v>-1.110738296996</v>
      </c>
      <c r="AE2108">
        <v>-1.1095999999999999</v>
      </c>
      <c r="AF2108">
        <v>-1.4533540509679601</v>
      </c>
      <c r="AG2108">
        <v>-1.110738296996</v>
      </c>
      <c r="AH2108">
        <v>59.807423139488698</v>
      </c>
      <c r="AI2108">
        <v>91.063656017850803</v>
      </c>
      <c r="AJ2108">
        <v>91.392045730991399</v>
      </c>
      <c r="AK2108">
        <v>59.835389529506102</v>
      </c>
      <c r="AL2108">
        <v>79.081785594070695</v>
      </c>
      <c r="AM2108">
        <v>96.032685220071002</v>
      </c>
      <c r="AN2108">
        <v>1.00000000298506</v>
      </c>
    </row>
    <row r="2109" spans="1:40" x14ac:dyDescent="0.25">
      <c r="A2109" t="str">
        <f>"20190304155058238"</f>
        <v>20190304155058238</v>
      </c>
      <c r="B2109" t="str">
        <f>"1551685858228299"</f>
        <v>1551685858228299</v>
      </c>
      <c r="C2109" t="s">
        <v>40</v>
      </c>
      <c r="D2109">
        <v>4.8632650000000002</v>
      </c>
      <c r="E2109">
        <v>0.52982689999999999</v>
      </c>
      <c r="F2109" t="s">
        <v>70</v>
      </c>
      <c r="G2109">
        <v>-381.71679999999998</v>
      </c>
      <c r="H2109" s="1">
        <v>-6.2321130000000004E-7</v>
      </c>
      <c r="I2109">
        <v>284.24349999999998</v>
      </c>
      <c r="J2109">
        <v>-320.274</v>
      </c>
      <c r="K2109">
        <v>1.110743</v>
      </c>
      <c r="L2109">
        <v>285.34219999999999</v>
      </c>
      <c r="M2109">
        <v>-0.99988540000000004</v>
      </c>
      <c r="N2109">
        <v>-1.404675E-2</v>
      </c>
      <c r="O2109">
        <v>5.6784950000000004E-3</v>
      </c>
      <c r="P2109">
        <v>-0.97966279999999994</v>
      </c>
      <c r="Q2109">
        <v>0.17573050000000001</v>
      </c>
      <c r="R2109">
        <v>-9.6851090000000001E-2</v>
      </c>
      <c r="S2109">
        <v>-3.0669249999999999</v>
      </c>
      <c r="T2109">
        <v>-5.5206659999999998E-2</v>
      </c>
      <c r="U2109">
        <v>-5.4534909999999999E-2</v>
      </c>
      <c r="V2109">
        <v>-0.1024325</v>
      </c>
      <c r="W2109">
        <v>0.18945580000000001</v>
      </c>
      <c r="X2109">
        <v>0.9765317</v>
      </c>
      <c r="Y2109">
        <v>-2.3449879999999999E-2</v>
      </c>
      <c r="Z2109">
        <v>-3.9820630000000001E-4</v>
      </c>
      <c r="AA2109">
        <v>0.99972490000000003</v>
      </c>
      <c r="AB2109">
        <v>27</v>
      </c>
      <c r="AC2109">
        <v>-61.442799999999899</v>
      </c>
      <c r="AD2109">
        <v>-1.1107436232112999</v>
      </c>
      <c r="AE2109">
        <v>-1.0987</v>
      </c>
      <c r="AF2109">
        <v>-1.44714649655036</v>
      </c>
      <c r="AG2109">
        <v>-1.1107436232112999</v>
      </c>
      <c r="AH2109">
        <v>61.4155052606529</v>
      </c>
      <c r="AI2109">
        <v>91.035834999615304</v>
      </c>
      <c r="AJ2109">
        <v>91.349822748917603</v>
      </c>
      <c r="AK2109">
        <v>61.442593294881902</v>
      </c>
      <c r="AL2109">
        <v>79.078973412519304</v>
      </c>
      <c r="AM2109">
        <v>95.988096429092295</v>
      </c>
      <c r="AN2109">
        <v>1.00000003915738</v>
      </c>
    </row>
    <row r="2110" spans="1:40" x14ac:dyDescent="0.25">
      <c r="A2110" t="str">
        <f>"20190304155058259"</f>
        <v>20190304155058259</v>
      </c>
      <c r="B2110" t="str">
        <f>"1551685858248795"</f>
        <v>1551685858248795</v>
      </c>
      <c r="C2110" t="s">
        <v>40</v>
      </c>
      <c r="D2110">
        <v>4.912166</v>
      </c>
      <c r="E2110">
        <v>0.52983389999999997</v>
      </c>
      <c r="F2110" t="s">
        <v>70</v>
      </c>
      <c r="G2110">
        <v>-383.94159999999999</v>
      </c>
      <c r="H2110" s="1">
        <v>5.6073509999999898E-7</v>
      </c>
      <c r="I2110">
        <v>284.30700000000002</v>
      </c>
      <c r="J2110">
        <v>-320.5401</v>
      </c>
      <c r="K2110">
        <v>1.1107370000000001</v>
      </c>
      <c r="L2110">
        <v>285.34359999999998</v>
      </c>
      <c r="M2110">
        <v>-0.99988589999999999</v>
      </c>
      <c r="N2110">
        <v>-1.404418E-2</v>
      </c>
      <c r="O2110">
        <v>5.6023330000000001E-3</v>
      </c>
      <c r="P2110">
        <v>-0.97959739999999995</v>
      </c>
      <c r="Q2110">
        <v>0.17637349999999999</v>
      </c>
      <c r="R2110">
        <v>-9.6342399999999995E-2</v>
      </c>
      <c r="S2110">
        <v>-3.0669559999999998</v>
      </c>
      <c r="T2110">
        <v>-5.3506020000000001E-2</v>
      </c>
      <c r="U2110">
        <v>-4.9865720000000002E-2</v>
      </c>
      <c r="V2110">
        <v>-0.1018497</v>
      </c>
      <c r="W2110">
        <v>0.19009529999999999</v>
      </c>
      <c r="X2110">
        <v>0.97646829999999996</v>
      </c>
      <c r="Y2110">
        <v>-2.1852739999999999E-2</v>
      </c>
      <c r="Z2110">
        <v>-3.6313259999999999E-4</v>
      </c>
      <c r="AA2110">
        <v>0.99976120000000002</v>
      </c>
      <c r="AB2110">
        <v>27</v>
      </c>
      <c r="AC2110">
        <v>-63.401499999999999</v>
      </c>
      <c r="AD2110">
        <v>-1.1107364392649</v>
      </c>
      <c r="AE2110">
        <v>-1.03659999999996</v>
      </c>
      <c r="AF2110">
        <v>-1.3913880730391499</v>
      </c>
      <c r="AG2110">
        <v>-1.1107364392649</v>
      </c>
      <c r="AH2110">
        <v>63.375251047752101</v>
      </c>
      <c r="AI2110">
        <v>91.003840877777705</v>
      </c>
      <c r="AJ2110">
        <v>91.257712717238903</v>
      </c>
      <c r="AK2110">
        <v>63.400253481929497</v>
      </c>
      <c r="AL2110">
        <v>79.041653737587396</v>
      </c>
      <c r="AM2110">
        <v>95.954655832755506</v>
      </c>
      <c r="AN2110">
        <v>0.99999996268853397</v>
      </c>
    </row>
    <row r="2111" spans="1:40" x14ac:dyDescent="0.25">
      <c r="A2111" t="str">
        <f>"20190304155058281"</f>
        <v>20190304155058281</v>
      </c>
      <c r="B2111" t="str">
        <f>"1551685858279052"</f>
        <v>1551685858279052</v>
      </c>
      <c r="C2111" t="s">
        <v>40</v>
      </c>
      <c r="D2111">
        <v>4.8517530000000004</v>
      </c>
      <c r="E2111">
        <v>0.52988919999999995</v>
      </c>
      <c r="F2111" t="s">
        <v>70</v>
      </c>
      <c r="G2111">
        <v>-388.11669999999998</v>
      </c>
      <c r="H2111" s="1">
        <v>2.7825200000000002E-6</v>
      </c>
      <c r="I2111">
        <v>284.30869999999999</v>
      </c>
      <c r="J2111">
        <v>-320.81180000000001</v>
      </c>
      <c r="K2111">
        <v>1.110741</v>
      </c>
      <c r="L2111">
        <v>285.34500000000003</v>
      </c>
      <c r="M2111">
        <v>-0.99988619999999995</v>
      </c>
      <c r="N2111">
        <v>-1.404154E-2</v>
      </c>
      <c r="O2111">
        <v>5.5241999999999999E-3</v>
      </c>
      <c r="P2111">
        <v>-0.97936069999999997</v>
      </c>
      <c r="Q2111">
        <v>0.17834990000000001</v>
      </c>
      <c r="R2111">
        <v>-9.5100249999999997E-2</v>
      </c>
      <c r="S2111">
        <v>-3.0669249999999999</v>
      </c>
      <c r="T2111">
        <v>-5.0410030000000002E-2</v>
      </c>
      <c r="U2111">
        <v>-4.6966550000000003E-2</v>
      </c>
      <c r="V2111">
        <v>-0.10053040000000001</v>
      </c>
      <c r="W2111">
        <v>0.19206580000000001</v>
      </c>
      <c r="X2111">
        <v>0.97621939999999996</v>
      </c>
      <c r="Y2111">
        <v>-2.0830729999999999E-2</v>
      </c>
      <c r="Z2111">
        <v>-3.3067650000000002E-4</v>
      </c>
      <c r="AA2111">
        <v>0.99978299999999998</v>
      </c>
      <c r="AB2111">
        <v>27</v>
      </c>
      <c r="AC2111">
        <v>-67.304899999999904</v>
      </c>
      <c r="AD2111">
        <v>-1.11073821748</v>
      </c>
      <c r="AE2111">
        <v>-1.03630000000003</v>
      </c>
      <c r="AF2111">
        <v>-1.4077432440422599</v>
      </c>
      <c r="AG2111">
        <v>-1.11073821748</v>
      </c>
      <c r="AH2111">
        <v>67.279828101085599</v>
      </c>
      <c r="AI2111">
        <v>90.945616394818501</v>
      </c>
      <c r="AJ2111">
        <v>91.198665056036205</v>
      </c>
      <c r="AK2111">
        <v>67.303720177569303</v>
      </c>
      <c r="AL2111">
        <v>78.926633185594994</v>
      </c>
      <c r="AM2111">
        <v>95.879554565469604</v>
      </c>
      <c r="AN2111">
        <v>0.99999997489507897</v>
      </c>
    </row>
    <row r="2112" spans="1:40" x14ac:dyDescent="0.25">
      <c r="A2112" t="str">
        <f>"20190304155058305"</f>
        <v>20190304155058305</v>
      </c>
      <c r="B2112" t="str">
        <f>"1551685858298571"</f>
        <v>1551685858298571</v>
      </c>
      <c r="C2112" t="s">
        <v>40</v>
      </c>
      <c r="D2112">
        <v>4.9218380000000002</v>
      </c>
      <c r="E2112">
        <v>0.53010299999999999</v>
      </c>
      <c r="F2112" t="s">
        <v>72</v>
      </c>
      <c r="G2112">
        <v>-401.34280000000001</v>
      </c>
      <c r="H2112" s="1">
        <v>7.8838769999999996E-6</v>
      </c>
      <c r="I2112">
        <v>284.2432</v>
      </c>
      <c r="J2112">
        <v>-321.09379999999999</v>
      </c>
      <c r="K2112">
        <v>1.1107579999999999</v>
      </c>
      <c r="L2112">
        <v>285.34649999999999</v>
      </c>
      <c r="M2112">
        <v>-0.99988659999999996</v>
      </c>
      <c r="N2112">
        <v>-1.4038790000000001E-2</v>
      </c>
      <c r="O2112">
        <v>5.4404519999999897E-3</v>
      </c>
      <c r="P2112">
        <v>-0.97890010000000005</v>
      </c>
      <c r="Q2112">
        <v>0.1817993</v>
      </c>
      <c r="R2112">
        <v>-9.3294929999999998E-2</v>
      </c>
      <c r="S2112">
        <v>-3.0668639999999998</v>
      </c>
      <c r="T2112">
        <v>-4.2300110000000002E-2</v>
      </c>
      <c r="U2112">
        <v>-4.196167E-2</v>
      </c>
      <c r="V2112">
        <v>-9.8641320000000005E-2</v>
      </c>
      <c r="W2112">
        <v>0.1955055</v>
      </c>
      <c r="X2112">
        <v>0.97572919999999996</v>
      </c>
      <c r="Y2112">
        <v>-1.9117599999999998E-2</v>
      </c>
      <c r="Z2112">
        <v>-2.647026E-4</v>
      </c>
      <c r="AA2112">
        <v>0.99981719999999996</v>
      </c>
      <c r="AB2112">
        <v>27</v>
      </c>
      <c r="AC2112">
        <v>-80.248999999999995</v>
      </c>
      <c r="AD2112">
        <v>-1.110750116123</v>
      </c>
      <c r="AE2112">
        <v>-1.10329999999999</v>
      </c>
      <c r="AF2112">
        <v>-1.5396226455147199</v>
      </c>
      <c r="AG2112">
        <v>-1.110750116123</v>
      </c>
      <c r="AH2112">
        <v>80.226442094507803</v>
      </c>
      <c r="AI2112">
        <v>90.793074107021098</v>
      </c>
      <c r="AJ2112">
        <v>91.099426201649095</v>
      </c>
      <c r="AK2112">
        <v>80.248901642667207</v>
      </c>
      <c r="AL2112">
        <v>78.7257448972004</v>
      </c>
      <c r="AM2112">
        <v>95.772702716437095</v>
      </c>
      <c r="AN2112">
        <v>0.99999999113711602</v>
      </c>
    </row>
    <row r="2113" spans="1:40" x14ac:dyDescent="0.25">
      <c r="A2113" t="str">
        <f>"20190304155058328"</f>
        <v>20190304155058328</v>
      </c>
      <c r="B2113" t="str">
        <f>"1551685858319067"</f>
        <v>1551685858319067</v>
      </c>
      <c r="C2113" t="s">
        <v>40</v>
      </c>
      <c r="D2113">
        <v>4.9059039999999996</v>
      </c>
      <c r="E2113">
        <v>0.53030739999999998</v>
      </c>
      <c r="F2113" t="s">
        <v>72</v>
      </c>
      <c r="G2113">
        <v>-426.25029999999998</v>
      </c>
      <c r="H2113" s="1">
        <v>2.8959679999999998E-6</v>
      </c>
      <c r="I2113">
        <v>284.15800000000002</v>
      </c>
      <c r="J2113">
        <v>-321.37200000000001</v>
      </c>
      <c r="K2113">
        <v>1.1107819999999999</v>
      </c>
      <c r="L2113">
        <v>285.34789999999998</v>
      </c>
      <c r="M2113">
        <v>-0.99988730000000003</v>
      </c>
      <c r="N2113">
        <v>-1.4035789999999999E-2</v>
      </c>
      <c r="O2113">
        <v>5.3521609999999898E-3</v>
      </c>
      <c r="P2113">
        <v>-0.97838179999999997</v>
      </c>
      <c r="Q2113">
        <v>0.1851399</v>
      </c>
      <c r="R2113">
        <v>-9.2154760000000002E-2</v>
      </c>
      <c r="S2113">
        <v>-3.067383</v>
      </c>
      <c r="T2113">
        <v>-3.2400369999999998E-2</v>
      </c>
      <c r="U2113">
        <v>-3.4667969999999999E-2</v>
      </c>
      <c r="V2113">
        <v>-9.7413849999999996E-2</v>
      </c>
      <c r="W2113">
        <v>0.19883529999999999</v>
      </c>
      <c r="X2113">
        <v>0.97517949999999998</v>
      </c>
      <c r="Y2113">
        <v>-1.66514E-2</v>
      </c>
      <c r="Z2113">
        <v>-1.8622039999999999E-4</v>
      </c>
      <c r="AA2113">
        <v>0.99986140000000001</v>
      </c>
      <c r="AB2113">
        <v>27</v>
      </c>
      <c r="AC2113">
        <v>-104.878299999999</v>
      </c>
      <c r="AD2113">
        <v>-1.1107791040320001</v>
      </c>
      <c r="AE2113">
        <v>-1.18989999999996</v>
      </c>
      <c r="AF2113">
        <v>-1.75106733173561</v>
      </c>
      <c r="AG2113">
        <v>-1.1107791040320001</v>
      </c>
      <c r="AH2113">
        <v>104.85866769491</v>
      </c>
      <c r="AI2113">
        <v>90.606833030999894</v>
      </c>
      <c r="AJ2113">
        <v>90.956711022482494</v>
      </c>
      <c r="AK2113">
        <v>104.87916979920099</v>
      </c>
      <c r="AL2113">
        <v>78.531141139958606</v>
      </c>
      <c r="AM2113">
        <v>95.704537330666895</v>
      </c>
      <c r="AN2113">
        <v>0.99999999595908096</v>
      </c>
    </row>
    <row r="2114" spans="1:40" x14ac:dyDescent="0.25">
      <c r="A2114" t="str">
        <f>"20190304155058350"</f>
        <v>20190304155058350</v>
      </c>
      <c r="B2114" t="str">
        <f>"1551685858338587"</f>
        <v>1551685858338587</v>
      </c>
      <c r="C2114" t="s">
        <v>40</v>
      </c>
      <c r="D2114">
        <v>4.91906</v>
      </c>
      <c r="E2114">
        <v>0.53054979999999996</v>
      </c>
      <c r="F2114" t="s">
        <v>62</v>
      </c>
      <c r="G2114">
        <v>-472.73790000000002</v>
      </c>
      <c r="H2114" s="1">
        <v>5.3370069999999999E-6</v>
      </c>
      <c r="I2114">
        <v>283.89640000000003</v>
      </c>
      <c r="J2114">
        <v>-321.63470000000001</v>
      </c>
      <c r="K2114">
        <v>1.1108039999999999</v>
      </c>
      <c r="L2114">
        <v>285.3492</v>
      </c>
      <c r="M2114">
        <v>-0.99988779999999999</v>
      </c>
      <c r="N2114">
        <v>-1.4032960000000001E-2</v>
      </c>
      <c r="O2114">
        <v>5.2606700000000003E-3</v>
      </c>
      <c r="P2114">
        <v>-0.9779236</v>
      </c>
      <c r="Q2114">
        <v>0.18771470000000001</v>
      </c>
      <c r="R2114">
        <v>-9.1808409999999993E-2</v>
      </c>
      <c r="S2114">
        <v>-3.0678100000000001</v>
      </c>
      <c r="T2114">
        <v>-2.2512669999999999E-2</v>
      </c>
      <c r="U2114">
        <v>-2.9418949999999999E-2</v>
      </c>
      <c r="V2114">
        <v>-9.6977889999999997E-2</v>
      </c>
      <c r="W2114">
        <v>0.20139979999999999</v>
      </c>
      <c r="X2114">
        <v>0.97469660000000002</v>
      </c>
      <c r="Y2114">
        <v>-1.484865E-2</v>
      </c>
      <c r="Z2114">
        <v>-1.234551E-4</v>
      </c>
      <c r="AA2114">
        <v>0.99988969999999999</v>
      </c>
      <c r="AB2114">
        <v>27</v>
      </c>
      <c r="AC2114">
        <v>-151.10319999999999</v>
      </c>
      <c r="AD2114">
        <v>-1.110798662993</v>
      </c>
      <c r="AE2114">
        <v>-1.4527999999999599</v>
      </c>
      <c r="AF2114">
        <v>-2.2476407060860399</v>
      </c>
      <c r="AG2114">
        <v>-1.110798662993</v>
      </c>
      <c r="AH2114">
        <v>151.08530121094901</v>
      </c>
      <c r="AI2114">
        <v>90.421191783383506</v>
      </c>
      <c r="AJ2114">
        <v>90.852305460844406</v>
      </c>
      <c r="AK2114">
        <v>151.10610181067</v>
      </c>
      <c r="AL2114">
        <v>78.381172841536497</v>
      </c>
      <c r="AM2114">
        <v>95.681970114591294</v>
      </c>
      <c r="AN2114">
        <v>1.00000002632022</v>
      </c>
    </row>
    <row r="2115" spans="1:40" x14ac:dyDescent="0.25">
      <c r="A2115" t="str">
        <f>"20190304155058372"</f>
        <v>20190304155058372</v>
      </c>
      <c r="B2115" t="str">
        <f>"1551685858368843"</f>
        <v>1551685858368843</v>
      </c>
      <c r="C2115" t="s">
        <v>40</v>
      </c>
      <c r="D2115">
        <v>4.8739549999999996</v>
      </c>
      <c r="E2115">
        <v>0.5111445</v>
      </c>
      <c r="F2115" t="s">
        <v>42</v>
      </c>
      <c r="G2115">
        <v>-548.8492</v>
      </c>
      <c r="H2115">
        <v>-0.05</v>
      </c>
      <c r="I2115">
        <v>283.40339999999998</v>
      </c>
      <c r="J2115">
        <v>-321.89859999999999</v>
      </c>
      <c r="K2115">
        <v>1.110825</v>
      </c>
      <c r="L2115">
        <v>285.35050000000001</v>
      </c>
      <c r="M2115">
        <v>-0.9998882</v>
      </c>
      <c r="N2115">
        <v>-1.4030259999999999E-2</v>
      </c>
      <c r="O2115">
        <v>5.1605089999999998E-3</v>
      </c>
      <c r="P2115">
        <v>-0.97746</v>
      </c>
      <c r="Q2115">
        <v>0.1902403</v>
      </c>
      <c r="R2115">
        <v>-9.1544639999999997E-2</v>
      </c>
      <c r="S2115">
        <v>-3.0682680000000002</v>
      </c>
      <c r="T2115">
        <v>-1.5675310000000001E-2</v>
      </c>
      <c r="U2115">
        <v>-2.6275630000000001E-2</v>
      </c>
      <c r="V2115">
        <v>-9.6617900000000007E-2</v>
      </c>
      <c r="W2115">
        <v>0.20391519999999999</v>
      </c>
      <c r="X2115">
        <v>0.9742092</v>
      </c>
      <c r="Y2115">
        <v>-1.372319E-2</v>
      </c>
      <c r="Z2115" s="1">
        <v>-8.5290269999999997E-5</v>
      </c>
      <c r="AA2115">
        <v>0.99990579999999996</v>
      </c>
      <c r="AB2115">
        <v>27</v>
      </c>
      <c r="AC2115">
        <v>-226.95060000000001</v>
      </c>
      <c r="AD2115">
        <v>-1.160825</v>
      </c>
      <c r="AE2115">
        <v>-1.94710000000003</v>
      </c>
      <c r="AF2115">
        <v>-3.1182884604136301</v>
      </c>
      <c r="AG2115">
        <v>-1.160825</v>
      </c>
      <c r="AH2115">
        <v>226.93159187789601</v>
      </c>
      <c r="AI2115">
        <v>90.293055340979194</v>
      </c>
      <c r="AJ2115">
        <v>90.787257176751496</v>
      </c>
      <c r="AK2115">
        <v>226.95598390401301</v>
      </c>
      <c r="AL2115">
        <v>78.233996695077394</v>
      </c>
      <c r="AM2115">
        <v>95.663829235407107</v>
      </c>
      <c r="AN2115">
        <v>0.99999999637804404</v>
      </c>
    </row>
    <row r="2116" spans="1:40" x14ac:dyDescent="0.25">
      <c r="A2116" t="str">
        <f>"20190304155058395"</f>
        <v>20190304155058395</v>
      </c>
      <c r="B2116" t="str">
        <f>"1551685858388363"</f>
        <v>1551685858388363</v>
      </c>
      <c r="C2116" t="s">
        <v>40</v>
      </c>
      <c r="D2116">
        <v>4.9002629999999998</v>
      </c>
      <c r="E2116">
        <v>0.50988020000000001</v>
      </c>
      <c r="F2116" t="s">
        <v>70</v>
      </c>
      <c r="G2116">
        <v>-355.80189999999999</v>
      </c>
      <c r="H2116" s="1">
        <v>1.550721E-6</v>
      </c>
      <c r="I2116">
        <v>283.38709999999998</v>
      </c>
      <c r="J2116">
        <v>-322.17559999999997</v>
      </c>
      <c r="K2116">
        <v>1.1108389999999999</v>
      </c>
      <c r="L2116">
        <v>285.35180000000003</v>
      </c>
      <c r="M2116">
        <v>-0.99988900000000003</v>
      </c>
      <c r="N2116">
        <v>-1.4027400000000001E-2</v>
      </c>
      <c r="O2116">
        <v>5.043039E-3</v>
      </c>
      <c r="P2116">
        <v>-0.97728419999999905</v>
      </c>
      <c r="Q2116">
        <v>0.1910657</v>
      </c>
      <c r="R2116">
        <v>-9.1704549999999996E-2</v>
      </c>
      <c r="S2116">
        <v>-3.0721129999999999</v>
      </c>
      <c r="T2116">
        <v>-0.10065590000000001</v>
      </c>
      <c r="U2116">
        <v>-0.17791750000000001</v>
      </c>
      <c r="V2116">
        <v>-9.6665609999999999E-2</v>
      </c>
      <c r="W2116">
        <v>0.204733</v>
      </c>
      <c r="X2116">
        <v>0.97403289999999998</v>
      </c>
      <c r="Y2116">
        <v>-6.2802289999999997E-2</v>
      </c>
      <c r="Z2116">
        <v>-1.5631219999999999E-3</v>
      </c>
      <c r="AA2116">
        <v>0.99802480000000005</v>
      </c>
      <c r="AB2116">
        <v>27</v>
      </c>
      <c r="AC2116">
        <v>-33.626300000000001</v>
      </c>
      <c r="AD2116">
        <v>-1.1108374492790001</v>
      </c>
      <c r="AE2116">
        <v>-1.9647000000000501</v>
      </c>
      <c r="AF2116">
        <v>-2.1319517455970298</v>
      </c>
      <c r="AG2116">
        <v>-1.1108374492790001</v>
      </c>
      <c r="AH2116">
        <v>33.5794428204442</v>
      </c>
      <c r="AI2116">
        <v>91.890899278998504</v>
      </c>
      <c r="AJ2116">
        <v>93.632820954429604</v>
      </c>
      <c r="AK2116">
        <v>33.665385163632997</v>
      </c>
      <c r="AL2116">
        <v>78.186130017761599</v>
      </c>
      <c r="AM2116">
        <v>95.667626820668005</v>
      </c>
      <c r="AN2116">
        <v>0.99999996586404005</v>
      </c>
    </row>
    <row r="2117" spans="1:40" x14ac:dyDescent="0.25">
      <c r="A2117" t="str">
        <f>"20190304155058416"</f>
        <v>20190304155058416</v>
      </c>
      <c r="B2117" t="str">
        <f>"1551685858408863"</f>
        <v>1551685858408863</v>
      </c>
      <c r="C2117" t="s">
        <v>40</v>
      </c>
      <c r="D2117">
        <v>4.9008770000000004</v>
      </c>
      <c r="E2117">
        <v>0.50886709999999902</v>
      </c>
      <c r="F2117" t="s">
        <v>70</v>
      </c>
      <c r="G2117">
        <v>-368.85860000000002</v>
      </c>
      <c r="H2117" s="1">
        <v>3.1773309999999999E-6</v>
      </c>
      <c r="I2117">
        <v>282.47289999999998</v>
      </c>
      <c r="J2117">
        <v>-322.43990000000002</v>
      </c>
      <c r="K2117">
        <v>1.110849</v>
      </c>
      <c r="L2117">
        <v>285.35300000000001</v>
      </c>
      <c r="M2117">
        <v>-0.99988960000000005</v>
      </c>
      <c r="N2117">
        <v>-1.402457E-2</v>
      </c>
      <c r="O2117">
        <v>4.9173209999999997E-3</v>
      </c>
      <c r="P2117">
        <v>-0.97710839999999999</v>
      </c>
      <c r="Q2117">
        <v>0.1916156</v>
      </c>
      <c r="R2117">
        <v>-9.2428650000000001E-2</v>
      </c>
      <c r="S2117">
        <v>-3.0662229999999999</v>
      </c>
      <c r="T2117">
        <v>-7.2961570000000003E-2</v>
      </c>
      <c r="U2117">
        <v>-0.1890869</v>
      </c>
      <c r="V2117">
        <v>-9.7270620000000002E-2</v>
      </c>
      <c r="W2117">
        <v>0.20527570000000001</v>
      </c>
      <c r="X2117">
        <v>0.97385849999999996</v>
      </c>
      <c r="Y2117">
        <v>-6.642845E-2</v>
      </c>
      <c r="Z2117">
        <v>-1.303855E-3</v>
      </c>
      <c r="AA2117">
        <v>0.99779030000000002</v>
      </c>
      <c r="AB2117">
        <v>27</v>
      </c>
      <c r="AC2117">
        <v>-46.418700000000001</v>
      </c>
      <c r="AD2117">
        <v>-1.1108458226689999</v>
      </c>
      <c r="AE2117">
        <v>-2.8801000000000201</v>
      </c>
      <c r="AF2117">
        <v>-3.1065709748773198</v>
      </c>
      <c r="AG2117">
        <v>-1.1108458226689999</v>
      </c>
      <c r="AH2117">
        <v>46.377516707237397</v>
      </c>
      <c r="AI2117">
        <v>91.369033656937702</v>
      </c>
      <c r="AJ2117">
        <v>93.832199717336593</v>
      </c>
      <c r="AK2117">
        <v>46.494718168774597</v>
      </c>
      <c r="AL2117">
        <v>78.154361651418995</v>
      </c>
      <c r="AM2117">
        <v>95.703880765034896</v>
      </c>
      <c r="AN2117">
        <v>1.0000000322739599</v>
      </c>
    </row>
    <row r="2118" spans="1:40" x14ac:dyDescent="0.25">
      <c r="A2118" t="str">
        <f>"20190304155058438"</f>
        <v>20190304155058438</v>
      </c>
      <c r="B2118" t="str">
        <f>"1551685858428383"</f>
        <v>1551685858428383</v>
      </c>
      <c r="C2118" t="s">
        <v>40</v>
      </c>
      <c r="D2118">
        <v>4.9352939999999998</v>
      </c>
      <c r="E2118">
        <v>0.50824939999999996</v>
      </c>
      <c r="F2118" t="s">
        <v>70</v>
      </c>
      <c r="G2118">
        <v>-370.54509999999999</v>
      </c>
      <c r="H2118" s="1">
        <v>-1.2466920000000001E-6</v>
      </c>
      <c r="I2118">
        <v>282.2242</v>
      </c>
      <c r="J2118">
        <v>-322.70339999999999</v>
      </c>
      <c r="K2118">
        <v>1.110859</v>
      </c>
      <c r="L2118">
        <v>285.35410000000002</v>
      </c>
      <c r="M2118">
        <v>-0.99989030000000001</v>
      </c>
      <c r="N2118">
        <v>-1.402172E-2</v>
      </c>
      <c r="O2118">
        <v>4.7767390000000003E-3</v>
      </c>
      <c r="P2118">
        <v>-0.97674709999999998</v>
      </c>
      <c r="Q2118">
        <v>0.19306860000000001</v>
      </c>
      <c r="R2118">
        <v>-9.3221170000000006E-2</v>
      </c>
      <c r="S2118">
        <v>-3.0653079999999999</v>
      </c>
      <c r="T2118">
        <v>-7.0784330000000006E-2</v>
      </c>
      <c r="U2118">
        <v>-0.1993713</v>
      </c>
      <c r="V2118">
        <v>-9.7929810000000006E-2</v>
      </c>
      <c r="W2118">
        <v>0.2067185</v>
      </c>
      <c r="X2118">
        <v>0.97348710000000005</v>
      </c>
      <c r="Y2118">
        <v>-6.9640530000000006E-2</v>
      </c>
      <c r="Z2118">
        <v>-1.335274E-3</v>
      </c>
      <c r="AA2118">
        <v>0.99757119999999999</v>
      </c>
      <c r="AB2118">
        <v>27</v>
      </c>
      <c r="AC2118">
        <v>-47.841700000000003</v>
      </c>
      <c r="AD2118">
        <v>-1.1108602466919999</v>
      </c>
      <c r="AE2118">
        <v>-3.1299000000000201</v>
      </c>
      <c r="AF2118">
        <v>-3.3566120750664901</v>
      </c>
      <c r="AG2118">
        <v>-1.1108602466919999</v>
      </c>
      <c r="AH2118">
        <v>47.800540303497499</v>
      </c>
      <c r="AI2118">
        <v>91.328016112653003</v>
      </c>
      <c r="AJ2118">
        <v>94.016785697232805</v>
      </c>
      <c r="AK2118">
        <v>47.931122544923298</v>
      </c>
      <c r="AL2118">
        <v>78.0698825814343</v>
      </c>
      <c r="AM2118">
        <v>95.7444538596298</v>
      </c>
      <c r="AN2118">
        <v>0.99999995989764701</v>
      </c>
    </row>
    <row r="2119" spans="1:40" x14ac:dyDescent="0.25">
      <c r="A2119" t="str">
        <f>"20190304155058460"</f>
        <v>20190304155058460</v>
      </c>
      <c r="B2119" t="str">
        <f>"1551685858448875"</f>
        <v>1551685858448875</v>
      </c>
      <c r="C2119" t="s">
        <v>40</v>
      </c>
      <c r="D2119">
        <v>4.9433449999999999</v>
      </c>
      <c r="E2119">
        <v>0.50973389999999996</v>
      </c>
      <c r="F2119" t="s">
        <v>70</v>
      </c>
      <c r="G2119">
        <v>-374.26389999999998</v>
      </c>
      <c r="H2119" s="1">
        <v>7.3226429999999995E-7</v>
      </c>
      <c r="I2119">
        <v>281.87979999999999</v>
      </c>
      <c r="J2119">
        <v>-322.97019999999998</v>
      </c>
      <c r="K2119">
        <v>1.1108659999999999</v>
      </c>
      <c r="L2119">
        <v>285.35520000000002</v>
      </c>
      <c r="M2119">
        <v>-0.99989099999999997</v>
      </c>
      <c r="N2119">
        <v>-1.40188E-2</v>
      </c>
      <c r="O2119">
        <v>4.6198139999999999E-3</v>
      </c>
      <c r="P2119">
        <v>-0.97673169999999998</v>
      </c>
      <c r="Q2119">
        <v>0.192914</v>
      </c>
      <c r="R2119">
        <v>-9.3698409999999996E-2</v>
      </c>
      <c r="S2119">
        <v>-3.0647579999999999</v>
      </c>
      <c r="T2119">
        <v>-6.602943E-2</v>
      </c>
      <c r="U2119">
        <v>-0.20651249999999999</v>
      </c>
      <c r="V2119">
        <v>-9.8259040000000006E-2</v>
      </c>
      <c r="W2119">
        <v>0.20655799999999999</v>
      </c>
      <c r="X2119">
        <v>0.97348800000000002</v>
      </c>
      <c r="Y2119">
        <v>-7.1812039999999994E-2</v>
      </c>
      <c r="Z2119">
        <v>-1.311394E-3</v>
      </c>
      <c r="AA2119">
        <v>0.99741729999999995</v>
      </c>
      <c r="AB2119">
        <v>27</v>
      </c>
      <c r="AC2119">
        <v>-51.293700000000001</v>
      </c>
      <c r="AD2119">
        <v>-1.1108652677356901</v>
      </c>
      <c r="AE2119">
        <v>-3.4754000000000298</v>
      </c>
      <c r="AF2119">
        <v>-3.7106211454708902</v>
      </c>
      <c r="AG2119">
        <v>-1.1108652677356901</v>
      </c>
      <c r="AH2119">
        <v>51.253166142439902</v>
      </c>
      <c r="AI2119">
        <v>91.238398706148203</v>
      </c>
      <c r="AJ2119">
        <v>94.140868969599595</v>
      </c>
      <c r="AK2119">
        <v>51.399316829631303</v>
      </c>
      <c r="AL2119">
        <v>78.0792814819131</v>
      </c>
      <c r="AM2119">
        <v>95.763631028284394</v>
      </c>
      <c r="AN2119">
        <v>0.99999996622485998</v>
      </c>
    </row>
    <row r="2120" spans="1:40" x14ac:dyDescent="0.25">
      <c r="A2120" t="str">
        <f>"20190304155058484"</f>
        <v>20190304155058484</v>
      </c>
      <c r="B2120" t="str">
        <f>"1551685858479133"</f>
        <v>1551685858479133</v>
      </c>
      <c r="C2120" t="s">
        <v>40</v>
      </c>
      <c r="D2120">
        <v>4.924614</v>
      </c>
      <c r="E2120">
        <v>0.5105942</v>
      </c>
      <c r="F2120" t="s">
        <v>70</v>
      </c>
      <c r="G2120">
        <v>-386.31380000000001</v>
      </c>
      <c r="H2120" s="1">
        <v>1.8231200000000001E-6</v>
      </c>
      <c r="I2120">
        <v>281.28609999999998</v>
      </c>
      <c r="J2120">
        <v>-323.24630000000002</v>
      </c>
      <c r="K2120">
        <v>1.11087</v>
      </c>
      <c r="L2120">
        <v>285.35629999999998</v>
      </c>
      <c r="M2120">
        <v>-0.99989189999999994</v>
      </c>
      <c r="N2120">
        <v>-1.401575E-2</v>
      </c>
      <c r="O2120">
        <v>4.4440679999999998E-3</v>
      </c>
      <c r="P2120">
        <v>-0.97699400000000003</v>
      </c>
      <c r="Q2120">
        <v>0.1911465</v>
      </c>
      <c r="R2120">
        <v>-9.4583559999999997E-2</v>
      </c>
      <c r="S2120">
        <v>-3.063202</v>
      </c>
      <c r="T2120">
        <v>-5.3719759999999998E-2</v>
      </c>
      <c r="U2120">
        <v>-0.19677729999999999</v>
      </c>
      <c r="V2120">
        <v>-9.8978540000000004E-2</v>
      </c>
      <c r="W2120">
        <v>0.204789</v>
      </c>
      <c r="X2120">
        <v>0.97378889999999996</v>
      </c>
      <c r="Y2120">
        <v>-6.8522760000000002E-2</v>
      </c>
      <c r="Z2120">
        <v>-1.096594E-3</v>
      </c>
      <c r="AA2120">
        <v>0.99764900000000001</v>
      </c>
      <c r="AB2120">
        <v>27</v>
      </c>
      <c r="AC2120">
        <v>-63.067500000000003</v>
      </c>
      <c r="AD2120">
        <v>-1.1108681768799999</v>
      </c>
      <c r="AE2120">
        <v>-4.0701999999999998</v>
      </c>
      <c r="AF2120">
        <v>-4.34911986632323</v>
      </c>
      <c r="AG2120">
        <v>-1.1108681768799999</v>
      </c>
      <c r="AH2120">
        <v>63.029313242391503</v>
      </c>
      <c r="AI2120">
        <v>91.007317556515503</v>
      </c>
      <c r="AJ2120">
        <v>93.947240575402006</v>
      </c>
      <c r="AK2120">
        <v>63.188948397054098</v>
      </c>
      <c r="AL2120">
        <v>78.182853053872194</v>
      </c>
      <c r="AM2120">
        <v>95.803766205587195</v>
      </c>
      <c r="AN2120">
        <v>1.0000000538323599</v>
      </c>
    </row>
    <row r="2121" spans="1:40" x14ac:dyDescent="0.25">
      <c r="A2121" t="str">
        <f>"20190304155058497"</f>
        <v>20190304155058497</v>
      </c>
      <c r="B2121" t="str">
        <f>"1551685858488892"</f>
        <v>1551685858488892</v>
      </c>
      <c r="C2121" t="s">
        <v>40</v>
      </c>
      <c r="D2121">
        <v>4.938523</v>
      </c>
      <c r="E2121">
        <v>0.51046029999999998</v>
      </c>
      <c r="F2121" t="s">
        <v>70</v>
      </c>
      <c r="G2121">
        <v>-377.58249999999998</v>
      </c>
      <c r="H2121" s="1">
        <v>2.4982480000000001E-6</v>
      </c>
      <c r="I2121">
        <v>281.94600000000003</v>
      </c>
      <c r="J2121">
        <v>-323.40690000000001</v>
      </c>
      <c r="K2121">
        <v>1.1108720000000001</v>
      </c>
      <c r="L2121">
        <v>285.3569</v>
      </c>
      <c r="M2121">
        <v>-0.99989240000000001</v>
      </c>
      <c r="N2121">
        <v>-1.4013970000000001E-2</v>
      </c>
      <c r="O2121">
        <v>4.3361770000000001E-3</v>
      </c>
      <c r="P2121">
        <v>-0.97714559999999995</v>
      </c>
      <c r="Q2121">
        <v>0.19016250000000001</v>
      </c>
      <c r="R2121">
        <v>-9.5000589999999996E-2</v>
      </c>
      <c r="S2121">
        <v>-3.06427</v>
      </c>
      <c r="T2121">
        <v>-6.264699E-2</v>
      </c>
      <c r="U2121">
        <v>-0.19232179999999999</v>
      </c>
      <c r="V2121">
        <v>-9.9293290000000006E-2</v>
      </c>
      <c r="W2121">
        <v>0.2038046</v>
      </c>
      <c r="X2121">
        <v>0.97396329999999998</v>
      </c>
      <c r="Y2121">
        <v>-6.6943329999999995E-2</v>
      </c>
      <c r="Z2121">
        <v>-1.1810499999999999E-3</v>
      </c>
      <c r="AA2121">
        <v>0.99775610000000003</v>
      </c>
      <c r="AB2121">
        <v>27</v>
      </c>
      <c r="AC2121">
        <v>-54.175599999999903</v>
      </c>
      <c r="AD2121">
        <v>-1.1108695017519901</v>
      </c>
      <c r="AE2121">
        <v>-3.4109000000000198</v>
      </c>
      <c r="AF2121">
        <v>-3.6442797853509998</v>
      </c>
      <c r="AG2121">
        <v>-1.1108695017519901</v>
      </c>
      <c r="AH2121">
        <v>54.137626346798001</v>
      </c>
      <c r="AI2121">
        <v>91.172854281828407</v>
      </c>
      <c r="AJ2121">
        <v>93.851061396022899</v>
      </c>
      <c r="AK2121">
        <v>54.2715154815982</v>
      </c>
      <c r="AL2121">
        <v>78.240469474394203</v>
      </c>
      <c r="AM2121">
        <v>95.821060137687297</v>
      </c>
      <c r="AN2121">
        <v>0.99999999108353699</v>
      </c>
    </row>
    <row r="2122" spans="1:40" x14ac:dyDescent="0.25">
      <c r="A2122" t="str">
        <f>"20190304155058510"</f>
        <v>20190304155058510</v>
      </c>
      <c r="B2122" t="str">
        <f>"1551685858498651"</f>
        <v>1551685858498651</v>
      </c>
      <c r="C2122" t="s">
        <v>40</v>
      </c>
      <c r="D2122">
        <v>4.9266439999999996</v>
      </c>
      <c r="E2122">
        <v>0.51056829999999997</v>
      </c>
      <c r="F2122" t="s">
        <v>70</v>
      </c>
      <c r="G2122">
        <v>-376.0061</v>
      </c>
      <c r="H2122" s="1">
        <v>1.6593820000000001E-6</v>
      </c>
      <c r="I2122">
        <v>282.02269999999999</v>
      </c>
      <c r="J2122">
        <v>-323.55549999999999</v>
      </c>
      <c r="K2122">
        <v>1.110873</v>
      </c>
      <c r="L2122">
        <v>285.35739999999998</v>
      </c>
      <c r="M2122">
        <v>-0.99989300000000003</v>
      </c>
      <c r="N2122">
        <v>-1.401234E-2</v>
      </c>
      <c r="O2122">
        <v>4.2345020000000002E-3</v>
      </c>
      <c r="P2122">
        <v>-0.97729330000000003</v>
      </c>
      <c r="Q2122">
        <v>0.18901419999999999</v>
      </c>
      <c r="R2122">
        <v>-9.5769610000000005E-2</v>
      </c>
      <c r="S2122">
        <v>-3.0638730000000001</v>
      </c>
      <c r="T2122">
        <v>-6.4707520000000004E-2</v>
      </c>
      <c r="U2122">
        <v>-0.19421389999999999</v>
      </c>
      <c r="V2122">
        <v>-9.9965490000000004E-2</v>
      </c>
      <c r="W2122">
        <v>0.20265559999999999</v>
      </c>
      <c r="X2122">
        <v>0.97413430000000001</v>
      </c>
      <c r="Y2122">
        <v>-6.7462179999999997E-2</v>
      </c>
      <c r="Z2122">
        <v>-1.2148860000000001E-3</v>
      </c>
      <c r="AA2122">
        <v>0.99772110000000003</v>
      </c>
      <c r="AB2122">
        <v>27</v>
      </c>
      <c r="AC2122">
        <v>-52.450600000000001</v>
      </c>
      <c r="AD2122">
        <v>-1.110871340618</v>
      </c>
      <c r="AE2122">
        <v>-3.33469999999999</v>
      </c>
      <c r="AF2122">
        <v>-3.5552057178635001</v>
      </c>
      <c r="AG2122">
        <v>-1.110871340618</v>
      </c>
      <c r="AH2122">
        <v>52.412591611674898</v>
      </c>
      <c r="AI2122">
        <v>91.211404613396496</v>
      </c>
      <c r="AJ2122">
        <v>93.880493727654695</v>
      </c>
      <c r="AK2122">
        <v>52.544774072061202</v>
      </c>
      <c r="AL2122">
        <v>78.307705736613201</v>
      </c>
      <c r="AM2122">
        <v>95.859172911667599</v>
      </c>
      <c r="AN2122">
        <v>1.00000001291939</v>
      </c>
    </row>
    <row r="2123" spans="1:40" x14ac:dyDescent="0.25">
      <c r="A2123" t="str">
        <f>"20190304155058523"</f>
        <v>20190304155058523</v>
      </c>
      <c r="B2123" t="str">
        <f>"1551685858519148"</f>
        <v>1551685858519148</v>
      </c>
      <c r="C2123" t="s">
        <v>40</v>
      </c>
      <c r="D2123">
        <v>4.9687210000000004</v>
      </c>
      <c r="E2123">
        <v>0.52034959999999997</v>
      </c>
      <c r="F2123" t="s">
        <v>70</v>
      </c>
      <c r="G2123">
        <v>-371.55110000000002</v>
      </c>
      <c r="H2123" s="1">
        <v>-7.113733E-7</v>
      </c>
      <c r="I2123">
        <v>282.29390000000001</v>
      </c>
      <c r="J2123">
        <v>-323.71260000000001</v>
      </c>
      <c r="K2123">
        <v>1.110873</v>
      </c>
      <c r="L2123">
        <v>285.358</v>
      </c>
      <c r="M2123">
        <v>-0.99989329999999998</v>
      </c>
      <c r="N2123">
        <v>-1.40106E-2</v>
      </c>
      <c r="O2123">
        <v>4.1246210000000002E-3</v>
      </c>
      <c r="P2123">
        <v>-0.97735380000000005</v>
      </c>
      <c r="Q2123">
        <v>0.18849659999999999</v>
      </c>
      <c r="R2123">
        <v>-9.6168080000000003E-2</v>
      </c>
      <c r="S2123">
        <v>-3.0642399999999999</v>
      </c>
      <c r="T2123">
        <v>-7.0922849999999996E-2</v>
      </c>
      <c r="U2123">
        <v>-0.19558719999999999</v>
      </c>
      <c r="V2123">
        <v>-0.1002579</v>
      </c>
      <c r="W2123">
        <v>0.2021367</v>
      </c>
      <c r="X2123">
        <v>0.97421210000000003</v>
      </c>
      <c r="Y2123">
        <v>-6.7786189999999996E-2</v>
      </c>
      <c r="Z2123">
        <v>-1.2966659999999999E-3</v>
      </c>
      <c r="AA2123">
        <v>0.997699</v>
      </c>
      <c r="AB2123">
        <v>27</v>
      </c>
      <c r="AC2123">
        <v>-47.838500000000003</v>
      </c>
      <c r="AD2123">
        <v>-1.1108737113733</v>
      </c>
      <c r="AE2123">
        <v>-3.0640999999999901</v>
      </c>
      <c r="AF2123">
        <v>-3.2596584643966899</v>
      </c>
      <c r="AG2123">
        <v>-1.1108737113733</v>
      </c>
      <c r="AH2123">
        <v>47.799783719877702</v>
      </c>
      <c r="AI2123">
        <v>91.3282385988839</v>
      </c>
      <c r="AJ2123">
        <v>93.901188494901504</v>
      </c>
      <c r="AK2123">
        <v>47.923676167153801</v>
      </c>
      <c r="AL2123">
        <v>78.338065321221407</v>
      </c>
      <c r="AM2123">
        <v>95.875725892919107</v>
      </c>
      <c r="AN2123">
        <v>1.00000005389285</v>
      </c>
    </row>
    <row r="2124" spans="1:40" x14ac:dyDescent="0.25">
      <c r="A2124" t="str">
        <f>"20190304155058538"</f>
        <v>20190304155058538</v>
      </c>
      <c r="B2124" t="str">
        <f>"1551685858528908"</f>
        <v>1551685858528908</v>
      </c>
      <c r="C2124" t="s">
        <v>40</v>
      </c>
      <c r="D2124">
        <v>4.9080250000000003</v>
      </c>
      <c r="E2124">
        <v>0.5206288</v>
      </c>
      <c r="F2124" t="s">
        <v>75</v>
      </c>
      <c r="G2124">
        <v>-511.96120000000002</v>
      </c>
      <c r="H2124">
        <v>7.833577</v>
      </c>
      <c r="I2124">
        <v>277.85309999999998</v>
      </c>
      <c r="J2124">
        <v>-323.90940000000001</v>
      </c>
      <c r="K2124">
        <v>1.1108720000000001</v>
      </c>
      <c r="L2124">
        <v>285.35860000000002</v>
      </c>
      <c r="M2124">
        <v>-0.9998939</v>
      </c>
      <c r="N2124">
        <v>-1.4008430000000001E-2</v>
      </c>
      <c r="O2124">
        <v>3.9851299999999999E-3</v>
      </c>
      <c r="P2124">
        <v>-0.97750300000000001</v>
      </c>
      <c r="Q2124">
        <v>0.1872963</v>
      </c>
      <c r="R2124">
        <v>-9.6995730000000002E-2</v>
      </c>
      <c r="S2124">
        <v>-3.0367130000000002</v>
      </c>
      <c r="T2124">
        <v>0.1084478</v>
      </c>
      <c r="U2124">
        <v>-0.1210632</v>
      </c>
      <c r="V2124">
        <v>-0.1009505</v>
      </c>
      <c r="W2124">
        <v>0.20093549999999999</v>
      </c>
      <c r="X2124">
        <v>0.97438899999999995</v>
      </c>
      <c r="Y2124">
        <v>-4.3795109999999998E-2</v>
      </c>
      <c r="Z2124">
        <v>6.7250380000000002E-4</v>
      </c>
      <c r="AA2124">
        <v>0.99904029999999999</v>
      </c>
      <c r="AB2124">
        <v>27</v>
      </c>
      <c r="AC2124">
        <v>-188.05179999999999</v>
      </c>
      <c r="AD2124">
        <v>6.7227050000000004</v>
      </c>
      <c r="AE2124">
        <v>-7.5055000000000396</v>
      </c>
      <c r="AF2124">
        <v>-8.2444051802804292</v>
      </c>
      <c r="AG2124">
        <v>6.7227050000000004</v>
      </c>
      <c r="AH2124">
        <v>187.78078969867499</v>
      </c>
      <c r="AI2124">
        <v>87.951611774422602</v>
      </c>
      <c r="AJ2124">
        <v>92.513923069087099</v>
      </c>
      <c r="AK2124">
        <v>188.08187036275399</v>
      </c>
      <c r="AL2124">
        <v>78.408330161428395</v>
      </c>
      <c r="AM2124">
        <v>95.914963138262706</v>
      </c>
      <c r="AN2124">
        <v>1.0000000009657499</v>
      </c>
    </row>
    <row r="2125" spans="1:40" x14ac:dyDescent="0.25">
      <c r="A2125" t="str">
        <f>"20190304155058562"</f>
        <v>20190304155058562</v>
      </c>
      <c r="B2125" t="str">
        <f>"1551685858559163"</f>
        <v>1551685858559163</v>
      </c>
      <c r="C2125" t="s">
        <v>40</v>
      </c>
      <c r="D2125">
        <v>4.905367</v>
      </c>
      <c r="E2125">
        <v>0.51705559999999995</v>
      </c>
      <c r="F2125" t="s">
        <v>75</v>
      </c>
      <c r="G2125">
        <v>-511.07580000000002</v>
      </c>
      <c r="H2125">
        <v>6.3069850000000001</v>
      </c>
      <c r="I2125">
        <v>277.9203</v>
      </c>
      <c r="J2125">
        <v>-324.1816</v>
      </c>
      <c r="K2125">
        <v>1.1108690000000001</v>
      </c>
      <c r="L2125">
        <v>285.35950000000003</v>
      </c>
      <c r="M2125">
        <v>-0.99989490000000003</v>
      </c>
      <c r="N2125">
        <v>-1.4005460000000001E-2</v>
      </c>
      <c r="O2125">
        <v>3.7902880000000002E-3</v>
      </c>
      <c r="P2125">
        <v>-0.97758619999999996</v>
      </c>
      <c r="Q2125">
        <v>0.18648020000000001</v>
      </c>
      <c r="R2125">
        <v>-9.772786E-2</v>
      </c>
      <c r="S2125">
        <v>-3.0408629999999999</v>
      </c>
      <c r="T2125">
        <v>8.4421629999999998E-2</v>
      </c>
      <c r="U2125">
        <v>-0.1208496</v>
      </c>
      <c r="V2125">
        <v>-0.10149279999999999</v>
      </c>
      <c r="W2125">
        <v>0.2001175</v>
      </c>
      <c r="X2125">
        <v>0.97450099999999995</v>
      </c>
      <c r="Y2125">
        <v>-4.3486339999999998E-2</v>
      </c>
      <c r="Z2125">
        <v>4.568188E-4</v>
      </c>
      <c r="AA2125">
        <v>0.99905390000000005</v>
      </c>
      <c r="AB2125">
        <v>27</v>
      </c>
      <c r="AC2125">
        <v>-186.89420000000001</v>
      </c>
      <c r="AD2125">
        <v>5.196116</v>
      </c>
      <c r="AE2125">
        <v>-7.43920000000002</v>
      </c>
      <c r="AF2125">
        <v>-8.1413156778832398</v>
      </c>
      <c r="AG2125">
        <v>5.196116</v>
      </c>
      <c r="AH2125">
        <v>186.720555572275</v>
      </c>
      <c r="AI2125">
        <v>88.407479414486104</v>
      </c>
      <c r="AJ2125">
        <v>92.496606577241494</v>
      </c>
      <c r="AK2125">
        <v>186.970175471039</v>
      </c>
      <c r="AL2125">
        <v>78.456169812373304</v>
      </c>
      <c r="AM2125">
        <v>95.945832339714201</v>
      </c>
      <c r="AN2125">
        <v>1.00000000062954</v>
      </c>
    </row>
    <row r="2126" spans="1:40" x14ac:dyDescent="0.25">
      <c r="A2126" t="str">
        <f>"20190304155058577"</f>
        <v>20190304155058577</v>
      </c>
      <c r="B2126" t="str">
        <f>"1551685858568923"</f>
        <v>1551685858568923</v>
      </c>
      <c r="C2126" t="s">
        <v>40</v>
      </c>
      <c r="D2126">
        <v>4.9025879999999997</v>
      </c>
      <c r="E2126">
        <v>0.51722319999999999</v>
      </c>
      <c r="F2126" t="s">
        <v>75</v>
      </c>
      <c r="G2126">
        <v>-511.959</v>
      </c>
      <c r="H2126">
        <v>1.2907109999999999</v>
      </c>
      <c r="I2126">
        <v>276.11599999999999</v>
      </c>
      <c r="J2126">
        <v>-324.35700000000003</v>
      </c>
      <c r="K2126">
        <v>1.110867</v>
      </c>
      <c r="L2126">
        <v>285.36</v>
      </c>
      <c r="M2126">
        <v>-0.99989519999999998</v>
      </c>
      <c r="N2126">
        <v>-1.400353E-2</v>
      </c>
      <c r="O2126">
        <v>3.6651349999999999E-3</v>
      </c>
      <c r="P2126">
        <v>-0.97762170000000004</v>
      </c>
      <c r="Q2126">
        <v>0.1860743</v>
      </c>
      <c r="R2126">
        <v>-9.8142419999999994E-2</v>
      </c>
      <c r="S2126">
        <v>-3.0532530000000002</v>
      </c>
      <c r="T2126">
        <v>2.9255150000000001E-3</v>
      </c>
      <c r="U2126">
        <v>-0.15029909999999999</v>
      </c>
      <c r="V2126">
        <v>-0.1017854</v>
      </c>
      <c r="W2126">
        <v>0.19971050000000001</v>
      </c>
      <c r="X2126">
        <v>0.97455389999999997</v>
      </c>
      <c r="Y2126">
        <v>-5.2827010000000001E-2</v>
      </c>
      <c r="Z2126">
        <v>-2.900251E-4</v>
      </c>
      <c r="AA2126">
        <v>0.99860360000000004</v>
      </c>
      <c r="AB2126">
        <v>27</v>
      </c>
      <c r="AC2126">
        <v>-187.602</v>
      </c>
      <c r="AD2126">
        <v>0.179844</v>
      </c>
      <c r="AE2126">
        <v>-9.2440000000000193</v>
      </c>
      <c r="AF2126">
        <v>-9.9315828974925502</v>
      </c>
      <c r="AG2126">
        <v>0.179844</v>
      </c>
      <c r="AH2126">
        <v>187.566683911377</v>
      </c>
      <c r="AI2126">
        <v>89.945140127082695</v>
      </c>
      <c r="AJ2126">
        <v>93.0309587420019</v>
      </c>
      <c r="AK2126">
        <v>187.82952269604601</v>
      </c>
      <c r="AL2126">
        <v>78.479968779832404</v>
      </c>
      <c r="AM2126">
        <v>95.962529287110101</v>
      </c>
      <c r="AN2126">
        <v>0.99999992773430701</v>
      </c>
    </row>
    <row r="2127" spans="1:40" x14ac:dyDescent="0.25">
      <c r="A2127" t="str">
        <f>"20190304155058597"</f>
        <v>20190304155058597</v>
      </c>
      <c r="B2127" t="str">
        <f>"1551685858588442"</f>
        <v>1551685858588442</v>
      </c>
      <c r="C2127" t="s">
        <v>40</v>
      </c>
      <c r="D2127">
        <v>4.9410759999999998</v>
      </c>
      <c r="E2127">
        <v>0.51654299999999997</v>
      </c>
      <c r="F2127" t="s">
        <v>75</v>
      </c>
      <c r="G2127">
        <v>-511.95890000000003</v>
      </c>
      <c r="H2127">
        <v>0.94787549999999998</v>
      </c>
      <c r="I2127">
        <v>276.1447</v>
      </c>
      <c r="J2127">
        <v>-324.59609999999998</v>
      </c>
      <c r="K2127">
        <v>1.11086</v>
      </c>
      <c r="L2127">
        <v>285.36070000000001</v>
      </c>
      <c r="M2127">
        <v>-0.99989600000000001</v>
      </c>
      <c r="N2127">
        <v>-1.400092E-2</v>
      </c>
      <c r="O2127">
        <v>3.4945179999999998E-3</v>
      </c>
      <c r="P2127">
        <v>-0.97767420000000005</v>
      </c>
      <c r="Q2127">
        <v>0.18523229999999999</v>
      </c>
      <c r="R2127">
        <v>-9.9208930000000001E-2</v>
      </c>
      <c r="S2127">
        <v>-3.054138</v>
      </c>
      <c r="T2127">
        <v>-2.6521679999999999E-3</v>
      </c>
      <c r="U2127">
        <v>-0.1500244</v>
      </c>
      <c r="V2127">
        <v>-0.10268480000000001</v>
      </c>
      <c r="W2127">
        <v>0.19886709999999999</v>
      </c>
      <c r="X2127">
        <v>0.9746321</v>
      </c>
      <c r="Y2127">
        <v>-5.255224E-2</v>
      </c>
      <c r="Z2127">
        <v>-3.4506899999999999E-4</v>
      </c>
      <c r="AA2127">
        <v>0.99861809999999995</v>
      </c>
      <c r="AB2127">
        <v>27</v>
      </c>
      <c r="AC2127">
        <v>-187.36279999999999</v>
      </c>
      <c r="AD2127">
        <v>-0.1629845</v>
      </c>
      <c r="AE2127">
        <v>-9.2159999999999993</v>
      </c>
      <c r="AF2127">
        <v>-9.8707430447921993</v>
      </c>
      <c r="AG2127">
        <v>-0.1629845</v>
      </c>
      <c r="AH2127">
        <v>187.32930572590399</v>
      </c>
      <c r="AI2127">
        <v>90.049780705047496</v>
      </c>
      <c r="AJ2127">
        <v>93.016235917826506</v>
      </c>
      <c r="AK2127">
        <v>187.58925053412</v>
      </c>
      <c r="AL2127">
        <v>78.529282181364096</v>
      </c>
      <c r="AM2127">
        <v>96.014351986320094</v>
      </c>
      <c r="AN2127">
        <v>1.00000001098193</v>
      </c>
    </row>
    <row r="2128" spans="1:40" x14ac:dyDescent="0.25">
      <c r="A2128" t="str">
        <f>"20190304155058617"</f>
        <v>20190304155058617</v>
      </c>
      <c r="B2128" t="str">
        <f>"1551685858608939"</f>
        <v>1551685858608939</v>
      </c>
      <c r="C2128" t="s">
        <v>40</v>
      </c>
      <c r="D2128">
        <v>4.9302130000000002</v>
      </c>
      <c r="E2128">
        <v>0.51562059999999998</v>
      </c>
      <c r="F2128" t="s">
        <v>75</v>
      </c>
      <c r="G2128">
        <v>-511.95870000000002</v>
      </c>
      <c r="H2128">
        <v>0.24509719999999999</v>
      </c>
      <c r="I2128">
        <v>275.65469999999999</v>
      </c>
      <c r="J2128">
        <v>-324.85399999999998</v>
      </c>
      <c r="K2128">
        <v>1.1108549999999999</v>
      </c>
      <c r="L2128">
        <v>285.3614</v>
      </c>
      <c r="M2128">
        <v>-0.99989660000000002</v>
      </c>
      <c r="N2128">
        <v>-1.3998119999999999E-2</v>
      </c>
      <c r="O2128">
        <v>3.3128250000000001E-3</v>
      </c>
      <c r="P2128">
        <v>-0.97761419999999999</v>
      </c>
      <c r="Q2128">
        <v>0.18519070000000001</v>
      </c>
      <c r="R2128">
        <v>-9.9875569999999997E-2</v>
      </c>
      <c r="S2128">
        <v>-3.0550839999999999</v>
      </c>
      <c r="T2128">
        <v>-1.4115569999999999E-2</v>
      </c>
      <c r="U2128">
        <v>-0.15826419999999999</v>
      </c>
      <c r="V2128">
        <v>-0.1031738</v>
      </c>
      <c r="W2128">
        <v>0.19882179999999999</v>
      </c>
      <c r="X2128">
        <v>0.9745897</v>
      </c>
      <c r="Y2128">
        <v>-5.5040079999999998E-2</v>
      </c>
      <c r="Z2128">
        <v>-4.8153300000000003E-4</v>
      </c>
      <c r="AA2128">
        <v>0.99848400000000004</v>
      </c>
      <c r="AB2128">
        <v>27</v>
      </c>
      <c r="AC2128">
        <v>-187.10470000000001</v>
      </c>
      <c r="AD2128">
        <v>-0.86575779999999902</v>
      </c>
      <c r="AE2128">
        <v>-9.7067000000000103</v>
      </c>
      <c r="AF2128">
        <v>-10.3263320520792</v>
      </c>
      <c r="AG2128">
        <v>-0.86575779999999902</v>
      </c>
      <c r="AH2128">
        <v>187.06751890215</v>
      </c>
      <c r="AI2128">
        <v>90.264762754965204</v>
      </c>
      <c r="AJ2128">
        <v>93.159583170739893</v>
      </c>
      <c r="AK2128">
        <v>187.35431486470901</v>
      </c>
      <c r="AL2128">
        <v>78.531930580348401</v>
      </c>
      <c r="AM2128">
        <v>96.043042737738205</v>
      </c>
      <c r="AN2128">
        <v>1.0000000122538799</v>
      </c>
    </row>
    <row r="2129" spans="1:40" x14ac:dyDescent="0.25">
      <c r="A2129" t="str">
        <f>"20190304155058632"</f>
        <v>20190304155058632</v>
      </c>
      <c r="B2129" t="str">
        <f>"1551685858628459"</f>
        <v>1551685858628459</v>
      </c>
      <c r="C2129" t="s">
        <v>40</v>
      </c>
      <c r="D2129">
        <v>4.8667809999999996</v>
      </c>
      <c r="E2129">
        <v>0.51489580000000001</v>
      </c>
      <c r="F2129" t="s">
        <v>70</v>
      </c>
      <c r="G2129">
        <v>-456.15559999999999</v>
      </c>
      <c r="H2129">
        <v>8.0001399999999903E-2</v>
      </c>
      <c r="I2129">
        <v>278.19220000000001</v>
      </c>
      <c r="J2129">
        <v>-325.01589999999999</v>
      </c>
      <c r="K2129">
        <v>1.1108530000000001</v>
      </c>
      <c r="L2129">
        <v>285.36180000000002</v>
      </c>
      <c r="M2129">
        <v>-0.99989689999999998</v>
      </c>
      <c r="N2129">
        <v>-1.3996359999999999E-2</v>
      </c>
      <c r="O2129">
        <v>3.1993659999999999E-3</v>
      </c>
      <c r="P2129">
        <v>-0.9775817</v>
      </c>
      <c r="Q2129">
        <v>0.18520110000000001</v>
      </c>
      <c r="R2129">
        <v>-0.1001741</v>
      </c>
      <c r="S2129">
        <v>-3.0562130000000001</v>
      </c>
      <c r="T2129">
        <v>-2.3994450000000001E-2</v>
      </c>
      <c r="U2129">
        <v>-0.16687009999999999</v>
      </c>
      <c r="V2129">
        <v>-0.10336040000000001</v>
      </c>
      <c r="W2129">
        <v>0.19883020000000001</v>
      </c>
      <c r="X2129">
        <v>0.9745682</v>
      </c>
      <c r="Y2129">
        <v>-5.7708719999999998E-2</v>
      </c>
      <c r="Z2129">
        <v>-6.1090999999999999E-4</v>
      </c>
      <c r="AA2129">
        <v>0.99833329999999998</v>
      </c>
      <c r="AB2129">
        <v>27</v>
      </c>
      <c r="AC2129">
        <v>-131.1397</v>
      </c>
      <c r="AD2129">
        <v>-1.0308515999999901</v>
      </c>
      <c r="AE2129">
        <v>-7.1696</v>
      </c>
      <c r="AF2129">
        <v>-7.5887007952472203</v>
      </c>
      <c r="AG2129">
        <v>-1.0308515999999901</v>
      </c>
      <c r="AH2129">
        <v>131.108011146655</v>
      </c>
      <c r="AI2129">
        <v>90.449732582544797</v>
      </c>
      <c r="AJ2129">
        <v>93.312657517268704</v>
      </c>
      <c r="AK2129">
        <v>131.33149516248</v>
      </c>
      <c r="AL2129">
        <v>78.531439332233205</v>
      </c>
      <c r="AM2129">
        <v>96.054023649209697</v>
      </c>
      <c r="AN2129">
        <v>0.99999999858571997</v>
      </c>
    </row>
    <row r="2130" spans="1:40" x14ac:dyDescent="0.25">
      <c r="A2130" t="str">
        <f>"20190304155058646"</f>
        <v>20190304155058646</v>
      </c>
      <c r="B2130" t="str">
        <f>"1551685858639196"</f>
        <v>1551685858639196</v>
      </c>
      <c r="C2130" t="s">
        <v>40</v>
      </c>
      <c r="D2130">
        <v>4.913144</v>
      </c>
      <c r="E2130">
        <v>0.51455839999999997</v>
      </c>
      <c r="F2130" t="s">
        <v>72</v>
      </c>
      <c r="G2130">
        <v>-431.87279999999998</v>
      </c>
      <c r="H2130">
        <v>6.9640160000000002E-4</v>
      </c>
      <c r="I2130">
        <v>279.30070000000001</v>
      </c>
      <c r="J2130">
        <v>-325.18259999999998</v>
      </c>
      <c r="K2130">
        <v>1.110852</v>
      </c>
      <c r="L2130">
        <v>285.36219999999997</v>
      </c>
      <c r="M2130">
        <v>-0.99989740000000005</v>
      </c>
      <c r="N2130">
        <v>-1.399454E-2</v>
      </c>
      <c r="O2130">
        <v>3.0827519999999998E-3</v>
      </c>
      <c r="P2130">
        <v>-0.9775163</v>
      </c>
      <c r="Q2130">
        <v>0.18523700000000001</v>
      </c>
      <c r="R2130">
        <v>-0.1007451</v>
      </c>
      <c r="S2130">
        <v>-3.0570680000000001</v>
      </c>
      <c r="T2130">
        <v>-3.1760450000000003E-2</v>
      </c>
      <c r="U2130">
        <v>-0.1734009</v>
      </c>
      <c r="V2130">
        <v>-0.10381700000000001</v>
      </c>
      <c r="W2130">
        <v>0.19886380000000001</v>
      </c>
      <c r="X2130">
        <v>0.97451279999999996</v>
      </c>
      <c r="Y2130">
        <v>-5.9700549999999998E-2</v>
      </c>
      <c r="Z2130">
        <v>-7.1687849999999996E-4</v>
      </c>
      <c r="AA2130">
        <v>0.99821610000000005</v>
      </c>
      <c r="AB2130">
        <v>27</v>
      </c>
      <c r="AC2130">
        <v>-106.6902</v>
      </c>
      <c r="AD2130">
        <v>-1.1101555984</v>
      </c>
      <c r="AE2130">
        <v>-6.0614999999999597</v>
      </c>
      <c r="AF2130">
        <v>-6.3897131996034702</v>
      </c>
      <c r="AG2130">
        <v>-1.1101555984</v>
      </c>
      <c r="AH2130">
        <v>106.659493865226</v>
      </c>
      <c r="AI2130">
        <v>90.595269200072295</v>
      </c>
      <c r="AJ2130">
        <v>93.428354607645801</v>
      </c>
      <c r="AK2130">
        <v>106.856485586099</v>
      </c>
      <c r="AL2130">
        <v>78.529474854141895</v>
      </c>
      <c r="AM2130">
        <v>96.080910781520501</v>
      </c>
      <c r="AN2130">
        <v>0.99999998890163899</v>
      </c>
    </row>
    <row r="2131" spans="1:40" x14ac:dyDescent="0.25">
      <c r="A2131" t="str">
        <f>"20190304155058662"</f>
        <v>20190304155058662</v>
      </c>
      <c r="B2131" t="str">
        <f>"1551685858658716"</f>
        <v>1551685858658716</v>
      </c>
      <c r="C2131" t="s">
        <v>40</v>
      </c>
      <c r="D2131">
        <v>4.8963479999999997</v>
      </c>
      <c r="E2131">
        <v>0.51407559999999997</v>
      </c>
      <c r="F2131" t="s">
        <v>72</v>
      </c>
      <c r="G2131">
        <v>-425.4606</v>
      </c>
      <c r="H2131" s="1">
        <v>3.453753E-6</v>
      </c>
      <c r="I2131">
        <v>279.53829999999999</v>
      </c>
      <c r="J2131">
        <v>-325.37729999999999</v>
      </c>
      <c r="K2131">
        <v>1.1108579999999999</v>
      </c>
      <c r="L2131">
        <v>285.36270000000002</v>
      </c>
      <c r="M2131">
        <v>-0.99989779999999995</v>
      </c>
      <c r="N2131">
        <v>-1.399239E-2</v>
      </c>
      <c r="O2131">
        <v>2.9481350000000002E-3</v>
      </c>
      <c r="P2131">
        <v>-0.97738150000000001</v>
      </c>
      <c r="Q2131">
        <v>0.18571470000000001</v>
      </c>
      <c r="R2131">
        <v>-0.10117039999999999</v>
      </c>
      <c r="S2131">
        <v>-3.0571290000000002</v>
      </c>
      <c r="T2131">
        <v>-3.3865930000000002E-2</v>
      </c>
      <c r="U2131">
        <v>-0.1775513</v>
      </c>
      <c r="V2131">
        <v>-0.1041102</v>
      </c>
      <c r="W2131">
        <v>0.19933770000000001</v>
      </c>
      <c r="X2131">
        <v>0.97438469999999999</v>
      </c>
      <c r="Y2131">
        <v>-6.0914830000000003E-2</v>
      </c>
      <c r="Z2131">
        <v>-7.5509729999999895E-4</v>
      </c>
      <c r="AA2131">
        <v>0.99814270000000005</v>
      </c>
      <c r="AB2131">
        <v>27</v>
      </c>
      <c r="AC2131">
        <v>-100.08329999999999</v>
      </c>
      <c r="AD2131">
        <v>-1.1108545462470001</v>
      </c>
      <c r="AE2131">
        <v>-5.8244000000000202</v>
      </c>
      <c r="AF2131">
        <v>-6.1187113916804901</v>
      </c>
      <c r="AG2131">
        <v>-1.1108545462470001</v>
      </c>
      <c r="AH2131">
        <v>100.053407757861</v>
      </c>
      <c r="AI2131">
        <v>90.634920836360607</v>
      </c>
      <c r="AJ2131">
        <v>93.499533783081404</v>
      </c>
      <c r="AK2131">
        <v>100.246481389016</v>
      </c>
      <c r="AL2131">
        <v>78.501767764499306</v>
      </c>
      <c r="AM2131">
        <v>96.098750920092002</v>
      </c>
      <c r="AN2131">
        <v>0.99999999798970995</v>
      </c>
    </row>
    <row r="2132" spans="1:40" x14ac:dyDescent="0.25">
      <c r="A2132" t="str">
        <f>"20190304155058677"</f>
        <v>20190304155058677</v>
      </c>
      <c r="B2132" t="str">
        <f>"1551685858668476"</f>
        <v>1551685858668476</v>
      </c>
      <c r="C2132" t="s">
        <v>40</v>
      </c>
      <c r="D2132">
        <v>4.8544689999999999</v>
      </c>
      <c r="E2132">
        <v>0.51387280000000002</v>
      </c>
      <c r="F2132" t="s">
        <v>72</v>
      </c>
      <c r="G2132">
        <v>-425.98090000000002</v>
      </c>
      <c r="H2132" s="1">
        <v>3.4071310000000002E-6</v>
      </c>
      <c r="I2132">
        <v>279.36590000000001</v>
      </c>
      <c r="J2132">
        <v>-325.55180000000001</v>
      </c>
      <c r="K2132">
        <v>1.110862</v>
      </c>
      <c r="L2132">
        <v>285.36309999999997</v>
      </c>
      <c r="M2132">
        <v>-0.99989819999999996</v>
      </c>
      <c r="N2132">
        <v>-1.3990499999999999E-2</v>
      </c>
      <c r="O2132">
        <v>2.827464E-3</v>
      </c>
      <c r="P2132">
        <v>-0.97734580000000004</v>
      </c>
      <c r="Q2132">
        <v>0.18581690000000001</v>
      </c>
      <c r="R2132">
        <v>-0.10132960000000001</v>
      </c>
      <c r="S2132">
        <v>-3.0569760000000001</v>
      </c>
      <c r="T2132">
        <v>-3.375483E-2</v>
      </c>
      <c r="U2132">
        <v>-0.18222050000000001</v>
      </c>
      <c r="V2132">
        <v>-0.1041512</v>
      </c>
      <c r="W2132">
        <v>0.19943820000000001</v>
      </c>
      <c r="X2132">
        <v>0.9743598</v>
      </c>
      <c r="Y2132">
        <v>-6.2316339999999998E-2</v>
      </c>
      <c r="Z2132">
        <v>-7.7175449999999999E-4</v>
      </c>
      <c r="AA2132">
        <v>0.99805619999999995</v>
      </c>
      <c r="AB2132">
        <v>27</v>
      </c>
      <c r="AC2132">
        <v>-100.42910000000001</v>
      </c>
      <c r="AD2132">
        <v>-1.110858592869</v>
      </c>
      <c r="AE2132">
        <v>-5.9971999999999603</v>
      </c>
      <c r="AF2132">
        <v>-6.2803977957388204</v>
      </c>
      <c r="AG2132">
        <v>-1.110858592869</v>
      </c>
      <c r="AH2132">
        <v>100.399499878257</v>
      </c>
      <c r="AI2132">
        <v>90.6326800901995</v>
      </c>
      <c r="AJ2132">
        <v>93.579420550159298</v>
      </c>
      <c r="AK2132">
        <v>100.601873636082</v>
      </c>
      <c r="AL2132">
        <v>78.495892084097406</v>
      </c>
      <c r="AM2132">
        <v>96.101289319194606</v>
      </c>
      <c r="AN2132">
        <v>1.0000000439683501</v>
      </c>
    </row>
    <row r="2133" spans="1:40" x14ac:dyDescent="0.25">
      <c r="A2133" t="str">
        <f>"20190304155058690"</f>
        <v>20190304155058690</v>
      </c>
      <c r="B2133" t="str">
        <f>"1551685858679213"</f>
        <v>1551685858679213</v>
      </c>
      <c r="C2133" t="s">
        <v>40</v>
      </c>
      <c r="D2133">
        <v>4.8551529999999996</v>
      </c>
      <c r="E2133">
        <v>0.51372059999999997</v>
      </c>
      <c r="F2133" t="s">
        <v>72</v>
      </c>
      <c r="G2133">
        <v>-421.91039999999998</v>
      </c>
      <c r="H2133" s="1">
        <v>4.0816010000000003E-6</v>
      </c>
      <c r="I2133">
        <v>279.5455</v>
      </c>
      <c r="J2133">
        <v>-325.70850000000002</v>
      </c>
      <c r="K2133">
        <v>1.1108629999999999</v>
      </c>
      <c r="L2133">
        <v>285.36340000000001</v>
      </c>
      <c r="M2133">
        <v>-0.99989839999999997</v>
      </c>
      <c r="N2133">
        <v>-1.3988799999999999E-2</v>
      </c>
      <c r="O2133">
        <v>2.719427E-3</v>
      </c>
      <c r="P2133">
        <v>-0.97724489999999997</v>
      </c>
      <c r="Q2133">
        <v>0.1861971</v>
      </c>
      <c r="R2133">
        <v>-0.1016025</v>
      </c>
      <c r="S2133">
        <v>-3.0570979999999999</v>
      </c>
      <c r="T2133">
        <v>-3.5243389999999999E-2</v>
      </c>
      <c r="U2133">
        <v>-0.18457029999999999</v>
      </c>
      <c r="V2133">
        <v>-0.1043186</v>
      </c>
      <c r="W2133">
        <v>0.1998152</v>
      </c>
      <c r="X2133">
        <v>0.97426460000000004</v>
      </c>
      <c r="Y2133">
        <v>-6.2969890000000001E-2</v>
      </c>
      <c r="Z2133">
        <v>-7.9683279999999998E-4</v>
      </c>
      <c r="AA2133">
        <v>0.99801510000000004</v>
      </c>
      <c r="AB2133">
        <v>27</v>
      </c>
      <c r="AC2133">
        <v>-96.201899999999895</v>
      </c>
      <c r="AD2133">
        <v>-1.1108589183990001</v>
      </c>
      <c r="AE2133">
        <v>-5.8178999999999998</v>
      </c>
      <c r="AF2133">
        <v>-6.0787105794030802</v>
      </c>
      <c r="AG2133">
        <v>-1.1108589183990001</v>
      </c>
      <c r="AH2133">
        <v>96.172944627734097</v>
      </c>
      <c r="AI2133">
        <v>90.660455579108401</v>
      </c>
      <c r="AJ2133">
        <v>93.616628063553406</v>
      </c>
      <c r="AK2133">
        <v>96.371261318994598</v>
      </c>
      <c r="AL2133">
        <v>78.473847329262497</v>
      </c>
      <c r="AM2133">
        <v>96.1116142658786</v>
      </c>
      <c r="AN2133">
        <v>0.99999999763507996</v>
      </c>
    </row>
    <row r="2134" spans="1:40" x14ac:dyDescent="0.25">
      <c r="A2134" t="str">
        <f>"20190304155058703"</f>
        <v>20190304155058703</v>
      </c>
      <c r="B2134" t="str">
        <f>"1551685858699239"</f>
        <v>1551685858699239</v>
      </c>
      <c r="C2134" t="s">
        <v>40</v>
      </c>
      <c r="D2134">
        <v>4.8729579999999997</v>
      </c>
      <c r="E2134">
        <v>0.51352920000000002</v>
      </c>
      <c r="F2134" t="s">
        <v>72</v>
      </c>
      <c r="G2134">
        <v>-419.51859999999999</v>
      </c>
      <c r="H2134" s="1">
        <v>4.329547E-6</v>
      </c>
      <c r="I2134">
        <v>279.63650000000001</v>
      </c>
      <c r="J2134">
        <v>-325.86509999999998</v>
      </c>
      <c r="K2134">
        <v>1.11086</v>
      </c>
      <c r="L2134">
        <v>285.36360000000002</v>
      </c>
      <c r="M2134">
        <v>-0.99989890000000003</v>
      </c>
      <c r="N2134">
        <v>-1.3987080000000001E-2</v>
      </c>
      <c r="O2134">
        <v>2.611211E-3</v>
      </c>
      <c r="P2134">
        <v>-0.97728470000000001</v>
      </c>
      <c r="Q2134">
        <v>0.18592429999999999</v>
      </c>
      <c r="R2134">
        <v>-0.1017204</v>
      </c>
      <c r="S2134">
        <v>-3.0573730000000001</v>
      </c>
      <c r="T2134">
        <v>-3.6204100000000003E-2</v>
      </c>
      <c r="U2134">
        <v>-0.18664549999999999</v>
      </c>
      <c r="V2134">
        <v>-0.1043301</v>
      </c>
      <c r="W2134">
        <v>0.19954140000000001</v>
      </c>
      <c r="X2134">
        <v>0.97431950000000001</v>
      </c>
      <c r="Y2134">
        <v>-6.3530939999999994E-2</v>
      </c>
      <c r="Z2134">
        <v>-8.1496589999999897E-4</v>
      </c>
      <c r="AA2134">
        <v>0.99797950000000002</v>
      </c>
      <c r="AB2134">
        <v>27</v>
      </c>
      <c r="AC2134">
        <v>-93.653499999999994</v>
      </c>
      <c r="AD2134">
        <v>-1.1108556704529999</v>
      </c>
      <c r="AE2134">
        <v>-5.7271000000000001</v>
      </c>
      <c r="AF2134">
        <v>-5.9708165008308898</v>
      </c>
      <c r="AG2134">
        <v>-1.1108556704529999</v>
      </c>
      <c r="AH2134">
        <v>93.625101362477395</v>
      </c>
      <c r="AI2134">
        <v>90.678400731691298</v>
      </c>
      <c r="AJ2134">
        <v>93.649020646322199</v>
      </c>
      <c r="AK2134">
        <v>93.821875141895006</v>
      </c>
      <c r="AL2134">
        <v>78.489857522941705</v>
      </c>
      <c r="AM2134">
        <v>96.111941103586503</v>
      </c>
      <c r="AN2134">
        <v>1.00000001408011</v>
      </c>
    </row>
    <row r="2135" spans="1:40" x14ac:dyDescent="0.25">
      <c r="A2135" t="str">
        <f>"20190304155058718"</f>
        <v>20190304155058718</v>
      </c>
      <c r="B2135" t="str">
        <f>"1551685858708999"</f>
        <v>1551685858708999</v>
      </c>
      <c r="C2135" t="s">
        <v>40</v>
      </c>
      <c r="D2135">
        <v>4.8395929999999998</v>
      </c>
      <c r="E2135">
        <v>0.51345410000000002</v>
      </c>
      <c r="F2135" t="s">
        <v>72</v>
      </c>
      <c r="G2135">
        <v>-413.11680000000001</v>
      </c>
      <c r="H2135" s="1">
        <v>3.1633319999999999E-6</v>
      </c>
      <c r="I2135">
        <v>279.98689999999999</v>
      </c>
      <c r="J2135">
        <v>-326.04349999999999</v>
      </c>
      <c r="K2135">
        <v>1.110859</v>
      </c>
      <c r="L2135">
        <v>285.36399999999998</v>
      </c>
      <c r="M2135">
        <v>-0.99989910000000004</v>
      </c>
      <c r="N2135">
        <v>-1.398514E-2</v>
      </c>
      <c r="O2135">
        <v>2.488157E-3</v>
      </c>
      <c r="P2135">
        <v>-0.97735099999999997</v>
      </c>
      <c r="Q2135">
        <v>0.1853465</v>
      </c>
      <c r="R2135">
        <v>-0.1021367</v>
      </c>
      <c r="S2135">
        <v>-3.0575260000000002</v>
      </c>
      <c r="T2135">
        <v>-3.8927320000000001E-2</v>
      </c>
      <c r="U2135">
        <v>-0.18841550000000001</v>
      </c>
      <c r="V2135">
        <v>-0.1046261</v>
      </c>
      <c r="W2135">
        <v>0.1989629</v>
      </c>
      <c r="X2135">
        <v>0.97440610000000005</v>
      </c>
      <c r="Y2135">
        <v>-6.397949E-2</v>
      </c>
      <c r="Z2135">
        <v>-8.5162659999999995E-4</v>
      </c>
      <c r="AA2135">
        <v>0.99795089999999997</v>
      </c>
      <c r="AB2135">
        <v>27</v>
      </c>
      <c r="AC2135">
        <v>-87.073300000000003</v>
      </c>
      <c r="AD2135">
        <v>-1.1108558366679999</v>
      </c>
      <c r="AE2135">
        <v>-5.3771000000000404</v>
      </c>
      <c r="AF2135">
        <v>-5.5928497553528302</v>
      </c>
      <c r="AG2135">
        <v>-1.1108558366679999</v>
      </c>
      <c r="AH2135">
        <v>87.045536402794497</v>
      </c>
      <c r="AI2135">
        <v>90.729651940288903</v>
      </c>
      <c r="AJ2135">
        <v>93.676314949181602</v>
      </c>
      <c r="AK2135">
        <v>87.232100609385895</v>
      </c>
      <c r="AL2135">
        <v>78.523681800045907</v>
      </c>
      <c r="AM2135">
        <v>96.128609205929294</v>
      </c>
      <c r="AN2135">
        <v>1.0000000520474099</v>
      </c>
    </row>
    <row r="2136" spans="1:40" x14ac:dyDescent="0.25">
      <c r="A2136" t="str">
        <f>"20190304155058733"</f>
        <v>20190304155058733</v>
      </c>
      <c r="B2136" t="str">
        <f>"1551685858728520"</f>
        <v>1551685858728520</v>
      </c>
      <c r="C2136" t="s">
        <v>40</v>
      </c>
      <c r="D2136">
        <v>4.8264880000000003</v>
      </c>
      <c r="E2136">
        <v>0.51337739999999998</v>
      </c>
      <c r="F2136" t="s">
        <v>72</v>
      </c>
      <c r="G2136">
        <v>-407.21940000000001</v>
      </c>
      <c r="H2136" s="1">
        <v>6.0862339999999898E-6</v>
      </c>
      <c r="I2136">
        <v>280.33109999999999</v>
      </c>
      <c r="J2136">
        <v>-326.21120000000002</v>
      </c>
      <c r="K2136">
        <v>1.1108579999999999</v>
      </c>
      <c r="L2136">
        <v>285.36430000000001</v>
      </c>
      <c r="M2136">
        <v>-0.99989950000000005</v>
      </c>
      <c r="N2136">
        <v>-1.398334E-2</v>
      </c>
      <c r="O2136">
        <v>2.372313E-3</v>
      </c>
      <c r="P2136">
        <v>-0.97735139999999998</v>
      </c>
      <c r="Q2136">
        <v>0.1852462</v>
      </c>
      <c r="R2136">
        <v>-0.10231609999999999</v>
      </c>
      <c r="S2136">
        <v>-3.0576479999999999</v>
      </c>
      <c r="T2136">
        <v>-4.1842459999999998E-2</v>
      </c>
      <c r="U2136">
        <v>-0.1895752</v>
      </c>
      <c r="V2136">
        <v>-0.10469150000000001</v>
      </c>
      <c r="W2136">
        <v>0.19886110000000001</v>
      </c>
      <c r="X2136">
        <v>0.97441979999999995</v>
      </c>
      <c r="Y2136">
        <v>-6.4237210000000003E-2</v>
      </c>
      <c r="Z2136">
        <v>-8.8799589999999904E-4</v>
      </c>
      <c r="AA2136">
        <v>0.99793430000000005</v>
      </c>
      <c r="AB2136">
        <v>27</v>
      </c>
      <c r="AC2136">
        <v>-81.008199999999903</v>
      </c>
      <c r="AD2136">
        <v>-1.110851913766</v>
      </c>
      <c r="AE2136">
        <v>-5.0332000000000203</v>
      </c>
      <c r="AF2136">
        <v>-5.2244027867023304</v>
      </c>
      <c r="AG2136">
        <v>-1.110851913766</v>
      </c>
      <c r="AH2136">
        <v>80.980861284192898</v>
      </c>
      <c r="AI2136">
        <v>90.784273207413605</v>
      </c>
      <c r="AJ2136">
        <v>93.691266974850095</v>
      </c>
      <c r="AK2136">
        <v>81.1568128426795</v>
      </c>
      <c r="AL2136">
        <v>78.529632799004204</v>
      </c>
      <c r="AM2136">
        <v>96.132325352210103</v>
      </c>
      <c r="AN2136">
        <v>0.99999999694874997</v>
      </c>
    </row>
    <row r="2137" spans="1:40" x14ac:dyDescent="0.25">
      <c r="A2137" t="str">
        <f>"20190304155058746"</f>
        <v>20190304155058746</v>
      </c>
      <c r="B2137" t="str">
        <f>"1551685858739256"</f>
        <v>1551685858739256</v>
      </c>
      <c r="C2137" t="s">
        <v>40</v>
      </c>
      <c r="D2137">
        <v>4.8631209999999996</v>
      </c>
      <c r="E2137">
        <v>0.51336349999999997</v>
      </c>
      <c r="F2137" t="s">
        <v>72</v>
      </c>
      <c r="G2137">
        <v>-404.10039999999998</v>
      </c>
      <c r="H2137" s="1">
        <v>7.4338899999999901E-6</v>
      </c>
      <c r="I2137">
        <v>280.5027</v>
      </c>
      <c r="J2137">
        <v>-326.36970000000002</v>
      </c>
      <c r="K2137">
        <v>1.1108549999999999</v>
      </c>
      <c r="L2137">
        <v>285.36450000000002</v>
      </c>
      <c r="M2137">
        <v>-0.9998996</v>
      </c>
      <c r="N2137">
        <v>-1.398163E-2</v>
      </c>
      <c r="O2137">
        <v>2.2630829999999999E-3</v>
      </c>
      <c r="P2137">
        <v>-0.97736900000000004</v>
      </c>
      <c r="Q2137">
        <v>0.1850222</v>
      </c>
      <c r="R2137">
        <v>-0.102551</v>
      </c>
      <c r="S2137">
        <v>-3.0577999999999999</v>
      </c>
      <c r="T2137">
        <v>-4.3610099999999999E-2</v>
      </c>
      <c r="U2137">
        <v>-0.1908569</v>
      </c>
      <c r="V2137">
        <v>-0.1048195</v>
      </c>
      <c r="W2137">
        <v>0.19863629999999999</v>
      </c>
      <c r="X2137">
        <v>0.97445190000000004</v>
      </c>
      <c r="Y2137">
        <v>-6.4540970000000003E-2</v>
      </c>
      <c r="Z2137">
        <v>-9.1209989999999996E-4</v>
      </c>
      <c r="AA2137">
        <v>0.99791459999999998</v>
      </c>
      <c r="AB2137">
        <v>26</v>
      </c>
      <c r="AC2137">
        <v>-77.730699999999899</v>
      </c>
      <c r="AD2137">
        <v>-1.1108475661099999</v>
      </c>
      <c r="AE2137">
        <v>-4.8618000000000103</v>
      </c>
      <c r="AF2137">
        <v>-5.0366911409997597</v>
      </c>
      <c r="AG2137">
        <v>-1.1108475661099999</v>
      </c>
      <c r="AH2137">
        <v>77.703689438503801</v>
      </c>
      <c r="AI2137">
        <v>90.817326464533494</v>
      </c>
      <c r="AJ2137">
        <v>93.708678472057201</v>
      </c>
      <c r="AK2137">
        <v>77.874678762229294</v>
      </c>
      <c r="AL2137">
        <v>78.542775181287894</v>
      </c>
      <c r="AM2137">
        <v>96.139565037591794</v>
      </c>
      <c r="AN2137">
        <v>1.0000000063357699</v>
      </c>
    </row>
    <row r="2138" spans="1:40" x14ac:dyDescent="0.25">
      <c r="A2138" t="str">
        <f>"20190304155058757"</f>
        <v>20190304155058757</v>
      </c>
      <c r="B2138" t="str">
        <f>"1551685858749015"</f>
        <v>1551685858749015</v>
      </c>
      <c r="C2138" t="s">
        <v>40</v>
      </c>
      <c r="D2138">
        <v>4.8646479999999999</v>
      </c>
      <c r="E2138">
        <v>0.51332520000000004</v>
      </c>
      <c r="F2138" t="s">
        <v>72</v>
      </c>
      <c r="G2138">
        <v>-401.86869999999999</v>
      </c>
      <c r="H2138" s="1">
        <v>8.3967259999999999E-6</v>
      </c>
      <c r="I2138">
        <v>280.6327</v>
      </c>
      <c r="J2138">
        <v>-326.51069999999999</v>
      </c>
      <c r="K2138">
        <v>1.110854</v>
      </c>
      <c r="L2138">
        <v>285.36470000000003</v>
      </c>
      <c r="M2138">
        <v>-0.99990009999999996</v>
      </c>
      <c r="N2138">
        <v>-1.398011E-2</v>
      </c>
      <c r="O2138">
        <v>2.1655910000000001E-3</v>
      </c>
      <c r="P2138">
        <v>-0.97733320000000001</v>
      </c>
      <c r="Q2138">
        <v>0.1850734</v>
      </c>
      <c r="R2138">
        <v>-0.102802</v>
      </c>
      <c r="S2138">
        <v>-3.057922</v>
      </c>
      <c r="T2138">
        <v>-4.4992450000000003E-2</v>
      </c>
      <c r="U2138">
        <v>-0.1916504</v>
      </c>
      <c r="V2138">
        <v>-0.104975</v>
      </c>
      <c r="W2138">
        <v>0.19868530000000001</v>
      </c>
      <c r="X2138">
        <v>0.97442510000000004</v>
      </c>
      <c r="Y2138">
        <v>-6.4698459999999999E-2</v>
      </c>
      <c r="Z2138">
        <v>-9.298183E-4</v>
      </c>
      <c r="AA2138">
        <v>0.99790440000000002</v>
      </c>
      <c r="AB2138">
        <v>26</v>
      </c>
      <c r="AC2138">
        <v>-75.358000000000004</v>
      </c>
      <c r="AD2138">
        <v>-1.1108456032739999</v>
      </c>
      <c r="AE2138">
        <v>-4.7320000000000197</v>
      </c>
      <c r="AF2138">
        <v>-4.8941401375965699</v>
      </c>
      <c r="AG2138">
        <v>-1.1108456032739999</v>
      </c>
      <c r="AH2138">
        <v>75.331269904496907</v>
      </c>
      <c r="AI2138">
        <v>90.843053389099296</v>
      </c>
      <c r="AJ2138">
        <v>93.717181998472697</v>
      </c>
      <c r="AK2138">
        <v>75.4982570068006</v>
      </c>
      <c r="AL2138">
        <v>78.539909789949704</v>
      </c>
      <c r="AM2138">
        <v>96.148771195673007</v>
      </c>
      <c r="AN2138">
        <v>0.99999993728554804</v>
      </c>
    </row>
    <row r="2139" spans="1:40" x14ac:dyDescent="0.25">
      <c r="A2139" t="str">
        <f>"20190304155058774"</f>
        <v>20190304155058774</v>
      </c>
      <c r="B2139" t="str">
        <f>"1551685858768535"</f>
        <v>1551685858768535</v>
      </c>
      <c r="C2139" t="s">
        <v>40</v>
      </c>
      <c r="D2139">
        <v>4.8633439999999997</v>
      </c>
      <c r="E2139">
        <v>0.51327709999999904</v>
      </c>
      <c r="F2139" t="s">
        <v>72</v>
      </c>
      <c r="G2139">
        <v>-400.71190000000001</v>
      </c>
      <c r="H2139" s="1">
        <v>8.8978740000000005E-6</v>
      </c>
      <c r="I2139">
        <v>280.68990000000002</v>
      </c>
      <c r="J2139">
        <v>-326.7054</v>
      </c>
      <c r="K2139">
        <v>1.1108549999999999</v>
      </c>
      <c r="L2139">
        <v>285.36500000000001</v>
      </c>
      <c r="M2139">
        <v>-0.99990020000000002</v>
      </c>
      <c r="N2139">
        <v>-1.3978020000000001E-2</v>
      </c>
      <c r="O2139">
        <v>2.0310319999999999E-3</v>
      </c>
      <c r="P2139">
        <v>-0.97737770000000002</v>
      </c>
      <c r="Q2139">
        <v>0.18462490000000001</v>
      </c>
      <c r="R2139">
        <v>-0.10318189999999999</v>
      </c>
      <c r="S2139">
        <v>-3.0579529999999999</v>
      </c>
      <c r="T2139">
        <v>-4.5779710000000001E-2</v>
      </c>
      <c r="U2139">
        <v>-0.19265750000000001</v>
      </c>
      <c r="V2139">
        <v>-0.1052236</v>
      </c>
      <c r="W2139">
        <v>0.19823569999999999</v>
      </c>
      <c r="X2139">
        <v>0.97448990000000002</v>
      </c>
      <c r="Y2139">
        <v>-6.4890489999999995E-2</v>
      </c>
      <c r="Z2139">
        <v>-9.412728E-4</v>
      </c>
      <c r="AA2139">
        <v>0.997892</v>
      </c>
      <c r="AB2139">
        <v>26</v>
      </c>
      <c r="AC2139">
        <v>-74.006500000000003</v>
      </c>
      <c r="AD2139">
        <v>-1.1108461021260001</v>
      </c>
      <c r="AE2139">
        <v>-4.67509999999998</v>
      </c>
      <c r="AF2139">
        <v>-4.8243319986354702</v>
      </c>
      <c r="AG2139">
        <v>-1.1108461021260001</v>
      </c>
      <c r="AH2139">
        <v>73.980249360201995</v>
      </c>
      <c r="AI2139">
        <v>90.858433745597395</v>
      </c>
      <c r="AJ2139">
        <v>93.731036949661004</v>
      </c>
      <c r="AK2139">
        <v>74.145704216045701</v>
      </c>
      <c r="AL2139">
        <v>78.566193290011896</v>
      </c>
      <c r="AM2139">
        <v>96.162813996604299</v>
      </c>
      <c r="AN2139">
        <v>0.99999998197672901</v>
      </c>
    </row>
    <row r="2140" spans="1:40" x14ac:dyDescent="0.25">
      <c r="A2140" t="str">
        <f>"20190304155058792"</f>
        <v>20190304155058792</v>
      </c>
      <c r="B2140" t="str">
        <f>"1551685858788562"</f>
        <v>1551685858788562</v>
      </c>
      <c r="C2140" t="s">
        <v>40</v>
      </c>
      <c r="D2140">
        <v>4.8640089999999896</v>
      </c>
      <c r="E2140">
        <v>0.51326110000000003</v>
      </c>
      <c r="F2140" t="s">
        <v>70</v>
      </c>
      <c r="G2140">
        <v>-397.16680000000002</v>
      </c>
      <c r="H2140" s="1">
        <v>2.2770360000000001E-6</v>
      </c>
      <c r="I2140">
        <v>280.8879</v>
      </c>
      <c r="J2140">
        <v>-326.90550000000002</v>
      </c>
      <c r="K2140">
        <v>1.110852</v>
      </c>
      <c r="L2140">
        <v>285.36520000000002</v>
      </c>
      <c r="M2140">
        <v>-0.99990069999999998</v>
      </c>
      <c r="N2140">
        <v>-1.3975889999999999E-2</v>
      </c>
      <c r="O2140">
        <v>1.8924790000000001E-3</v>
      </c>
      <c r="P2140">
        <v>-0.97746429999999995</v>
      </c>
      <c r="Q2140">
        <v>0.18399180000000001</v>
      </c>
      <c r="R2140">
        <v>-0.10349460000000001</v>
      </c>
      <c r="S2140">
        <v>-3.0580750000000001</v>
      </c>
      <c r="T2140">
        <v>-4.8211810000000001E-2</v>
      </c>
      <c r="U2140">
        <v>-0.19430539999999999</v>
      </c>
      <c r="V2140">
        <v>-0.10540049999999999</v>
      </c>
      <c r="W2140">
        <v>0.1976019</v>
      </c>
      <c r="X2140">
        <v>0.97459949999999995</v>
      </c>
      <c r="Y2140">
        <v>-6.528407E-2</v>
      </c>
      <c r="Z2140">
        <v>-9.7418250000000004E-4</v>
      </c>
      <c r="AA2140">
        <v>0.99786629999999998</v>
      </c>
      <c r="AB2140">
        <v>26</v>
      </c>
      <c r="AC2140">
        <v>-70.261300000000006</v>
      </c>
      <c r="AD2140">
        <v>-1.110849722964</v>
      </c>
      <c r="AE2140">
        <v>-4.4773000000000103</v>
      </c>
      <c r="AF2140">
        <v>-4.6091255242884204</v>
      </c>
      <c r="AG2140">
        <v>-1.110849722964</v>
      </c>
      <c r="AH2140">
        <v>70.235214828302901</v>
      </c>
      <c r="AI2140">
        <v>90.9041777835332</v>
      </c>
      <c r="AJ2140">
        <v>93.754602627244907</v>
      </c>
      <c r="AK2140">
        <v>70.395052576040598</v>
      </c>
      <c r="AL2140">
        <v>78.603240189869496</v>
      </c>
      <c r="AM2140">
        <v>96.172406034609494</v>
      </c>
      <c r="AN2140">
        <v>0.99999998084205399</v>
      </c>
    </row>
    <row r="2141" spans="1:40" x14ac:dyDescent="0.25">
      <c r="A2141" t="str">
        <f>"20190304155058809"</f>
        <v>20190304155058809</v>
      </c>
      <c r="B2141" t="str">
        <f>"1551685858798322"</f>
        <v>1551685858798322</v>
      </c>
      <c r="C2141" t="s">
        <v>40</v>
      </c>
      <c r="D2141">
        <v>4.9030950000000004</v>
      </c>
      <c r="E2141">
        <v>0.5133607</v>
      </c>
      <c r="F2141" t="s">
        <v>70</v>
      </c>
      <c r="G2141">
        <v>-394.24450000000002</v>
      </c>
      <c r="H2141" s="1">
        <v>7.2191979999999996E-7</v>
      </c>
      <c r="I2141">
        <v>281.0677</v>
      </c>
      <c r="J2141">
        <v>-327.10750000000002</v>
      </c>
      <c r="K2141">
        <v>1.110846</v>
      </c>
      <c r="L2141">
        <v>285.36540000000002</v>
      </c>
      <c r="M2141">
        <v>-0.99990080000000003</v>
      </c>
      <c r="N2141">
        <v>-1.397372E-2</v>
      </c>
      <c r="O2141">
        <v>1.7527329999999901E-3</v>
      </c>
      <c r="P2141">
        <v>-0.97762199999999999</v>
      </c>
      <c r="Q2141">
        <v>0.18270249999999999</v>
      </c>
      <c r="R2141">
        <v>-0.10428320000000001</v>
      </c>
      <c r="S2141">
        <v>-3.0580440000000002</v>
      </c>
      <c r="T2141">
        <v>-5.0446749999999999E-2</v>
      </c>
      <c r="U2141">
        <v>-0.1951599</v>
      </c>
      <c r="V2141">
        <v>-0.1060521</v>
      </c>
      <c r="W2141">
        <v>0.19631299999999999</v>
      </c>
      <c r="X2141">
        <v>0.97478929999999997</v>
      </c>
      <c r="Y2141">
        <v>-6.5421800000000002E-2</v>
      </c>
      <c r="Z2141">
        <v>-1.0010799999999999E-3</v>
      </c>
      <c r="AA2141">
        <v>0.9978572</v>
      </c>
      <c r="AB2141">
        <v>26</v>
      </c>
      <c r="AC2141">
        <v>-67.137</v>
      </c>
      <c r="AD2141">
        <v>-1.1108452780802001</v>
      </c>
      <c r="AE2141">
        <v>-4.2977000000000203</v>
      </c>
      <c r="AF2141">
        <v>-4.4141745966135604</v>
      </c>
      <c r="AG2141">
        <v>-1.1108452780802001</v>
      </c>
      <c r="AH2141">
        <v>67.111065491660497</v>
      </c>
      <c r="AI2141">
        <v>90.946248446417698</v>
      </c>
      <c r="AJ2141">
        <v>93.763161777499505</v>
      </c>
      <c r="AK2141">
        <v>67.265251252241399</v>
      </c>
      <c r="AL2141">
        <v>78.678564512650993</v>
      </c>
      <c r="AM2141">
        <v>96.209067667040699</v>
      </c>
      <c r="AN2141">
        <v>1.0000000106389499</v>
      </c>
    </row>
    <row r="2142" spans="1:40" x14ac:dyDescent="0.25">
      <c r="A2142" t="str">
        <f>"20190304155058830"</f>
        <v>20190304155058830</v>
      </c>
      <c r="B2142" t="str">
        <f>"1551685858818818"</f>
        <v>1551685858818818</v>
      </c>
      <c r="C2142" t="s">
        <v>40</v>
      </c>
      <c r="D2142">
        <v>4.8710040000000001</v>
      </c>
      <c r="E2142">
        <v>0.51339990000000002</v>
      </c>
      <c r="F2142" t="s">
        <v>70</v>
      </c>
      <c r="G2142">
        <v>-388.12569999999999</v>
      </c>
      <c r="H2142" s="1">
        <v>2.7872830000000001E-6</v>
      </c>
      <c r="I2142">
        <v>281.45319999999998</v>
      </c>
      <c r="J2142">
        <v>-327.36309999999997</v>
      </c>
      <c r="K2142">
        <v>1.1108420000000001</v>
      </c>
      <c r="L2142">
        <v>285.3657</v>
      </c>
      <c r="M2142">
        <v>-0.99990120000000005</v>
      </c>
      <c r="N2142">
        <v>-1.3971010000000001E-2</v>
      </c>
      <c r="O2142">
        <v>1.575861E-3</v>
      </c>
      <c r="P2142">
        <v>-0.97769819999999996</v>
      </c>
      <c r="Q2142">
        <v>0.18170739999999999</v>
      </c>
      <c r="R2142">
        <v>-0.1053029</v>
      </c>
      <c r="S2142">
        <v>-3.0581670000000001</v>
      </c>
      <c r="T2142">
        <v>-5.5674309999999998E-2</v>
      </c>
      <c r="U2142">
        <v>-0.19607540000000001</v>
      </c>
      <c r="V2142">
        <v>-0.1068988</v>
      </c>
      <c r="W2142">
        <v>0.19531660000000001</v>
      </c>
      <c r="X2142">
        <v>0.97489700000000001</v>
      </c>
      <c r="Y2142">
        <v>-6.5537520000000002E-2</v>
      </c>
      <c r="Z2142">
        <v>-1.060933E-3</v>
      </c>
      <c r="AA2142">
        <v>0.99784949999999994</v>
      </c>
      <c r="AB2142">
        <v>26</v>
      </c>
      <c r="AC2142">
        <v>-60.762599999999999</v>
      </c>
      <c r="AD2142">
        <v>-1.1108392127169999</v>
      </c>
      <c r="AE2142">
        <v>-3.9125000000000201</v>
      </c>
      <c r="AF2142">
        <v>-4.0069242386800799</v>
      </c>
      <c r="AG2142">
        <v>-1.1108392127169999</v>
      </c>
      <c r="AH2142">
        <v>60.736143088162301</v>
      </c>
      <c r="AI2142">
        <v>91.0455272529138</v>
      </c>
      <c r="AJ2142">
        <v>93.774484671665405</v>
      </c>
      <c r="AK2142">
        <v>60.878308804012903</v>
      </c>
      <c r="AL2142">
        <v>78.736781431852094</v>
      </c>
      <c r="AM2142">
        <v>96.257562007563095</v>
      </c>
      <c r="AN2142">
        <v>1.0000000441429899</v>
      </c>
    </row>
    <row r="2143" spans="1:40" x14ac:dyDescent="0.25">
      <c r="A2143" t="str">
        <f>"20190304155058851"</f>
        <v>20190304155058851</v>
      </c>
      <c r="B2143" t="str">
        <f>"1551685858849075"</f>
        <v>1551685858849075</v>
      </c>
      <c r="C2143" t="s">
        <v>40</v>
      </c>
      <c r="D2143">
        <v>4.8954979999999999</v>
      </c>
      <c r="E2143">
        <v>0.51353539999999998</v>
      </c>
      <c r="F2143" t="s">
        <v>70</v>
      </c>
      <c r="G2143">
        <v>-384.13200000000001</v>
      </c>
      <c r="H2143" s="1">
        <v>6.6206169999999996E-7</v>
      </c>
      <c r="I2143">
        <v>281.68349999999998</v>
      </c>
      <c r="J2143">
        <v>-327.61149999999998</v>
      </c>
      <c r="K2143">
        <v>1.1108389999999999</v>
      </c>
      <c r="L2143">
        <v>285.36590000000001</v>
      </c>
      <c r="M2143">
        <v>-0.99990159999999995</v>
      </c>
      <c r="N2143">
        <v>-1.3968370000000001E-2</v>
      </c>
      <c r="O2143">
        <v>1.4034E-3</v>
      </c>
      <c r="P2143">
        <v>-0.97771470000000005</v>
      </c>
      <c r="Q2143">
        <v>0.1812655</v>
      </c>
      <c r="R2143">
        <v>-0.1059118</v>
      </c>
      <c r="S2143">
        <v>-3.0581969999999998</v>
      </c>
      <c r="T2143">
        <v>-5.9842109999999997E-2</v>
      </c>
      <c r="U2143">
        <v>-0.19836429999999999</v>
      </c>
      <c r="V2143">
        <v>-0.1073385</v>
      </c>
      <c r="W2143">
        <v>0.19487280000000001</v>
      </c>
      <c r="X2143">
        <v>0.97493739999999995</v>
      </c>
      <c r="Y2143">
        <v>-6.6105990000000003E-2</v>
      </c>
      <c r="Z2143">
        <v>-1.116159E-3</v>
      </c>
      <c r="AA2143">
        <v>0.99781200000000003</v>
      </c>
      <c r="AB2143">
        <v>26</v>
      </c>
      <c r="AC2143">
        <v>-56.520499999999899</v>
      </c>
      <c r="AD2143">
        <v>-1.1108383379383</v>
      </c>
      <c r="AE2143">
        <v>-3.6824000000000199</v>
      </c>
      <c r="AF2143">
        <v>-3.7602786311676399</v>
      </c>
      <c r="AG2143">
        <v>-1.1108383379383</v>
      </c>
      <c r="AH2143">
        <v>56.493546482312603</v>
      </c>
      <c r="AI2143">
        <v>91.123981116239506</v>
      </c>
      <c r="AJ2143">
        <v>93.808059124145402</v>
      </c>
      <c r="AK2143">
        <v>56.6294486230112</v>
      </c>
      <c r="AL2143">
        <v>78.762706385968997</v>
      </c>
      <c r="AM2143">
        <v>96.282837121391196</v>
      </c>
      <c r="AN2143">
        <v>0.99999994784042301</v>
      </c>
    </row>
    <row r="2144" spans="1:40" x14ac:dyDescent="0.25">
      <c r="A2144" t="str">
        <f>"20190304155058865"</f>
        <v>20190304155058865</v>
      </c>
      <c r="B2144" t="str">
        <f>"1551685858858834"</f>
        <v>1551685858858834</v>
      </c>
      <c r="C2144" t="s">
        <v>40</v>
      </c>
      <c r="D2144">
        <v>4.9317330000000004</v>
      </c>
      <c r="E2144">
        <v>0.51360209999999995</v>
      </c>
      <c r="F2144" t="s">
        <v>70</v>
      </c>
      <c r="G2144">
        <v>-384.3657</v>
      </c>
      <c r="H2144" s="1">
        <v>7.8642649999999999E-7</v>
      </c>
      <c r="I2144">
        <v>281.67930000000001</v>
      </c>
      <c r="J2144">
        <v>-327.7876</v>
      </c>
      <c r="K2144">
        <v>1.110835</v>
      </c>
      <c r="L2144">
        <v>285.36599999999999</v>
      </c>
      <c r="M2144">
        <v>-0.9999017</v>
      </c>
      <c r="N2144">
        <v>-1.396647E-2</v>
      </c>
      <c r="O2144">
        <v>1.281765E-3</v>
      </c>
      <c r="P2144">
        <v>-0.9778038</v>
      </c>
      <c r="Q2144">
        <v>0.1805909</v>
      </c>
      <c r="R2144">
        <v>-0.10623920000000001</v>
      </c>
      <c r="S2144">
        <v>-3.0579529999999999</v>
      </c>
      <c r="T2144">
        <v>-5.9852719999999998E-2</v>
      </c>
      <c r="U2144">
        <v>-0.19863890000000001</v>
      </c>
      <c r="V2144">
        <v>-0.1075475</v>
      </c>
      <c r="W2144">
        <v>0.19419739999999999</v>
      </c>
      <c r="X2144">
        <v>0.97504919999999995</v>
      </c>
      <c r="Y2144">
        <v>-6.6079020000000002E-2</v>
      </c>
      <c r="Z2144">
        <v>-1.115139E-3</v>
      </c>
      <c r="AA2144">
        <v>0.99781379999999997</v>
      </c>
      <c r="AB2144">
        <v>26</v>
      </c>
      <c r="AC2144">
        <v>-56.578099999999999</v>
      </c>
      <c r="AD2144">
        <v>-1.1108342135735001</v>
      </c>
      <c r="AE2144">
        <v>-3.6866999999999699</v>
      </c>
      <c r="AF2144">
        <v>-3.7577814442586499</v>
      </c>
      <c r="AG2144">
        <v>-1.1108342135735001</v>
      </c>
      <c r="AH2144">
        <v>56.551620224789097</v>
      </c>
      <c r="AI2144">
        <v>91.122831372720199</v>
      </c>
      <c r="AJ2144">
        <v>93.801641139361905</v>
      </c>
      <c r="AK2144">
        <v>56.687217466388702</v>
      </c>
      <c r="AL2144">
        <v>78.802158456275805</v>
      </c>
      <c r="AM2144">
        <v>96.294256396241195</v>
      </c>
      <c r="AN2144">
        <v>1.0000000186718201</v>
      </c>
    </row>
    <row r="2145" spans="1:40" x14ac:dyDescent="0.25">
      <c r="A2145" t="str">
        <f>"20190304155058878"</f>
        <v>20190304155058878</v>
      </c>
      <c r="B2145" t="str">
        <f>"1551685858868594"</f>
        <v>1551685858868594</v>
      </c>
      <c r="C2145" t="s">
        <v>40</v>
      </c>
      <c r="D2145">
        <v>4.8535940000000002</v>
      </c>
      <c r="E2145">
        <v>0.51359920000000003</v>
      </c>
      <c r="F2145" t="s">
        <v>70</v>
      </c>
      <c r="G2145">
        <v>-381.29219999999998</v>
      </c>
      <c r="H2145" s="1">
        <v>-8.4916019999999905E-7</v>
      </c>
      <c r="I2145">
        <v>281.8811</v>
      </c>
      <c r="J2145">
        <v>-327.92759999999998</v>
      </c>
      <c r="K2145">
        <v>1.110832</v>
      </c>
      <c r="L2145">
        <v>285.36610000000002</v>
      </c>
      <c r="M2145">
        <v>-0.99990179999999995</v>
      </c>
      <c r="N2145">
        <v>-1.396497E-2</v>
      </c>
      <c r="O2145">
        <v>1.1846269999999999E-3</v>
      </c>
      <c r="P2145">
        <v>-0.97786569999999995</v>
      </c>
      <c r="Q2145">
        <v>0.18004890000000001</v>
      </c>
      <c r="R2145">
        <v>-0.10658819999999999</v>
      </c>
      <c r="S2145">
        <v>-3.0581969999999998</v>
      </c>
      <c r="T2145">
        <v>-6.3492770000000004E-2</v>
      </c>
      <c r="U2145">
        <v>-0.19918820000000001</v>
      </c>
      <c r="V2145">
        <v>-0.10780099999999999</v>
      </c>
      <c r="W2145">
        <v>0.1936552</v>
      </c>
      <c r="X2145">
        <v>0.97512900000000002</v>
      </c>
      <c r="Y2145">
        <v>-6.6153240000000002E-2</v>
      </c>
      <c r="Z2145">
        <v>-1.156469E-3</v>
      </c>
      <c r="AA2145">
        <v>0.99780880000000005</v>
      </c>
      <c r="AB2145">
        <v>26</v>
      </c>
      <c r="AC2145">
        <v>-53.364600000000003</v>
      </c>
      <c r="AD2145">
        <v>-1.1108328491602</v>
      </c>
      <c r="AE2145">
        <v>-3.4850000000000101</v>
      </c>
      <c r="AF2145">
        <v>-3.54669060173604</v>
      </c>
      <c r="AG2145">
        <v>-1.1108328491602</v>
      </c>
      <c r="AH2145">
        <v>53.337420644301801</v>
      </c>
      <c r="AI2145">
        <v>91.190470958572604</v>
      </c>
      <c r="AJ2145">
        <v>93.804302591877502</v>
      </c>
      <c r="AK2145">
        <v>53.466750460734097</v>
      </c>
      <c r="AL2145">
        <v>78.833824945080806</v>
      </c>
      <c r="AM2145">
        <v>96.308460947603294</v>
      </c>
      <c r="AN2145">
        <v>0.99999997936451901</v>
      </c>
    </row>
    <row r="2146" spans="1:40" x14ac:dyDescent="0.25">
      <c r="A2146" t="str">
        <f>"20190304155058890"</f>
        <v>20190304155058890</v>
      </c>
      <c r="B2146" t="str">
        <f>"1551685858878355"</f>
        <v>1551685858878355</v>
      </c>
      <c r="C2146" t="s">
        <v>40</v>
      </c>
      <c r="D2146">
        <v>4.8968769999999999</v>
      </c>
      <c r="E2146">
        <v>0.5135596</v>
      </c>
      <c r="F2146" t="s">
        <v>70</v>
      </c>
      <c r="G2146">
        <v>-379.77929999999998</v>
      </c>
      <c r="H2146" s="1">
        <v>3.6672440000000002E-6</v>
      </c>
      <c r="I2146">
        <v>281.97160000000002</v>
      </c>
      <c r="J2146">
        <v>-328.06529999999998</v>
      </c>
      <c r="K2146">
        <v>1.1108260000000001</v>
      </c>
      <c r="L2146">
        <v>285.36610000000002</v>
      </c>
      <c r="M2146">
        <v>-0.99990199999999996</v>
      </c>
      <c r="N2146">
        <v>-1.39634999999999E-2</v>
      </c>
      <c r="O2146">
        <v>1.0889199999999999E-3</v>
      </c>
      <c r="P2146">
        <v>-0.97792120000000005</v>
      </c>
      <c r="Q2146">
        <v>0.17950060000000001</v>
      </c>
      <c r="R2146">
        <v>-0.1070039</v>
      </c>
      <c r="S2146">
        <v>-3.0581049999999999</v>
      </c>
      <c r="T2146">
        <v>-6.5514450000000002E-2</v>
      </c>
      <c r="U2146">
        <v>-0.20019529999999999</v>
      </c>
      <c r="V2146">
        <v>-0.1081231</v>
      </c>
      <c r="W2146">
        <v>0.19310640000000001</v>
      </c>
      <c r="X2146">
        <v>0.97520220000000002</v>
      </c>
      <c r="Y2146">
        <v>-6.6385570000000005E-2</v>
      </c>
      <c r="Z2146">
        <v>-1.18246E-3</v>
      </c>
      <c r="AA2146">
        <v>0.99779329999999999</v>
      </c>
      <c r="AB2146">
        <v>26</v>
      </c>
      <c r="AC2146">
        <v>-51.713999999999999</v>
      </c>
      <c r="AD2146">
        <v>-1.1108223327560001</v>
      </c>
      <c r="AE2146">
        <v>-3.3944999999999901</v>
      </c>
      <c r="AF2146">
        <v>-3.4492312509976601</v>
      </c>
      <c r="AG2146">
        <v>-1.1108223327560001</v>
      </c>
      <c r="AH2146">
        <v>51.686527036850798</v>
      </c>
      <c r="AI2146">
        <v>91.228452689710196</v>
      </c>
      <c r="AJ2146">
        <v>93.8178964108413</v>
      </c>
      <c r="AK2146">
        <v>51.8133978774691</v>
      </c>
      <c r="AL2146">
        <v>78.865874162508703</v>
      </c>
      <c r="AM2146">
        <v>96.326686363808705</v>
      </c>
      <c r="AN2146">
        <v>1.0000000086797001</v>
      </c>
    </row>
    <row r="2147" spans="1:40" x14ac:dyDescent="0.25">
      <c r="A2147" t="str">
        <f>"20190304155058908"</f>
        <v>20190304155058908</v>
      </c>
      <c r="B2147" t="str">
        <f>"1551685858898854"</f>
        <v>1551685858898854</v>
      </c>
      <c r="C2147" t="s">
        <v>40</v>
      </c>
      <c r="D2147">
        <v>4.9244729999999999</v>
      </c>
      <c r="E2147">
        <v>0.51349230000000001</v>
      </c>
      <c r="F2147" t="s">
        <v>70</v>
      </c>
      <c r="G2147">
        <v>-379.0487</v>
      </c>
      <c r="H2147" s="1">
        <v>3.278491E-6</v>
      </c>
      <c r="I2147">
        <v>282.00490000000002</v>
      </c>
      <c r="J2147">
        <v>-328.2765</v>
      </c>
      <c r="K2147">
        <v>1.1108199999999999</v>
      </c>
      <c r="L2147">
        <v>285.36619999999999</v>
      </c>
      <c r="M2147">
        <v>-0.99990219999999996</v>
      </c>
      <c r="N2147">
        <v>-1.396121E-2</v>
      </c>
      <c r="O2147">
        <v>9.4238419999999995E-4</v>
      </c>
      <c r="P2147">
        <v>-0.9781204</v>
      </c>
      <c r="Q2147">
        <v>0.17766270000000001</v>
      </c>
      <c r="R2147">
        <v>-0.10824400000000001</v>
      </c>
      <c r="S2147">
        <v>-3.0578609999999999</v>
      </c>
      <c r="T2147">
        <v>-6.6624399999999903E-2</v>
      </c>
      <c r="U2147">
        <v>-0.2015991</v>
      </c>
      <c r="V2147">
        <v>-0.1092191</v>
      </c>
      <c r="W2147">
        <v>0.1912692</v>
      </c>
      <c r="X2147">
        <v>0.97544209999999998</v>
      </c>
      <c r="Y2147">
        <v>-6.6699820000000007E-2</v>
      </c>
      <c r="Z2147">
        <v>-1.199339E-3</v>
      </c>
      <c r="AA2147">
        <v>0.9977724</v>
      </c>
      <c r="AB2147">
        <v>26</v>
      </c>
      <c r="AC2147">
        <v>-50.772199999999998</v>
      </c>
      <c r="AD2147">
        <v>-1.1108167215089999</v>
      </c>
      <c r="AE2147">
        <v>-3.3612999999999702</v>
      </c>
      <c r="AF2147">
        <v>-3.4075261345563699</v>
      </c>
      <c r="AG2147">
        <v>-1.1108167215089999</v>
      </c>
      <c r="AH2147">
        <v>50.744825663717201</v>
      </c>
      <c r="AI2147">
        <v>91.251201580240107</v>
      </c>
      <c r="AJ2147">
        <v>93.841656839475206</v>
      </c>
      <c r="AK2147">
        <v>50.871234305720598</v>
      </c>
      <c r="AL2147">
        <v>78.973137525547003</v>
      </c>
      <c r="AM2147">
        <v>96.388730905069806</v>
      </c>
      <c r="AN2147">
        <v>1.00000000456293</v>
      </c>
    </row>
    <row r="2148" spans="1:40" x14ac:dyDescent="0.25">
      <c r="A2148" t="str">
        <f>"20190304155058921"</f>
        <v>20190304155058921</v>
      </c>
      <c r="B2148" t="str">
        <f>"1551685858918371"</f>
        <v>1551685858918371</v>
      </c>
      <c r="C2148" t="s">
        <v>40</v>
      </c>
      <c r="D2148">
        <v>4.8887549999999997</v>
      </c>
      <c r="E2148">
        <v>0.51356539999999995</v>
      </c>
      <c r="F2148" t="s">
        <v>70</v>
      </c>
      <c r="G2148">
        <v>-375.69420000000002</v>
      </c>
      <c r="H2148" s="1">
        <v>1.493394E-6</v>
      </c>
      <c r="I2148">
        <v>282.17419999999998</v>
      </c>
      <c r="J2148">
        <v>-328.43459999999999</v>
      </c>
      <c r="K2148">
        <v>1.110816</v>
      </c>
      <c r="L2148">
        <v>285.36619999999999</v>
      </c>
      <c r="M2148">
        <v>-0.99990239999999997</v>
      </c>
      <c r="N2148">
        <v>-1.39595E-2</v>
      </c>
      <c r="O2148">
        <v>8.3267240000000004E-4</v>
      </c>
      <c r="P2148">
        <v>-0.97821709999999995</v>
      </c>
      <c r="Q2148">
        <v>0.17660090000000001</v>
      </c>
      <c r="R2148">
        <v>-0.10910309999999999</v>
      </c>
      <c r="S2148">
        <v>-3.0573429999999999</v>
      </c>
      <c r="T2148">
        <v>-7.162201E-2</v>
      </c>
      <c r="U2148">
        <v>-0.20581050000000001</v>
      </c>
      <c r="V2148">
        <v>-0.1099706</v>
      </c>
      <c r="W2148">
        <v>0.19020719999999999</v>
      </c>
      <c r="X2148">
        <v>0.97556529999999997</v>
      </c>
      <c r="Y2148">
        <v>-6.7965940000000002E-2</v>
      </c>
      <c r="Z2148">
        <v>-1.2780039999999999E-3</v>
      </c>
      <c r="AA2148">
        <v>0.99768679999999998</v>
      </c>
      <c r="AB2148">
        <v>26</v>
      </c>
      <c r="AC2148">
        <v>-47.259599999999999</v>
      </c>
      <c r="AD2148">
        <v>-1.110814506606</v>
      </c>
      <c r="AE2148">
        <v>-3.1920000000000002</v>
      </c>
      <c r="AF2148">
        <v>-3.2295783659495299</v>
      </c>
      <c r="AG2148">
        <v>-1.110814506606</v>
      </c>
      <c r="AH2148">
        <v>47.230950618099001</v>
      </c>
      <c r="AI2148">
        <v>91.344141147883803</v>
      </c>
      <c r="AJ2148">
        <v>93.911706633107599</v>
      </c>
      <c r="AK2148">
        <v>47.354268884433303</v>
      </c>
      <c r="AL2148">
        <v>79.035123415954303</v>
      </c>
      <c r="AM2148">
        <v>96.431516933025804</v>
      </c>
      <c r="AN2148">
        <v>0.99999998318014405</v>
      </c>
    </row>
    <row r="2149" spans="1:40" x14ac:dyDescent="0.25">
      <c r="A2149" t="str">
        <f>"20190304155058934"</f>
        <v>20190304155058934</v>
      </c>
      <c r="B2149" t="str">
        <f>"1551685858929106"</f>
        <v>1551685858929106</v>
      </c>
      <c r="C2149" t="s">
        <v>40</v>
      </c>
      <c r="D2149">
        <v>4.8912820000000004</v>
      </c>
      <c r="E2149">
        <v>0.51404359999999905</v>
      </c>
      <c r="F2149" t="s">
        <v>70</v>
      </c>
      <c r="G2149">
        <v>-374.80180000000001</v>
      </c>
      <c r="H2149" s="1">
        <v>1.018498E-6</v>
      </c>
      <c r="I2149">
        <v>282.21249999999998</v>
      </c>
      <c r="J2149">
        <v>-328.58499999999998</v>
      </c>
      <c r="K2149">
        <v>1.1108180000000001</v>
      </c>
      <c r="L2149">
        <v>285.36619999999999</v>
      </c>
      <c r="M2149">
        <v>-0.99990230000000002</v>
      </c>
      <c r="N2149">
        <v>-1.3957870000000001E-2</v>
      </c>
      <c r="O2149">
        <v>7.2873990000000004E-4</v>
      </c>
      <c r="P2149">
        <v>-0.97826230000000003</v>
      </c>
      <c r="Q2149">
        <v>0.1759009</v>
      </c>
      <c r="R2149">
        <v>-0.1098259</v>
      </c>
      <c r="S2149">
        <v>-3.056854</v>
      </c>
      <c r="T2149">
        <v>-7.3232770000000003E-2</v>
      </c>
      <c r="U2149">
        <v>-0.2079163</v>
      </c>
      <c r="V2149">
        <v>-0.11059190000000001</v>
      </c>
      <c r="W2149">
        <v>0.18950629999999999</v>
      </c>
      <c r="X2149">
        <v>0.97563149999999998</v>
      </c>
      <c r="Y2149">
        <v>-6.8555669999999999E-2</v>
      </c>
      <c r="Z2149">
        <v>-1.3065310000000001E-3</v>
      </c>
      <c r="AA2149">
        <v>0.99764649999999999</v>
      </c>
      <c r="AB2149">
        <v>26</v>
      </c>
      <c r="AC2149">
        <v>-46.216799999999999</v>
      </c>
      <c r="AD2149">
        <v>-1.1108169815019999</v>
      </c>
      <c r="AE2149">
        <v>-3.1537000000000099</v>
      </c>
      <c r="AF2149">
        <v>-3.1855507791976998</v>
      </c>
      <c r="AG2149">
        <v>-1.1108169815019999</v>
      </c>
      <c r="AH2149">
        <v>46.1879312191137</v>
      </c>
      <c r="AI2149">
        <v>91.374430700308196</v>
      </c>
      <c r="AJ2149">
        <v>93.945403784337799</v>
      </c>
      <c r="AK2149">
        <v>46.310977515431603</v>
      </c>
      <c r="AL2149">
        <v>79.076026324473105</v>
      </c>
      <c r="AM2149">
        <v>96.4671108726303</v>
      </c>
      <c r="AN2149">
        <v>1.00000001493877</v>
      </c>
    </row>
    <row r="2150" spans="1:40" x14ac:dyDescent="0.25">
      <c r="A2150" t="str">
        <f>"20190304155058946"</f>
        <v>20190304155058946</v>
      </c>
      <c r="B2150" t="str">
        <f>"1551685858938867"</f>
        <v>1551685858938867</v>
      </c>
      <c r="C2150" t="s">
        <v>40</v>
      </c>
      <c r="D2150">
        <v>4.4025379999999998</v>
      </c>
      <c r="E2150">
        <v>0.51404359999999905</v>
      </c>
      <c r="F2150" t="s">
        <v>70</v>
      </c>
      <c r="G2150">
        <v>-375.88350000000003</v>
      </c>
      <c r="H2150" s="1">
        <v>1.5940969999999901E-6</v>
      </c>
      <c r="I2150">
        <v>282.17129999999997</v>
      </c>
      <c r="J2150">
        <v>-328.73349999999999</v>
      </c>
      <c r="K2150">
        <v>1.1108169999999999</v>
      </c>
      <c r="L2150">
        <v>285.36619999999999</v>
      </c>
      <c r="M2150">
        <v>-0.99990239999999997</v>
      </c>
      <c r="N2150">
        <v>-1.395625E-2</v>
      </c>
      <c r="O2150">
        <v>6.2593849999999999E-4</v>
      </c>
      <c r="P2150">
        <v>-0.97824909999999998</v>
      </c>
      <c r="Q2150">
        <v>0.17543909999999999</v>
      </c>
      <c r="R2150">
        <v>-0.1106795</v>
      </c>
      <c r="S2150">
        <v>-3.0563660000000001</v>
      </c>
      <c r="T2150">
        <v>-7.1779490000000001E-2</v>
      </c>
      <c r="U2150">
        <v>-0.20645140000000001</v>
      </c>
      <c r="V2150">
        <v>-0.1113445</v>
      </c>
      <c r="W2150">
        <v>0.1890423</v>
      </c>
      <c r="X2150">
        <v>0.9756359</v>
      </c>
      <c r="Y2150">
        <v>-6.7989160000000007E-2</v>
      </c>
      <c r="Z2150">
        <v>-1.2784129999999999E-3</v>
      </c>
      <c r="AA2150">
        <v>0.9976853</v>
      </c>
      <c r="AB2150">
        <v>26</v>
      </c>
      <c r="AC2150">
        <v>-47.15</v>
      </c>
      <c r="AD2150">
        <v>-1.110815405903</v>
      </c>
      <c r="AE2150">
        <v>-3.1949000000000098</v>
      </c>
      <c r="AF2150">
        <v>-3.2226347491633498</v>
      </c>
      <c r="AG2150">
        <v>-1.110815405903</v>
      </c>
      <c r="AH2150">
        <v>47.121955957353002</v>
      </c>
      <c r="AI2150">
        <v>91.347249146394503</v>
      </c>
      <c r="AJ2150">
        <v>93.912322971046507</v>
      </c>
      <c r="AK2150">
        <v>47.2450845997679</v>
      </c>
      <c r="AL2150">
        <v>79.1031007857936</v>
      </c>
      <c r="AM2150">
        <v>96.510715124463204</v>
      </c>
      <c r="AN2150">
        <v>0.99999999911917403</v>
      </c>
    </row>
    <row r="2151" spans="1:40" x14ac:dyDescent="0.25">
      <c r="A2151" t="str">
        <f>"20190304155059030"</f>
        <v>20190304155059030</v>
      </c>
      <c r="B2151" t="str">
        <f>"1551685859018898"</f>
        <v>1551685859018898</v>
      </c>
      <c r="C2151" t="s">
        <v>40</v>
      </c>
      <c r="D2151">
        <v>4.6427250000000004</v>
      </c>
      <c r="E2151">
        <v>0.53654709999999906</v>
      </c>
      <c r="F2151" t="s">
        <v>70</v>
      </c>
      <c r="G2151">
        <v>-375.11110000000002</v>
      </c>
      <c r="H2151" s="1">
        <v>1.183108E-6</v>
      </c>
      <c r="I2151">
        <v>282.19580000000002</v>
      </c>
      <c r="J2151">
        <v>-329.70190000000002</v>
      </c>
      <c r="K2151">
        <v>1.1108129999999901</v>
      </c>
      <c r="L2151">
        <v>285.36579999999998</v>
      </c>
      <c r="M2151">
        <v>-0.99990270000000003</v>
      </c>
      <c r="N2151">
        <v>-1.3946E-2</v>
      </c>
      <c r="O2151" s="1">
        <v>-3.223414E-5</v>
      </c>
      <c r="P2151">
        <v>-0.97827730000000002</v>
      </c>
      <c r="Q2151">
        <v>0.17270820000000001</v>
      </c>
      <c r="R2151">
        <v>-0.1146529</v>
      </c>
      <c r="S2151">
        <v>-3.0561829999999999</v>
      </c>
      <c r="T2151">
        <v>-7.3200230000000005E-2</v>
      </c>
      <c r="U2151">
        <v>-0.20892330000000001</v>
      </c>
      <c r="V2151">
        <v>-0.1146703</v>
      </c>
      <c r="W2151">
        <v>0.18630430000000001</v>
      </c>
      <c r="X2151">
        <v>0.97577729999999996</v>
      </c>
      <c r="Y2151">
        <v>-6.813872E-2</v>
      </c>
      <c r="Z2151">
        <v>-1.290439E-3</v>
      </c>
      <c r="AA2151">
        <v>0.99767499999999998</v>
      </c>
      <c r="AB2151">
        <v>26</v>
      </c>
      <c r="AC2151">
        <v>-45.409199999999998</v>
      </c>
      <c r="AD2151">
        <v>-1.11081181689199</v>
      </c>
      <c r="AE2151">
        <v>-3.1699999999999502</v>
      </c>
      <c r="AF2151">
        <v>-3.16665038836102</v>
      </c>
      <c r="AG2151">
        <v>-1.11081181689199</v>
      </c>
      <c r="AH2151">
        <v>45.382277011981401</v>
      </c>
      <c r="AI2151">
        <v>91.398736340194404</v>
      </c>
      <c r="AJ2151">
        <v>93.991472214953603</v>
      </c>
      <c r="AK2151">
        <v>45.506182485096097</v>
      </c>
      <c r="AL2151">
        <v>79.262814075490994</v>
      </c>
      <c r="AM2151">
        <v>96.702479600518103</v>
      </c>
      <c r="AN2151">
        <v>0.999999954547934</v>
      </c>
    </row>
    <row r="2152" spans="1:40" x14ac:dyDescent="0.25">
      <c r="A2152" t="str">
        <f>"20190304155059044"</f>
        <v>20190304155059044</v>
      </c>
      <c r="B2152" t="str">
        <f>"1551685859038418"</f>
        <v>1551685859038418</v>
      </c>
      <c r="C2152" t="s">
        <v>40</v>
      </c>
      <c r="D2152">
        <v>4.9724469999999998</v>
      </c>
      <c r="E2152">
        <v>0.53509549999999995</v>
      </c>
      <c r="F2152" t="s">
        <v>70</v>
      </c>
      <c r="G2152">
        <v>-343.92809999999997</v>
      </c>
      <c r="H2152" s="1">
        <v>5.5356169999999996E-7</v>
      </c>
      <c r="I2152">
        <v>285.18990000000002</v>
      </c>
      <c r="J2152">
        <v>-329.86930000000001</v>
      </c>
      <c r="K2152">
        <v>1.110816</v>
      </c>
      <c r="L2152">
        <v>285.3657</v>
      </c>
      <c r="M2152">
        <v>-0.99990279999999998</v>
      </c>
      <c r="N2152">
        <v>-1.394434E-2</v>
      </c>
      <c r="O2152">
        <v>-1.432986E-4</v>
      </c>
      <c r="P2152">
        <v>-0.97826749999999996</v>
      </c>
      <c r="Q2152">
        <v>0.17244110000000001</v>
      </c>
      <c r="R2152">
        <v>-0.1151394</v>
      </c>
      <c r="S2152">
        <v>-3.1049799999999999</v>
      </c>
      <c r="T2152">
        <v>-0.2424433</v>
      </c>
      <c r="U2152">
        <v>-3.8391109999999999E-2</v>
      </c>
      <c r="V2152">
        <v>-0.1150476</v>
      </c>
      <c r="W2152">
        <v>0.1860358</v>
      </c>
      <c r="X2152">
        <v>0.97578419999999999</v>
      </c>
      <c r="Y2152">
        <v>-1.217671E-2</v>
      </c>
      <c r="Z2152">
        <v>-5.5053280000000001E-4</v>
      </c>
      <c r="AA2152">
        <v>0.99992570000000003</v>
      </c>
      <c r="AB2152">
        <v>26</v>
      </c>
      <c r="AC2152">
        <v>-14.0587999999999</v>
      </c>
      <c r="AD2152">
        <v>-1.1108154464383</v>
      </c>
      <c r="AE2152">
        <v>-0.175799999999981</v>
      </c>
      <c r="AF2152">
        <v>-0.172707168676732</v>
      </c>
      <c r="AG2152">
        <v>-1.1108154464383</v>
      </c>
      <c r="AH2152">
        <v>13.971615102576701</v>
      </c>
      <c r="AI2152">
        <v>94.545402212842106</v>
      </c>
      <c r="AJ2152">
        <v>90.708213604531807</v>
      </c>
      <c r="AK2152">
        <v>14.016767362580699</v>
      </c>
      <c r="AL2152">
        <v>79.278472622483406</v>
      </c>
      <c r="AM2152">
        <v>96.724284053173406</v>
      </c>
      <c r="AN2152">
        <v>1.00000003705851</v>
      </c>
    </row>
    <row r="2153" spans="1:40" x14ac:dyDescent="0.25">
      <c r="A2153" t="str">
        <f>"20190304155059131"</f>
        <v>20190304155059131</v>
      </c>
      <c r="B2153" t="str">
        <f>"1551685859129187"</f>
        <v>1551685859129187</v>
      </c>
      <c r="C2153" t="s">
        <v>40</v>
      </c>
      <c r="D2153">
        <v>4.8571260000000001</v>
      </c>
      <c r="E2153">
        <v>0.53366179999999996</v>
      </c>
      <c r="F2153" t="s">
        <v>70</v>
      </c>
      <c r="G2153">
        <v>-341.78800000000001</v>
      </c>
      <c r="H2153" s="1">
        <v>-5.8530659999999899E-7</v>
      </c>
      <c r="I2153">
        <v>285.17360000000002</v>
      </c>
      <c r="J2153">
        <v>-330.86430000000001</v>
      </c>
      <c r="K2153">
        <v>1.1108129999999901</v>
      </c>
      <c r="L2153">
        <v>285.3646</v>
      </c>
      <c r="M2153">
        <v>-0.99990270000000003</v>
      </c>
      <c r="N2153">
        <v>-1.393203E-2</v>
      </c>
      <c r="O2153">
        <v>-7.6993310000000002E-4</v>
      </c>
      <c r="P2153">
        <v>-0.97717149999999997</v>
      </c>
      <c r="Q2153">
        <v>0.17716479999999901</v>
      </c>
      <c r="R2153">
        <v>-0.1172557</v>
      </c>
      <c r="S2153">
        <v>-3.1118160000000001</v>
      </c>
      <c r="T2153">
        <v>-0.29001959999999999</v>
      </c>
      <c r="U2153">
        <v>-5.0140379999999998E-2</v>
      </c>
      <c r="V2153">
        <v>-0.1165484</v>
      </c>
      <c r="W2153">
        <v>0.19073519999999999</v>
      </c>
      <c r="X2153">
        <v>0.97469819999999996</v>
      </c>
      <c r="Y2153">
        <v>-1.526723E-2</v>
      </c>
      <c r="Z2153">
        <v>-7.5560239999999999E-4</v>
      </c>
      <c r="AA2153">
        <v>0.99988319999999997</v>
      </c>
      <c r="AB2153">
        <v>26</v>
      </c>
      <c r="AC2153">
        <v>-10.923699999999901</v>
      </c>
      <c r="AD2153">
        <v>-1.1108135853065999</v>
      </c>
      <c r="AE2153">
        <v>-0.190999999999974</v>
      </c>
      <c r="AF2153">
        <v>-0.18072043514437999</v>
      </c>
      <c r="AG2153">
        <v>-1.1108135853065999</v>
      </c>
      <c r="AH2153">
        <v>10.812075403558801</v>
      </c>
      <c r="AI2153">
        <v>95.865073298154002</v>
      </c>
      <c r="AJ2153">
        <v>90.957591738545602</v>
      </c>
      <c r="AK2153">
        <v>10.870489465945001</v>
      </c>
      <c r="AL2153">
        <v>79.004307420503594</v>
      </c>
      <c r="AM2153">
        <v>96.8187012637094</v>
      </c>
      <c r="AN2153">
        <v>1.0000000135724101</v>
      </c>
    </row>
    <row r="2154" spans="1:40" x14ac:dyDescent="0.25">
      <c r="A2154" t="str">
        <f>"20190304155059153"</f>
        <v>20190304155059153</v>
      </c>
      <c r="B2154" t="str">
        <f>"1551685859148707"</f>
        <v>1551685859148707</v>
      </c>
      <c r="C2154" t="s">
        <v>40</v>
      </c>
      <c r="D2154">
        <v>5.1376309999999998</v>
      </c>
      <c r="E2154">
        <v>0.53183930000000001</v>
      </c>
      <c r="F2154" t="s">
        <v>70</v>
      </c>
      <c r="G2154">
        <v>-346.0761</v>
      </c>
      <c r="H2154" s="1">
        <v>1.696622E-6</v>
      </c>
      <c r="I2154">
        <v>285.01240000000001</v>
      </c>
      <c r="J2154">
        <v>-331.12090000000001</v>
      </c>
      <c r="K2154">
        <v>1.1107910000000001</v>
      </c>
      <c r="L2154">
        <v>285.36430000000001</v>
      </c>
      <c r="M2154">
        <v>-0.99990270000000003</v>
      </c>
      <c r="N2154">
        <v>-1.3925669999999999E-2</v>
      </c>
      <c r="O2154">
        <v>-9.1544529999999997E-4</v>
      </c>
      <c r="P2154">
        <v>-0.97737969999999996</v>
      </c>
      <c r="Q2154">
        <v>0.17577509999999999</v>
      </c>
      <c r="R2154">
        <v>-0.11761050000000001</v>
      </c>
      <c r="S2154">
        <v>-3.1025390000000002</v>
      </c>
      <c r="T2154">
        <v>-0.2265557</v>
      </c>
      <c r="U2154">
        <v>-7.1838379999999993E-2</v>
      </c>
      <c r="V2154">
        <v>-0.1167576</v>
      </c>
      <c r="W2154">
        <v>0.1893444</v>
      </c>
      <c r="X2154">
        <v>0.97494429999999999</v>
      </c>
      <c r="Y2154">
        <v>-2.2164530000000002E-2</v>
      </c>
      <c r="Z2154">
        <v>-9.0865659999999997E-4</v>
      </c>
      <c r="AA2154">
        <v>0.99975400000000003</v>
      </c>
      <c r="AB2154">
        <v>26</v>
      </c>
      <c r="AC2154">
        <v>-14.9551999999999</v>
      </c>
      <c r="AD2154">
        <v>-1.1107893033779901</v>
      </c>
      <c r="AE2154">
        <v>-0.35189999999999999</v>
      </c>
      <c r="AF2154">
        <v>-0.33635332676381002</v>
      </c>
      <c r="AG2154">
        <v>-1.1107893033779901</v>
      </c>
      <c r="AH2154">
        <v>14.8735087115969</v>
      </c>
      <c r="AI2154">
        <v>94.269969794880694</v>
      </c>
      <c r="AJ2154">
        <v>91.2954805910923</v>
      </c>
      <c r="AK2154">
        <v>14.918721387266199</v>
      </c>
      <c r="AL2154">
        <v>79.085473536414099</v>
      </c>
      <c r="AM2154">
        <v>96.829117049284903</v>
      </c>
      <c r="AN2154">
        <v>1.0000000135358</v>
      </c>
    </row>
    <row r="2155" spans="1:40" x14ac:dyDescent="0.25">
      <c r="A2155" t="str">
        <f>"20190304155059176"</f>
        <v>20190304155059176</v>
      </c>
      <c r="B2155" t="str">
        <f>"1551685859169202"</f>
        <v>1551685859169202</v>
      </c>
      <c r="C2155" t="s">
        <v>40</v>
      </c>
      <c r="D2155">
        <v>4.9723560000000004</v>
      </c>
      <c r="E2155">
        <v>0.52954599999999996</v>
      </c>
      <c r="F2155" t="s">
        <v>70</v>
      </c>
      <c r="G2155">
        <v>-347.82690000000002</v>
      </c>
      <c r="H2155" s="1">
        <v>2.6282999999999999E-6</v>
      </c>
      <c r="I2155">
        <v>284.88420000000002</v>
      </c>
      <c r="J2155">
        <v>-331.38119999999998</v>
      </c>
      <c r="K2155">
        <v>1.110789</v>
      </c>
      <c r="L2155">
        <v>285.3639</v>
      </c>
      <c r="M2155">
        <v>-0.99990270000000003</v>
      </c>
      <c r="N2155">
        <v>-1.391911E-2</v>
      </c>
      <c r="O2155">
        <v>-1.0524620000000001E-3</v>
      </c>
      <c r="P2155">
        <v>-0.97759479999999999</v>
      </c>
      <c r="Q2155">
        <v>0.17467289999999999</v>
      </c>
      <c r="R2155">
        <v>-0.1174646</v>
      </c>
      <c r="S2155">
        <v>-3.0957340000000002</v>
      </c>
      <c r="T2155">
        <v>-0.2058363</v>
      </c>
      <c r="U2155">
        <v>-8.8958739999999994E-2</v>
      </c>
      <c r="V2155">
        <v>-0.11647349999999999</v>
      </c>
      <c r="W2155">
        <v>0.18824160000000001</v>
      </c>
      <c r="X2155">
        <v>0.97519180000000005</v>
      </c>
      <c r="Y2155">
        <v>-2.759969E-2</v>
      </c>
      <c r="Z2155">
        <v>-1.05349E-3</v>
      </c>
      <c r="AA2155">
        <v>0.99961849999999997</v>
      </c>
      <c r="AB2155">
        <v>26</v>
      </c>
      <c r="AC2155">
        <v>-16.445699999999999</v>
      </c>
      <c r="AD2155">
        <v>-1.1107863716999999</v>
      </c>
      <c r="AE2155">
        <v>-0.47969999999997898</v>
      </c>
      <c r="AF2155">
        <v>-0.460291515236252</v>
      </c>
      <c r="AG2155">
        <v>-1.1107863716999999</v>
      </c>
      <c r="AH2155">
        <v>16.371571999130701</v>
      </c>
      <c r="AI2155">
        <v>93.879954648403796</v>
      </c>
      <c r="AJ2155">
        <v>91.610463277971803</v>
      </c>
      <c r="AK2155">
        <v>16.4156658215643</v>
      </c>
      <c r="AL2155">
        <v>79.149816386225794</v>
      </c>
      <c r="AM2155">
        <v>96.810943708676106</v>
      </c>
      <c r="AN2155">
        <v>1.00000001148002</v>
      </c>
    </row>
    <row r="2156" spans="1:40" x14ac:dyDescent="0.25">
      <c r="A2156" t="str">
        <f>"20190304155059199"</f>
        <v>20190304155059199</v>
      </c>
      <c r="B2156" t="str">
        <f>"1551685859188722"</f>
        <v>1551685859188722</v>
      </c>
      <c r="C2156" t="s">
        <v>40</v>
      </c>
      <c r="D2156">
        <v>4.8891220000000004</v>
      </c>
      <c r="E2156">
        <v>0.52855269999999899</v>
      </c>
      <c r="F2156" t="s">
        <v>70</v>
      </c>
      <c r="G2156">
        <v>-350.03019999999998</v>
      </c>
      <c r="H2156" s="1">
        <v>-1.5207520000000001E-6</v>
      </c>
      <c r="I2156">
        <v>284.71730000000002</v>
      </c>
      <c r="J2156">
        <v>-331.64859999999999</v>
      </c>
      <c r="K2156">
        <v>1.1107940000000001</v>
      </c>
      <c r="L2156">
        <v>285.36340000000001</v>
      </c>
      <c r="M2156">
        <v>-0.99990270000000003</v>
      </c>
      <c r="N2156">
        <v>-1.391268E-2</v>
      </c>
      <c r="O2156">
        <v>-1.17859E-3</v>
      </c>
      <c r="P2156">
        <v>-0.97740009999999999</v>
      </c>
      <c r="Q2156">
        <v>0.1756539</v>
      </c>
      <c r="R2156">
        <v>-0.1176229</v>
      </c>
      <c r="S2156">
        <v>-3.0887760000000002</v>
      </c>
      <c r="T2156">
        <v>-0.183977</v>
      </c>
      <c r="U2156">
        <v>-0.10708620000000001</v>
      </c>
      <c r="V2156">
        <v>-0.1165038</v>
      </c>
      <c r="W2156">
        <v>0.18921650000000001</v>
      </c>
      <c r="X2156">
        <v>0.97499950000000002</v>
      </c>
      <c r="Y2156">
        <v>-3.3398869999999997E-2</v>
      </c>
      <c r="Z2156">
        <v>-1.1724249999999999E-3</v>
      </c>
      <c r="AA2156">
        <v>0.99944140000000004</v>
      </c>
      <c r="AB2156">
        <v>26</v>
      </c>
      <c r="AC2156">
        <v>-18.381599999999899</v>
      </c>
      <c r="AD2156">
        <v>-1.1107955207519999</v>
      </c>
      <c r="AE2156">
        <v>-0.64609999999998902</v>
      </c>
      <c r="AF2156">
        <v>-0.62216390158986501</v>
      </c>
      <c r="AG2156">
        <v>-1.1107955207519999</v>
      </c>
      <c r="AH2156">
        <v>18.315547433053801</v>
      </c>
      <c r="AI2156">
        <v>93.468609575757</v>
      </c>
      <c r="AJ2156">
        <v>91.945541847709805</v>
      </c>
      <c r="AK2156">
        <v>18.359744888799799</v>
      </c>
      <c r="AL2156">
        <v>79.092936670400206</v>
      </c>
      <c r="AM2156">
        <v>96.814029932552799</v>
      </c>
      <c r="AN2156">
        <v>1.00000002214346</v>
      </c>
    </row>
    <row r="2157" spans="1:40" x14ac:dyDescent="0.25">
      <c r="A2157" t="str">
        <f>"20190304155059219"</f>
        <v>20190304155059219</v>
      </c>
      <c r="B2157" t="str">
        <f>"1551685859209218"</f>
        <v>1551685859209218</v>
      </c>
      <c r="C2157" t="s">
        <v>40</v>
      </c>
      <c r="D2157">
        <v>5.0062480000000003</v>
      </c>
      <c r="E2157">
        <v>0.52707389999999998</v>
      </c>
      <c r="F2157" t="s">
        <v>70</v>
      </c>
      <c r="G2157">
        <v>-353.72680000000003</v>
      </c>
      <c r="H2157" s="1">
        <v>4.4642720000000002E-7</v>
      </c>
      <c r="I2157">
        <v>284.53370000000001</v>
      </c>
      <c r="J2157">
        <v>-331.8929</v>
      </c>
      <c r="K2157">
        <v>1.1108</v>
      </c>
      <c r="L2157">
        <v>285.363</v>
      </c>
      <c r="M2157">
        <v>-0.99990259999999997</v>
      </c>
      <c r="N2157">
        <v>-1.3907060000000001E-2</v>
      </c>
      <c r="O2157">
        <v>-1.276924E-3</v>
      </c>
      <c r="P2157">
        <v>-0.97696700000000003</v>
      </c>
      <c r="Q2157">
        <v>0.17827499999999999</v>
      </c>
      <c r="R2157">
        <v>-0.1172784</v>
      </c>
      <c r="S2157">
        <v>-3.0832820000000001</v>
      </c>
      <c r="T2157">
        <v>-0.1551256</v>
      </c>
      <c r="U2157">
        <v>-0.1158752</v>
      </c>
      <c r="V2157">
        <v>-0.11605799999999999</v>
      </c>
      <c r="W2157">
        <v>0.19182949999999999</v>
      </c>
      <c r="X2157">
        <v>0.97454200000000002</v>
      </c>
      <c r="Y2157">
        <v>-3.6221499999999997E-2</v>
      </c>
      <c r="Z2157">
        <v>-1.116024E-3</v>
      </c>
      <c r="AA2157">
        <v>0.99934319999999999</v>
      </c>
      <c r="AB2157">
        <v>26</v>
      </c>
      <c r="AC2157">
        <v>-21.8339</v>
      </c>
      <c r="AD2157">
        <v>-1.1107995535727999</v>
      </c>
      <c r="AE2157">
        <v>-0.82929999999998905</v>
      </c>
      <c r="AF2157">
        <v>-0.79935044933852395</v>
      </c>
      <c r="AG2157">
        <v>-1.1107995535727999</v>
      </c>
      <c r="AH2157">
        <v>21.7786535256581</v>
      </c>
      <c r="AI2157">
        <v>92.917825454780001</v>
      </c>
      <c r="AJ2157">
        <v>92.102005874564696</v>
      </c>
      <c r="AK2157">
        <v>21.8216082399932</v>
      </c>
      <c r="AL2157">
        <v>78.940429691858</v>
      </c>
      <c r="AM2157">
        <v>96.791356892059099</v>
      </c>
      <c r="AN2157">
        <v>1.0000000630991199</v>
      </c>
    </row>
    <row r="2158" spans="1:40" x14ac:dyDescent="0.25">
      <c r="A2158" t="str">
        <f>"20190304155059243"</f>
        <v>20190304155059243</v>
      </c>
      <c r="B2158" t="str">
        <f>"1551685859238499"</f>
        <v>1551685859238499</v>
      </c>
      <c r="C2158" t="s">
        <v>40</v>
      </c>
      <c r="D2158">
        <v>4.9924369999999998</v>
      </c>
      <c r="E2158">
        <v>0.52674100000000001</v>
      </c>
      <c r="F2158" t="s">
        <v>70</v>
      </c>
      <c r="G2158">
        <v>-355.80579999999998</v>
      </c>
      <c r="H2158" s="1">
        <v>1.5527650000000001E-6</v>
      </c>
      <c r="I2158">
        <v>284.3734</v>
      </c>
      <c r="J2158">
        <v>-332.14980000000003</v>
      </c>
      <c r="K2158">
        <v>1.1108039999999999</v>
      </c>
      <c r="L2158">
        <v>285.36250000000001</v>
      </c>
      <c r="M2158">
        <v>-0.99990259999999997</v>
      </c>
      <c r="N2158">
        <v>-1.390132E-2</v>
      </c>
      <c r="O2158">
        <v>-1.3591219999999999E-3</v>
      </c>
      <c r="P2158">
        <v>-0.97628360000000003</v>
      </c>
      <c r="Q2158">
        <v>0.18221190000000001</v>
      </c>
      <c r="R2158">
        <v>-0.1169173</v>
      </c>
      <c r="S2158">
        <v>-3.0815429999999999</v>
      </c>
      <c r="T2158">
        <v>-0.14314370000000001</v>
      </c>
      <c r="U2158">
        <v>-0.12753299999999901</v>
      </c>
      <c r="V2158">
        <v>-0.11561150000000001</v>
      </c>
      <c r="W2158">
        <v>0.19575519999999999</v>
      </c>
      <c r="X2158">
        <v>0.97381410000000002</v>
      </c>
      <c r="Y2158">
        <v>-3.9937380000000001E-2</v>
      </c>
      <c r="Z2158">
        <v>-1.1604129999999999E-3</v>
      </c>
      <c r="AA2158">
        <v>0.99920149999999996</v>
      </c>
      <c r="AB2158">
        <v>26</v>
      </c>
      <c r="AC2158">
        <v>-23.655999999999899</v>
      </c>
      <c r="AD2158">
        <v>-1.110802447235</v>
      </c>
      <c r="AE2158">
        <v>-0.98910000000000697</v>
      </c>
      <c r="AF2158">
        <v>-0.95484292478437405</v>
      </c>
      <c r="AG2158">
        <v>-1.110802447235</v>
      </c>
      <c r="AH2158">
        <v>23.605365689946701</v>
      </c>
      <c r="AI2158">
        <v>92.691993345906695</v>
      </c>
      <c r="AJ2158">
        <v>92.316365747213197</v>
      </c>
      <c r="AK2158">
        <v>23.6507694683261</v>
      </c>
      <c r="AL2158">
        <v>78.711156462704295</v>
      </c>
      <c r="AM2158">
        <v>96.770481816737004</v>
      </c>
      <c r="AN2158">
        <v>1.00000000930905</v>
      </c>
    </row>
    <row r="2159" spans="1:40" x14ac:dyDescent="0.25">
      <c r="A2159" t="str">
        <f>"20190304155059265"</f>
        <v>20190304155059265</v>
      </c>
      <c r="B2159" t="str">
        <f>"1551685859258998"</f>
        <v>1551685859258998</v>
      </c>
      <c r="C2159" t="s">
        <v>40</v>
      </c>
      <c r="D2159">
        <v>4.8591569999999997</v>
      </c>
      <c r="E2159">
        <v>0.52657200000000004</v>
      </c>
      <c r="F2159" t="s">
        <v>70</v>
      </c>
      <c r="G2159">
        <v>-362.28960000000001</v>
      </c>
      <c r="H2159" s="1">
        <v>-3.1838379999999999E-7</v>
      </c>
      <c r="I2159">
        <v>284.0924</v>
      </c>
      <c r="J2159">
        <v>-332.41039999999998</v>
      </c>
      <c r="K2159">
        <v>1.1108129999999901</v>
      </c>
      <c r="L2159">
        <v>285.3621</v>
      </c>
      <c r="M2159">
        <v>-0.99990239999999997</v>
      </c>
      <c r="N2159">
        <v>-1.3895660000000001E-2</v>
      </c>
      <c r="O2159">
        <v>-1.418873E-3</v>
      </c>
      <c r="P2159">
        <v>-0.97509800000000002</v>
      </c>
      <c r="Q2159">
        <v>0.18831239999999999</v>
      </c>
      <c r="R2159">
        <v>-0.1171415</v>
      </c>
      <c r="S2159">
        <v>-3.078522</v>
      </c>
      <c r="T2159">
        <v>-0.113459199999999</v>
      </c>
      <c r="U2159">
        <v>-0.12973019999999999</v>
      </c>
      <c r="V2159">
        <v>-0.11577170000000001</v>
      </c>
      <c r="W2159">
        <v>0.2018383</v>
      </c>
      <c r="X2159">
        <v>0.97255239999999998</v>
      </c>
      <c r="Y2159">
        <v>-4.064769E-2</v>
      </c>
      <c r="Z2159">
        <v>-9.9858830000000001E-4</v>
      </c>
      <c r="AA2159">
        <v>0.99917299999999998</v>
      </c>
      <c r="AB2159">
        <v>26</v>
      </c>
      <c r="AC2159">
        <v>-29.879200000000001</v>
      </c>
      <c r="AD2159">
        <v>-1.11081331838379</v>
      </c>
      <c r="AE2159">
        <v>-1.2697000000000001</v>
      </c>
      <c r="AF2159">
        <v>-1.2256089567339501</v>
      </c>
      <c r="AG2159">
        <v>-1.11081331838379</v>
      </c>
      <c r="AH2159">
        <v>29.839803929648301</v>
      </c>
      <c r="AI2159">
        <v>92.130107771453396</v>
      </c>
      <c r="AJ2159">
        <v>92.351985040958994</v>
      </c>
      <c r="AK2159">
        <v>29.885613965635301</v>
      </c>
      <c r="AL2159">
        <v>78.355521307912795</v>
      </c>
      <c r="AM2159">
        <v>96.788489664682999</v>
      </c>
      <c r="AN2159">
        <v>0.99999997830676901</v>
      </c>
    </row>
    <row r="2160" spans="1:40" x14ac:dyDescent="0.25">
      <c r="A2160" t="str">
        <f>"20190304155059288"</f>
        <v>20190304155059288</v>
      </c>
      <c r="B2160" t="str">
        <f>"1551685859278515"</f>
        <v>1551685859278515</v>
      </c>
      <c r="C2160" t="s">
        <v>40</v>
      </c>
      <c r="D2160">
        <v>4.9845980000000001</v>
      </c>
      <c r="E2160">
        <v>0.52632309999999904</v>
      </c>
      <c r="F2160" t="s">
        <v>70</v>
      </c>
      <c r="G2160">
        <v>-376.48430000000002</v>
      </c>
      <c r="H2160" s="1">
        <v>1.913824E-6</v>
      </c>
      <c r="I2160">
        <v>283.46589999999998</v>
      </c>
      <c r="J2160">
        <v>-332.67090000000002</v>
      </c>
      <c r="K2160">
        <v>1.1108129999999901</v>
      </c>
      <c r="L2160">
        <v>285.36169999999998</v>
      </c>
      <c r="M2160">
        <v>-0.99990250000000003</v>
      </c>
      <c r="N2160">
        <v>-1.389028E-2</v>
      </c>
      <c r="O2160">
        <v>-1.4542960000000001E-3</v>
      </c>
      <c r="P2160">
        <v>-0.97383900000000001</v>
      </c>
      <c r="Q2160">
        <v>0.1948732</v>
      </c>
      <c r="R2160">
        <v>-0.11688510000000001</v>
      </c>
      <c r="S2160">
        <v>-3.075653</v>
      </c>
      <c r="T2160">
        <v>-7.7516909999999994E-2</v>
      </c>
      <c r="U2160">
        <v>-0.1323242</v>
      </c>
      <c r="V2160">
        <v>-0.11547350000000001</v>
      </c>
      <c r="W2160">
        <v>0.2083805</v>
      </c>
      <c r="X2160">
        <v>0.97120720000000005</v>
      </c>
      <c r="Y2160">
        <v>-4.1509900000000002E-2</v>
      </c>
      <c r="Z2160">
        <v>-7.948416E-4</v>
      </c>
      <c r="AA2160">
        <v>0.99913779999999996</v>
      </c>
      <c r="AB2160">
        <v>26</v>
      </c>
      <c r="AC2160">
        <v>-43.813400000000001</v>
      </c>
      <c r="AD2160">
        <v>-1.1108110861760001</v>
      </c>
      <c r="AE2160">
        <v>-1.8957999999999999</v>
      </c>
      <c r="AF2160">
        <v>-1.83089951929071</v>
      </c>
      <c r="AG2160">
        <v>-1.1108110861760001</v>
      </c>
      <c r="AH2160">
        <v>43.788017248320003</v>
      </c>
      <c r="AI2160">
        <v>91.451895221519095</v>
      </c>
      <c r="AJ2160">
        <v>92.394302176462404</v>
      </c>
      <c r="AK2160">
        <v>43.840352973694003</v>
      </c>
      <c r="AL2160">
        <v>77.972537649081701</v>
      </c>
      <c r="AM2160">
        <v>96.780458060458699</v>
      </c>
      <c r="AN2160">
        <v>0.99999999365716996</v>
      </c>
    </row>
    <row r="2161" spans="1:40" x14ac:dyDescent="0.25">
      <c r="A2161" t="str">
        <f>"20190304155059310"</f>
        <v>20190304155059310</v>
      </c>
      <c r="B2161" t="str">
        <f>"1551685859299011"</f>
        <v>1551685859299011</v>
      </c>
      <c r="C2161" t="s">
        <v>40</v>
      </c>
      <c r="D2161">
        <v>4.9718169999999997</v>
      </c>
      <c r="E2161">
        <v>0.52603549999999999</v>
      </c>
      <c r="F2161" t="s">
        <v>72</v>
      </c>
      <c r="G2161">
        <v>-409.0967</v>
      </c>
      <c r="H2161" s="1">
        <v>4.9043620000000002E-6</v>
      </c>
      <c r="I2161">
        <v>282.02190000000002</v>
      </c>
      <c r="J2161">
        <v>-332.91789999999997</v>
      </c>
      <c r="K2161">
        <v>1.110816</v>
      </c>
      <c r="L2161">
        <v>285.36130000000003</v>
      </c>
      <c r="M2161">
        <v>-0.99990250000000003</v>
      </c>
      <c r="N2161">
        <v>-1.3885450000000001E-2</v>
      </c>
      <c r="O2161">
        <v>-1.468198E-3</v>
      </c>
      <c r="P2161">
        <v>-0.97293059999999998</v>
      </c>
      <c r="Q2161">
        <v>0.19959279999999999</v>
      </c>
      <c r="R2161">
        <v>-0.1164866</v>
      </c>
      <c r="S2161">
        <v>-3.0733640000000002</v>
      </c>
      <c r="T2161">
        <v>-4.4669750000000001E-2</v>
      </c>
      <c r="U2161">
        <v>-0.13430790000000001</v>
      </c>
      <c r="V2161">
        <v>-0.1150557</v>
      </c>
      <c r="W2161">
        <v>0.213087</v>
      </c>
      <c r="X2161">
        <v>0.97023499999999996</v>
      </c>
      <c r="Y2161">
        <v>-4.2183249999999999E-2</v>
      </c>
      <c r="Z2161">
        <v>-5.9849410000000001E-4</v>
      </c>
      <c r="AA2161">
        <v>0.99910969999999999</v>
      </c>
      <c r="AB2161">
        <v>26</v>
      </c>
      <c r="AC2161">
        <v>-76.178799999999995</v>
      </c>
      <c r="AD2161">
        <v>-1.110811095638</v>
      </c>
      <c r="AE2161">
        <v>-3.3394000000000101</v>
      </c>
      <c r="AF2161">
        <v>-3.2268552620916799</v>
      </c>
      <c r="AG2161">
        <v>-1.110811095638</v>
      </c>
      <c r="AH2161">
        <v>76.167457287717198</v>
      </c>
      <c r="AI2161">
        <v>90.834782357712101</v>
      </c>
      <c r="AJ2161">
        <v>92.425900791475698</v>
      </c>
      <c r="AK2161">
        <v>76.243872185565806</v>
      </c>
      <c r="AL2161">
        <v>77.696679037752801</v>
      </c>
      <c r="AM2161">
        <v>96.762859718254603</v>
      </c>
      <c r="AN2161">
        <v>0.99999991944824096</v>
      </c>
    </row>
    <row r="2162" spans="1:40" x14ac:dyDescent="0.25">
      <c r="A2162" t="str">
        <f>"20190304155059332"</f>
        <v>20190304155059332</v>
      </c>
      <c r="B2162" t="str">
        <f>"1551685859328290"</f>
        <v>1551685859328290</v>
      </c>
      <c r="C2162" t="s">
        <v>40</v>
      </c>
      <c r="D2162">
        <v>5.3039639999999997</v>
      </c>
      <c r="E2162">
        <v>0.49080370000000001</v>
      </c>
      <c r="F2162" t="s">
        <v>70</v>
      </c>
      <c r="G2162">
        <v>-460.54320000000001</v>
      </c>
      <c r="H2162" s="1">
        <v>-1.0349790000000001E-6</v>
      </c>
      <c r="I2162">
        <v>279.74869999999999</v>
      </c>
      <c r="J2162">
        <v>-333.1703</v>
      </c>
      <c r="K2162">
        <v>1.110816</v>
      </c>
      <c r="L2162">
        <v>285.36090000000002</v>
      </c>
      <c r="M2162">
        <v>-0.99990270000000003</v>
      </c>
      <c r="N2162">
        <v>-1.3880750000000001E-2</v>
      </c>
      <c r="O2162">
        <v>-1.4692920000000001E-3</v>
      </c>
      <c r="P2162">
        <v>-0.97236750000000005</v>
      </c>
      <c r="Q2162">
        <v>0.20255989999999999</v>
      </c>
      <c r="R2162">
        <v>-0.11606610000000001</v>
      </c>
      <c r="S2162">
        <v>-3.072784</v>
      </c>
      <c r="T2162">
        <v>-2.674472E-2</v>
      </c>
      <c r="U2162">
        <v>-0.1351318</v>
      </c>
      <c r="V2162">
        <v>-0.1146288</v>
      </c>
      <c r="W2162">
        <v>0.2160444</v>
      </c>
      <c r="X2162">
        <v>0.96963140000000003</v>
      </c>
      <c r="Y2162">
        <v>-4.2462319999999998E-2</v>
      </c>
      <c r="Z2162">
        <v>-4.8717779999999999E-4</v>
      </c>
      <c r="AA2162">
        <v>0.99909789999999998</v>
      </c>
      <c r="AB2162">
        <v>26</v>
      </c>
      <c r="AC2162">
        <v>-127.3729</v>
      </c>
      <c r="AD2162">
        <v>-1.1108170349789901</v>
      </c>
      <c r="AE2162">
        <v>-5.6122000000000298</v>
      </c>
      <c r="AF2162">
        <v>-5.42461617594945</v>
      </c>
      <c r="AG2162">
        <v>-1.1108170349789901</v>
      </c>
      <c r="AH2162">
        <v>127.371340711274</v>
      </c>
      <c r="AI2162">
        <v>90.499216514471399</v>
      </c>
      <c r="AJ2162">
        <v>92.438695379515394</v>
      </c>
      <c r="AK2162">
        <v>127.491642117156</v>
      </c>
      <c r="AL2162">
        <v>77.523192815500494</v>
      </c>
      <c r="AM2162">
        <v>96.742153930653004</v>
      </c>
      <c r="AN2162">
        <v>0.99999999821338004</v>
      </c>
    </row>
    <row r="2163" spans="1:40" x14ac:dyDescent="0.25">
      <c r="A2163" t="str">
        <f>"20190304155059354"</f>
        <v>20190304155059354</v>
      </c>
      <c r="B2163" t="str">
        <f>"1551685859348787"</f>
        <v>1551685859348787</v>
      </c>
      <c r="C2163" t="s">
        <v>40</v>
      </c>
      <c r="D2163">
        <v>5.02034</v>
      </c>
      <c r="E2163">
        <v>0.48780770000000001</v>
      </c>
      <c r="F2163" t="s">
        <v>70</v>
      </c>
      <c r="G2163">
        <v>-375.72840000000002</v>
      </c>
      <c r="H2163">
        <v>4.7248169999999999E-2</v>
      </c>
      <c r="I2163">
        <v>279.61630000000002</v>
      </c>
      <c r="J2163">
        <v>-333.42520000000002</v>
      </c>
      <c r="K2163">
        <v>1.1108129999999901</v>
      </c>
      <c r="L2163">
        <v>285.3605</v>
      </c>
      <c r="M2163">
        <v>-0.99990259999999997</v>
      </c>
      <c r="N2163">
        <v>-1.3876289999999999E-2</v>
      </c>
      <c r="O2163">
        <v>-1.4618809999999999E-3</v>
      </c>
      <c r="P2163">
        <v>-0.97201470000000001</v>
      </c>
      <c r="Q2163">
        <v>0.20424110000000001</v>
      </c>
      <c r="R2163">
        <v>-0.1160727</v>
      </c>
      <c r="S2163">
        <v>-3.0519409999999998</v>
      </c>
      <c r="T2163">
        <v>-7.6270939999999995E-2</v>
      </c>
      <c r="U2163">
        <v>-0.41195680000000001</v>
      </c>
      <c r="V2163">
        <v>-0.11464009999999999</v>
      </c>
      <c r="W2163">
        <v>0.21771779999999999</v>
      </c>
      <c r="X2163">
        <v>0.96925570000000005</v>
      </c>
      <c r="Y2163">
        <v>-0.1322564</v>
      </c>
      <c r="Z2163">
        <v>-2.5507469999999999E-3</v>
      </c>
      <c r="AA2163">
        <v>0.99121219999999999</v>
      </c>
      <c r="AB2163">
        <v>26</v>
      </c>
      <c r="AC2163">
        <v>-42.303199999999997</v>
      </c>
      <c r="AD2163">
        <v>-1.06356482999999</v>
      </c>
      <c r="AE2163">
        <v>-5.74419999999997</v>
      </c>
      <c r="AF2163">
        <v>-5.6788210970096502</v>
      </c>
      <c r="AG2163">
        <v>-1.06356482999999</v>
      </c>
      <c r="AH2163">
        <v>42.285308547702201</v>
      </c>
      <c r="AI2163">
        <v>91.427991485258602</v>
      </c>
      <c r="AJ2163">
        <v>97.648927380316906</v>
      </c>
      <c r="AK2163">
        <v>42.678185272734197</v>
      </c>
      <c r="AL2163">
        <v>77.424976351974806</v>
      </c>
      <c r="AM2163">
        <v>96.745401996493996</v>
      </c>
      <c r="AN2163">
        <v>1.0000000024736699</v>
      </c>
    </row>
    <row r="2164" spans="1:40" x14ac:dyDescent="0.25">
      <c r="A2164" t="str">
        <f>"20190304155059377"</f>
        <v>20190304155059377</v>
      </c>
      <c r="B2164" t="str">
        <f>"1551685859368307"</f>
        <v>1551685859368307</v>
      </c>
      <c r="C2164" t="s">
        <v>40</v>
      </c>
      <c r="D2164">
        <v>5.2991089999999996</v>
      </c>
      <c r="E2164">
        <v>0.48930220000000002</v>
      </c>
      <c r="F2164" t="s">
        <v>70</v>
      </c>
      <c r="G2164">
        <v>-386.12</v>
      </c>
      <c r="H2164">
        <v>8.0001130000000004E-2</v>
      </c>
      <c r="I2164">
        <v>277.82530000000003</v>
      </c>
      <c r="J2164">
        <v>-333.68619999999999</v>
      </c>
      <c r="K2164">
        <v>1.110798</v>
      </c>
      <c r="L2164">
        <v>285.36020000000002</v>
      </c>
      <c r="M2164">
        <v>-0.99990279999999998</v>
      </c>
      <c r="N2164">
        <v>-1.387205E-2</v>
      </c>
      <c r="O2164">
        <v>-1.4500069999999999E-3</v>
      </c>
      <c r="P2164">
        <v>-0.97199979999999997</v>
      </c>
      <c r="Q2164">
        <v>0.2041703</v>
      </c>
      <c r="R2164">
        <v>-0.11632389999999999</v>
      </c>
      <c r="S2164">
        <v>-3.046875</v>
      </c>
      <c r="T2164">
        <v>-5.9602740000000001E-2</v>
      </c>
      <c r="U2164">
        <v>-0.43569950000000002</v>
      </c>
      <c r="V2164">
        <v>-0.1149009</v>
      </c>
      <c r="W2164">
        <v>0.21764330000000001</v>
      </c>
      <c r="X2164">
        <v>0.96924160000000004</v>
      </c>
      <c r="Y2164">
        <v>-0.14007790000000001</v>
      </c>
      <c r="Z2164">
        <v>-2.331535E-3</v>
      </c>
      <c r="AA2164">
        <v>0.99013779999999996</v>
      </c>
      <c r="AB2164">
        <v>25</v>
      </c>
      <c r="AC2164">
        <v>-52.433799999999998</v>
      </c>
      <c r="AD2164">
        <v>-1.0307968700000001</v>
      </c>
      <c r="AE2164">
        <v>-7.5348999999999897</v>
      </c>
      <c r="AF2164">
        <v>-7.4560321078736198</v>
      </c>
      <c r="AG2164">
        <v>-1.0307968700000001</v>
      </c>
      <c r="AH2164">
        <v>52.424820530843697</v>
      </c>
      <c r="AI2164">
        <v>91.115206816368698</v>
      </c>
      <c r="AJ2164">
        <v>98.094510220655707</v>
      </c>
      <c r="AK2164">
        <v>52.962408977236102</v>
      </c>
      <c r="AL2164">
        <v>77.429350381747895</v>
      </c>
      <c r="AM2164">
        <v>96.760702979832899</v>
      </c>
      <c r="AN2164">
        <v>1.00000005101312</v>
      </c>
    </row>
    <row r="2165" spans="1:40" x14ac:dyDescent="0.25">
      <c r="A2165" t="str">
        <f>"20190304155059399"</f>
        <v>20190304155059399</v>
      </c>
      <c r="B2165" t="str">
        <f>"1551685859388803"</f>
        <v>1551685859388803</v>
      </c>
      <c r="C2165" t="s">
        <v>40</v>
      </c>
      <c r="D2165">
        <v>5.0263450000000001</v>
      </c>
      <c r="E2165">
        <v>0.489732</v>
      </c>
      <c r="F2165" t="s">
        <v>70</v>
      </c>
      <c r="G2165">
        <v>-383.54680000000002</v>
      </c>
      <c r="H2165">
        <v>8.0000420000000003E-2</v>
      </c>
      <c r="I2165">
        <v>278.43169999999998</v>
      </c>
      <c r="J2165">
        <v>-333.94099999999997</v>
      </c>
      <c r="K2165">
        <v>1.1107929999999999</v>
      </c>
      <c r="L2165">
        <v>285.35980000000001</v>
      </c>
      <c r="M2165">
        <v>-0.99990290000000004</v>
      </c>
      <c r="N2165">
        <v>-1.3868149999999999E-2</v>
      </c>
      <c r="O2165">
        <v>-1.4380580000000001E-3</v>
      </c>
      <c r="P2165">
        <v>-0.9720299</v>
      </c>
      <c r="Q2165">
        <v>0.20306650000000001</v>
      </c>
      <c r="R2165">
        <v>-0.11799370000000001</v>
      </c>
      <c r="S2165">
        <v>-3.0489809999999999</v>
      </c>
      <c r="T2165">
        <v>-6.3033459999999999E-2</v>
      </c>
      <c r="U2165">
        <v>-0.42367549999999998</v>
      </c>
      <c r="V2165">
        <v>-0.1165828</v>
      </c>
      <c r="W2165">
        <v>0.21653649999999999</v>
      </c>
      <c r="X2165">
        <v>0.96928859999999994</v>
      </c>
      <c r="Y2165">
        <v>-0.13616139999999999</v>
      </c>
      <c r="Z2165">
        <v>-2.3397410000000002E-3</v>
      </c>
      <c r="AA2165">
        <v>0.99068389999999995</v>
      </c>
      <c r="AB2165">
        <v>25</v>
      </c>
      <c r="AC2165">
        <v>-49.605800000000002</v>
      </c>
      <c r="AD2165">
        <v>-1.03079258</v>
      </c>
      <c r="AE2165">
        <v>-6.9281000000000201</v>
      </c>
      <c r="AF2165">
        <v>-6.8538471286351603</v>
      </c>
      <c r="AG2165">
        <v>-1.03079258</v>
      </c>
      <c r="AH2165">
        <v>49.594707634941599</v>
      </c>
      <c r="AI2165">
        <v>91.179476133332699</v>
      </c>
      <c r="AJ2165">
        <v>97.868275257217903</v>
      </c>
      <c r="AK2165">
        <v>50.076669010638298</v>
      </c>
      <c r="AL2165">
        <v>77.494313964834802</v>
      </c>
      <c r="AM2165">
        <v>96.858399599572806</v>
      </c>
      <c r="AN2165">
        <v>0.99999999758902403</v>
      </c>
    </row>
    <row r="2166" spans="1:40" x14ac:dyDescent="0.25">
      <c r="A2166" t="str">
        <f>"20190304155059421"</f>
        <v>20190304155059421</v>
      </c>
      <c r="B2166" t="str">
        <f>"1551685859419059"</f>
        <v>1551685859419059</v>
      </c>
      <c r="C2166" t="s">
        <v>40</v>
      </c>
      <c r="D2166">
        <v>5.0996540000000001</v>
      </c>
      <c r="E2166">
        <v>0.4876395</v>
      </c>
      <c r="F2166" t="s">
        <v>70</v>
      </c>
      <c r="G2166">
        <v>-381.6044</v>
      </c>
      <c r="H2166">
        <v>8.0000989999999994E-2</v>
      </c>
      <c r="I2166">
        <v>278.71910000000003</v>
      </c>
      <c r="J2166">
        <v>-334.18799999999999</v>
      </c>
      <c r="K2166">
        <v>1.110787</v>
      </c>
      <c r="L2166">
        <v>285.35939999999999</v>
      </c>
      <c r="M2166">
        <v>-0.99990279999999998</v>
      </c>
      <c r="N2166">
        <v>-1.386454E-2</v>
      </c>
      <c r="O2166">
        <v>-1.428749E-3</v>
      </c>
      <c r="P2166">
        <v>-0.97220399999999996</v>
      </c>
      <c r="Q2166">
        <v>0.20131070000000001</v>
      </c>
      <c r="R2166">
        <v>-0.1195555</v>
      </c>
      <c r="S2166">
        <v>-3.0485530000000001</v>
      </c>
      <c r="T2166">
        <v>-6.592953E-2</v>
      </c>
      <c r="U2166">
        <v>-0.4247437</v>
      </c>
      <c r="V2166">
        <v>-0.11815349999999999</v>
      </c>
      <c r="W2166">
        <v>0.21477969999999999</v>
      </c>
      <c r="X2166">
        <v>0.9694893</v>
      </c>
      <c r="Y2166">
        <v>-0.13652629999999999</v>
      </c>
      <c r="Z2166">
        <v>-2.4092079999999999E-3</v>
      </c>
      <c r="AA2166">
        <v>0.99063349999999994</v>
      </c>
      <c r="AB2166">
        <v>25</v>
      </c>
      <c r="AC2166">
        <v>-47.416399999999904</v>
      </c>
      <c r="AD2166">
        <v>-1.0307860099999999</v>
      </c>
      <c r="AE2166">
        <v>-6.6402999999999599</v>
      </c>
      <c r="AF2166">
        <v>-6.5694956426510904</v>
      </c>
      <c r="AG2166">
        <v>-1.0307860099999999</v>
      </c>
      <c r="AH2166">
        <v>47.403868375476897</v>
      </c>
      <c r="AI2166">
        <v>91.233897931615004</v>
      </c>
      <c r="AJ2166">
        <v>97.890116181753697</v>
      </c>
      <c r="AK2166">
        <v>47.8680219954487</v>
      </c>
      <c r="AL2166">
        <v>77.5973973395689</v>
      </c>
      <c r="AM2166">
        <v>96.948479174690505</v>
      </c>
      <c r="AN2166">
        <v>1.0000000359544099</v>
      </c>
    </row>
    <row r="2167" spans="1:40" x14ac:dyDescent="0.25">
      <c r="A2167" t="str">
        <f>"20190304155059443"</f>
        <v>20190304155059443</v>
      </c>
      <c r="B2167" t="str">
        <f>"1551685859438579"</f>
        <v>1551685859438579</v>
      </c>
      <c r="C2167" t="s">
        <v>40</v>
      </c>
      <c r="D2167">
        <v>5.1168950000000004</v>
      </c>
      <c r="E2167">
        <v>0.48782189999999997</v>
      </c>
      <c r="F2167" t="s">
        <v>70</v>
      </c>
      <c r="G2167">
        <v>-379.50380000000001</v>
      </c>
      <c r="H2167">
        <v>8.0000139999999997E-2</v>
      </c>
      <c r="I2167">
        <v>278.72750000000002</v>
      </c>
      <c r="J2167">
        <v>-334.43650000000002</v>
      </c>
      <c r="K2167">
        <v>1.1107830000000001</v>
      </c>
      <c r="L2167">
        <v>285.35910000000001</v>
      </c>
      <c r="M2167">
        <v>-0.99990299999999999</v>
      </c>
      <c r="N2167">
        <v>-1.386104E-2</v>
      </c>
      <c r="O2167">
        <v>-1.42267E-3</v>
      </c>
      <c r="P2167">
        <v>-0.97241770000000005</v>
      </c>
      <c r="Q2167">
        <v>0.1995866</v>
      </c>
      <c r="R2167">
        <v>-0.1207032</v>
      </c>
      <c r="S2167">
        <v>-3.0453190000000001</v>
      </c>
      <c r="T2167">
        <v>-6.927121E-2</v>
      </c>
      <c r="U2167">
        <v>-0.44567869999999998</v>
      </c>
      <c r="V2167">
        <v>-0.1193081</v>
      </c>
      <c r="W2167">
        <v>0.2130553</v>
      </c>
      <c r="X2167">
        <v>0.96972840000000005</v>
      </c>
      <c r="Y2167">
        <v>-0.14333959999999901</v>
      </c>
      <c r="Z2167">
        <v>-2.6077779999999998E-3</v>
      </c>
      <c r="AA2167">
        <v>0.98967020000000006</v>
      </c>
      <c r="AB2167">
        <v>25</v>
      </c>
      <c r="AC2167">
        <v>-45.067299999999904</v>
      </c>
      <c r="AD2167">
        <v>-1.03078286</v>
      </c>
      <c r="AE2167">
        <v>-6.6315999999999899</v>
      </c>
      <c r="AF2167">
        <v>-6.5641101183410298</v>
      </c>
      <c r="AG2167">
        <v>-1.03078286</v>
      </c>
      <c r="AH2167">
        <v>45.053620394426098</v>
      </c>
      <c r="AI2167">
        <v>91.296954549799295</v>
      </c>
      <c r="AJ2167">
        <v>98.289412464379197</v>
      </c>
      <c r="AK2167">
        <v>45.540957012289702</v>
      </c>
      <c r="AL2167">
        <v>77.698539966496895</v>
      </c>
      <c r="AM2167">
        <v>97.0139939108807</v>
      </c>
      <c r="AN2167">
        <v>1.00000007667512</v>
      </c>
    </row>
    <row r="2168" spans="1:40" x14ac:dyDescent="0.25">
      <c r="A2168" t="str">
        <f>"20190304155059466"</f>
        <v>20190304155059466</v>
      </c>
      <c r="B2168" t="str">
        <f>"1551685859459078"</f>
        <v>1551685859459078</v>
      </c>
      <c r="C2168" t="s">
        <v>40</v>
      </c>
      <c r="D2168">
        <v>5.1200330000000003</v>
      </c>
      <c r="E2168">
        <v>0.48760510000000001</v>
      </c>
      <c r="F2168" t="s">
        <v>70</v>
      </c>
      <c r="G2168">
        <v>-378.87360000000001</v>
      </c>
      <c r="H2168">
        <v>8.000032E-2</v>
      </c>
      <c r="I2168">
        <v>278.80990000000003</v>
      </c>
      <c r="J2168">
        <v>-334.69400000000002</v>
      </c>
      <c r="K2168">
        <v>1.1107819999999999</v>
      </c>
      <c r="L2168">
        <v>285.3587</v>
      </c>
      <c r="M2168">
        <v>-0.99990299999999999</v>
      </c>
      <c r="N2168">
        <v>-1.385755E-2</v>
      </c>
      <c r="O2168">
        <v>-1.4198079999999901E-3</v>
      </c>
      <c r="P2168">
        <v>-0.97254240000000003</v>
      </c>
      <c r="Q2168">
        <v>0.19845370000000001</v>
      </c>
      <c r="R2168">
        <v>-0.121563</v>
      </c>
      <c r="S2168">
        <v>-3.0438839999999998</v>
      </c>
      <c r="T2168">
        <v>-7.060719E-2</v>
      </c>
      <c r="U2168">
        <v>-0.44860840000000002</v>
      </c>
      <c r="V2168">
        <v>-0.12017120000000001</v>
      </c>
      <c r="W2168">
        <v>0.21192030000000001</v>
      </c>
      <c r="X2168">
        <v>0.96987040000000002</v>
      </c>
      <c r="Y2168">
        <v>-0.1443392</v>
      </c>
      <c r="Z2168">
        <v>-2.6574060000000002E-3</v>
      </c>
      <c r="AA2168">
        <v>0.98952470000000003</v>
      </c>
      <c r="AB2168">
        <v>25</v>
      </c>
      <c r="AC2168">
        <v>-44.179599999999901</v>
      </c>
      <c r="AD2168">
        <v>-1.03078168</v>
      </c>
      <c r="AE2168">
        <v>-6.5487999999999698</v>
      </c>
      <c r="AF2168">
        <v>-6.4826077966697699</v>
      </c>
      <c r="AG2168">
        <v>-1.03078168</v>
      </c>
      <c r="AH2168">
        <v>44.165329260393897</v>
      </c>
      <c r="AI2168">
        <v>91.322823891103099</v>
      </c>
      <c r="AJ2168">
        <v>98.350274634780405</v>
      </c>
      <c r="AK2168">
        <v>44.650453787125997</v>
      </c>
      <c r="AL2168">
        <v>77.765089013594505</v>
      </c>
      <c r="AM2168">
        <v>97.063199942584106</v>
      </c>
      <c r="AN2168">
        <v>0.99999996182884399</v>
      </c>
    </row>
    <row r="2169" spans="1:40" x14ac:dyDescent="0.25">
      <c r="A2169" t="str">
        <f>"20190304155059489"</f>
        <v>20190304155059489</v>
      </c>
      <c r="B2169" t="str">
        <f>"1551685859478595"</f>
        <v>1551685859478595</v>
      </c>
      <c r="C2169" t="s">
        <v>40</v>
      </c>
      <c r="D2169">
        <v>5.0106489999999999</v>
      </c>
      <c r="E2169">
        <v>0.48861019999999999</v>
      </c>
      <c r="F2169" t="s">
        <v>70</v>
      </c>
      <c r="G2169">
        <v>-376.60340000000002</v>
      </c>
      <c r="H2169">
        <v>8.0001000000000003E-2</v>
      </c>
      <c r="I2169">
        <v>279.11540000000002</v>
      </c>
      <c r="J2169">
        <v>-334.94740000000002</v>
      </c>
      <c r="K2169">
        <v>1.1107800000000001</v>
      </c>
      <c r="L2169">
        <v>285.35840000000002</v>
      </c>
      <c r="M2169">
        <v>-0.99990299999999999</v>
      </c>
      <c r="N2169">
        <v>-1.385423E-2</v>
      </c>
      <c r="O2169">
        <v>-1.418976E-3</v>
      </c>
      <c r="P2169">
        <v>-0.97267300000000001</v>
      </c>
      <c r="Q2169">
        <v>0.1975017</v>
      </c>
      <c r="R2169">
        <v>-0.1220677</v>
      </c>
      <c r="S2169">
        <v>-3.0433349999999999</v>
      </c>
      <c r="T2169">
        <v>-7.4852109999999999E-2</v>
      </c>
      <c r="U2169">
        <v>-0.45336910000000002</v>
      </c>
      <c r="V2169">
        <v>-0.1206771</v>
      </c>
      <c r="W2169">
        <v>0.2109663</v>
      </c>
      <c r="X2169">
        <v>0.97001559999999998</v>
      </c>
      <c r="Y2169">
        <v>-0.14587349999999999</v>
      </c>
      <c r="Z2169">
        <v>-2.7849609999999999E-3</v>
      </c>
      <c r="AA2169">
        <v>0.98929940000000005</v>
      </c>
      <c r="AB2169">
        <v>25</v>
      </c>
      <c r="AC2169">
        <v>-41.655999999999999</v>
      </c>
      <c r="AD2169">
        <v>-1.0307789999999999</v>
      </c>
      <c r="AE2169">
        <v>-6.2429999999999897</v>
      </c>
      <c r="AF2169">
        <v>-6.18017808028464</v>
      </c>
      <c r="AG2169">
        <v>-1.0307789999999999</v>
      </c>
      <c r="AH2169">
        <v>41.639880890465101</v>
      </c>
      <c r="AI2169">
        <v>91.402685983357998</v>
      </c>
      <c r="AJ2169">
        <v>98.442192308831395</v>
      </c>
      <c r="AK2169">
        <v>42.108630790171702</v>
      </c>
      <c r="AL2169">
        <v>77.821014144560394</v>
      </c>
      <c r="AM2169">
        <v>97.091581705541898</v>
      </c>
      <c r="AN2169">
        <v>1.00000000322173</v>
      </c>
    </row>
    <row r="2170" spans="1:40" x14ac:dyDescent="0.25">
      <c r="A2170" t="str">
        <f>"20190304155059510"</f>
        <v>20190304155059510</v>
      </c>
      <c r="B2170" t="str">
        <f>"1551685859499090"</f>
        <v>1551685859499090</v>
      </c>
      <c r="C2170" t="s">
        <v>40</v>
      </c>
      <c r="D2170">
        <v>5.2230800000000004</v>
      </c>
      <c r="E2170">
        <v>0.488846</v>
      </c>
      <c r="F2170" t="s">
        <v>70</v>
      </c>
      <c r="G2170">
        <v>-374.28149999999999</v>
      </c>
      <c r="H2170">
        <v>7.5413330000000001E-2</v>
      </c>
      <c r="I2170">
        <v>279.59089999999998</v>
      </c>
      <c r="J2170">
        <v>-335.19220000000001</v>
      </c>
      <c r="K2170">
        <v>1.1107659999999999</v>
      </c>
      <c r="L2170">
        <v>285.358</v>
      </c>
      <c r="M2170">
        <v>-0.99990319999999999</v>
      </c>
      <c r="N2170">
        <v>-1.38511E-2</v>
      </c>
      <c r="O2170">
        <v>-1.4164469999999999E-3</v>
      </c>
      <c r="P2170">
        <v>-0.97285619999999995</v>
      </c>
      <c r="Q2170">
        <v>0.19665450000000001</v>
      </c>
      <c r="R2170">
        <v>-0.121975399999999</v>
      </c>
      <c r="S2170">
        <v>-3.0445250000000001</v>
      </c>
      <c r="T2170">
        <v>-8.0139279999999993E-2</v>
      </c>
      <c r="U2170">
        <v>-0.44641110000000001</v>
      </c>
      <c r="V2170">
        <v>-0.12058729999999999</v>
      </c>
      <c r="W2170">
        <v>0.21011930000000001</v>
      </c>
      <c r="X2170">
        <v>0.97021060000000003</v>
      </c>
      <c r="Y2170">
        <v>-0.143599799999999</v>
      </c>
      <c r="Z2170">
        <v>-2.862117E-3</v>
      </c>
      <c r="AA2170">
        <v>0.9896317</v>
      </c>
      <c r="AB2170">
        <v>25</v>
      </c>
      <c r="AC2170">
        <v>-39.089299999999902</v>
      </c>
      <c r="AD2170">
        <v>-1.03535267</v>
      </c>
      <c r="AE2170">
        <v>-5.7671000000000197</v>
      </c>
      <c r="AF2170">
        <v>-5.7078019640104296</v>
      </c>
      <c r="AG2170">
        <v>-1.03535267</v>
      </c>
      <c r="AH2170">
        <v>39.070604159096199</v>
      </c>
      <c r="AI2170">
        <v>91.502019907113805</v>
      </c>
      <c r="AJ2170">
        <v>98.311511669304707</v>
      </c>
      <c r="AK2170">
        <v>39.498899576677097</v>
      </c>
      <c r="AL2170">
        <v>77.870656538209602</v>
      </c>
      <c r="AM2170">
        <v>97.084948492788598</v>
      </c>
      <c r="AN2170">
        <v>1.0000000127530699</v>
      </c>
    </row>
    <row r="2171" spans="1:40" x14ac:dyDescent="0.25">
      <c r="A2171" t="str">
        <f>"20190304155059533"</f>
        <v>20190304155059533</v>
      </c>
      <c r="B2171" t="str">
        <f>"1551685859528371"</f>
        <v>1551685859528371</v>
      </c>
      <c r="C2171" t="s">
        <v>40</v>
      </c>
      <c r="D2171">
        <v>4.9988169999999998</v>
      </c>
      <c r="E2171">
        <v>0.48872759999999998</v>
      </c>
      <c r="F2171" t="s">
        <v>70</v>
      </c>
      <c r="G2171">
        <v>-374.68779999999998</v>
      </c>
      <c r="H2171">
        <v>7.1566370000000004E-2</v>
      </c>
      <c r="I2171">
        <v>279.59480000000002</v>
      </c>
      <c r="J2171">
        <v>-335.4495</v>
      </c>
      <c r="K2171">
        <v>1.1107549999999999</v>
      </c>
      <c r="L2171">
        <v>285.35770000000002</v>
      </c>
      <c r="M2171">
        <v>-0.99990330000000005</v>
      </c>
      <c r="N2171">
        <v>-1.384791E-2</v>
      </c>
      <c r="O2171">
        <v>-1.4092340000000001E-3</v>
      </c>
      <c r="P2171">
        <v>-0.97288240000000004</v>
      </c>
      <c r="Q2171">
        <v>0.1963288</v>
      </c>
      <c r="R2171">
        <v>-0.1222901</v>
      </c>
      <c r="S2171">
        <v>-3.0441889999999998</v>
      </c>
      <c r="T2171">
        <v>-8.0098150000000007E-2</v>
      </c>
      <c r="U2171">
        <v>-0.44421389999999999</v>
      </c>
      <c r="V2171">
        <v>-0.1209078</v>
      </c>
      <c r="W2171">
        <v>0.20979110000000001</v>
      </c>
      <c r="X2171">
        <v>0.97024169999999998</v>
      </c>
      <c r="Y2171">
        <v>-0.14292369999999999</v>
      </c>
      <c r="Z2171">
        <v>-2.847718E-3</v>
      </c>
      <c r="AA2171">
        <v>0.98972959999999999</v>
      </c>
      <c r="AB2171">
        <v>25</v>
      </c>
      <c r="AC2171">
        <v>-39.238299999999903</v>
      </c>
      <c r="AD2171">
        <v>-1.0391886299999999</v>
      </c>
      <c r="AE2171">
        <v>-5.7629000000000001</v>
      </c>
      <c r="AF2171">
        <v>-5.7036769267539604</v>
      </c>
      <c r="AG2171">
        <v>-1.0391886299999999</v>
      </c>
      <c r="AH2171">
        <v>39.219455237785802</v>
      </c>
      <c r="AI2171">
        <v>91.502004477133795</v>
      </c>
      <c r="AJ2171">
        <v>98.274503522279005</v>
      </c>
      <c r="AK2171">
        <v>39.645649353266897</v>
      </c>
      <c r="AL2171">
        <v>77.889889286737997</v>
      </c>
      <c r="AM2171">
        <v>97.103361554759203</v>
      </c>
      <c r="AN2171">
        <v>0.99999997907946903</v>
      </c>
    </row>
    <row r="2172" spans="1:40" x14ac:dyDescent="0.25">
      <c r="A2172" t="str">
        <f>"20190304155059555"</f>
        <v>20190304155059555</v>
      </c>
      <c r="B2172" t="str">
        <f>"1551685859548870"</f>
        <v>1551685859548870</v>
      </c>
      <c r="C2172" t="s">
        <v>40</v>
      </c>
      <c r="D2172">
        <v>5.0530609999999996</v>
      </c>
      <c r="E2172">
        <v>0.4885467</v>
      </c>
      <c r="F2172" t="s">
        <v>70</v>
      </c>
      <c r="G2172">
        <v>-377.1053</v>
      </c>
      <c r="H2172">
        <v>8.0000840000000004E-2</v>
      </c>
      <c r="I2172">
        <v>279.2516</v>
      </c>
      <c r="J2172">
        <v>-335.69909999999999</v>
      </c>
      <c r="K2172">
        <v>1.1107450000000001</v>
      </c>
      <c r="L2172">
        <v>285.35739999999998</v>
      </c>
      <c r="M2172">
        <v>-0.99990319999999999</v>
      </c>
      <c r="N2172">
        <v>-1.384497E-2</v>
      </c>
      <c r="O2172">
        <v>-1.3920639999999999E-3</v>
      </c>
      <c r="P2172">
        <v>-0.97294910000000001</v>
      </c>
      <c r="Q2172">
        <v>0.19599539999999999</v>
      </c>
      <c r="R2172">
        <v>-0.12229379999999999</v>
      </c>
      <c r="S2172">
        <v>-3.0427550000000001</v>
      </c>
      <c r="T2172">
        <v>-7.5291629999999998E-2</v>
      </c>
      <c r="U2172">
        <v>-0.44601439999999998</v>
      </c>
      <c r="V2172">
        <v>-0.1209249</v>
      </c>
      <c r="W2172">
        <v>0.2094577</v>
      </c>
      <c r="X2172">
        <v>0.97031160000000005</v>
      </c>
      <c r="Y2172">
        <v>-0.14358750000000001</v>
      </c>
      <c r="Z2172">
        <v>-2.7512579999999999E-3</v>
      </c>
      <c r="AA2172">
        <v>0.98963380000000001</v>
      </c>
      <c r="AB2172">
        <v>25</v>
      </c>
      <c r="AC2172">
        <v>-41.406199999999998</v>
      </c>
      <c r="AD2172">
        <v>-1.03074416</v>
      </c>
      <c r="AE2172">
        <v>-6.1057999999999799</v>
      </c>
      <c r="AF2172">
        <v>-6.0444825181580999</v>
      </c>
      <c r="AG2172">
        <v>-1.03074416</v>
      </c>
      <c r="AH2172">
        <v>41.389557712627003</v>
      </c>
      <c r="AI2172">
        <v>91.4116023351352</v>
      </c>
      <c r="AJ2172">
        <v>98.3086734464557</v>
      </c>
      <c r="AK2172">
        <v>41.841291687549202</v>
      </c>
      <c r="AL2172">
        <v>77.909425776966899</v>
      </c>
      <c r="AM2172">
        <v>97.103849359277106</v>
      </c>
      <c r="AN2172">
        <v>0.99999998031192905</v>
      </c>
    </row>
    <row r="2173" spans="1:40" x14ac:dyDescent="0.25">
      <c r="A2173" t="str">
        <f>"20190304155059578"</f>
        <v>20190304155059578</v>
      </c>
      <c r="B2173" t="str">
        <f>"1551685859568387"</f>
        <v>1551685859568387</v>
      </c>
      <c r="C2173" t="s">
        <v>40</v>
      </c>
      <c r="D2173">
        <v>5.0174269999999996</v>
      </c>
      <c r="E2173">
        <v>0.4889539</v>
      </c>
      <c r="F2173" t="s">
        <v>70</v>
      </c>
      <c r="G2173">
        <v>-377.34309999999999</v>
      </c>
      <c r="H2173">
        <v>8.0000769999999999E-2</v>
      </c>
      <c r="I2173">
        <v>279.22109999999998</v>
      </c>
      <c r="J2173">
        <v>-335.95359999999999</v>
      </c>
      <c r="K2173">
        <v>1.1107419999999999</v>
      </c>
      <c r="L2173">
        <v>285.35700000000003</v>
      </c>
      <c r="M2173">
        <v>-0.9999034</v>
      </c>
      <c r="N2173">
        <v>-1.384198E-2</v>
      </c>
      <c r="O2173">
        <v>-1.3568129999999999E-3</v>
      </c>
      <c r="P2173">
        <v>-0.97286899999999998</v>
      </c>
      <c r="Q2173">
        <v>0.1961821</v>
      </c>
      <c r="R2173">
        <v>-0.12263300000000001</v>
      </c>
      <c r="S2173">
        <v>-3.0422359999999999</v>
      </c>
      <c r="T2173">
        <v>-7.5299379999999999E-2</v>
      </c>
      <c r="U2173">
        <v>-0.44827270000000002</v>
      </c>
      <c r="V2173">
        <v>-0.12129239999999999</v>
      </c>
      <c r="W2173">
        <v>0.20964369999999999</v>
      </c>
      <c r="X2173">
        <v>0.97022560000000002</v>
      </c>
      <c r="Y2173">
        <v>-0.144365299999999</v>
      </c>
      <c r="Z2173">
        <v>-2.7668369999999999E-3</v>
      </c>
      <c r="AA2173">
        <v>0.98952059999999997</v>
      </c>
      <c r="AB2173">
        <v>25</v>
      </c>
      <c r="AC2173">
        <v>-41.389499999999998</v>
      </c>
      <c r="AD2173">
        <v>-1.0307412300000001</v>
      </c>
      <c r="AE2173">
        <v>-6.1359000000000403</v>
      </c>
      <c r="AF2173">
        <v>-6.0760439498919396</v>
      </c>
      <c r="AG2173">
        <v>-1.0307412300000001</v>
      </c>
      <c r="AH2173">
        <v>41.372681163233302</v>
      </c>
      <c r="AI2173">
        <v>91.412007463410006</v>
      </c>
      <c r="AJ2173">
        <v>98.354805687246696</v>
      </c>
      <c r="AK2173">
        <v>41.829170254725298</v>
      </c>
      <c r="AL2173">
        <v>77.898527280556294</v>
      </c>
      <c r="AM2173">
        <v>97.125842014295301</v>
      </c>
      <c r="AN2173">
        <v>1.0000000210714</v>
      </c>
    </row>
    <row r="2174" spans="1:40" x14ac:dyDescent="0.25">
      <c r="A2174" t="str">
        <f>"20190304155059600"</f>
        <v>20190304155059600</v>
      </c>
      <c r="B2174" t="str">
        <f>"1551685859588884"</f>
        <v>1551685859588884</v>
      </c>
      <c r="C2174" t="s">
        <v>40</v>
      </c>
      <c r="D2174">
        <v>5.0110199999999896</v>
      </c>
      <c r="E2174">
        <v>0.48885699999999999</v>
      </c>
      <c r="F2174" t="s">
        <v>70</v>
      </c>
      <c r="G2174">
        <v>-377.76339999999999</v>
      </c>
      <c r="H2174">
        <v>8.0000650000000006E-2</v>
      </c>
      <c r="I2174">
        <v>279.2242</v>
      </c>
      <c r="J2174">
        <v>-336.20490000000001</v>
      </c>
      <c r="K2174">
        <v>1.1107229999999999</v>
      </c>
      <c r="L2174">
        <v>285.35669999999999</v>
      </c>
      <c r="M2174">
        <v>-0.9999034</v>
      </c>
      <c r="N2174">
        <v>-1.383906E-2</v>
      </c>
      <c r="O2174">
        <v>-1.296679E-3</v>
      </c>
      <c r="P2174">
        <v>-0.97268869999999996</v>
      </c>
      <c r="Q2174">
        <v>0.1964967</v>
      </c>
      <c r="R2174">
        <v>-0.123555</v>
      </c>
      <c r="S2174">
        <v>-3.0425110000000002</v>
      </c>
      <c r="T2174">
        <v>-7.5007199999999996E-2</v>
      </c>
      <c r="U2174">
        <v>-0.44628909999999999</v>
      </c>
      <c r="V2174">
        <v>-0.1222652</v>
      </c>
      <c r="W2174">
        <v>0.20995800000000001</v>
      </c>
      <c r="X2174">
        <v>0.97003550000000005</v>
      </c>
      <c r="Y2174">
        <v>-0.1437811</v>
      </c>
      <c r="Z2174">
        <v>-2.7491569999999999E-3</v>
      </c>
      <c r="AA2174">
        <v>0.98960570000000003</v>
      </c>
      <c r="AB2174">
        <v>25</v>
      </c>
      <c r="AC2174">
        <v>-41.558499999999903</v>
      </c>
      <c r="AD2174">
        <v>-1.03072235</v>
      </c>
      <c r="AE2174">
        <v>-6.1324999999999896</v>
      </c>
      <c r="AF2174">
        <v>-6.0749444312832104</v>
      </c>
      <c r="AG2174">
        <v>-1.03072235</v>
      </c>
      <c r="AH2174">
        <v>41.541409084416202</v>
      </c>
      <c r="AI2174">
        <v>91.406374541145198</v>
      </c>
      <c r="AJ2174">
        <v>98.319862520281902</v>
      </c>
      <c r="AK2174">
        <v>41.995904647057898</v>
      </c>
      <c r="AL2174">
        <v>77.880109125098201</v>
      </c>
      <c r="AM2174">
        <v>97.183791654764605</v>
      </c>
      <c r="AN2174">
        <v>1.0000000060776399</v>
      </c>
    </row>
    <row r="2175" spans="1:40" x14ac:dyDescent="0.25">
      <c r="A2175" t="str">
        <f>"20190304155059616"</f>
        <v>20190304155059616</v>
      </c>
      <c r="B2175" t="str">
        <f>"1551685859608402"</f>
        <v>1551685859608402</v>
      </c>
      <c r="C2175" t="s">
        <v>40</v>
      </c>
      <c r="D2175">
        <v>4.9739469999999999</v>
      </c>
      <c r="E2175">
        <v>0.48855979999999999</v>
      </c>
      <c r="F2175" t="s">
        <v>70</v>
      </c>
      <c r="G2175">
        <v>-380.54759999999999</v>
      </c>
      <c r="H2175">
        <v>8.0001290000000003E-2</v>
      </c>
      <c r="I2175">
        <v>278.79820000000001</v>
      </c>
      <c r="J2175">
        <v>-336.3793</v>
      </c>
      <c r="K2175">
        <v>1.1107129999999901</v>
      </c>
      <c r="L2175">
        <v>285.35649999999998</v>
      </c>
      <c r="M2175">
        <v>-0.99990369999999995</v>
      </c>
      <c r="N2175">
        <v>-1.383706E-2</v>
      </c>
      <c r="O2175">
        <v>-1.236467E-3</v>
      </c>
      <c r="P2175">
        <v>-0.97274550000000004</v>
      </c>
      <c r="Q2175">
        <v>0.19628989999999999</v>
      </c>
      <c r="R2175">
        <v>-0.1234379</v>
      </c>
      <c r="S2175">
        <v>-3.0413510000000001</v>
      </c>
      <c r="T2175">
        <v>-7.0694450000000006E-2</v>
      </c>
      <c r="U2175">
        <v>-0.44982909999999998</v>
      </c>
      <c r="V2175">
        <v>-0.122199</v>
      </c>
      <c r="W2175">
        <v>0.2097542</v>
      </c>
      <c r="X2175">
        <v>0.9700879</v>
      </c>
      <c r="Y2175">
        <v>-0.14502770000000001</v>
      </c>
      <c r="Z2175">
        <v>-2.6737060000000001E-3</v>
      </c>
      <c r="AA2175">
        <v>0.98942399999999997</v>
      </c>
      <c r="AB2175">
        <v>25</v>
      </c>
      <c r="AC2175">
        <v>-44.168299999999903</v>
      </c>
      <c r="AD2175">
        <v>-1.0307117099999901</v>
      </c>
      <c r="AE2175">
        <v>-6.5582999999999698</v>
      </c>
      <c r="AF2175">
        <v>-6.5002136672438899</v>
      </c>
      <c r="AG2175">
        <v>-1.0307117099999901</v>
      </c>
      <c r="AH2175">
        <v>44.152850528050699</v>
      </c>
      <c r="AI2175">
        <v>91.323024054343406</v>
      </c>
      <c r="AJ2175">
        <v>98.374964550565494</v>
      </c>
      <c r="AK2175">
        <v>44.640669283752203</v>
      </c>
      <c r="AL2175">
        <v>77.892051585255203</v>
      </c>
      <c r="AM2175">
        <v>97.179558840773495</v>
      </c>
      <c r="AN2175">
        <v>0.99999997687252395</v>
      </c>
    </row>
    <row r="2176" spans="1:40" x14ac:dyDescent="0.25">
      <c r="A2176" t="str">
        <f>"20190304155059634"</f>
        <v>20190304155059634</v>
      </c>
      <c r="B2176" t="str">
        <f>"1551685859628899"</f>
        <v>1551685859628899</v>
      </c>
      <c r="C2176" t="s">
        <v>40</v>
      </c>
      <c r="D2176">
        <v>5.0404589999999896</v>
      </c>
      <c r="E2176">
        <v>0.48877290000000001</v>
      </c>
      <c r="F2176" t="s">
        <v>70</v>
      </c>
      <c r="G2176">
        <v>-380.34629999999999</v>
      </c>
      <c r="H2176">
        <v>8.0001349999999999E-2</v>
      </c>
      <c r="I2176">
        <v>278.82440000000003</v>
      </c>
      <c r="J2176">
        <v>-336.58449999999999</v>
      </c>
      <c r="K2176">
        <v>1.1107</v>
      </c>
      <c r="L2176">
        <v>285.35640000000001</v>
      </c>
      <c r="M2176">
        <v>-0.99990369999999995</v>
      </c>
      <c r="N2176">
        <v>-1.383474E-2</v>
      </c>
      <c r="O2176">
        <v>-1.144936E-3</v>
      </c>
      <c r="P2176">
        <v>-0.97276479999999999</v>
      </c>
      <c r="Q2176">
        <v>0.19592480000000001</v>
      </c>
      <c r="R2176">
        <v>-0.1238664</v>
      </c>
      <c r="S2176">
        <v>-3.0411069999999998</v>
      </c>
      <c r="T2176">
        <v>-7.129228E-2</v>
      </c>
      <c r="U2176">
        <v>-0.45181270000000001</v>
      </c>
      <c r="V2176">
        <v>-0.12270689999999999</v>
      </c>
      <c r="W2176">
        <v>0.20939289999999999</v>
      </c>
      <c r="X2176">
        <v>0.97010189999999996</v>
      </c>
      <c r="Y2176">
        <v>-0.1457601</v>
      </c>
      <c r="Z2176">
        <v>-2.7020730000000001E-3</v>
      </c>
      <c r="AA2176">
        <v>0.98931630000000004</v>
      </c>
      <c r="AB2176">
        <v>25</v>
      </c>
      <c r="AC2176">
        <v>-43.761800000000001</v>
      </c>
      <c r="AD2176">
        <v>-1.0306986499999999</v>
      </c>
      <c r="AE2176">
        <v>-6.5319999999999796</v>
      </c>
      <c r="AF2176">
        <v>-6.4783711089827598</v>
      </c>
      <c r="AG2176">
        <v>-1.0306986499999999</v>
      </c>
      <c r="AH2176">
        <v>43.745513138156603</v>
      </c>
      <c r="AI2176">
        <v>91.335153968256193</v>
      </c>
      <c r="AJ2176">
        <v>98.423834591360006</v>
      </c>
      <c r="AK2176">
        <v>44.234619379547603</v>
      </c>
      <c r="AL2176">
        <v>77.913223390655006</v>
      </c>
      <c r="AM2176">
        <v>97.208983241765196</v>
      </c>
      <c r="AN2176">
        <v>1.0000000331308101</v>
      </c>
    </row>
    <row r="2177" spans="1:40" x14ac:dyDescent="0.25">
      <c r="A2177" t="str">
        <f>"20190304155059656"</f>
        <v>20190304155059656</v>
      </c>
      <c r="B2177" t="str">
        <f>"1551685859648419"</f>
        <v>1551685859648419</v>
      </c>
      <c r="C2177" t="s">
        <v>40</v>
      </c>
      <c r="D2177">
        <v>4.993544</v>
      </c>
      <c r="E2177">
        <v>0.48955510000000002</v>
      </c>
      <c r="F2177" t="s">
        <v>70</v>
      </c>
      <c r="G2177">
        <v>-378.05829999999997</v>
      </c>
      <c r="H2177">
        <v>8.0000559999999998E-2</v>
      </c>
      <c r="I2177">
        <v>279.20339999999999</v>
      </c>
      <c r="J2177">
        <v>-336.83150000000001</v>
      </c>
      <c r="K2177">
        <v>1.1106750000000001</v>
      </c>
      <c r="L2177">
        <v>285.3562</v>
      </c>
      <c r="M2177">
        <v>-0.99990389999999996</v>
      </c>
      <c r="N2177">
        <v>-1.383202E-2</v>
      </c>
      <c r="O2177">
        <v>-1.001453E-3</v>
      </c>
      <c r="P2177">
        <v>-0.97299800000000003</v>
      </c>
      <c r="Q2177">
        <v>0.19512070000000001</v>
      </c>
      <c r="R2177">
        <v>-0.1233002</v>
      </c>
      <c r="S2177">
        <v>-3.0417480000000001</v>
      </c>
      <c r="T2177">
        <v>-7.5592880000000001E-2</v>
      </c>
      <c r="U2177">
        <v>-0.45126339999999998</v>
      </c>
      <c r="V2177">
        <v>-0.1222674</v>
      </c>
      <c r="W2177">
        <v>0.2085969</v>
      </c>
      <c r="X2177">
        <v>0.97032879999999999</v>
      </c>
      <c r="Y2177">
        <v>-0.14569070000000001</v>
      </c>
      <c r="Z2177">
        <v>-2.8026090000000002E-3</v>
      </c>
      <c r="AA2177">
        <v>0.98932620000000004</v>
      </c>
      <c r="AB2177">
        <v>25</v>
      </c>
      <c r="AC2177">
        <v>-41.226799999999898</v>
      </c>
      <c r="AD2177">
        <v>-1.0306744400000001</v>
      </c>
      <c r="AE2177">
        <v>-6.1528000000000098</v>
      </c>
      <c r="AF2177">
        <v>-6.1077720474493598</v>
      </c>
      <c r="AG2177">
        <v>-1.0306744400000001</v>
      </c>
      <c r="AH2177">
        <v>41.207747741408099</v>
      </c>
      <c r="AI2177">
        <v>91.417287094703795</v>
      </c>
      <c r="AJ2177">
        <v>98.430942512620703</v>
      </c>
      <c r="AK2177">
        <v>41.670680857221399</v>
      </c>
      <c r="AL2177">
        <v>77.959860110620099</v>
      </c>
      <c r="AM2177">
        <v>97.181770769985903</v>
      </c>
      <c r="AN2177">
        <v>0.999999981950904</v>
      </c>
    </row>
    <row r="2178" spans="1:40" x14ac:dyDescent="0.25">
      <c r="A2178" t="str">
        <f>"20190304155059669"</f>
        <v>20190304155059669</v>
      </c>
      <c r="B2178" t="str">
        <f>"1551685859659156"</f>
        <v>1551685859659156</v>
      </c>
      <c r="C2178" t="s">
        <v>40</v>
      </c>
      <c r="D2178">
        <v>4.9737770000000001</v>
      </c>
      <c r="E2178">
        <v>0.48993229999999999</v>
      </c>
      <c r="F2178" t="s">
        <v>70</v>
      </c>
      <c r="G2178">
        <v>-377.94060000000002</v>
      </c>
      <c r="H2178">
        <v>8.0000600000000005E-2</v>
      </c>
      <c r="I2178">
        <v>279.3612</v>
      </c>
      <c r="J2178">
        <v>-336.97930000000002</v>
      </c>
      <c r="K2178">
        <v>1.1106640000000001</v>
      </c>
      <c r="L2178">
        <v>285.3562</v>
      </c>
      <c r="M2178">
        <v>-0.99990389999999996</v>
      </c>
      <c r="N2178">
        <v>-1.383041E-2</v>
      </c>
      <c r="O2178">
        <v>-9.0154129999999995E-4</v>
      </c>
      <c r="P2178">
        <v>-0.9730837</v>
      </c>
      <c r="Q2178">
        <v>0.19485559999999999</v>
      </c>
      <c r="R2178">
        <v>-0.1230427</v>
      </c>
      <c r="S2178">
        <v>-3.0423279999999999</v>
      </c>
      <c r="T2178">
        <v>-7.6276300000000005E-2</v>
      </c>
      <c r="U2178">
        <v>-0.44366460000000002</v>
      </c>
      <c r="V2178">
        <v>-0.1220995</v>
      </c>
      <c r="W2178">
        <v>0.2083353</v>
      </c>
      <c r="X2178">
        <v>0.9704062</v>
      </c>
      <c r="Y2178">
        <v>-0.1433432</v>
      </c>
      <c r="Z2178">
        <v>-2.773869E-3</v>
      </c>
      <c r="AA2178">
        <v>0.98966909999999997</v>
      </c>
      <c r="AB2178">
        <v>25</v>
      </c>
      <c r="AC2178">
        <v>-40.961300000000001</v>
      </c>
      <c r="AD2178">
        <v>-1.0306633999999999</v>
      </c>
      <c r="AE2178">
        <v>-5.9950000000000001</v>
      </c>
      <c r="AF2178">
        <v>-5.9543749482656798</v>
      </c>
      <c r="AG2178">
        <v>-1.0306633999999999</v>
      </c>
      <c r="AH2178">
        <v>40.9413114257732</v>
      </c>
      <c r="AI2178">
        <v>91.427061693783799</v>
      </c>
      <c r="AJ2178">
        <v>98.274899379755894</v>
      </c>
      <c r="AK2178">
        <v>41.384874402742597</v>
      </c>
      <c r="AL2178">
        <v>77.975186086504394</v>
      </c>
      <c r="AM2178">
        <v>97.171445300512502</v>
      </c>
      <c r="AN2178">
        <v>1.00000003906238</v>
      </c>
    </row>
    <row r="2179" spans="1:40" x14ac:dyDescent="0.25">
      <c r="A2179" t="str">
        <f>"20190304155059681"</f>
        <v>20190304155059681</v>
      </c>
      <c r="B2179" t="str">
        <f>"1551685859678675"</f>
        <v>1551685859678675</v>
      </c>
      <c r="C2179" t="s">
        <v>40</v>
      </c>
      <c r="D2179">
        <v>4.9578309999999997</v>
      </c>
      <c r="E2179">
        <v>0.4902668</v>
      </c>
      <c r="F2179" t="s">
        <v>70</v>
      </c>
      <c r="G2179">
        <v>-377.97930000000002</v>
      </c>
      <c r="H2179">
        <v>8.0000589999999996E-2</v>
      </c>
      <c r="I2179">
        <v>279.43380000000002</v>
      </c>
      <c r="J2179">
        <v>-337.12060000000002</v>
      </c>
      <c r="K2179">
        <v>1.1106480000000001</v>
      </c>
      <c r="L2179">
        <v>285.35610000000003</v>
      </c>
      <c r="M2179">
        <v>-0.99990400000000002</v>
      </c>
      <c r="N2179">
        <v>-1.382889E-2</v>
      </c>
      <c r="O2179">
        <v>-7.9128610000000002E-4</v>
      </c>
      <c r="P2179">
        <v>-0.97312200000000004</v>
      </c>
      <c r="Q2179">
        <v>0.19488549999999999</v>
      </c>
      <c r="R2179">
        <v>-0.12269190000000001</v>
      </c>
      <c r="S2179">
        <v>-3.0427249999999999</v>
      </c>
      <c r="T2179">
        <v>-7.6488379999999995E-2</v>
      </c>
      <c r="U2179">
        <v>-0.43951420000000002</v>
      </c>
      <c r="V2179">
        <v>-0.1218492</v>
      </c>
      <c r="W2179">
        <v>0.20836789999999999</v>
      </c>
      <c r="X2179">
        <v>0.97043060000000003</v>
      </c>
      <c r="Y2179">
        <v>-0.14211190000000001</v>
      </c>
      <c r="Z2179">
        <v>-2.7557990000000002E-3</v>
      </c>
      <c r="AA2179">
        <v>0.98984680000000003</v>
      </c>
      <c r="AB2179">
        <v>25</v>
      </c>
      <c r="AC2179">
        <v>-40.858699999999999</v>
      </c>
      <c r="AD2179">
        <v>-1.03064740999999</v>
      </c>
      <c r="AE2179">
        <v>-5.9222999999999999</v>
      </c>
      <c r="AF2179">
        <v>-5.8862958413821298</v>
      </c>
      <c r="AG2179">
        <v>-1.03064740999999</v>
      </c>
      <c r="AH2179">
        <v>40.837924045631603</v>
      </c>
      <c r="AI2179">
        <v>91.430914266560904</v>
      </c>
      <c r="AJ2179">
        <v>98.202008201553994</v>
      </c>
      <c r="AK2179">
        <v>41.272833112990803</v>
      </c>
      <c r="AL2179">
        <v>77.973275603859904</v>
      </c>
      <c r="AM2179">
        <v>97.156718586066901</v>
      </c>
      <c r="AN2179">
        <v>0.99999997935370399</v>
      </c>
    </row>
    <row r="2180" spans="1:40" x14ac:dyDescent="0.25">
      <c r="A2180" t="str">
        <f>"20190304155059694"</f>
        <v>20190304155059694</v>
      </c>
      <c r="B2180" t="str">
        <f>"1551685859688435"</f>
        <v>1551685859688435</v>
      </c>
      <c r="C2180" t="s">
        <v>40</v>
      </c>
      <c r="D2180">
        <v>4.9685360000000003</v>
      </c>
      <c r="E2180">
        <v>0.49062869999999997</v>
      </c>
      <c r="F2180" t="s">
        <v>70</v>
      </c>
      <c r="G2180">
        <v>-377.96019999999999</v>
      </c>
      <c r="H2180">
        <v>8.0000589999999996E-2</v>
      </c>
      <c r="I2180">
        <v>279.50630000000001</v>
      </c>
      <c r="J2180">
        <v>-337.25199999999899</v>
      </c>
      <c r="K2180">
        <v>1.1106370000000001</v>
      </c>
      <c r="L2180">
        <v>285.3562</v>
      </c>
      <c r="M2180">
        <v>-0.99990429999999997</v>
      </c>
      <c r="N2180">
        <v>-1.382748E-2</v>
      </c>
      <c r="O2180">
        <v>-6.8189899999999905E-4</v>
      </c>
      <c r="P2180">
        <v>-0.9731649</v>
      </c>
      <c r="Q2180">
        <v>0.1949301</v>
      </c>
      <c r="R2180">
        <v>-0.1222805</v>
      </c>
      <c r="S2180">
        <v>-3.0432739999999998</v>
      </c>
      <c r="T2180">
        <v>-7.6801540000000001E-2</v>
      </c>
      <c r="U2180">
        <v>-0.4359131</v>
      </c>
      <c r="V2180">
        <v>-0.1215388</v>
      </c>
      <c r="W2180">
        <v>0.20841499999999999</v>
      </c>
      <c r="X2180">
        <v>0.97045939999999997</v>
      </c>
      <c r="Y2180">
        <v>-0.14104739999999999</v>
      </c>
      <c r="Z2180">
        <v>-2.743119E-3</v>
      </c>
      <c r="AA2180">
        <v>0.98999910000000002</v>
      </c>
      <c r="AB2180">
        <v>25</v>
      </c>
      <c r="AC2180">
        <v>-40.708199999999998</v>
      </c>
      <c r="AD2180">
        <v>-1.0306364100000001</v>
      </c>
      <c r="AE2180">
        <v>-5.8498999999999901</v>
      </c>
      <c r="AF2180">
        <v>-5.8184830135156602</v>
      </c>
      <c r="AG2180">
        <v>-1.0306364100000001</v>
      </c>
      <c r="AH2180">
        <v>40.6866281403613</v>
      </c>
      <c r="AI2180">
        <v>91.436446038911299</v>
      </c>
      <c r="AJ2180">
        <v>98.138530964337207</v>
      </c>
      <c r="AK2180">
        <v>41.113485201576196</v>
      </c>
      <c r="AL2180">
        <v>77.970516276335999</v>
      </c>
      <c r="AM2180">
        <v>97.138466140617098</v>
      </c>
      <c r="AN2180">
        <v>0.99999996958939896</v>
      </c>
    </row>
    <row r="2181" spans="1:40" x14ac:dyDescent="0.25">
      <c r="A2181" t="str">
        <f>"20190304155059706"</f>
        <v>20190304155059706</v>
      </c>
      <c r="B2181" t="str">
        <f>"1551685859699171"</f>
        <v>1551685859699171</v>
      </c>
      <c r="C2181" t="s">
        <v>40</v>
      </c>
      <c r="D2181">
        <v>5.1401019999999997</v>
      </c>
      <c r="E2181">
        <v>0.49062869999999997</v>
      </c>
      <c r="F2181" t="s">
        <v>70</v>
      </c>
      <c r="G2181">
        <v>-378.6096</v>
      </c>
      <c r="H2181">
        <v>8.0000399999999902E-2</v>
      </c>
      <c r="I2181">
        <v>279.4864</v>
      </c>
      <c r="J2181">
        <v>-337.39789999999999</v>
      </c>
      <c r="K2181">
        <v>1.1106210000000001</v>
      </c>
      <c r="L2181">
        <v>285.3562</v>
      </c>
      <c r="M2181">
        <v>-0.99990429999999997</v>
      </c>
      <c r="N2181">
        <v>-1.382591E-2</v>
      </c>
      <c r="O2181">
        <v>-5.5283860000000004E-4</v>
      </c>
      <c r="P2181">
        <v>-0.97323559999999998</v>
      </c>
      <c r="Q2181">
        <v>0.19492619999999999</v>
      </c>
      <c r="R2181">
        <v>-0.1217234</v>
      </c>
      <c r="S2181">
        <v>-3.0436399999999999</v>
      </c>
      <c r="T2181">
        <v>-7.5847860000000003E-2</v>
      </c>
      <c r="U2181">
        <v>-0.43197629999999998</v>
      </c>
      <c r="V2181">
        <v>-0.1211011</v>
      </c>
      <c r="W2181">
        <v>0.2084136</v>
      </c>
      <c r="X2181">
        <v>0.97051449999999995</v>
      </c>
      <c r="Y2181">
        <v>-0.13990529999999901</v>
      </c>
      <c r="Z2181">
        <v>-2.7004289999999999E-3</v>
      </c>
      <c r="AA2181">
        <v>0.99016119999999996</v>
      </c>
      <c r="AB2181">
        <v>25</v>
      </c>
      <c r="AC2181">
        <v>-41.2117</v>
      </c>
      <c r="AD2181">
        <v>-1.03062059999999</v>
      </c>
      <c r="AE2181">
        <v>-5.8697999999999899</v>
      </c>
      <c r="AF2181">
        <v>-5.8434316980536796</v>
      </c>
      <c r="AG2181">
        <v>-1.03062059999999</v>
      </c>
      <c r="AH2181">
        <v>41.1896912942141</v>
      </c>
      <c r="AI2181">
        <v>91.419113630318705</v>
      </c>
      <c r="AJ2181">
        <v>98.074462501161804</v>
      </c>
      <c r="AK2181">
        <v>41.614883656495103</v>
      </c>
      <c r="AL2181">
        <v>77.9705992719459</v>
      </c>
      <c r="AM2181">
        <v>97.112622345242499</v>
      </c>
      <c r="AN2181">
        <v>1.0000000498982</v>
      </c>
    </row>
    <row r="2182" spans="1:40" x14ac:dyDescent="0.25">
      <c r="A2182" t="str">
        <f>"20190304155059722"</f>
        <v>20190304155059722</v>
      </c>
      <c r="B2182" t="str">
        <f>"1551685859718691"</f>
        <v>1551685859718691</v>
      </c>
      <c r="C2182" t="s">
        <v>40</v>
      </c>
      <c r="D2182">
        <v>4.9741229999999996</v>
      </c>
      <c r="E2182">
        <v>0.49121720000000002</v>
      </c>
      <c r="F2182" t="s">
        <v>70</v>
      </c>
      <c r="G2182">
        <v>-378.74549999999999</v>
      </c>
      <c r="H2182">
        <v>8.0000360000000006E-2</v>
      </c>
      <c r="I2182">
        <v>279.50810000000001</v>
      </c>
      <c r="J2182">
        <v>-337.57229999999998</v>
      </c>
      <c r="K2182">
        <v>1.1106130000000001</v>
      </c>
      <c r="L2182">
        <v>285.35629999999998</v>
      </c>
      <c r="M2182">
        <v>-0.99990440000000003</v>
      </c>
      <c r="N2182">
        <v>-1.3824060000000001E-2</v>
      </c>
      <c r="O2182">
        <v>-3.8624580000000001E-4</v>
      </c>
      <c r="P2182">
        <v>-0.97335510000000003</v>
      </c>
      <c r="Q2182">
        <v>0.1948742</v>
      </c>
      <c r="R2182">
        <v>-0.1208467</v>
      </c>
      <c r="S2182">
        <v>-3.0438540000000001</v>
      </c>
      <c r="T2182">
        <v>-7.5870389999999996E-2</v>
      </c>
      <c r="U2182">
        <v>-0.43051149999999999</v>
      </c>
      <c r="V2182">
        <v>-0.1203809</v>
      </c>
      <c r="W2182">
        <v>0.2083642</v>
      </c>
      <c r="X2182">
        <v>0.97061470000000005</v>
      </c>
      <c r="Y2182">
        <v>-0.13959360000000001</v>
      </c>
      <c r="Z2182">
        <v>-2.6965230000000001E-3</v>
      </c>
      <c r="AA2182">
        <v>0.99020520000000001</v>
      </c>
      <c r="AB2182">
        <v>25</v>
      </c>
      <c r="AC2182">
        <v>-41.173200000000001</v>
      </c>
      <c r="AD2182">
        <v>-1.03061263999999</v>
      </c>
      <c r="AE2182">
        <v>-5.8481999999999603</v>
      </c>
      <c r="AF2182">
        <v>-5.8287152601509096</v>
      </c>
      <c r="AG2182">
        <v>-1.03061263999999</v>
      </c>
      <c r="AH2182">
        <v>41.150182873285097</v>
      </c>
      <c r="AI2182">
        <v>91.420508290909098</v>
      </c>
      <c r="AJ2182">
        <v>98.062025911389199</v>
      </c>
      <c r="AK2182">
        <v>41.573713263340501</v>
      </c>
      <c r="AL2182">
        <v>77.973493198448097</v>
      </c>
      <c r="AM2182">
        <v>97.070029758558803</v>
      </c>
      <c r="AN2182">
        <v>1.0000000483912601</v>
      </c>
    </row>
    <row r="2183" spans="1:40" x14ac:dyDescent="0.25">
      <c r="A2183" t="str">
        <f>"20190304155059737"</f>
        <v>20190304155059737</v>
      </c>
      <c r="B2183" t="str">
        <f>"1551685859728451"</f>
        <v>1551685859728451</v>
      </c>
      <c r="C2183" t="s">
        <v>40</v>
      </c>
      <c r="D2183">
        <v>4.8530319999999998</v>
      </c>
      <c r="E2183">
        <v>0.4913016</v>
      </c>
      <c r="F2183" t="s">
        <v>70</v>
      </c>
      <c r="G2183">
        <v>-379.89400000000001</v>
      </c>
      <c r="H2183">
        <v>8.000003E-2</v>
      </c>
      <c r="I2183">
        <v>279.4726</v>
      </c>
      <c r="J2183">
        <v>-337.7337</v>
      </c>
      <c r="K2183">
        <v>1.110603</v>
      </c>
      <c r="L2183">
        <v>285.35640000000001</v>
      </c>
      <c r="M2183">
        <v>-0.99990440000000003</v>
      </c>
      <c r="N2183">
        <v>-1.3822340000000001E-2</v>
      </c>
      <c r="O2183">
        <v>-2.2638279999999999E-4</v>
      </c>
      <c r="P2183">
        <v>-0.97343829999999998</v>
      </c>
      <c r="Q2183">
        <v>0.19469130000000001</v>
      </c>
      <c r="R2183">
        <v>-0.12047099999999999</v>
      </c>
      <c r="S2183">
        <v>-3.0444339999999999</v>
      </c>
      <c r="T2183">
        <v>-7.4137690000000006E-2</v>
      </c>
      <c r="U2183">
        <v>-0.42324830000000002</v>
      </c>
      <c r="V2183">
        <v>-0.1201575</v>
      </c>
      <c r="W2183">
        <v>0.20818229999999999</v>
      </c>
      <c r="X2183">
        <v>0.97068140000000003</v>
      </c>
      <c r="Y2183">
        <v>-0.13741199999999901</v>
      </c>
      <c r="Z2183">
        <v>-2.616986E-3</v>
      </c>
      <c r="AA2183">
        <v>0.99051049999999996</v>
      </c>
      <c r="AB2183">
        <v>25</v>
      </c>
      <c r="AC2183">
        <v>-42.160299999999999</v>
      </c>
      <c r="AD2183">
        <v>-1.0306029699999999</v>
      </c>
      <c r="AE2183">
        <v>-5.8837999999999999</v>
      </c>
      <c r="AF2183">
        <v>-5.8708134764012501</v>
      </c>
      <c r="AG2183">
        <v>-1.0306029699999999</v>
      </c>
      <c r="AH2183">
        <v>42.136933074350601</v>
      </c>
      <c r="AI2183">
        <v>91.387686281655306</v>
      </c>
      <c r="AJ2183">
        <v>97.931789430245203</v>
      </c>
      <c r="AK2183">
        <v>42.556429858116203</v>
      </c>
      <c r="AL2183">
        <v>77.984148842222595</v>
      </c>
      <c r="AM2183">
        <v>97.056561747514294</v>
      </c>
      <c r="AN2183">
        <v>1.00000003757274</v>
      </c>
    </row>
    <row r="2184" spans="1:40" x14ac:dyDescent="0.25">
      <c r="A2184" t="str">
        <f>"20190304155059749"</f>
        <v>20190304155059749</v>
      </c>
      <c r="B2184" t="str">
        <f>"1551685859739188"</f>
        <v>1551685859739188</v>
      </c>
      <c r="C2184" t="s">
        <v>40</v>
      </c>
      <c r="D2184">
        <v>4.9250420000000004</v>
      </c>
      <c r="E2184">
        <v>0.49158200000000002</v>
      </c>
      <c r="F2184" t="s">
        <v>70</v>
      </c>
      <c r="G2184">
        <v>-379.38099999999997</v>
      </c>
      <c r="H2184">
        <v>7.3625280000000001E-2</v>
      </c>
      <c r="I2184">
        <v>279.59269999999998</v>
      </c>
      <c r="J2184">
        <v>-337.87360000000001</v>
      </c>
      <c r="K2184">
        <v>1.1105959999999999</v>
      </c>
      <c r="L2184">
        <v>285.35649999999998</v>
      </c>
      <c r="M2184">
        <v>-0.99990460000000003</v>
      </c>
      <c r="N2184">
        <v>-1.3820850000000001E-2</v>
      </c>
      <c r="O2184" s="1">
        <v>-8.539629E-5</v>
      </c>
      <c r="P2184">
        <v>-0.97350689999999995</v>
      </c>
      <c r="Q2184">
        <v>0.19449130000000001</v>
      </c>
      <c r="R2184">
        <v>-0.1202396</v>
      </c>
      <c r="S2184">
        <v>-3.044861</v>
      </c>
      <c r="T2184">
        <v>-7.581425E-2</v>
      </c>
      <c r="U2184">
        <v>-0.4213867</v>
      </c>
      <c r="V2184">
        <v>-0.1200608</v>
      </c>
      <c r="W2184">
        <v>0.20798269999999999</v>
      </c>
      <c r="X2184">
        <v>0.97073609999999999</v>
      </c>
      <c r="Y2184">
        <v>-0.13693649999999999</v>
      </c>
      <c r="Z2184">
        <v>-2.6465579999999998E-3</v>
      </c>
      <c r="AA2184">
        <v>0.99057629999999997</v>
      </c>
      <c r="AB2184">
        <v>25</v>
      </c>
      <c r="AC2184">
        <v>-41.507399999999897</v>
      </c>
      <c r="AD2184">
        <v>-1.03697072</v>
      </c>
      <c r="AE2184">
        <v>-5.7637999999999998</v>
      </c>
      <c r="AF2184">
        <v>-5.75673003007741</v>
      </c>
      <c r="AG2184">
        <v>-1.03697072</v>
      </c>
      <c r="AH2184">
        <v>41.482491026209402</v>
      </c>
      <c r="AI2184">
        <v>91.418382622364803</v>
      </c>
      <c r="AJ2184">
        <v>97.900757136230098</v>
      </c>
      <c r="AK2184">
        <v>41.892867061743097</v>
      </c>
      <c r="AL2184">
        <v>77.995840396106004</v>
      </c>
      <c r="AM2184">
        <v>97.050546659090301</v>
      </c>
      <c r="AN2184">
        <v>0.99999998751956898</v>
      </c>
    </row>
    <row r="2185" spans="1:40" x14ac:dyDescent="0.25">
      <c r="A2185" t="str">
        <f>"20190304155059762"</f>
        <v>20190304155059762</v>
      </c>
      <c r="B2185" t="str">
        <f>"1551685859758707"</f>
        <v>1551685859758707</v>
      </c>
      <c r="C2185" t="s">
        <v>40</v>
      </c>
      <c r="D2185">
        <v>4.947425</v>
      </c>
      <c r="E2185">
        <v>0.4919791</v>
      </c>
      <c r="F2185" t="s">
        <v>70</v>
      </c>
      <c r="G2185">
        <v>-379.75790000000001</v>
      </c>
      <c r="H2185">
        <v>6.9082649999999995E-2</v>
      </c>
      <c r="I2185">
        <v>279.59730000000002</v>
      </c>
      <c r="J2185">
        <v>-338.01429999999999</v>
      </c>
      <c r="K2185">
        <v>1.110592</v>
      </c>
      <c r="L2185">
        <v>285.35660000000001</v>
      </c>
      <c r="M2185">
        <v>-0.99990460000000003</v>
      </c>
      <c r="N2185">
        <v>-1.3819349999999999E-2</v>
      </c>
      <c r="O2185" s="1">
        <v>5.9128249999999998E-5</v>
      </c>
      <c r="P2185">
        <v>-0.97359960000000001</v>
      </c>
      <c r="Q2185">
        <v>0.19426640000000001</v>
      </c>
      <c r="R2185">
        <v>-0.1198525</v>
      </c>
      <c r="S2185">
        <v>-3.045013</v>
      </c>
      <c r="T2185">
        <v>-7.5718640000000004E-2</v>
      </c>
      <c r="U2185">
        <v>-0.4187012</v>
      </c>
      <c r="V2185">
        <v>-0.119813</v>
      </c>
      <c r="W2185">
        <v>0.20775779999999999</v>
      </c>
      <c r="X2185">
        <v>0.97081490000000004</v>
      </c>
      <c r="Y2185">
        <v>-0.136216</v>
      </c>
      <c r="Z2185">
        <v>-2.631951E-3</v>
      </c>
      <c r="AA2185">
        <v>0.99067570000000005</v>
      </c>
      <c r="AB2185">
        <v>25</v>
      </c>
      <c r="AC2185">
        <v>-41.743600000000001</v>
      </c>
      <c r="AD2185">
        <v>-1.0415093499999999</v>
      </c>
      <c r="AE2185">
        <v>-5.7592999999999899</v>
      </c>
      <c r="AF2185">
        <v>-5.75825083971736</v>
      </c>
      <c r="AG2185">
        <v>-1.0415093499999999</v>
      </c>
      <c r="AH2185">
        <v>41.717774720066203</v>
      </c>
      <c r="AI2185">
        <v>91.416700329881905</v>
      </c>
      <c r="AJ2185">
        <v>97.858805425222698</v>
      </c>
      <c r="AK2185">
        <v>42.126178583553497</v>
      </c>
      <c r="AL2185">
        <v>78.0090143006434</v>
      </c>
      <c r="AM2185">
        <v>97.035575272725296</v>
      </c>
      <c r="AN2185">
        <v>1.00000001424592</v>
      </c>
    </row>
    <row r="2186" spans="1:40" x14ac:dyDescent="0.25">
      <c r="A2186" t="str">
        <f>"20190304155059774"</f>
        <v>20190304155059774</v>
      </c>
      <c r="B2186" t="str">
        <f>"1551685859768467"</f>
        <v>1551685859768467</v>
      </c>
      <c r="C2186" t="s">
        <v>40</v>
      </c>
      <c r="D2186">
        <v>4.9560120000000003</v>
      </c>
      <c r="E2186">
        <v>0.49219980000000002</v>
      </c>
      <c r="F2186" t="s">
        <v>70</v>
      </c>
      <c r="G2186">
        <v>-380.24340000000001</v>
      </c>
      <c r="H2186">
        <v>5.3066740000000001E-2</v>
      </c>
      <c r="I2186">
        <v>279.61329999999998</v>
      </c>
      <c r="J2186">
        <v>-338.15069999999997</v>
      </c>
      <c r="K2186">
        <v>1.1105879999999999</v>
      </c>
      <c r="L2186">
        <v>285.35680000000002</v>
      </c>
      <c r="M2186">
        <v>-0.99990460000000003</v>
      </c>
      <c r="N2186">
        <v>-1.3817889999999999E-2</v>
      </c>
      <c r="O2186">
        <v>1.9975789999999999E-4</v>
      </c>
      <c r="P2186">
        <v>-0.97359810000000002</v>
      </c>
      <c r="Q2186">
        <v>0.19431470000000001</v>
      </c>
      <c r="R2186">
        <v>-0.1197867</v>
      </c>
      <c r="S2186">
        <v>-3.0455930000000002</v>
      </c>
      <c r="T2186">
        <v>-7.6269390000000006E-2</v>
      </c>
      <c r="U2186">
        <v>-0.4142151</v>
      </c>
      <c r="V2186">
        <v>-0.119884</v>
      </c>
      <c r="W2186">
        <v>0.20780499999999999</v>
      </c>
      <c r="X2186">
        <v>0.97079599999999999</v>
      </c>
      <c r="Y2186">
        <v>-0.13489719999999999</v>
      </c>
      <c r="Z2186">
        <v>-2.6198520000000002E-3</v>
      </c>
      <c r="AA2186">
        <v>0.99085610000000002</v>
      </c>
      <c r="AB2186">
        <v>25</v>
      </c>
      <c r="AC2186">
        <v>-42.092700000000001</v>
      </c>
      <c r="AD2186">
        <v>-1.0575212599999999</v>
      </c>
      <c r="AE2186">
        <v>-5.74350000000004</v>
      </c>
      <c r="AF2186">
        <v>-5.7483470184311702</v>
      </c>
      <c r="AG2186">
        <v>-1.0575212599999999</v>
      </c>
      <c r="AH2186">
        <v>42.0654854594572</v>
      </c>
      <c r="AI2186">
        <v>91.426850463848893</v>
      </c>
      <c r="AJ2186">
        <v>97.781404911811194</v>
      </c>
      <c r="AK2186">
        <v>42.469599852123203</v>
      </c>
      <c r="AL2186">
        <v>78.006249215290396</v>
      </c>
      <c r="AM2186">
        <v>97.039838342397999</v>
      </c>
      <c r="AN2186">
        <v>0.99999998254849898</v>
      </c>
    </row>
    <row r="2187" spans="1:40" x14ac:dyDescent="0.25">
      <c r="A2187" t="str">
        <f>"20190304155059788"</f>
        <v>20190304155059788</v>
      </c>
      <c r="B2187" t="str">
        <f>"1551685859778227"</f>
        <v>1551685859778227</v>
      </c>
      <c r="C2187" t="s">
        <v>40</v>
      </c>
      <c r="D2187">
        <v>4.9524569999999999</v>
      </c>
      <c r="E2187">
        <v>0.49239909999999998</v>
      </c>
      <c r="F2187" t="s">
        <v>70</v>
      </c>
      <c r="G2187">
        <v>-380.62569999999999</v>
      </c>
      <c r="H2187">
        <v>5.8510680000000002E-2</v>
      </c>
      <c r="I2187">
        <v>279.6078</v>
      </c>
      <c r="J2187">
        <v>-338.3159</v>
      </c>
      <c r="K2187">
        <v>1.110581</v>
      </c>
      <c r="L2187">
        <v>285.35700000000003</v>
      </c>
      <c r="M2187">
        <v>-0.99990449999999997</v>
      </c>
      <c r="N2187">
        <v>-1.3816139999999999E-2</v>
      </c>
      <c r="O2187">
        <v>3.6999489999999999E-4</v>
      </c>
      <c r="P2187">
        <v>-0.97386850000000003</v>
      </c>
      <c r="Q2187">
        <v>0.19312209999999999</v>
      </c>
      <c r="R2187">
        <v>-0.1195176</v>
      </c>
      <c r="S2187">
        <v>-3.0456850000000002</v>
      </c>
      <c r="T2187">
        <v>-7.5439569999999997E-2</v>
      </c>
      <c r="U2187">
        <v>-0.41223140000000003</v>
      </c>
      <c r="V2187">
        <v>-0.1197806</v>
      </c>
      <c r="W2187">
        <v>0.20661450000000001</v>
      </c>
      <c r="X2187">
        <v>0.9710628</v>
      </c>
      <c r="Y2187">
        <v>-0.13442950000000001</v>
      </c>
      <c r="Z2187">
        <v>-2.594219E-3</v>
      </c>
      <c r="AA2187">
        <v>0.99091980000000002</v>
      </c>
      <c r="AB2187">
        <v>25</v>
      </c>
      <c r="AC2187">
        <v>-42.309800000000003</v>
      </c>
      <c r="AD2187">
        <v>-1.0520703199999999</v>
      </c>
      <c r="AE2187">
        <v>-5.7492000000000196</v>
      </c>
      <c r="AF2187">
        <v>-5.7613577779083798</v>
      </c>
      <c r="AG2187">
        <v>-1.0520703199999999</v>
      </c>
      <c r="AH2187">
        <v>42.282000231830999</v>
      </c>
      <c r="AI2187">
        <v>91.412307072011401</v>
      </c>
      <c r="AJ2187">
        <v>97.759352943397502</v>
      </c>
      <c r="AK2187">
        <v>42.685684239658698</v>
      </c>
      <c r="AL2187">
        <v>78.075972734500198</v>
      </c>
      <c r="AM2187">
        <v>97.031914129393897</v>
      </c>
      <c r="AN2187">
        <v>0.99999995264522301</v>
      </c>
    </row>
    <row r="2188" spans="1:40" x14ac:dyDescent="0.25">
      <c r="A2188" t="str">
        <f>"20190304155059801"</f>
        <v>20190304155059801</v>
      </c>
      <c r="B2188" t="str">
        <f>"1551685859798723"</f>
        <v>1551685859798723</v>
      </c>
      <c r="C2188" t="s">
        <v>40</v>
      </c>
      <c r="D2188">
        <v>4.9242530000000002</v>
      </c>
      <c r="E2188">
        <v>0.51463359999999903</v>
      </c>
      <c r="F2188" t="s">
        <v>70</v>
      </c>
      <c r="G2188">
        <v>-381.03890000000001</v>
      </c>
      <c r="H2188">
        <v>6.1317309999999996E-3</v>
      </c>
      <c r="I2188">
        <v>279.61630000000002</v>
      </c>
      <c r="J2188">
        <v>-338.44869999999997</v>
      </c>
      <c r="K2188">
        <v>1.110584</v>
      </c>
      <c r="L2188">
        <v>285.35719999999998</v>
      </c>
      <c r="M2188">
        <v>-0.99990449999999997</v>
      </c>
      <c r="N2188">
        <v>-1.3814740000000001E-2</v>
      </c>
      <c r="O2188">
        <v>5.0582129999999896E-4</v>
      </c>
      <c r="P2188">
        <v>-0.97398600000000002</v>
      </c>
      <c r="Q2188">
        <v>0.19264539999999999</v>
      </c>
      <c r="R2188">
        <v>-0.1193299</v>
      </c>
      <c r="S2188">
        <v>-3.045868</v>
      </c>
      <c r="T2188">
        <v>-7.8739879999999998E-2</v>
      </c>
      <c r="U2188">
        <v>-0.4092712</v>
      </c>
      <c r="V2188">
        <v>-0.11972629999999999</v>
      </c>
      <c r="W2188">
        <v>0.2061376</v>
      </c>
      <c r="X2188">
        <v>0.97117089999999995</v>
      </c>
      <c r="Y2188">
        <v>-0.13360620000000001</v>
      </c>
      <c r="Z2188">
        <v>-2.6522759999999999E-3</v>
      </c>
      <c r="AA2188">
        <v>0.99103090000000005</v>
      </c>
      <c r="AB2188">
        <v>25</v>
      </c>
      <c r="AC2188">
        <v>-42.590200000000003</v>
      </c>
      <c r="AD2188">
        <v>-1.104452269</v>
      </c>
      <c r="AE2188">
        <v>-5.7408999999999502</v>
      </c>
      <c r="AF2188">
        <v>-5.7586409286677798</v>
      </c>
      <c r="AG2188">
        <v>-1.104452269</v>
      </c>
      <c r="AH2188">
        <v>42.5591812504668</v>
      </c>
      <c r="AI2188">
        <v>91.473129467227295</v>
      </c>
      <c r="AJ2188">
        <v>97.705835455130895</v>
      </c>
      <c r="AK2188">
        <v>42.9612112127896</v>
      </c>
      <c r="AL2188">
        <v>78.103898909355706</v>
      </c>
      <c r="AM2188">
        <v>97.027983713866206</v>
      </c>
      <c r="AN2188">
        <v>1.0000000070261299</v>
      </c>
    </row>
    <row r="2189" spans="1:40" x14ac:dyDescent="0.25">
      <c r="A2189" t="str">
        <f>"20190304155059816"</f>
        <v>20190304155059816</v>
      </c>
      <c r="B2189" t="str">
        <f>"1551685859808483"</f>
        <v>1551685859808483</v>
      </c>
      <c r="C2189" t="s">
        <v>40</v>
      </c>
      <c r="D2189">
        <v>4.9626679999999999</v>
      </c>
      <c r="E2189">
        <v>0.5112854</v>
      </c>
      <c r="F2189" t="s">
        <v>75</v>
      </c>
      <c r="G2189">
        <v>-511.07569999999998</v>
      </c>
      <c r="H2189">
        <v>6.1203890000000003</v>
      </c>
      <c r="I2189">
        <v>271.96749999999997</v>
      </c>
      <c r="J2189">
        <v>-338.6069</v>
      </c>
      <c r="K2189">
        <v>1.1105860000000001</v>
      </c>
      <c r="L2189">
        <v>285.35750000000002</v>
      </c>
      <c r="M2189">
        <v>-0.99990449999999997</v>
      </c>
      <c r="N2189">
        <v>-1.381306E-2</v>
      </c>
      <c r="O2189">
        <v>6.6607820000000003E-4</v>
      </c>
      <c r="P2189">
        <v>-0.97414049999999996</v>
      </c>
      <c r="Q2189">
        <v>0.1921583</v>
      </c>
      <c r="R2189">
        <v>-0.11885320000000001</v>
      </c>
      <c r="S2189">
        <v>-3.0338750000000001</v>
      </c>
      <c r="T2189">
        <v>8.8047269999999997E-2</v>
      </c>
      <c r="U2189">
        <v>-0.235321</v>
      </c>
      <c r="V2189">
        <v>-0.1194067</v>
      </c>
      <c r="W2189">
        <v>0.20565</v>
      </c>
      <c r="X2189">
        <v>0.9713136</v>
      </c>
      <c r="Y2189">
        <v>-7.7978749999999999E-2</v>
      </c>
      <c r="Z2189">
        <v>6.1861969999999996E-4</v>
      </c>
      <c r="AA2189">
        <v>0.99695489999999998</v>
      </c>
      <c r="AB2189">
        <v>25</v>
      </c>
      <c r="AC2189">
        <v>-172.46879999999999</v>
      </c>
      <c r="AD2189">
        <v>5.0098029999999998</v>
      </c>
      <c r="AE2189">
        <v>-13.39</v>
      </c>
      <c r="AF2189">
        <v>-13.4935685309938</v>
      </c>
      <c r="AG2189">
        <v>5.0098029999999998</v>
      </c>
      <c r="AH2189">
        <v>172.315320006463</v>
      </c>
      <c r="AI2189">
        <v>88.339762103124599</v>
      </c>
      <c r="AJ2189">
        <v>94.477547534389998</v>
      </c>
      <c r="AK2189">
        <v>172.915424490498</v>
      </c>
      <c r="AL2189">
        <v>78.132447882479696</v>
      </c>
      <c r="AM2189">
        <v>97.008390391610305</v>
      </c>
      <c r="AN2189">
        <v>0.99999999602492495</v>
      </c>
    </row>
    <row r="2190" spans="1:40" x14ac:dyDescent="0.25">
      <c r="A2190" t="str">
        <f>"20190304155059835"</f>
        <v>20190304155059835</v>
      </c>
      <c r="B2190" t="str">
        <f>"1551685859828979"</f>
        <v>1551685859828979</v>
      </c>
      <c r="C2190" t="s">
        <v>40</v>
      </c>
      <c r="D2190">
        <v>4.9452089999999904</v>
      </c>
      <c r="E2190">
        <v>0.50828329999999999</v>
      </c>
      <c r="F2190" t="s">
        <v>75</v>
      </c>
      <c r="G2190">
        <v>-511.07589999999999</v>
      </c>
      <c r="H2190">
        <v>6.5457559999999999</v>
      </c>
      <c r="I2190">
        <v>270.53199999999998</v>
      </c>
      <c r="J2190">
        <v>-338.82369999999997</v>
      </c>
      <c r="K2190">
        <v>1.1105830000000001</v>
      </c>
      <c r="L2190">
        <v>285.35789999999997</v>
      </c>
      <c r="M2190">
        <v>-0.99990429999999997</v>
      </c>
      <c r="N2190">
        <v>-1.3810670000000001E-2</v>
      </c>
      <c r="O2190">
        <v>8.825886E-4</v>
      </c>
      <c r="P2190">
        <v>-0.97447010000000001</v>
      </c>
      <c r="Q2190">
        <v>0.19072500000000001</v>
      </c>
      <c r="R2190">
        <v>-0.1184564</v>
      </c>
      <c r="S2190">
        <v>-3.0290219999999999</v>
      </c>
      <c r="T2190">
        <v>9.5457550000000002E-2</v>
      </c>
      <c r="U2190">
        <v>-0.260376</v>
      </c>
      <c r="V2190">
        <v>-0.1192228</v>
      </c>
      <c r="W2190">
        <v>0.20421810000000001</v>
      </c>
      <c r="X2190">
        <v>0.97163829999999995</v>
      </c>
      <c r="Y2190">
        <v>-8.6499210000000007E-2</v>
      </c>
      <c r="Z2190">
        <v>8.0154039999999905E-4</v>
      </c>
      <c r="AA2190">
        <v>0.99625160000000001</v>
      </c>
      <c r="AB2190">
        <v>25</v>
      </c>
      <c r="AC2190">
        <v>-172.25219999999999</v>
      </c>
      <c r="AD2190">
        <v>5.4351729999999998</v>
      </c>
      <c r="AE2190">
        <v>-14.825899999999899</v>
      </c>
      <c r="AF2190">
        <v>-14.9631483650268</v>
      </c>
      <c r="AG2190">
        <v>5.4351729999999998</v>
      </c>
      <c r="AH2190">
        <v>172.068989557424</v>
      </c>
      <c r="AI2190">
        <v>88.197587471755497</v>
      </c>
      <c r="AJ2190">
        <v>94.969948117041895</v>
      </c>
      <c r="AK2190">
        <v>172.80386014741299</v>
      </c>
      <c r="AL2190">
        <v>78.216269361876101</v>
      </c>
      <c r="AM2190">
        <v>96.995388461123397</v>
      </c>
      <c r="AN2190">
        <v>1.00000004721716</v>
      </c>
    </row>
    <row r="2191" spans="1:40" x14ac:dyDescent="0.25">
      <c r="A2191" t="str">
        <f>"20190304155059849"</f>
        <v>20190304155059849</v>
      </c>
      <c r="B2191" t="str">
        <f>"1551685859838740"</f>
        <v>1551685859838740</v>
      </c>
      <c r="C2191" t="s">
        <v>40</v>
      </c>
      <c r="D2191">
        <v>4.9420849999999996</v>
      </c>
      <c r="E2191">
        <v>0.50717230000000002</v>
      </c>
      <c r="F2191" t="s">
        <v>75</v>
      </c>
      <c r="G2191">
        <v>-512.82600000000002</v>
      </c>
      <c r="H2191">
        <v>2.468855</v>
      </c>
      <c r="I2191">
        <v>269.22149999999999</v>
      </c>
      <c r="J2191">
        <v>-338.97719999999998</v>
      </c>
      <c r="K2191">
        <v>1.110582</v>
      </c>
      <c r="L2191">
        <v>285.35820000000001</v>
      </c>
      <c r="M2191">
        <v>-0.99990409999999996</v>
      </c>
      <c r="N2191">
        <v>-1.3808910000000001E-2</v>
      </c>
      <c r="O2191">
        <v>1.0338999999999999E-3</v>
      </c>
      <c r="P2191">
        <v>-0.97460820000000004</v>
      </c>
      <c r="Q2191">
        <v>0.19024450000000001</v>
      </c>
      <c r="R2191">
        <v>-0.11809210000000001</v>
      </c>
      <c r="S2191">
        <v>-3.0397029999999998</v>
      </c>
      <c r="T2191">
        <v>2.3729440000000001E-2</v>
      </c>
      <c r="U2191">
        <v>-0.2818909</v>
      </c>
      <c r="V2191">
        <v>-0.1190075</v>
      </c>
      <c r="W2191">
        <v>0.2037368</v>
      </c>
      <c r="X2191">
        <v>0.97176569999999995</v>
      </c>
      <c r="Y2191">
        <v>-9.3371590000000004E-2</v>
      </c>
      <c r="Z2191">
        <v>-2.6011609999999999E-4</v>
      </c>
      <c r="AA2191">
        <v>0.9956313</v>
      </c>
      <c r="AB2191">
        <v>25</v>
      </c>
      <c r="AC2191">
        <v>-173.84880000000001</v>
      </c>
      <c r="AD2191">
        <v>1.3582730000000001</v>
      </c>
      <c r="AE2191">
        <v>-16.136700000000001</v>
      </c>
      <c r="AF2191">
        <v>-16.315463365064101</v>
      </c>
      <c r="AG2191">
        <v>1.3582730000000001</v>
      </c>
      <c r="AH2191">
        <v>173.82150191321799</v>
      </c>
      <c r="AI2191">
        <v>89.554248635668202</v>
      </c>
      <c r="AJ2191">
        <v>95.362261200031497</v>
      </c>
      <c r="AK2191">
        <v>174.59081813693999</v>
      </c>
      <c r="AL2191">
        <v>78.244437751509494</v>
      </c>
      <c r="AM2191">
        <v>96.981974152308197</v>
      </c>
      <c r="AN2191">
        <v>1.0000000222134799</v>
      </c>
    </row>
    <row r="2192" spans="1:40" x14ac:dyDescent="0.25">
      <c r="A2192" t="str">
        <f>"20190304155059868"</f>
        <v>20190304155059868</v>
      </c>
      <c r="B2192" t="str">
        <f>"1551685859858259"</f>
        <v>1551685859858259</v>
      </c>
      <c r="C2192" t="s">
        <v>40</v>
      </c>
      <c r="D2192">
        <v>5.1212369999999998</v>
      </c>
      <c r="E2192">
        <v>0.50631530000000002</v>
      </c>
      <c r="F2192" t="s">
        <v>75</v>
      </c>
      <c r="G2192">
        <v>-512.82569999999998</v>
      </c>
      <c r="H2192">
        <v>1.654927</v>
      </c>
      <c r="I2192">
        <v>268.82040000000001</v>
      </c>
      <c r="J2192">
        <v>-339.18560000000002</v>
      </c>
      <c r="K2192">
        <v>1.110573</v>
      </c>
      <c r="L2192">
        <v>285.3587</v>
      </c>
      <c r="M2192">
        <v>-0.99990400000000002</v>
      </c>
      <c r="N2192">
        <v>-1.380666E-2</v>
      </c>
      <c r="O2192">
        <v>1.2362250000000001E-3</v>
      </c>
      <c r="P2192">
        <v>-0.97489150000000002</v>
      </c>
      <c r="Q2192">
        <v>0.1891111</v>
      </c>
      <c r="R2192">
        <v>-0.117575</v>
      </c>
      <c r="S2192">
        <v>-3.0412599999999999</v>
      </c>
      <c r="T2192">
        <v>9.5239880000000006E-3</v>
      </c>
      <c r="U2192">
        <v>-0.28930660000000002</v>
      </c>
      <c r="V2192">
        <v>-0.1186893</v>
      </c>
      <c r="W2192">
        <v>0.2026046</v>
      </c>
      <c r="X2192">
        <v>0.97204120000000005</v>
      </c>
      <c r="Y2192">
        <v>-9.5931859999999994E-2</v>
      </c>
      <c r="Z2192">
        <v>-4.9300289999999996E-4</v>
      </c>
      <c r="AA2192">
        <v>0.99538780000000004</v>
      </c>
      <c r="AB2192">
        <v>25</v>
      </c>
      <c r="AC2192">
        <v>-173.64009999999899</v>
      </c>
      <c r="AD2192">
        <v>0.544354</v>
      </c>
      <c r="AE2192">
        <v>-16.5382999999999</v>
      </c>
      <c r="AF2192">
        <v>-16.752802872473499</v>
      </c>
      <c r="AG2192">
        <v>0.544354</v>
      </c>
      <c r="AH2192">
        <v>173.61782931749599</v>
      </c>
      <c r="AI2192">
        <v>89.821188328936103</v>
      </c>
      <c r="AJ2192">
        <v>95.511544544478994</v>
      </c>
      <c r="AK2192">
        <v>174.42506523513299</v>
      </c>
      <c r="AL2192">
        <v>78.310688789763105</v>
      </c>
      <c r="AM2192">
        <v>96.961535161627097</v>
      </c>
      <c r="AN2192">
        <v>0.99999993418654198</v>
      </c>
    </row>
    <row r="2193" spans="1:40" x14ac:dyDescent="0.25">
      <c r="A2193" t="str">
        <f>"20190304155059880"</f>
        <v>20190304155059880</v>
      </c>
      <c r="B2193" t="str">
        <f>"1551685859868995"</f>
        <v>1551685859868995</v>
      </c>
      <c r="C2193" t="s">
        <v>40</v>
      </c>
      <c r="D2193">
        <v>4.8851420000000001</v>
      </c>
      <c r="E2193">
        <v>0.50561219999999996</v>
      </c>
      <c r="F2193" t="s">
        <v>75</v>
      </c>
      <c r="G2193">
        <v>-512.82539999999995</v>
      </c>
      <c r="H2193">
        <v>0.59006709999999996</v>
      </c>
      <c r="I2193">
        <v>268.56420000000003</v>
      </c>
      <c r="J2193">
        <v>-339.32159999999999</v>
      </c>
      <c r="K2193">
        <v>1.110574</v>
      </c>
      <c r="L2193">
        <v>285.35890000000001</v>
      </c>
      <c r="M2193">
        <v>-0.99990369999999995</v>
      </c>
      <c r="N2193">
        <v>-1.3805339999999999E-2</v>
      </c>
      <c r="O2193">
        <v>1.367091E-3</v>
      </c>
      <c r="P2193">
        <v>-0.97503580000000001</v>
      </c>
      <c r="Q2193">
        <v>0.18850929999999999</v>
      </c>
      <c r="R2193">
        <v>-0.1173434</v>
      </c>
      <c r="S2193">
        <v>-3.0435490000000001</v>
      </c>
      <c r="T2193">
        <v>-9.1220139999999995E-3</v>
      </c>
      <c r="U2193">
        <v>-0.29437259999999998</v>
      </c>
      <c r="V2193">
        <v>-0.1185867</v>
      </c>
      <c r="W2193">
        <v>0.20200270000000001</v>
      </c>
      <c r="X2193">
        <v>0.97217909999999996</v>
      </c>
      <c r="Y2193">
        <v>-9.7629160000000006E-2</v>
      </c>
      <c r="Z2193">
        <v>-8.0673369999999895E-4</v>
      </c>
      <c r="AA2193">
        <v>0.99522250000000001</v>
      </c>
      <c r="AB2193">
        <v>25</v>
      </c>
      <c r="AC2193">
        <v>-173.50379999999899</v>
      </c>
      <c r="AD2193">
        <v>-0.52050689999999999</v>
      </c>
      <c r="AE2193">
        <v>-16.794699999999899</v>
      </c>
      <c r="AF2193">
        <v>-17.031750548512001</v>
      </c>
      <c r="AG2193">
        <v>-0.52050689999999999</v>
      </c>
      <c r="AH2193">
        <v>173.47912896992599</v>
      </c>
      <c r="AI2193">
        <v>90.171087223468604</v>
      </c>
      <c r="AJ2193">
        <v>95.607188009669201</v>
      </c>
      <c r="AK2193">
        <v>174.31396858067299</v>
      </c>
      <c r="AL2193">
        <v>78.345904618417904</v>
      </c>
      <c r="AM2193">
        <v>96.954599335410407</v>
      </c>
      <c r="AN2193">
        <v>1.0000000493504899</v>
      </c>
    </row>
    <row r="2194" spans="1:40" x14ac:dyDescent="0.25">
      <c r="A2194" t="str">
        <f>"20190304155059893"</f>
        <v>20190304155059893</v>
      </c>
      <c r="B2194" t="str">
        <f>"1551685859888516"</f>
        <v>1551685859888516</v>
      </c>
      <c r="C2194" t="s">
        <v>40</v>
      </c>
      <c r="D2194">
        <v>4.9154090000000004</v>
      </c>
      <c r="E2194">
        <v>0.50506600000000001</v>
      </c>
      <c r="F2194" t="s">
        <v>62</v>
      </c>
      <c r="G2194">
        <v>-498.11599999999999</v>
      </c>
      <c r="H2194" s="1">
        <v>4.9244009999999997E-8</v>
      </c>
      <c r="I2194">
        <v>269.75560000000002</v>
      </c>
      <c r="J2194">
        <v>-339.45409999999998</v>
      </c>
      <c r="K2194">
        <v>1.110573</v>
      </c>
      <c r="L2194">
        <v>285.35930000000002</v>
      </c>
      <c r="M2194">
        <v>-0.99990369999999995</v>
      </c>
      <c r="N2194">
        <v>-1.380291E-2</v>
      </c>
      <c r="O2194">
        <v>1.493914E-3</v>
      </c>
      <c r="P2194">
        <v>-0.97511510000000001</v>
      </c>
      <c r="Q2194">
        <v>0.1882654</v>
      </c>
      <c r="R2194">
        <v>-0.1170761</v>
      </c>
      <c r="S2194">
        <v>-3.0448909999999998</v>
      </c>
      <c r="T2194">
        <v>-2.1295310000000001E-2</v>
      </c>
      <c r="U2194">
        <v>-0.29919430000000002</v>
      </c>
      <c r="V2194">
        <v>-0.11844449999999999</v>
      </c>
      <c r="W2194">
        <v>0.20175609999999999</v>
      </c>
      <c r="X2194">
        <v>0.97224759999999999</v>
      </c>
      <c r="Y2194">
        <v>-9.9269670000000004E-2</v>
      </c>
      <c r="Z2194">
        <v>-1.0229569999999999E-3</v>
      </c>
      <c r="AA2194">
        <v>0.99505999999999994</v>
      </c>
      <c r="AB2194">
        <v>25</v>
      </c>
      <c r="AC2194">
        <v>-158.6619</v>
      </c>
      <c r="AD2194">
        <v>-1.1105729507559901</v>
      </c>
      <c r="AE2194">
        <v>-15.6037</v>
      </c>
      <c r="AF2194">
        <v>-15.8399637419923</v>
      </c>
      <c r="AG2194">
        <v>-1.1105729507559901</v>
      </c>
      <c r="AH2194">
        <v>158.63071250212599</v>
      </c>
      <c r="AI2194">
        <v>90.399136087665994</v>
      </c>
      <c r="AJ2194">
        <v>95.702329459987197</v>
      </c>
      <c r="AK2194">
        <v>159.42346368260499</v>
      </c>
      <c r="AL2194">
        <v>78.360330316846898</v>
      </c>
      <c r="AM2194">
        <v>96.945856817242799</v>
      </c>
      <c r="AN2194">
        <v>1.00000000958661</v>
      </c>
    </row>
    <row r="2195" spans="1:40" x14ac:dyDescent="0.25">
      <c r="A2195" t="str">
        <f>"20190304155059906"</f>
        <v>20190304155059906</v>
      </c>
      <c r="B2195" t="str">
        <f>"1551685859899251"</f>
        <v>1551685859899251</v>
      </c>
      <c r="C2195" t="s">
        <v>40</v>
      </c>
      <c r="D2195">
        <v>4.9282750000000002</v>
      </c>
      <c r="E2195">
        <v>0.50503729999999902</v>
      </c>
      <c r="F2195" t="s">
        <v>42</v>
      </c>
      <c r="G2195">
        <v>-465.3227</v>
      </c>
      <c r="H2195">
        <v>-0.05</v>
      </c>
      <c r="I2195">
        <v>272.84679999999997</v>
      </c>
      <c r="J2195">
        <v>-339.60509999999999</v>
      </c>
      <c r="K2195">
        <v>1.1105780000000001</v>
      </c>
      <c r="L2195">
        <v>285.3596</v>
      </c>
      <c r="M2195">
        <v>-0.9999036</v>
      </c>
      <c r="N2195">
        <v>-1.379815E-2</v>
      </c>
      <c r="O2195">
        <v>1.638097E-3</v>
      </c>
      <c r="P2195">
        <v>-0.97518700000000003</v>
      </c>
      <c r="Q2195">
        <v>0.1880714</v>
      </c>
      <c r="R2195">
        <v>-0.1167913</v>
      </c>
      <c r="S2195">
        <v>-3.0456539999999999</v>
      </c>
      <c r="T2195">
        <v>-2.8082490000000002E-2</v>
      </c>
      <c r="U2195">
        <v>-0.3027649</v>
      </c>
      <c r="V2195">
        <v>-0.118301</v>
      </c>
      <c r="W2195">
        <v>0.20155809999999999</v>
      </c>
      <c r="X2195">
        <v>0.97230609999999995</v>
      </c>
      <c r="Y2195">
        <v>-0.1005407</v>
      </c>
      <c r="Z2195">
        <v>-1.1503010000000001E-3</v>
      </c>
      <c r="AA2195">
        <v>0.99493229999999999</v>
      </c>
      <c r="AB2195">
        <v>25</v>
      </c>
      <c r="AC2195">
        <v>-125.7176</v>
      </c>
      <c r="AD2195">
        <v>-1.1605780000000001</v>
      </c>
      <c r="AE2195">
        <v>-12.5128</v>
      </c>
      <c r="AF2195">
        <v>-12.717667204593999</v>
      </c>
      <c r="AG2195">
        <v>-1.1605780000000001</v>
      </c>
      <c r="AH2195">
        <v>125.68632587851199</v>
      </c>
      <c r="AI2195">
        <v>90.526362264862698</v>
      </c>
      <c r="AJ2195">
        <v>95.777851950574103</v>
      </c>
      <c r="AK2195">
        <v>126.33344178506501</v>
      </c>
      <c r="AL2195">
        <v>78.371912400967304</v>
      </c>
      <c r="AM2195">
        <v>96.937110369218502</v>
      </c>
      <c r="AN2195">
        <v>0.99999997318690903</v>
      </c>
    </row>
    <row r="2196" spans="1:40" x14ac:dyDescent="0.25">
      <c r="A2196" t="str">
        <f>"20190304155059918"</f>
        <v>20190304155059918</v>
      </c>
      <c r="B2196" t="str">
        <f>"1551685859909012"</f>
        <v>1551685859909012</v>
      </c>
      <c r="C2196" t="s">
        <v>40</v>
      </c>
      <c r="D2196">
        <v>4.8460349999999996</v>
      </c>
      <c r="E2196">
        <v>0.50503729999999902</v>
      </c>
      <c r="F2196" t="s">
        <v>70</v>
      </c>
      <c r="G2196">
        <v>-440.96850000000001</v>
      </c>
      <c r="H2196">
        <v>8.0001589999999997E-2</v>
      </c>
      <c r="I2196">
        <v>275.30009999999999</v>
      </c>
      <c r="J2196">
        <v>-339.75</v>
      </c>
      <c r="K2196">
        <v>1.1105799999999999</v>
      </c>
      <c r="L2196">
        <v>285.36009999999999</v>
      </c>
      <c r="M2196">
        <v>-0.9999034</v>
      </c>
      <c r="N2196">
        <v>-1.3791100000000001E-2</v>
      </c>
      <c r="O2196">
        <v>1.7761020000000001E-3</v>
      </c>
      <c r="P2196">
        <v>-0.97521630000000004</v>
      </c>
      <c r="Q2196">
        <v>0.1881052</v>
      </c>
      <c r="R2196">
        <v>-0.11648849999999999</v>
      </c>
      <c r="S2196">
        <v>-3.0461429999999998</v>
      </c>
      <c r="T2196">
        <v>-3.0970569999999999E-2</v>
      </c>
      <c r="U2196">
        <v>-0.3023071</v>
      </c>
      <c r="V2196">
        <v>-0.1181335</v>
      </c>
      <c r="W2196">
        <v>0.20158470000000001</v>
      </c>
      <c r="X2196">
        <v>0.97232099999999999</v>
      </c>
      <c r="Y2196">
        <v>-0.1005127</v>
      </c>
      <c r="Z2196">
        <v>-1.1981400000000001E-3</v>
      </c>
      <c r="AA2196">
        <v>0.99493500000000001</v>
      </c>
      <c r="AB2196">
        <v>25</v>
      </c>
      <c r="AC2196">
        <v>-101.21850000000001</v>
      </c>
      <c r="AD2196">
        <v>-1.0305784099999999</v>
      </c>
      <c r="AE2196">
        <v>-10.06</v>
      </c>
      <c r="AF2196">
        <v>-10.2387245543734</v>
      </c>
      <c r="AG2196">
        <v>-1.0305784099999999</v>
      </c>
      <c r="AH2196">
        <v>101.190083531285</v>
      </c>
      <c r="AI2196">
        <v>90.580549160424297</v>
      </c>
      <c r="AJ2196">
        <v>95.777699726497104</v>
      </c>
      <c r="AK2196">
        <v>101.711978534625</v>
      </c>
      <c r="AL2196">
        <v>78.370356958945607</v>
      </c>
      <c r="AM2196">
        <v>96.927278637824799</v>
      </c>
      <c r="AN2196">
        <v>1.0000000210686699</v>
      </c>
    </row>
    <row r="2197" spans="1:40" x14ac:dyDescent="0.25">
      <c r="A2197" t="str">
        <f>"20190304155059931"</f>
        <v>20190304155059931</v>
      </c>
      <c r="B2197" t="str">
        <f>"1551685859928531"</f>
        <v>1551685859928531</v>
      </c>
      <c r="C2197" t="s">
        <v>40</v>
      </c>
      <c r="D2197">
        <v>5.1252250000000004</v>
      </c>
      <c r="E2197">
        <v>0.53124119999999997</v>
      </c>
      <c r="F2197" t="s">
        <v>70</v>
      </c>
      <c r="G2197">
        <v>-441.40019999999998</v>
      </c>
      <c r="H2197">
        <v>8.0001459999999996E-2</v>
      </c>
      <c r="I2197">
        <v>275.29759999999999</v>
      </c>
      <c r="J2197">
        <v>-339.8886</v>
      </c>
      <c r="K2197">
        <v>1.110579</v>
      </c>
      <c r="L2197">
        <v>285.3605</v>
      </c>
      <c r="M2197">
        <v>-0.99990310000000004</v>
      </c>
      <c r="N2197">
        <v>-1.37839E-2</v>
      </c>
      <c r="O2197">
        <v>1.90815E-3</v>
      </c>
      <c r="P2197">
        <v>-0.97526809999999997</v>
      </c>
      <c r="Q2197">
        <v>0.18815509999999999</v>
      </c>
      <c r="R2197">
        <v>-0.1159738</v>
      </c>
      <c r="S2197">
        <v>-3.046173</v>
      </c>
      <c r="T2197">
        <v>-3.0883549999999999E-2</v>
      </c>
      <c r="U2197">
        <v>-0.30154419999999998</v>
      </c>
      <c r="V2197">
        <v>-0.11774800000000001</v>
      </c>
      <c r="W2197">
        <v>0.20162820000000001</v>
      </c>
      <c r="X2197">
        <v>0.97235870000000002</v>
      </c>
      <c r="Y2197">
        <v>-0.1003964</v>
      </c>
      <c r="Z2197">
        <v>-1.194428E-3</v>
      </c>
      <c r="AA2197">
        <v>0.99494680000000002</v>
      </c>
      <c r="AB2197">
        <v>25</v>
      </c>
      <c r="AC2197">
        <v>-101.5116</v>
      </c>
      <c r="AD2197">
        <v>-1.0305775399999999</v>
      </c>
      <c r="AE2197">
        <v>-10.062900000000001</v>
      </c>
      <c r="AF2197">
        <v>-10.255552706870199</v>
      </c>
      <c r="AG2197">
        <v>-1.0305775399999999</v>
      </c>
      <c r="AH2197">
        <v>101.48185391823399</v>
      </c>
      <c r="AI2197">
        <v>90.578886896771806</v>
      </c>
      <c r="AJ2197">
        <v>95.770605304511804</v>
      </c>
      <c r="AK2197">
        <v>102.003946620075</v>
      </c>
      <c r="AL2197">
        <v>78.367811882225098</v>
      </c>
      <c r="AM2197">
        <v>96.904626604977096</v>
      </c>
      <c r="AN2197">
        <v>0.99999998200246398</v>
      </c>
    </row>
    <row r="2198" spans="1:40" x14ac:dyDescent="0.25">
      <c r="A2198" t="str">
        <f>"20190304155059946"</f>
        <v>20190304155059946</v>
      </c>
      <c r="B2198" t="str">
        <f>"1551685859939267"</f>
        <v>1551685859939267</v>
      </c>
      <c r="C2198" t="s">
        <v>40</v>
      </c>
      <c r="D2198">
        <v>4.9223540000000003</v>
      </c>
      <c r="E2198">
        <v>0.55756549999999905</v>
      </c>
      <c r="F2198" t="s">
        <v>75</v>
      </c>
      <c r="G2198">
        <v>-517.70140000000004</v>
      </c>
      <c r="H2198">
        <v>5.523447</v>
      </c>
      <c r="I2198">
        <v>279.8954</v>
      </c>
      <c r="J2198">
        <v>-340.05220000000003</v>
      </c>
      <c r="K2198">
        <v>1.110574</v>
      </c>
      <c r="L2198">
        <v>285.36090000000002</v>
      </c>
      <c r="M2198">
        <v>-0.99990299999999999</v>
      </c>
      <c r="N2198">
        <v>-1.377509E-2</v>
      </c>
      <c r="O2198">
        <v>2.063633E-3</v>
      </c>
      <c r="P2198">
        <v>-0.97538020000000003</v>
      </c>
      <c r="Q2198">
        <v>0.18783910000000001</v>
      </c>
      <c r="R2198">
        <v>-0.11554159999999999</v>
      </c>
      <c r="S2198">
        <v>-3.0502929999999999</v>
      </c>
      <c r="T2198">
        <v>7.5701950000000004E-2</v>
      </c>
      <c r="U2198">
        <v>-9.375E-2</v>
      </c>
      <c r="V2198">
        <v>-0.11746860000000001</v>
      </c>
      <c r="W2198">
        <v>0.20130400000000001</v>
      </c>
      <c r="X2198">
        <v>0.97245970000000004</v>
      </c>
      <c r="Y2198">
        <v>-3.2777019999999997E-2</v>
      </c>
      <c r="Z2198">
        <v>2.6034760000000001E-4</v>
      </c>
      <c r="AA2198">
        <v>0.99946270000000004</v>
      </c>
      <c r="AB2198">
        <v>25</v>
      </c>
      <c r="AC2198">
        <v>-177.64920000000001</v>
      </c>
      <c r="AD2198">
        <v>4.4128730000000003</v>
      </c>
      <c r="AE2198">
        <v>-5.4655000000000102</v>
      </c>
      <c r="AF2198">
        <v>-5.8285328327377197</v>
      </c>
      <c r="AG2198">
        <v>4.4128730000000003</v>
      </c>
      <c r="AH2198">
        <v>177.52810268786499</v>
      </c>
      <c r="AI2198">
        <v>88.576840154644401</v>
      </c>
      <c r="AJ2198">
        <v>91.880437038429406</v>
      </c>
      <c r="AK2198">
        <v>177.67856507482699</v>
      </c>
      <c r="AL2198">
        <v>78.386776475397298</v>
      </c>
      <c r="AM2198">
        <v>96.887691909400601</v>
      </c>
      <c r="AN2198">
        <v>1.0000000202630199</v>
      </c>
    </row>
    <row r="2199" spans="1:40" x14ac:dyDescent="0.25">
      <c r="A2199" t="str">
        <f>"20190304155059958"</f>
        <v>20190304155059958</v>
      </c>
      <c r="B2199" t="str">
        <f>"1551685859949028"</f>
        <v>1551685859949028</v>
      </c>
      <c r="C2199" t="s">
        <v>40</v>
      </c>
      <c r="D2199">
        <v>4.8990450000000001</v>
      </c>
      <c r="E2199">
        <v>0.55955679999999997</v>
      </c>
      <c r="F2199" t="s">
        <v>76</v>
      </c>
      <c r="G2199">
        <v>-536.30709999999999</v>
      </c>
      <c r="H2199">
        <v>7.3290389999999999</v>
      </c>
      <c r="I2199">
        <v>292.75510000000003</v>
      </c>
      <c r="J2199">
        <v>-340.18459999999999</v>
      </c>
      <c r="K2199">
        <v>1.110573</v>
      </c>
      <c r="L2199">
        <v>285.3614</v>
      </c>
      <c r="M2199">
        <v>-0.99990299999999999</v>
      </c>
      <c r="N2199">
        <v>-1.3765940000000001E-2</v>
      </c>
      <c r="O2199">
        <v>2.1895030000000002E-3</v>
      </c>
      <c r="P2199">
        <v>-0.97549609999999998</v>
      </c>
      <c r="Q2199">
        <v>0.1874123</v>
      </c>
      <c r="R2199">
        <v>-0.1152575</v>
      </c>
      <c r="S2199">
        <v>-3.0706790000000002</v>
      </c>
      <c r="T2199">
        <v>9.7297670000000003E-2</v>
      </c>
      <c r="U2199">
        <v>0.11569210000000001</v>
      </c>
      <c r="V2199">
        <v>-0.1173081</v>
      </c>
      <c r="W2199">
        <v>0.2008692</v>
      </c>
      <c r="X2199">
        <v>0.97256900000000002</v>
      </c>
      <c r="Y2199">
        <v>3.545367E-2</v>
      </c>
      <c r="Z2199">
        <v>-2.177394E-4</v>
      </c>
      <c r="AA2199">
        <v>0.99937129999999996</v>
      </c>
      <c r="AB2199">
        <v>25</v>
      </c>
      <c r="AC2199">
        <v>-196.1225</v>
      </c>
      <c r="AD2199">
        <v>6.2184659999999896</v>
      </c>
      <c r="AE2199">
        <v>7.3937000000000204</v>
      </c>
      <c r="AF2199">
        <v>6.9572463938440601</v>
      </c>
      <c r="AG2199">
        <v>6.2184659999999896</v>
      </c>
      <c r="AH2199">
        <v>195.94151218068299</v>
      </c>
      <c r="AI2199">
        <v>88.183395899034394</v>
      </c>
      <c r="AJ2199">
        <v>87.966467340689903</v>
      </c>
      <c r="AK2199">
        <v>196.163576620204</v>
      </c>
      <c r="AL2199">
        <v>78.412208425921804</v>
      </c>
      <c r="AM2199">
        <v>96.877605714397603</v>
      </c>
      <c r="AN2199">
        <v>1.0000000427976199</v>
      </c>
    </row>
    <row r="2200" spans="1:40" x14ac:dyDescent="0.25">
      <c r="A2200" t="str">
        <f>"20190304155059971"</f>
        <v>20190304155059971</v>
      </c>
      <c r="B2200" t="str">
        <f>"1551685859968548"</f>
        <v>1551685859968548</v>
      </c>
      <c r="C2200" t="s">
        <v>40</v>
      </c>
      <c r="D2200">
        <v>4.8804400000000001</v>
      </c>
      <c r="E2200">
        <v>0.56106820000000002</v>
      </c>
      <c r="F2200" t="s">
        <v>76</v>
      </c>
      <c r="G2200">
        <v>-511.67869999999999</v>
      </c>
      <c r="H2200">
        <v>5.6016029999999999</v>
      </c>
      <c r="I2200">
        <v>292.75510000000003</v>
      </c>
      <c r="J2200">
        <v>-340.32729999999998</v>
      </c>
      <c r="K2200">
        <v>1.110568</v>
      </c>
      <c r="L2200">
        <v>285.36180000000002</v>
      </c>
      <c r="M2200">
        <v>-0.99990270000000003</v>
      </c>
      <c r="N2200">
        <v>-1.3754199999999999E-2</v>
      </c>
      <c r="O2200">
        <v>2.3255810000000002E-3</v>
      </c>
      <c r="P2200">
        <v>-0.97560270000000004</v>
      </c>
      <c r="Q2200">
        <v>0.18714</v>
      </c>
      <c r="R2200">
        <v>-0.11479489999999901</v>
      </c>
      <c r="S2200">
        <v>-3.0755620000000001</v>
      </c>
      <c r="T2200">
        <v>8.0543160000000003E-2</v>
      </c>
      <c r="U2200">
        <v>0.13259889999999999</v>
      </c>
      <c r="V2200">
        <v>-0.11697879999999999</v>
      </c>
      <c r="W2200">
        <v>0.20058699999999999</v>
      </c>
      <c r="X2200">
        <v>0.9726669</v>
      </c>
      <c r="Y2200">
        <v>4.0745179999999999E-2</v>
      </c>
      <c r="Z2200">
        <v>-1.599777E-4</v>
      </c>
      <c r="AA2200">
        <v>0.99916950000000004</v>
      </c>
      <c r="AB2200">
        <v>25</v>
      </c>
      <c r="AC2200">
        <v>-171.35140000000001</v>
      </c>
      <c r="AD2200">
        <v>4.4910350000000001</v>
      </c>
      <c r="AE2200">
        <v>7.3933000000000098</v>
      </c>
      <c r="AF2200">
        <v>6.9899579986815397</v>
      </c>
      <c r="AG2200">
        <v>4.4910350000000001</v>
      </c>
      <c r="AH2200">
        <v>171.25071186282699</v>
      </c>
      <c r="AI2200">
        <v>88.499016748512204</v>
      </c>
      <c r="AJ2200">
        <v>87.662649708497497</v>
      </c>
      <c r="AK2200">
        <v>171.45213682459499</v>
      </c>
      <c r="AL2200">
        <v>78.428713198645198</v>
      </c>
      <c r="AM2200">
        <v>96.857799740452506</v>
      </c>
      <c r="AN2200">
        <v>1.00000004128702</v>
      </c>
    </row>
    <row r="2201" spans="1:40" x14ac:dyDescent="0.25">
      <c r="A2201" t="str">
        <f>"20190304155059984"</f>
        <v>20190304155059984</v>
      </c>
      <c r="B2201" t="str">
        <f>"1551685859979283"</f>
        <v>1551685859979283</v>
      </c>
      <c r="C2201" t="s">
        <v>40</v>
      </c>
      <c r="D2201">
        <v>5.1561719999999998</v>
      </c>
      <c r="E2201">
        <v>0.56119719999999995</v>
      </c>
      <c r="F2201" t="s">
        <v>76</v>
      </c>
      <c r="G2201">
        <v>-510.0711</v>
      </c>
      <c r="H2201">
        <v>7.2344470000000003</v>
      </c>
      <c r="I2201">
        <v>293.4248</v>
      </c>
      <c r="J2201">
        <v>-340.4631</v>
      </c>
      <c r="K2201">
        <v>1.110568</v>
      </c>
      <c r="L2201">
        <v>285.3623</v>
      </c>
      <c r="M2201">
        <v>-0.99990270000000003</v>
      </c>
      <c r="N2201">
        <v>-1.373954E-2</v>
      </c>
      <c r="O2201">
        <v>2.455362E-3</v>
      </c>
      <c r="P2201">
        <v>-0.97569640000000002</v>
      </c>
      <c r="Q2201">
        <v>0.18671189999999999</v>
      </c>
      <c r="R2201">
        <v>-0.1146974</v>
      </c>
      <c r="S2201">
        <v>-3.0709529999999998</v>
      </c>
      <c r="T2201">
        <v>0.1107928</v>
      </c>
      <c r="U2201">
        <v>0.145874</v>
      </c>
      <c r="V2201">
        <v>-0.1170086</v>
      </c>
      <c r="W2201">
        <v>0.2001455</v>
      </c>
      <c r="X2201">
        <v>0.97275420000000001</v>
      </c>
      <c r="Y2201">
        <v>4.4979730000000002E-2</v>
      </c>
      <c r="Z2201">
        <v>-3.7920260000000002E-4</v>
      </c>
      <c r="AA2201">
        <v>0.99898790000000004</v>
      </c>
      <c r="AB2201">
        <v>25</v>
      </c>
      <c r="AC2201">
        <v>-169.608</v>
      </c>
      <c r="AD2201">
        <v>6.1238789999999996</v>
      </c>
      <c r="AE2201">
        <v>8.0625</v>
      </c>
      <c r="AF2201">
        <v>7.6360550963462996</v>
      </c>
      <c r="AG2201">
        <v>6.1238789999999996</v>
      </c>
      <c r="AH2201">
        <v>169.40693766378601</v>
      </c>
      <c r="AI2201">
        <v>87.931818665970894</v>
      </c>
      <c r="AJ2201">
        <v>87.419127067741599</v>
      </c>
      <c r="AK2201">
        <v>169.68948629795301</v>
      </c>
      <c r="AL2201">
        <v>78.454532205260904</v>
      </c>
      <c r="AM2201">
        <v>96.858920355948996</v>
      </c>
      <c r="AN2201">
        <v>0.99999998363092402</v>
      </c>
    </row>
    <row r="2202" spans="1:40" x14ac:dyDescent="0.25">
      <c r="A2202" t="str">
        <f>"20190304155059996"</f>
        <v>20190304155059996</v>
      </c>
      <c r="B2202" t="str">
        <f>"1551685859989043"</f>
        <v>1551685859989043</v>
      </c>
      <c r="C2202" t="s">
        <v>40</v>
      </c>
      <c r="D2202">
        <v>5.1808920000000001</v>
      </c>
      <c r="E2202">
        <v>0.5614439</v>
      </c>
      <c r="F2202" t="s">
        <v>76</v>
      </c>
      <c r="G2202">
        <v>-514.45479999999998</v>
      </c>
      <c r="H2202">
        <v>7.7768559999999898</v>
      </c>
      <c r="I2202">
        <v>293.69319999999999</v>
      </c>
      <c r="J2202">
        <v>-340.60480000000001</v>
      </c>
      <c r="K2202">
        <v>1.1105659999999999</v>
      </c>
      <c r="L2202">
        <v>285.36279999999999</v>
      </c>
      <c r="M2202">
        <v>-0.99990259999999997</v>
      </c>
      <c r="N2202">
        <v>-1.372205E-2</v>
      </c>
      <c r="O2202">
        <v>2.5902949999999998E-3</v>
      </c>
      <c r="P2202">
        <v>-0.97576430000000003</v>
      </c>
      <c r="Q2202">
        <v>0.18656629999999999</v>
      </c>
      <c r="R2202">
        <v>-0.1143565</v>
      </c>
      <c r="S2202">
        <v>-3.0695190000000001</v>
      </c>
      <c r="T2202">
        <v>0.1176064</v>
      </c>
      <c r="U2202">
        <v>0.14697270000000001</v>
      </c>
      <c r="V2202">
        <v>-0.11679970000000001</v>
      </c>
      <c r="W2202">
        <v>0.19998340000000001</v>
      </c>
      <c r="X2202">
        <v>0.97281269999999997</v>
      </c>
      <c r="Y2202">
        <v>4.5221079999999997E-2</v>
      </c>
      <c r="Z2202">
        <v>-4.2030680000000001E-4</v>
      </c>
      <c r="AA2202">
        <v>0.99897689999999995</v>
      </c>
      <c r="AB2202">
        <v>25</v>
      </c>
      <c r="AC2202">
        <v>-173.849999999999</v>
      </c>
      <c r="AD2202">
        <v>6.6662899999999903</v>
      </c>
      <c r="AE2202">
        <v>8.3303999999999903</v>
      </c>
      <c r="AF2202">
        <v>7.86846405993031</v>
      </c>
      <c r="AG2202">
        <v>6.6662899999999903</v>
      </c>
      <c r="AH2202">
        <v>173.61630593243001</v>
      </c>
      <c r="AI2202">
        <v>87.803364956174704</v>
      </c>
      <c r="AJ2202">
        <v>87.405073836401797</v>
      </c>
      <c r="AK2202">
        <v>173.92232126627599</v>
      </c>
      <c r="AL2202">
        <v>78.464012152742697</v>
      </c>
      <c r="AM2202">
        <v>96.846383383147796</v>
      </c>
      <c r="AN2202">
        <v>1.0000000397384601</v>
      </c>
    </row>
    <row r="2203" spans="1:40" x14ac:dyDescent="0.25">
      <c r="A2203" t="str">
        <f>"20190304155100014"</f>
        <v>20190304155100014</v>
      </c>
      <c r="B2203" t="str">
        <f>"1551685860008563"</f>
        <v>1551685860008563</v>
      </c>
      <c r="C2203" t="s">
        <v>40</v>
      </c>
      <c r="D2203">
        <v>4.9642429999999997</v>
      </c>
      <c r="E2203">
        <v>0.56199189999999999</v>
      </c>
      <c r="F2203" t="s">
        <v>76</v>
      </c>
      <c r="G2203">
        <v>-511.01859999999999</v>
      </c>
      <c r="H2203">
        <v>7.8148499999999999</v>
      </c>
      <c r="I2203">
        <v>293.69319999999999</v>
      </c>
      <c r="J2203">
        <v>-340.75510000000003</v>
      </c>
      <c r="K2203">
        <v>1.1105590000000001</v>
      </c>
      <c r="L2203">
        <v>285.36329999999998</v>
      </c>
      <c r="M2203">
        <v>-0.99990250000000003</v>
      </c>
      <c r="N2203">
        <v>-1.3702000000000001E-2</v>
      </c>
      <c r="O2203">
        <v>2.733353E-3</v>
      </c>
      <c r="P2203">
        <v>-0.97579439999999995</v>
      </c>
      <c r="Q2203">
        <v>0.1866244</v>
      </c>
      <c r="R2203">
        <v>-0.11400399999999999</v>
      </c>
      <c r="S2203">
        <v>-3.069</v>
      </c>
      <c r="T2203">
        <v>0.1207396</v>
      </c>
      <c r="U2203">
        <v>0.1500244</v>
      </c>
      <c r="V2203">
        <v>-0.1165867</v>
      </c>
      <c r="W2203">
        <v>0.2000217</v>
      </c>
      <c r="X2203">
        <v>0.97283039999999998</v>
      </c>
      <c r="Y2203">
        <v>4.6075659999999997E-2</v>
      </c>
      <c r="Z2203">
        <v>-4.4466919999999998E-4</v>
      </c>
      <c r="AA2203">
        <v>0.99893779999999999</v>
      </c>
      <c r="AB2203">
        <v>25</v>
      </c>
      <c r="AC2203">
        <v>-170.263499999999</v>
      </c>
      <c r="AD2203">
        <v>6.7042909999999996</v>
      </c>
      <c r="AE2203">
        <v>8.3299000000000092</v>
      </c>
      <c r="AF2203">
        <v>7.85228934065319</v>
      </c>
      <c r="AG2203">
        <v>6.7042909999999996</v>
      </c>
      <c r="AH2203">
        <v>170.02264944171401</v>
      </c>
      <c r="AI2203">
        <v>87.744298746840101</v>
      </c>
      <c r="AJ2203">
        <v>87.355743034236596</v>
      </c>
      <c r="AK2203">
        <v>170.33586612596301</v>
      </c>
      <c r="AL2203">
        <v>78.461772746142103</v>
      </c>
      <c r="AM2203">
        <v>96.833893102467897</v>
      </c>
      <c r="AN2203">
        <v>1.00000006312596</v>
      </c>
    </row>
    <row r="2204" spans="1:40" x14ac:dyDescent="0.25">
      <c r="A2204" t="str">
        <f>"20190304155100031"</f>
        <v>20190304155100031</v>
      </c>
      <c r="B2204" t="str">
        <f>"1551685860019299"</f>
        <v>1551685860019299</v>
      </c>
      <c r="C2204" t="s">
        <v>40</v>
      </c>
      <c r="D2204">
        <v>4.8985159999999999</v>
      </c>
      <c r="E2204">
        <v>0.56185039999999997</v>
      </c>
      <c r="F2204" t="s">
        <v>76</v>
      </c>
      <c r="G2204">
        <v>-510.0711</v>
      </c>
      <c r="H2204">
        <v>7.2652589999999897</v>
      </c>
      <c r="I2204">
        <v>293.93540000000002</v>
      </c>
      <c r="J2204">
        <v>-340.96769999999998</v>
      </c>
      <c r="K2204">
        <v>1.110557</v>
      </c>
      <c r="L2204">
        <v>285.36410000000001</v>
      </c>
      <c r="M2204">
        <v>-0.99990219999999996</v>
      </c>
      <c r="N2204">
        <v>-1.3670379999999999E-2</v>
      </c>
      <c r="O2204">
        <v>2.936447E-3</v>
      </c>
      <c r="P2204">
        <v>-0.97577119999999995</v>
      </c>
      <c r="Q2204">
        <v>0.18668180000000001</v>
      </c>
      <c r="R2204">
        <v>-0.1141065</v>
      </c>
      <c r="S2204">
        <v>-3.0711979999999999</v>
      </c>
      <c r="T2204">
        <v>0.11164060000000001</v>
      </c>
      <c r="U2204">
        <v>0.15548709999999999</v>
      </c>
      <c r="V2204">
        <v>-0.11688759999999999</v>
      </c>
      <c r="W2204">
        <v>0.2000479</v>
      </c>
      <c r="X2204">
        <v>0.97278889999999996</v>
      </c>
      <c r="Y2204">
        <v>4.7613679999999999E-2</v>
      </c>
      <c r="Z2204">
        <v>-3.9208299999999999E-4</v>
      </c>
      <c r="AA2204">
        <v>0.99886569999999997</v>
      </c>
      <c r="AB2204">
        <v>25</v>
      </c>
      <c r="AC2204">
        <v>-169.10339999999999</v>
      </c>
      <c r="AD2204">
        <v>6.1547020000000003</v>
      </c>
      <c r="AE2204">
        <v>8.5713000000000008</v>
      </c>
      <c r="AF2204">
        <v>8.0639986356282698</v>
      </c>
      <c r="AG2204">
        <v>6.1547020000000003</v>
      </c>
      <c r="AH2204">
        <v>168.90467185808299</v>
      </c>
      <c r="AI2204">
        <v>87.915499850173305</v>
      </c>
      <c r="AJ2204">
        <v>87.266608959153501</v>
      </c>
      <c r="AK2204">
        <v>169.20903228312201</v>
      </c>
      <c r="AL2204">
        <v>78.460240578507594</v>
      </c>
      <c r="AM2204">
        <v>96.851652842335596</v>
      </c>
      <c r="AN2204">
        <v>1.0000000586456801</v>
      </c>
    </row>
    <row r="2205" spans="1:40" x14ac:dyDescent="0.25">
      <c r="A2205" t="str">
        <f>"20190304155100048"</f>
        <v>20190304155100048</v>
      </c>
      <c r="B2205" t="str">
        <f>"1551685860038819"</f>
        <v>1551685860038819</v>
      </c>
      <c r="C2205" t="s">
        <v>40</v>
      </c>
      <c r="D2205">
        <v>4.9216449999999998</v>
      </c>
      <c r="E2205">
        <v>0.5618824</v>
      </c>
      <c r="F2205" t="s">
        <v>76</v>
      </c>
      <c r="G2205">
        <v>-510.07100000000003</v>
      </c>
      <c r="H2205">
        <v>6.92605</v>
      </c>
      <c r="I2205">
        <v>293.87</v>
      </c>
      <c r="J2205">
        <v>-341.1601</v>
      </c>
      <c r="K2205">
        <v>1.1105480000000001</v>
      </c>
      <c r="L2205">
        <v>285.36489999999998</v>
      </c>
      <c r="M2205">
        <v>-0.99990210000000002</v>
      </c>
      <c r="N2205">
        <v>-1.364048E-2</v>
      </c>
      <c r="O2205">
        <v>3.1196259999999999E-3</v>
      </c>
      <c r="P2205">
        <v>-0.97591760000000005</v>
      </c>
      <c r="Q2205">
        <v>0.18580679999999999</v>
      </c>
      <c r="R2205">
        <v>-0.11428430000000001</v>
      </c>
      <c r="S2205">
        <v>-3.0723880000000001</v>
      </c>
      <c r="T2205">
        <v>0.1056614</v>
      </c>
      <c r="U2205">
        <v>0.15454100000000001</v>
      </c>
      <c r="V2205">
        <v>-0.1172445</v>
      </c>
      <c r="W2205">
        <v>0.19914609999999999</v>
      </c>
      <c r="X2205">
        <v>0.97293090000000004</v>
      </c>
      <c r="Y2205">
        <v>4.7107099999999999E-2</v>
      </c>
      <c r="Z2205">
        <v>-3.3801840000000002E-4</v>
      </c>
      <c r="AA2205">
        <v>0.99888980000000005</v>
      </c>
      <c r="AB2205">
        <v>24</v>
      </c>
      <c r="AC2205">
        <v>-168.910899999999</v>
      </c>
      <c r="AD2205">
        <v>5.8155019999999897</v>
      </c>
      <c r="AE2205">
        <v>8.5051000000000201</v>
      </c>
      <c r="AF2205">
        <v>7.9686487228473899</v>
      </c>
      <c r="AG2205">
        <v>5.8155019999999897</v>
      </c>
      <c r="AH2205">
        <v>168.737100696944</v>
      </c>
      <c r="AI2205">
        <v>88.028285515377803</v>
      </c>
      <c r="AJ2205">
        <v>87.296202350890198</v>
      </c>
      <c r="AK2205">
        <v>169.025230594698</v>
      </c>
      <c r="AL2205">
        <v>78.512970137690203</v>
      </c>
      <c r="AM2205">
        <v>96.871380193346198</v>
      </c>
      <c r="AN2205">
        <v>0.99999998905013499</v>
      </c>
    </row>
    <row r="2206" spans="1:40" x14ac:dyDescent="0.25">
      <c r="A2206" t="str">
        <f>"20190304155100070"</f>
        <v>20190304155100070</v>
      </c>
      <c r="B2206" t="str">
        <f>"1551685860059316"</f>
        <v>1551685860059316</v>
      </c>
      <c r="C2206" t="s">
        <v>40</v>
      </c>
      <c r="D2206">
        <v>5.0795459999999997</v>
      </c>
      <c r="E2206">
        <v>0.56287889999999996</v>
      </c>
      <c r="F2206" t="s">
        <v>76</v>
      </c>
      <c r="G2206">
        <v>-510.0711</v>
      </c>
      <c r="H2206">
        <v>7.2376339999999999</v>
      </c>
      <c r="I2206">
        <v>293.86689999999999</v>
      </c>
      <c r="J2206">
        <v>-341.3997</v>
      </c>
      <c r="K2206">
        <v>1.1105389999999999</v>
      </c>
      <c r="L2206">
        <v>285.36590000000001</v>
      </c>
      <c r="M2206">
        <v>-0.99990190000000001</v>
      </c>
      <c r="N2206">
        <v>-1.359845E-2</v>
      </c>
      <c r="O2206">
        <v>3.3485939999999999E-3</v>
      </c>
      <c r="P2206">
        <v>-0.97609869999999999</v>
      </c>
      <c r="Q2206">
        <v>0.18452250000000001</v>
      </c>
      <c r="R2206">
        <v>-0.1148173</v>
      </c>
      <c r="S2206">
        <v>-3.0708920000000002</v>
      </c>
      <c r="T2206">
        <v>0.1113951</v>
      </c>
      <c r="U2206">
        <v>0.1545715</v>
      </c>
      <c r="V2206">
        <v>-0.1180023</v>
      </c>
      <c r="W2206">
        <v>0.19782350000000001</v>
      </c>
      <c r="X2206">
        <v>0.97310909999999995</v>
      </c>
      <c r="Y2206">
        <v>4.6910750000000001E-2</v>
      </c>
      <c r="Z2206">
        <v>-3.6393759999999998E-4</v>
      </c>
      <c r="AA2206">
        <v>0.99889899999999998</v>
      </c>
      <c r="AB2206">
        <v>24</v>
      </c>
      <c r="AC2206">
        <v>-168.67140000000001</v>
      </c>
      <c r="AD2206">
        <v>6.1270949999999997</v>
      </c>
      <c r="AE2206">
        <v>8.5009999999999692</v>
      </c>
      <c r="AF2206">
        <v>7.9256562329283096</v>
      </c>
      <c r="AG2206">
        <v>6.1270949999999997</v>
      </c>
      <c r="AH2206">
        <v>168.477172170898</v>
      </c>
      <c r="AI2206">
        <v>87.919511952333707</v>
      </c>
      <c r="AJ2206">
        <v>87.306625547002298</v>
      </c>
      <c r="AK2206">
        <v>168.774745926528</v>
      </c>
      <c r="AL2206">
        <v>78.590287988281801</v>
      </c>
      <c r="AM2206">
        <v>96.914109965616106</v>
      </c>
      <c r="AN2206">
        <v>1.0000000002301701</v>
      </c>
    </row>
    <row r="2207" spans="1:40" x14ac:dyDescent="0.25">
      <c r="A2207" t="str">
        <f>"20190304155100082"</f>
        <v>20190304155100082</v>
      </c>
      <c r="B2207" t="str">
        <f>"1551685860078835"</f>
        <v>1551685860078835</v>
      </c>
      <c r="C2207" t="s">
        <v>40</v>
      </c>
      <c r="D2207">
        <v>5.0307459999999997</v>
      </c>
      <c r="E2207">
        <v>0.56311880000000003</v>
      </c>
      <c r="F2207" t="s">
        <v>76</v>
      </c>
      <c r="G2207">
        <v>-510.07080000000002</v>
      </c>
      <c r="H2207">
        <v>6.27799</v>
      </c>
      <c r="I2207">
        <v>294.22550000000001</v>
      </c>
      <c r="J2207">
        <v>-341.53960000000001</v>
      </c>
      <c r="K2207">
        <v>1.110535</v>
      </c>
      <c r="L2207">
        <v>285.36649999999997</v>
      </c>
      <c r="M2207">
        <v>-0.99990199999999996</v>
      </c>
      <c r="N2207">
        <v>-1.356985E-2</v>
      </c>
      <c r="O2207">
        <v>3.4822310000000001E-3</v>
      </c>
      <c r="P2207">
        <v>-0.97617609999999999</v>
      </c>
      <c r="Q2207">
        <v>0.18400469999999999</v>
      </c>
      <c r="R2207">
        <v>-0.1149907</v>
      </c>
      <c r="S2207">
        <v>-3.074646</v>
      </c>
      <c r="T2207">
        <v>9.4197149999999993E-2</v>
      </c>
      <c r="U2207">
        <v>0.161499</v>
      </c>
      <c r="V2207">
        <v>-0.11830649999999999</v>
      </c>
      <c r="W2207">
        <v>0.19727890000000001</v>
      </c>
      <c r="X2207">
        <v>0.97318269999999996</v>
      </c>
      <c r="Y2207">
        <v>4.8966330000000002E-2</v>
      </c>
      <c r="Z2207">
        <v>-2.630806E-4</v>
      </c>
      <c r="AA2207">
        <v>0.99880040000000003</v>
      </c>
      <c r="AB2207">
        <v>24</v>
      </c>
      <c r="AC2207">
        <v>-168.53120000000001</v>
      </c>
      <c r="AD2207">
        <v>5.1674550000000004</v>
      </c>
      <c r="AE2207">
        <v>8.8590000000000302</v>
      </c>
      <c r="AF2207">
        <v>8.2642795751416092</v>
      </c>
      <c r="AG2207">
        <v>5.1674550000000004</v>
      </c>
      <c r="AH2207">
        <v>168.403143576509</v>
      </c>
      <c r="AI2207">
        <v>88.244540185527796</v>
      </c>
      <c r="AJ2207">
        <v>87.1904991630295</v>
      </c>
      <c r="AK2207">
        <v>168.68497169138499</v>
      </c>
      <c r="AL2207">
        <v>78.622118335394504</v>
      </c>
      <c r="AM2207">
        <v>96.931241628445704</v>
      </c>
      <c r="AN2207">
        <v>0.99999997995337397</v>
      </c>
    </row>
    <row r="2208" spans="1:40" x14ac:dyDescent="0.25">
      <c r="A2208" t="str">
        <f>"20190304155100095"</f>
        <v>20190304155100095</v>
      </c>
      <c r="B2208" t="str">
        <f>"1551685860088596"</f>
        <v>1551685860088596</v>
      </c>
      <c r="C2208" t="s">
        <v>40</v>
      </c>
      <c r="D2208">
        <v>4.8906349999999996</v>
      </c>
      <c r="E2208">
        <v>0.56294580000000005</v>
      </c>
      <c r="F2208" t="s">
        <v>76</v>
      </c>
      <c r="G2208">
        <v>-510.07060000000001</v>
      </c>
      <c r="H2208">
        <v>5.7269240000000003</v>
      </c>
      <c r="I2208">
        <v>294.30029999999999</v>
      </c>
      <c r="J2208">
        <v>-341.67500000000001</v>
      </c>
      <c r="K2208">
        <v>1.110528</v>
      </c>
      <c r="L2208">
        <v>285.36720000000003</v>
      </c>
      <c r="M2208">
        <v>-0.99990190000000001</v>
      </c>
      <c r="N2208">
        <v>-1.3539519999999999E-2</v>
      </c>
      <c r="O2208">
        <v>3.6116490000000002E-3</v>
      </c>
      <c r="P2208">
        <v>-0.97621769999999997</v>
      </c>
      <c r="Q2208">
        <v>0.1837464</v>
      </c>
      <c r="R2208">
        <v>-0.115049</v>
      </c>
      <c r="S2208">
        <v>-3.0765380000000002</v>
      </c>
      <c r="T2208">
        <v>8.4273819999999999E-2</v>
      </c>
      <c r="U2208">
        <v>0.16308590000000001</v>
      </c>
      <c r="V2208">
        <v>-0.1184912</v>
      </c>
      <c r="W2208">
        <v>0.19699140000000001</v>
      </c>
      <c r="X2208">
        <v>0.97321849999999999</v>
      </c>
      <c r="Y2208">
        <v>4.9321690000000001E-2</v>
      </c>
      <c r="Z2208">
        <v>-1.9304629999999999E-4</v>
      </c>
      <c r="AA2208">
        <v>0.99878290000000003</v>
      </c>
      <c r="AB2208">
        <v>24</v>
      </c>
      <c r="AC2208">
        <v>-168.3956</v>
      </c>
      <c r="AD2208">
        <v>4.6163959999999999</v>
      </c>
      <c r="AE2208">
        <v>8.9330999999999605</v>
      </c>
      <c r="AF2208">
        <v>8.3185661416877998</v>
      </c>
      <c r="AG2208">
        <v>4.6163959999999999</v>
      </c>
      <c r="AH2208">
        <v>168.300640145035</v>
      </c>
      <c r="AI2208">
        <v>88.430716321906601</v>
      </c>
      <c r="AJ2208">
        <v>87.170354368350701</v>
      </c>
      <c r="AK2208">
        <v>168.56931846546399</v>
      </c>
      <c r="AL2208">
        <v>78.638920968614499</v>
      </c>
      <c r="AM2208">
        <v>96.941704298496802</v>
      </c>
      <c r="AN2208">
        <v>1.00000001244682</v>
      </c>
    </row>
    <row r="2209" spans="1:40" x14ac:dyDescent="0.25">
      <c r="A2209" t="str">
        <f>"20190304155100108"</f>
        <v>20190304155100108</v>
      </c>
      <c r="B2209" t="str">
        <f>"1551685860099331"</f>
        <v>1551685860099331</v>
      </c>
      <c r="C2209" t="s">
        <v>40</v>
      </c>
      <c r="D2209">
        <v>4.9154140000000002</v>
      </c>
      <c r="E2209">
        <v>0.56284979999999996</v>
      </c>
      <c r="F2209" t="s">
        <v>76</v>
      </c>
      <c r="G2209">
        <v>-510.07060000000001</v>
      </c>
      <c r="H2209">
        <v>5.59476</v>
      </c>
      <c r="I2209">
        <v>294.21300000000002</v>
      </c>
      <c r="J2209">
        <v>-341.82029999999997</v>
      </c>
      <c r="K2209">
        <v>1.11052</v>
      </c>
      <c r="L2209">
        <v>285.36779999999999</v>
      </c>
      <c r="M2209">
        <v>-0.99990199999999996</v>
      </c>
      <c r="N2209">
        <v>-1.350459E-2</v>
      </c>
      <c r="O2209">
        <v>3.750396E-3</v>
      </c>
      <c r="P2209">
        <v>-0.97626480000000004</v>
      </c>
      <c r="Q2209">
        <v>0.18344830000000001</v>
      </c>
      <c r="R2209">
        <v>-0.1151273</v>
      </c>
      <c r="S2209">
        <v>-3.076721</v>
      </c>
      <c r="T2209">
        <v>8.1931950000000003E-2</v>
      </c>
      <c r="U2209">
        <v>0.16162109999999999</v>
      </c>
      <c r="V2209">
        <v>-0.1187053</v>
      </c>
      <c r="W2209">
        <v>0.19666</v>
      </c>
      <c r="X2209">
        <v>0.9732594</v>
      </c>
      <c r="Y2209">
        <v>4.8706579999999999E-2</v>
      </c>
      <c r="Z2209">
        <v>-1.6842119999999999E-4</v>
      </c>
      <c r="AA2209">
        <v>0.99881310000000001</v>
      </c>
      <c r="AB2209">
        <v>24</v>
      </c>
      <c r="AC2209">
        <v>-168.25030000000001</v>
      </c>
      <c r="AD2209">
        <v>4.4842399999999998</v>
      </c>
      <c r="AE2209">
        <v>8.84519999999997</v>
      </c>
      <c r="AF2209">
        <v>8.2082605428167508</v>
      </c>
      <c r="AG2209">
        <v>4.4842399999999998</v>
      </c>
      <c r="AH2209">
        <v>168.16316882182599</v>
      </c>
      <c r="AI2209">
        <v>88.474327955014004</v>
      </c>
      <c r="AJ2209">
        <v>87.205537214279104</v>
      </c>
      <c r="AK2209">
        <v>168.423084218626</v>
      </c>
      <c r="AL2209">
        <v>78.658287278282501</v>
      </c>
      <c r="AM2209">
        <v>96.953835074661896</v>
      </c>
      <c r="AN2209">
        <v>0.99999998176822402</v>
      </c>
    </row>
    <row r="2210" spans="1:40" x14ac:dyDescent="0.25">
      <c r="A2210" t="str">
        <f>"20190304155100119"</f>
        <v>20190304155100119</v>
      </c>
      <c r="B2210" t="str">
        <f>"1551685860109091"</f>
        <v>1551685860109091</v>
      </c>
      <c r="C2210" t="s">
        <v>40</v>
      </c>
      <c r="D2210">
        <v>4.9179469999999998</v>
      </c>
      <c r="E2210">
        <v>0.56282049999999995</v>
      </c>
      <c r="F2210" t="s">
        <v>76</v>
      </c>
      <c r="G2210">
        <v>-510.9554</v>
      </c>
      <c r="H2210">
        <v>5.4803790000000001</v>
      </c>
      <c r="I2210">
        <v>294.20490000000001</v>
      </c>
      <c r="J2210">
        <v>-341.95269999999999</v>
      </c>
      <c r="K2210">
        <v>1.1105130000000001</v>
      </c>
      <c r="L2210">
        <v>285.36849999999998</v>
      </c>
      <c r="M2210">
        <v>-0.99990179999999995</v>
      </c>
      <c r="N2210">
        <v>-1.346617E-2</v>
      </c>
      <c r="O2210">
        <v>3.8761849999999999E-3</v>
      </c>
      <c r="P2210">
        <v>-0.97634169999999998</v>
      </c>
      <c r="Q2210">
        <v>0.18311050000000001</v>
      </c>
      <c r="R2210">
        <v>-0.1150123</v>
      </c>
      <c r="S2210">
        <v>-3.0769350000000002</v>
      </c>
      <c r="T2210">
        <v>7.9498650000000004E-2</v>
      </c>
      <c r="U2210">
        <v>0.16076660000000001</v>
      </c>
      <c r="V2210">
        <v>-0.118713</v>
      </c>
      <c r="W2210">
        <v>0.19628590000000001</v>
      </c>
      <c r="X2210">
        <v>0.97333400000000003</v>
      </c>
      <c r="Y2210">
        <v>4.8301440000000001E-2</v>
      </c>
      <c r="Z2210">
        <v>-1.457586E-4</v>
      </c>
      <c r="AA2210">
        <v>0.99883279999999997</v>
      </c>
      <c r="AB2210">
        <v>24</v>
      </c>
      <c r="AC2210">
        <v>-169.0027</v>
      </c>
      <c r="AD2210">
        <v>4.369866</v>
      </c>
      <c r="AE2210">
        <v>8.8364000000000207</v>
      </c>
      <c r="AF2210">
        <v>8.1757372849241499</v>
      </c>
      <c r="AG2210">
        <v>4.369866</v>
      </c>
      <c r="AH2210">
        <v>168.923055255078</v>
      </c>
      <c r="AI2210">
        <v>88.5198792973667</v>
      </c>
      <c r="AJ2210">
        <v>87.229093527045094</v>
      </c>
      <c r="AK2210">
        <v>169.177235483147</v>
      </c>
      <c r="AL2210">
        <v>78.680147952367903</v>
      </c>
      <c r="AM2210">
        <v>96.953753945151107</v>
      </c>
      <c r="AN2210">
        <v>1.0000000032319001</v>
      </c>
    </row>
    <row r="2211" spans="1:40" x14ac:dyDescent="0.25">
      <c r="A2211" t="str">
        <f>"20190304155100132"</f>
        <v>20190304155100132</v>
      </c>
      <c r="B2211" t="str">
        <f>"1551685860128612"</f>
        <v>1551685860128612</v>
      </c>
      <c r="C2211" t="s">
        <v>40</v>
      </c>
      <c r="D2211">
        <v>4.8884129999999999</v>
      </c>
      <c r="E2211">
        <v>0.56285160000000001</v>
      </c>
      <c r="F2211" t="s">
        <v>76</v>
      </c>
      <c r="G2211">
        <v>-510.9554</v>
      </c>
      <c r="H2211">
        <v>5.23508</v>
      </c>
      <c r="I2211">
        <v>294.21010000000001</v>
      </c>
      <c r="J2211">
        <v>-342.08089999999999</v>
      </c>
      <c r="K2211">
        <v>1.1105039999999999</v>
      </c>
      <c r="L2211">
        <v>285.3691</v>
      </c>
      <c r="M2211">
        <v>-0.99990179999999995</v>
      </c>
      <c r="N2211">
        <v>-1.342687E-2</v>
      </c>
      <c r="O2211">
        <v>3.9964409999999999E-3</v>
      </c>
      <c r="P2211">
        <v>-0.97629779999999999</v>
      </c>
      <c r="Q2211">
        <v>0.18306020000000001</v>
      </c>
      <c r="R2211">
        <v>-0.1154627</v>
      </c>
      <c r="S2211">
        <v>-3.0776059999999998</v>
      </c>
      <c r="T2211">
        <v>7.5111510000000006E-2</v>
      </c>
      <c r="U2211">
        <v>0.16101070000000001</v>
      </c>
      <c r="V2211">
        <v>-0.11927989999999999</v>
      </c>
      <c r="W2211">
        <v>0.19619710000000001</v>
      </c>
      <c r="X2211">
        <v>0.9732826</v>
      </c>
      <c r="Y2211">
        <v>4.8250090000000002E-2</v>
      </c>
      <c r="Z2211">
        <v>-1.130531E-4</v>
      </c>
      <c r="AA2211">
        <v>0.99883529999999998</v>
      </c>
      <c r="AB2211">
        <v>24</v>
      </c>
      <c r="AC2211">
        <v>-168.87450000000001</v>
      </c>
      <c r="AD2211">
        <v>4.1245759999999896</v>
      </c>
      <c r="AE2211">
        <v>8.8409999999999993</v>
      </c>
      <c r="AF2211">
        <v>8.1611164949900896</v>
      </c>
      <c r="AG2211">
        <v>4.1245759999999896</v>
      </c>
      <c r="AH2211">
        <v>168.80806346786801</v>
      </c>
      <c r="AI2211">
        <v>88.6019728340586</v>
      </c>
      <c r="AJ2211">
        <v>87.232159839459698</v>
      </c>
      <c r="AK2211">
        <v>169.05554779833901</v>
      </c>
      <c r="AL2211">
        <v>78.685336764857297</v>
      </c>
      <c r="AM2211">
        <v>96.986998675151398</v>
      </c>
      <c r="AN2211">
        <v>1.0000000080275899</v>
      </c>
    </row>
    <row r="2212" spans="1:40" x14ac:dyDescent="0.25">
      <c r="A2212" t="str">
        <f>"20190304155100148"</f>
        <v>20190304155100148</v>
      </c>
      <c r="B2212" t="str">
        <f>"1551685860139352"</f>
        <v>1551685860139352</v>
      </c>
      <c r="C2212" t="s">
        <v>40</v>
      </c>
      <c r="D2212">
        <v>5.0092100000000004</v>
      </c>
      <c r="E2212">
        <v>0.56280369999999902</v>
      </c>
      <c r="F2212" t="s">
        <v>76</v>
      </c>
      <c r="G2212">
        <v>-510.95530000000002</v>
      </c>
      <c r="H2212">
        <v>4.963292</v>
      </c>
      <c r="I2212">
        <v>294.1309</v>
      </c>
      <c r="J2212">
        <v>-342.25689999999997</v>
      </c>
      <c r="K2212">
        <v>1.110484</v>
      </c>
      <c r="L2212">
        <v>285.37</v>
      </c>
      <c r="M2212">
        <v>-0.99990199999999996</v>
      </c>
      <c r="N2212">
        <v>-1.336792E-2</v>
      </c>
      <c r="O2212">
        <v>4.1586840000000002E-3</v>
      </c>
      <c r="P2212">
        <v>-0.97641529999999999</v>
      </c>
      <c r="Q2212">
        <v>0.18242849999999999</v>
      </c>
      <c r="R2212">
        <v>-0.11546969999999999</v>
      </c>
      <c r="S2212">
        <v>-3.0785830000000001</v>
      </c>
      <c r="T2212">
        <v>7.0237869999999994E-2</v>
      </c>
      <c r="U2212">
        <v>0.15972900000000001</v>
      </c>
      <c r="V2212">
        <v>-0.1194452</v>
      </c>
      <c r="W2212">
        <v>0.1955102</v>
      </c>
      <c r="X2212">
        <v>0.9734005</v>
      </c>
      <c r="Y2212">
        <v>4.7657940000000003E-2</v>
      </c>
      <c r="Z2212" s="1">
        <v>-7.4083219999999895E-5</v>
      </c>
      <c r="AA2212">
        <v>0.99886370000000002</v>
      </c>
      <c r="AB2212">
        <v>24</v>
      </c>
      <c r="AC2212">
        <v>-168.69839999999999</v>
      </c>
      <c r="AD2212">
        <v>3.852808</v>
      </c>
      <c r="AE2212">
        <v>8.7608999999999906</v>
      </c>
      <c r="AF2212">
        <v>8.0550080539551701</v>
      </c>
      <c r="AG2212">
        <v>3.852808</v>
      </c>
      <c r="AH2212">
        <v>168.64565000899401</v>
      </c>
      <c r="AI2212">
        <v>88.692761963229302</v>
      </c>
      <c r="AJ2212">
        <v>87.265464647614095</v>
      </c>
      <c r="AK2212">
        <v>168.88185974577101</v>
      </c>
      <c r="AL2212">
        <v>78.725469995267105</v>
      </c>
      <c r="AM2212">
        <v>96.995746424181206</v>
      </c>
      <c r="AN2212">
        <v>0.99999996375366396</v>
      </c>
    </row>
    <row r="2213" spans="1:40" x14ac:dyDescent="0.25">
      <c r="A2213" t="str">
        <f>"20190304155100159"</f>
        <v>20190304155100159</v>
      </c>
      <c r="B2213" t="str">
        <f>"1551685860149108"</f>
        <v>1551685860149108</v>
      </c>
      <c r="C2213" t="s">
        <v>40</v>
      </c>
      <c r="D2213">
        <v>4.8243710000000002</v>
      </c>
      <c r="E2213">
        <v>0.56257000000000001</v>
      </c>
      <c r="F2213" t="s">
        <v>76</v>
      </c>
      <c r="G2213">
        <v>-510.9554</v>
      </c>
      <c r="H2213">
        <v>5.1965760000000003</v>
      </c>
      <c r="I2213">
        <v>294.1343</v>
      </c>
      <c r="J2213">
        <v>-342.39210000000003</v>
      </c>
      <c r="K2213">
        <v>1.110474</v>
      </c>
      <c r="L2213">
        <v>285.3707</v>
      </c>
      <c r="M2213">
        <v>-0.99990219999999996</v>
      </c>
      <c r="N2213">
        <v>-1.3319040000000001E-2</v>
      </c>
      <c r="O2213">
        <v>4.2831600000000003E-3</v>
      </c>
      <c r="P2213">
        <v>-0.97645789999999999</v>
      </c>
      <c r="Q2213">
        <v>0.1822329</v>
      </c>
      <c r="R2213">
        <v>-0.11541849999999999</v>
      </c>
      <c r="S2213">
        <v>-3.0774539999999999</v>
      </c>
      <c r="T2213">
        <v>7.4541330000000003E-2</v>
      </c>
      <c r="U2213">
        <v>0.15988160000000001</v>
      </c>
      <c r="V2213">
        <v>-0.1195151</v>
      </c>
      <c r="W2213">
        <v>0.19526750000000001</v>
      </c>
      <c r="X2213">
        <v>0.97344070000000005</v>
      </c>
      <c r="Y2213">
        <v>4.7601099999999903E-2</v>
      </c>
      <c r="Z2213" s="1">
        <v>-9.8111749999999995E-5</v>
      </c>
      <c r="AA2213">
        <v>0.99886640000000004</v>
      </c>
      <c r="AB2213">
        <v>24</v>
      </c>
      <c r="AC2213">
        <v>-168.563299999999</v>
      </c>
      <c r="AD2213">
        <v>4.0861019999999897</v>
      </c>
      <c r="AE2213">
        <v>8.7635999999999896</v>
      </c>
      <c r="AF2213">
        <v>8.0367622366477605</v>
      </c>
      <c r="AG2213">
        <v>4.0861019999999897</v>
      </c>
      <c r="AH2213">
        <v>168.50054633757699</v>
      </c>
      <c r="AI2213">
        <v>88.612438682570996</v>
      </c>
      <c r="AJ2213">
        <v>87.269303460640302</v>
      </c>
      <c r="AK2213">
        <v>168.74157725013899</v>
      </c>
      <c r="AL2213">
        <v>78.739649679812103</v>
      </c>
      <c r="AM2213">
        <v>96.999513569527707</v>
      </c>
      <c r="AN2213">
        <v>1.0000000260503701</v>
      </c>
    </row>
    <row r="2214" spans="1:40" x14ac:dyDescent="0.25">
      <c r="A2214" t="str">
        <f>"20190304155100172"</f>
        <v>20190304155100172</v>
      </c>
      <c r="B2214" t="str">
        <f>"1551685860168627"</f>
        <v>1551685860168627</v>
      </c>
      <c r="C2214" t="s">
        <v>40</v>
      </c>
      <c r="D2214">
        <v>5.0129080000000004</v>
      </c>
      <c r="E2214">
        <v>0.56271000000000004</v>
      </c>
      <c r="F2214" t="s">
        <v>76</v>
      </c>
      <c r="G2214">
        <v>-510.95530000000002</v>
      </c>
      <c r="H2214">
        <v>5.0324410000000004</v>
      </c>
      <c r="I2214">
        <v>294.06200000000001</v>
      </c>
      <c r="J2214">
        <v>-342.51769999999999</v>
      </c>
      <c r="K2214">
        <v>1.1104719999999999</v>
      </c>
      <c r="L2214">
        <v>285.37139999999999</v>
      </c>
      <c r="M2214">
        <v>-0.99990219999999996</v>
      </c>
      <c r="N2214">
        <v>-1.327278E-2</v>
      </c>
      <c r="O2214">
        <v>4.4001509999999997E-3</v>
      </c>
      <c r="P2214">
        <v>-0.97649719999999995</v>
      </c>
      <c r="Q2214">
        <v>0.18195310000000001</v>
      </c>
      <c r="R2214">
        <v>-0.1155272</v>
      </c>
      <c r="S2214">
        <v>-3.077728</v>
      </c>
      <c r="T2214">
        <v>7.1611049999999996E-2</v>
      </c>
      <c r="U2214">
        <v>0.15869140000000001</v>
      </c>
      <c r="V2214">
        <v>-0.11973880000000001</v>
      </c>
      <c r="W2214">
        <v>0.1949429</v>
      </c>
      <c r="X2214">
        <v>0.97347830000000002</v>
      </c>
      <c r="Y2214">
        <v>4.7095089999999999E-2</v>
      </c>
      <c r="Z2214" s="1">
        <v>-7.4023259999999997E-5</v>
      </c>
      <c r="AA2214">
        <v>0.99889039999999996</v>
      </c>
      <c r="AB2214">
        <v>24</v>
      </c>
      <c r="AC2214">
        <v>-168.4376</v>
      </c>
      <c r="AD2214">
        <v>3.9219689999999998</v>
      </c>
      <c r="AE2214">
        <v>8.6906000000000105</v>
      </c>
      <c r="AF2214">
        <v>7.9450036110964497</v>
      </c>
      <c r="AG2214">
        <v>3.9219689999999998</v>
      </c>
      <c r="AH2214">
        <v>168.383163624155</v>
      </c>
      <c r="AI2214">
        <v>88.667194198575601</v>
      </c>
      <c r="AJ2214">
        <v>87.298555300191296</v>
      </c>
      <c r="AK2214">
        <v>168.61611641624401</v>
      </c>
      <c r="AL2214">
        <v>78.758612665588203</v>
      </c>
      <c r="AM2214">
        <v>97.012216290866505</v>
      </c>
      <c r="AN2214">
        <v>1.0000000575283601</v>
      </c>
    </row>
    <row r="2215" spans="1:40" x14ac:dyDescent="0.25">
      <c r="A2215" t="str">
        <f>"20190304155100184"</f>
        <v>20190304155100184</v>
      </c>
      <c r="B2215" t="str">
        <f>"1551685860179364"</f>
        <v>1551685860179364</v>
      </c>
      <c r="C2215" t="s">
        <v>40</v>
      </c>
      <c r="D2215">
        <v>4.9490980000000002</v>
      </c>
      <c r="E2215">
        <v>0.56274119999999905</v>
      </c>
      <c r="F2215" t="s">
        <v>76</v>
      </c>
      <c r="G2215">
        <v>-510.95530000000002</v>
      </c>
      <c r="H2215">
        <v>5.0393270000000001</v>
      </c>
      <c r="I2215">
        <v>294.1164</v>
      </c>
      <c r="J2215">
        <v>-342.6576</v>
      </c>
      <c r="K2215">
        <v>1.110465</v>
      </c>
      <c r="L2215">
        <v>285.37220000000002</v>
      </c>
      <c r="M2215">
        <v>-0.99990250000000003</v>
      </c>
      <c r="N2215">
        <v>-1.3219710000000001E-2</v>
      </c>
      <c r="O2215">
        <v>4.5333709999999996E-3</v>
      </c>
      <c r="P2215">
        <v>-0.97653939999999995</v>
      </c>
      <c r="Q2215">
        <v>0.18195890000000001</v>
      </c>
      <c r="R2215">
        <v>-0.1151616</v>
      </c>
      <c r="S2215">
        <v>-3.0776979999999998</v>
      </c>
      <c r="T2215">
        <v>7.1789619999999998E-2</v>
      </c>
      <c r="U2215">
        <v>0.15978999999999999</v>
      </c>
      <c r="V2215">
        <v>-0.1195046</v>
      </c>
      <c r="W2215">
        <v>0.1948966</v>
      </c>
      <c r="X2215">
        <v>0.9735163</v>
      </c>
      <c r="Y2215">
        <v>4.7318140000000002E-2</v>
      </c>
      <c r="Z2215" s="1">
        <v>-7.2874249999999998E-5</v>
      </c>
      <c r="AA2215">
        <v>0.99887979999999998</v>
      </c>
      <c r="AB2215">
        <v>24</v>
      </c>
      <c r="AC2215">
        <v>-168.29769999999999</v>
      </c>
      <c r="AD2215">
        <v>3.9288620000000001</v>
      </c>
      <c r="AE2215">
        <v>8.7441999999999709</v>
      </c>
      <c r="AF2215">
        <v>7.9767522318383701</v>
      </c>
      <c r="AG2215">
        <v>3.9288620000000001</v>
      </c>
      <c r="AH2215">
        <v>168.24417232114899</v>
      </c>
      <c r="AI2215">
        <v>88.663764341338805</v>
      </c>
      <c r="AJ2215">
        <v>87.285538987753498</v>
      </c>
      <c r="AK2215">
        <v>168.478978073858</v>
      </c>
      <c r="AL2215">
        <v>78.761316799424307</v>
      </c>
      <c r="AM2215">
        <v>96.998366605097303</v>
      </c>
      <c r="AN2215">
        <v>1.0000000102391999</v>
      </c>
    </row>
    <row r="2216" spans="1:40" x14ac:dyDescent="0.25">
      <c r="A2216" t="str">
        <f>"20190304155100197"</f>
        <v>20190304155100197</v>
      </c>
      <c r="B2216" t="str">
        <f>"1551685860189124"</f>
        <v>1551685860189124</v>
      </c>
      <c r="C2216" t="s">
        <v>40</v>
      </c>
      <c r="D2216">
        <v>4.9269540000000003</v>
      </c>
      <c r="E2216">
        <v>0.56267650000000002</v>
      </c>
      <c r="F2216" t="s">
        <v>76</v>
      </c>
      <c r="G2216">
        <v>-510.95530000000002</v>
      </c>
      <c r="H2216">
        <v>4.9308110000000003</v>
      </c>
      <c r="I2216">
        <v>294.19560000000001</v>
      </c>
      <c r="J2216">
        <v>-342.79250000000002</v>
      </c>
      <c r="K2216">
        <v>1.1104620000000001</v>
      </c>
      <c r="L2216">
        <v>285.37290000000002</v>
      </c>
      <c r="M2216">
        <v>-0.99990250000000003</v>
      </c>
      <c r="N2216">
        <v>-1.3166829999999999E-2</v>
      </c>
      <c r="O2216">
        <v>4.665209E-3</v>
      </c>
      <c r="P2216">
        <v>-0.97657919999999998</v>
      </c>
      <c r="Q2216">
        <v>0.1818987</v>
      </c>
      <c r="R2216">
        <v>-0.11491999999999999</v>
      </c>
      <c r="S2216">
        <v>-3.0780940000000001</v>
      </c>
      <c r="T2216">
        <v>6.9874049999999993E-2</v>
      </c>
      <c r="U2216">
        <v>0.16137699999999999</v>
      </c>
      <c r="V2216">
        <v>-0.1193926</v>
      </c>
      <c r="W2216">
        <v>0.1947844</v>
      </c>
      <c r="X2216">
        <v>0.97355250000000004</v>
      </c>
      <c r="Y2216">
        <v>4.7693729999999997E-2</v>
      </c>
      <c r="Z2216" s="1">
        <v>-5.9471059999999998E-5</v>
      </c>
      <c r="AA2216">
        <v>0.99886200000000003</v>
      </c>
      <c r="AB2216">
        <v>24</v>
      </c>
      <c r="AC2216">
        <v>-168.1628</v>
      </c>
      <c r="AD2216">
        <v>3.82034899999999</v>
      </c>
      <c r="AE2216">
        <v>8.8226999999999904</v>
      </c>
      <c r="AF2216">
        <v>8.0338863826239209</v>
      </c>
      <c r="AG2216">
        <v>3.82034899999999</v>
      </c>
      <c r="AH2216">
        <v>168.11560426222499</v>
      </c>
      <c r="AI2216">
        <v>88.699687475925103</v>
      </c>
      <c r="AJ2216">
        <v>87.264038245875099</v>
      </c>
      <c r="AK2216">
        <v>168.350808710097</v>
      </c>
      <c r="AL2216">
        <v>78.767871026979407</v>
      </c>
      <c r="AM2216">
        <v>96.991615261797193</v>
      </c>
      <c r="AN2216">
        <v>1.00000001283718</v>
      </c>
    </row>
    <row r="2217" spans="1:40" x14ac:dyDescent="0.25">
      <c r="A2217" t="str">
        <f>"20190304155100211"</f>
        <v>20190304155100211</v>
      </c>
      <c r="B2217" t="str">
        <f>"1551685860198547"</f>
        <v>1551685860198547</v>
      </c>
      <c r="C2217" t="s">
        <v>40</v>
      </c>
      <c r="D2217">
        <v>4.9620249999999997</v>
      </c>
      <c r="E2217">
        <v>0.56269990000000003</v>
      </c>
      <c r="F2217" t="s">
        <v>76</v>
      </c>
      <c r="G2217">
        <v>-510.95519999999999</v>
      </c>
      <c r="H2217">
        <v>4.7884019999999996</v>
      </c>
      <c r="I2217">
        <v>294.19170000000003</v>
      </c>
      <c r="J2217">
        <v>-342.93549999999999</v>
      </c>
      <c r="K2217">
        <v>1.1104590000000001</v>
      </c>
      <c r="L2217">
        <v>285.37380000000002</v>
      </c>
      <c r="M2217">
        <v>-0.99990250000000003</v>
      </c>
      <c r="N2217">
        <v>-1.3109630000000001E-2</v>
      </c>
      <c r="O2217">
        <v>4.8057680000000002E-3</v>
      </c>
      <c r="P2217">
        <v>-0.97661580000000003</v>
      </c>
      <c r="Q2217">
        <v>0.18192559999999999</v>
      </c>
      <c r="R2217">
        <v>-0.1145634</v>
      </c>
      <c r="S2217">
        <v>-3.0783999999999998</v>
      </c>
      <c r="T2217">
        <v>6.7330119999999993E-2</v>
      </c>
      <c r="U2217">
        <v>0.161438</v>
      </c>
      <c r="V2217">
        <v>-0.11917560000000001</v>
      </c>
      <c r="W2217">
        <v>0.19475490000000001</v>
      </c>
      <c r="X2217">
        <v>0.97358489999999998</v>
      </c>
      <c r="Y2217">
        <v>4.7568430000000002E-2</v>
      </c>
      <c r="Z2217" s="1">
        <v>-3.9765960000000002E-5</v>
      </c>
      <c r="AA2217">
        <v>0.99886799999999998</v>
      </c>
      <c r="AB2217">
        <v>24</v>
      </c>
      <c r="AC2217">
        <v>-168.0197</v>
      </c>
      <c r="AD2217">
        <v>3.677943</v>
      </c>
      <c r="AE2217">
        <v>8.8178999999999998</v>
      </c>
      <c r="AF2217">
        <v>8.0064391418986904</v>
      </c>
      <c r="AG2217">
        <v>3.677943</v>
      </c>
      <c r="AH2217">
        <v>167.979870017693</v>
      </c>
      <c r="AI2217">
        <v>88.747123080829397</v>
      </c>
      <c r="AJ2217">
        <v>87.271171455245593</v>
      </c>
      <c r="AK2217">
        <v>168.210781650896</v>
      </c>
      <c r="AL2217">
        <v>78.769593267288101</v>
      </c>
      <c r="AM2217">
        <v>96.978803238074804</v>
      </c>
      <c r="AN2217">
        <v>0.99999992610868704</v>
      </c>
    </row>
    <row r="2218" spans="1:40" x14ac:dyDescent="0.25">
      <c r="A2218" t="str">
        <f>"20190304155100225"</f>
        <v>20190304155100225</v>
      </c>
      <c r="B2218" t="str">
        <f>"1551685860219043"</f>
        <v>1551685860219043</v>
      </c>
      <c r="C2218" t="s">
        <v>40</v>
      </c>
      <c r="D2218">
        <v>4.8721959999999997</v>
      </c>
      <c r="E2218">
        <v>0.56243160000000003</v>
      </c>
      <c r="F2218" t="s">
        <v>76</v>
      </c>
      <c r="G2218">
        <v>-510.95519999999999</v>
      </c>
      <c r="H2218">
        <v>4.6980079999999997</v>
      </c>
      <c r="I2218">
        <v>294.25760000000002</v>
      </c>
      <c r="J2218">
        <v>-343.11020000000002</v>
      </c>
      <c r="K2218">
        <v>1.1104499999999999</v>
      </c>
      <c r="L2218">
        <v>285.37479999999999</v>
      </c>
      <c r="M2218">
        <v>-0.99990259999999997</v>
      </c>
      <c r="N2218">
        <v>-1.303706E-2</v>
      </c>
      <c r="O2218">
        <v>4.9754909999999899E-3</v>
      </c>
      <c r="P2218">
        <v>-0.97650780000000004</v>
      </c>
      <c r="Q2218">
        <v>0.18275839999999999</v>
      </c>
      <c r="R2218">
        <v>-0.1141557</v>
      </c>
      <c r="S2218">
        <v>-3.0786739999999999</v>
      </c>
      <c r="T2218">
        <v>6.5737249999999997E-2</v>
      </c>
      <c r="U2218">
        <v>0.1627808</v>
      </c>
      <c r="V2218">
        <v>-0.1189345</v>
      </c>
      <c r="W2218">
        <v>0.19551389999999999</v>
      </c>
      <c r="X2218">
        <v>0.9734623</v>
      </c>
      <c r="Y2218">
        <v>4.7829000000000003E-2</v>
      </c>
      <c r="Z2218" s="1">
        <v>-2.7236879999999999E-5</v>
      </c>
      <c r="AA2218">
        <v>0.99885550000000001</v>
      </c>
      <c r="AB2218">
        <v>24</v>
      </c>
      <c r="AC2218">
        <v>-167.844999999999</v>
      </c>
      <c r="AD2218">
        <v>3.587558</v>
      </c>
      <c r="AE2218">
        <v>8.8828000000000298</v>
      </c>
      <c r="AF2218">
        <v>8.0438431079065502</v>
      </c>
      <c r="AG2218">
        <v>3.587558</v>
      </c>
      <c r="AH2218">
        <v>167.81067065060299</v>
      </c>
      <c r="AI2218">
        <v>88.776686889215696</v>
      </c>
      <c r="AJ2218">
        <v>87.255682473432799</v>
      </c>
      <c r="AK2218">
        <v>168.04164712520799</v>
      </c>
      <c r="AL2218">
        <v>78.725253957067693</v>
      </c>
      <c r="AM2218">
        <v>96.965692023855595</v>
      </c>
      <c r="AN2218">
        <v>0.99999997495237403</v>
      </c>
    </row>
    <row r="2219" spans="1:40" x14ac:dyDescent="0.25">
      <c r="A2219" t="str">
        <f>"20190304155100250"</f>
        <v>20190304155100250</v>
      </c>
      <c r="B2219" t="str">
        <f>"1551685860238562"</f>
        <v>1551685860238562</v>
      </c>
      <c r="C2219" t="s">
        <v>40</v>
      </c>
      <c r="D2219">
        <v>4.9946729999999997</v>
      </c>
      <c r="E2219">
        <v>0.5624922</v>
      </c>
      <c r="F2219" t="s">
        <v>76</v>
      </c>
      <c r="G2219">
        <v>-510.95519999999999</v>
      </c>
      <c r="H2219">
        <v>4.8328660000000001</v>
      </c>
      <c r="I2219">
        <v>294.23849999999999</v>
      </c>
      <c r="J2219">
        <v>-343.35419999999999</v>
      </c>
      <c r="K2219">
        <v>1.1104449999999999</v>
      </c>
      <c r="L2219">
        <v>285.37619999999998</v>
      </c>
      <c r="M2219">
        <v>-0.99990299999999999</v>
      </c>
      <c r="N2219">
        <v>-1.293246E-2</v>
      </c>
      <c r="O2219">
        <v>5.1984550000000003E-3</v>
      </c>
      <c r="P2219">
        <v>-0.9767015</v>
      </c>
      <c r="Q2219">
        <v>0.1819491</v>
      </c>
      <c r="R2219">
        <v>-0.1137946</v>
      </c>
      <c r="S2219">
        <v>-3.0783999999999998</v>
      </c>
      <c r="T2219">
        <v>6.8273310000000004E-2</v>
      </c>
      <c r="U2219">
        <v>0.16256709999999999</v>
      </c>
      <c r="V2219">
        <v>-0.11879629999999999</v>
      </c>
      <c r="W2219">
        <v>0.19460240000000001</v>
      </c>
      <c r="X2219">
        <v>0.97366180000000002</v>
      </c>
      <c r="Y2219">
        <v>4.7541470000000002E-2</v>
      </c>
      <c r="Z2219" s="1">
        <v>-3.6735839999999998E-5</v>
      </c>
      <c r="AA2219">
        <v>0.99886920000000001</v>
      </c>
      <c r="AB2219">
        <v>24</v>
      </c>
      <c r="AC2219">
        <v>-167.601</v>
      </c>
      <c r="AD2219">
        <v>3.7224210000000002</v>
      </c>
      <c r="AE2219">
        <v>8.8622999999999994</v>
      </c>
      <c r="AF2219">
        <v>7.9869123926117602</v>
      </c>
      <c r="AG2219">
        <v>3.7224210000000002</v>
      </c>
      <c r="AH2219">
        <v>167.56238358123801</v>
      </c>
      <c r="AI2219">
        <v>88.728818594635996</v>
      </c>
      <c r="AJ2219">
        <v>87.271044562450598</v>
      </c>
      <c r="AK2219">
        <v>167.793919970583</v>
      </c>
      <c r="AL2219">
        <v>78.778501899749998</v>
      </c>
      <c r="AM2219">
        <v>96.956265747667899</v>
      </c>
      <c r="AN2219">
        <v>0.99999997787934403</v>
      </c>
    </row>
    <row r="2220" spans="1:40" x14ac:dyDescent="0.25">
      <c r="A2220" t="str">
        <f>"20190304155100269"</f>
        <v>20190304155100269</v>
      </c>
      <c r="B2220" t="str">
        <f>"1551685860259059"</f>
        <v>1551685860259059</v>
      </c>
      <c r="C2220" t="s">
        <v>40</v>
      </c>
      <c r="D2220">
        <v>4.94496</v>
      </c>
      <c r="E2220">
        <v>0.56212810000000002</v>
      </c>
      <c r="F2220" t="s">
        <v>76</v>
      </c>
      <c r="G2220">
        <v>-510.95510000000002</v>
      </c>
      <c r="H2220">
        <v>4.5471899999999996</v>
      </c>
      <c r="I2220">
        <v>294.3614</v>
      </c>
      <c r="J2220">
        <v>-343.5847</v>
      </c>
      <c r="K2220">
        <v>1.11043799999999</v>
      </c>
      <c r="L2220">
        <v>285.3777</v>
      </c>
      <c r="M2220">
        <v>-0.99990319999999999</v>
      </c>
      <c r="N2220">
        <v>-1.2836220000000001E-2</v>
      </c>
      <c r="O2220">
        <v>5.391781E-3</v>
      </c>
      <c r="P2220">
        <v>-0.97697219999999996</v>
      </c>
      <c r="Q2220">
        <v>0.1804364</v>
      </c>
      <c r="R2220">
        <v>-0.11387799999999999</v>
      </c>
      <c r="S2220">
        <v>-3.0790410000000001</v>
      </c>
      <c r="T2220">
        <v>6.3138840000000002E-2</v>
      </c>
      <c r="U2220">
        <v>0.16506960000000001</v>
      </c>
      <c r="V2220">
        <v>-0.11907570000000001</v>
      </c>
      <c r="W2220">
        <v>0.19299649999999999</v>
      </c>
      <c r="X2220">
        <v>0.97394729999999996</v>
      </c>
      <c r="Y2220">
        <v>4.8147809999999999E-2</v>
      </c>
      <c r="Z2220" s="1">
        <v>-4.3665060000000002E-6</v>
      </c>
      <c r="AA2220">
        <v>0.99884019999999996</v>
      </c>
      <c r="AB2220">
        <v>24</v>
      </c>
      <c r="AC2220">
        <v>-167.37039999999999</v>
      </c>
      <c r="AD2220">
        <v>3.4367519999999998</v>
      </c>
      <c r="AE2220">
        <v>8.98369999999999</v>
      </c>
      <c r="AF2220">
        <v>8.0776745436108008</v>
      </c>
      <c r="AG2220">
        <v>3.4367519999999998</v>
      </c>
      <c r="AH2220">
        <v>167.34605222754001</v>
      </c>
      <c r="AI2220">
        <v>88.824861367677599</v>
      </c>
      <c r="AJ2220">
        <v>87.236518504189306</v>
      </c>
      <c r="AK2220">
        <v>167.576135790525</v>
      </c>
      <c r="AL2220">
        <v>78.872291675096506</v>
      </c>
      <c r="AM2220">
        <v>96.970441726429499</v>
      </c>
      <c r="AN2220">
        <v>1.0000000072600099</v>
      </c>
    </row>
    <row r="2221" spans="1:40" x14ac:dyDescent="0.25">
      <c r="A2221" t="str">
        <f>"20190304155100282"</f>
        <v>20190304155100282</v>
      </c>
      <c r="B2221" t="str">
        <f>"1551685860278579"</f>
        <v>1551685860278579</v>
      </c>
      <c r="C2221" t="s">
        <v>40</v>
      </c>
      <c r="D2221">
        <v>5.0798259999999997</v>
      </c>
      <c r="E2221">
        <v>0.52078599999999997</v>
      </c>
      <c r="F2221" t="s">
        <v>76</v>
      </c>
      <c r="G2221">
        <v>-510.95499999999998</v>
      </c>
      <c r="H2221">
        <v>4.3547260000000003</v>
      </c>
      <c r="I2221">
        <v>294.17270000000002</v>
      </c>
      <c r="J2221">
        <v>-343.72179999999997</v>
      </c>
      <c r="K2221">
        <v>1.1104350000000001</v>
      </c>
      <c r="L2221">
        <v>285.37849999999997</v>
      </c>
      <c r="M2221">
        <v>-0.99990319999999999</v>
      </c>
      <c r="N2221">
        <v>-1.2782719999999999E-2</v>
      </c>
      <c r="O2221">
        <v>5.5004490000000001E-3</v>
      </c>
      <c r="P2221">
        <v>-0.97705410000000004</v>
      </c>
      <c r="Q2221">
        <v>0.17983399999999999</v>
      </c>
      <c r="R2221">
        <v>-0.1141288</v>
      </c>
      <c r="S2221">
        <v>-3.0785830000000001</v>
      </c>
      <c r="T2221">
        <v>5.9676409999999999E-2</v>
      </c>
      <c r="U2221">
        <v>0.16177369999999999</v>
      </c>
      <c r="V2221">
        <v>-0.1194355</v>
      </c>
      <c r="W2221">
        <v>0.19234190000000001</v>
      </c>
      <c r="X2221">
        <v>0.97403269999999997</v>
      </c>
      <c r="Y2221">
        <v>4.6981439999999999E-2</v>
      </c>
      <c r="Z2221" s="1">
        <v>2.2299699999999999E-5</v>
      </c>
      <c r="AA2221">
        <v>0.9988958</v>
      </c>
      <c r="AB2221">
        <v>24</v>
      </c>
      <c r="AC2221">
        <v>-167.23320000000001</v>
      </c>
      <c r="AD2221">
        <v>3.244291</v>
      </c>
      <c r="AE2221">
        <v>8.7942000000000409</v>
      </c>
      <c r="AF2221">
        <v>7.8711799559454896</v>
      </c>
      <c r="AG2221">
        <v>3.244291</v>
      </c>
      <c r="AH2221">
        <v>167.21628706229299</v>
      </c>
      <c r="AI2221">
        <v>88.889729296668804</v>
      </c>
      <c r="AJ2221">
        <v>87.304971006963399</v>
      </c>
      <c r="AK2221">
        <v>167.43287477939</v>
      </c>
      <c r="AL2221">
        <v>78.9105132425763</v>
      </c>
      <c r="AM2221">
        <v>96.990688623147804</v>
      </c>
      <c r="AN2221">
        <v>0.99999997291257403</v>
      </c>
    </row>
    <row r="2222" spans="1:40" x14ac:dyDescent="0.25">
      <c r="A2222" t="str">
        <f>"20190304155100295"</f>
        <v>20190304155100295</v>
      </c>
      <c r="B2222" t="str">
        <f>"1551685860289314"</f>
        <v>1551685860289314</v>
      </c>
      <c r="C2222" t="s">
        <v>40</v>
      </c>
      <c r="D2222">
        <v>4.913462</v>
      </c>
      <c r="E2222">
        <v>0.51814959999999999</v>
      </c>
      <c r="F2222" t="s">
        <v>75</v>
      </c>
      <c r="G2222">
        <v>-511.959</v>
      </c>
      <c r="H2222">
        <v>0.9977779</v>
      </c>
      <c r="I2222">
        <v>276.2627</v>
      </c>
      <c r="J2222">
        <v>-343.85829999999999</v>
      </c>
      <c r="K2222">
        <v>1.1104369999999999</v>
      </c>
      <c r="L2222">
        <v>285.37939999999998</v>
      </c>
      <c r="M2222">
        <v>-0.9999034</v>
      </c>
      <c r="N2222">
        <v>-1.273065E-2</v>
      </c>
      <c r="O2222">
        <v>5.6041060000000002E-3</v>
      </c>
      <c r="P2222">
        <v>-0.97702279999999997</v>
      </c>
      <c r="Q2222">
        <v>0.1798276</v>
      </c>
      <c r="R2222">
        <v>-0.11440699999999999</v>
      </c>
      <c r="S2222">
        <v>-3.0515140000000001</v>
      </c>
      <c r="T2222">
        <v>-2.0419359999999998E-3</v>
      </c>
      <c r="U2222">
        <v>-0.1653442</v>
      </c>
      <c r="V2222">
        <v>-0.1198173</v>
      </c>
      <c r="W2222">
        <v>0.19228290000000001</v>
      </c>
      <c r="X2222">
        <v>0.97399749999999996</v>
      </c>
      <c r="Y2222">
        <v>-5.9699790000000003E-2</v>
      </c>
      <c r="Z2222">
        <v>-3.3271800000000002E-4</v>
      </c>
      <c r="AA2222">
        <v>0.99821629999999995</v>
      </c>
      <c r="AB2222">
        <v>24</v>
      </c>
      <c r="AC2222">
        <v>-168.10069999999999</v>
      </c>
      <c r="AD2222">
        <v>-0.1126591</v>
      </c>
      <c r="AE2222">
        <v>-9.1166999999999803</v>
      </c>
      <c r="AF2222">
        <v>-10.0586826672009</v>
      </c>
      <c r="AG2222">
        <v>-0.1126591</v>
      </c>
      <c r="AH2222">
        <v>168.046889522692</v>
      </c>
      <c r="AI2222">
        <v>90.038342618137094</v>
      </c>
      <c r="AJ2222">
        <v>93.425432413262698</v>
      </c>
      <c r="AK2222">
        <v>168.34769635288799</v>
      </c>
      <c r="AL2222">
        <v>78.913958461219593</v>
      </c>
      <c r="AM2222">
        <v>97.013064535138</v>
      </c>
      <c r="AN2222">
        <v>1.00000001450897</v>
      </c>
    </row>
    <row r="2223" spans="1:40" x14ac:dyDescent="0.25">
      <c r="A2223" t="str">
        <f>"20190304155100308"</f>
        <v>20190304155100308</v>
      </c>
      <c r="B2223" t="str">
        <f>"1551685860299075"</f>
        <v>1551685860299075</v>
      </c>
      <c r="C2223" t="s">
        <v>40</v>
      </c>
      <c r="D2223">
        <v>4.9441079999999999</v>
      </c>
      <c r="E2223">
        <v>0.5169224</v>
      </c>
      <c r="F2223" t="s">
        <v>62</v>
      </c>
      <c r="G2223">
        <v>-494.99799999999999</v>
      </c>
      <c r="H2223" s="1">
        <v>1.85978E-6</v>
      </c>
      <c r="I2223">
        <v>276.142</v>
      </c>
      <c r="J2223">
        <v>-344.0059</v>
      </c>
      <c r="K2223">
        <v>1.1104369999999999</v>
      </c>
      <c r="L2223">
        <v>285.38029999999998</v>
      </c>
      <c r="M2223">
        <v>-0.99990330000000005</v>
      </c>
      <c r="N2223">
        <v>-1.267531E-2</v>
      </c>
      <c r="O2223">
        <v>5.7123080000000001E-3</v>
      </c>
      <c r="P2223">
        <v>-0.9769158</v>
      </c>
      <c r="Q2223">
        <v>0.180088</v>
      </c>
      <c r="R2223">
        <v>-0.1149092</v>
      </c>
      <c r="S2223">
        <v>-3.052826</v>
      </c>
      <c r="T2223">
        <v>-2.2429350000000001E-2</v>
      </c>
      <c r="U2223">
        <v>-0.18658449999999999</v>
      </c>
      <c r="V2223">
        <v>-0.1204269</v>
      </c>
      <c r="W2223">
        <v>0.19248599999999999</v>
      </c>
      <c r="X2223">
        <v>0.97388220000000003</v>
      </c>
      <c r="Y2223">
        <v>-6.6700919999999997E-2</v>
      </c>
      <c r="Z2223">
        <v>-6.375431E-4</v>
      </c>
      <c r="AA2223">
        <v>0.99777280000000002</v>
      </c>
      <c r="AB2223">
        <v>24</v>
      </c>
      <c r="AC2223">
        <v>-150.99209999999999</v>
      </c>
      <c r="AD2223">
        <v>-1.1104351402199999</v>
      </c>
      <c r="AE2223">
        <v>-9.2382999999999793</v>
      </c>
      <c r="AF2223">
        <v>-10.100187734843299</v>
      </c>
      <c r="AG2223">
        <v>-1.1104351402199999</v>
      </c>
      <c r="AH2223">
        <v>150.928727298453</v>
      </c>
      <c r="AI2223">
        <v>90.420596674436098</v>
      </c>
      <c r="AJ2223">
        <v>93.828539394737206</v>
      </c>
      <c r="AK2223">
        <v>151.270379064807</v>
      </c>
      <c r="AL2223">
        <v>78.902100221357998</v>
      </c>
      <c r="AM2223">
        <v>97.049213309123701</v>
      </c>
      <c r="AN2223">
        <v>1.0000000189582201</v>
      </c>
    </row>
    <row r="2224" spans="1:40" x14ac:dyDescent="0.25">
      <c r="A2224" t="str">
        <f>"20190304155100327"</f>
        <v>20190304155100327</v>
      </c>
      <c r="B2224" t="str">
        <f>"1551685860318594"</f>
        <v>1551685860318594</v>
      </c>
      <c r="C2224" t="s">
        <v>40</v>
      </c>
      <c r="D2224">
        <v>4.9214630000000001</v>
      </c>
      <c r="E2224">
        <v>0.5149127</v>
      </c>
      <c r="F2224" t="s">
        <v>75</v>
      </c>
      <c r="G2224">
        <v>-512.8252</v>
      </c>
      <c r="H2224">
        <v>7.8494010000000003E-2</v>
      </c>
      <c r="I2224">
        <v>274.43490000000003</v>
      </c>
      <c r="J2224">
        <v>-344.20769999999999</v>
      </c>
      <c r="K2224">
        <v>1.1104320000000001</v>
      </c>
      <c r="L2224">
        <v>285.38170000000002</v>
      </c>
      <c r="M2224">
        <v>-0.99990349999999995</v>
      </c>
      <c r="N2224">
        <v>-1.2601650000000001E-2</v>
      </c>
      <c r="O2224">
        <v>5.8448750000000002E-3</v>
      </c>
      <c r="P2224">
        <v>-0.97668929999999998</v>
      </c>
      <c r="Q2224">
        <v>0.1808237</v>
      </c>
      <c r="R2224">
        <v>-0.11567620000000001</v>
      </c>
      <c r="S2224">
        <v>-3.051056</v>
      </c>
      <c r="T2224">
        <v>-1.864874E-2</v>
      </c>
      <c r="U2224">
        <v>-0.19781489999999999</v>
      </c>
      <c r="V2224">
        <v>-0.12132660000000001</v>
      </c>
      <c r="W2224">
        <v>0.19314390000000001</v>
      </c>
      <c r="X2224">
        <v>0.97364030000000001</v>
      </c>
      <c r="Y2224">
        <v>-7.0526909999999998E-2</v>
      </c>
      <c r="Z2224">
        <v>-6.2229500000000003E-4</v>
      </c>
      <c r="AA2224">
        <v>0.99750970000000005</v>
      </c>
      <c r="AB2224">
        <v>24</v>
      </c>
      <c r="AC2224">
        <v>-168.61750000000001</v>
      </c>
      <c r="AD2224">
        <v>-1.0319379900000001</v>
      </c>
      <c r="AE2224">
        <v>-10.9467999999999</v>
      </c>
      <c r="AF2224">
        <v>-11.931794447748601</v>
      </c>
      <c r="AG2224">
        <v>-1.0319379900000001</v>
      </c>
      <c r="AH2224">
        <v>168.544345336362</v>
      </c>
      <c r="AI2224">
        <v>90.349921875284906</v>
      </c>
      <c r="AJ2224">
        <v>94.049396144666403</v>
      </c>
      <c r="AK2224">
        <v>168.969313662633</v>
      </c>
      <c r="AL2224">
        <v>78.863685058401799</v>
      </c>
      <c r="AM2224">
        <v>97.1030880153765</v>
      </c>
      <c r="AN2224">
        <v>1.00000007187942</v>
      </c>
    </row>
    <row r="2225" spans="1:40" x14ac:dyDescent="0.25">
      <c r="A2225" t="str">
        <f>"20190304155100341"</f>
        <v>20190304155100341</v>
      </c>
      <c r="B2225" t="str">
        <f>"1551685860329331"</f>
        <v>1551685860329331</v>
      </c>
      <c r="C2225" t="s">
        <v>40</v>
      </c>
      <c r="D2225">
        <v>4.9240339999999998</v>
      </c>
      <c r="E2225">
        <v>0.51452310000000001</v>
      </c>
      <c r="F2225" t="s">
        <v>75</v>
      </c>
      <c r="G2225">
        <v>-512.8252</v>
      </c>
      <c r="H2225">
        <v>5.1069440000000001E-2</v>
      </c>
      <c r="I2225">
        <v>273.46199999999999</v>
      </c>
      <c r="J2225">
        <v>-344.35419999999999</v>
      </c>
      <c r="K2225">
        <v>1.1104320000000001</v>
      </c>
      <c r="L2225">
        <v>285.38260000000002</v>
      </c>
      <c r="M2225">
        <v>-0.99990369999999995</v>
      </c>
      <c r="N2225">
        <v>-1.2548709999999999E-2</v>
      </c>
      <c r="O2225">
        <v>5.9294789999999997E-3</v>
      </c>
      <c r="P2225">
        <v>-0.97663650000000002</v>
      </c>
      <c r="Q2225">
        <v>0.18085039999999999</v>
      </c>
      <c r="R2225">
        <v>-0.1160803</v>
      </c>
      <c r="S2225">
        <v>-3.0495909999999999</v>
      </c>
      <c r="T2225">
        <v>-1.915801E-2</v>
      </c>
      <c r="U2225">
        <v>-0.2155762</v>
      </c>
      <c r="V2225">
        <v>-0.1218166</v>
      </c>
      <c r="W2225">
        <v>0.19311629999999999</v>
      </c>
      <c r="X2225">
        <v>0.97358449999999996</v>
      </c>
      <c r="Y2225">
        <v>-7.6423550000000007E-2</v>
      </c>
      <c r="Z2225">
        <v>-6.8277989999999998E-4</v>
      </c>
      <c r="AA2225">
        <v>0.99707520000000005</v>
      </c>
      <c r="AB2225">
        <v>24</v>
      </c>
      <c r="AC2225">
        <v>-168.47099999999901</v>
      </c>
      <c r="AD2225">
        <v>-1.0593625599999901</v>
      </c>
      <c r="AE2225">
        <v>-11.9206</v>
      </c>
      <c r="AF2225">
        <v>-12.9189060360253</v>
      </c>
      <c r="AG2225">
        <v>-1.0593625599999901</v>
      </c>
      <c r="AH2225">
        <v>168.390724348394</v>
      </c>
      <c r="AI2225">
        <v>90.359392512268599</v>
      </c>
      <c r="AJ2225">
        <v>94.3871279071695</v>
      </c>
      <c r="AK2225">
        <v>168.88888781911601</v>
      </c>
      <c r="AL2225">
        <v>78.865295774137493</v>
      </c>
      <c r="AM2225">
        <v>97.131884895552304</v>
      </c>
      <c r="AN2225">
        <v>0.99999998400074896</v>
      </c>
    </row>
    <row r="2226" spans="1:40" x14ac:dyDescent="0.25">
      <c r="A2226" t="str">
        <f>"20190304155100360"</f>
        <v>20190304155100360</v>
      </c>
      <c r="B2226" t="str">
        <f>"1551685860348852"</f>
        <v>1551685860348852</v>
      </c>
      <c r="C2226" t="s">
        <v>40</v>
      </c>
      <c r="D2226">
        <v>4.9094059999999997</v>
      </c>
      <c r="E2226">
        <v>0.5141599</v>
      </c>
      <c r="F2226" t="s">
        <v>75</v>
      </c>
      <c r="G2226">
        <v>-512.8252</v>
      </c>
      <c r="H2226">
        <v>0.17316229999999999</v>
      </c>
      <c r="I2226">
        <v>273.22539999999998</v>
      </c>
      <c r="J2226">
        <v>-344.56689999999998</v>
      </c>
      <c r="K2226">
        <v>1.11043799999999</v>
      </c>
      <c r="L2226">
        <v>285.38400000000001</v>
      </c>
      <c r="M2226">
        <v>-0.99990389999999996</v>
      </c>
      <c r="N2226">
        <v>-1.2473740000000001E-2</v>
      </c>
      <c r="O2226">
        <v>6.0403039999999998E-3</v>
      </c>
      <c r="P2226">
        <v>-0.97659010000000002</v>
      </c>
      <c r="Q2226">
        <v>0.18096309999999999</v>
      </c>
      <c r="R2226">
        <v>-0.1162936</v>
      </c>
      <c r="S2226">
        <v>-3.0487060000000001</v>
      </c>
      <c r="T2226">
        <v>-1.695967E-2</v>
      </c>
      <c r="U2226">
        <v>-0.22000120000000001</v>
      </c>
      <c r="V2226">
        <v>-0.1221444</v>
      </c>
      <c r="W2226">
        <v>0.1931513</v>
      </c>
      <c r="X2226">
        <v>0.97353650000000003</v>
      </c>
      <c r="Y2226">
        <v>-7.7994740000000007E-2</v>
      </c>
      <c r="Z2226">
        <v>-6.6207359999999999E-4</v>
      </c>
      <c r="AA2226">
        <v>0.99695350000000005</v>
      </c>
      <c r="AB2226">
        <v>24</v>
      </c>
      <c r="AC2226">
        <v>-168.25829999999999</v>
      </c>
      <c r="AD2226">
        <v>-0.93727569999999905</v>
      </c>
      <c r="AE2226">
        <v>-12.1586</v>
      </c>
      <c r="AF2226">
        <v>-13.174381897002799</v>
      </c>
      <c r="AG2226">
        <v>-0.93727569999999905</v>
      </c>
      <c r="AH2226">
        <v>168.17659124966301</v>
      </c>
      <c r="AI2226">
        <v>90.318340208846706</v>
      </c>
      <c r="AJ2226">
        <v>94.479208945217806</v>
      </c>
      <c r="AK2226">
        <v>168.69442394004</v>
      </c>
      <c r="AL2226">
        <v>78.863252099175696</v>
      </c>
      <c r="AM2226">
        <v>97.151226814718896</v>
      </c>
      <c r="AN2226">
        <v>0.99999999798765005</v>
      </c>
    </row>
    <row r="2227" spans="1:40" x14ac:dyDescent="0.25">
      <c r="A2227" t="str">
        <f>"20190304155100382"</f>
        <v>20190304155100382</v>
      </c>
      <c r="B2227" t="str">
        <f>"1551685860379107"</f>
        <v>1551685860379107</v>
      </c>
      <c r="C2227" t="s">
        <v>40</v>
      </c>
      <c r="D2227">
        <v>4.9523840000000003</v>
      </c>
      <c r="E2227">
        <v>0.51394280000000003</v>
      </c>
      <c r="F2227" t="s">
        <v>44</v>
      </c>
      <c r="G2227">
        <v>-455.57429999999999</v>
      </c>
      <c r="H2227">
        <v>0.58845219999999998</v>
      </c>
      <c r="I2227">
        <v>277.23809999999997</v>
      </c>
      <c r="J2227">
        <v>-344.80360000000002</v>
      </c>
      <c r="K2227">
        <v>1.110444</v>
      </c>
      <c r="L2227">
        <v>285.38569999999999</v>
      </c>
      <c r="M2227">
        <v>-0.99990429999999997</v>
      </c>
      <c r="N2227">
        <v>-1.239266E-2</v>
      </c>
      <c r="O2227">
        <v>6.1442679999999996E-3</v>
      </c>
      <c r="P2227">
        <v>-0.97652539999999999</v>
      </c>
      <c r="Q2227">
        <v>0.18134430000000001</v>
      </c>
      <c r="R2227">
        <v>-0.11624420000000001</v>
      </c>
      <c r="S2227">
        <v>-3.0479430000000001</v>
      </c>
      <c r="T2227">
        <v>-1.433039E-2</v>
      </c>
      <c r="U2227">
        <v>-0.22366330000000001</v>
      </c>
      <c r="V2227">
        <v>-0.12220350000000001</v>
      </c>
      <c r="W2227">
        <v>0.19344749999999999</v>
      </c>
      <c r="X2227">
        <v>0.97347030000000001</v>
      </c>
      <c r="Y2227">
        <v>-7.9308459999999997E-2</v>
      </c>
      <c r="Z2227">
        <v>-6.3110879999999996E-4</v>
      </c>
      <c r="AA2227">
        <v>0.99684989999999996</v>
      </c>
      <c r="AB2227">
        <v>24</v>
      </c>
      <c r="AC2227">
        <v>-110.770699999999</v>
      </c>
      <c r="AD2227">
        <v>-0.52199180000000001</v>
      </c>
      <c r="AE2227">
        <v>-8.1476000000000095</v>
      </c>
      <c r="AF2227">
        <v>-8.8279083568157795</v>
      </c>
      <c r="AG2227">
        <v>-0.52199180000000001</v>
      </c>
      <c r="AH2227">
        <v>110.71609849280701</v>
      </c>
      <c r="AI2227">
        <v>90.269275086507605</v>
      </c>
      <c r="AJ2227">
        <v>94.558813672462705</v>
      </c>
      <c r="AK2227">
        <v>111.068712547074</v>
      </c>
      <c r="AL2227">
        <v>78.845955197174305</v>
      </c>
      <c r="AM2227">
        <v>97.155132615337607</v>
      </c>
      <c r="AN2227">
        <v>1.0000000278252901</v>
      </c>
    </row>
    <row r="2228" spans="1:40" x14ac:dyDescent="0.25">
      <c r="A2228" t="str">
        <f>"20190304155100394"</f>
        <v>20190304155100394</v>
      </c>
      <c r="B2228" t="str">
        <f>"1551685860388867"</f>
        <v>1551685860388867</v>
      </c>
      <c r="C2228" t="s">
        <v>40</v>
      </c>
      <c r="D2228">
        <v>5.428617</v>
      </c>
      <c r="E2228">
        <v>0.5143799</v>
      </c>
      <c r="F2228" t="s">
        <v>44</v>
      </c>
      <c r="G2228">
        <v>-455.38249999999999</v>
      </c>
      <c r="H2228">
        <v>0.72089979999999998</v>
      </c>
      <c r="I2228">
        <v>277.20850000000002</v>
      </c>
      <c r="J2228">
        <v>-344.92930000000001</v>
      </c>
      <c r="K2228">
        <v>1.110452</v>
      </c>
      <c r="L2228">
        <v>285.38650000000001</v>
      </c>
      <c r="M2228">
        <v>-0.99990460000000003</v>
      </c>
      <c r="N2228">
        <v>-1.235077E-2</v>
      </c>
      <c r="O2228">
        <v>6.1916039999999999E-3</v>
      </c>
      <c r="P2228">
        <v>-0.9764545</v>
      </c>
      <c r="Q2228">
        <v>0.18176700000000001</v>
      </c>
      <c r="R2228">
        <v>-0.1161784</v>
      </c>
      <c r="S2228">
        <v>-3.047272</v>
      </c>
      <c r="T2228">
        <v>-1.0733009999999999E-2</v>
      </c>
      <c r="U2228">
        <v>-0.22534179999999901</v>
      </c>
      <c r="V2228">
        <v>-0.1221872</v>
      </c>
      <c r="W2228">
        <v>0.193826</v>
      </c>
      <c r="X2228">
        <v>0.97339699999999996</v>
      </c>
      <c r="Y2228">
        <v>-7.9918669999999997E-2</v>
      </c>
      <c r="Z2228">
        <v>-5.801914E-4</v>
      </c>
      <c r="AA2228">
        <v>0.99680119999999905</v>
      </c>
      <c r="AB2228">
        <v>24</v>
      </c>
      <c r="AC2228">
        <v>-110.453199999999</v>
      </c>
      <c r="AD2228">
        <v>-0.38955219999999902</v>
      </c>
      <c r="AE2228">
        <v>-8.1779999999999902</v>
      </c>
      <c r="AF2228">
        <v>-8.8616682037879002</v>
      </c>
      <c r="AG2228">
        <v>-0.38955219999999902</v>
      </c>
      <c r="AH2228">
        <v>110.399077961207</v>
      </c>
      <c r="AI2228">
        <v>90.201523838435193</v>
      </c>
      <c r="AJ2228">
        <v>94.589258489996496</v>
      </c>
      <c r="AK2228">
        <v>110.754852394625</v>
      </c>
      <c r="AL2228">
        <v>78.823849774096601</v>
      </c>
      <c r="AM2228">
        <v>97.154721275389505</v>
      </c>
      <c r="AN2228">
        <v>0.99999997486441905</v>
      </c>
    </row>
    <row r="2229" spans="1:40" x14ac:dyDescent="0.25">
      <c r="A2229" t="str">
        <f>"20190304155100407"</f>
        <v>20190304155100407</v>
      </c>
      <c r="B2229" t="str">
        <f>"1551685860398627"</f>
        <v>1551685860398627</v>
      </c>
      <c r="C2229" t="s">
        <v>40</v>
      </c>
      <c r="D2229">
        <v>4.9232089999999999</v>
      </c>
      <c r="E2229">
        <v>0.51422999999999996</v>
      </c>
      <c r="F2229" t="s">
        <v>75</v>
      </c>
      <c r="G2229">
        <v>-512.82539999999995</v>
      </c>
      <c r="H2229">
        <v>0.68003429999999998</v>
      </c>
      <c r="I2229">
        <v>273.14109999999999</v>
      </c>
      <c r="J2229">
        <v>-345.08390000000003</v>
      </c>
      <c r="K2229">
        <v>1.1104609999999999</v>
      </c>
      <c r="L2229">
        <v>285.38749999999999</v>
      </c>
      <c r="M2229">
        <v>-0.99990489999999999</v>
      </c>
      <c r="N2229">
        <v>-1.230035E-2</v>
      </c>
      <c r="O2229">
        <v>6.2438559999999999E-3</v>
      </c>
      <c r="P2229">
        <v>-0.97634880000000002</v>
      </c>
      <c r="Q2229">
        <v>0.18226980000000001</v>
      </c>
      <c r="R2229">
        <v>-0.1162802</v>
      </c>
      <c r="S2229">
        <v>-3.0473940000000002</v>
      </c>
      <c r="T2229">
        <v>-7.8108309999999999E-3</v>
      </c>
      <c r="U2229">
        <v>-0.2222595</v>
      </c>
      <c r="V2229">
        <v>-0.1223437</v>
      </c>
      <c r="W2229">
        <v>0.19427549999999999</v>
      </c>
      <c r="X2229">
        <v>0.97328780000000004</v>
      </c>
      <c r="Y2229">
        <v>-7.8965649999999998E-2</v>
      </c>
      <c r="Z2229">
        <v>-5.2666879999999896E-4</v>
      </c>
      <c r="AA2229">
        <v>0.99687720000000002</v>
      </c>
      <c r="AB2229">
        <v>24</v>
      </c>
      <c r="AC2229">
        <v>-167.74149999999901</v>
      </c>
      <c r="AD2229">
        <v>-0.4304267</v>
      </c>
      <c r="AE2229">
        <v>-12.2463999999999</v>
      </c>
      <c r="AF2229">
        <v>-13.2935071410541</v>
      </c>
      <c r="AG2229">
        <v>-0.4304267</v>
      </c>
      <c r="AH2229">
        <v>167.66066107603399</v>
      </c>
      <c r="AI2229">
        <v>90.146632036277595</v>
      </c>
      <c r="AJ2229">
        <v>94.533393530520897</v>
      </c>
      <c r="AK2229">
        <v>168.187395103515</v>
      </c>
      <c r="AL2229">
        <v>78.7975970903302</v>
      </c>
      <c r="AM2229">
        <v>97.164585452745399</v>
      </c>
      <c r="AN2229">
        <v>1.0000000462293801</v>
      </c>
    </row>
    <row r="2230" spans="1:40" x14ac:dyDescent="0.25">
      <c r="A2230" t="str">
        <f>"20190304155100422"</f>
        <v>20190304155100422</v>
      </c>
      <c r="B2230" t="str">
        <f>"1551685860419123"</f>
        <v>1551685860419123</v>
      </c>
      <c r="C2230" t="s">
        <v>40</v>
      </c>
      <c r="D2230">
        <v>4.9012570000000002</v>
      </c>
      <c r="E2230">
        <v>0.51369739999999997</v>
      </c>
      <c r="F2230" t="s">
        <v>75</v>
      </c>
      <c r="G2230">
        <v>-512.82539999999995</v>
      </c>
      <c r="H2230">
        <v>0.72149129999999995</v>
      </c>
      <c r="I2230">
        <v>273.05720000000002</v>
      </c>
      <c r="J2230">
        <v>-345.2337</v>
      </c>
      <c r="K2230">
        <v>1.110468</v>
      </c>
      <c r="L2230">
        <v>285.38850000000002</v>
      </c>
      <c r="M2230">
        <v>-0.99990520000000005</v>
      </c>
      <c r="N2230">
        <v>-1.225536E-2</v>
      </c>
      <c r="O2230">
        <v>6.2833409999999996E-3</v>
      </c>
      <c r="P2230">
        <v>-0.97621579999999997</v>
      </c>
      <c r="Q2230">
        <v>0.18286730000000001</v>
      </c>
      <c r="R2230">
        <v>-0.1164562</v>
      </c>
      <c r="S2230">
        <v>-3.0473020000000002</v>
      </c>
      <c r="T2230">
        <v>-7.064819E-3</v>
      </c>
      <c r="U2230">
        <v>-0.223999</v>
      </c>
      <c r="V2230">
        <v>-0.1225617</v>
      </c>
      <c r="W2230">
        <v>0.1948251</v>
      </c>
      <c r="X2230">
        <v>0.97315050000000003</v>
      </c>
      <c r="Y2230">
        <v>-7.9573329999999998E-2</v>
      </c>
      <c r="Z2230">
        <v>-5.1804379999999999E-4</v>
      </c>
      <c r="AA2230">
        <v>0.99682890000000002</v>
      </c>
      <c r="AB2230">
        <v>24</v>
      </c>
      <c r="AC2230">
        <v>-167.59169999999901</v>
      </c>
      <c r="AD2230">
        <v>-0.38897670000000001</v>
      </c>
      <c r="AE2230">
        <v>-12.331300000000001</v>
      </c>
      <c r="AF2230">
        <v>-13.384099672482501</v>
      </c>
      <c r="AG2230">
        <v>-0.38897670000000001</v>
      </c>
      <c r="AH2230">
        <v>167.51000609283801</v>
      </c>
      <c r="AI2230">
        <v>90.132624211728398</v>
      </c>
      <c r="AJ2230">
        <v>94.568245129630498</v>
      </c>
      <c r="AK2230">
        <v>168.04430239713199</v>
      </c>
      <c r="AL2230">
        <v>78.765493881703307</v>
      </c>
      <c r="AM2230">
        <v>97.178220823284803</v>
      </c>
      <c r="AN2230">
        <v>1.00000004277357</v>
      </c>
    </row>
    <row r="2231" spans="1:40" x14ac:dyDescent="0.25">
      <c r="A2231" t="str">
        <f>"20190304155100439"</f>
        <v>20190304155100439</v>
      </c>
      <c r="B2231" t="str">
        <f>"1551685860428882"</f>
        <v>1551685860428882</v>
      </c>
      <c r="C2231" t="s">
        <v>40</v>
      </c>
      <c r="D2231">
        <v>4.9064050000000003</v>
      </c>
      <c r="E2231">
        <v>0.51375470000000001</v>
      </c>
      <c r="F2231" t="s">
        <v>44</v>
      </c>
      <c r="G2231">
        <v>-455.20659999999998</v>
      </c>
      <c r="H2231">
        <v>0.93837389999999998</v>
      </c>
      <c r="I2231">
        <v>277.12790000000001</v>
      </c>
      <c r="J2231">
        <v>-345.42660000000001</v>
      </c>
      <c r="K2231">
        <v>1.110493</v>
      </c>
      <c r="L2231">
        <v>285.3897</v>
      </c>
      <c r="M2231">
        <v>-0.99990559999999995</v>
      </c>
      <c r="N2231">
        <v>-1.2201180000000001E-2</v>
      </c>
      <c r="O2231">
        <v>6.3247069999999997E-3</v>
      </c>
      <c r="P2231">
        <v>-0.97554430000000003</v>
      </c>
      <c r="Q2231">
        <v>0.185701</v>
      </c>
      <c r="R2231">
        <v>-0.11759650000000001</v>
      </c>
      <c r="S2231">
        <v>-3.0466920000000002</v>
      </c>
      <c r="T2231">
        <v>-4.7658680000000004E-3</v>
      </c>
      <c r="U2231">
        <v>-0.22885130000000001</v>
      </c>
      <c r="V2231">
        <v>-0.1237427</v>
      </c>
      <c r="W2231">
        <v>0.19759450000000001</v>
      </c>
      <c r="X2231">
        <v>0.97244240000000004</v>
      </c>
      <c r="Y2231">
        <v>-8.1208359999999993E-2</v>
      </c>
      <c r="Z2231">
        <v>-4.9238449999999996E-4</v>
      </c>
      <c r="AA2231">
        <v>0.99669700000000006</v>
      </c>
      <c r="AB2231">
        <v>24</v>
      </c>
      <c r="AC2231">
        <v>-109.77999999999901</v>
      </c>
      <c r="AD2231">
        <v>-0.172119099999999</v>
      </c>
      <c r="AE2231">
        <v>-8.2617999999999903</v>
      </c>
      <c r="AF2231">
        <v>-8.9559908328261599</v>
      </c>
      <c r="AG2231">
        <v>-0.172119099999999</v>
      </c>
      <c r="AH2231">
        <v>109.725278389669</v>
      </c>
      <c r="AI2231">
        <v>90.089578293669504</v>
      </c>
      <c r="AJ2231">
        <v>94.666249006752196</v>
      </c>
      <c r="AK2231">
        <v>110.09030890352</v>
      </c>
      <c r="AL2231">
        <v>78.603673294768996</v>
      </c>
      <c r="AM2231">
        <v>97.251878667501401</v>
      </c>
      <c r="AN2231">
        <v>1.0000000317756399</v>
      </c>
    </row>
    <row r="2232" spans="1:40" x14ac:dyDescent="0.25">
      <c r="A2232" t="str">
        <f>"20190304155100460"</f>
        <v>20190304155100460</v>
      </c>
      <c r="B2232" t="str">
        <f>"1551685860449379"</f>
        <v>1551685860449379</v>
      </c>
      <c r="C2232" t="s">
        <v>40</v>
      </c>
      <c r="D2232">
        <v>4.9084820000000002</v>
      </c>
      <c r="E2232">
        <v>0.51345079999999998</v>
      </c>
      <c r="F2232" t="s">
        <v>44</v>
      </c>
      <c r="G2232">
        <v>-455.30799999999999</v>
      </c>
      <c r="H2232">
        <v>1.281183</v>
      </c>
      <c r="I2232">
        <v>277.03489999999999</v>
      </c>
      <c r="J2232">
        <v>-345.6617</v>
      </c>
      <c r="K2232">
        <v>1.1105100000000001</v>
      </c>
      <c r="L2232">
        <v>285.39120000000003</v>
      </c>
      <c r="M2232">
        <v>-0.99990610000000002</v>
      </c>
      <c r="N2232">
        <v>-1.2141620000000001E-2</v>
      </c>
      <c r="O2232">
        <v>6.3596570000000003E-3</v>
      </c>
      <c r="P2232">
        <v>-0.97494829999999999</v>
      </c>
      <c r="Q2232">
        <v>0.18793960000000001</v>
      </c>
      <c r="R2232">
        <v>-0.11897530000000001</v>
      </c>
      <c r="S2232">
        <v>-3.0463559999999998</v>
      </c>
      <c r="T2232">
        <v>4.7340389999999998E-3</v>
      </c>
      <c r="U2232">
        <v>-0.23162840000000001</v>
      </c>
      <c r="V2232">
        <v>-0.12515670000000001</v>
      </c>
      <c r="W2232">
        <v>0.19976430000000001</v>
      </c>
      <c r="X2232">
        <v>0.97181790000000001</v>
      </c>
      <c r="Y2232">
        <v>-8.2156119999999999E-2</v>
      </c>
      <c r="Z2232">
        <v>-3.4877330000000002E-4</v>
      </c>
      <c r="AA2232">
        <v>0.99661940000000004</v>
      </c>
      <c r="AB2232">
        <v>24</v>
      </c>
      <c r="AC2232">
        <v>-109.6463</v>
      </c>
      <c r="AD2232">
        <v>0.17067299999999899</v>
      </c>
      <c r="AE2232">
        <v>-8.3563000000000294</v>
      </c>
      <c r="AF2232">
        <v>-9.0534734159272503</v>
      </c>
      <c r="AG2232">
        <v>0.17067299999999899</v>
      </c>
      <c r="AH2232">
        <v>109.590671200388</v>
      </c>
      <c r="AI2232">
        <v>89.911072396347706</v>
      </c>
      <c r="AJ2232">
        <v>94.722578765549201</v>
      </c>
      <c r="AK2232">
        <v>109.964129261853</v>
      </c>
      <c r="AL2232">
        <v>78.476823753416994</v>
      </c>
      <c r="AM2232">
        <v>97.338509721166702</v>
      </c>
      <c r="AN2232">
        <v>1.0000000029348901</v>
      </c>
    </row>
    <row r="2233" spans="1:40" x14ac:dyDescent="0.25">
      <c r="A2233" t="str">
        <f>"20190304155100518"</f>
        <v>20190304155100518</v>
      </c>
      <c r="B2233" t="str">
        <f>"1551685860508915"</f>
        <v>1551685860508915</v>
      </c>
      <c r="C2233" t="s">
        <v>40</v>
      </c>
      <c r="D2233">
        <v>4.6686670000000001</v>
      </c>
      <c r="E2233">
        <v>0.52841610000000006</v>
      </c>
      <c r="F2233" t="s">
        <v>75</v>
      </c>
      <c r="G2233">
        <v>-512.82569999999998</v>
      </c>
      <c r="H2233">
        <v>1.6238870000000001</v>
      </c>
      <c r="I2233">
        <v>272.31689999999998</v>
      </c>
      <c r="J2233">
        <v>-346.2955</v>
      </c>
      <c r="K2233">
        <v>1.1105290000000001</v>
      </c>
      <c r="L2233">
        <v>285.39530000000002</v>
      </c>
      <c r="M2233">
        <v>-0.9999074</v>
      </c>
      <c r="N2233">
        <v>-1.201085E-2</v>
      </c>
      <c r="O2233">
        <v>6.3984790000000003E-3</v>
      </c>
      <c r="P2233">
        <v>-0.9737517</v>
      </c>
      <c r="Q2233">
        <v>0.19175300000000001</v>
      </c>
      <c r="R2233">
        <v>-0.1226323</v>
      </c>
      <c r="S2233">
        <v>-3.0462039999999999</v>
      </c>
      <c r="T2233">
        <v>9.3566180000000006E-3</v>
      </c>
      <c r="U2233">
        <v>-0.23825070000000001</v>
      </c>
      <c r="V2233">
        <v>-0.1288531</v>
      </c>
      <c r="W2233">
        <v>0.20342969999999999</v>
      </c>
      <c r="X2233">
        <v>0.97057369999999998</v>
      </c>
      <c r="Y2233">
        <v>-8.435252E-2</v>
      </c>
      <c r="Z2233">
        <v>-2.8165450000000001E-4</v>
      </c>
      <c r="AA2233">
        <v>0.99643590000000004</v>
      </c>
      <c r="AB2233">
        <v>24</v>
      </c>
      <c r="AC2233">
        <v>-166.53019999999901</v>
      </c>
      <c r="AD2233">
        <v>0.51335799999999998</v>
      </c>
      <c r="AE2233">
        <v>-13.0784</v>
      </c>
      <c r="AF2233">
        <v>-14.143615507713401</v>
      </c>
      <c r="AG2233">
        <v>0.51335799999999998</v>
      </c>
      <c r="AH2233">
        <v>166.44153067538301</v>
      </c>
      <c r="AI2233">
        <v>89.823916966354204</v>
      </c>
      <c r="AJ2233">
        <v>94.857125022113095</v>
      </c>
      <c r="AK2233">
        <v>167.042175900671</v>
      </c>
      <c r="AL2233">
        <v>78.262409819526994</v>
      </c>
      <c r="AM2233">
        <v>97.562349820496706</v>
      </c>
      <c r="AN2233">
        <v>1.00000003567669</v>
      </c>
    </row>
    <row r="2234" spans="1:40" x14ac:dyDescent="0.25">
      <c r="A2234" t="str">
        <f>"20190304155100620"</f>
        <v>20190304155100620</v>
      </c>
      <c r="B2234" t="str">
        <f>"1551685860609443"</f>
        <v>1551685860609443</v>
      </c>
      <c r="C2234" t="s">
        <v>40</v>
      </c>
      <c r="D2234">
        <v>4.8100480000000001</v>
      </c>
      <c r="E2234">
        <v>0.5081637</v>
      </c>
      <c r="F2234" t="s">
        <v>70</v>
      </c>
      <c r="G2234">
        <v>-358.03250000000003</v>
      </c>
      <c r="H2234" s="1">
        <v>2.7377320000000001E-6</v>
      </c>
      <c r="I2234">
        <v>284.50799999999998</v>
      </c>
      <c r="J2234">
        <v>-347.41</v>
      </c>
      <c r="K2234">
        <v>1.1105130000000001</v>
      </c>
      <c r="L2234">
        <v>285.40249999999997</v>
      </c>
      <c r="M2234">
        <v>-0.99990919999999905</v>
      </c>
      <c r="N2234">
        <v>-1.186684E-2</v>
      </c>
      <c r="O2234">
        <v>6.3812829999999997E-3</v>
      </c>
      <c r="P2234">
        <v>-0.97383019999999998</v>
      </c>
      <c r="Q2234">
        <v>0.18960540000000001</v>
      </c>
      <c r="R2234">
        <v>-0.12531829999999999</v>
      </c>
      <c r="S2234">
        <v>-3.1101679999999998</v>
      </c>
      <c r="T2234">
        <v>-0.32091409999999998</v>
      </c>
      <c r="U2234">
        <v>-0.25820920000000003</v>
      </c>
      <c r="V2234">
        <v>-0.13152720000000001</v>
      </c>
      <c r="W2234">
        <v>0.2011406</v>
      </c>
      <c r="X2234">
        <v>0.970692</v>
      </c>
      <c r="Y2234">
        <v>-8.8546910000000006E-2</v>
      </c>
      <c r="Z2234">
        <v>-5.6564220000000004E-3</v>
      </c>
      <c r="AA2234">
        <v>0.99605600000000005</v>
      </c>
      <c r="AB2234">
        <v>24</v>
      </c>
      <c r="AC2234">
        <v>-10.6225</v>
      </c>
      <c r="AD2234">
        <v>-1.1105102622680001</v>
      </c>
      <c r="AE2234">
        <v>-0.89449999999999297</v>
      </c>
      <c r="AF2234">
        <v>-0.95194096182560695</v>
      </c>
      <c r="AG2234">
        <v>-1.1105102622680001</v>
      </c>
      <c r="AH2234">
        <v>10.502597582796501</v>
      </c>
      <c r="AI2234">
        <v>96.011379849250702</v>
      </c>
      <c r="AJ2234">
        <v>95.179058771839607</v>
      </c>
      <c r="AK2234">
        <v>10.603960610242099</v>
      </c>
      <c r="AL2234">
        <v>78.396333298967093</v>
      </c>
      <c r="AM2234">
        <v>97.7164902619472</v>
      </c>
      <c r="AN2234">
        <v>0.99999995208609804</v>
      </c>
    </row>
    <row r="2235" spans="1:40" x14ac:dyDescent="0.25">
      <c r="A2235" t="str">
        <f>"20190304155100636"</f>
        <v>20190304155100636</v>
      </c>
      <c r="B2235" t="str">
        <f>"1551685860628964"</f>
        <v>1551685860628964</v>
      </c>
      <c r="C2235" t="s">
        <v>40</v>
      </c>
      <c r="D2235">
        <v>5.0276529999999999</v>
      </c>
      <c r="E2235">
        <v>0.50261369999999905</v>
      </c>
      <c r="F2235" t="s">
        <v>70</v>
      </c>
      <c r="G2235">
        <v>-360.10750000000002</v>
      </c>
      <c r="H2235" s="1">
        <v>-1.479601E-6</v>
      </c>
      <c r="I2235">
        <v>284.20190000000002</v>
      </c>
      <c r="J2235">
        <v>-347.5804</v>
      </c>
      <c r="K2235">
        <v>1.1105100000000001</v>
      </c>
      <c r="L2235">
        <v>285.40359999999998</v>
      </c>
      <c r="M2235">
        <v>-0.99990939999999995</v>
      </c>
      <c r="N2235">
        <v>-1.185194E-2</v>
      </c>
      <c r="O2235">
        <v>6.3781710000000002E-3</v>
      </c>
      <c r="P2235">
        <v>-0.97399029999999998</v>
      </c>
      <c r="Q2235">
        <v>0.1892499</v>
      </c>
      <c r="R2235">
        <v>-0.124608</v>
      </c>
      <c r="S2235">
        <v>-3.0956419999999998</v>
      </c>
      <c r="T2235">
        <v>-0.27074280000000001</v>
      </c>
      <c r="U2235">
        <v>-0.29269410000000001</v>
      </c>
      <c r="V2235">
        <v>-0.13081470000000001</v>
      </c>
      <c r="W2235">
        <v>0.20077339999999999</v>
      </c>
      <c r="X2235">
        <v>0.97086439999999996</v>
      </c>
      <c r="Y2235">
        <v>-0.10003049999999999</v>
      </c>
      <c r="Z2235">
        <v>-5.431974E-3</v>
      </c>
      <c r="AA2235">
        <v>0.99496949999999995</v>
      </c>
      <c r="AB2235">
        <v>24</v>
      </c>
      <c r="AC2235">
        <v>-12.527100000000001</v>
      </c>
      <c r="AD2235">
        <v>-1.1105114796010001</v>
      </c>
      <c r="AE2235">
        <v>-1.20169999999995</v>
      </c>
      <c r="AF2235">
        <v>-1.2716786674326499</v>
      </c>
      <c r="AG2235">
        <v>-1.1105114796010001</v>
      </c>
      <c r="AH2235">
        <v>12.4224471156537</v>
      </c>
      <c r="AI2235">
        <v>95.081989698806197</v>
      </c>
      <c r="AJ2235">
        <v>95.844974818181498</v>
      </c>
      <c r="AK2235">
        <v>12.5366500597544</v>
      </c>
      <c r="AL2235">
        <v>78.417811751469003</v>
      </c>
      <c r="AM2235">
        <v>97.673841966974507</v>
      </c>
      <c r="AN2235">
        <v>1.0000000635355</v>
      </c>
    </row>
    <row r="2236" spans="1:40" x14ac:dyDescent="0.25">
      <c r="A2236" t="str">
        <f>"20190304155100651"</f>
        <v>20190304155100651</v>
      </c>
      <c r="B2236" t="str">
        <f>"1551685860648483"</f>
        <v>1551685860648483</v>
      </c>
      <c r="C2236" t="s">
        <v>40</v>
      </c>
      <c r="D2236">
        <v>5.7860389999999997</v>
      </c>
      <c r="E2236">
        <v>0.50651809999999997</v>
      </c>
      <c r="F2236" t="s">
        <v>70</v>
      </c>
      <c r="G2236">
        <v>-365.84050000000002</v>
      </c>
      <c r="H2236" s="1">
        <v>1.5712150000000001E-6</v>
      </c>
      <c r="I2236">
        <v>283.40710000000001</v>
      </c>
      <c r="J2236">
        <v>-347.7475</v>
      </c>
      <c r="K2236">
        <v>1.1105080000000001</v>
      </c>
      <c r="L2236">
        <v>285.40460000000002</v>
      </c>
      <c r="M2236">
        <v>-0.99990979999999996</v>
      </c>
      <c r="N2236">
        <v>-1.1838609999999999E-2</v>
      </c>
      <c r="O2236">
        <v>6.3757669999999897E-3</v>
      </c>
      <c r="P2236">
        <v>-0.97392509999999999</v>
      </c>
      <c r="Q2236">
        <v>0.19038579999999999</v>
      </c>
      <c r="R2236">
        <v>-0.12338440000000001</v>
      </c>
      <c r="S2236">
        <v>-3.0733950000000001</v>
      </c>
      <c r="T2236">
        <v>-0.1869121</v>
      </c>
      <c r="U2236">
        <v>-0.33602910000000002</v>
      </c>
      <c r="V2236">
        <v>-0.12958739999999999</v>
      </c>
      <c r="W2236">
        <v>0.20189579999999999</v>
      </c>
      <c r="X2236">
        <v>0.9707962</v>
      </c>
      <c r="Y2236">
        <v>-0.11476500000000001</v>
      </c>
      <c r="Z2236">
        <v>-4.4694230000000001E-3</v>
      </c>
      <c r="AA2236">
        <v>0.9933826</v>
      </c>
      <c r="AB2236">
        <v>24</v>
      </c>
      <c r="AC2236">
        <v>-18.093</v>
      </c>
      <c r="AD2236">
        <v>-1.1105064287849999</v>
      </c>
      <c r="AE2236">
        <v>-1.9975000000000001</v>
      </c>
      <c r="AF2236">
        <v>-2.1049897389220602</v>
      </c>
      <c r="AG2236">
        <v>-1.1105064287849999</v>
      </c>
      <c r="AH2236">
        <v>18.012854466448601</v>
      </c>
      <c r="AI2236">
        <v>93.504078791253903</v>
      </c>
      <c r="AJ2236">
        <v>96.665376980404105</v>
      </c>
      <c r="AK2236">
        <v>18.169400990643499</v>
      </c>
      <c r="AL2236">
        <v>78.352158221587402</v>
      </c>
      <c r="AM2236">
        <v>97.603220077662399</v>
      </c>
      <c r="AN2236">
        <v>1.0000000351154099</v>
      </c>
    </row>
    <row r="2237" spans="1:40" x14ac:dyDescent="0.25">
      <c r="A2237" t="str">
        <f>"20190304155100672"</f>
        <v>20190304155100672</v>
      </c>
      <c r="B2237" t="str">
        <f>"1551685860668979"</f>
        <v>1551685860668979</v>
      </c>
      <c r="C2237" t="s">
        <v>40</v>
      </c>
      <c r="D2237">
        <v>4.9292449999999999</v>
      </c>
      <c r="E2237">
        <v>0.50540669999999999</v>
      </c>
      <c r="F2237" t="s">
        <v>70</v>
      </c>
      <c r="G2237">
        <v>-366.93799999999999</v>
      </c>
      <c r="H2237" s="1">
        <v>2.155295E-6</v>
      </c>
      <c r="I2237">
        <v>283.52429999999998</v>
      </c>
      <c r="J2237">
        <v>-347.97739999999999</v>
      </c>
      <c r="K2237">
        <v>1.110511</v>
      </c>
      <c r="L2237">
        <v>285.40609999999998</v>
      </c>
      <c r="M2237">
        <v>-0.99990990000000002</v>
      </c>
      <c r="N2237">
        <v>-1.182246E-2</v>
      </c>
      <c r="O2237">
        <v>6.3740400000000001E-3</v>
      </c>
      <c r="P2237">
        <v>-0.97403850000000003</v>
      </c>
      <c r="Q2237">
        <v>0.19086030000000001</v>
      </c>
      <c r="R2237">
        <v>-0.1217433</v>
      </c>
      <c r="S2237">
        <v>-3.0769039999999999</v>
      </c>
      <c r="T2237">
        <v>-0.1780523</v>
      </c>
      <c r="U2237">
        <v>-0.30148320000000001</v>
      </c>
      <c r="V2237">
        <v>-0.12794440000000001</v>
      </c>
      <c r="W2237">
        <v>0.2023567</v>
      </c>
      <c r="X2237">
        <v>0.97091810000000001</v>
      </c>
      <c r="Y2237">
        <v>-0.103643899999999</v>
      </c>
      <c r="Z2237">
        <v>-3.8964770000000002E-3</v>
      </c>
      <c r="AA2237">
        <v>0.99460689999999996</v>
      </c>
      <c r="AB2237">
        <v>24</v>
      </c>
      <c r="AC2237">
        <v>-18.960599999999999</v>
      </c>
      <c r="AD2237">
        <v>-1.110508844705</v>
      </c>
      <c r="AE2237">
        <v>-1.8817999999999899</v>
      </c>
      <c r="AF2237">
        <v>-1.9958461314754901</v>
      </c>
      <c r="AG2237">
        <v>-1.110508844705</v>
      </c>
      <c r="AH2237">
        <v>18.884071934641799</v>
      </c>
      <c r="AI2237">
        <v>93.346898181517403</v>
      </c>
      <c r="AJ2237">
        <v>96.033158818338407</v>
      </c>
      <c r="AK2237">
        <v>19.0216929979279</v>
      </c>
      <c r="AL2237">
        <v>78.325193392712706</v>
      </c>
      <c r="AM2237">
        <v>97.5069958961639</v>
      </c>
      <c r="AN2237">
        <v>0.99999998021692904</v>
      </c>
    </row>
    <row r="2238" spans="1:40" x14ac:dyDescent="0.25">
      <c r="A2238" t="str">
        <f>"20190304155100695"</f>
        <v>20190304155100695</v>
      </c>
      <c r="B2238" t="str">
        <f>"1551685860688502"</f>
        <v>1551685860688502</v>
      </c>
      <c r="C2238" t="s">
        <v>40</v>
      </c>
      <c r="D2238">
        <v>5.0866480000000003</v>
      </c>
      <c r="E2238">
        <v>0.50324639999999998</v>
      </c>
      <c r="F2238" t="s">
        <v>70</v>
      </c>
      <c r="G2238">
        <v>-368.65300000000002</v>
      </c>
      <c r="H2238" s="1">
        <v>3.067913E-6</v>
      </c>
      <c r="I2238">
        <v>283.34719999999999</v>
      </c>
      <c r="J2238">
        <v>-348.22379999999998</v>
      </c>
      <c r="K2238">
        <v>1.1105069999999999</v>
      </c>
      <c r="L2238">
        <v>285.40769999999998</v>
      </c>
      <c r="M2238">
        <v>-0.99990999999999997</v>
      </c>
      <c r="N2238">
        <v>-1.180749E-2</v>
      </c>
      <c r="O2238">
        <v>6.3734339999999999E-3</v>
      </c>
      <c r="P2238">
        <v>-0.97412730000000003</v>
      </c>
      <c r="Q2238">
        <v>0.1911785</v>
      </c>
      <c r="R2238">
        <v>-0.1205287</v>
      </c>
      <c r="S2238">
        <v>-3.0740660000000002</v>
      </c>
      <c r="T2238">
        <v>-0.16511110000000001</v>
      </c>
      <c r="U2238">
        <v>-0.3061218</v>
      </c>
      <c r="V2238">
        <v>-0.12672919999999999</v>
      </c>
      <c r="W2238">
        <v>0.20266210000000001</v>
      </c>
      <c r="X2238">
        <v>0.97101380000000004</v>
      </c>
      <c r="Y2238">
        <v>-0.1052433</v>
      </c>
      <c r="Z2238">
        <v>-3.707035E-3</v>
      </c>
      <c r="AA2238">
        <v>0.99443959999999998</v>
      </c>
      <c r="AB2238">
        <v>24</v>
      </c>
      <c r="AC2238">
        <v>-20.429200000000002</v>
      </c>
      <c r="AD2238">
        <v>-1.1105039320869901</v>
      </c>
      <c r="AE2238">
        <v>-2.06049999999999</v>
      </c>
      <c r="AF2238">
        <v>-2.1842821170865401</v>
      </c>
      <c r="AG2238">
        <v>-1.1105039320869901</v>
      </c>
      <c r="AH2238">
        <v>20.356107840074301</v>
      </c>
      <c r="AI2238">
        <v>93.104821518023996</v>
      </c>
      <c r="AJ2238">
        <v>96.124604498123702</v>
      </c>
      <c r="AK2238">
        <v>20.5030591314306</v>
      </c>
      <c r="AL2238">
        <v>78.307325368116096</v>
      </c>
      <c r="AM2238">
        <v>97.435772474032007</v>
      </c>
      <c r="AN2238">
        <v>1.00000000834974</v>
      </c>
    </row>
    <row r="2239" spans="1:40" x14ac:dyDescent="0.25">
      <c r="A2239" t="str">
        <f>"20190304155100707"</f>
        <v>20190304155100707</v>
      </c>
      <c r="B2239" t="str">
        <f>"1551685860699235"</f>
        <v>1551685860699235</v>
      </c>
      <c r="C2239" t="s">
        <v>40</v>
      </c>
      <c r="D2239">
        <v>5.2078850000000001</v>
      </c>
      <c r="E2239">
        <v>0.50338709999999998</v>
      </c>
      <c r="F2239" t="s">
        <v>70</v>
      </c>
      <c r="G2239">
        <v>-371.32049999999998</v>
      </c>
      <c r="H2239" s="1">
        <v>-8.3410839999999996E-7</v>
      </c>
      <c r="I2239">
        <v>282.99869999999999</v>
      </c>
      <c r="J2239">
        <v>-348.35939999999999</v>
      </c>
      <c r="K2239">
        <v>1.1105069999999999</v>
      </c>
      <c r="L2239">
        <v>285.40859999999998</v>
      </c>
      <c r="M2239">
        <v>-0.99991019999999997</v>
      </c>
      <c r="N2239">
        <v>-1.179996E-2</v>
      </c>
      <c r="O2239">
        <v>6.3734880000000001E-3</v>
      </c>
      <c r="P2239">
        <v>-0.97401950000000004</v>
      </c>
      <c r="Q2239">
        <v>0.19208169999999999</v>
      </c>
      <c r="R2239">
        <v>-0.11996329999999999</v>
      </c>
      <c r="S2239">
        <v>-3.069</v>
      </c>
      <c r="T2239">
        <v>-0.1475601</v>
      </c>
      <c r="U2239">
        <v>-0.32009890000000002</v>
      </c>
      <c r="V2239">
        <v>-0.12616260000000001</v>
      </c>
      <c r="W2239">
        <v>0.20355619999999999</v>
      </c>
      <c r="X2239">
        <v>0.97090050000000006</v>
      </c>
      <c r="Y2239">
        <v>-0.1099145</v>
      </c>
      <c r="Z2239">
        <v>-3.5149619999999999E-3</v>
      </c>
      <c r="AA2239">
        <v>0.99393480000000001</v>
      </c>
      <c r="AB2239">
        <v>24</v>
      </c>
      <c r="AC2239">
        <v>-22.961099999999899</v>
      </c>
      <c r="AD2239">
        <v>-1.11050783410839</v>
      </c>
      <c r="AE2239">
        <v>-2.4098999999999902</v>
      </c>
      <c r="AF2239">
        <v>-2.5503029712175298</v>
      </c>
      <c r="AG2239">
        <v>-1.11050783410839</v>
      </c>
      <c r="AH2239">
        <v>22.892307969333199</v>
      </c>
      <c r="AI2239">
        <v>92.7601972324711</v>
      </c>
      <c r="AJ2239">
        <v>96.356788364398398</v>
      </c>
      <c r="AK2239">
        <v>23.060681626036398</v>
      </c>
      <c r="AL2239">
        <v>78.255006043926699</v>
      </c>
      <c r="AM2239">
        <v>97.403751377506893</v>
      </c>
      <c r="AN2239">
        <v>0.99999995454872403</v>
      </c>
    </row>
    <row r="2240" spans="1:40" x14ac:dyDescent="0.25">
      <c r="A2240" t="str">
        <f>"20190304155100719"</f>
        <v>20190304155100719</v>
      </c>
      <c r="B2240" t="str">
        <f>"1551685860708995"</f>
        <v>1551685860708995</v>
      </c>
      <c r="C2240" t="s">
        <v>40</v>
      </c>
      <c r="D2240">
        <v>4.9482889999999999</v>
      </c>
      <c r="E2240">
        <v>0.50277759999999905</v>
      </c>
      <c r="F2240" t="s">
        <v>70</v>
      </c>
      <c r="G2240">
        <v>-372.6078</v>
      </c>
      <c r="H2240" s="1">
        <v>-1.490486E-7</v>
      </c>
      <c r="I2240">
        <v>282.9006</v>
      </c>
      <c r="J2240">
        <v>-348.49</v>
      </c>
      <c r="K2240">
        <v>1.1105119999999999</v>
      </c>
      <c r="L2240">
        <v>285.40940000000001</v>
      </c>
      <c r="M2240">
        <v>-0.99991010000000002</v>
      </c>
      <c r="N2240">
        <v>-1.179358E-2</v>
      </c>
      <c r="O2240">
        <v>6.3740699999999999E-3</v>
      </c>
      <c r="P2240">
        <v>-0.97386600000000001</v>
      </c>
      <c r="Q2240">
        <v>0.1928522</v>
      </c>
      <c r="R2240">
        <v>-0.11997099999999999</v>
      </c>
      <c r="S2240">
        <v>-3.0686339999999999</v>
      </c>
      <c r="T2240">
        <v>-0.14053489999999999</v>
      </c>
      <c r="U2240">
        <v>-0.31738280000000002</v>
      </c>
      <c r="V2240">
        <v>-0.12616939999999999</v>
      </c>
      <c r="W2240">
        <v>0.204319</v>
      </c>
      <c r="X2240">
        <v>0.97073940000000003</v>
      </c>
      <c r="Y2240">
        <v>-0.1090716</v>
      </c>
      <c r="Z2240">
        <v>-3.3510440000000001E-3</v>
      </c>
      <c r="AA2240">
        <v>0.99402829999999998</v>
      </c>
      <c r="AB2240">
        <v>24</v>
      </c>
      <c r="AC2240">
        <v>-24.1177999999999</v>
      </c>
      <c r="AD2240">
        <v>-1.1105121490486001</v>
      </c>
      <c r="AE2240">
        <v>-2.5087999999999999</v>
      </c>
      <c r="AF2240">
        <v>-2.6569154531180899</v>
      </c>
      <c r="AG2240">
        <v>-1.1105121490486001</v>
      </c>
      <c r="AH2240">
        <v>24.050871470733401</v>
      </c>
      <c r="AI2240">
        <v>92.6277044523965</v>
      </c>
      <c r="AJ2240">
        <v>96.303941107242494</v>
      </c>
      <c r="AK2240">
        <v>24.222651701660102</v>
      </c>
      <c r="AL2240">
        <v>78.210362856490704</v>
      </c>
      <c r="AM2240">
        <v>97.405361127001697</v>
      </c>
      <c r="AN2240">
        <v>0.99999997698485898</v>
      </c>
    </row>
    <row r="2241" spans="1:40" x14ac:dyDescent="0.25">
      <c r="A2241" t="str">
        <f>"20190304155100732"</f>
        <v>20190304155100732</v>
      </c>
      <c r="B2241" t="str">
        <f>"1551685860728516"</f>
        <v>1551685860728516</v>
      </c>
      <c r="C2241" t="s">
        <v>40</v>
      </c>
      <c r="D2241">
        <v>5.0381369999999999</v>
      </c>
      <c r="E2241">
        <v>0.50114599999999998</v>
      </c>
      <c r="F2241" t="s">
        <v>70</v>
      </c>
      <c r="G2241">
        <v>-374.06709999999998</v>
      </c>
      <c r="H2241" s="1">
        <v>6.274997E-7</v>
      </c>
      <c r="I2241">
        <v>282.72410000000002</v>
      </c>
      <c r="J2241">
        <v>-348.63249999999999</v>
      </c>
      <c r="K2241">
        <v>1.1105160000000001</v>
      </c>
      <c r="L2241">
        <v>285.41030000000001</v>
      </c>
      <c r="M2241">
        <v>-0.99991030000000003</v>
      </c>
      <c r="N2241">
        <v>-1.1785779999999999E-2</v>
      </c>
      <c r="O2241">
        <v>6.3744810000000004E-3</v>
      </c>
      <c r="P2241">
        <v>-0.97378240000000005</v>
      </c>
      <c r="Q2241">
        <v>0.19348689999999999</v>
      </c>
      <c r="R2241">
        <v>-0.1196279</v>
      </c>
      <c r="S2241">
        <v>-3.0672000000000001</v>
      </c>
      <c r="T2241">
        <v>-0.1331725</v>
      </c>
      <c r="U2241">
        <v>-0.32202150000000002</v>
      </c>
      <c r="V2241">
        <v>-0.1258263</v>
      </c>
      <c r="W2241">
        <v>0.2049453</v>
      </c>
      <c r="X2241">
        <v>0.97065190000000001</v>
      </c>
      <c r="Y2241">
        <v>-0.1106183</v>
      </c>
      <c r="Z2241">
        <v>-3.248796E-3</v>
      </c>
      <c r="AA2241">
        <v>0.99385760000000001</v>
      </c>
      <c r="AB2241">
        <v>24</v>
      </c>
      <c r="AC2241">
        <v>-25.4345999999999</v>
      </c>
      <c r="AD2241">
        <v>-1.1105153725003001</v>
      </c>
      <c r="AE2241">
        <v>-2.6861999999999799</v>
      </c>
      <c r="AF2241">
        <v>-2.8429292463306002</v>
      </c>
      <c r="AG2241">
        <v>-1.1105153725003001</v>
      </c>
      <c r="AH2241">
        <v>25.369130252244702</v>
      </c>
      <c r="AI2241">
        <v>92.490909445799801</v>
      </c>
      <c r="AJ2241">
        <v>96.394034338518907</v>
      </c>
      <c r="AK2241">
        <v>25.552069600084401</v>
      </c>
      <c r="AL2241">
        <v>78.173702686193394</v>
      </c>
      <c r="AM2241">
        <v>97.386104321536394</v>
      </c>
      <c r="AN2241">
        <v>0.99999997236869398</v>
      </c>
    </row>
    <row r="2242" spans="1:40" x14ac:dyDescent="0.25">
      <c r="A2242" t="str">
        <f>"20190304155100749"</f>
        <v>20190304155100749</v>
      </c>
      <c r="B2242" t="str">
        <f>"1551685860739252"</f>
        <v>1551685860739252</v>
      </c>
      <c r="C2242" t="s">
        <v>40</v>
      </c>
      <c r="D2242">
        <v>5.7633960000000002</v>
      </c>
      <c r="E2242">
        <v>0.50114599999999998</v>
      </c>
      <c r="F2242" t="s">
        <v>70</v>
      </c>
      <c r="G2242">
        <v>-375.14359999999999</v>
      </c>
      <c r="H2242" s="1">
        <v>1.20041E-6</v>
      </c>
      <c r="I2242">
        <v>282.52300000000002</v>
      </c>
      <c r="J2242">
        <v>-348.8193</v>
      </c>
      <c r="K2242">
        <v>1.1105149999999999</v>
      </c>
      <c r="L2242">
        <v>285.41149999999999</v>
      </c>
      <c r="M2242">
        <v>-0.99991050000000004</v>
      </c>
      <c r="N2242">
        <v>-1.177338E-2</v>
      </c>
      <c r="O2242">
        <v>6.3752169999999999E-3</v>
      </c>
      <c r="P2242">
        <v>-0.97361359999999997</v>
      </c>
      <c r="Q2242">
        <v>0.194548</v>
      </c>
      <c r="R2242">
        <v>-0.1192821</v>
      </c>
      <c r="S2242">
        <v>-3.065277</v>
      </c>
      <c r="T2242">
        <v>-0.12840029999999999</v>
      </c>
      <c r="U2242">
        <v>-0.33383180000000001</v>
      </c>
      <c r="V2242">
        <v>-0.1254796</v>
      </c>
      <c r="W2242">
        <v>0.2059925</v>
      </c>
      <c r="X2242">
        <v>0.97047510000000003</v>
      </c>
      <c r="Y2242">
        <v>-0.11447309999999999</v>
      </c>
      <c r="Z2242">
        <v>-3.2570659999999999E-3</v>
      </c>
      <c r="AA2242">
        <v>0.993421</v>
      </c>
      <c r="AB2242">
        <v>24</v>
      </c>
      <c r="AC2242">
        <v>-26.324299999999901</v>
      </c>
      <c r="AD2242">
        <v>-1.1105137995900001</v>
      </c>
      <c r="AE2242">
        <v>-2.8885000000000201</v>
      </c>
      <c r="AF2242">
        <v>-3.0509110723227399</v>
      </c>
      <c r="AG2242">
        <v>-1.1105137995900001</v>
      </c>
      <c r="AH2242">
        <v>26.259172744489</v>
      </c>
      <c r="AI2242">
        <v>92.405462847564493</v>
      </c>
      <c r="AJ2242">
        <v>96.627173165174298</v>
      </c>
      <c r="AK2242">
        <v>26.459127961730299</v>
      </c>
      <c r="AL2242">
        <v>78.112394537375394</v>
      </c>
      <c r="AM2242">
        <v>97.367303746068899</v>
      </c>
      <c r="AN2242">
        <v>0.99999997989620903</v>
      </c>
    </row>
    <row r="2243" spans="1:40" x14ac:dyDescent="0.25">
      <c r="A2243" t="str">
        <f>"20190304155100772"</f>
        <v>20190304155100772</v>
      </c>
      <c r="B2243" t="str">
        <f>"1551685860769508"</f>
        <v>1551685860769508</v>
      </c>
      <c r="C2243" t="s">
        <v>40</v>
      </c>
      <c r="D2243">
        <v>5.0163330000000004</v>
      </c>
      <c r="E2243">
        <v>0.49801600000000001</v>
      </c>
      <c r="F2243" t="s">
        <v>70</v>
      </c>
      <c r="G2243">
        <v>-376.04</v>
      </c>
      <c r="H2243" s="1">
        <v>1.677423E-6</v>
      </c>
      <c r="I2243">
        <v>282.4556</v>
      </c>
      <c r="J2243">
        <v>-349.0711</v>
      </c>
      <c r="K2243">
        <v>1.1105069999999999</v>
      </c>
      <c r="L2243">
        <v>285.41309999999999</v>
      </c>
      <c r="M2243">
        <v>-0.99991079999999999</v>
      </c>
      <c r="N2243">
        <v>-1.17538E-2</v>
      </c>
      <c r="O2243">
        <v>6.3758180000000001E-3</v>
      </c>
      <c r="P2243">
        <v>-0.97345230000000005</v>
      </c>
      <c r="Q2243">
        <v>0.19526589999999999</v>
      </c>
      <c r="R2243">
        <v>-0.11942560000000001</v>
      </c>
      <c r="S2243">
        <v>-3.0655519999999998</v>
      </c>
      <c r="T2243">
        <v>-0.12506400000000001</v>
      </c>
      <c r="U2243">
        <v>-0.33288570000000001</v>
      </c>
      <c r="V2243">
        <v>-0.125622699999999</v>
      </c>
      <c r="W2243">
        <v>0.20669000000000001</v>
      </c>
      <c r="X2243">
        <v>0.97030830000000001</v>
      </c>
      <c r="Y2243">
        <v>-0.11416750000000001</v>
      </c>
      <c r="Z2243">
        <v>-3.1789040000000002E-3</v>
      </c>
      <c r="AA2243">
        <v>0.99345640000000002</v>
      </c>
      <c r="AB2243">
        <v>24</v>
      </c>
      <c r="AC2243">
        <v>-26.968900000000001</v>
      </c>
      <c r="AD2243">
        <v>-1.1105053225770001</v>
      </c>
      <c r="AE2243">
        <v>-2.95749999999998</v>
      </c>
      <c r="AF2243">
        <v>-3.12416623604999</v>
      </c>
      <c r="AG2243">
        <v>-1.1105053225770001</v>
      </c>
      <c r="AH2243">
        <v>26.904417840114899</v>
      </c>
      <c r="AI2243">
        <v>92.347837505043302</v>
      </c>
      <c r="AJ2243">
        <v>96.623575038616707</v>
      </c>
      <c r="AK2243">
        <v>27.107957061671801</v>
      </c>
      <c r="AL2243">
        <v>78.071552136902497</v>
      </c>
      <c r="AM2243">
        <v>97.376867073667398</v>
      </c>
      <c r="AN2243">
        <v>1.0000000079520801</v>
      </c>
    </row>
    <row r="2244" spans="1:40" x14ac:dyDescent="0.25">
      <c r="A2244" t="str">
        <f>"20190304155100795"</f>
        <v>20190304155100795</v>
      </c>
      <c r="B2244" t="str">
        <f>"1551685860789030"</f>
        <v>1551685860789030</v>
      </c>
      <c r="C2244" t="s">
        <v>40</v>
      </c>
      <c r="D2244">
        <v>5.020626</v>
      </c>
      <c r="E2244">
        <v>0.4983107</v>
      </c>
      <c r="F2244" t="s">
        <v>70</v>
      </c>
      <c r="G2244">
        <v>-391.50400000000002</v>
      </c>
      <c r="H2244" s="1">
        <v>-7.3642489999999996E-7</v>
      </c>
      <c r="I2244">
        <v>280.42079999999999</v>
      </c>
      <c r="J2244">
        <v>-349.32170000000002</v>
      </c>
      <c r="K2244">
        <v>1.1105069999999999</v>
      </c>
      <c r="L2244">
        <v>285.41469999999998</v>
      </c>
      <c r="M2244">
        <v>-0.99991079999999999</v>
      </c>
      <c r="N2244">
        <v>-1.173576E-2</v>
      </c>
      <c r="O2244">
        <v>6.3762869999999996E-3</v>
      </c>
      <c r="P2244">
        <v>-0.97338809999999998</v>
      </c>
      <c r="Q2244">
        <v>0.19541790000000001</v>
      </c>
      <c r="R2244">
        <v>-0.1196974</v>
      </c>
      <c r="S2244">
        <v>-3.0537719999999999</v>
      </c>
      <c r="T2244">
        <v>-7.991993E-2</v>
      </c>
      <c r="U2244">
        <v>-0.35928339999999998</v>
      </c>
      <c r="V2244">
        <v>-0.12589439999999999</v>
      </c>
      <c r="W2244">
        <v>0.20682400000000001</v>
      </c>
      <c r="X2244">
        <v>0.97024449999999995</v>
      </c>
      <c r="Y2244">
        <v>-0.123116</v>
      </c>
      <c r="Z2244">
        <v>-2.4220579999999999E-3</v>
      </c>
      <c r="AA2244">
        <v>0.99238930000000003</v>
      </c>
      <c r="AB2244">
        <v>24</v>
      </c>
      <c r="AC2244">
        <v>-42.182299999999998</v>
      </c>
      <c r="AD2244">
        <v>-1.1105077364249001</v>
      </c>
      <c r="AE2244">
        <v>-4.9938999999999902</v>
      </c>
      <c r="AF2244">
        <v>-5.2591887918557001</v>
      </c>
      <c r="AG2244">
        <v>-1.1105077364249001</v>
      </c>
      <c r="AH2244">
        <v>42.120808103752502</v>
      </c>
      <c r="AI2244">
        <v>91.498612258740295</v>
      </c>
      <c r="AJ2244">
        <v>97.117097706646803</v>
      </c>
      <c r="AK2244">
        <v>42.462392413689798</v>
      </c>
      <c r="AL2244">
        <v>78.063704584397001</v>
      </c>
      <c r="AM2244">
        <v>97.393126389738597</v>
      </c>
      <c r="AN2244">
        <v>0.99999997835380405</v>
      </c>
    </row>
    <row r="2245" spans="1:40" x14ac:dyDescent="0.25">
      <c r="A2245" t="str">
        <f>"20190304155100818"</f>
        <v>20190304155100818</v>
      </c>
      <c r="B2245" t="str">
        <f>"1551685860808550"</f>
        <v>1551685860808550</v>
      </c>
      <c r="C2245" t="s">
        <v>40</v>
      </c>
      <c r="D2245">
        <v>5.3060460000000003</v>
      </c>
      <c r="E2245">
        <v>0.49433569999999999</v>
      </c>
      <c r="F2245" t="s">
        <v>70</v>
      </c>
      <c r="G2245">
        <v>-398.68790000000001</v>
      </c>
      <c r="H2245">
        <v>1.287371E-2</v>
      </c>
      <c r="I2245">
        <v>279.61630000000002</v>
      </c>
      <c r="J2245">
        <v>-349.56650000000002</v>
      </c>
      <c r="K2245">
        <v>1.1105020000000001</v>
      </c>
      <c r="L2245">
        <v>285.41629999999998</v>
      </c>
      <c r="M2245">
        <v>-0.99991110000000005</v>
      </c>
      <c r="N2245">
        <v>-1.172057E-2</v>
      </c>
      <c r="O2245">
        <v>6.3765580000000001E-3</v>
      </c>
      <c r="P2245">
        <v>-0.97341299999999997</v>
      </c>
      <c r="Q2245">
        <v>0.19519159999999999</v>
      </c>
      <c r="R2245">
        <v>-0.1198642</v>
      </c>
      <c r="S2245">
        <v>-3.0515750000000001</v>
      </c>
      <c r="T2245">
        <v>-6.7850350000000004E-2</v>
      </c>
      <c r="U2245">
        <v>-0.358429</v>
      </c>
      <c r="V2245">
        <v>-0.12606149999999999</v>
      </c>
      <c r="W2245">
        <v>0.20658319999999999</v>
      </c>
      <c r="X2245">
        <v>0.97027419999999998</v>
      </c>
      <c r="Y2245">
        <v>-0.1229399</v>
      </c>
      <c r="Z2245">
        <v>-2.1518140000000002E-3</v>
      </c>
      <c r="AA2245">
        <v>0.99241179999999996</v>
      </c>
      <c r="AB2245">
        <v>24</v>
      </c>
      <c r="AC2245">
        <v>-49.121400000000001</v>
      </c>
      <c r="AD2245">
        <v>-1.0976282900000001</v>
      </c>
      <c r="AE2245">
        <v>-5.7999999999999501</v>
      </c>
      <c r="AF2245">
        <v>-6.1101201150111502</v>
      </c>
      <c r="AG2245">
        <v>-1.0976282900000001</v>
      </c>
      <c r="AH2245">
        <v>49.059255733398103</v>
      </c>
      <c r="AI2245">
        <v>91.271871318056895</v>
      </c>
      <c r="AJ2245">
        <v>97.099386781793498</v>
      </c>
      <c r="AK2245">
        <v>49.450469449721403</v>
      </c>
      <c r="AL2245">
        <v>78.077807076779806</v>
      </c>
      <c r="AM2245">
        <v>97.402606447299206</v>
      </c>
      <c r="AN2245">
        <v>1.0000000717450599</v>
      </c>
    </row>
    <row r="2246" spans="1:40" x14ac:dyDescent="0.25">
      <c r="A2246" t="str">
        <f>"20190304155100840"</f>
        <v>20190304155100840</v>
      </c>
      <c r="B2246" t="str">
        <f>"1551685860829043"</f>
        <v>1551685860829043</v>
      </c>
      <c r="C2246" t="s">
        <v>40</v>
      </c>
      <c r="D2246">
        <v>5.0681690000000001</v>
      </c>
      <c r="E2246">
        <v>0.4948803</v>
      </c>
      <c r="F2246" t="s">
        <v>70</v>
      </c>
      <c r="G2246">
        <v>-395.25959999999998</v>
      </c>
      <c r="H2246">
        <v>8.0001379999999997E-2</v>
      </c>
      <c r="I2246">
        <v>279.5523</v>
      </c>
      <c r="J2246">
        <v>-349.81119999999999</v>
      </c>
      <c r="K2246">
        <v>1.1105080000000001</v>
      </c>
      <c r="L2246">
        <v>285.41789999999997</v>
      </c>
      <c r="M2246">
        <v>-0.9999112</v>
      </c>
      <c r="N2246">
        <v>-1.1707E-2</v>
      </c>
      <c r="O2246">
        <v>6.3764599999999996E-3</v>
      </c>
      <c r="P2246">
        <v>-0.97302460000000002</v>
      </c>
      <c r="Q2246">
        <v>0.19676859999999999</v>
      </c>
      <c r="R2246">
        <v>-0.1204385</v>
      </c>
      <c r="S2246">
        <v>-3.0476070000000002</v>
      </c>
      <c r="T2246">
        <v>-6.8731780000000006E-2</v>
      </c>
      <c r="U2246">
        <v>-0.3911133</v>
      </c>
      <c r="V2246">
        <v>-0.126633</v>
      </c>
      <c r="W2246">
        <v>0.2081422</v>
      </c>
      <c r="X2246">
        <v>0.96986649999999996</v>
      </c>
      <c r="Y2246">
        <v>-0.1335616</v>
      </c>
      <c r="Z2246">
        <v>-2.353801E-3</v>
      </c>
      <c r="AA2246">
        <v>0.99103770000000002</v>
      </c>
      <c r="AB2246">
        <v>24</v>
      </c>
      <c r="AC2246">
        <v>-45.4483999999999</v>
      </c>
      <c r="AD2246">
        <v>-1.0305066199999999</v>
      </c>
      <c r="AE2246">
        <v>-5.8655999999999704</v>
      </c>
      <c r="AF2246">
        <v>-6.1521893438157003</v>
      </c>
      <c r="AG2246">
        <v>-1.0305066199999999</v>
      </c>
      <c r="AH2246">
        <v>45.387119476663102</v>
      </c>
      <c r="AI2246">
        <v>91.288884400531003</v>
      </c>
      <c r="AJ2246">
        <v>97.719351134234003</v>
      </c>
      <c r="AK2246">
        <v>45.8137751337403</v>
      </c>
      <c r="AL2246">
        <v>77.986498132777399</v>
      </c>
      <c r="AM2246">
        <v>97.438882213705199</v>
      </c>
      <c r="AN2246">
        <v>1.0000000599660399</v>
      </c>
    </row>
    <row r="2247" spans="1:40" x14ac:dyDescent="0.25">
      <c r="A2247" t="str">
        <f>"20190304155100863"</f>
        <v>20190304155100863</v>
      </c>
      <c r="B2247" t="str">
        <f>"1551685860859299"</f>
        <v>1551685860859299</v>
      </c>
      <c r="C2247" t="s">
        <v>40</v>
      </c>
      <c r="D2247">
        <v>5.0737509999999997</v>
      </c>
      <c r="E2247">
        <v>0.49393809999999999</v>
      </c>
      <c r="F2247" t="s">
        <v>70</v>
      </c>
      <c r="G2247">
        <v>-395.59539999999998</v>
      </c>
      <c r="H2247">
        <v>8.0001290000000003E-2</v>
      </c>
      <c r="I2247">
        <v>279.57589999999999</v>
      </c>
      <c r="J2247">
        <v>-350.0557</v>
      </c>
      <c r="K2247">
        <v>1.110509</v>
      </c>
      <c r="L2247">
        <v>285.41950000000003</v>
      </c>
      <c r="M2247">
        <v>-0.9999112</v>
      </c>
      <c r="N2247">
        <v>-1.169444E-2</v>
      </c>
      <c r="O2247">
        <v>6.3767119999999997E-3</v>
      </c>
      <c r="P2247">
        <v>-0.97254039999999997</v>
      </c>
      <c r="Q2247">
        <v>0.19884189999999999</v>
      </c>
      <c r="R2247">
        <v>-0.1209419</v>
      </c>
      <c r="S2247">
        <v>-3.0489199999999999</v>
      </c>
      <c r="T2247">
        <v>-6.8624729999999995E-2</v>
      </c>
      <c r="U2247">
        <v>-0.3890381</v>
      </c>
      <c r="V2247">
        <v>-0.12713360000000001</v>
      </c>
      <c r="W2247">
        <v>0.2101971</v>
      </c>
      <c r="X2247">
        <v>0.96935760000000004</v>
      </c>
      <c r="Y2247">
        <v>-0.13284480000000001</v>
      </c>
      <c r="Z2247">
        <v>-2.3375700000000002E-3</v>
      </c>
      <c r="AA2247">
        <v>0.99113410000000002</v>
      </c>
      <c r="AB2247">
        <v>24</v>
      </c>
      <c r="AC2247">
        <v>-45.539699999999897</v>
      </c>
      <c r="AD2247">
        <v>-1.03050771</v>
      </c>
      <c r="AE2247">
        <v>-5.8436000000000297</v>
      </c>
      <c r="AF2247">
        <v>-6.13080611446955</v>
      </c>
      <c r="AG2247">
        <v>-1.03050771</v>
      </c>
      <c r="AH2247">
        <v>45.478597878539603</v>
      </c>
      <c r="AI2247">
        <v>91.286420901104194</v>
      </c>
      <c r="AJ2247">
        <v>97.677553640243701</v>
      </c>
      <c r="AK2247">
        <v>45.901542400571799</v>
      </c>
      <c r="AL2247">
        <v>77.866096512898906</v>
      </c>
      <c r="AM2247">
        <v>97.471834282223</v>
      </c>
      <c r="AN2247">
        <v>0.99999996488756404</v>
      </c>
    </row>
    <row r="2248" spans="1:40" x14ac:dyDescent="0.25">
      <c r="A2248" t="str">
        <f>"20190304155100884"</f>
        <v>20190304155100884</v>
      </c>
      <c r="B2248" t="str">
        <f>"1551685860878822"</f>
        <v>1551685860878822</v>
      </c>
      <c r="C2248" t="s">
        <v>40</v>
      </c>
      <c r="D2248">
        <v>5.025271</v>
      </c>
      <c r="E2248">
        <v>0.49373040000000001</v>
      </c>
      <c r="F2248" t="s">
        <v>72</v>
      </c>
      <c r="G2248">
        <v>-401.30329999999998</v>
      </c>
      <c r="H2248">
        <v>8.0001619999999996E-2</v>
      </c>
      <c r="I2248">
        <v>278.72120000000001</v>
      </c>
      <c r="J2248">
        <v>-350.29640000000001</v>
      </c>
      <c r="K2248">
        <v>1.1105119999999999</v>
      </c>
      <c r="L2248">
        <v>285.42099999999999</v>
      </c>
      <c r="M2248">
        <v>-0.99991149999999995</v>
      </c>
      <c r="N2248">
        <v>-1.1683310000000001E-2</v>
      </c>
      <c r="O2248">
        <v>6.3765979999999998E-3</v>
      </c>
      <c r="P2248">
        <v>-0.97237430000000002</v>
      </c>
      <c r="Q2248">
        <v>0.19957910000000001</v>
      </c>
      <c r="R2248">
        <v>-0.1210648</v>
      </c>
      <c r="S2248">
        <v>-3.0476990000000002</v>
      </c>
      <c r="T2248">
        <v>-6.12843E-2</v>
      </c>
      <c r="U2248">
        <v>-0.39834589999999998</v>
      </c>
      <c r="V2248">
        <v>-0.12725519999999901</v>
      </c>
      <c r="W2248">
        <v>0.21092150000000001</v>
      </c>
      <c r="X2248">
        <v>0.9691843</v>
      </c>
      <c r="Y2248">
        <v>-0.135879</v>
      </c>
      <c r="Z2248">
        <v>-2.211008E-3</v>
      </c>
      <c r="AA2248">
        <v>0.99072300000000002</v>
      </c>
      <c r="AB2248">
        <v>24</v>
      </c>
      <c r="AC2248">
        <v>-51.006899999999902</v>
      </c>
      <c r="AD2248">
        <v>-1.0305103799999999</v>
      </c>
      <c r="AE2248">
        <v>-6.6997999999999802</v>
      </c>
      <c r="AF2248">
        <v>-7.0221187958617204</v>
      </c>
      <c r="AG2248">
        <v>-1.0305103799999999</v>
      </c>
      <c r="AH2248">
        <v>50.942697117735101</v>
      </c>
      <c r="AI2248">
        <v>91.148015301649494</v>
      </c>
      <c r="AJ2248">
        <v>97.848390557860199</v>
      </c>
      <c r="AK2248">
        <v>51.4347207016406</v>
      </c>
      <c r="AL2248">
        <v>77.823639873821307</v>
      </c>
      <c r="AM2248">
        <v>97.480222194992606</v>
      </c>
      <c r="AN2248">
        <v>0.99999998622788999</v>
      </c>
    </row>
    <row r="2249" spans="1:40" x14ac:dyDescent="0.25">
      <c r="A2249" t="str">
        <f>"20190304155100907"</f>
        <v>20190304155100907</v>
      </c>
      <c r="B2249" t="str">
        <f>"1551685860899315"</f>
        <v>1551685860899315</v>
      </c>
      <c r="C2249" t="s">
        <v>40</v>
      </c>
      <c r="D2249">
        <v>5.0539519999999998</v>
      </c>
      <c r="E2249">
        <v>0.49365530000000002</v>
      </c>
      <c r="F2249" t="s">
        <v>72</v>
      </c>
      <c r="G2249">
        <v>-405.31599999999997</v>
      </c>
      <c r="H2249">
        <v>8.0001119999999995E-2</v>
      </c>
      <c r="I2249">
        <v>278.19819999999999</v>
      </c>
      <c r="J2249">
        <v>-350.5419</v>
      </c>
      <c r="K2249">
        <v>1.1105149999999999</v>
      </c>
      <c r="L2249">
        <v>285.42259999999999</v>
      </c>
      <c r="M2249">
        <v>-0.99991149999999995</v>
      </c>
      <c r="N2249">
        <v>-1.1673380000000001E-2</v>
      </c>
      <c r="O2249">
        <v>6.3766550000000002E-3</v>
      </c>
      <c r="P2249">
        <v>-0.97234390000000004</v>
      </c>
      <c r="Q2249">
        <v>0.19982240000000001</v>
      </c>
      <c r="R2249">
        <v>-0.1209083</v>
      </c>
      <c r="S2249">
        <v>-3.04718</v>
      </c>
      <c r="T2249">
        <v>-5.7073350000000002E-2</v>
      </c>
      <c r="U2249">
        <v>-0.4000244</v>
      </c>
      <c r="V2249">
        <v>-0.1270984</v>
      </c>
      <c r="W2249">
        <v>0.21115500000000001</v>
      </c>
      <c r="X2249">
        <v>0.96915410000000002</v>
      </c>
      <c r="Y2249">
        <v>-0.1364418</v>
      </c>
      <c r="Z2249">
        <v>-2.1169240000000001E-3</v>
      </c>
      <c r="AA2249">
        <v>0.99064580000000002</v>
      </c>
      <c r="AB2249">
        <v>25</v>
      </c>
      <c r="AC2249">
        <v>-54.774099999999898</v>
      </c>
      <c r="AD2249">
        <v>-1.03051388</v>
      </c>
      <c r="AE2249">
        <v>-7.2244000000000002</v>
      </c>
      <c r="AF2249">
        <v>-7.5709184503044096</v>
      </c>
      <c r="AG2249">
        <v>-1.03051388</v>
      </c>
      <c r="AH2249">
        <v>54.707882157509502</v>
      </c>
      <c r="AI2249">
        <v>91.068948691613102</v>
      </c>
      <c r="AJ2249">
        <v>97.879009257163105</v>
      </c>
      <c r="AK2249">
        <v>55.238873406306702</v>
      </c>
      <c r="AL2249">
        <v>77.809953883535897</v>
      </c>
      <c r="AM2249">
        <v>97.471339655406993</v>
      </c>
      <c r="AN2249">
        <v>1.00000005342718</v>
      </c>
    </row>
    <row r="2250" spans="1:40" x14ac:dyDescent="0.25">
      <c r="A2250" t="str">
        <f>"20190304155100929"</f>
        <v>20190304155100929</v>
      </c>
      <c r="B2250" t="str">
        <f>"1551685860918835"</f>
        <v>1551685860918835</v>
      </c>
      <c r="C2250" t="s">
        <v>40</v>
      </c>
      <c r="D2250">
        <v>5.0720359999999998</v>
      </c>
      <c r="E2250">
        <v>0.49357129999999999</v>
      </c>
      <c r="F2250" t="s">
        <v>72</v>
      </c>
      <c r="G2250">
        <v>-409.39659999999998</v>
      </c>
      <c r="H2250">
        <v>8.0001149999999993E-2</v>
      </c>
      <c r="I2250">
        <v>277.67559999999997</v>
      </c>
      <c r="J2250">
        <v>-350.78489999999999</v>
      </c>
      <c r="K2250">
        <v>1.1105100000000001</v>
      </c>
      <c r="L2250">
        <v>285.42419999999998</v>
      </c>
      <c r="M2250">
        <v>-0.99991169999999996</v>
      </c>
      <c r="N2250">
        <v>-1.1664900000000001E-2</v>
      </c>
      <c r="O2250">
        <v>6.3767049999999999E-3</v>
      </c>
      <c r="P2250">
        <v>-0.97255409999999998</v>
      </c>
      <c r="Q2250">
        <v>0.19907759999999999</v>
      </c>
      <c r="R2250">
        <v>-0.12044489999999899</v>
      </c>
      <c r="S2250">
        <v>-3.0464479999999998</v>
      </c>
      <c r="T2250">
        <v>-5.3341630000000001E-2</v>
      </c>
      <c r="U2250">
        <v>-0.401001</v>
      </c>
      <c r="V2250">
        <v>-0.12663640000000001</v>
      </c>
      <c r="W2250">
        <v>0.2104046</v>
      </c>
      <c r="X2250">
        <v>0.96937770000000001</v>
      </c>
      <c r="Y2250">
        <v>-0.13678860000000001</v>
      </c>
      <c r="Z2250">
        <v>-2.0307989999999998E-3</v>
      </c>
      <c r="AA2250">
        <v>0.99059819999999998</v>
      </c>
      <c r="AB2250">
        <v>25</v>
      </c>
      <c r="AC2250">
        <v>-58.6116999999999</v>
      </c>
      <c r="AD2250">
        <v>-1.0305088499999999</v>
      </c>
      <c r="AE2250">
        <v>-7.7485999999999997</v>
      </c>
      <c r="AF2250">
        <v>-8.1197504570567602</v>
      </c>
      <c r="AG2250">
        <v>-1.0305088499999999</v>
      </c>
      <c r="AH2250">
        <v>58.5433079173255</v>
      </c>
      <c r="AI2250">
        <v>90.998885176696007</v>
      </c>
      <c r="AJ2250">
        <v>97.896346568635096</v>
      </c>
      <c r="AK2250">
        <v>59.112699125294398</v>
      </c>
      <c r="AL2250">
        <v>77.853936107458907</v>
      </c>
      <c r="AM2250">
        <v>97.442788748713994</v>
      </c>
      <c r="AN2250">
        <v>0.99999999938170403</v>
      </c>
    </row>
    <row r="2251" spans="1:40" x14ac:dyDescent="0.25">
      <c r="A2251" t="str">
        <f>"20190304155100951"</f>
        <v>20190304155100951</v>
      </c>
      <c r="B2251" t="str">
        <f>"1551685860949091"</f>
        <v>1551685860949091</v>
      </c>
      <c r="C2251" t="s">
        <v>40</v>
      </c>
      <c r="D2251">
        <v>5.0796960000000002</v>
      </c>
      <c r="E2251">
        <v>0.4926991</v>
      </c>
      <c r="F2251" t="s">
        <v>72</v>
      </c>
      <c r="G2251">
        <v>-408.7559</v>
      </c>
      <c r="H2251">
        <v>8.0001320000000001E-2</v>
      </c>
      <c r="I2251">
        <v>277.7919</v>
      </c>
      <c r="J2251">
        <v>-351.02379999999999</v>
      </c>
      <c r="K2251">
        <v>1.1105069999999999</v>
      </c>
      <c r="L2251">
        <v>285.42570000000001</v>
      </c>
      <c r="M2251">
        <v>-0.99991180000000002</v>
      </c>
      <c r="N2251">
        <v>-1.165764E-2</v>
      </c>
      <c r="O2251">
        <v>6.3763889999999997E-3</v>
      </c>
      <c r="P2251">
        <v>-0.97273829999999994</v>
      </c>
      <c r="Q2251">
        <v>0.1981686</v>
      </c>
      <c r="R2251">
        <v>-0.12045649999999999</v>
      </c>
      <c r="S2251">
        <v>-3.0460509999999998</v>
      </c>
      <c r="T2251">
        <v>-5.4147479999999998E-2</v>
      </c>
      <c r="U2251">
        <v>-0.40103149999999999</v>
      </c>
      <c r="V2251">
        <v>-0.12664890000000001</v>
      </c>
      <c r="W2251">
        <v>0.2094908</v>
      </c>
      <c r="X2251">
        <v>0.96957400000000005</v>
      </c>
      <c r="Y2251">
        <v>-0.13681389999999999</v>
      </c>
      <c r="Z2251">
        <v>-2.0505800000000002E-3</v>
      </c>
      <c r="AA2251">
        <v>0.99059459999999999</v>
      </c>
      <c r="AB2251">
        <v>25</v>
      </c>
      <c r="AC2251">
        <v>-57.732100000000003</v>
      </c>
      <c r="AD2251">
        <v>-1.0305056800000001</v>
      </c>
      <c r="AE2251">
        <v>-7.6337999999999999</v>
      </c>
      <c r="AF2251">
        <v>-7.9992872060040403</v>
      </c>
      <c r="AG2251">
        <v>-1.0305056800000001</v>
      </c>
      <c r="AH2251">
        <v>57.6641898436594</v>
      </c>
      <c r="AI2251">
        <v>91.014103871183707</v>
      </c>
      <c r="AJ2251">
        <v>97.897776999293001</v>
      </c>
      <c r="AK2251">
        <v>58.225504103324397</v>
      </c>
      <c r="AL2251">
        <v>77.907486993315899</v>
      </c>
      <c r="AM2251">
        <v>97.442025051906299</v>
      </c>
      <c r="AN2251">
        <v>1.0000000403159199</v>
      </c>
    </row>
    <row r="2252" spans="1:40" x14ac:dyDescent="0.25">
      <c r="A2252" t="str">
        <f>"20190304155100973"</f>
        <v>20190304155100973</v>
      </c>
      <c r="B2252" t="str">
        <f>"1551685860968615"</f>
        <v>1551685860968615</v>
      </c>
      <c r="C2252" t="s">
        <v>40</v>
      </c>
      <c r="D2252">
        <v>5.0887129999999896</v>
      </c>
      <c r="E2252">
        <v>0.49223319999999998</v>
      </c>
      <c r="F2252" t="s">
        <v>72</v>
      </c>
      <c r="G2252">
        <v>-406.70979999999997</v>
      </c>
      <c r="H2252">
        <v>8.0001249999999996E-2</v>
      </c>
      <c r="I2252">
        <v>277.97089999999997</v>
      </c>
      <c r="J2252">
        <v>-351.2747</v>
      </c>
      <c r="K2252">
        <v>1.110503</v>
      </c>
      <c r="L2252">
        <v>285.4273</v>
      </c>
      <c r="M2252">
        <v>-0.99991200000000002</v>
      </c>
      <c r="N2252">
        <v>-1.165096E-2</v>
      </c>
      <c r="O2252">
        <v>6.376428E-3</v>
      </c>
      <c r="P2252">
        <v>-0.97280750000000005</v>
      </c>
      <c r="Q2252">
        <v>0.19817889999999999</v>
      </c>
      <c r="R2252">
        <v>-0.1198809</v>
      </c>
      <c r="S2252">
        <v>-3.045105</v>
      </c>
      <c r="T2252">
        <v>-5.6351659999999998E-2</v>
      </c>
      <c r="U2252">
        <v>-0.40765380000000001</v>
      </c>
      <c r="V2252">
        <v>-0.12607370000000001</v>
      </c>
      <c r="W2252">
        <v>0.2094955</v>
      </c>
      <c r="X2252">
        <v>0.96964790000000001</v>
      </c>
      <c r="Y2252">
        <v>-0.13896739999999999</v>
      </c>
      <c r="Z2252">
        <v>-2.1368340000000002E-3</v>
      </c>
      <c r="AA2252">
        <v>0.99029460000000002</v>
      </c>
      <c r="AB2252">
        <v>25</v>
      </c>
      <c r="AC2252">
        <v>-55.435099999999899</v>
      </c>
      <c r="AD2252">
        <v>-1.03050175</v>
      </c>
      <c r="AE2252">
        <v>-7.4564000000000297</v>
      </c>
      <c r="AF2252">
        <v>-7.8071003324577299</v>
      </c>
      <c r="AG2252">
        <v>-1.03050175</v>
      </c>
      <c r="AH2252">
        <v>55.367631432988503</v>
      </c>
      <c r="AI2252">
        <v>91.055823249452203</v>
      </c>
      <c r="AJ2252">
        <v>98.026065204057304</v>
      </c>
      <c r="AK2252">
        <v>55.924836700316497</v>
      </c>
      <c r="AL2252">
        <v>77.907211050038896</v>
      </c>
      <c r="AM2252">
        <v>97.408043648073104</v>
      </c>
      <c r="AN2252">
        <v>0.99999999616317503</v>
      </c>
    </row>
    <row r="2253" spans="1:40" x14ac:dyDescent="0.25">
      <c r="A2253" t="str">
        <f>"20190304155100995"</f>
        <v>20190304155100995</v>
      </c>
      <c r="B2253" t="str">
        <f>"1551685860989107"</f>
        <v>1551685860989107</v>
      </c>
      <c r="C2253" t="s">
        <v>40</v>
      </c>
      <c r="D2253">
        <v>5.2141789999999997</v>
      </c>
      <c r="E2253">
        <v>0.4917492</v>
      </c>
      <c r="F2253" t="s">
        <v>72</v>
      </c>
      <c r="G2253">
        <v>-406.286</v>
      </c>
      <c r="H2253">
        <v>8.0001230000000007E-2</v>
      </c>
      <c r="I2253">
        <v>278.03070000000002</v>
      </c>
      <c r="J2253">
        <v>-351.52280000000002</v>
      </c>
      <c r="K2253">
        <v>1.1104989999999999</v>
      </c>
      <c r="L2253">
        <v>285.4289</v>
      </c>
      <c r="M2253">
        <v>-0.99991200000000002</v>
      </c>
      <c r="N2253">
        <v>-1.164515E-2</v>
      </c>
      <c r="O2253">
        <v>6.3761640000000001E-3</v>
      </c>
      <c r="P2253">
        <v>-0.97287650000000003</v>
      </c>
      <c r="Q2253">
        <v>0.19814119999999999</v>
      </c>
      <c r="R2253">
        <v>-0.11937979999999999</v>
      </c>
      <c r="S2253">
        <v>-3.045013</v>
      </c>
      <c r="T2253">
        <v>-5.7040929999999997E-2</v>
      </c>
      <c r="U2253">
        <v>-0.4094238</v>
      </c>
      <c r="V2253">
        <v>-0.1255732</v>
      </c>
      <c r="W2253">
        <v>0.20945259999999999</v>
      </c>
      <c r="X2253">
        <v>0.96972219999999998</v>
      </c>
      <c r="Y2253">
        <v>-0.13953560000000001</v>
      </c>
      <c r="Z2253">
        <v>-2.1621980000000002E-3</v>
      </c>
      <c r="AA2253">
        <v>0.9902147</v>
      </c>
      <c r="AB2253">
        <v>25</v>
      </c>
      <c r="AC2253">
        <v>-54.763199999999898</v>
      </c>
      <c r="AD2253">
        <v>-1.03049777</v>
      </c>
      <c r="AE2253">
        <v>-7.3981999999999699</v>
      </c>
      <c r="AF2253">
        <v>-7.7445592269540304</v>
      </c>
      <c r="AG2253">
        <v>-1.03049777</v>
      </c>
      <c r="AH2253">
        <v>54.695891032867003</v>
      </c>
      <c r="AI2253">
        <v>91.068696006746507</v>
      </c>
      <c r="AJ2253">
        <v>98.059112410335104</v>
      </c>
      <c r="AK2253">
        <v>55.251068941270503</v>
      </c>
      <c r="AL2253">
        <v>77.909725870649794</v>
      </c>
      <c r="AM2253">
        <v>97.378400056917599</v>
      </c>
      <c r="AN2253">
        <v>1.0000000826889099</v>
      </c>
    </row>
    <row r="2254" spans="1:40" x14ac:dyDescent="0.25">
      <c r="A2254" t="str">
        <f>"20190304155101020"</f>
        <v>20190304155101020</v>
      </c>
      <c r="B2254" t="str">
        <f>"1551685861008631"</f>
        <v>1551685861008631</v>
      </c>
      <c r="C2254" t="s">
        <v>40</v>
      </c>
      <c r="D2254">
        <v>5.2115539999999996</v>
      </c>
      <c r="E2254">
        <v>0.49173020000000001</v>
      </c>
      <c r="F2254" t="s">
        <v>72</v>
      </c>
      <c r="G2254">
        <v>-406.51</v>
      </c>
      <c r="H2254">
        <v>8.0001240000000001E-2</v>
      </c>
      <c r="I2254">
        <v>277.97550000000001</v>
      </c>
      <c r="J2254">
        <v>-351.78050000000002</v>
      </c>
      <c r="K2254">
        <v>1.110493</v>
      </c>
      <c r="L2254">
        <v>285.43060000000003</v>
      </c>
      <c r="M2254">
        <v>-0.99991209999999997</v>
      </c>
      <c r="N2254">
        <v>-1.1640019999999999E-2</v>
      </c>
      <c r="O2254">
        <v>6.3760149999999996E-3</v>
      </c>
      <c r="P2254">
        <v>-0.97306000000000004</v>
      </c>
      <c r="Q2254">
        <v>0.19729569999999999</v>
      </c>
      <c r="R2254">
        <v>-0.11928610000000001</v>
      </c>
      <c r="S2254">
        <v>-3.0445859999999998</v>
      </c>
      <c r="T2254">
        <v>-5.7057620000000003E-2</v>
      </c>
      <c r="U2254">
        <v>-0.41268919999999998</v>
      </c>
      <c r="V2254">
        <v>-0.1254808</v>
      </c>
      <c r="W2254">
        <v>0.20860480000000001</v>
      </c>
      <c r="X2254">
        <v>0.96991680000000002</v>
      </c>
      <c r="Y2254">
        <v>-0.14059639999999901</v>
      </c>
      <c r="Z2254">
        <v>-2.1785429999999998E-3</v>
      </c>
      <c r="AA2254">
        <v>0.99006459999999996</v>
      </c>
      <c r="AB2254">
        <v>25</v>
      </c>
      <c r="AC2254">
        <v>-54.729499999999902</v>
      </c>
      <c r="AD2254">
        <v>-1.0304917600000001</v>
      </c>
      <c r="AE2254">
        <v>-7.4551000000000096</v>
      </c>
      <c r="AF2254">
        <v>-7.8012127972655003</v>
      </c>
      <c r="AG2254">
        <v>-1.0304917600000001</v>
      </c>
      <c r="AH2254">
        <v>54.661824401954497</v>
      </c>
      <c r="AI2254">
        <v>91.069188125701999</v>
      </c>
      <c r="AJ2254">
        <v>98.122275524886106</v>
      </c>
      <c r="AK2254">
        <v>55.225319205286198</v>
      </c>
      <c r="AL2254">
        <v>77.959397468162805</v>
      </c>
      <c r="AM2254">
        <v>97.371567578338002</v>
      </c>
      <c r="AN2254">
        <v>0.99999999633696002</v>
      </c>
    </row>
    <row r="2255" spans="1:40" x14ac:dyDescent="0.25">
      <c r="A2255" t="str">
        <f>"20190304155101040"</f>
        <v>20190304155101040</v>
      </c>
      <c r="B2255" t="str">
        <f>"1551685861029124"</f>
        <v>1551685861029124</v>
      </c>
      <c r="C2255" t="s">
        <v>40</v>
      </c>
      <c r="D2255">
        <v>5.1513479999999996</v>
      </c>
      <c r="E2255">
        <v>0.49142740000000001</v>
      </c>
      <c r="F2255" t="s">
        <v>72</v>
      </c>
      <c r="G2255">
        <v>-404.32929999999999</v>
      </c>
      <c r="H2255">
        <v>8.000119E-2</v>
      </c>
      <c r="I2255">
        <v>278.30650000000003</v>
      </c>
      <c r="J2255">
        <v>-352.01249999999999</v>
      </c>
      <c r="K2255">
        <v>1.1104889999999901</v>
      </c>
      <c r="L2255">
        <v>285.43209999999999</v>
      </c>
      <c r="M2255">
        <v>-0.99991200000000002</v>
      </c>
      <c r="N2255">
        <v>-1.163293E-2</v>
      </c>
      <c r="O2255">
        <v>6.3758779999999998E-3</v>
      </c>
      <c r="P2255">
        <v>-0.97329129999999997</v>
      </c>
      <c r="Q2255">
        <v>0.19623350000000001</v>
      </c>
      <c r="R2255">
        <v>-0.1191502</v>
      </c>
      <c r="S2255">
        <v>-3.044556</v>
      </c>
      <c r="T2255">
        <v>-5.9704420000000001E-2</v>
      </c>
      <c r="U2255">
        <v>-0.41275020000000001</v>
      </c>
      <c r="V2255">
        <v>-0.12534569999999901</v>
      </c>
      <c r="W2255">
        <v>0.20753820000000001</v>
      </c>
      <c r="X2255">
        <v>0.970163</v>
      </c>
      <c r="Y2255">
        <v>-0.14061409999999999</v>
      </c>
      <c r="Z2255">
        <v>-2.2447209999999999E-3</v>
      </c>
      <c r="AA2255">
        <v>0.99006190000000005</v>
      </c>
      <c r="AB2255">
        <v>25</v>
      </c>
      <c r="AC2255">
        <v>-52.316800000000001</v>
      </c>
      <c r="AD2255">
        <v>-1.0304878099999999</v>
      </c>
      <c r="AE2255">
        <v>-7.1255999999999604</v>
      </c>
      <c r="AF2255">
        <v>-7.4562031220167899</v>
      </c>
      <c r="AG2255">
        <v>-1.0304878099999999</v>
      </c>
      <c r="AH2255">
        <v>52.250398804222698</v>
      </c>
      <c r="AI2255">
        <v>91.118518601447704</v>
      </c>
      <c r="AJ2255">
        <v>98.121355140688195</v>
      </c>
      <c r="AK2255">
        <v>52.789781637393197</v>
      </c>
      <c r="AL2255">
        <v>78.021876001815897</v>
      </c>
      <c r="AM2255">
        <v>97.3618698686535</v>
      </c>
      <c r="AN2255">
        <v>0.99999994776836298</v>
      </c>
    </row>
    <row r="2256" spans="1:40" x14ac:dyDescent="0.25">
      <c r="A2256" t="str">
        <f>"20190304155101064"</f>
        <v>20190304155101064</v>
      </c>
      <c r="B2256" t="str">
        <f>"1551685861059380"</f>
        <v>1551685861059380</v>
      </c>
      <c r="C2256" t="s">
        <v>40</v>
      </c>
      <c r="D2256">
        <v>5.0882009999999998</v>
      </c>
      <c r="E2256">
        <v>0.4910735</v>
      </c>
      <c r="F2256" t="s">
        <v>72</v>
      </c>
      <c r="G2256">
        <v>-402.86180000000002</v>
      </c>
      <c r="H2256">
        <v>8.0001409999999995E-2</v>
      </c>
      <c r="I2256">
        <v>278.48989999999998</v>
      </c>
      <c r="J2256">
        <v>-352.26159999999999</v>
      </c>
      <c r="K2256">
        <v>1.1104799999999999</v>
      </c>
      <c r="L2256">
        <v>285.43369999999999</v>
      </c>
      <c r="M2256">
        <v>-0.99991229999999998</v>
      </c>
      <c r="N2256">
        <v>-1.1616720000000001E-2</v>
      </c>
      <c r="O2256">
        <v>6.3756150000000003E-3</v>
      </c>
      <c r="P2256">
        <v>-0.97326900000000005</v>
      </c>
      <c r="Q2256">
        <v>0.1968271</v>
      </c>
      <c r="R2256">
        <v>-0.11834989999999999</v>
      </c>
      <c r="S2256">
        <v>-3.0438540000000001</v>
      </c>
      <c r="T2256">
        <v>-6.1685320000000002E-2</v>
      </c>
      <c r="U2256">
        <v>-0.41555789999999998</v>
      </c>
      <c r="V2256">
        <v>-0.1245454</v>
      </c>
      <c r="W2256">
        <v>0.2081161</v>
      </c>
      <c r="X2256">
        <v>0.97014230000000001</v>
      </c>
      <c r="Y2256">
        <v>-0.1415381</v>
      </c>
      <c r="Z2256">
        <v>-2.3083610000000001E-3</v>
      </c>
      <c r="AA2256">
        <v>0.98993010000000004</v>
      </c>
      <c r="AB2256">
        <v>25</v>
      </c>
      <c r="AC2256">
        <v>-50.600200000000001</v>
      </c>
      <c r="AD2256">
        <v>-1.03047859</v>
      </c>
      <c r="AE2256">
        <v>-6.9438000000000004</v>
      </c>
      <c r="AF2256">
        <v>-7.2633312857622503</v>
      </c>
      <c r="AG2256">
        <v>-1.03047859</v>
      </c>
      <c r="AH2256">
        <v>50.5343263629048</v>
      </c>
      <c r="AI2256">
        <v>91.156314387420196</v>
      </c>
      <c r="AJ2256">
        <v>98.179143330273405</v>
      </c>
      <c r="AK2256">
        <v>51.064038309203099</v>
      </c>
      <c r="AL2256">
        <v>77.988025997490197</v>
      </c>
      <c r="AM2256">
        <v>97.315531389358597</v>
      </c>
      <c r="AN2256">
        <v>0.99999997499482896</v>
      </c>
    </row>
    <row r="2257" spans="1:40" x14ac:dyDescent="0.25">
      <c r="A2257" t="str">
        <f>"20190304155101085"</f>
        <v>20190304155101085</v>
      </c>
      <c r="B2257" t="str">
        <f>"1551685861078899"</f>
        <v>1551685861078899</v>
      </c>
      <c r="C2257" t="s">
        <v>40</v>
      </c>
      <c r="D2257">
        <v>5.0722180000000003</v>
      </c>
      <c r="E2257">
        <v>0.49087530000000001</v>
      </c>
      <c r="F2257" t="s">
        <v>72</v>
      </c>
      <c r="G2257">
        <v>-405.0548</v>
      </c>
      <c r="H2257">
        <v>8.0001080000000002E-2</v>
      </c>
      <c r="I2257">
        <v>278.20740000000001</v>
      </c>
      <c r="J2257">
        <v>-352.50439999999998</v>
      </c>
      <c r="K2257">
        <v>1.1104780000000001</v>
      </c>
      <c r="L2257">
        <v>285.43520000000001</v>
      </c>
      <c r="M2257">
        <v>-0.99991249999999998</v>
      </c>
      <c r="N2257">
        <v>-1.15899E-2</v>
      </c>
      <c r="O2257">
        <v>6.3756510000000004E-3</v>
      </c>
      <c r="P2257">
        <v>-0.97321670000000005</v>
      </c>
      <c r="Q2257">
        <v>0.19744999999999999</v>
      </c>
      <c r="R2257">
        <v>-0.1177412</v>
      </c>
      <c r="S2257">
        <v>-3.0437620000000001</v>
      </c>
      <c r="T2257">
        <v>-5.9411760000000001E-2</v>
      </c>
      <c r="U2257">
        <v>-0.416626</v>
      </c>
      <c r="V2257">
        <v>-0.1239358</v>
      </c>
      <c r="W2257">
        <v>0.20871210000000001</v>
      </c>
      <c r="X2257">
        <v>0.97009239999999997</v>
      </c>
      <c r="Y2257">
        <v>-0.14188580000000001</v>
      </c>
      <c r="Z2257">
        <v>-2.2547079999999998E-3</v>
      </c>
      <c r="AA2257">
        <v>0.98988039999999999</v>
      </c>
      <c r="AB2257">
        <v>25</v>
      </c>
      <c r="AC2257">
        <v>-52.550400000000003</v>
      </c>
      <c r="AD2257">
        <v>-1.0304769199999999</v>
      </c>
      <c r="AE2257">
        <v>-7.2278000000000002</v>
      </c>
      <c r="AF2257">
        <v>-7.5598656098349801</v>
      </c>
      <c r="AG2257">
        <v>-1.0304769199999999</v>
      </c>
      <c r="AH2257">
        <v>52.483440256994797</v>
      </c>
      <c r="AI2257">
        <v>91.113331761165298</v>
      </c>
      <c r="AJ2257">
        <v>98.196669956585396</v>
      </c>
      <c r="AK2257">
        <v>53.035129413728797</v>
      </c>
      <c r="AL2257">
        <v>77.953111843898597</v>
      </c>
      <c r="AM2257">
        <v>97.280480321569598</v>
      </c>
      <c r="AN2257">
        <v>1.0000000438729</v>
      </c>
    </row>
    <row r="2258" spans="1:40" x14ac:dyDescent="0.25">
      <c r="A2258" t="str">
        <f>"20190304155101108"</f>
        <v>20190304155101108</v>
      </c>
      <c r="B2258" t="str">
        <f>"1551685861098419"</f>
        <v>1551685861098419</v>
      </c>
      <c r="C2258" t="s">
        <v>40</v>
      </c>
      <c r="D2258">
        <v>5.1873269999999998</v>
      </c>
      <c r="E2258">
        <v>0.49073329999999998</v>
      </c>
      <c r="F2258" t="s">
        <v>72</v>
      </c>
      <c r="G2258">
        <v>-406.58359999999999</v>
      </c>
      <c r="H2258">
        <v>8.0001230000000007E-2</v>
      </c>
      <c r="I2258">
        <v>278.03339999999997</v>
      </c>
      <c r="J2258">
        <v>-352.74810000000002</v>
      </c>
      <c r="K2258">
        <v>1.110468</v>
      </c>
      <c r="L2258">
        <v>285.43680000000001</v>
      </c>
      <c r="M2258">
        <v>-0.99991289999999999</v>
      </c>
      <c r="N2258">
        <v>-1.1553020000000001E-2</v>
      </c>
      <c r="O2258">
        <v>6.3753289999999999E-3</v>
      </c>
      <c r="P2258">
        <v>-0.97330499999999998</v>
      </c>
      <c r="Q2258">
        <v>0.19757130000000001</v>
      </c>
      <c r="R2258">
        <v>-0.11680310000000001</v>
      </c>
      <c r="S2258">
        <v>-3.0439449999999999</v>
      </c>
      <c r="T2258">
        <v>-5.8002230000000002E-2</v>
      </c>
      <c r="U2258">
        <v>-0.416626</v>
      </c>
      <c r="V2258">
        <v>-0.1229985</v>
      </c>
      <c r="W2258">
        <v>0.20879829999999999</v>
      </c>
      <c r="X2258">
        <v>0.97019310000000003</v>
      </c>
      <c r="Y2258">
        <v>-0.14187910000000001</v>
      </c>
      <c r="Z2258">
        <v>-2.2164870000000001E-3</v>
      </c>
      <c r="AA2258">
        <v>0.98988149999999997</v>
      </c>
      <c r="AB2258">
        <v>25</v>
      </c>
      <c r="AC2258">
        <v>-53.835499999999897</v>
      </c>
      <c r="AD2258">
        <v>-1.0304667700000001</v>
      </c>
      <c r="AE2258">
        <v>-7.4034000000000297</v>
      </c>
      <c r="AF2258">
        <v>-7.7437069955600801</v>
      </c>
      <c r="AG2258">
        <v>-1.0304667700000001</v>
      </c>
      <c r="AH2258">
        <v>53.767869728757603</v>
      </c>
      <c r="AI2258">
        <v>91.086735119005596</v>
      </c>
      <c r="AJ2258">
        <v>98.195446932425895</v>
      </c>
      <c r="AK2258">
        <v>54.332409066466099</v>
      </c>
      <c r="AL2258">
        <v>77.948061221388002</v>
      </c>
      <c r="AM2258">
        <v>97.225261691242295</v>
      </c>
      <c r="AN2258">
        <v>1.0000000061863701</v>
      </c>
    </row>
    <row r="2259" spans="1:40" x14ac:dyDescent="0.25">
      <c r="A2259" t="str">
        <f>"20190304155101129"</f>
        <v>20190304155101129</v>
      </c>
      <c r="B2259" t="str">
        <f>"1551685861118915"</f>
        <v>1551685861118915</v>
      </c>
      <c r="C2259" t="s">
        <v>40</v>
      </c>
      <c r="D2259">
        <v>5.1331759999999997</v>
      </c>
      <c r="E2259">
        <v>0.49051689999999998</v>
      </c>
      <c r="F2259" t="s">
        <v>72</v>
      </c>
      <c r="G2259">
        <v>-407.80329999999998</v>
      </c>
      <c r="H2259">
        <v>8.0001240000000001E-2</v>
      </c>
      <c r="I2259">
        <v>277.93200000000002</v>
      </c>
      <c r="J2259">
        <v>-352.98739999999998</v>
      </c>
      <c r="K2259">
        <v>1.1104590000000001</v>
      </c>
      <c r="L2259">
        <v>285.43830000000003</v>
      </c>
      <c r="M2259">
        <v>-0.99991339999999995</v>
      </c>
      <c r="N2259">
        <v>-1.1513570000000001E-2</v>
      </c>
      <c r="O2259">
        <v>6.37508E-3</v>
      </c>
      <c r="P2259">
        <v>-0.97321380000000002</v>
      </c>
      <c r="Q2259">
        <v>0.19793050000000001</v>
      </c>
      <c r="R2259">
        <v>-0.11695700000000001</v>
      </c>
      <c r="S2259">
        <v>-3.0440670000000001</v>
      </c>
      <c r="T2259">
        <v>-5.6975720000000001E-2</v>
      </c>
      <c r="U2259">
        <v>-0.41494750000000002</v>
      </c>
      <c r="V2259">
        <v>-0.12315139999999999</v>
      </c>
      <c r="W2259">
        <v>0.2091182</v>
      </c>
      <c r="X2259">
        <v>0.97010479999999999</v>
      </c>
      <c r="Y2259">
        <v>-0.1413391</v>
      </c>
      <c r="Z2259">
        <v>-2.1797840000000001E-3</v>
      </c>
      <c r="AA2259">
        <v>0.98995880000000003</v>
      </c>
      <c r="AB2259">
        <v>25</v>
      </c>
      <c r="AC2259">
        <v>-54.815899999999999</v>
      </c>
      <c r="AD2259">
        <v>-1.03045776</v>
      </c>
      <c r="AE2259">
        <v>-7.5063000000000004</v>
      </c>
      <c r="AF2259">
        <v>-7.8529023414448398</v>
      </c>
      <c r="AG2259">
        <v>-1.03045776</v>
      </c>
      <c r="AH2259">
        <v>54.747938549413703</v>
      </c>
      <c r="AI2259">
        <v>91.067363876042293</v>
      </c>
      <c r="AJ2259">
        <v>98.162681453930801</v>
      </c>
      <c r="AK2259">
        <v>55.317869570237399</v>
      </c>
      <c r="AL2259">
        <v>77.929318545807703</v>
      </c>
      <c r="AM2259">
        <v>97.234799837511005</v>
      </c>
      <c r="AN2259">
        <v>1.00000000593812</v>
      </c>
    </row>
    <row r="2260" spans="1:40" x14ac:dyDescent="0.25">
      <c r="A2260" t="str">
        <f>"20190304155101152"</f>
        <v>20190304155101152</v>
      </c>
      <c r="B2260" t="str">
        <f>"1551685861149171"</f>
        <v>1551685861149171</v>
      </c>
      <c r="C2260" t="s">
        <v>40</v>
      </c>
      <c r="D2260">
        <v>5.5330839999999997</v>
      </c>
      <c r="E2260">
        <v>0.49070520000000001</v>
      </c>
      <c r="F2260" t="s">
        <v>72</v>
      </c>
      <c r="G2260">
        <v>-408.4898</v>
      </c>
      <c r="H2260">
        <v>8.0001279999999994E-2</v>
      </c>
      <c r="I2260">
        <v>277.84339999999997</v>
      </c>
      <c r="J2260">
        <v>-353.23559999999998</v>
      </c>
      <c r="K2260">
        <v>1.1104510000000001</v>
      </c>
      <c r="L2260">
        <v>285.43990000000002</v>
      </c>
      <c r="M2260">
        <v>-0.99991390000000002</v>
      </c>
      <c r="N2260">
        <v>-1.1474989999999999E-2</v>
      </c>
      <c r="O2260">
        <v>6.3745869999999897E-3</v>
      </c>
      <c r="P2260">
        <v>-0.97335150000000004</v>
      </c>
      <c r="Q2260">
        <v>0.1973866</v>
      </c>
      <c r="R2260">
        <v>-0.1167281</v>
      </c>
      <c r="S2260">
        <v>-3.0439759999999998</v>
      </c>
      <c r="T2260">
        <v>-5.6514500000000002E-2</v>
      </c>
      <c r="U2260">
        <v>-0.41653440000000003</v>
      </c>
      <c r="V2260">
        <v>-0.1229232</v>
      </c>
      <c r="W2260">
        <v>0.20853859999999999</v>
      </c>
      <c r="X2260">
        <v>0.97025850000000002</v>
      </c>
      <c r="Y2260">
        <v>-0.1418497</v>
      </c>
      <c r="Z2260">
        <v>-2.173351E-3</v>
      </c>
      <c r="AA2260">
        <v>0.98988580000000004</v>
      </c>
      <c r="AB2260">
        <v>25</v>
      </c>
      <c r="AC2260">
        <v>-55.254199999999997</v>
      </c>
      <c r="AD2260">
        <v>-1.03044972</v>
      </c>
      <c r="AE2260">
        <v>-7.5965000000000398</v>
      </c>
      <c r="AF2260">
        <v>-7.9458792417990001</v>
      </c>
      <c r="AG2260">
        <v>-1.03044972</v>
      </c>
      <c r="AH2260">
        <v>55.185812185379497</v>
      </c>
      <c r="AI2260">
        <v>91.058807031872803</v>
      </c>
      <c r="AJ2260">
        <v>98.193370573619006</v>
      </c>
      <c r="AK2260">
        <v>55.7644392970168</v>
      </c>
      <c r="AL2260">
        <v>77.963275895708193</v>
      </c>
      <c r="AM2260">
        <v>97.220403485462498</v>
      </c>
      <c r="AN2260">
        <v>1.0000000088052201</v>
      </c>
    </row>
    <row r="2261" spans="1:40" x14ac:dyDescent="0.25">
      <c r="A2261" t="str">
        <f>"20190304155101175"</f>
        <v>20190304155101175</v>
      </c>
      <c r="B2261" t="str">
        <f>"1551685861168695"</f>
        <v>1551685861168695</v>
      </c>
      <c r="C2261" t="s">
        <v>40</v>
      </c>
      <c r="D2261">
        <v>7.3989229999999999</v>
      </c>
      <c r="E2261">
        <v>0.52565249999999997</v>
      </c>
      <c r="F2261" t="s">
        <v>72</v>
      </c>
      <c r="G2261">
        <v>-407.90609999999998</v>
      </c>
      <c r="H2261">
        <v>8.0001240000000001E-2</v>
      </c>
      <c r="I2261">
        <v>278.00240000000002</v>
      </c>
      <c r="J2261">
        <v>-353.4898</v>
      </c>
      <c r="K2261">
        <v>1.1104430000000001</v>
      </c>
      <c r="L2261">
        <v>285.44150000000002</v>
      </c>
      <c r="M2261">
        <v>-0.99991430000000003</v>
      </c>
      <c r="N2261">
        <v>-1.143687E-2</v>
      </c>
      <c r="O2261">
        <v>6.3743289999999998E-3</v>
      </c>
      <c r="P2261">
        <v>-0.97348140000000005</v>
      </c>
      <c r="Q2261">
        <v>0.19698360000000001</v>
      </c>
      <c r="R2261">
        <v>-0.1163269</v>
      </c>
      <c r="S2261">
        <v>-3.044098</v>
      </c>
      <c r="T2261">
        <v>-5.737627E-2</v>
      </c>
      <c r="U2261">
        <v>-0.41412349999999998</v>
      </c>
      <c r="V2261">
        <v>-0.1225226</v>
      </c>
      <c r="W2261">
        <v>0.20810020000000001</v>
      </c>
      <c r="X2261">
        <v>0.97040329999999997</v>
      </c>
      <c r="Y2261">
        <v>-0.1410737</v>
      </c>
      <c r="Z2261">
        <v>-2.1808890000000001E-3</v>
      </c>
      <c r="AA2261">
        <v>0.98999669999999895</v>
      </c>
      <c r="AB2261">
        <v>25</v>
      </c>
      <c r="AC2261">
        <v>-54.4162999999999</v>
      </c>
      <c r="AD2261">
        <v>-1.03044176</v>
      </c>
      <c r="AE2261">
        <v>-7.4390999999999901</v>
      </c>
      <c r="AF2261">
        <v>-7.7830992450060501</v>
      </c>
      <c r="AG2261">
        <v>-1.03044176</v>
      </c>
      <c r="AH2261">
        <v>54.348641022186399</v>
      </c>
      <c r="AI2261">
        <v>91.075222036643098</v>
      </c>
      <c r="AJ2261">
        <v>98.149739014621304</v>
      </c>
      <c r="AK2261">
        <v>54.912778340171798</v>
      </c>
      <c r="AL2261">
        <v>77.988957974080606</v>
      </c>
      <c r="AM2261">
        <v>97.196057057541097</v>
      </c>
      <c r="AN2261">
        <v>1.0000000227008401</v>
      </c>
    </row>
    <row r="2262" spans="1:40" x14ac:dyDescent="0.25">
      <c r="A2262" t="str">
        <f>"20190304155101196"</f>
        <v>20190304155101196</v>
      </c>
      <c r="B2262" t="str">
        <f>"1551685861189187"</f>
        <v>1551685861189187</v>
      </c>
      <c r="C2262" t="s">
        <v>40</v>
      </c>
      <c r="D2262">
        <v>4.0944520000000004</v>
      </c>
      <c r="E2262">
        <v>0.56731999999999905</v>
      </c>
      <c r="F2262" t="s">
        <v>75</v>
      </c>
      <c r="G2262">
        <v>-511.9622</v>
      </c>
      <c r="H2262">
        <v>10.794829999999999</v>
      </c>
      <c r="I2262">
        <v>278.11419999999998</v>
      </c>
      <c r="J2262">
        <v>-353.73289999999997</v>
      </c>
      <c r="K2262">
        <v>1.110433</v>
      </c>
      <c r="L2262">
        <v>285.44310000000002</v>
      </c>
      <c r="M2262">
        <v>-0.99991479999999999</v>
      </c>
      <c r="N2262">
        <v>-1.1397249999999999E-2</v>
      </c>
      <c r="O2262">
        <v>6.3740200000000002E-3</v>
      </c>
      <c r="P2262">
        <v>-0.97380520000000004</v>
      </c>
      <c r="Q2262">
        <v>0.19536429999999999</v>
      </c>
      <c r="R2262">
        <v>-0.1163458</v>
      </c>
      <c r="S2262">
        <v>-3.0275270000000001</v>
      </c>
      <c r="T2262">
        <v>0.18501600000000001</v>
      </c>
      <c r="U2262">
        <v>-0.1399841</v>
      </c>
      <c r="V2262">
        <v>-0.122542899999999</v>
      </c>
      <c r="W2262">
        <v>0.20644650000000001</v>
      </c>
      <c r="X2262">
        <v>0.9707538</v>
      </c>
      <c r="Y2262">
        <v>-5.2458369999999997E-2</v>
      </c>
      <c r="Z2262">
        <v>1.7627109999999999E-3</v>
      </c>
      <c r="AA2262">
        <v>0.9986216</v>
      </c>
      <c r="AB2262">
        <v>25</v>
      </c>
      <c r="AC2262">
        <v>-158.22929999999999</v>
      </c>
      <c r="AD2262">
        <v>9.6843970000000006</v>
      </c>
      <c r="AE2262">
        <v>-7.3289000000000302</v>
      </c>
      <c r="AF2262">
        <v>-8.3063241313132092</v>
      </c>
      <c r="AG2262">
        <v>9.6843970000000006</v>
      </c>
      <c r="AH2262">
        <v>157.59029336188399</v>
      </c>
      <c r="AI2262">
        <v>86.488286966825996</v>
      </c>
      <c r="AJ2262">
        <v>93.017173917473002</v>
      </c>
      <c r="AK2262">
        <v>158.105923759082</v>
      </c>
      <c r="AL2262">
        <v>78.085810252896295</v>
      </c>
      <c r="AM2262">
        <v>97.194665429481503</v>
      </c>
      <c r="AN2262">
        <v>0.99999992995854703</v>
      </c>
    </row>
    <row r="2263" spans="1:40" x14ac:dyDescent="0.25">
      <c r="A2263" t="str">
        <f>"20190304155101219"</f>
        <v>20190304155101219</v>
      </c>
      <c r="B2263" t="str">
        <f>"1551685861208708"</f>
        <v>1551685861208708</v>
      </c>
      <c r="C2263" t="s">
        <v>40</v>
      </c>
      <c r="D2263">
        <v>5.0971129999999896</v>
      </c>
      <c r="E2263">
        <v>0.57891029999999999</v>
      </c>
      <c r="F2263" t="s">
        <v>76</v>
      </c>
      <c r="G2263">
        <v>-510.96129999999999</v>
      </c>
      <c r="H2263">
        <v>23.047039999999999</v>
      </c>
      <c r="I2263">
        <v>295.17779999999999</v>
      </c>
      <c r="J2263">
        <v>-353.97250000000003</v>
      </c>
      <c r="K2263">
        <v>1.1104210000000001</v>
      </c>
      <c r="L2263">
        <v>285.44459999999998</v>
      </c>
      <c r="M2263">
        <v>-0.99991540000000001</v>
      </c>
      <c r="N2263">
        <v>-1.1357900000000001E-2</v>
      </c>
      <c r="O2263">
        <v>6.3737680000000001E-3</v>
      </c>
      <c r="P2263">
        <v>-0.9740955</v>
      </c>
      <c r="Q2263">
        <v>0.1939669</v>
      </c>
      <c r="R2263">
        <v>-0.11625340000000001</v>
      </c>
      <c r="S2263">
        <v>-3.018494</v>
      </c>
      <c r="T2263">
        <v>0.4211434</v>
      </c>
      <c r="U2263">
        <v>0.18688959999999999</v>
      </c>
      <c r="V2263">
        <v>-0.1224523</v>
      </c>
      <c r="W2263">
        <v>0.2050139</v>
      </c>
      <c r="X2263">
        <v>0.97106890000000001</v>
      </c>
      <c r="Y2263">
        <v>5.5018110000000002E-2</v>
      </c>
      <c r="Z2263">
        <v>-2.5458019999999998E-3</v>
      </c>
      <c r="AA2263">
        <v>0.99848210000000004</v>
      </c>
      <c r="AB2263">
        <v>25</v>
      </c>
      <c r="AC2263">
        <v>-156.988799999999</v>
      </c>
      <c r="AD2263">
        <v>21.936619</v>
      </c>
      <c r="AE2263">
        <v>9.7332000000000001</v>
      </c>
      <c r="AF2263">
        <v>8.5657182941546708</v>
      </c>
      <c r="AG2263">
        <v>21.936619</v>
      </c>
      <c r="AH2263">
        <v>154.05124309647201</v>
      </c>
      <c r="AI2263">
        <v>81.908002570465499</v>
      </c>
      <c r="AJ2263">
        <v>86.817457280576505</v>
      </c>
      <c r="AK2263">
        <v>155.84085562718801</v>
      </c>
      <c r="AL2263">
        <v>78.169687698694602</v>
      </c>
      <c r="AM2263">
        <v>97.187093380710806</v>
      </c>
      <c r="AN2263">
        <v>1.0000000367578501</v>
      </c>
    </row>
    <row r="2264" spans="1:40" x14ac:dyDescent="0.25">
      <c r="A2264" t="str">
        <f>"20190304155101242"</f>
        <v>20190304155101242</v>
      </c>
      <c r="B2264" t="str">
        <f>"1551685861238964"</f>
        <v>1551685861238964</v>
      </c>
      <c r="C2264" t="s">
        <v>40</v>
      </c>
      <c r="D2264">
        <v>5.0966120000000004</v>
      </c>
      <c r="E2264">
        <v>0.56883490000000003</v>
      </c>
      <c r="F2264" t="s">
        <v>76</v>
      </c>
      <c r="G2264">
        <v>-511.82139999999998</v>
      </c>
      <c r="H2264">
        <v>3.8861520000000001</v>
      </c>
      <c r="I2264">
        <v>299.94760000000002</v>
      </c>
      <c r="J2264">
        <v>-354.22590000000002</v>
      </c>
      <c r="K2264">
        <v>1.1104130000000001</v>
      </c>
      <c r="L2264">
        <v>285.44619999999998</v>
      </c>
      <c r="M2264">
        <v>-0.99991569999999996</v>
      </c>
      <c r="N2264">
        <v>-1.132005E-2</v>
      </c>
      <c r="O2264">
        <v>6.3736259999999899E-3</v>
      </c>
      <c r="P2264">
        <v>-0.97452229999999995</v>
      </c>
      <c r="Q2264">
        <v>0.19214429999999999</v>
      </c>
      <c r="R2264">
        <v>-0.11570279999999999</v>
      </c>
      <c r="S2264">
        <v>-3.1029360000000001</v>
      </c>
      <c r="T2264">
        <v>5.4565910000000002E-2</v>
      </c>
      <c r="U2264">
        <v>0.28509519999999999</v>
      </c>
      <c r="V2264">
        <v>-0.1219041</v>
      </c>
      <c r="W2264">
        <v>0.2031598</v>
      </c>
      <c r="X2264">
        <v>0.97152740000000004</v>
      </c>
      <c r="Y2264">
        <v>8.5142700000000002E-2</v>
      </c>
      <c r="Z2264" s="1">
        <v>-8.0220630000000004E-5</v>
      </c>
      <c r="AA2264">
        <v>0.99636880000000005</v>
      </c>
      <c r="AB2264">
        <v>25</v>
      </c>
      <c r="AC2264">
        <v>-157.59549999999899</v>
      </c>
      <c r="AD2264">
        <v>2.7757390000000002</v>
      </c>
      <c r="AE2264">
        <v>14.5014</v>
      </c>
      <c r="AF2264">
        <v>13.492435881399199</v>
      </c>
      <c r="AG2264">
        <v>2.7757390000000002</v>
      </c>
      <c r="AH2264">
        <v>157.63623964547</v>
      </c>
      <c r="AI2264">
        <v>88.994885328887307</v>
      </c>
      <c r="AJ2264">
        <v>85.1078503957946</v>
      </c>
      <c r="AK2264">
        <v>158.236957132567</v>
      </c>
      <c r="AL2264">
        <v>78.278203358651297</v>
      </c>
      <c r="AM2264">
        <v>97.151910249306894</v>
      </c>
      <c r="AN2264">
        <v>1.0000000014418</v>
      </c>
    </row>
    <row r="2265" spans="1:40" x14ac:dyDescent="0.25">
      <c r="A2265" t="str">
        <f>"20190304155101265"</f>
        <v>20190304155101265</v>
      </c>
      <c r="B2265" t="str">
        <f>"1551685861258483"</f>
        <v>1551685861258483</v>
      </c>
      <c r="C2265" t="s">
        <v>40</v>
      </c>
      <c r="D2265">
        <v>5.0929679999999999</v>
      </c>
      <c r="E2265">
        <v>0.57659869999999902</v>
      </c>
      <c r="F2265" t="s">
        <v>76</v>
      </c>
      <c r="G2265">
        <v>-510.95870000000002</v>
      </c>
      <c r="H2265">
        <v>15.35342</v>
      </c>
      <c r="I2265">
        <v>295.90390000000002</v>
      </c>
      <c r="J2265">
        <v>-354.47910000000002</v>
      </c>
      <c r="K2265">
        <v>1.1104050000000001</v>
      </c>
      <c r="L2265">
        <v>285.44779999999997</v>
      </c>
      <c r="M2265">
        <v>-0.99991609999999997</v>
      </c>
      <c r="N2265">
        <v>-1.1286640000000001E-2</v>
      </c>
      <c r="O2265">
        <v>6.3735179999999999E-3</v>
      </c>
      <c r="P2265">
        <v>-0.97470880000000004</v>
      </c>
      <c r="Q2265">
        <v>0.19138959999999999</v>
      </c>
      <c r="R2265">
        <v>-0.1153819</v>
      </c>
      <c r="S2265">
        <v>-3.047974</v>
      </c>
      <c r="T2265">
        <v>0.27698420000000001</v>
      </c>
      <c r="U2265">
        <v>0.2033691</v>
      </c>
      <c r="V2265">
        <v>-0.1215847</v>
      </c>
      <c r="W2265">
        <v>0.2023749</v>
      </c>
      <c r="X2265">
        <v>0.97173120000000002</v>
      </c>
      <c r="Y2265">
        <v>6.0031189999999998E-2</v>
      </c>
      <c r="Z2265">
        <v>-1.7302559999999999E-3</v>
      </c>
      <c r="AA2265">
        <v>0.99819500000000005</v>
      </c>
      <c r="AB2265">
        <v>25</v>
      </c>
      <c r="AC2265">
        <v>-156.4796</v>
      </c>
      <c r="AD2265">
        <v>14.243015</v>
      </c>
      <c r="AE2265">
        <v>10.456099999999999</v>
      </c>
      <c r="AF2265">
        <v>9.3811222536719292</v>
      </c>
      <c r="AG2265">
        <v>14.243015</v>
      </c>
      <c r="AH2265">
        <v>155.26244847510901</v>
      </c>
      <c r="AI2265">
        <v>84.768124364490603</v>
      </c>
      <c r="AJ2265">
        <v>86.5423316234249</v>
      </c>
      <c r="AK2265">
        <v>156.19634066620901</v>
      </c>
      <c r="AL2265">
        <v>78.324128602440794</v>
      </c>
      <c r="AM2265">
        <v>97.131884207389504</v>
      </c>
      <c r="AN2265">
        <v>0.99999998223876896</v>
      </c>
    </row>
    <row r="2266" spans="1:40" x14ac:dyDescent="0.25">
      <c r="A2266" t="str">
        <f>"20190304155101286"</f>
        <v>20190304155101286</v>
      </c>
      <c r="B2266" t="str">
        <f>"1551685861278983"</f>
        <v>1551685861278983</v>
      </c>
      <c r="C2266" t="s">
        <v>40</v>
      </c>
      <c r="D2266">
        <v>5.0741839999999998</v>
      </c>
      <c r="E2266">
        <v>0.57424649999999999</v>
      </c>
      <c r="F2266" t="s">
        <v>76</v>
      </c>
      <c r="G2266">
        <v>-510.07069999999999</v>
      </c>
      <c r="H2266">
        <v>6.1829140000000002</v>
      </c>
      <c r="I2266">
        <v>298.97120000000001</v>
      </c>
      <c r="J2266">
        <v>-354.72089999999997</v>
      </c>
      <c r="K2266">
        <v>1.1104000000000001</v>
      </c>
      <c r="L2266">
        <v>285.44929999999999</v>
      </c>
      <c r="M2266">
        <v>-0.99991629999999998</v>
      </c>
      <c r="N2266">
        <v>-1.125786E-2</v>
      </c>
      <c r="O2266">
        <v>6.3733230000000002E-3</v>
      </c>
      <c r="P2266">
        <v>-0.97498700000000005</v>
      </c>
      <c r="Q2266">
        <v>0.19017980000000001</v>
      </c>
      <c r="R2266">
        <v>-0.1150306</v>
      </c>
      <c r="S2266">
        <v>-3.0898129999999999</v>
      </c>
      <c r="T2266">
        <v>0.1007339</v>
      </c>
      <c r="U2266">
        <v>0.26855469999999998</v>
      </c>
      <c r="V2266">
        <v>-0.1212343</v>
      </c>
      <c r="W2266">
        <v>0.20114009999999999</v>
      </c>
      <c r="X2266">
        <v>0.97203139999999999</v>
      </c>
      <c r="Y2266">
        <v>8.021665E-2</v>
      </c>
      <c r="Z2266">
        <v>-5.7340980000000004E-4</v>
      </c>
      <c r="AA2266">
        <v>0.99677729999999998</v>
      </c>
      <c r="AB2266">
        <v>25</v>
      </c>
      <c r="AC2266">
        <v>-155.34979999999999</v>
      </c>
      <c r="AD2266">
        <v>5.072514</v>
      </c>
      <c r="AE2266">
        <v>13.5219</v>
      </c>
      <c r="AF2266">
        <v>12.5182219641432</v>
      </c>
      <c r="AG2266">
        <v>5.072514</v>
      </c>
      <c r="AH2266">
        <v>155.26853199123499</v>
      </c>
      <c r="AI2266">
        <v>88.134900106960004</v>
      </c>
      <c r="AJ2266">
        <v>85.390609620845495</v>
      </c>
      <c r="AK2266">
        <v>155.85491107480999</v>
      </c>
      <c r="AL2266">
        <v>78.396363919523694</v>
      </c>
      <c r="AM2266">
        <v>97.109367444787097</v>
      </c>
      <c r="AN2266">
        <v>1.00000006895522</v>
      </c>
    </row>
    <row r="2267" spans="1:40" x14ac:dyDescent="0.25">
      <c r="A2267" t="str">
        <f>"20190304155101300"</f>
        <v>20190304155101300</v>
      </c>
      <c r="B2267" t="str">
        <f>"1551685861288740"</f>
        <v>1551685861288740</v>
      </c>
      <c r="C2267" t="s">
        <v>40</v>
      </c>
      <c r="D2267">
        <v>5.0814690000000002</v>
      </c>
      <c r="E2267">
        <v>0.57363619999999904</v>
      </c>
      <c r="F2267" t="s">
        <v>76</v>
      </c>
      <c r="G2267">
        <v>-510.07069999999999</v>
      </c>
      <c r="H2267">
        <v>6.0024550000000003</v>
      </c>
      <c r="I2267">
        <v>298.09370000000001</v>
      </c>
      <c r="J2267">
        <v>-354.86309999999997</v>
      </c>
      <c r="K2267">
        <v>1.1103959999999999</v>
      </c>
      <c r="L2267">
        <v>285.45030000000003</v>
      </c>
      <c r="M2267">
        <v>-0.99991660000000004</v>
      </c>
      <c r="N2267">
        <v>-1.124261E-2</v>
      </c>
      <c r="O2267">
        <v>6.3730519999999997E-3</v>
      </c>
      <c r="P2267">
        <v>-0.97504349999999995</v>
      </c>
      <c r="Q2267">
        <v>0.18989</v>
      </c>
      <c r="R2267">
        <v>-0.11503049999999999</v>
      </c>
      <c r="S2267">
        <v>-3.0876459999999999</v>
      </c>
      <c r="T2267">
        <v>9.7233410000000006E-2</v>
      </c>
      <c r="U2267">
        <v>0.25131229999999999</v>
      </c>
      <c r="V2267">
        <v>-0.1212351</v>
      </c>
      <c r="W2267">
        <v>0.2008364</v>
      </c>
      <c r="X2267">
        <v>0.97209400000000001</v>
      </c>
      <c r="Y2267">
        <v>7.4752620000000006E-2</v>
      </c>
      <c r="Z2267">
        <v>-4.8199380000000001E-4</v>
      </c>
      <c r="AA2267">
        <v>0.99720200000000003</v>
      </c>
      <c r="AB2267">
        <v>25</v>
      </c>
      <c r="AC2267">
        <v>-155.20760000000001</v>
      </c>
      <c r="AD2267">
        <v>4.8920589999999997</v>
      </c>
      <c r="AE2267">
        <v>12.6433999999999</v>
      </c>
      <c r="AF2267">
        <v>11.642444447388399</v>
      </c>
      <c r="AG2267">
        <v>4.8920589999999997</v>
      </c>
      <c r="AH2267">
        <v>155.13192589238199</v>
      </c>
      <c r="AI2267">
        <v>88.198847713569606</v>
      </c>
      <c r="AJ2267">
        <v>85.708073791177497</v>
      </c>
      <c r="AK2267">
        <v>155.645087249966</v>
      </c>
      <c r="AL2267">
        <v>78.414126047927297</v>
      </c>
      <c r="AM2267">
        <v>97.108960736972605</v>
      </c>
      <c r="AN2267">
        <v>0.99999997693648401</v>
      </c>
    </row>
    <row r="2268" spans="1:40" x14ac:dyDescent="0.25">
      <c r="A2268" t="str">
        <f>"20190304155101320"</f>
        <v>20190304155101320</v>
      </c>
      <c r="B2268" t="str">
        <f>"1551685861309236"</f>
        <v>1551685861309236</v>
      </c>
      <c r="C2268" t="s">
        <v>40</v>
      </c>
      <c r="D2268">
        <v>5.0716919999999996</v>
      </c>
      <c r="E2268">
        <v>0.57456689999999999</v>
      </c>
      <c r="F2268" t="s">
        <v>76</v>
      </c>
      <c r="G2268">
        <v>-510.07069999999999</v>
      </c>
      <c r="H2268">
        <v>6.1356890000000002</v>
      </c>
      <c r="I2268">
        <v>297.85169999999999</v>
      </c>
      <c r="J2268">
        <v>-355.09190000000001</v>
      </c>
      <c r="K2268">
        <v>1.110392</v>
      </c>
      <c r="L2268">
        <v>285.45170000000002</v>
      </c>
      <c r="M2268">
        <v>-0.99991680000000005</v>
      </c>
      <c r="N2268">
        <v>-1.121978E-2</v>
      </c>
      <c r="O2268">
        <v>6.3730610000000002E-3</v>
      </c>
      <c r="P2268">
        <v>-0.97524730000000004</v>
      </c>
      <c r="Q2268">
        <v>0.18911230000000001</v>
      </c>
      <c r="R2268">
        <v>-0.1145844</v>
      </c>
      <c r="S2268">
        <v>-3.0864259999999999</v>
      </c>
      <c r="T2268">
        <v>9.9933510000000003E-2</v>
      </c>
      <c r="U2268">
        <v>0.24661250000000001</v>
      </c>
      <c r="V2268">
        <v>-0.1207903</v>
      </c>
      <c r="W2268">
        <v>0.20003850000000001</v>
      </c>
      <c r="X2268">
        <v>0.97231389999999995</v>
      </c>
      <c r="Y2268">
        <v>7.3274779999999998E-2</v>
      </c>
      <c r="Z2268">
        <v>-4.9493750000000004E-4</v>
      </c>
      <c r="AA2268">
        <v>0.99731170000000002</v>
      </c>
      <c r="AB2268">
        <v>25</v>
      </c>
      <c r="AC2268">
        <v>-154.97879999999901</v>
      </c>
      <c r="AD2268">
        <v>5.0252970000000001</v>
      </c>
      <c r="AE2268">
        <v>12.399999999999901</v>
      </c>
      <c r="AF2268">
        <v>11.400086574257401</v>
      </c>
      <c r="AG2268">
        <v>5.0252970000000001</v>
      </c>
      <c r="AH2268">
        <v>154.89286069986801</v>
      </c>
      <c r="AI2268">
        <v>88.146774022899606</v>
      </c>
      <c r="AJ2268">
        <v>85.790630651625705</v>
      </c>
      <c r="AK2268">
        <v>155.39309469737501</v>
      </c>
      <c r="AL2268">
        <v>78.460789690030097</v>
      </c>
      <c r="AM2268">
        <v>97.081558380229296</v>
      </c>
      <c r="AN2268">
        <v>1.00000000909477</v>
      </c>
    </row>
    <row r="2269" spans="1:40" x14ac:dyDescent="0.25">
      <c r="A2269" t="str">
        <f>"20190304155101335"</f>
        <v>20190304155101335</v>
      </c>
      <c r="B2269" t="str">
        <f>"1551685861328756"</f>
        <v>1551685861328756</v>
      </c>
      <c r="C2269" t="s">
        <v>40</v>
      </c>
      <c r="D2269">
        <v>7.480467</v>
      </c>
      <c r="E2269">
        <v>0.57418519999999995</v>
      </c>
      <c r="F2269" t="s">
        <v>76</v>
      </c>
      <c r="G2269">
        <v>-510.07060000000001</v>
      </c>
      <c r="H2269">
        <v>5.7189449999999997</v>
      </c>
      <c r="I2269">
        <v>298.2987</v>
      </c>
      <c r="J2269">
        <v>-355.25729999999999</v>
      </c>
      <c r="K2269">
        <v>1.110395</v>
      </c>
      <c r="L2269">
        <v>285.45280000000002</v>
      </c>
      <c r="M2269">
        <v>-0.99991699999999994</v>
      </c>
      <c r="N2269">
        <v>-1.120495E-2</v>
      </c>
      <c r="O2269">
        <v>6.3729659999999999E-3</v>
      </c>
      <c r="P2269">
        <v>-0.97531069999999997</v>
      </c>
      <c r="Q2269">
        <v>0.18892970000000001</v>
      </c>
      <c r="R2269">
        <v>-0.1143444</v>
      </c>
      <c r="S2269">
        <v>-3.0883790000000002</v>
      </c>
      <c r="T2269">
        <v>9.1839790000000004E-2</v>
      </c>
      <c r="U2269">
        <v>0.25601200000000002</v>
      </c>
      <c r="V2269">
        <v>-0.1205504</v>
      </c>
      <c r="W2269">
        <v>0.1998423</v>
      </c>
      <c r="X2269">
        <v>0.97238400000000003</v>
      </c>
      <c r="Y2269">
        <v>7.6243160000000004E-2</v>
      </c>
      <c r="Z2269">
        <v>-4.4307990000000001E-4</v>
      </c>
      <c r="AA2269">
        <v>0.99708909999999995</v>
      </c>
      <c r="AB2269">
        <v>25</v>
      </c>
      <c r="AC2269">
        <v>-154.8133</v>
      </c>
      <c r="AD2269">
        <v>4.6085499999999904</v>
      </c>
      <c r="AE2269">
        <v>12.845899999999901</v>
      </c>
      <c r="AF2269">
        <v>11.848529451338001</v>
      </c>
      <c r="AG2269">
        <v>4.6085499999999904</v>
      </c>
      <c r="AH2269">
        <v>154.75582670208701</v>
      </c>
      <c r="AI2269">
        <v>88.299239446791205</v>
      </c>
      <c r="AJ2269">
        <v>85.621819796119894</v>
      </c>
      <c r="AK2269">
        <v>155.27714668137099</v>
      </c>
      <c r="AL2269">
        <v>78.472262605250506</v>
      </c>
      <c r="AM2269">
        <v>97.067131809816999</v>
      </c>
      <c r="AN2269">
        <v>0.99999999363272496</v>
      </c>
    </row>
    <row r="2270" spans="1:40" x14ac:dyDescent="0.25">
      <c r="A2270" t="str">
        <f>"20190304155101354"</f>
        <v>20190304155101354</v>
      </c>
      <c r="B2270" t="str">
        <f>"1551685861349252"</f>
        <v>1551685861349252</v>
      </c>
      <c r="C2270" t="s">
        <v>40</v>
      </c>
      <c r="D2270">
        <v>4.4706130000000002</v>
      </c>
      <c r="E2270">
        <v>0.57435040000000004</v>
      </c>
      <c r="F2270" t="s">
        <v>76</v>
      </c>
      <c r="G2270">
        <v>-510.07089999999999</v>
      </c>
      <c r="H2270">
        <v>6.5716349999999997</v>
      </c>
      <c r="I2270">
        <v>298.1807</v>
      </c>
      <c r="J2270">
        <v>-355.46120000000002</v>
      </c>
      <c r="K2270">
        <v>1.110392</v>
      </c>
      <c r="L2270">
        <v>285.45400000000001</v>
      </c>
      <c r="M2270">
        <v>-0.99991719999999895</v>
      </c>
      <c r="N2270">
        <v>-1.1188450000000001E-2</v>
      </c>
      <c r="O2270">
        <v>6.37288E-3</v>
      </c>
      <c r="P2270">
        <v>-0.97546449999999996</v>
      </c>
      <c r="Q2270">
        <v>0.1885173</v>
      </c>
      <c r="R2270">
        <v>-0.1137128</v>
      </c>
      <c r="S2270">
        <v>-3.084625</v>
      </c>
      <c r="T2270">
        <v>0.1088156</v>
      </c>
      <c r="U2270">
        <v>0.25360110000000002</v>
      </c>
      <c r="V2270">
        <v>-0.11991930000000001</v>
      </c>
      <c r="W2270">
        <v>0.19941619999999999</v>
      </c>
      <c r="X2270">
        <v>0.97254949999999996</v>
      </c>
      <c r="Y2270">
        <v>7.5559619999999994E-2</v>
      </c>
      <c r="Z2270">
        <v>-6.1107010000000005E-4</v>
      </c>
      <c r="AA2270">
        <v>0.9971411</v>
      </c>
      <c r="AB2270">
        <v>25</v>
      </c>
      <c r="AC2270">
        <v>-154.60969999999901</v>
      </c>
      <c r="AD2270">
        <v>5.4612429999999996</v>
      </c>
      <c r="AE2270">
        <v>12.7266999999999</v>
      </c>
      <c r="AF2270">
        <v>11.7265381744051</v>
      </c>
      <c r="AG2270">
        <v>5.4612429999999996</v>
      </c>
      <c r="AH2270">
        <v>154.49620345940301</v>
      </c>
      <c r="AI2270">
        <v>87.981312223839495</v>
      </c>
      <c r="AJ2270">
        <v>85.659470470179002</v>
      </c>
      <c r="AK2270">
        <v>155.03681419595199</v>
      </c>
      <c r="AL2270">
        <v>78.497177855352106</v>
      </c>
      <c r="AM2270">
        <v>97.029321074909106</v>
      </c>
      <c r="AN2270">
        <v>0.99999999464258904</v>
      </c>
    </row>
    <row r="2271" spans="1:40" x14ac:dyDescent="0.25">
      <c r="A2271" t="str">
        <f>"20190304155101376"</f>
        <v>20190304155101376</v>
      </c>
      <c r="B2271" t="str">
        <f>"1551685861368775"</f>
        <v>1551685861368775</v>
      </c>
      <c r="C2271" t="s">
        <v>40</v>
      </c>
      <c r="D2271">
        <v>4.9371029999999996</v>
      </c>
      <c r="E2271">
        <v>0.57383530000000005</v>
      </c>
      <c r="F2271" t="s">
        <v>76</v>
      </c>
      <c r="G2271">
        <v>-511.82279999999997</v>
      </c>
      <c r="H2271">
        <v>7.8806310000000002</v>
      </c>
      <c r="I2271">
        <v>298.48970000000003</v>
      </c>
      <c r="J2271">
        <v>-355.71269999999998</v>
      </c>
      <c r="K2271">
        <v>1.110392</v>
      </c>
      <c r="L2271">
        <v>285.4556</v>
      </c>
      <c r="M2271">
        <v>-0.99991739999999996</v>
      </c>
      <c r="N2271">
        <v>-1.1170650000000001E-2</v>
      </c>
      <c r="O2271">
        <v>6.372623E-3</v>
      </c>
      <c r="P2271">
        <v>-0.97571300000000005</v>
      </c>
      <c r="Q2271">
        <v>0.1875066</v>
      </c>
      <c r="R2271">
        <v>-0.11324960000000001</v>
      </c>
      <c r="S2271">
        <v>-3.0796199999999998</v>
      </c>
      <c r="T2271">
        <v>0.13334489999999999</v>
      </c>
      <c r="U2271">
        <v>0.25674439999999998</v>
      </c>
      <c r="V2271">
        <v>-0.1194577</v>
      </c>
      <c r="W2271">
        <v>0.19839090000000001</v>
      </c>
      <c r="X2271">
        <v>0.97281600000000001</v>
      </c>
      <c r="Y2271">
        <v>7.6684520000000006E-2</v>
      </c>
      <c r="Z2271">
        <v>-8.809976E-4</v>
      </c>
      <c r="AA2271">
        <v>0.99705500000000002</v>
      </c>
      <c r="AB2271">
        <v>25</v>
      </c>
      <c r="AC2271">
        <v>-156.11009999999999</v>
      </c>
      <c r="AD2271">
        <v>6.7702390000000001</v>
      </c>
      <c r="AE2271">
        <v>13.0341</v>
      </c>
      <c r="AF2271">
        <v>12.0164981714587</v>
      </c>
      <c r="AG2271">
        <v>6.7702390000000001</v>
      </c>
      <c r="AH2271">
        <v>155.89880943592399</v>
      </c>
      <c r="AI2271">
        <v>87.520715495530894</v>
      </c>
      <c r="AJ2271">
        <v>85.592423126010601</v>
      </c>
      <c r="AK2271">
        <v>156.50773510584199</v>
      </c>
      <c r="AL2271">
        <v>78.557121356710496</v>
      </c>
      <c r="AM2271">
        <v>97.000633287052594</v>
      </c>
      <c r="AN2271">
        <v>1.00000003057404</v>
      </c>
    </row>
    <row r="2272" spans="1:40" x14ac:dyDescent="0.25">
      <c r="A2272" t="str">
        <f>"20190304155101389"</f>
        <v>20190304155101389</v>
      </c>
      <c r="B2272" t="str">
        <f>"1551685861378532"</f>
        <v>1551685861378532</v>
      </c>
      <c r="C2272" t="s">
        <v>40</v>
      </c>
      <c r="D2272">
        <v>5.0565540000000002</v>
      </c>
      <c r="E2272">
        <v>0.57357230000000003</v>
      </c>
      <c r="F2272" t="s">
        <v>76</v>
      </c>
      <c r="G2272">
        <v>-511.82260000000002</v>
      </c>
      <c r="H2272">
        <v>7.4727479999999904</v>
      </c>
      <c r="I2272">
        <v>298.34769999999997</v>
      </c>
      <c r="J2272">
        <v>-355.851</v>
      </c>
      <c r="K2272">
        <v>1.110387</v>
      </c>
      <c r="L2272">
        <v>285.45650000000001</v>
      </c>
      <c r="M2272">
        <v>-0.99991730000000001</v>
      </c>
      <c r="N2272">
        <v>-1.116171E-2</v>
      </c>
      <c r="O2272">
        <v>6.3726729999999997E-3</v>
      </c>
      <c r="P2272">
        <v>-0.97586269999999997</v>
      </c>
      <c r="Q2272">
        <v>0.18689729999999999</v>
      </c>
      <c r="R2272">
        <v>-0.11296630000000001</v>
      </c>
      <c r="S2272">
        <v>-3.0800779999999999</v>
      </c>
      <c r="T2272">
        <v>0.125532</v>
      </c>
      <c r="U2272">
        <v>0.25436399999999998</v>
      </c>
      <c r="V2272">
        <v>-0.1191755</v>
      </c>
      <c r="W2272">
        <v>0.19777439999999999</v>
      </c>
      <c r="X2272">
        <v>0.97297610000000001</v>
      </c>
      <c r="Y2272">
        <v>7.591349E-2</v>
      </c>
      <c r="Z2272">
        <v>-7.8904369999999895E-4</v>
      </c>
      <c r="AA2272">
        <v>0.9971141</v>
      </c>
      <c r="AB2272">
        <v>25</v>
      </c>
      <c r="AC2272">
        <v>-155.9716</v>
      </c>
      <c r="AD2272">
        <v>6.3623609999999902</v>
      </c>
      <c r="AE2272">
        <v>12.8911999999999</v>
      </c>
      <c r="AF2272">
        <v>11.8772908117884</v>
      </c>
      <c r="AG2272">
        <v>6.3623609999999902</v>
      </c>
      <c r="AH2272">
        <v>155.79311278218199</v>
      </c>
      <c r="AI2272">
        <v>87.668183490145196</v>
      </c>
      <c r="AJ2272">
        <v>85.640341396926402</v>
      </c>
      <c r="AK2272">
        <v>156.374689975341</v>
      </c>
      <c r="AL2272">
        <v>78.593157935283003</v>
      </c>
      <c r="AM2272">
        <v>96.9831210355579</v>
      </c>
      <c r="AN2272">
        <v>1.0000000021334099</v>
      </c>
    </row>
    <row r="2273" spans="1:40" x14ac:dyDescent="0.25">
      <c r="A2273" t="str">
        <f>"20190304155101409"</f>
        <v>20190304155101409</v>
      </c>
      <c r="B2273" t="str">
        <f>"1551685861399028"</f>
        <v>1551685861399028</v>
      </c>
      <c r="C2273" t="s">
        <v>40</v>
      </c>
      <c r="D2273">
        <v>4.6900389999999996</v>
      </c>
      <c r="E2273">
        <v>0.57374440000000004</v>
      </c>
      <c r="F2273" t="s">
        <v>76</v>
      </c>
      <c r="G2273">
        <v>-510.07100000000003</v>
      </c>
      <c r="H2273">
        <v>7.1124460000000003</v>
      </c>
      <c r="I2273">
        <v>298.14299999999997</v>
      </c>
      <c r="J2273">
        <v>-356.07859999999999</v>
      </c>
      <c r="K2273">
        <v>1.110374</v>
      </c>
      <c r="L2273">
        <v>285.4579</v>
      </c>
      <c r="M2273">
        <v>-0.99991759999999996</v>
      </c>
      <c r="N2273">
        <v>-1.114881E-2</v>
      </c>
      <c r="O2273">
        <v>6.3714289999999996E-3</v>
      </c>
      <c r="P2273">
        <v>-0.97630660000000002</v>
      </c>
      <c r="Q2273">
        <v>0.18531839999999999</v>
      </c>
      <c r="R2273">
        <v>-0.11172700000000001</v>
      </c>
      <c r="S2273">
        <v>-3.080597</v>
      </c>
      <c r="T2273">
        <v>0.11989470000000001</v>
      </c>
      <c r="U2273">
        <v>0.25341799999999998</v>
      </c>
      <c r="V2273">
        <v>-0.1179383</v>
      </c>
      <c r="W2273">
        <v>0.1961878</v>
      </c>
      <c r="X2273">
        <v>0.97344790000000003</v>
      </c>
      <c r="Y2273">
        <v>7.5601100000000004E-2</v>
      </c>
      <c r="Z2273">
        <v>-7.2754089999999905E-4</v>
      </c>
      <c r="AA2273">
        <v>0.99713790000000002</v>
      </c>
      <c r="AB2273">
        <v>25</v>
      </c>
      <c r="AC2273">
        <v>-153.99239999999901</v>
      </c>
      <c r="AD2273">
        <v>6.0020720000000001</v>
      </c>
      <c r="AE2273">
        <v>12.685099999999901</v>
      </c>
      <c r="AF2273">
        <v>11.685996652671401</v>
      </c>
      <c r="AG2273">
        <v>6.0020720000000001</v>
      </c>
      <c r="AH2273">
        <v>153.837971626333</v>
      </c>
      <c r="AI2273">
        <v>87.772119396374293</v>
      </c>
      <c r="AJ2273">
        <v>85.6559823786083</v>
      </c>
      <c r="AK2273">
        <v>154.397891501678</v>
      </c>
      <c r="AL2273">
        <v>78.685879565781903</v>
      </c>
      <c r="AM2273">
        <v>96.908014424413494</v>
      </c>
      <c r="AN2273">
        <v>0.99999995474506898</v>
      </c>
    </row>
    <row r="2274" spans="1:40" x14ac:dyDescent="0.25">
      <c r="A2274" t="str">
        <f>"20190304155101421"</f>
        <v>20190304155101421</v>
      </c>
      <c r="B2274" t="str">
        <f>"1551685861418548"</f>
        <v>1551685861418548</v>
      </c>
      <c r="C2274" t="s">
        <v>40</v>
      </c>
      <c r="D2274">
        <v>4.3453249999999999</v>
      </c>
      <c r="E2274">
        <v>0.57393190000000005</v>
      </c>
      <c r="F2274" t="s">
        <v>76</v>
      </c>
      <c r="G2274">
        <v>-510.0711</v>
      </c>
      <c r="H2274">
        <v>7.2323179999999896</v>
      </c>
      <c r="I2274">
        <v>298.3972</v>
      </c>
      <c r="J2274">
        <v>-356.21440000000001</v>
      </c>
      <c r="K2274">
        <v>1.1103719999999999</v>
      </c>
      <c r="L2274">
        <v>285.4588</v>
      </c>
      <c r="M2274">
        <v>-0.99991759999999996</v>
      </c>
      <c r="N2274">
        <v>-1.11421E-2</v>
      </c>
      <c r="O2274">
        <v>6.3687689999999998E-3</v>
      </c>
      <c r="P2274">
        <v>-0.97641089999999997</v>
      </c>
      <c r="Q2274">
        <v>0.1849721</v>
      </c>
      <c r="R2274">
        <v>-0.11138670000000001</v>
      </c>
      <c r="S2274">
        <v>-3.0791629999999999</v>
      </c>
      <c r="T2274">
        <v>0.1224132</v>
      </c>
      <c r="U2274">
        <v>0.25872800000000001</v>
      </c>
      <c r="V2274">
        <v>-0.1175963</v>
      </c>
      <c r="W2274">
        <v>0.1958357</v>
      </c>
      <c r="X2274">
        <v>0.97356019999999999</v>
      </c>
      <c r="Y2274">
        <v>7.7346509999999993E-2</v>
      </c>
      <c r="Z2274">
        <v>-7.7892929999999895E-4</v>
      </c>
      <c r="AA2274">
        <v>0.997004</v>
      </c>
      <c r="AB2274">
        <v>25</v>
      </c>
      <c r="AC2274">
        <v>-153.85669999999999</v>
      </c>
      <c r="AD2274">
        <v>6.1219459999999897</v>
      </c>
      <c r="AE2274">
        <v>12.9384</v>
      </c>
      <c r="AF2274">
        <v>11.939428696296</v>
      </c>
      <c r="AG2274">
        <v>6.1219459999999897</v>
      </c>
      <c r="AH2274">
        <v>153.69436006965199</v>
      </c>
      <c r="AI2274">
        <v>87.725847517195007</v>
      </c>
      <c r="AJ2274">
        <v>85.558016711449696</v>
      </c>
      <c r="AK2274">
        <v>154.27891786514601</v>
      </c>
      <c r="AL2274">
        <v>78.706452863961999</v>
      </c>
      <c r="AM2274">
        <v>96.887388235066695</v>
      </c>
      <c r="AN2274">
        <v>0.99999998709610904</v>
      </c>
    </row>
    <row r="2275" spans="1:40" x14ac:dyDescent="0.25">
      <c r="A2275" t="str">
        <f>"20190304155101443"</f>
        <v>20190304155101443</v>
      </c>
      <c r="B2275" t="str">
        <f>"1551685861439044"</f>
        <v>1551685861439044</v>
      </c>
      <c r="C2275" t="s">
        <v>40</v>
      </c>
      <c r="D2275">
        <v>5.1131729999999997</v>
      </c>
      <c r="E2275">
        <v>0.57348659999999996</v>
      </c>
      <c r="F2275" t="s">
        <v>76</v>
      </c>
      <c r="G2275">
        <v>-511.82279999999997</v>
      </c>
      <c r="H2275">
        <v>8.0095419999999997</v>
      </c>
      <c r="I2275">
        <v>298.67360000000002</v>
      </c>
      <c r="J2275">
        <v>-356.45359999999999</v>
      </c>
      <c r="K2275">
        <v>1.110387</v>
      </c>
      <c r="L2275">
        <v>285.46039999999999</v>
      </c>
      <c r="M2275">
        <v>-0.99991779999999997</v>
      </c>
      <c r="N2275">
        <v>-1.113138E-2</v>
      </c>
      <c r="O2275">
        <v>6.3601990000000004E-3</v>
      </c>
      <c r="P2275">
        <v>-0.97639759999999998</v>
      </c>
      <c r="Q2275">
        <v>0.18552170000000001</v>
      </c>
      <c r="R2275">
        <v>-0.1105884</v>
      </c>
      <c r="S2275">
        <v>-3.0764469999999999</v>
      </c>
      <c r="T2275">
        <v>0.1364012</v>
      </c>
      <c r="U2275">
        <v>0.26126100000000002</v>
      </c>
      <c r="V2275">
        <v>-0.11679100000000001</v>
      </c>
      <c r="W2275">
        <v>0.19637389999999999</v>
      </c>
      <c r="X2275">
        <v>0.97354879999999999</v>
      </c>
      <c r="Y2275">
        <v>7.8231579999999995E-2</v>
      </c>
      <c r="Z2275">
        <v>-9.4199439999999995E-4</v>
      </c>
      <c r="AA2275">
        <v>0.99693480000000001</v>
      </c>
      <c r="AB2275">
        <v>25</v>
      </c>
      <c r="AC2275">
        <v>-155.36919999999901</v>
      </c>
      <c r="AD2275">
        <v>6.8991550000000004</v>
      </c>
      <c r="AE2275">
        <v>13.213200000000001</v>
      </c>
      <c r="AF2275">
        <v>12.2008076827544</v>
      </c>
      <c r="AG2275">
        <v>6.8991550000000004</v>
      </c>
      <c r="AH2275">
        <v>155.146380519573</v>
      </c>
      <c r="AI2275">
        <v>87.4616363366098</v>
      </c>
      <c r="AJ2275">
        <v>85.503478441382796</v>
      </c>
      <c r="AK2275">
        <v>155.77823158628399</v>
      </c>
      <c r="AL2275">
        <v>78.675006454638194</v>
      </c>
      <c r="AM2275">
        <v>96.8407511616617</v>
      </c>
      <c r="AN2275">
        <v>1.0000000561318201</v>
      </c>
    </row>
    <row r="2276" spans="1:40" x14ac:dyDescent="0.25">
      <c r="A2276" t="str">
        <f>"20190304155101467"</f>
        <v>20190304155101467</v>
      </c>
      <c r="B2276" t="str">
        <f>"1551685861458565"</f>
        <v>1551685861458565</v>
      </c>
      <c r="C2276" t="s">
        <v>40</v>
      </c>
      <c r="D2276">
        <v>5.5609659999999996</v>
      </c>
      <c r="E2276">
        <v>0.57320150000000003</v>
      </c>
      <c r="F2276" t="s">
        <v>76</v>
      </c>
      <c r="G2276">
        <v>-511.82299999999998</v>
      </c>
      <c r="H2276">
        <v>8.5949759999999902</v>
      </c>
      <c r="I2276">
        <v>298.61950000000002</v>
      </c>
      <c r="J2276">
        <v>-356.71140000000003</v>
      </c>
      <c r="K2276">
        <v>1.1103940000000001</v>
      </c>
      <c r="L2276">
        <v>285.46199999999999</v>
      </c>
      <c r="M2276">
        <v>-0.99991819999999998</v>
      </c>
      <c r="N2276">
        <v>-1.1121519999999999E-2</v>
      </c>
      <c r="O2276">
        <v>6.3392850000000001E-3</v>
      </c>
      <c r="P2276">
        <v>-0.97611369999999997</v>
      </c>
      <c r="Q2276">
        <v>0.18753249999999999</v>
      </c>
      <c r="R2276">
        <v>-0.10969959999999999</v>
      </c>
      <c r="S2276">
        <v>-3.0738829999999999</v>
      </c>
      <c r="T2276">
        <v>0.1480794</v>
      </c>
      <c r="U2276">
        <v>0.26034550000000001</v>
      </c>
      <c r="V2276">
        <v>-0.11588420000000001</v>
      </c>
      <c r="W2276">
        <v>0.1983694</v>
      </c>
      <c r="X2276">
        <v>0.97325249999999996</v>
      </c>
      <c r="Y2276">
        <v>7.8017160000000002E-2</v>
      </c>
      <c r="Z2276">
        <v>-1.0649469999999999E-3</v>
      </c>
      <c r="AA2276">
        <v>0.99695149999999999</v>
      </c>
      <c r="AB2276">
        <v>25</v>
      </c>
      <c r="AC2276">
        <v>-155.11160000000001</v>
      </c>
      <c r="AD2276">
        <v>7.4845819999999899</v>
      </c>
      <c r="AE2276">
        <v>13.157500000000001</v>
      </c>
      <c r="AF2276">
        <v>12.145800737327299</v>
      </c>
      <c r="AG2276">
        <v>7.4845819999999899</v>
      </c>
      <c r="AH2276">
        <v>154.83396640964</v>
      </c>
      <c r="AI2276">
        <v>87.240972908048207</v>
      </c>
      <c r="AJ2276">
        <v>85.514673047924205</v>
      </c>
      <c r="AK2276">
        <v>155.48986011122199</v>
      </c>
      <c r="AL2276">
        <v>78.558377814322995</v>
      </c>
      <c r="AM2276">
        <v>96.790182379106497</v>
      </c>
      <c r="AN2276">
        <v>0.99999999771112402</v>
      </c>
    </row>
    <row r="2277" spans="1:40" x14ac:dyDescent="0.25">
      <c r="A2277" t="str">
        <f>"20190304155101488"</f>
        <v>20190304155101488</v>
      </c>
      <c r="B2277" t="str">
        <f>"1551685861479061"</f>
        <v>1551685861479061</v>
      </c>
      <c r="C2277" t="s">
        <v>40</v>
      </c>
      <c r="D2277">
        <v>5.6066820000000002</v>
      </c>
      <c r="E2277">
        <v>0.55057019999999901</v>
      </c>
      <c r="F2277" t="s">
        <v>76</v>
      </c>
      <c r="G2277">
        <v>-511.82319999999999</v>
      </c>
      <c r="H2277">
        <v>9.1299919999999997</v>
      </c>
      <c r="I2277">
        <v>298.62360000000001</v>
      </c>
      <c r="J2277">
        <v>-356.95370000000003</v>
      </c>
      <c r="K2277">
        <v>1.110409</v>
      </c>
      <c r="L2277">
        <v>285.46350000000001</v>
      </c>
      <c r="M2277">
        <v>-0.99991850000000004</v>
      </c>
      <c r="N2277">
        <v>-1.111375E-2</v>
      </c>
      <c r="O2277">
        <v>6.2998849999999999E-3</v>
      </c>
      <c r="P2277">
        <v>-0.97611930000000002</v>
      </c>
      <c r="Q2277">
        <v>0.18808140000000001</v>
      </c>
      <c r="R2277">
        <v>-0.1087048</v>
      </c>
      <c r="S2277">
        <v>-3.072174</v>
      </c>
      <c r="T2277">
        <v>0.15883920000000001</v>
      </c>
      <c r="U2277">
        <v>0.2606812</v>
      </c>
      <c r="V2277">
        <v>-0.1148569</v>
      </c>
      <c r="W2277">
        <v>0.1989078</v>
      </c>
      <c r="X2277">
        <v>0.97326440000000003</v>
      </c>
      <c r="Y2277">
        <v>7.8200190000000003E-2</v>
      </c>
      <c r="Z2277">
        <v>-1.1863049999999999E-3</v>
      </c>
      <c r="AA2277">
        <v>0.99693699999999996</v>
      </c>
      <c r="AB2277">
        <v>25</v>
      </c>
      <c r="AC2277">
        <v>-154.86949999999899</v>
      </c>
      <c r="AD2277">
        <v>8.0195829999999901</v>
      </c>
      <c r="AE2277">
        <v>13.1601</v>
      </c>
      <c r="AF2277">
        <v>12.151767701983699</v>
      </c>
      <c r="AG2277">
        <v>8.0195829999999901</v>
      </c>
      <c r="AH2277">
        <v>154.53792162186099</v>
      </c>
      <c r="AI2277">
        <v>87.038485726992803</v>
      </c>
      <c r="AJ2277">
        <v>85.5039170745587</v>
      </c>
      <c r="AK2277">
        <v>155.222254812193</v>
      </c>
      <c r="AL2277">
        <v>78.526902652878505</v>
      </c>
      <c r="AM2277">
        <v>96.730461323248505</v>
      </c>
      <c r="AN2277">
        <v>1.0000000063429</v>
      </c>
    </row>
    <row r="2278" spans="1:40" x14ac:dyDescent="0.25">
      <c r="A2278" t="str">
        <f>"20190304155101500"</f>
        <v>20190304155101500</v>
      </c>
      <c r="B2278" t="str">
        <f>"1551685861498580"</f>
        <v>1551685861498580</v>
      </c>
      <c r="C2278" t="s">
        <v>40</v>
      </c>
      <c r="D2278">
        <v>5.8115899999999998</v>
      </c>
      <c r="E2278">
        <v>0.55079630000000002</v>
      </c>
      <c r="F2278" t="s">
        <v>53</v>
      </c>
      <c r="G2278">
        <v>0</v>
      </c>
      <c r="H2278">
        <v>0</v>
      </c>
      <c r="I2278">
        <v>0</v>
      </c>
      <c r="J2278">
        <v>-357.0994</v>
      </c>
      <c r="K2278">
        <v>1.1104179999999999</v>
      </c>
      <c r="L2278">
        <v>285.46429999999998</v>
      </c>
      <c r="M2278">
        <v>-0.9999188</v>
      </c>
      <c r="N2278">
        <v>-1.110977E-2</v>
      </c>
      <c r="O2278">
        <v>6.2624569999999999E-3</v>
      </c>
      <c r="P2278">
        <v>-0.97636230000000002</v>
      </c>
      <c r="Q2278">
        <v>0.1869429</v>
      </c>
      <c r="R2278">
        <v>-0.1084846</v>
      </c>
      <c r="S2278">
        <v>-3.0610050000000002</v>
      </c>
      <c r="T2278">
        <v>0.1134536</v>
      </c>
      <c r="U2278">
        <v>8.5235599999999995E-2</v>
      </c>
      <c r="V2278">
        <v>-0.11460679999999999</v>
      </c>
      <c r="W2278">
        <v>0.19776550000000001</v>
      </c>
      <c r="X2278">
        <v>0.97352660000000002</v>
      </c>
      <c r="Y2278">
        <v>2.1570780000000001E-2</v>
      </c>
      <c r="Z2278" s="1">
        <v>2.1857730000000001E-5</v>
      </c>
      <c r="AA2278">
        <v>0.99976730000000003</v>
      </c>
      <c r="AB2278">
        <v>25</v>
      </c>
      <c r="AC2278">
        <v>-3.0610050000000002</v>
      </c>
      <c r="AD2278">
        <v>0.1134536</v>
      </c>
      <c r="AE2278">
        <v>8.5235599999999995E-2</v>
      </c>
      <c r="AF2278">
        <v>6.5972775437841094E-2</v>
      </c>
      <c r="AG2278">
        <v>0.1134536</v>
      </c>
      <c r="AH2278">
        <v>3.0572820905907001</v>
      </c>
      <c r="AI2278">
        <v>87.875263070736295</v>
      </c>
      <c r="AJ2278">
        <v>88.763812126029407</v>
      </c>
      <c r="AK2278">
        <v>3.0600976958094899</v>
      </c>
      <c r="AL2278">
        <v>78.593677843440304</v>
      </c>
      <c r="AM2278">
        <v>96.714147522174002</v>
      </c>
      <c r="AN2278">
        <v>0.99999997625202397</v>
      </c>
    </row>
    <row r="2279" spans="1:40" x14ac:dyDescent="0.25">
      <c r="A2279" t="str">
        <f>"20190304155101514"</f>
        <v>20190304155101514</v>
      </c>
      <c r="B2279" t="str">
        <f>"1551685861509316"</f>
        <v>1551685861509316</v>
      </c>
      <c r="C2279" t="s">
        <v>40</v>
      </c>
      <c r="D2279">
        <v>5.859413</v>
      </c>
      <c r="E2279">
        <v>0.55113129999999999</v>
      </c>
      <c r="F2279" t="s">
        <v>53</v>
      </c>
      <c r="G2279">
        <v>0</v>
      </c>
      <c r="H2279">
        <v>0</v>
      </c>
      <c r="I2279">
        <v>0</v>
      </c>
      <c r="J2279">
        <v>-357.24079999999998</v>
      </c>
      <c r="K2279">
        <v>1.1104270000000001</v>
      </c>
      <c r="L2279">
        <v>285.46519999999998</v>
      </c>
      <c r="M2279">
        <v>-0.99991909999999895</v>
      </c>
      <c r="N2279">
        <v>-1.110619E-2</v>
      </c>
      <c r="O2279">
        <v>6.2204979999999997E-3</v>
      </c>
      <c r="P2279">
        <v>-0.97657609999999995</v>
      </c>
      <c r="Q2279">
        <v>0.1859392</v>
      </c>
      <c r="R2279">
        <v>-0.1082861</v>
      </c>
      <c r="S2279">
        <v>-3.0776370000000002</v>
      </c>
      <c r="T2279">
        <v>2.5951499999999999E-2</v>
      </c>
      <c r="U2279">
        <v>8.9630130000000002E-2</v>
      </c>
      <c r="V2279">
        <v>-0.1143738</v>
      </c>
      <c r="W2279">
        <v>0.19675770000000001</v>
      </c>
      <c r="X2279">
        <v>0.97375820000000002</v>
      </c>
      <c r="Y2279">
        <v>2.289333E-2</v>
      </c>
      <c r="Z2279">
        <v>1.5217170000000001E-4</v>
      </c>
      <c r="AA2279">
        <v>0.99973789999999996</v>
      </c>
      <c r="AB2279">
        <v>25</v>
      </c>
      <c r="AC2279">
        <v>-3.0776370000000002</v>
      </c>
      <c r="AD2279">
        <v>2.5951499999999999E-2</v>
      </c>
      <c r="AE2279">
        <v>8.9630130000000002E-2</v>
      </c>
      <c r="AF2279">
        <v>7.0477775467664497E-2</v>
      </c>
      <c r="AG2279">
        <v>2.5951499999999999E-2</v>
      </c>
      <c r="AH2279">
        <v>3.0779163617548502</v>
      </c>
      <c r="AI2279">
        <v>89.517047771589006</v>
      </c>
      <c r="AJ2279">
        <v>88.688277038144093</v>
      </c>
      <c r="AK2279">
        <v>3.0788325266479402</v>
      </c>
      <c r="AL2279">
        <v>78.652578087164102</v>
      </c>
      <c r="AM2279">
        <v>96.699042449664006</v>
      </c>
      <c r="AN2279">
        <v>0.99999999535148498</v>
      </c>
    </row>
    <row r="2280" spans="1:40" x14ac:dyDescent="0.25">
      <c r="A2280" t="str">
        <f>"20190304155101526"</f>
        <v>20190304155101526</v>
      </c>
      <c r="B2280" t="str">
        <f>"1551685861519075"</f>
        <v>1551685861519075</v>
      </c>
      <c r="C2280" t="s">
        <v>40</v>
      </c>
      <c r="D2280">
        <v>5.4896289999999999</v>
      </c>
      <c r="E2280">
        <v>0.55097569999999996</v>
      </c>
      <c r="F2280" t="s">
        <v>53</v>
      </c>
      <c r="G2280">
        <v>0</v>
      </c>
      <c r="H2280">
        <v>0</v>
      </c>
      <c r="I2280">
        <v>0</v>
      </c>
      <c r="J2280">
        <v>-357.38920000000002</v>
      </c>
      <c r="K2280">
        <v>1.11043799999999</v>
      </c>
      <c r="L2280">
        <v>285.46609999999998</v>
      </c>
      <c r="M2280">
        <v>-0.99991940000000001</v>
      </c>
      <c r="N2280">
        <v>-1.110275E-2</v>
      </c>
      <c r="O2280">
        <v>6.1704189999999999E-3</v>
      </c>
      <c r="P2280">
        <v>-0.9766051</v>
      </c>
      <c r="Q2280">
        <v>0.18612200000000001</v>
      </c>
      <c r="R2280">
        <v>-0.1077082</v>
      </c>
      <c r="S2280">
        <v>-3.0772710000000001</v>
      </c>
      <c r="T2280">
        <v>2.6501420000000001E-2</v>
      </c>
      <c r="U2280">
        <v>9.3475340000000004E-2</v>
      </c>
      <c r="V2280">
        <v>-0.11375250000000001</v>
      </c>
      <c r="W2280">
        <v>0.19693440000000001</v>
      </c>
      <c r="X2280">
        <v>0.97379519999999997</v>
      </c>
      <c r="Y2280">
        <v>2.4194980000000001E-2</v>
      </c>
      <c r="Z2280">
        <v>1.5181109999999999E-4</v>
      </c>
      <c r="AA2280">
        <v>0.99970720000000002</v>
      </c>
      <c r="AB2280">
        <v>25</v>
      </c>
      <c r="AC2280">
        <v>-3.0772710000000001</v>
      </c>
      <c r="AD2280">
        <v>2.6501420000000001E-2</v>
      </c>
      <c r="AE2280">
        <v>9.3475340000000004E-2</v>
      </c>
      <c r="AF2280">
        <v>7.4478821088205305E-2</v>
      </c>
      <c r="AG2280">
        <v>2.6501420000000001E-2</v>
      </c>
      <c r="AH2280">
        <v>3.07756118662514</v>
      </c>
      <c r="AI2280">
        <v>89.506772578073296</v>
      </c>
      <c r="AJ2280">
        <v>88.613678472654001</v>
      </c>
      <c r="AK2280">
        <v>3.0785763393936301</v>
      </c>
      <c r="AL2280">
        <v>78.642251251625098</v>
      </c>
      <c r="AM2280">
        <v>96.662729183177603</v>
      </c>
      <c r="AN2280">
        <v>0.999999940351323</v>
      </c>
    </row>
    <row r="2281" spans="1:40" x14ac:dyDescent="0.25">
      <c r="A2281" t="str">
        <f>"20190304155101540"</f>
        <v>20190304155101540</v>
      </c>
      <c r="B2281" t="str">
        <f>"1551685861528835"</f>
        <v>1551685861528835</v>
      </c>
      <c r="C2281" t="s">
        <v>40</v>
      </c>
      <c r="D2281">
        <v>5.9398929999999996</v>
      </c>
      <c r="E2281">
        <v>0.55096029999999996</v>
      </c>
      <c r="F2281" t="s">
        <v>53</v>
      </c>
      <c r="G2281">
        <v>0</v>
      </c>
      <c r="H2281">
        <v>0</v>
      </c>
      <c r="I2281">
        <v>0</v>
      </c>
      <c r="J2281">
        <v>-357.53070000000002</v>
      </c>
      <c r="K2281">
        <v>1.1104430000000001</v>
      </c>
      <c r="L2281">
        <v>285.46690000000001</v>
      </c>
      <c r="M2281">
        <v>-0.99991989999999997</v>
      </c>
      <c r="N2281">
        <v>-1.1097040000000001E-2</v>
      </c>
      <c r="O2281">
        <v>6.1094510000000001E-3</v>
      </c>
      <c r="P2281">
        <v>-0.97659059999999998</v>
      </c>
      <c r="Q2281">
        <v>0.1864942</v>
      </c>
      <c r="R2281">
        <v>-0.1071971</v>
      </c>
      <c r="S2281">
        <v>-3.0757750000000001</v>
      </c>
      <c r="T2281">
        <v>3.3693910000000001E-2</v>
      </c>
      <c r="U2281">
        <v>9.3811039999999998E-2</v>
      </c>
      <c r="V2281">
        <v>-0.11318689999999999</v>
      </c>
      <c r="W2281">
        <v>0.1972981</v>
      </c>
      <c r="X2281">
        <v>0.97378750000000003</v>
      </c>
      <c r="Y2281">
        <v>2.437974E-2</v>
      </c>
      <c r="Z2281">
        <v>1.3649499999999999E-4</v>
      </c>
      <c r="AA2281">
        <v>0.9997028</v>
      </c>
      <c r="AB2281">
        <v>25</v>
      </c>
      <c r="AC2281">
        <v>-3.0757750000000001</v>
      </c>
      <c r="AD2281">
        <v>3.3693910000000001E-2</v>
      </c>
      <c r="AE2281">
        <v>9.3811039999999998E-2</v>
      </c>
      <c r="AF2281">
        <v>7.5007844985475094E-2</v>
      </c>
      <c r="AG2281">
        <v>3.3693910000000001E-2</v>
      </c>
      <c r="AH2281">
        <v>3.07592198115728</v>
      </c>
      <c r="AI2281">
        <v>89.372588781019303</v>
      </c>
      <c r="AJ2281">
        <v>88.603091556580594</v>
      </c>
      <c r="AK2281">
        <v>3.0770208791210698</v>
      </c>
      <c r="AL2281">
        <v>78.620995912222199</v>
      </c>
      <c r="AM2281">
        <v>96.629948382697293</v>
      </c>
      <c r="AN2281">
        <v>0.99999995487573401</v>
      </c>
    </row>
    <row r="2282" spans="1:40" x14ac:dyDescent="0.25">
      <c r="A2282" t="str">
        <f>"20190304155101555"</f>
        <v>20190304155101555</v>
      </c>
      <c r="B2282" t="str">
        <f>"1551685861548355"</f>
        <v>1551685861548355</v>
      </c>
      <c r="C2282" t="s">
        <v>40</v>
      </c>
      <c r="D2282">
        <v>5.9558770000000001</v>
      </c>
      <c r="E2282">
        <v>0.57206519999999905</v>
      </c>
      <c r="F2282" t="s">
        <v>53</v>
      </c>
      <c r="G2282">
        <v>0</v>
      </c>
      <c r="H2282">
        <v>0</v>
      </c>
      <c r="I2282">
        <v>0</v>
      </c>
      <c r="J2282">
        <v>-357.70030000000003</v>
      </c>
      <c r="K2282">
        <v>1.110449</v>
      </c>
      <c r="L2282">
        <v>285.46789999999999</v>
      </c>
      <c r="M2282">
        <v>-0.99992040000000004</v>
      </c>
      <c r="N2282">
        <v>-1.108701E-2</v>
      </c>
      <c r="O2282">
        <v>6.0283419999999999E-3</v>
      </c>
      <c r="P2282">
        <v>-0.97663750000000005</v>
      </c>
      <c r="Q2282">
        <v>0.18706619999999999</v>
      </c>
      <c r="R2282">
        <v>-0.10576190000000001</v>
      </c>
      <c r="S2282">
        <v>-3.075653</v>
      </c>
      <c r="T2282">
        <v>3.505921E-2</v>
      </c>
      <c r="U2282">
        <v>9.5153810000000005E-2</v>
      </c>
      <c r="V2282">
        <v>-0.11167870000000001</v>
      </c>
      <c r="W2282">
        <v>0.19785810000000001</v>
      </c>
      <c r="X2282">
        <v>0.97384800000000005</v>
      </c>
      <c r="Y2282">
        <v>2.4898050000000001E-2</v>
      </c>
      <c r="Z2282">
        <v>1.3170869999999999E-4</v>
      </c>
      <c r="AA2282">
        <v>0.99968999999999997</v>
      </c>
      <c r="AB2282">
        <v>25</v>
      </c>
      <c r="AC2282">
        <v>-3.075653</v>
      </c>
      <c r="AD2282">
        <v>3.505921E-2</v>
      </c>
      <c r="AE2282">
        <v>9.5153810000000005E-2</v>
      </c>
      <c r="AF2282">
        <v>7.6599910039338803E-2</v>
      </c>
      <c r="AG2282">
        <v>3.505921E-2</v>
      </c>
      <c r="AH2282">
        <v>3.0757714902000899</v>
      </c>
      <c r="AI2282">
        <v>89.347144214691596</v>
      </c>
      <c r="AJ2282">
        <v>88.573384092028803</v>
      </c>
      <c r="AK2282">
        <v>3.0769249185431198</v>
      </c>
      <c r="AL2282">
        <v>78.588264922895505</v>
      </c>
      <c r="AM2282">
        <v>96.541973309451294</v>
      </c>
      <c r="AN2282">
        <v>0.999999943436648</v>
      </c>
    </row>
    <row r="2283" spans="1:40" x14ac:dyDescent="0.25">
      <c r="A2283" t="str">
        <f>"20190304155101566"</f>
        <v>20190304155101566</v>
      </c>
      <c r="B2283" t="str">
        <f>"1551685861559092"</f>
        <v>1551685861559092</v>
      </c>
      <c r="C2283" t="s">
        <v>40</v>
      </c>
      <c r="D2283">
        <v>5.4817859999999996</v>
      </c>
      <c r="E2283">
        <v>0.56994080000000003</v>
      </c>
      <c r="F2283" t="s">
        <v>70</v>
      </c>
      <c r="G2283">
        <v>-382.25170000000003</v>
      </c>
      <c r="H2283" s="1">
        <v>-3.3854029999999999E-7</v>
      </c>
      <c r="I2283">
        <v>287.59190000000001</v>
      </c>
      <c r="J2283">
        <v>-357.83819999999997</v>
      </c>
      <c r="K2283">
        <v>1.1104540000000001</v>
      </c>
      <c r="L2283">
        <v>285.46859999999998</v>
      </c>
      <c r="M2283">
        <v>-0.99992110000000001</v>
      </c>
      <c r="N2283">
        <v>-1.1076310000000001E-2</v>
      </c>
      <c r="O2283">
        <v>5.9556779999999998E-3</v>
      </c>
      <c r="P2283">
        <v>-0.97682219999999997</v>
      </c>
      <c r="Q2283">
        <v>0.18626409999999999</v>
      </c>
      <c r="R2283">
        <v>-0.1054737</v>
      </c>
      <c r="S2283">
        <v>-3.128174</v>
      </c>
      <c r="T2283">
        <v>-0.14148569999999999</v>
      </c>
      <c r="U2283">
        <v>0.27062989999999998</v>
      </c>
      <c r="V2283">
        <v>-0.1113249</v>
      </c>
      <c r="W2283">
        <v>0.1970452</v>
      </c>
      <c r="X2283">
        <v>0.97405339999999996</v>
      </c>
      <c r="Y2283">
        <v>8.0158409999999999E-2</v>
      </c>
      <c r="Z2283">
        <v>2.0506249999999999E-3</v>
      </c>
      <c r="AA2283">
        <v>0.99678</v>
      </c>
      <c r="AB2283">
        <v>25</v>
      </c>
      <c r="AC2283">
        <v>-24.413499999999999</v>
      </c>
      <c r="AD2283">
        <v>-1.1104543385403001</v>
      </c>
      <c r="AE2283">
        <v>2.1233000000000199</v>
      </c>
      <c r="AF2283">
        <v>1.97380154193133</v>
      </c>
      <c r="AG2283">
        <v>-1.1104543385403001</v>
      </c>
      <c r="AH2283">
        <v>24.375661022907501</v>
      </c>
      <c r="AI2283">
        <v>92.599857667613605</v>
      </c>
      <c r="AJ2283">
        <v>85.370616048084003</v>
      </c>
      <c r="AK2283">
        <v>24.480642386763598</v>
      </c>
      <c r="AL2283">
        <v>78.635777091185304</v>
      </c>
      <c r="AM2283">
        <v>96.520063701433102</v>
      </c>
      <c r="AN2283">
        <v>1.0000000351273</v>
      </c>
    </row>
    <row r="2284" spans="1:40" x14ac:dyDescent="0.25">
      <c r="A2284" t="str">
        <f>"20190304155101588"</f>
        <v>20190304155101588</v>
      </c>
      <c r="B2284" t="str">
        <f>"1551685861578612"</f>
        <v>1551685861578612</v>
      </c>
      <c r="C2284" t="s">
        <v>40</v>
      </c>
      <c r="D2284">
        <v>5.4499029999999999</v>
      </c>
      <c r="E2284">
        <v>0.56720959999999998</v>
      </c>
      <c r="F2284" t="s">
        <v>70</v>
      </c>
      <c r="G2284">
        <v>-382.30990000000003</v>
      </c>
      <c r="H2284" s="1">
        <v>-3.0759330000000002E-7</v>
      </c>
      <c r="I2284">
        <v>287.4599</v>
      </c>
      <c r="J2284">
        <v>-358.06939999999997</v>
      </c>
      <c r="K2284">
        <v>1.110449</v>
      </c>
      <c r="L2284">
        <v>285.4699</v>
      </c>
      <c r="M2284">
        <v>-0.99992210000000004</v>
      </c>
      <c r="N2284">
        <v>-1.10539E-2</v>
      </c>
      <c r="O2284">
        <v>5.8178309999999999E-3</v>
      </c>
      <c r="P2284">
        <v>-0.97718850000000002</v>
      </c>
      <c r="Q2284">
        <v>0.1848544</v>
      </c>
      <c r="R2284">
        <v>-0.1045561</v>
      </c>
      <c r="S2284">
        <v>-3.1256710000000001</v>
      </c>
      <c r="T2284">
        <v>-0.14183389999999901</v>
      </c>
      <c r="U2284">
        <v>0.25433349999999999</v>
      </c>
      <c r="V2284">
        <v>-0.1102804</v>
      </c>
      <c r="W2284">
        <v>0.19561490000000001</v>
      </c>
      <c r="X2284">
        <v>0.9744604</v>
      </c>
      <c r="Y2284">
        <v>7.5208490000000003E-2</v>
      </c>
      <c r="Z2284">
        <v>1.9200969999999999E-3</v>
      </c>
      <c r="AA2284">
        <v>0.997166</v>
      </c>
      <c r="AB2284">
        <v>25</v>
      </c>
      <c r="AC2284">
        <v>-24.240500000000001</v>
      </c>
      <c r="AD2284">
        <v>-1.1104493075933</v>
      </c>
      <c r="AE2284">
        <v>1.99</v>
      </c>
      <c r="AF2284">
        <v>1.84508454807135</v>
      </c>
      <c r="AG2284">
        <v>-1.1104493075933</v>
      </c>
      <c r="AH2284">
        <v>24.201220995002199</v>
      </c>
      <c r="AI2284">
        <v>92.619526816596803</v>
      </c>
      <c r="AJ2284">
        <v>85.640242809213206</v>
      </c>
      <c r="AK2284">
        <v>24.2968420232589</v>
      </c>
      <c r="AL2284">
        <v>78.719353583502397</v>
      </c>
      <c r="AM2284">
        <v>96.456733894932796</v>
      </c>
      <c r="AN2284">
        <v>1.0000000134471601</v>
      </c>
    </row>
    <row r="2285" spans="1:40" x14ac:dyDescent="0.25">
      <c r="A2285" t="str">
        <f>"20190304155101601"</f>
        <v>20190304155101601</v>
      </c>
      <c r="B2285" t="str">
        <f>"1551685861599108"</f>
        <v>1551685861599108</v>
      </c>
      <c r="C2285" t="s">
        <v>40</v>
      </c>
      <c r="D2285">
        <v>5.4047769999999904</v>
      </c>
      <c r="E2285">
        <v>0.56463569999999996</v>
      </c>
      <c r="F2285" t="s">
        <v>70</v>
      </c>
      <c r="G2285">
        <v>-396.39510000000001</v>
      </c>
      <c r="H2285" s="1">
        <v>1.866339E-6</v>
      </c>
      <c r="I2285">
        <v>288.35539999999997</v>
      </c>
      <c r="J2285">
        <v>-358.21949999999998</v>
      </c>
      <c r="K2285">
        <v>1.1104529999999999</v>
      </c>
      <c r="L2285">
        <v>285.47059999999999</v>
      </c>
      <c r="M2285">
        <v>-0.9999228</v>
      </c>
      <c r="N2285">
        <v>-1.103705E-2</v>
      </c>
      <c r="O2285">
        <v>5.7209940000000001E-3</v>
      </c>
      <c r="P2285">
        <v>-0.97735890000000003</v>
      </c>
      <c r="Q2285">
        <v>0.1841719</v>
      </c>
      <c r="R2285">
        <v>-0.1041665</v>
      </c>
      <c r="S2285">
        <v>-3.112152</v>
      </c>
      <c r="T2285">
        <v>-9.0171580000000001E-2</v>
      </c>
      <c r="U2285">
        <v>0.23431399999999999</v>
      </c>
      <c r="V2285">
        <v>-0.1097996</v>
      </c>
      <c r="W2285">
        <v>0.1949167</v>
      </c>
      <c r="X2285">
        <v>0.97465460000000004</v>
      </c>
      <c r="Y2285">
        <v>6.9332000000000005E-2</v>
      </c>
      <c r="Z2285">
        <v>1.2836270000000001E-3</v>
      </c>
      <c r="AA2285">
        <v>0.99759279999999995</v>
      </c>
      <c r="AB2285">
        <v>25</v>
      </c>
      <c r="AC2285">
        <v>-38.175600000000003</v>
      </c>
      <c r="AD2285">
        <v>-1.1104511336609999</v>
      </c>
      <c r="AE2285">
        <v>2.8847999999999798</v>
      </c>
      <c r="AF2285">
        <v>2.6640957976205302</v>
      </c>
      <c r="AG2285">
        <v>-1.1104511336609999</v>
      </c>
      <c r="AH2285">
        <v>38.159376374656702</v>
      </c>
      <c r="AI2285">
        <v>91.662811543042395</v>
      </c>
      <c r="AJ2285">
        <v>86.006376818744897</v>
      </c>
      <c r="AK2285">
        <v>38.268374847148301</v>
      </c>
      <c r="AL2285">
        <v>78.760142868896395</v>
      </c>
      <c r="AM2285">
        <v>96.427549816099798</v>
      </c>
      <c r="AN2285">
        <v>1.0000000307001</v>
      </c>
    </row>
    <row r="2286" spans="1:40" x14ac:dyDescent="0.25">
      <c r="A2286" t="str">
        <f>"20190304155101621"</f>
        <v>20190304155101621</v>
      </c>
      <c r="B2286" t="str">
        <f>"1551685861618630"</f>
        <v>1551685861618630</v>
      </c>
      <c r="C2286" t="s">
        <v>40</v>
      </c>
      <c r="D2286">
        <v>6.2276680000000004</v>
      </c>
      <c r="E2286">
        <v>0.56389860000000003</v>
      </c>
      <c r="F2286" t="s">
        <v>70</v>
      </c>
      <c r="G2286">
        <v>-399.71949999999998</v>
      </c>
      <c r="H2286" s="1">
        <v>3.635416E-6</v>
      </c>
      <c r="I2286">
        <v>288.34539999999998</v>
      </c>
      <c r="J2286">
        <v>-358.43979999999999</v>
      </c>
      <c r="K2286">
        <v>1.1104579999999999</v>
      </c>
      <c r="L2286">
        <v>285.47179999999997</v>
      </c>
      <c r="M2286">
        <v>-0.99992389999999998</v>
      </c>
      <c r="N2286">
        <v>-1.101106E-2</v>
      </c>
      <c r="O2286">
        <v>5.5746719999999897E-3</v>
      </c>
      <c r="P2286">
        <v>-0.97744120000000001</v>
      </c>
      <c r="Q2286">
        <v>0.18407580000000001</v>
      </c>
      <c r="R2286">
        <v>-0.1035618</v>
      </c>
      <c r="S2286">
        <v>-3.1081240000000001</v>
      </c>
      <c r="T2286">
        <v>-8.3166599999999993E-2</v>
      </c>
      <c r="U2286">
        <v>0.21530150000000001</v>
      </c>
      <c r="V2286">
        <v>-0.1090559</v>
      </c>
      <c r="W2286">
        <v>0.1947951</v>
      </c>
      <c r="X2286">
        <v>0.97476240000000003</v>
      </c>
      <c r="Y2286">
        <v>6.3510919999999998E-2</v>
      </c>
      <c r="Z2286">
        <v>1.1110720000000001E-3</v>
      </c>
      <c r="AA2286">
        <v>0.99798050000000005</v>
      </c>
      <c r="AB2286">
        <v>25</v>
      </c>
      <c r="AC2286">
        <v>-41.279699999999899</v>
      </c>
      <c r="AD2286">
        <v>-1.1104543645839999</v>
      </c>
      <c r="AE2286">
        <v>2.8736000000000099</v>
      </c>
      <c r="AF2286">
        <v>2.6415183027356099</v>
      </c>
      <c r="AG2286">
        <v>-1.1104543645839999</v>
      </c>
      <c r="AH2286">
        <v>41.265361186656698</v>
      </c>
      <c r="AI2286">
        <v>91.538315259592096</v>
      </c>
      <c r="AJ2286">
        <v>86.337324364754295</v>
      </c>
      <c r="AK2286">
        <v>41.364728473721897</v>
      </c>
      <c r="AL2286">
        <v>78.767246166442604</v>
      </c>
      <c r="AM2286">
        <v>96.383674877431304</v>
      </c>
      <c r="AN2286">
        <v>1.00000002838128</v>
      </c>
    </row>
    <row r="2287" spans="1:40" x14ac:dyDescent="0.25">
      <c r="A2287" t="str">
        <f>"20190304155101645"</f>
        <v>20190304155101645</v>
      </c>
      <c r="B2287" t="str">
        <f>"1551685861639125"</f>
        <v>1551685861639125</v>
      </c>
      <c r="C2287" t="s">
        <v>40</v>
      </c>
      <c r="D2287">
        <v>5.5359959999999999</v>
      </c>
      <c r="E2287">
        <v>0.56298890000000001</v>
      </c>
      <c r="F2287" t="s">
        <v>72</v>
      </c>
      <c r="G2287">
        <v>-404.58440000000002</v>
      </c>
      <c r="H2287" s="1">
        <v>5.5431399999999998E-6</v>
      </c>
      <c r="I2287">
        <v>288.61450000000002</v>
      </c>
      <c r="J2287">
        <v>-358.70429999999999</v>
      </c>
      <c r="K2287">
        <v>1.1104579999999999</v>
      </c>
      <c r="L2287">
        <v>285.47309999999999</v>
      </c>
      <c r="M2287">
        <v>-0.99992530000000002</v>
      </c>
      <c r="N2287">
        <v>-1.0975749999999999E-2</v>
      </c>
      <c r="O2287">
        <v>5.3937509999999996E-3</v>
      </c>
      <c r="P2287">
        <v>-0.97747689999999998</v>
      </c>
      <c r="Q2287">
        <v>0.1845387</v>
      </c>
      <c r="R2287">
        <v>-0.1023956</v>
      </c>
      <c r="S2287">
        <v>-3.1057130000000002</v>
      </c>
      <c r="T2287">
        <v>-7.4737910000000005E-2</v>
      </c>
      <c r="U2287">
        <v>0.21151729999999999</v>
      </c>
      <c r="V2287">
        <v>-0.1077148</v>
      </c>
      <c r="W2287">
        <v>0.19522349999999999</v>
      </c>
      <c r="X2287">
        <v>0.97482579999999996</v>
      </c>
      <c r="Y2287">
        <v>6.2540079999999998E-2</v>
      </c>
      <c r="Z2287">
        <v>1.0247240000000001E-3</v>
      </c>
      <c r="AA2287">
        <v>0.99804190000000004</v>
      </c>
      <c r="AB2287">
        <v>25</v>
      </c>
      <c r="AC2287">
        <v>-45.880099999999999</v>
      </c>
      <c r="AD2287">
        <v>-1.11045245686</v>
      </c>
      <c r="AE2287">
        <v>3.1414000000000302</v>
      </c>
      <c r="AF2287">
        <v>2.8921872318360902</v>
      </c>
      <c r="AG2287">
        <v>-1.11045245686</v>
      </c>
      <c r="AH2287">
        <v>45.869632317556501</v>
      </c>
      <c r="AI2287">
        <v>91.384048406139101</v>
      </c>
      <c r="AJ2287">
        <v>86.392143623845499</v>
      </c>
      <c r="AK2287">
        <v>45.974134256022303</v>
      </c>
      <c r="AL2287">
        <v>78.742220058132105</v>
      </c>
      <c r="AM2287">
        <v>96.305401962266998</v>
      </c>
      <c r="AN2287">
        <v>1.0000000167184599</v>
      </c>
    </row>
    <row r="2288" spans="1:40" x14ac:dyDescent="0.25">
      <c r="A2288" t="str">
        <f>"20190304155101667"</f>
        <v>20190304155101667</v>
      </c>
      <c r="B2288" t="str">
        <f>"1551685861658645"</f>
        <v>1551685861658645</v>
      </c>
      <c r="C2288" t="s">
        <v>40</v>
      </c>
      <c r="D2288">
        <v>5.1938979999999999</v>
      </c>
      <c r="E2288">
        <v>0.56196859999999904</v>
      </c>
      <c r="F2288" t="s">
        <v>72</v>
      </c>
      <c r="G2288">
        <v>-410.47989999999999</v>
      </c>
      <c r="H2288" s="1">
        <v>1.9145480000000001E-6</v>
      </c>
      <c r="I2288">
        <v>288.92110000000002</v>
      </c>
      <c r="J2288">
        <v>-358.95330000000001</v>
      </c>
      <c r="K2288">
        <v>1.1104560000000001</v>
      </c>
      <c r="L2288">
        <v>285.4742</v>
      </c>
      <c r="M2288">
        <v>-0.9999266</v>
      </c>
      <c r="N2288">
        <v>-1.0934279999999999E-2</v>
      </c>
      <c r="O2288">
        <v>5.2226190000000004E-3</v>
      </c>
      <c r="P2288">
        <v>-0.97739359999999997</v>
      </c>
      <c r="Q2288">
        <v>0.1854431</v>
      </c>
      <c r="R2288">
        <v>-0.1015523</v>
      </c>
      <c r="S2288">
        <v>-3.1033330000000001</v>
      </c>
      <c r="T2288">
        <v>-6.6558720000000002E-2</v>
      </c>
      <c r="U2288">
        <v>0.20666499999999999</v>
      </c>
      <c r="V2288">
        <v>-0.1067041</v>
      </c>
      <c r="W2288">
        <v>0.19608729999999999</v>
      </c>
      <c r="X2288">
        <v>0.97476359999999995</v>
      </c>
      <c r="Y2288">
        <v>6.121418E-2</v>
      </c>
      <c r="Z2288">
        <v>9.3592230000000005E-4</v>
      </c>
      <c r="AA2288">
        <v>0.99812420000000002</v>
      </c>
      <c r="AB2288">
        <v>25</v>
      </c>
      <c r="AC2288">
        <v>-51.526599999999902</v>
      </c>
      <c r="AD2288">
        <v>-1.110454085452</v>
      </c>
      <c r="AE2288">
        <v>3.4469000000000198</v>
      </c>
      <c r="AF2288">
        <v>3.1762644612056001</v>
      </c>
      <c r="AG2288">
        <v>-1.110454085452</v>
      </c>
      <c r="AH2288">
        <v>51.5200782620797</v>
      </c>
      <c r="AI2288">
        <v>91.232412120995406</v>
      </c>
      <c r="AJ2288">
        <v>86.472122885987403</v>
      </c>
      <c r="AK2288">
        <v>51.6298385464668</v>
      </c>
      <c r="AL2288">
        <v>78.691752772771395</v>
      </c>
      <c r="AM2288">
        <v>96.247103038920798</v>
      </c>
      <c r="AN2288">
        <v>1.0000000350315199</v>
      </c>
    </row>
    <row r="2289" spans="1:40" x14ac:dyDescent="0.25">
      <c r="A2289" t="str">
        <f>"20190304155101688"</f>
        <v>20190304155101688</v>
      </c>
      <c r="B2289" t="str">
        <f>"1551685861679140"</f>
        <v>1551685861679140</v>
      </c>
      <c r="C2289" t="s">
        <v>40</v>
      </c>
      <c r="D2289">
        <v>5.2609750000000002</v>
      </c>
      <c r="E2289">
        <v>0.56114169999999997</v>
      </c>
      <c r="F2289" t="s">
        <v>72</v>
      </c>
      <c r="G2289">
        <v>-404.9742</v>
      </c>
      <c r="H2289" s="1">
        <v>5.4023869999999996E-6</v>
      </c>
      <c r="I2289">
        <v>288.45909999999998</v>
      </c>
      <c r="J2289">
        <v>-359.1927</v>
      </c>
      <c r="K2289">
        <v>1.1104430000000001</v>
      </c>
      <c r="L2289">
        <v>285.4753</v>
      </c>
      <c r="M2289">
        <v>-0.99992800000000004</v>
      </c>
      <c r="N2289">
        <v>-1.0885540000000001E-2</v>
      </c>
      <c r="O2289">
        <v>5.0606569999999997E-3</v>
      </c>
      <c r="P2289">
        <v>-0.97744319999999896</v>
      </c>
      <c r="Q2289">
        <v>0.18512989999999999</v>
      </c>
      <c r="R2289">
        <v>-0.10164620000000001</v>
      </c>
      <c r="S2289">
        <v>-3.104492</v>
      </c>
      <c r="T2289">
        <v>-7.4909210000000004E-2</v>
      </c>
      <c r="U2289">
        <v>0.20135500000000001</v>
      </c>
      <c r="V2289">
        <v>-0.10663980000000001</v>
      </c>
      <c r="W2289">
        <v>0.19572719999999999</v>
      </c>
      <c r="X2289">
        <v>0.97484300000000002</v>
      </c>
      <c r="Y2289">
        <v>5.9647400000000003E-2</v>
      </c>
      <c r="Z2289">
        <v>9.7690199999999998E-4</v>
      </c>
      <c r="AA2289">
        <v>0.99821899999999997</v>
      </c>
      <c r="AB2289">
        <v>25</v>
      </c>
      <c r="AC2289">
        <v>-45.781500000000001</v>
      </c>
      <c r="AD2289">
        <v>-1.1104375976129901</v>
      </c>
      <c r="AE2289">
        <v>2.9837999999999698</v>
      </c>
      <c r="AF2289">
        <v>2.7504523217932699</v>
      </c>
      <c r="AG2289">
        <v>-1.1104375976129901</v>
      </c>
      <c r="AH2289">
        <v>45.769201858868399</v>
      </c>
      <c r="AI2289">
        <v>91.387317290170202</v>
      </c>
      <c r="AJ2289">
        <v>86.561005796604704</v>
      </c>
      <c r="AK2289">
        <v>45.865214470560304</v>
      </c>
      <c r="AL2289">
        <v>78.712792618114804</v>
      </c>
      <c r="AM2289">
        <v>96.242863765111693</v>
      </c>
      <c r="AN2289">
        <v>1.0000000292064299</v>
      </c>
    </row>
    <row r="2290" spans="1:40" x14ac:dyDescent="0.25">
      <c r="A2290" t="str">
        <f>"20190304155101701"</f>
        <v>20190304155101701</v>
      </c>
      <c r="B2290" t="str">
        <f>"1551685861698659"</f>
        <v>1551685861698659</v>
      </c>
      <c r="C2290" t="s">
        <v>40</v>
      </c>
      <c r="D2290">
        <v>4.8691649999999997</v>
      </c>
      <c r="E2290">
        <v>0.52975969999999994</v>
      </c>
      <c r="F2290" t="s">
        <v>72</v>
      </c>
      <c r="G2290">
        <v>-407.56470000000002</v>
      </c>
      <c r="H2290" s="1">
        <v>4.2449949999999997E-6</v>
      </c>
      <c r="I2290">
        <v>288.50060000000002</v>
      </c>
      <c r="J2290">
        <v>-359.34019999999998</v>
      </c>
      <c r="K2290">
        <v>1.11043</v>
      </c>
      <c r="L2290">
        <v>285.476</v>
      </c>
      <c r="M2290">
        <v>-0.99992890000000001</v>
      </c>
      <c r="N2290">
        <v>-1.0854549999999999E-2</v>
      </c>
      <c r="O2290">
        <v>4.9624919999999998E-3</v>
      </c>
      <c r="P2290">
        <v>-0.97754390000000002</v>
      </c>
      <c r="Q2290">
        <v>0.18450639999999999</v>
      </c>
      <c r="R2290">
        <v>-0.10181080000000001</v>
      </c>
      <c r="S2290">
        <v>-3.1029360000000001</v>
      </c>
      <c r="T2290">
        <v>-7.1231719999999998E-2</v>
      </c>
      <c r="U2290">
        <v>0.19406129999999999</v>
      </c>
      <c r="V2290">
        <v>-0.106708399999999</v>
      </c>
      <c r="W2290">
        <v>0.19507479999999999</v>
      </c>
      <c r="X2290">
        <v>0.97496620000000001</v>
      </c>
      <c r="Y2290">
        <v>5.7443500000000002E-2</v>
      </c>
      <c r="Z2290">
        <v>9.1077270000000004E-4</v>
      </c>
      <c r="AA2290">
        <v>0.99834840000000002</v>
      </c>
      <c r="AB2290">
        <v>25</v>
      </c>
      <c r="AC2290">
        <v>-48.224499999999999</v>
      </c>
      <c r="AD2290">
        <v>-1.1104257550049901</v>
      </c>
      <c r="AE2290">
        <v>3.0246000000000199</v>
      </c>
      <c r="AF2290">
        <v>2.7837648064315599</v>
      </c>
      <c r="AG2290">
        <v>-1.1104257550049901</v>
      </c>
      <c r="AH2290">
        <v>48.213453728574699</v>
      </c>
      <c r="AI2290">
        <v>91.317178687212703</v>
      </c>
      <c r="AJ2290">
        <v>86.695505598346898</v>
      </c>
      <c r="AK2290">
        <v>48.306516250836403</v>
      </c>
      <c r="AL2290">
        <v>78.750906490802507</v>
      </c>
      <c r="AM2290">
        <v>96.246064845515406</v>
      </c>
      <c r="AN2290">
        <v>0.99999997568401899</v>
      </c>
    </row>
    <row r="2291" spans="1:40" x14ac:dyDescent="0.25">
      <c r="A2291" t="str">
        <f>"20190304155101715"</f>
        <v>20190304155101715</v>
      </c>
      <c r="B2291" t="str">
        <f>"1551685861708420"</f>
        <v>1551685861708420</v>
      </c>
      <c r="C2291" t="s">
        <v>40</v>
      </c>
      <c r="D2291">
        <v>4.8487589999999896</v>
      </c>
      <c r="E2291">
        <v>0.53028390000000003</v>
      </c>
      <c r="F2291" t="s">
        <v>53</v>
      </c>
      <c r="G2291">
        <v>0</v>
      </c>
      <c r="H2291">
        <v>0</v>
      </c>
      <c r="I2291">
        <v>0</v>
      </c>
      <c r="J2291">
        <v>-359.48660000000001</v>
      </c>
      <c r="K2291">
        <v>1.1104210000000001</v>
      </c>
      <c r="L2291">
        <v>285.47660000000002</v>
      </c>
      <c r="M2291">
        <v>-0.99992959999999997</v>
      </c>
      <c r="N2291">
        <v>-1.082492E-2</v>
      </c>
      <c r="O2291">
        <v>4.8664620000000002E-3</v>
      </c>
      <c r="P2291">
        <v>-0.97758290000000003</v>
      </c>
      <c r="Q2291">
        <v>0.18432090000000001</v>
      </c>
      <c r="R2291">
        <v>-0.10177219999999999</v>
      </c>
      <c r="S2291">
        <v>-3.0391240000000002</v>
      </c>
      <c r="T2291">
        <v>0.1247592</v>
      </c>
      <c r="U2291">
        <v>-6.0089110000000001E-2</v>
      </c>
      <c r="V2291">
        <v>-0.1065763</v>
      </c>
      <c r="W2291">
        <v>0.19486110000000001</v>
      </c>
      <c r="X2291">
        <v>0.97502339999999998</v>
      </c>
      <c r="Y2291">
        <v>-2.461176E-2</v>
      </c>
      <c r="Z2291">
        <v>6.2395739999999999E-4</v>
      </c>
      <c r="AA2291">
        <v>0.9996969</v>
      </c>
      <c r="AB2291">
        <v>25</v>
      </c>
      <c r="AC2291">
        <v>-3.0391240000000002</v>
      </c>
      <c r="AD2291">
        <v>0.1247592</v>
      </c>
      <c r="AE2291">
        <v>-6.0089110000000001E-2</v>
      </c>
      <c r="AF2291">
        <v>-7.4753122126813606E-2</v>
      </c>
      <c r="AG2291">
        <v>0.1247592</v>
      </c>
      <c r="AH2291">
        <v>3.0336852383463602</v>
      </c>
      <c r="AI2291">
        <v>87.645772741031095</v>
      </c>
      <c r="AJ2291">
        <v>91.411541252222804</v>
      </c>
      <c r="AK2291">
        <v>3.0371695725811798</v>
      </c>
      <c r="AL2291">
        <v>78.763390366072699</v>
      </c>
      <c r="AM2291">
        <v>96.238030421839397</v>
      </c>
      <c r="AN2291">
        <v>0.99999999328122902</v>
      </c>
    </row>
    <row r="2292" spans="1:40" x14ac:dyDescent="0.25">
      <c r="A2292" t="str">
        <f>"20190304155101726"</f>
        <v>20190304155101726</v>
      </c>
      <c r="B2292" t="str">
        <f>"1551685861719156"</f>
        <v>1551685861719156</v>
      </c>
      <c r="C2292" t="s">
        <v>40</v>
      </c>
      <c r="D2292">
        <v>5.0692680000000001</v>
      </c>
      <c r="E2292">
        <v>0.52887139999999999</v>
      </c>
      <c r="F2292" t="s">
        <v>53</v>
      </c>
      <c r="G2292">
        <v>0</v>
      </c>
      <c r="H2292">
        <v>0</v>
      </c>
      <c r="I2292">
        <v>0</v>
      </c>
      <c r="J2292">
        <v>-359.62599999999998</v>
      </c>
      <c r="K2292">
        <v>1.1104160000000001</v>
      </c>
      <c r="L2292">
        <v>285.47719999999998</v>
      </c>
      <c r="M2292">
        <v>-0.9999304</v>
      </c>
      <c r="N2292">
        <v>-1.079755E-2</v>
      </c>
      <c r="O2292">
        <v>4.7756029999999998E-3</v>
      </c>
      <c r="P2292">
        <v>-0.97755130000000001</v>
      </c>
      <c r="Q2292">
        <v>0.18424070000000001</v>
      </c>
      <c r="R2292">
        <v>-0.1022209</v>
      </c>
      <c r="S2292">
        <v>-3.0364070000000001</v>
      </c>
      <c r="T2292">
        <v>0.14074229999999999</v>
      </c>
      <c r="U2292">
        <v>-5.6182860000000001E-2</v>
      </c>
      <c r="V2292">
        <v>-0.10693610000000001</v>
      </c>
      <c r="W2292">
        <v>0.19475400000000001</v>
      </c>
      <c r="X2292">
        <v>0.97500540000000002</v>
      </c>
      <c r="Y2292">
        <v>-2.3247830000000001E-2</v>
      </c>
      <c r="Z2292">
        <v>6.8562429999999904E-4</v>
      </c>
      <c r="AA2292">
        <v>0.99972950000000005</v>
      </c>
      <c r="AB2292">
        <v>25</v>
      </c>
      <c r="AC2292">
        <v>-3.0364070000000001</v>
      </c>
      <c r="AD2292">
        <v>0.14074229999999999</v>
      </c>
      <c r="AE2292">
        <v>-5.6182860000000001E-2</v>
      </c>
      <c r="AF2292">
        <v>-7.0532252991864899E-2</v>
      </c>
      <c r="AG2292">
        <v>0.14074229999999999</v>
      </c>
      <c r="AH2292">
        <v>3.0295972768188402</v>
      </c>
      <c r="AI2292">
        <v>87.340911761979996</v>
      </c>
      <c r="AJ2292">
        <v>91.333665884650301</v>
      </c>
      <c r="AK2292">
        <v>3.0336846990795698</v>
      </c>
      <c r="AL2292">
        <v>78.769646567172998</v>
      </c>
      <c r="AM2292">
        <v>96.259037691215994</v>
      </c>
      <c r="AN2292">
        <v>0.99999999001418505</v>
      </c>
    </row>
    <row r="2293" spans="1:40" x14ac:dyDescent="0.25">
      <c r="A2293" t="str">
        <f>"20190304155101745"</f>
        <v>20190304155101745</v>
      </c>
      <c r="B2293" t="str">
        <f>"1551685861738679"</f>
        <v>1551685861738679</v>
      </c>
      <c r="C2293" t="s">
        <v>40</v>
      </c>
      <c r="D2293">
        <v>5.0255850000000004</v>
      </c>
      <c r="E2293">
        <v>0.52821719999999905</v>
      </c>
      <c r="F2293" t="s">
        <v>53</v>
      </c>
      <c r="G2293">
        <v>0</v>
      </c>
      <c r="H2293">
        <v>0</v>
      </c>
      <c r="I2293">
        <v>0</v>
      </c>
      <c r="J2293">
        <v>-359.82159999999999</v>
      </c>
      <c r="K2293">
        <v>1.1104149999999999</v>
      </c>
      <c r="L2293">
        <v>285.47809999999998</v>
      </c>
      <c r="M2293">
        <v>-0.99993129999999997</v>
      </c>
      <c r="N2293">
        <v>-1.0758459999999999E-2</v>
      </c>
      <c r="O2293">
        <v>4.6503610000000004E-3</v>
      </c>
      <c r="P2293">
        <v>-0.97730890000000004</v>
      </c>
      <c r="Q2293">
        <v>0.18544749999999999</v>
      </c>
      <c r="R2293">
        <v>-0.102356</v>
      </c>
      <c r="S2293">
        <v>-3.0372309999999998</v>
      </c>
      <c r="T2293">
        <v>0.1298935</v>
      </c>
      <c r="U2293">
        <v>-6.8481449999999999E-2</v>
      </c>
      <c r="V2293">
        <v>-0.1069475</v>
      </c>
      <c r="W2293">
        <v>0.19591980000000001</v>
      </c>
      <c r="X2293">
        <v>0.97477049999999998</v>
      </c>
      <c r="Y2293">
        <v>-2.7165580000000002E-2</v>
      </c>
      <c r="Z2293">
        <v>6.8311990000000003E-4</v>
      </c>
      <c r="AA2293">
        <v>0.99963069999999998</v>
      </c>
      <c r="AB2293">
        <v>25</v>
      </c>
      <c r="AC2293">
        <v>-3.0372309999999998</v>
      </c>
      <c r="AD2293">
        <v>0.1298935</v>
      </c>
      <c r="AE2293">
        <v>-6.8481449999999999E-2</v>
      </c>
      <c r="AF2293">
        <v>-8.2455012172359496E-2</v>
      </c>
      <c r="AG2293">
        <v>0.1298935</v>
      </c>
      <c r="AH2293">
        <v>3.03133810258156</v>
      </c>
      <c r="AI2293">
        <v>87.547270430460003</v>
      </c>
      <c r="AJ2293">
        <v>91.558110444647298</v>
      </c>
      <c r="AK2293">
        <v>3.0352399975187101</v>
      </c>
      <c r="AL2293">
        <v>78.701538467210995</v>
      </c>
      <c r="AM2293">
        <v>96.261196125911695</v>
      </c>
      <c r="AN2293">
        <v>0.99999993172926704</v>
      </c>
    </row>
    <row r="2294" spans="1:40" x14ac:dyDescent="0.25">
      <c r="A2294" t="str">
        <f>"20190304155101766"</f>
        <v>20190304155101766</v>
      </c>
      <c r="B2294" t="str">
        <f>"1551685861759172"</f>
        <v>1551685861759172</v>
      </c>
      <c r="C2294" t="s">
        <v>40</v>
      </c>
      <c r="D2294">
        <v>5.0404470000000003</v>
      </c>
      <c r="E2294">
        <v>0.52668959999999998</v>
      </c>
      <c r="F2294" t="s">
        <v>53</v>
      </c>
      <c r="G2294">
        <v>0</v>
      </c>
      <c r="H2294">
        <v>0</v>
      </c>
      <c r="I2294">
        <v>0</v>
      </c>
      <c r="J2294">
        <v>-360.06979999999999</v>
      </c>
      <c r="K2294">
        <v>1.1104160000000001</v>
      </c>
      <c r="L2294">
        <v>285.47910000000002</v>
      </c>
      <c r="M2294">
        <v>-0.99993259999999995</v>
      </c>
      <c r="N2294">
        <v>-1.0703499999999999E-2</v>
      </c>
      <c r="O2294">
        <v>4.4929039999999998E-3</v>
      </c>
      <c r="P2294">
        <v>-0.97690730000000003</v>
      </c>
      <c r="Q2294">
        <v>0.18757499999999999</v>
      </c>
      <c r="R2294">
        <v>-0.102314</v>
      </c>
      <c r="S2294">
        <v>-3.0384829999999998</v>
      </c>
      <c r="T2294">
        <v>0.1228852</v>
      </c>
      <c r="U2294">
        <v>-7.4615479999999998E-2</v>
      </c>
      <c r="V2294">
        <v>-0.1067502</v>
      </c>
      <c r="W2294">
        <v>0.1979899</v>
      </c>
      <c r="X2294">
        <v>0.97437379999999996</v>
      </c>
      <c r="Y2294">
        <v>-2.9017689999999999E-2</v>
      </c>
      <c r="Z2294">
        <v>6.6074820000000002E-4</v>
      </c>
      <c r="AA2294">
        <v>0.99957870000000004</v>
      </c>
      <c r="AB2294">
        <v>25</v>
      </c>
      <c r="AC2294">
        <v>-3.0384829999999998</v>
      </c>
      <c r="AD2294">
        <v>0.1228852</v>
      </c>
      <c r="AE2294">
        <v>-7.4615479999999998E-2</v>
      </c>
      <c r="AF2294">
        <v>-8.8123071572793199E-2</v>
      </c>
      <c r="AG2294">
        <v>0.1228852</v>
      </c>
      <c r="AH2294">
        <v>3.0331589280523601</v>
      </c>
      <c r="AI2294">
        <v>87.680968825085799</v>
      </c>
      <c r="AJ2294">
        <v>91.664159475679597</v>
      </c>
      <c r="AK2294">
        <v>3.0369260002420502</v>
      </c>
      <c r="AL2294">
        <v>78.580561054782905</v>
      </c>
      <c r="AM2294">
        <v>96.252261097361099</v>
      </c>
      <c r="AN2294">
        <v>0.99999995391424301</v>
      </c>
    </row>
    <row r="2295" spans="1:40" x14ac:dyDescent="0.25">
      <c r="A2295" t="str">
        <f>"20190304155101789"</f>
        <v>20190304155101789</v>
      </c>
      <c r="B2295" t="str">
        <f>"1551685861778692"</f>
        <v>1551685861778692</v>
      </c>
      <c r="C2295" t="s">
        <v>40</v>
      </c>
      <c r="D2295">
        <v>5.0629390000000001</v>
      </c>
      <c r="E2295">
        <v>0.52687919999999999</v>
      </c>
      <c r="F2295" t="s">
        <v>53</v>
      </c>
      <c r="G2295">
        <v>0</v>
      </c>
      <c r="H2295">
        <v>0</v>
      </c>
      <c r="I2295">
        <v>0</v>
      </c>
      <c r="J2295">
        <v>-360.31830000000002</v>
      </c>
      <c r="K2295">
        <v>1.1104050000000001</v>
      </c>
      <c r="L2295">
        <v>285.48</v>
      </c>
      <c r="M2295">
        <v>-0.99993390000000004</v>
      </c>
      <c r="N2295">
        <v>-1.064618E-2</v>
      </c>
      <c r="O2295">
        <v>4.3358199999999998E-3</v>
      </c>
      <c r="P2295">
        <v>-0.97704820000000003</v>
      </c>
      <c r="Q2295">
        <v>0.186865</v>
      </c>
      <c r="R2295">
        <v>-0.10226590000000001</v>
      </c>
      <c r="S2295">
        <v>-3.038818</v>
      </c>
      <c r="T2295">
        <v>0.1201397</v>
      </c>
      <c r="U2295">
        <v>-8.627319E-2</v>
      </c>
      <c r="V2295">
        <v>-0.10654859999999999</v>
      </c>
      <c r="W2295">
        <v>0.19722609999999999</v>
      </c>
      <c r="X2295">
        <v>0.97455080000000005</v>
      </c>
      <c r="Y2295">
        <v>-3.2688910000000002E-2</v>
      </c>
      <c r="Z2295">
        <v>6.8914649999999905E-4</v>
      </c>
      <c r="AA2295">
        <v>0.9994653</v>
      </c>
      <c r="AB2295">
        <v>25</v>
      </c>
      <c r="AC2295">
        <v>-3.038818</v>
      </c>
      <c r="AD2295">
        <v>0.1201397</v>
      </c>
      <c r="AE2295">
        <v>-8.627319E-2</v>
      </c>
      <c r="AF2295">
        <v>-9.9293820990024997E-2</v>
      </c>
      <c r="AG2295">
        <v>0.1201397</v>
      </c>
      <c r="AH2295">
        <v>3.0336774757886902</v>
      </c>
      <c r="AI2295">
        <v>87.733370036859498</v>
      </c>
      <c r="AJ2295">
        <v>91.874651035463202</v>
      </c>
      <c r="AK2295">
        <v>3.0376786922764798</v>
      </c>
      <c r="AL2295">
        <v>78.625204414840894</v>
      </c>
      <c r="AM2295">
        <v>96.239422338193194</v>
      </c>
      <c r="AN2295">
        <v>1.0000000002319001</v>
      </c>
    </row>
    <row r="2296" spans="1:40" x14ac:dyDescent="0.25">
      <c r="A2296" t="str">
        <f>"20190304155101811"</f>
        <v>20190304155101811</v>
      </c>
      <c r="B2296" t="str">
        <f>"1551685861808626"</f>
        <v>1551685861808626</v>
      </c>
      <c r="C2296" t="s">
        <v>40</v>
      </c>
      <c r="D2296">
        <v>5.0480809999999998</v>
      </c>
      <c r="E2296">
        <v>0.52600630000000004</v>
      </c>
      <c r="F2296" t="s">
        <v>53</v>
      </c>
      <c r="G2296">
        <v>0</v>
      </c>
      <c r="H2296">
        <v>0</v>
      </c>
      <c r="I2296">
        <v>0</v>
      </c>
      <c r="J2296">
        <v>-360.57299999999998</v>
      </c>
      <c r="K2296">
        <v>1.110385</v>
      </c>
      <c r="L2296">
        <v>285.48099999999999</v>
      </c>
      <c r="M2296">
        <v>-0.99993529999999997</v>
      </c>
      <c r="N2296">
        <v>-1.0591980000000001E-2</v>
      </c>
      <c r="O2296">
        <v>4.1747829999999996E-3</v>
      </c>
      <c r="P2296">
        <v>-0.97772219999999999</v>
      </c>
      <c r="Q2296">
        <v>0.18396019999999999</v>
      </c>
      <c r="R2296">
        <v>-0.10108640000000001</v>
      </c>
      <c r="S2296">
        <v>-3.040222</v>
      </c>
      <c r="T2296">
        <v>0.1117803</v>
      </c>
      <c r="U2296">
        <v>-8.4533689999999995E-2</v>
      </c>
      <c r="V2296">
        <v>-0.1052138</v>
      </c>
      <c r="W2296">
        <v>0.19427639999999999</v>
      </c>
      <c r="X2296">
        <v>0.97528800000000004</v>
      </c>
      <c r="Y2296">
        <v>-3.1947499999999997E-2</v>
      </c>
      <c r="Z2296">
        <v>6.1533309999999995E-4</v>
      </c>
      <c r="AA2296">
        <v>0.99948939999999997</v>
      </c>
      <c r="AB2296">
        <v>25</v>
      </c>
      <c r="AC2296">
        <v>-3.040222</v>
      </c>
      <c r="AD2296">
        <v>0.1117803</v>
      </c>
      <c r="AE2296">
        <v>-8.4533689999999995E-2</v>
      </c>
      <c r="AF2296">
        <v>-9.7094777402132598E-2</v>
      </c>
      <c r="AG2296">
        <v>0.1117803</v>
      </c>
      <c r="AH2296">
        <v>3.0357419570083399</v>
      </c>
      <c r="AI2296">
        <v>87.8923180798445</v>
      </c>
      <c r="AJ2296">
        <v>91.831916294364106</v>
      </c>
      <c r="AK2296">
        <v>3.0393504998284899</v>
      </c>
      <c r="AL2296">
        <v>78.797543693014504</v>
      </c>
      <c r="AM2296">
        <v>96.157240486551899</v>
      </c>
      <c r="AN2296">
        <v>0.99999997312569899</v>
      </c>
    </row>
    <row r="2297" spans="1:40" x14ac:dyDescent="0.25">
      <c r="A2297" t="str">
        <f>"20190304155101834"</f>
        <v>20190304155101834</v>
      </c>
      <c r="B2297" t="str">
        <f>"1551685861829122"</f>
        <v>1551685861829122</v>
      </c>
      <c r="C2297" t="s">
        <v>40</v>
      </c>
      <c r="D2297">
        <v>5.0654760000000003</v>
      </c>
      <c r="E2297">
        <v>0.52530069999999995</v>
      </c>
      <c r="F2297" t="s">
        <v>75</v>
      </c>
      <c r="G2297">
        <v>-540.98090000000002</v>
      </c>
      <c r="H2297">
        <v>5.5733300000000003</v>
      </c>
      <c r="I2297">
        <v>280.31369999999998</v>
      </c>
      <c r="J2297">
        <v>-360.82810000000001</v>
      </c>
      <c r="K2297">
        <v>1.1103700000000001</v>
      </c>
      <c r="L2297">
        <v>285.48180000000002</v>
      </c>
      <c r="M2297">
        <v>-0.99993650000000001</v>
      </c>
      <c r="N2297">
        <v>-1.054221E-2</v>
      </c>
      <c r="O2297">
        <v>4.013895E-3</v>
      </c>
      <c r="P2297">
        <v>-0.97807940000000004</v>
      </c>
      <c r="Q2297">
        <v>0.1824114</v>
      </c>
      <c r="R2297">
        <v>-0.10043290000000001</v>
      </c>
      <c r="S2297">
        <v>-3.045166</v>
      </c>
      <c r="T2297">
        <v>7.5332880000000005E-2</v>
      </c>
      <c r="U2297">
        <v>-8.7219240000000003E-2</v>
      </c>
      <c r="V2297">
        <v>-0.1044036</v>
      </c>
      <c r="W2297">
        <v>0.19268350000000001</v>
      </c>
      <c r="X2297">
        <v>0.97569099999999997</v>
      </c>
      <c r="Y2297">
        <v>-3.2634150000000001E-2</v>
      </c>
      <c r="Z2297">
        <v>3.730041E-4</v>
      </c>
      <c r="AA2297">
        <v>0.99946729999999995</v>
      </c>
      <c r="AB2297">
        <v>25</v>
      </c>
      <c r="AC2297">
        <v>-180.15280000000001</v>
      </c>
      <c r="AD2297">
        <v>4.4629599999999998</v>
      </c>
      <c r="AE2297">
        <v>-5.1681000000000301</v>
      </c>
      <c r="AF2297">
        <v>-5.8876025645887502</v>
      </c>
      <c r="AG2297">
        <v>4.4629599999999998</v>
      </c>
      <c r="AH2297">
        <v>180.02021366833</v>
      </c>
      <c r="AI2297">
        <v>88.580604727275698</v>
      </c>
      <c r="AJ2297">
        <v>91.873203980590404</v>
      </c>
      <c r="AK2297">
        <v>180.17174918702199</v>
      </c>
      <c r="AL2297">
        <v>78.890568053907799</v>
      </c>
      <c r="AM2297">
        <v>96.107681954841397</v>
      </c>
      <c r="AN2297">
        <v>0.99999998517310495</v>
      </c>
    </row>
    <row r="2298" spans="1:40" x14ac:dyDescent="0.25">
      <c r="A2298" t="str">
        <f>"20190304155101857"</f>
        <v>20190304155101857</v>
      </c>
      <c r="B2298" t="str">
        <f>"1551685861848641"</f>
        <v>1551685861848641</v>
      </c>
      <c r="C2298" t="s">
        <v>40</v>
      </c>
      <c r="D2298">
        <v>5.1627999999999998</v>
      </c>
      <c r="E2298">
        <v>0.52511249999999998</v>
      </c>
      <c r="F2298" t="s">
        <v>53</v>
      </c>
      <c r="G2298">
        <v>0</v>
      </c>
      <c r="H2298">
        <v>0</v>
      </c>
      <c r="I2298">
        <v>0</v>
      </c>
      <c r="J2298">
        <v>-361.089</v>
      </c>
      <c r="K2298">
        <v>1.1103620000000001</v>
      </c>
      <c r="L2298">
        <v>285.48270000000002</v>
      </c>
      <c r="M2298">
        <v>-0.99993759999999998</v>
      </c>
      <c r="N2298">
        <v>-1.04907E-2</v>
      </c>
      <c r="O2298">
        <v>3.8487830000000002E-3</v>
      </c>
      <c r="P2298">
        <v>-0.97824699999999998</v>
      </c>
      <c r="Q2298">
        <v>0.18147070000000001</v>
      </c>
      <c r="R2298">
        <v>-0.100506</v>
      </c>
      <c r="S2298">
        <v>-3.046967</v>
      </c>
      <c r="T2298">
        <v>5.8693290000000002E-2</v>
      </c>
      <c r="U2298">
        <v>-9.0759279999999998E-2</v>
      </c>
      <c r="V2298">
        <v>-0.1043153</v>
      </c>
      <c r="W2298">
        <v>0.1916947</v>
      </c>
      <c r="X2298">
        <v>0.97589519999999996</v>
      </c>
      <c r="Y2298">
        <v>-3.3616100000000003E-2</v>
      </c>
      <c r="Z2298">
        <v>2.6176820000000002E-4</v>
      </c>
      <c r="AA2298">
        <v>0.99943479999999996</v>
      </c>
      <c r="AB2298">
        <v>25</v>
      </c>
      <c r="AC2298">
        <v>-3.046967</v>
      </c>
      <c r="AD2298">
        <v>5.8693290000000002E-2</v>
      </c>
      <c r="AE2298">
        <v>-9.0759279999999998E-2</v>
      </c>
      <c r="AF2298">
        <v>-0.102448386883985</v>
      </c>
      <c r="AG2298">
        <v>5.8693290000000002E-2</v>
      </c>
      <c r="AH2298">
        <v>3.04546605610992</v>
      </c>
      <c r="AI2298">
        <v>88.896536345276502</v>
      </c>
      <c r="AJ2298">
        <v>91.926682950745402</v>
      </c>
      <c r="AK2298">
        <v>3.0477539390810202</v>
      </c>
      <c r="AL2298">
        <v>78.948298398066001</v>
      </c>
      <c r="AM2298">
        <v>96.101288049687298</v>
      </c>
      <c r="AN2298">
        <v>0.99999999060260902</v>
      </c>
    </row>
    <row r="2299" spans="1:40" x14ac:dyDescent="0.25">
      <c r="A2299" t="str">
        <f>"20190304155101879"</f>
        <v>20190304155101879</v>
      </c>
      <c r="B2299" t="str">
        <f>"1551685861869138"</f>
        <v>1551685861869138</v>
      </c>
      <c r="C2299" t="s">
        <v>40</v>
      </c>
      <c r="D2299">
        <v>5.0469369999999998</v>
      </c>
      <c r="E2299">
        <v>0.52479259999999905</v>
      </c>
      <c r="F2299" t="s">
        <v>53</v>
      </c>
      <c r="G2299">
        <v>0</v>
      </c>
      <c r="H2299">
        <v>0</v>
      </c>
      <c r="I2299">
        <v>0</v>
      </c>
      <c r="J2299">
        <v>-361.34030000000001</v>
      </c>
      <c r="K2299">
        <v>1.1103499999999999</v>
      </c>
      <c r="L2299">
        <v>285.48349999999999</v>
      </c>
      <c r="M2299">
        <v>-0.99993869999999896</v>
      </c>
      <c r="N2299">
        <v>-1.0442440000000001E-2</v>
      </c>
      <c r="O2299">
        <v>3.689725E-3</v>
      </c>
      <c r="P2299">
        <v>-0.97824789999999995</v>
      </c>
      <c r="Q2299">
        <v>0.1815068</v>
      </c>
      <c r="R2299">
        <v>-0.10043150000000001</v>
      </c>
      <c r="S2299">
        <v>-3.0482480000000001</v>
      </c>
      <c r="T2299">
        <v>4.8796180000000001E-2</v>
      </c>
      <c r="U2299">
        <v>-9.1491699999999995E-2</v>
      </c>
      <c r="V2299">
        <v>-0.1040852</v>
      </c>
      <c r="W2299">
        <v>0.1916844</v>
      </c>
      <c r="X2299">
        <v>0.97592179999999995</v>
      </c>
      <c r="Y2299">
        <v>-3.3686279999999999E-2</v>
      </c>
      <c r="Z2299">
        <v>1.911804E-4</v>
      </c>
      <c r="AA2299">
        <v>0.9994324</v>
      </c>
      <c r="AB2299">
        <v>25</v>
      </c>
      <c r="AC2299">
        <v>-3.0482480000000001</v>
      </c>
      <c r="AD2299">
        <v>4.8796180000000001E-2</v>
      </c>
      <c r="AE2299">
        <v>-9.1491699999999995E-2</v>
      </c>
      <c r="AF2299">
        <v>-0.10271259007035199</v>
      </c>
      <c r="AG2299">
        <v>4.8796180000000001E-2</v>
      </c>
      <c r="AH2299">
        <v>3.0471095186016401</v>
      </c>
      <c r="AI2299">
        <v>89.0830688576808</v>
      </c>
      <c r="AJ2299">
        <v>91.930606847903107</v>
      </c>
      <c r="AK2299">
        <v>3.0492306179910802</v>
      </c>
      <c r="AL2299">
        <v>78.948899788014899</v>
      </c>
      <c r="AM2299">
        <v>96.087766241580994</v>
      </c>
      <c r="AN2299">
        <v>0.99999999888881996</v>
      </c>
    </row>
    <row r="2300" spans="1:40" x14ac:dyDescent="0.25">
      <c r="A2300" t="str">
        <f>"20190304155101900"</f>
        <v>20190304155101900</v>
      </c>
      <c r="B2300" t="str">
        <f>"1551685861888661"</f>
        <v>1551685861888661</v>
      </c>
      <c r="C2300" t="s">
        <v>40</v>
      </c>
      <c r="D2300">
        <v>5.0587359999999997</v>
      </c>
      <c r="E2300">
        <v>0.52508900000000003</v>
      </c>
      <c r="F2300" t="s">
        <v>53</v>
      </c>
      <c r="G2300">
        <v>0</v>
      </c>
      <c r="H2300">
        <v>0</v>
      </c>
      <c r="I2300">
        <v>0</v>
      </c>
      <c r="J2300">
        <v>-361.58</v>
      </c>
      <c r="K2300">
        <v>1.110347</v>
      </c>
      <c r="L2300">
        <v>285.48419999999999</v>
      </c>
      <c r="M2300">
        <v>-0.99993969999999999</v>
      </c>
      <c r="N2300">
        <v>-1.040073E-2</v>
      </c>
      <c r="O2300">
        <v>3.5374859999999998E-3</v>
      </c>
      <c r="P2300">
        <v>-0.9782883</v>
      </c>
      <c r="Q2300">
        <v>0.18136569999999999</v>
      </c>
      <c r="R2300">
        <v>-0.1002928</v>
      </c>
      <c r="S2300">
        <v>-3.0486149999999999</v>
      </c>
      <c r="T2300">
        <v>4.5659070000000003E-2</v>
      </c>
      <c r="U2300">
        <v>-9.375E-2</v>
      </c>
      <c r="V2300">
        <v>-0.1037976</v>
      </c>
      <c r="W2300">
        <v>0.1915028</v>
      </c>
      <c r="X2300">
        <v>0.97598810000000003</v>
      </c>
      <c r="Y2300">
        <v>-3.427065E-2</v>
      </c>
      <c r="Z2300">
        <v>1.6803750000000001E-4</v>
      </c>
      <c r="AA2300">
        <v>0.99941259999999998</v>
      </c>
      <c r="AB2300">
        <v>25</v>
      </c>
      <c r="AC2300">
        <v>-3.0486149999999999</v>
      </c>
      <c r="AD2300">
        <v>4.5659070000000003E-2</v>
      </c>
      <c r="AE2300">
        <v>-9.375E-2</v>
      </c>
      <c r="AF2300">
        <v>-0.10451100835016899</v>
      </c>
      <c r="AG2300">
        <v>4.5659070000000003E-2</v>
      </c>
      <c r="AH2300">
        <v>3.0475813081294998</v>
      </c>
      <c r="AI2300">
        <v>89.142159154759995</v>
      </c>
      <c r="AJ2300">
        <v>91.964080165889499</v>
      </c>
      <c r="AK2300">
        <v>3.0497145983189902</v>
      </c>
      <c r="AL2300">
        <v>78.959501308734801</v>
      </c>
      <c r="AM2300">
        <v>96.070661468926801</v>
      </c>
      <c r="AN2300">
        <v>1.0000000177576001</v>
      </c>
    </row>
    <row r="2301" spans="1:40" x14ac:dyDescent="0.25">
      <c r="A2301" t="str">
        <f>"20190304155101923"</f>
        <v>20190304155101923</v>
      </c>
      <c r="B2301" t="str">
        <f>"1551685861919187"</f>
        <v>1551685861919187</v>
      </c>
      <c r="C2301" t="s">
        <v>40</v>
      </c>
      <c r="D2301">
        <v>5.048915</v>
      </c>
      <c r="E2301">
        <v>0.52479430000000005</v>
      </c>
      <c r="F2301" t="s">
        <v>53</v>
      </c>
      <c r="G2301">
        <v>0</v>
      </c>
      <c r="H2301">
        <v>0</v>
      </c>
      <c r="I2301">
        <v>0</v>
      </c>
      <c r="J2301">
        <v>-361.83510000000001</v>
      </c>
      <c r="K2301">
        <v>1.1103430000000001</v>
      </c>
      <c r="L2301">
        <v>285.48489999999998</v>
      </c>
      <c r="M2301">
        <v>-0.99994070000000002</v>
      </c>
      <c r="N2301">
        <v>-1.036162E-2</v>
      </c>
      <c r="O2301">
        <v>3.3754549999999999E-3</v>
      </c>
      <c r="P2301">
        <v>-0.97819829999999997</v>
      </c>
      <c r="Q2301">
        <v>0.1817202</v>
      </c>
      <c r="R2301">
        <v>-0.1005292</v>
      </c>
      <c r="S2301">
        <v>-3.0494080000000001</v>
      </c>
      <c r="T2301">
        <v>4.2268510000000002E-2</v>
      </c>
      <c r="U2301">
        <v>-9.1064450000000005E-2</v>
      </c>
      <c r="V2301">
        <v>-0.1038753</v>
      </c>
      <c r="W2301">
        <v>0.19181870000000001</v>
      </c>
      <c r="X2301">
        <v>0.97591779999999995</v>
      </c>
      <c r="Y2301">
        <v>-3.3221859999999999E-2</v>
      </c>
      <c r="Z2301">
        <v>1.39765E-4</v>
      </c>
      <c r="AA2301">
        <v>0.999448</v>
      </c>
      <c r="AB2301">
        <v>25</v>
      </c>
      <c r="AC2301">
        <v>-3.0494080000000001</v>
      </c>
      <c r="AD2301">
        <v>4.2268510000000002E-2</v>
      </c>
      <c r="AE2301">
        <v>-9.1064450000000005E-2</v>
      </c>
      <c r="AF2301">
        <v>-0.101338169318128</v>
      </c>
      <c r="AG2301">
        <v>4.2268510000000002E-2</v>
      </c>
      <c r="AH2301">
        <v>3.0484980293109798</v>
      </c>
      <c r="AI2301">
        <v>89.2060630161685</v>
      </c>
      <c r="AJ2301">
        <v>91.903925169811501</v>
      </c>
      <c r="AK2301">
        <v>3.0504747640672698</v>
      </c>
      <c r="AL2301">
        <v>78.941059734735603</v>
      </c>
      <c r="AM2301">
        <v>96.075606176562005</v>
      </c>
      <c r="AN2301">
        <v>1.0000000219883001</v>
      </c>
    </row>
    <row r="2302" spans="1:40" x14ac:dyDescent="0.25">
      <c r="A2302" t="str">
        <f>"20190304155101945"</f>
        <v>20190304155101945</v>
      </c>
      <c r="B2302" t="str">
        <f>"1551685861938710"</f>
        <v>1551685861938710</v>
      </c>
      <c r="C2302" t="s">
        <v>40</v>
      </c>
      <c r="D2302">
        <v>5.085426</v>
      </c>
      <c r="E2302">
        <v>0.52451320000000001</v>
      </c>
      <c r="F2302" t="s">
        <v>53</v>
      </c>
      <c r="G2302">
        <v>0</v>
      </c>
      <c r="H2302">
        <v>0</v>
      </c>
      <c r="I2302">
        <v>0</v>
      </c>
      <c r="J2302">
        <v>-362.09710000000001</v>
      </c>
      <c r="K2302">
        <v>1.1103430000000001</v>
      </c>
      <c r="L2302">
        <v>285.4855</v>
      </c>
      <c r="M2302">
        <v>-0.99994159999999999</v>
      </c>
      <c r="N2302">
        <v>-1.032609E-2</v>
      </c>
      <c r="O2302">
        <v>3.208696E-3</v>
      </c>
      <c r="P2302">
        <v>-0.97817100000000001</v>
      </c>
      <c r="Q2302">
        <v>0.1816033</v>
      </c>
      <c r="R2302">
        <v>-0.1010046</v>
      </c>
      <c r="S2302">
        <v>-3.0503849999999999</v>
      </c>
      <c r="T2302">
        <v>3.6605600000000002E-2</v>
      </c>
      <c r="U2302">
        <v>-9.3841549999999996E-2</v>
      </c>
      <c r="V2302">
        <v>-0.1041875</v>
      </c>
      <c r="W2302">
        <v>0.19166710000000001</v>
      </c>
      <c r="X2302">
        <v>0.97591430000000001</v>
      </c>
      <c r="Y2302">
        <v>-3.3955350000000002E-2</v>
      </c>
      <c r="Z2302" s="1">
        <v>9.9941130000000006E-5</v>
      </c>
      <c r="AA2302">
        <v>0.99942330000000001</v>
      </c>
      <c r="AB2302">
        <v>25</v>
      </c>
      <c r="AC2302">
        <v>-3.0503849999999999</v>
      </c>
      <c r="AD2302">
        <v>3.6605600000000002E-2</v>
      </c>
      <c r="AE2302">
        <v>-9.3841549999999996E-2</v>
      </c>
      <c r="AF2302">
        <v>-0.10361443908578399</v>
      </c>
      <c r="AG2302">
        <v>3.6605600000000002E-2</v>
      </c>
      <c r="AH2302">
        <v>3.0496294153685799</v>
      </c>
      <c r="AI2302">
        <v>89.312691464335998</v>
      </c>
      <c r="AJ2302">
        <v>91.945937178018795</v>
      </c>
      <c r="AK2302">
        <v>3.0516086729821299</v>
      </c>
      <c r="AL2302">
        <v>78.949909929918405</v>
      </c>
      <c r="AM2302">
        <v>96.093751076507303</v>
      </c>
      <c r="AN2302">
        <v>1.0000000166615699</v>
      </c>
    </row>
    <row r="2303" spans="1:40" x14ac:dyDescent="0.25">
      <c r="A2303" t="str">
        <f>"20190304155101967"</f>
        <v>20190304155101967</v>
      </c>
      <c r="B2303" t="str">
        <f>"1551685861959202"</f>
        <v>1551685861959202</v>
      </c>
      <c r="C2303" t="s">
        <v>40</v>
      </c>
      <c r="D2303">
        <v>5.1176089999999999</v>
      </c>
      <c r="E2303">
        <v>0.52424329999999997</v>
      </c>
      <c r="F2303" t="s">
        <v>53</v>
      </c>
      <c r="G2303">
        <v>0</v>
      </c>
      <c r="H2303">
        <v>0</v>
      </c>
      <c r="I2303">
        <v>0</v>
      </c>
      <c r="J2303">
        <v>-362.351</v>
      </c>
      <c r="K2303">
        <v>1.110347</v>
      </c>
      <c r="L2303">
        <v>285.4862</v>
      </c>
      <c r="M2303">
        <v>-0.99994240000000001</v>
      </c>
      <c r="N2303">
        <v>-1.029566E-2</v>
      </c>
      <c r="O2303">
        <v>3.047274E-3</v>
      </c>
      <c r="P2303">
        <v>-0.97797520000000004</v>
      </c>
      <c r="Q2303">
        <v>0.1821931</v>
      </c>
      <c r="R2303">
        <v>-0.1018329</v>
      </c>
      <c r="S2303">
        <v>-3.0509949999999999</v>
      </c>
      <c r="T2303">
        <v>3.1804440000000003E-2</v>
      </c>
      <c r="U2303">
        <v>-9.732056E-2</v>
      </c>
      <c r="V2303">
        <v>-0.10485800000000001</v>
      </c>
      <c r="W2303">
        <v>0.1922249</v>
      </c>
      <c r="X2303">
        <v>0.97573270000000001</v>
      </c>
      <c r="Y2303">
        <v>-3.4926819999999997E-2</v>
      </c>
      <c r="Z2303" s="1">
        <v>6.5266149999999897E-5</v>
      </c>
      <c r="AA2303">
        <v>0.99938990000000005</v>
      </c>
      <c r="AB2303">
        <v>25</v>
      </c>
      <c r="AC2303">
        <v>-3.0509949999999999</v>
      </c>
      <c r="AD2303">
        <v>3.1804440000000003E-2</v>
      </c>
      <c r="AE2303">
        <v>-9.732056E-2</v>
      </c>
      <c r="AF2303">
        <v>-0.106606245544074</v>
      </c>
      <c r="AG2303">
        <v>3.1804440000000003E-2</v>
      </c>
      <c r="AH2303">
        <v>3.0503531229019698</v>
      </c>
      <c r="AI2303">
        <v>89.402992917276407</v>
      </c>
      <c r="AJ2303">
        <v>92.001605278862499</v>
      </c>
      <c r="AK2303">
        <v>3.0523811341951599</v>
      </c>
      <c r="AL2303">
        <v>78.917344143222607</v>
      </c>
      <c r="AM2303">
        <v>96.133802287604198</v>
      </c>
      <c r="AN2303">
        <v>0.99999995709664902</v>
      </c>
    </row>
    <row r="2304" spans="1:40" x14ac:dyDescent="0.25">
      <c r="A2304" t="str">
        <f>"20190304155101989"</f>
        <v>20190304155101989</v>
      </c>
      <c r="B2304" t="str">
        <f>"1551685861978722"</f>
        <v>1551685861978722</v>
      </c>
      <c r="C2304" t="s">
        <v>40</v>
      </c>
      <c r="D2304">
        <v>5.0780529999999997</v>
      </c>
      <c r="E2304">
        <v>0.52399649999999998</v>
      </c>
      <c r="F2304" t="s">
        <v>75</v>
      </c>
      <c r="G2304">
        <v>-551.06290000000001</v>
      </c>
      <c r="H2304">
        <v>2.9772949999999998</v>
      </c>
      <c r="I2304">
        <v>279.18599999999998</v>
      </c>
      <c r="J2304">
        <v>-362.5967</v>
      </c>
      <c r="K2304">
        <v>1.1103510000000001</v>
      </c>
      <c r="L2304">
        <v>285.48680000000002</v>
      </c>
      <c r="M2304">
        <v>-0.99994320000000003</v>
      </c>
      <c r="N2304">
        <v>-1.026992E-2</v>
      </c>
      <c r="O2304">
        <v>2.8937009999999998E-3</v>
      </c>
      <c r="P2304">
        <v>-0.97762939999999998</v>
      </c>
      <c r="Q2304">
        <v>0.1835927</v>
      </c>
      <c r="R2304">
        <v>-0.1026369</v>
      </c>
      <c r="S2304">
        <v>-3.0512700000000001</v>
      </c>
      <c r="T2304">
        <v>3.0187849999999999E-2</v>
      </c>
      <c r="U2304">
        <v>-0.10186770000000001</v>
      </c>
      <c r="V2304">
        <v>-0.1055106</v>
      </c>
      <c r="W2304">
        <v>0.1935962</v>
      </c>
      <c r="X2304">
        <v>0.97539120000000001</v>
      </c>
      <c r="Y2304">
        <v>-3.6258329999999998E-2</v>
      </c>
      <c r="Z2304" s="1">
        <v>5.1394889999999997E-5</v>
      </c>
      <c r="AA2304">
        <v>0.99934239999999996</v>
      </c>
      <c r="AB2304">
        <v>25</v>
      </c>
      <c r="AC2304">
        <v>-188.46619999999999</v>
      </c>
      <c r="AD2304">
        <v>1.8669439999999999</v>
      </c>
      <c r="AE2304">
        <v>-6.3008000000000299</v>
      </c>
      <c r="AF2304">
        <v>-6.8454961544431097</v>
      </c>
      <c r="AG2304">
        <v>1.8669439999999999</v>
      </c>
      <c r="AH2304">
        <v>188.42870766015801</v>
      </c>
      <c r="AI2304">
        <v>89.432708527574306</v>
      </c>
      <c r="AJ2304">
        <v>92.080604526230204</v>
      </c>
      <c r="AK2304">
        <v>188.56225541708201</v>
      </c>
      <c r="AL2304">
        <v>78.837270658289199</v>
      </c>
      <c r="AM2304">
        <v>96.173827372687299</v>
      </c>
      <c r="AN2304">
        <v>0.999999984202119</v>
      </c>
    </row>
    <row r="2305" spans="1:40" x14ac:dyDescent="0.25">
      <c r="A2305" t="str">
        <f>"20190304155102012"</f>
        <v>20190304155102012</v>
      </c>
      <c r="B2305" t="str">
        <f>"1551685862008510"</f>
        <v>1551685862008510</v>
      </c>
      <c r="C2305" t="s">
        <v>40</v>
      </c>
      <c r="D2305">
        <v>5.0996769999999998</v>
      </c>
      <c r="E2305">
        <v>0.5235938</v>
      </c>
      <c r="F2305" t="s">
        <v>75</v>
      </c>
      <c r="G2305">
        <v>-551.06290000000001</v>
      </c>
      <c r="H2305">
        <v>3.034421</v>
      </c>
      <c r="I2305">
        <v>278.91079999999999</v>
      </c>
      <c r="J2305">
        <v>-362.85469999999998</v>
      </c>
      <c r="K2305">
        <v>1.110358</v>
      </c>
      <c r="L2305">
        <v>285.4873</v>
      </c>
      <c r="M2305">
        <v>-0.99994380000000005</v>
      </c>
      <c r="N2305">
        <v>-1.0246720000000001E-2</v>
      </c>
      <c r="O2305">
        <v>2.7356569999999998E-3</v>
      </c>
      <c r="P2305">
        <v>-0.97730269999999997</v>
      </c>
      <c r="Q2305">
        <v>0.18456020000000001</v>
      </c>
      <c r="R2305">
        <v>-0.10400470000000001</v>
      </c>
      <c r="S2305">
        <v>-3.0515750000000001</v>
      </c>
      <c r="T2305">
        <v>3.115511E-2</v>
      </c>
      <c r="U2305">
        <v>-0.1064758</v>
      </c>
      <c r="V2305">
        <v>-0.10672230000000001</v>
      </c>
      <c r="W2305">
        <v>0.19453790000000001</v>
      </c>
      <c r="X2305">
        <v>0.97507200000000005</v>
      </c>
      <c r="Y2305">
        <v>-3.7604319999999997E-2</v>
      </c>
      <c r="Z2305" s="1">
        <v>5.5116340000000002E-5</v>
      </c>
      <c r="AA2305">
        <v>0.99929270000000003</v>
      </c>
      <c r="AB2305">
        <v>26</v>
      </c>
      <c r="AC2305">
        <v>-188.20820000000001</v>
      </c>
      <c r="AD2305">
        <v>1.9240630000000001</v>
      </c>
      <c r="AE2305">
        <v>-6.5765000000000002</v>
      </c>
      <c r="AF2305">
        <v>-7.09063533425162</v>
      </c>
      <c r="AG2305">
        <v>1.9240630000000001</v>
      </c>
      <c r="AH2305">
        <v>188.16986185975</v>
      </c>
      <c r="AI2305">
        <v>89.414578560237999</v>
      </c>
      <c r="AJ2305">
        <v>92.158004200911193</v>
      </c>
      <c r="AK2305">
        <v>188.31323915271801</v>
      </c>
      <c r="AL2305">
        <v>78.782270011330596</v>
      </c>
      <c r="AM2305">
        <v>96.246199577727594</v>
      </c>
      <c r="AN2305">
        <v>1.0000000245188401</v>
      </c>
    </row>
    <row r="2306" spans="1:40" x14ac:dyDescent="0.25">
      <c r="A2306" t="str">
        <f>"20190304155102035"</f>
        <v>20190304155102035</v>
      </c>
      <c r="B2306" t="str">
        <f>"1551685862029009"</f>
        <v>1551685862029009</v>
      </c>
      <c r="C2306" t="s">
        <v>40</v>
      </c>
      <c r="D2306">
        <v>5.0887419999999999</v>
      </c>
      <c r="E2306">
        <v>0.5231401</v>
      </c>
      <c r="F2306" t="s">
        <v>75</v>
      </c>
      <c r="G2306">
        <v>-551.06290000000001</v>
      </c>
      <c r="H2306">
        <v>3.0024299999999999</v>
      </c>
      <c r="I2306">
        <v>278.42380000000003</v>
      </c>
      <c r="J2306">
        <v>-363.11779999999999</v>
      </c>
      <c r="K2306">
        <v>1.1103529999999999</v>
      </c>
      <c r="L2306">
        <v>285.48790000000002</v>
      </c>
      <c r="M2306">
        <v>-0.99994439999999996</v>
      </c>
      <c r="N2306">
        <v>-1.0226509999999999E-2</v>
      </c>
      <c r="O2306">
        <v>2.581917E-3</v>
      </c>
      <c r="P2306">
        <v>-0.97692670000000004</v>
      </c>
      <c r="Q2306">
        <v>0.18598419999999999</v>
      </c>
      <c r="R2306">
        <v>-0.1049958</v>
      </c>
      <c r="S2306">
        <v>-3.0517270000000001</v>
      </c>
      <c r="T2306">
        <v>3.0680539999999999E-2</v>
      </c>
      <c r="U2306">
        <v>-0.1145325</v>
      </c>
      <c r="V2306">
        <v>-0.107560199999999</v>
      </c>
      <c r="W2306">
        <v>0.19593849999999999</v>
      </c>
      <c r="X2306">
        <v>0.97469939999999999</v>
      </c>
      <c r="Y2306">
        <v>-4.0083590000000002E-2</v>
      </c>
      <c r="Z2306" s="1">
        <v>4.8720859999999899E-5</v>
      </c>
      <c r="AA2306">
        <v>0.99919639999999998</v>
      </c>
      <c r="AB2306">
        <v>26</v>
      </c>
      <c r="AC2306">
        <v>-187.9451</v>
      </c>
      <c r="AD2306">
        <v>1.892077</v>
      </c>
      <c r="AE2306">
        <v>-7.0640999999999901</v>
      </c>
      <c r="AF2306">
        <v>-7.5485965081034196</v>
      </c>
      <c r="AG2306">
        <v>1.892077</v>
      </c>
      <c r="AH2306">
        <v>187.90721643836</v>
      </c>
      <c r="AI2306">
        <v>89.423561233633606</v>
      </c>
      <c r="AJ2306">
        <v>92.300445395294105</v>
      </c>
      <c r="AK2306">
        <v>188.06829412271699</v>
      </c>
      <c r="AL2306">
        <v>78.7004467138553</v>
      </c>
      <c r="AM2306">
        <v>96.297234702263907</v>
      </c>
      <c r="AN2306">
        <v>1.0000000063833201</v>
      </c>
    </row>
    <row r="2307" spans="1:40" x14ac:dyDescent="0.25">
      <c r="A2307" t="str">
        <f>"20190304155102058"</f>
        <v>20190304155102058</v>
      </c>
      <c r="B2307" t="str">
        <f>"1551685862048526"</f>
        <v>1551685862048526</v>
      </c>
      <c r="C2307" t="s">
        <v>40</v>
      </c>
      <c r="D2307">
        <v>5.0743679999999998</v>
      </c>
      <c r="E2307">
        <v>0.49837019999999999</v>
      </c>
      <c r="F2307" t="s">
        <v>75</v>
      </c>
      <c r="G2307">
        <v>-550.09220000000005</v>
      </c>
      <c r="H2307">
        <v>3.0525579999999999</v>
      </c>
      <c r="I2307">
        <v>278.05</v>
      </c>
      <c r="J2307">
        <v>-363.37900000000002</v>
      </c>
      <c r="K2307">
        <v>1.1103510000000001</v>
      </c>
      <c r="L2307">
        <v>285.48829999999998</v>
      </c>
      <c r="M2307">
        <v>-0.99994499999999997</v>
      </c>
      <c r="N2307">
        <v>-1.0209289999999999E-2</v>
      </c>
      <c r="O2307">
        <v>2.4420309999999999E-3</v>
      </c>
      <c r="P2307">
        <v>-0.97644399999999998</v>
      </c>
      <c r="Q2307">
        <v>0.18767800000000001</v>
      </c>
      <c r="R2307">
        <v>-0.1064635</v>
      </c>
      <c r="S2307">
        <v>-3.051758</v>
      </c>
      <c r="T2307">
        <v>3.1701559999999997E-2</v>
      </c>
      <c r="U2307">
        <v>-0.1213989</v>
      </c>
      <c r="V2307">
        <v>-0.10888730000000001</v>
      </c>
      <c r="W2307">
        <v>0.19761219999999999</v>
      </c>
      <c r="X2307">
        <v>0.97421400000000002</v>
      </c>
      <c r="Y2307">
        <v>-4.2188120000000003E-2</v>
      </c>
      <c r="Z2307" s="1">
        <v>5.3863680000000003E-5</v>
      </c>
      <c r="AA2307">
        <v>0.99910969999999999</v>
      </c>
      <c r="AB2307">
        <v>26</v>
      </c>
      <c r="AC2307">
        <v>-186.7132</v>
      </c>
      <c r="AD2307">
        <v>1.942207</v>
      </c>
      <c r="AE2307">
        <v>-7.4382999999999697</v>
      </c>
      <c r="AF2307">
        <v>-7.8934082199308397</v>
      </c>
      <c r="AG2307">
        <v>1.942207</v>
      </c>
      <c r="AH2307">
        <v>186.67431091103501</v>
      </c>
      <c r="AI2307">
        <v>89.4044337993639</v>
      </c>
      <c r="AJ2307">
        <v>92.421274367457201</v>
      </c>
      <c r="AK2307">
        <v>186.851214648091</v>
      </c>
      <c r="AL2307">
        <v>78.602638067239397</v>
      </c>
      <c r="AM2307">
        <v>96.377445430631894</v>
      </c>
      <c r="AN2307">
        <v>0.99999997174306399</v>
      </c>
    </row>
    <row r="2308" spans="1:40" x14ac:dyDescent="0.25">
      <c r="A2308" t="str">
        <f>"20190304155102080"</f>
        <v>20190304155102080</v>
      </c>
      <c r="B2308" t="str">
        <f>"1551685862069022"</f>
        <v>1551685862069022</v>
      </c>
      <c r="C2308" t="s">
        <v>40</v>
      </c>
      <c r="D2308">
        <v>5.1814460000000002</v>
      </c>
      <c r="E2308">
        <v>0.49608140000000001</v>
      </c>
      <c r="F2308" t="s">
        <v>75</v>
      </c>
      <c r="G2308">
        <v>-512.82650000000001</v>
      </c>
      <c r="H2308">
        <v>4.1186119999999997</v>
      </c>
      <c r="I2308">
        <v>269.55630000000002</v>
      </c>
      <c r="J2308">
        <v>-363.6379</v>
      </c>
      <c r="K2308">
        <v>1.1103430000000001</v>
      </c>
      <c r="L2308">
        <v>285.48880000000003</v>
      </c>
      <c r="M2308">
        <v>-0.99994530000000004</v>
      </c>
      <c r="N2308">
        <v>-1.019489E-2</v>
      </c>
      <c r="O2308">
        <v>2.3210209999999999E-3</v>
      </c>
      <c r="P2308">
        <v>-0.97592219999999996</v>
      </c>
      <c r="Q2308">
        <v>0.1898918</v>
      </c>
      <c r="R2308">
        <v>-0.10731739999999999</v>
      </c>
      <c r="S2308">
        <v>-3.0255429999999999</v>
      </c>
      <c r="T2308">
        <v>6.0903310000000002E-2</v>
      </c>
      <c r="U2308">
        <v>-0.3225403</v>
      </c>
      <c r="V2308">
        <v>-0.1096169</v>
      </c>
      <c r="W2308">
        <v>0.19981009999999999</v>
      </c>
      <c r="X2308">
        <v>0.97368379999999999</v>
      </c>
      <c r="Y2308">
        <v>-0.1083012</v>
      </c>
      <c r="Z2308">
        <v>6.0336509999999995E-4</v>
      </c>
      <c r="AA2308">
        <v>0.99411799999999995</v>
      </c>
      <c r="AB2308">
        <v>26</v>
      </c>
      <c r="AC2308">
        <v>-149.18860000000001</v>
      </c>
      <c r="AD2308">
        <v>3.0082689999999999</v>
      </c>
      <c r="AE2308">
        <v>-15.932499999999999</v>
      </c>
      <c r="AF2308">
        <v>-16.272203373021199</v>
      </c>
      <c r="AG2308">
        <v>3.0082689999999999</v>
      </c>
      <c r="AH2308">
        <v>149.09128031909799</v>
      </c>
      <c r="AI2308">
        <v>88.850901046962605</v>
      </c>
      <c r="AJ2308">
        <v>96.228753381349193</v>
      </c>
      <c r="AK2308">
        <v>150.00681368583599</v>
      </c>
      <c r="AL2308">
        <v>78.474146065395203</v>
      </c>
      <c r="AM2308">
        <v>96.423288532049398</v>
      </c>
      <c r="AN2308">
        <v>1.0000000416050201</v>
      </c>
    </row>
    <row r="2309" spans="1:40" x14ac:dyDescent="0.25">
      <c r="A2309" t="str">
        <f>"20190304155102101"</f>
        <v>20190304155102101</v>
      </c>
      <c r="B2309" t="str">
        <f>"1551685862099278"</f>
        <v>1551685862099278</v>
      </c>
      <c r="C2309" t="s">
        <v>40</v>
      </c>
      <c r="D2309">
        <v>5.1373309999999996</v>
      </c>
      <c r="E2309">
        <v>0.49622290000000002</v>
      </c>
      <c r="F2309" t="s">
        <v>75</v>
      </c>
      <c r="G2309">
        <v>-512.82600000000002</v>
      </c>
      <c r="H2309">
        <v>2.5421990000000001</v>
      </c>
      <c r="I2309">
        <v>268.6671</v>
      </c>
      <c r="J2309">
        <v>-363.87849999999997</v>
      </c>
      <c r="K2309">
        <v>1.11032999999999</v>
      </c>
      <c r="L2309">
        <v>285.48930000000001</v>
      </c>
      <c r="M2309">
        <v>-0.9999458</v>
      </c>
      <c r="N2309">
        <v>-1.0183630000000001E-2</v>
      </c>
      <c r="O2309">
        <v>2.2284620000000001E-3</v>
      </c>
      <c r="P2309">
        <v>-0.97565840000000004</v>
      </c>
      <c r="Q2309">
        <v>0.19094349999999999</v>
      </c>
      <c r="R2309">
        <v>-0.1078486</v>
      </c>
      <c r="S2309">
        <v>-3.0307919999999999</v>
      </c>
      <c r="T2309">
        <v>2.9090049999999999E-2</v>
      </c>
      <c r="U2309">
        <v>-0.34173579999999998</v>
      </c>
      <c r="V2309">
        <v>-0.11004990000000001</v>
      </c>
      <c r="W2309">
        <v>0.20085230000000001</v>
      </c>
      <c r="X2309">
        <v>0.97342039999999996</v>
      </c>
      <c r="Y2309">
        <v>-0.11425879999999999</v>
      </c>
      <c r="Z2309" s="1">
        <v>6.8995870000000003E-6</v>
      </c>
      <c r="AA2309">
        <v>0.99345099999999997</v>
      </c>
      <c r="AB2309">
        <v>26</v>
      </c>
      <c r="AC2309">
        <v>-148.94749999999999</v>
      </c>
      <c r="AD2309">
        <v>1.4318690000000001</v>
      </c>
      <c r="AE2309">
        <v>-16.822199999999999</v>
      </c>
      <c r="AF2309">
        <v>-17.152534058211302</v>
      </c>
      <c r="AG2309">
        <v>1.4318690000000001</v>
      </c>
      <c r="AH2309">
        <v>148.89605370189</v>
      </c>
      <c r="AI2309">
        <v>89.452647884100799</v>
      </c>
      <c r="AJ2309">
        <v>96.571395094314198</v>
      </c>
      <c r="AK2309">
        <v>149.887606163577</v>
      </c>
      <c r="AL2309">
        <v>78.413195791082899</v>
      </c>
      <c r="AM2309">
        <v>96.450178191056807</v>
      </c>
      <c r="AN2309">
        <v>0.99999995102072803</v>
      </c>
    </row>
    <row r="2310" spans="1:40" x14ac:dyDescent="0.25">
      <c r="A2310" t="str">
        <f>"20190304155102125"</f>
        <v>20190304155102125</v>
      </c>
      <c r="B2310" t="str">
        <f>"1551685862119306"</f>
        <v>1551685862119306</v>
      </c>
      <c r="C2310" t="s">
        <v>40</v>
      </c>
      <c r="D2310">
        <v>5.1730039999999997</v>
      </c>
      <c r="E2310">
        <v>0.49673339999999999</v>
      </c>
      <c r="F2310" t="s">
        <v>75</v>
      </c>
      <c r="G2310">
        <v>-512.82569999999998</v>
      </c>
      <c r="H2310">
        <v>1.846986</v>
      </c>
      <c r="I2310">
        <v>268.7509</v>
      </c>
      <c r="J2310">
        <v>-364.14920000000001</v>
      </c>
      <c r="K2310">
        <v>1.110312</v>
      </c>
      <c r="L2310">
        <v>285.48970000000003</v>
      </c>
      <c r="M2310">
        <v>-0.99994609999999995</v>
      </c>
      <c r="N2310">
        <v>-1.017302E-2</v>
      </c>
      <c r="O2310">
        <v>2.1507980000000002E-3</v>
      </c>
      <c r="P2310">
        <v>-0.97553590000000001</v>
      </c>
      <c r="Q2310">
        <v>0.19099559999999999</v>
      </c>
      <c r="R2310">
        <v>-0.1088606</v>
      </c>
      <c r="S2310">
        <v>-3.0341800000000001</v>
      </c>
      <c r="T2310">
        <v>1.500785E-2</v>
      </c>
      <c r="U2310">
        <v>-0.34097290000000002</v>
      </c>
      <c r="V2310">
        <v>-0.11097609999999999</v>
      </c>
      <c r="W2310">
        <v>0.20089760000000001</v>
      </c>
      <c r="X2310">
        <v>0.97330589999999995</v>
      </c>
      <c r="Y2310">
        <v>-0.11381280000000001</v>
      </c>
      <c r="Z2310">
        <v>-2.6773170000000002E-4</v>
      </c>
      <c r="AA2310">
        <v>0.9935022</v>
      </c>
      <c r="AB2310">
        <v>26</v>
      </c>
      <c r="AC2310">
        <v>-148.67649999999901</v>
      </c>
      <c r="AD2310">
        <v>0.73667399999999905</v>
      </c>
      <c r="AE2310">
        <v>-16.738800000000001</v>
      </c>
      <c r="AF2310">
        <v>-17.058137346138601</v>
      </c>
      <c r="AG2310">
        <v>0.73667399999999905</v>
      </c>
      <c r="AH2310">
        <v>148.636548971894</v>
      </c>
      <c r="AI2310">
        <v>89.717884128156498</v>
      </c>
      <c r="AJ2310">
        <v>96.546855464081005</v>
      </c>
      <c r="AK2310">
        <v>149.613991419841</v>
      </c>
      <c r="AL2310">
        <v>78.410546365678897</v>
      </c>
      <c r="AM2310">
        <v>96.504759406452195</v>
      </c>
      <c r="AN2310">
        <v>0.99999995771588901</v>
      </c>
    </row>
    <row r="2311" spans="1:40" x14ac:dyDescent="0.25">
      <c r="A2311" t="str">
        <f>"20190304155102147"</f>
        <v>20190304155102147</v>
      </c>
      <c r="B2311" t="str">
        <f>"1551685862138829"</f>
        <v>1551685862138829</v>
      </c>
      <c r="C2311" t="s">
        <v>40</v>
      </c>
      <c r="D2311">
        <v>5.1706810000000001</v>
      </c>
      <c r="E2311">
        <v>0.49725029999999998</v>
      </c>
      <c r="F2311" t="s">
        <v>75</v>
      </c>
      <c r="G2311">
        <v>-512.82569999999998</v>
      </c>
      <c r="H2311">
        <v>1.540489</v>
      </c>
      <c r="I2311">
        <v>268.85550000000001</v>
      </c>
      <c r="J2311">
        <v>-364.40460000000002</v>
      </c>
      <c r="K2311">
        <v>1.1102860000000001</v>
      </c>
      <c r="L2311">
        <v>285.49020000000002</v>
      </c>
      <c r="M2311">
        <v>-0.99994620000000001</v>
      </c>
      <c r="N2311">
        <v>-1.016477E-2</v>
      </c>
      <c r="O2311">
        <v>2.1056059999999999E-3</v>
      </c>
      <c r="P2311">
        <v>-0.97549839999999999</v>
      </c>
      <c r="Q2311">
        <v>0.190693</v>
      </c>
      <c r="R2311">
        <v>-0.10972469999999999</v>
      </c>
      <c r="S2311">
        <v>-3.0356139999999998</v>
      </c>
      <c r="T2311">
        <v>8.7847710000000002E-3</v>
      </c>
      <c r="U2311">
        <v>-0.33963009999999999</v>
      </c>
      <c r="V2311">
        <v>-0.1117862</v>
      </c>
      <c r="W2311">
        <v>0.20059170000000001</v>
      </c>
      <c r="X2311">
        <v>0.97327629999999998</v>
      </c>
      <c r="Y2311">
        <v>-0.11328149999999999</v>
      </c>
      <c r="Z2311">
        <v>-3.8672929999999998E-4</v>
      </c>
      <c r="AA2311">
        <v>0.99356290000000003</v>
      </c>
      <c r="AB2311">
        <v>26</v>
      </c>
      <c r="AC2311">
        <v>-148.421099999999</v>
      </c>
      <c r="AD2311">
        <v>0.430202999999999</v>
      </c>
      <c r="AE2311">
        <v>-16.634699999999999</v>
      </c>
      <c r="AF2311">
        <v>-16.9470549866646</v>
      </c>
      <c r="AG2311">
        <v>0.430202999999999</v>
      </c>
      <c r="AH2311">
        <v>148.38451183308601</v>
      </c>
      <c r="AI2311">
        <v>89.834958890045698</v>
      </c>
      <c r="AJ2311">
        <v>96.515542364233099</v>
      </c>
      <c r="AK2311">
        <v>149.349760961594</v>
      </c>
      <c r="AL2311">
        <v>78.428437489893199</v>
      </c>
      <c r="AM2311">
        <v>96.552028804502299</v>
      </c>
      <c r="AN2311">
        <v>0.99999997038050903</v>
      </c>
    </row>
    <row r="2312" spans="1:40" x14ac:dyDescent="0.25">
      <c r="A2312" t="str">
        <f>"20190304155102169"</f>
        <v>20190304155102169</v>
      </c>
      <c r="B2312" t="str">
        <f>"1551685862159322"</f>
        <v>1551685862159322</v>
      </c>
      <c r="C2312" t="s">
        <v>40</v>
      </c>
      <c r="D2312">
        <v>5.227093</v>
      </c>
      <c r="E2312">
        <v>0.49693189999999998</v>
      </c>
      <c r="F2312" t="s">
        <v>75</v>
      </c>
      <c r="G2312">
        <v>-512.82560000000001</v>
      </c>
      <c r="H2312">
        <v>1.212774</v>
      </c>
      <c r="I2312">
        <v>268.97989999999999</v>
      </c>
      <c r="J2312">
        <v>-364.65230000000003</v>
      </c>
      <c r="K2312">
        <v>1.1102609999999999</v>
      </c>
      <c r="L2312">
        <v>285.4907</v>
      </c>
      <c r="M2312">
        <v>-0.99994620000000001</v>
      </c>
      <c r="N2312">
        <v>-1.0158210000000001E-2</v>
      </c>
      <c r="O2312">
        <v>2.0851049999999999E-3</v>
      </c>
      <c r="P2312">
        <v>-0.97570919999999906</v>
      </c>
      <c r="Q2312">
        <v>0.18927469999999999</v>
      </c>
      <c r="R2312">
        <v>-0.1103036</v>
      </c>
      <c r="S2312">
        <v>-3.0369570000000001</v>
      </c>
      <c r="T2312">
        <v>2.0986799999999999E-3</v>
      </c>
      <c r="U2312">
        <v>-0.33782960000000001</v>
      </c>
      <c r="V2312">
        <v>-0.1123377</v>
      </c>
      <c r="W2312">
        <v>0.19917370000000001</v>
      </c>
      <c r="X2312">
        <v>0.97350400000000004</v>
      </c>
      <c r="Y2312">
        <v>-0.11262999999999999</v>
      </c>
      <c r="Z2312">
        <v>-5.1248359999999998E-4</v>
      </c>
      <c r="AA2312">
        <v>0.99363679999999999</v>
      </c>
      <c r="AB2312">
        <v>26</v>
      </c>
      <c r="AC2312">
        <v>-148.17329999999899</v>
      </c>
      <c r="AD2312">
        <v>0.10251299999999899</v>
      </c>
      <c r="AE2312">
        <v>-16.5108</v>
      </c>
      <c r="AF2312">
        <v>-16.8197289922777</v>
      </c>
      <c r="AG2312">
        <v>0.10251299999999899</v>
      </c>
      <c r="AH2312">
        <v>148.13847929670601</v>
      </c>
      <c r="AI2312">
        <v>89.960603996305693</v>
      </c>
      <c r="AJ2312">
        <v>96.477655651499404</v>
      </c>
      <c r="AK2312">
        <v>149.09031772931999</v>
      </c>
      <c r="AL2312">
        <v>78.511356339554595</v>
      </c>
      <c r="AM2312">
        <v>96.582543791871103</v>
      </c>
      <c r="AN2312">
        <v>0.99999997981448896</v>
      </c>
    </row>
    <row r="2313" spans="1:40" x14ac:dyDescent="0.25">
      <c r="A2313" t="str">
        <f>"20190304155102190"</f>
        <v>20190304155102190</v>
      </c>
      <c r="B2313" t="str">
        <f>"1551685862188602"</f>
        <v>1551685862188602</v>
      </c>
      <c r="C2313" t="s">
        <v>40</v>
      </c>
      <c r="D2313">
        <v>5.1087870000000004</v>
      </c>
      <c r="E2313">
        <v>0.49677109999999902</v>
      </c>
      <c r="F2313" t="s">
        <v>75</v>
      </c>
      <c r="G2313">
        <v>-512.82529999999997</v>
      </c>
      <c r="H2313">
        <v>0.37868790000000002</v>
      </c>
      <c r="I2313">
        <v>268.8571</v>
      </c>
      <c r="J2313">
        <v>-364.90809999999999</v>
      </c>
      <c r="K2313">
        <v>1.1102379999999901</v>
      </c>
      <c r="L2313">
        <v>285.49119999999999</v>
      </c>
      <c r="M2313">
        <v>-0.99994640000000001</v>
      </c>
      <c r="N2313">
        <v>-1.015276E-2</v>
      </c>
      <c r="O2313">
        <v>2.0803969999999999E-3</v>
      </c>
      <c r="P2313">
        <v>-0.97596260000000001</v>
      </c>
      <c r="Q2313">
        <v>0.18772169999999999</v>
      </c>
      <c r="R2313">
        <v>-0.1107163</v>
      </c>
      <c r="S2313">
        <v>-3.0390320000000002</v>
      </c>
      <c r="T2313">
        <v>-1.5002969999999999E-2</v>
      </c>
      <c r="U2313">
        <v>-0.34115600000000001</v>
      </c>
      <c r="V2313">
        <v>-0.1127406</v>
      </c>
      <c r="W2313">
        <v>0.19762160000000001</v>
      </c>
      <c r="X2313">
        <v>0.97377369999999996</v>
      </c>
      <c r="Y2313">
        <v>-0.1136204</v>
      </c>
      <c r="Z2313">
        <v>-8.473733E-4</v>
      </c>
      <c r="AA2313">
        <v>0.99352390000000002</v>
      </c>
      <c r="AB2313">
        <v>26</v>
      </c>
      <c r="AC2313">
        <v>-147.91719999999901</v>
      </c>
      <c r="AD2313">
        <v>-0.73155009999999898</v>
      </c>
      <c r="AE2313">
        <v>-16.634099999999901</v>
      </c>
      <c r="AF2313">
        <v>-16.941397121500099</v>
      </c>
      <c r="AG2313">
        <v>-0.73155009999999898</v>
      </c>
      <c r="AH2313">
        <v>147.87870066342299</v>
      </c>
      <c r="AI2313">
        <v>90.281595782494193</v>
      </c>
      <c r="AJ2313">
        <v>96.535472079743201</v>
      </c>
      <c r="AK2313">
        <v>148.84776186385599</v>
      </c>
      <c r="AL2313">
        <v>78.602088738692402</v>
      </c>
      <c r="AM2313">
        <v>96.604130397084106</v>
      </c>
      <c r="AN2313">
        <v>0.99999997924330397</v>
      </c>
    </row>
    <row r="2314" spans="1:40" x14ac:dyDescent="0.25">
      <c r="A2314" t="str">
        <f>"20190304155102213"</f>
        <v>20190304155102213</v>
      </c>
      <c r="B2314" t="str">
        <f>"1551685862209098"</f>
        <v>1551685862209098</v>
      </c>
      <c r="C2314" t="s">
        <v>40</v>
      </c>
      <c r="D2314">
        <v>5.20512</v>
      </c>
      <c r="E2314">
        <v>0.49639820000000001</v>
      </c>
      <c r="F2314" t="s">
        <v>62</v>
      </c>
      <c r="G2314">
        <v>-496.35860000000002</v>
      </c>
      <c r="H2314" s="1">
        <v>3.6332009999999999E-7</v>
      </c>
      <c r="I2314">
        <v>270.64409999999998</v>
      </c>
      <c r="J2314">
        <v>-365.1721</v>
      </c>
      <c r="K2314">
        <v>1.110217</v>
      </c>
      <c r="L2314">
        <v>285.49180000000001</v>
      </c>
      <c r="M2314">
        <v>-0.99994640000000001</v>
      </c>
      <c r="N2314">
        <v>-1.0148330000000001E-2</v>
      </c>
      <c r="O2314">
        <v>2.086947E-3</v>
      </c>
      <c r="P2314">
        <v>-0.97629949999999999</v>
      </c>
      <c r="Q2314">
        <v>0.18583920000000001</v>
      </c>
      <c r="R2314">
        <v>-0.1109203</v>
      </c>
      <c r="S2314">
        <v>-3.039917</v>
      </c>
      <c r="T2314">
        <v>-2.5675300000000002E-2</v>
      </c>
      <c r="U2314">
        <v>-0.34335329999999997</v>
      </c>
      <c r="V2314">
        <v>-0.1129484</v>
      </c>
      <c r="W2314">
        <v>0.19574069999999999</v>
      </c>
      <c r="X2314">
        <v>0.97412949999999998</v>
      </c>
      <c r="Y2314">
        <v>-0.11429930000000001</v>
      </c>
      <c r="Z2314">
        <v>-1.059459E-3</v>
      </c>
      <c r="AA2314">
        <v>0.99344580000000005</v>
      </c>
      <c r="AB2314">
        <v>26</v>
      </c>
      <c r="AC2314">
        <v>-131.1865</v>
      </c>
      <c r="AD2314">
        <v>-1.11021663667989</v>
      </c>
      <c r="AE2314">
        <v>-14.8477</v>
      </c>
      <c r="AF2314">
        <v>-15.1203917818778</v>
      </c>
      <c r="AG2314">
        <v>-1.11021663667989</v>
      </c>
      <c r="AH2314">
        <v>131.14595239427501</v>
      </c>
      <c r="AI2314">
        <v>90.481834348861199</v>
      </c>
      <c r="AJ2314">
        <v>96.576842644824396</v>
      </c>
      <c r="AK2314">
        <v>132.01939121969701</v>
      </c>
      <c r="AL2314">
        <v>78.712003794342493</v>
      </c>
      <c r="AM2314">
        <v>96.613799957918303</v>
      </c>
      <c r="AN2314">
        <v>1.0000000227346399</v>
      </c>
    </row>
    <row r="2315" spans="1:40" x14ac:dyDescent="0.25">
      <c r="A2315" t="str">
        <f>"20190304155102236"</f>
        <v>20190304155102236</v>
      </c>
      <c r="B2315" t="str">
        <f>"1551685862228621"</f>
        <v>1551685862228621</v>
      </c>
      <c r="C2315" t="s">
        <v>40</v>
      </c>
      <c r="D2315">
        <v>5.1723999999999997</v>
      </c>
      <c r="E2315">
        <v>0.49621609999999999</v>
      </c>
      <c r="F2315" t="s">
        <v>70</v>
      </c>
      <c r="G2315">
        <v>-451.70679999999999</v>
      </c>
      <c r="H2315">
        <v>8.0001359999999994E-2</v>
      </c>
      <c r="I2315">
        <v>275.62970000000001</v>
      </c>
      <c r="J2315">
        <v>-365.43290000000002</v>
      </c>
      <c r="K2315">
        <v>1.110214</v>
      </c>
      <c r="L2315">
        <v>285.4923</v>
      </c>
      <c r="M2315">
        <v>-0.99994649999999996</v>
      </c>
      <c r="N2315">
        <v>-1.014494E-2</v>
      </c>
      <c r="O2315">
        <v>2.0989210000000001E-3</v>
      </c>
      <c r="P2315">
        <v>-0.97648100000000004</v>
      </c>
      <c r="Q2315">
        <v>0.18476629999999999</v>
      </c>
      <c r="R2315">
        <v>-0.11111559999999999</v>
      </c>
      <c r="S2315">
        <v>-3.0403440000000002</v>
      </c>
      <c r="T2315">
        <v>-3.6195989999999997E-2</v>
      </c>
      <c r="U2315">
        <v>-0.34649659999999999</v>
      </c>
      <c r="V2315">
        <v>-0.1131542</v>
      </c>
      <c r="W2315">
        <v>0.19466749999999999</v>
      </c>
      <c r="X2315">
        <v>0.97432070000000004</v>
      </c>
      <c r="Y2315">
        <v>-0.1153035</v>
      </c>
      <c r="Z2315">
        <v>-1.2746159999999999E-3</v>
      </c>
      <c r="AA2315">
        <v>0.99332949999999998</v>
      </c>
      <c r="AB2315">
        <v>26</v>
      </c>
      <c r="AC2315">
        <v>-86.273899999999898</v>
      </c>
      <c r="AD2315">
        <v>-1.03021264</v>
      </c>
      <c r="AE2315">
        <v>-9.8625999999999792</v>
      </c>
      <c r="AF2315">
        <v>-10.042256190389599</v>
      </c>
      <c r="AG2315">
        <v>-1.03021264</v>
      </c>
      <c r="AH2315">
        <v>86.2408694441515</v>
      </c>
      <c r="AI2315">
        <v>90.679816066797201</v>
      </c>
      <c r="AJ2315">
        <v>96.641854166651001</v>
      </c>
      <c r="AK2315">
        <v>86.829694286921395</v>
      </c>
      <c r="AL2315">
        <v>78.774700240028494</v>
      </c>
      <c r="AM2315">
        <v>96.6244550443094</v>
      </c>
      <c r="AN2315">
        <v>1.00000006749118</v>
      </c>
    </row>
    <row r="2316" spans="1:40" x14ac:dyDescent="0.25">
      <c r="A2316" t="str">
        <f>"20190304155102259"</f>
        <v>20190304155102259</v>
      </c>
      <c r="B2316" t="str">
        <f>"1551685862249114"</f>
        <v>1551685862249114</v>
      </c>
      <c r="C2316" t="s">
        <v>40</v>
      </c>
      <c r="D2316">
        <v>5.1478140000000003</v>
      </c>
      <c r="E2316">
        <v>0.49586380000000002</v>
      </c>
      <c r="F2316" t="s">
        <v>72</v>
      </c>
      <c r="G2316">
        <v>-438.21629999999999</v>
      </c>
      <c r="H2316">
        <v>8.0000680000000005E-2</v>
      </c>
      <c r="I2316">
        <v>277.14589999999998</v>
      </c>
      <c r="J2316">
        <v>-365.6968</v>
      </c>
      <c r="K2316">
        <v>1.110206</v>
      </c>
      <c r="L2316">
        <v>285.49290000000002</v>
      </c>
      <c r="M2316">
        <v>-0.99994640000000001</v>
      </c>
      <c r="N2316">
        <v>-1.014234E-2</v>
      </c>
      <c r="O2316">
        <v>2.1122900000000002E-3</v>
      </c>
      <c r="P2316">
        <v>-0.97661750000000003</v>
      </c>
      <c r="Q2316">
        <v>0.18370330000000001</v>
      </c>
      <c r="R2316">
        <v>-0.1116752</v>
      </c>
      <c r="S2316">
        <v>-3.0407099999999998</v>
      </c>
      <c r="T2316">
        <v>-4.3039800000000003E-2</v>
      </c>
      <c r="U2316">
        <v>-0.3486938</v>
      </c>
      <c r="V2316">
        <v>-0.1137273</v>
      </c>
      <c r="W2316">
        <v>0.19360279999999999</v>
      </c>
      <c r="X2316">
        <v>0.97446600000000005</v>
      </c>
      <c r="Y2316">
        <v>-0.1160071</v>
      </c>
      <c r="Z2316">
        <v>-1.4170159999999999E-3</v>
      </c>
      <c r="AA2316">
        <v>0.9932474</v>
      </c>
      <c r="AB2316">
        <v>26</v>
      </c>
      <c r="AC2316">
        <v>-72.519499999999994</v>
      </c>
      <c r="AD2316">
        <v>-1.0302053200000001</v>
      </c>
      <c r="AE2316">
        <v>-8.3470000000000297</v>
      </c>
      <c r="AF2316">
        <v>-8.4984788254097605</v>
      </c>
      <c r="AG2316">
        <v>-1.0302053200000001</v>
      </c>
      <c r="AH2316">
        <v>72.487268777914295</v>
      </c>
      <c r="AI2316">
        <v>90.808707338057403</v>
      </c>
      <c r="AJ2316">
        <v>96.686887066649106</v>
      </c>
      <c r="AK2316">
        <v>72.991024107275507</v>
      </c>
      <c r="AL2316">
        <v>78.8368849858647</v>
      </c>
      <c r="AM2316">
        <v>96.656722134537006</v>
      </c>
      <c r="AN2316">
        <v>0.99999996404456404</v>
      </c>
    </row>
    <row r="2317" spans="1:40" x14ac:dyDescent="0.25">
      <c r="A2317" t="str">
        <f>"20190304155102281"</f>
        <v>20190304155102281</v>
      </c>
      <c r="B2317" t="str">
        <f>"1551685862268634"</f>
        <v>1551685862268634</v>
      </c>
      <c r="C2317" t="s">
        <v>40</v>
      </c>
      <c r="D2317">
        <v>5.1502350000000003</v>
      </c>
      <c r="E2317">
        <v>0.49557869999999998</v>
      </c>
      <c r="F2317" t="s">
        <v>72</v>
      </c>
      <c r="G2317">
        <v>-430.43970000000002</v>
      </c>
      <c r="H2317">
        <v>6.0434160000000001E-2</v>
      </c>
      <c r="I2317">
        <v>277.97949999999997</v>
      </c>
      <c r="J2317">
        <v>-365.95</v>
      </c>
      <c r="K2317">
        <v>1.1102080000000001</v>
      </c>
      <c r="L2317">
        <v>285.49340000000001</v>
      </c>
      <c r="M2317">
        <v>-0.99994640000000001</v>
      </c>
      <c r="N2317">
        <v>-1.014054E-2</v>
      </c>
      <c r="O2317">
        <v>2.122545E-3</v>
      </c>
      <c r="P2317">
        <v>-0.97666660000000005</v>
      </c>
      <c r="Q2317">
        <v>0.18326519999999999</v>
      </c>
      <c r="R2317">
        <v>-0.1119651</v>
      </c>
      <c r="S2317">
        <v>-3.0407410000000001</v>
      </c>
      <c r="T2317">
        <v>-4.9304010000000002E-2</v>
      </c>
      <c r="U2317">
        <v>-0.35287479999999999</v>
      </c>
      <c r="V2317">
        <v>-0.1140273</v>
      </c>
      <c r="W2317">
        <v>0.19316349999999999</v>
      </c>
      <c r="X2317">
        <v>0.9745182</v>
      </c>
      <c r="Y2317">
        <v>-0.1173587</v>
      </c>
      <c r="Z2317">
        <v>-1.558168E-3</v>
      </c>
      <c r="AA2317">
        <v>0.99308839999999998</v>
      </c>
      <c r="AB2317">
        <v>26</v>
      </c>
      <c r="AC2317">
        <v>-64.489699999999999</v>
      </c>
      <c r="AD2317">
        <v>-1.0497738400000001</v>
      </c>
      <c r="AE2317">
        <v>-7.5139000000000298</v>
      </c>
      <c r="AF2317">
        <v>-7.6487727760483004</v>
      </c>
      <c r="AG2317">
        <v>-1.0497738400000001</v>
      </c>
      <c r="AH2317">
        <v>64.456754402427407</v>
      </c>
      <c r="AI2317">
        <v>90.926564526729607</v>
      </c>
      <c r="AJ2317">
        <v>96.767368030446406</v>
      </c>
      <c r="AK2317">
        <v>64.917477909955906</v>
      </c>
      <c r="AL2317">
        <v>78.862540176265099</v>
      </c>
      <c r="AM2317">
        <v>96.673769347506294</v>
      </c>
      <c r="AN2317">
        <v>1.00000004250438</v>
      </c>
    </row>
    <row r="2318" spans="1:40" x14ac:dyDescent="0.25">
      <c r="A2318" t="str">
        <f>"20190304155102303"</f>
        <v>20190304155102303</v>
      </c>
      <c r="B2318" t="str">
        <f>"1551685862298890"</f>
        <v>1551685862298890</v>
      </c>
      <c r="C2318" t="s">
        <v>40</v>
      </c>
      <c r="D2318">
        <v>4.922472</v>
      </c>
      <c r="E2318">
        <v>0.49482510000000002</v>
      </c>
      <c r="F2318" t="s">
        <v>72</v>
      </c>
      <c r="G2318">
        <v>-429.88319999999999</v>
      </c>
      <c r="H2318" s="1">
        <v>3.0741310000000001E-6</v>
      </c>
      <c r="I2318">
        <v>278.00940000000003</v>
      </c>
      <c r="J2318">
        <v>-366.20859999999999</v>
      </c>
      <c r="K2318">
        <v>1.110209</v>
      </c>
      <c r="L2318">
        <v>285.4939</v>
      </c>
      <c r="M2318">
        <v>-0.99994640000000001</v>
      </c>
      <c r="N2318">
        <v>-1.013931E-2</v>
      </c>
      <c r="O2318">
        <v>2.1294560000000001E-3</v>
      </c>
      <c r="P2318">
        <v>-0.9766222</v>
      </c>
      <c r="Q2318">
        <v>0.1831689</v>
      </c>
      <c r="R2318">
        <v>-0.1125087</v>
      </c>
      <c r="S2318">
        <v>-3.0408019999999998</v>
      </c>
      <c r="T2318">
        <v>-5.2803750000000003E-2</v>
      </c>
      <c r="U2318">
        <v>-0.35595700000000002</v>
      </c>
      <c r="V2318">
        <v>-0.1145779</v>
      </c>
      <c r="W2318">
        <v>0.19306580000000001</v>
      </c>
      <c r="X2318">
        <v>0.97447289999999998</v>
      </c>
      <c r="Y2318">
        <v>-0.11835320000000001</v>
      </c>
      <c r="Z2318">
        <v>-1.641504E-3</v>
      </c>
      <c r="AA2318">
        <v>0.99297020000000003</v>
      </c>
      <c r="AB2318">
        <v>26</v>
      </c>
      <c r="AC2318">
        <v>-63.674599999999998</v>
      </c>
      <c r="AD2318">
        <v>-1.110205925869</v>
      </c>
      <c r="AE2318">
        <v>-7.4844999999999597</v>
      </c>
      <c r="AF2318">
        <v>-7.6177979922638004</v>
      </c>
      <c r="AG2318">
        <v>-1.110205925869</v>
      </c>
      <c r="AH2318">
        <v>63.6394341041457</v>
      </c>
      <c r="AI2318">
        <v>90.992355044604594</v>
      </c>
      <c r="AJ2318">
        <v>96.825968083298093</v>
      </c>
      <c r="AK2318">
        <v>64.103361663368901</v>
      </c>
      <c r="AL2318">
        <v>78.868244499661301</v>
      </c>
      <c r="AM2318">
        <v>96.706010879195404</v>
      </c>
      <c r="AN2318">
        <v>0.99999996556622905</v>
      </c>
    </row>
    <row r="2319" spans="1:40" x14ac:dyDescent="0.25">
      <c r="A2319" t="str">
        <f>"20190304155102326"</f>
        <v>20190304155102326</v>
      </c>
      <c r="B2319" t="str">
        <f>"1551685862319386"</f>
        <v>1551685862319386</v>
      </c>
      <c r="C2319" t="s">
        <v>40</v>
      </c>
      <c r="D2319">
        <v>4.1586740000000004</v>
      </c>
      <c r="E2319">
        <v>0.49486599999999997</v>
      </c>
      <c r="F2319" t="s">
        <v>72</v>
      </c>
      <c r="G2319">
        <v>-426.71440000000001</v>
      </c>
      <c r="H2319" s="1">
        <v>3.5703170000000002E-6</v>
      </c>
      <c r="I2319">
        <v>278.25819999999999</v>
      </c>
      <c r="J2319">
        <v>-366.47730000000001</v>
      </c>
      <c r="K2319">
        <v>1.1102099999999999</v>
      </c>
      <c r="L2319">
        <v>285.49450000000002</v>
      </c>
      <c r="M2319">
        <v>-0.99994649999999996</v>
      </c>
      <c r="N2319">
        <v>-1.0138619999999999E-2</v>
      </c>
      <c r="O2319">
        <v>2.1326689999999998E-3</v>
      </c>
      <c r="P2319">
        <v>-0.9765933</v>
      </c>
      <c r="Q2319">
        <v>0.18288950000000001</v>
      </c>
      <c r="R2319">
        <v>-0.11321299999999999</v>
      </c>
      <c r="S2319">
        <v>-3.040375</v>
      </c>
      <c r="T2319">
        <v>-5.5786969999999998E-2</v>
      </c>
      <c r="U2319">
        <v>-0.36358639999999998</v>
      </c>
      <c r="V2319">
        <v>-0.1152859</v>
      </c>
      <c r="W2319">
        <v>0.19278500000000001</v>
      </c>
      <c r="X2319">
        <v>0.97444500000000001</v>
      </c>
      <c r="Y2319">
        <v>-0.12082610000000001</v>
      </c>
      <c r="Z2319">
        <v>-1.7366949999999999E-3</v>
      </c>
      <c r="AA2319">
        <v>0.99267209999999995</v>
      </c>
      <c r="AB2319">
        <v>26</v>
      </c>
      <c r="AC2319">
        <v>-60.237099999999998</v>
      </c>
      <c r="AD2319">
        <v>-1.1102064296830001</v>
      </c>
      <c r="AE2319">
        <v>-7.2363000000000204</v>
      </c>
      <c r="AF2319">
        <v>-7.36229061935828</v>
      </c>
      <c r="AG2319">
        <v>-1.1102064296830001</v>
      </c>
      <c r="AH2319">
        <v>60.201370847641698</v>
      </c>
      <c r="AI2319">
        <v>91.048691863814</v>
      </c>
      <c r="AJ2319">
        <v>96.972331406916297</v>
      </c>
      <c r="AK2319">
        <v>60.660043961537703</v>
      </c>
      <c r="AL2319">
        <v>78.884641315870695</v>
      </c>
      <c r="AM2319">
        <v>96.747259210783099</v>
      </c>
      <c r="AN2319">
        <v>0.99999997649440397</v>
      </c>
    </row>
    <row r="2320" spans="1:40" x14ac:dyDescent="0.25">
      <c r="A2320" t="str">
        <f>"20190304155102416"</f>
        <v>20190304155102416</v>
      </c>
      <c r="B2320" t="str">
        <f>"1551685862409178"</f>
        <v>1551685862409178</v>
      </c>
      <c r="C2320" t="s">
        <v>40</v>
      </c>
      <c r="D2320">
        <v>4.7271380000000001</v>
      </c>
      <c r="E2320">
        <v>0.50789680000000004</v>
      </c>
      <c r="F2320" t="s">
        <v>72</v>
      </c>
      <c r="G2320">
        <v>-423.05900000000003</v>
      </c>
      <c r="H2320" s="1">
        <v>4.1023700000000003E-6</v>
      </c>
      <c r="I2320">
        <v>278.6977</v>
      </c>
      <c r="J2320">
        <v>-367.53649999999999</v>
      </c>
      <c r="K2320">
        <v>1.110212</v>
      </c>
      <c r="L2320">
        <v>285.49669999999998</v>
      </c>
      <c r="M2320">
        <v>-0.99994640000000001</v>
      </c>
      <c r="N2320">
        <v>-1.014027E-2</v>
      </c>
      <c r="O2320">
        <v>2.1307100000000001E-3</v>
      </c>
      <c r="P2320">
        <v>-0.97605280000000005</v>
      </c>
      <c r="Q2320">
        <v>0.18377379999999999</v>
      </c>
      <c r="R2320">
        <v>-0.1163979</v>
      </c>
      <c r="S2320">
        <v>-3.0407410000000001</v>
      </c>
      <c r="T2320">
        <v>-5.9663300000000002E-2</v>
      </c>
      <c r="U2320">
        <v>-0.3652649</v>
      </c>
      <c r="V2320">
        <v>-0.11846909999999999</v>
      </c>
      <c r="W2320">
        <v>0.19366459999999999</v>
      </c>
      <c r="X2320">
        <v>0.97388859999999999</v>
      </c>
      <c r="Y2320">
        <v>-0.12134639999999999</v>
      </c>
      <c r="Z2320">
        <v>-1.8237889999999999E-3</v>
      </c>
      <c r="AA2320">
        <v>0.9926085</v>
      </c>
      <c r="AB2320">
        <v>26</v>
      </c>
      <c r="AC2320">
        <v>-55.522500000000001</v>
      </c>
      <c r="AD2320">
        <v>-1.1102078976300001</v>
      </c>
      <c r="AE2320">
        <v>-6.7989999999999702</v>
      </c>
      <c r="AF2320">
        <v>-6.9145692054468304</v>
      </c>
      <c r="AG2320">
        <v>-1.1102078976300001</v>
      </c>
      <c r="AH2320">
        <v>55.486029526572899</v>
      </c>
      <c r="AI2320">
        <v>91.137469922418106</v>
      </c>
      <c r="AJ2320">
        <v>97.103476437767895</v>
      </c>
      <c r="AK2320">
        <v>55.926230889418903</v>
      </c>
      <c r="AL2320">
        <v>78.833275697304302</v>
      </c>
      <c r="AM2320">
        <v>96.935693277165797</v>
      </c>
      <c r="AN2320">
        <v>0.999999955078963</v>
      </c>
    </row>
    <row r="2321" spans="1:40" x14ac:dyDescent="0.25">
      <c r="A2321" t="str">
        <f>"20190304155102438"</f>
        <v>20190304155102438</v>
      </c>
      <c r="B2321" t="str">
        <f>"1551685862428698"</f>
        <v>1551685862428698</v>
      </c>
      <c r="C2321" t="s">
        <v>40</v>
      </c>
      <c r="D2321">
        <v>5.1838800000000003</v>
      </c>
      <c r="E2321">
        <v>0.50869719999999996</v>
      </c>
      <c r="F2321" t="s">
        <v>51</v>
      </c>
      <c r="G2321">
        <v>-368.36290000000002</v>
      </c>
      <c r="H2321">
        <v>0.96905580000000002</v>
      </c>
      <c r="I2321">
        <v>285.42790000000002</v>
      </c>
      <c r="J2321">
        <v>-367.78539999999998</v>
      </c>
      <c r="K2321">
        <v>1.1102110000000001</v>
      </c>
      <c r="L2321">
        <v>285.49720000000002</v>
      </c>
      <c r="M2321">
        <v>-0.99994649999999996</v>
      </c>
      <c r="N2321">
        <v>-1.014139E-2</v>
      </c>
      <c r="O2321">
        <v>2.1296840000000002E-3</v>
      </c>
      <c r="P2321">
        <v>-0.97599709999999995</v>
      </c>
      <c r="Q2321">
        <v>0.18346319999999999</v>
      </c>
      <c r="R2321">
        <v>-0.1173515</v>
      </c>
      <c r="S2321">
        <v>-3.1434630000000001</v>
      </c>
      <c r="T2321">
        <v>-0.53696750000000004</v>
      </c>
      <c r="U2321">
        <v>-0.26202389999999998</v>
      </c>
      <c r="V2321">
        <v>-0.1194224</v>
      </c>
      <c r="W2321">
        <v>0.1933539</v>
      </c>
      <c r="X2321">
        <v>0.97383390000000003</v>
      </c>
      <c r="Y2321">
        <v>-8.3882399999999996E-2</v>
      </c>
      <c r="Z2321">
        <v>-7.8693140000000005E-3</v>
      </c>
      <c r="AA2321">
        <v>0.99644460000000001</v>
      </c>
      <c r="AB2321">
        <v>26</v>
      </c>
      <c r="AC2321">
        <v>-0.57750000000004298</v>
      </c>
      <c r="AD2321">
        <v>-0.14115519999999901</v>
      </c>
      <c r="AE2321">
        <v>-6.9299999999998294E-2</v>
      </c>
      <c r="AF2321">
        <v>-6.6606962167378006E-2</v>
      </c>
      <c r="AG2321">
        <v>-0.14115519999999901</v>
      </c>
      <c r="AH2321">
        <v>0.54523908303920299</v>
      </c>
      <c r="AI2321">
        <v>104.411828507393</v>
      </c>
      <c r="AJ2321">
        <v>96.964801661539894</v>
      </c>
      <c r="AK2321">
        <v>0.56713925588839098</v>
      </c>
      <c r="AL2321">
        <v>78.851420432254599</v>
      </c>
      <c r="AM2321">
        <v>96.991342266499203</v>
      </c>
      <c r="AN2321">
        <v>0.99999995252808804</v>
      </c>
    </row>
    <row r="2322" spans="1:40" x14ac:dyDescent="0.25">
      <c r="A2322" t="str">
        <f>"20190304155102459"</f>
        <v>20190304155102459</v>
      </c>
      <c r="B2322" t="str">
        <f>"1551685862449194"</f>
        <v>1551685862449194</v>
      </c>
      <c r="C2322" t="s">
        <v>40</v>
      </c>
      <c r="D2322">
        <v>5.2492020000000004</v>
      </c>
      <c r="E2322">
        <v>0.51262969999999997</v>
      </c>
      <c r="F2322" t="s">
        <v>70</v>
      </c>
      <c r="G2322">
        <v>-376.43979999999999</v>
      </c>
      <c r="H2322" s="1">
        <v>1.8901220000000001E-6</v>
      </c>
      <c r="I2322">
        <v>284.7688</v>
      </c>
      <c r="J2322">
        <v>-368.04050000000001</v>
      </c>
      <c r="K2322">
        <v>1.110206</v>
      </c>
      <c r="L2322">
        <v>285.49770000000001</v>
      </c>
      <c r="M2322">
        <v>-0.99994640000000001</v>
      </c>
      <c r="N2322">
        <v>-1.0142740000000001E-2</v>
      </c>
      <c r="O2322">
        <v>2.1290150000000002E-3</v>
      </c>
      <c r="P2322">
        <v>-0.97581549999999995</v>
      </c>
      <c r="Q2322">
        <v>0.18381529999999999</v>
      </c>
      <c r="R2322">
        <v>-0.11830499999999999</v>
      </c>
      <c r="S2322">
        <v>-3.1173709999999999</v>
      </c>
      <c r="T2322">
        <v>-0.39990870000000001</v>
      </c>
      <c r="U2322">
        <v>-0.26235960000000003</v>
      </c>
      <c r="V2322">
        <v>-0.1203751</v>
      </c>
      <c r="W2322">
        <v>0.1937053</v>
      </c>
      <c r="X2322">
        <v>0.97364680000000003</v>
      </c>
      <c r="Y2322">
        <v>-8.5221710000000006E-2</v>
      </c>
      <c r="Z2322">
        <v>-6.1194109999999999E-3</v>
      </c>
      <c r="AA2322">
        <v>0.99634319999999998</v>
      </c>
      <c r="AB2322">
        <v>26</v>
      </c>
      <c r="AC2322">
        <v>-8.3992999999999807</v>
      </c>
      <c r="AD2322">
        <v>-1.110204109878</v>
      </c>
      <c r="AE2322">
        <v>-0.72890000000000998</v>
      </c>
      <c r="AF2322">
        <v>-0.73405267686647002</v>
      </c>
      <c r="AG2322">
        <v>-1.110204109878</v>
      </c>
      <c r="AH2322">
        <v>8.25459049398372</v>
      </c>
      <c r="AI2322">
        <v>97.630295853987803</v>
      </c>
      <c r="AJ2322">
        <v>95.081751669918802</v>
      </c>
      <c r="AK2322">
        <v>8.36119911982553</v>
      </c>
      <c r="AL2322">
        <v>78.830899251624999</v>
      </c>
      <c r="AM2322">
        <v>97.047898113488998</v>
      </c>
      <c r="AN2322">
        <v>0.99999999954916996</v>
      </c>
    </row>
    <row r="2323" spans="1:40" x14ac:dyDescent="0.25">
      <c r="A2323" t="str">
        <f>"20190304155102504"</f>
        <v>20190304155102504</v>
      </c>
      <c r="B2323" t="str">
        <f>"1551685862498970"</f>
        <v>1551685862498970</v>
      </c>
      <c r="C2323" t="s">
        <v>40</v>
      </c>
      <c r="D2323">
        <v>4.967168</v>
      </c>
      <c r="E2323">
        <v>0.51155759999999995</v>
      </c>
      <c r="F2323" t="s">
        <v>70</v>
      </c>
      <c r="G2323">
        <v>-380.65170000000001</v>
      </c>
      <c r="H2323" s="1">
        <v>-1.1899639999999999E-6</v>
      </c>
      <c r="I2323">
        <v>284.52780000000001</v>
      </c>
      <c r="J2323">
        <v>-368.56869999999998</v>
      </c>
      <c r="K2323">
        <v>1.1102050000000001</v>
      </c>
      <c r="L2323">
        <v>285.49880000000002</v>
      </c>
      <c r="M2323">
        <v>-0.99994629999999995</v>
      </c>
      <c r="N2323">
        <v>-1.014607E-2</v>
      </c>
      <c r="O2323">
        <v>2.1281579999999998E-3</v>
      </c>
      <c r="P2323">
        <v>-0.97557629999999995</v>
      </c>
      <c r="Q2323">
        <v>0.1838369</v>
      </c>
      <c r="R2323">
        <v>-0.1202303</v>
      </c>
      <c r="S2323">
        <v>-3.096832</v>
      </c>
      <c r="T2323">
        <v>-0.27262320000000001</v>
      </c>
      <c r="U2323">
        <v>-0.2381897</v>
      </c>
      <c r="V2323">
        <v>-0.1222987</v>
      </c>
      <c r="W2323">
        <v>0.1937277</v>
      </c>
      <c r="X2323">
        <v>0.97340260000000001</v>
      </c>
      <c r="Y2323">
        <v>-7.8466149999999998E-2</v>
      </c>
      <c r="Z2323">
        <v>-4.006786E-3</v>
      </c>
      <c r="AA2323">
        <v>0.99690869999999998</v>
      </c>
      <c r="AB2323">
        <v>26</v>
      </c>
      <c r="AC2323">
        <v>-12.083</v>
      </c>
      <c r="AD2323">
        <v>-1.1102061899639999</v>
      </c>
      <c r="AE2323">
        <v>-0.97100000000000297</v>
      </c>
      <c r="AF2323">
        <v>-0.98842269617092104</v>
      </c>
      <c r="AG2323">
        <v>-1.1102061899639999</v>
      </c>
      <c r="AH2323">
        <v>11.980413518153499</v>
      </c>
      <c r="AI2323">
        <v>95.276563729646497</v>
      </c>
      <c r="AJ2323">
        <v>94.716404498448497</v>
      </c>
      <c r="AK2323">
        <v>12.0722758946479</v>
      </c>
      <c r="AL2323">
        <v>78.829591138070498</v>
      </c>
      <c r="AM2323">
        <v>97.161141680480796</v>
      </c>
      <c r="AN2323">
        <v>1.0000000077278699</v>
      </c>
    </row>
    <row r="2324" spans="1:40" x14ac:dyDescent="0.25">
      <c r="A2324" t="str">
        <f>"20190304155102517"</f>
        <v>20190304155102517</v>
      </c>
      <c r="B2324" t="str">
        <f>"1551685862508731"</f>
        <v>1551685862508731</v>
      </c>
      <c r="C2324" t="s">
        <v>40</v>
      </c>
      <c r="D2324">
        <v>5.0095340000000004</v>
      </c>
      <c r="E2324">
        <v>0.5109745</v>
      </c>
      <c r="F2324" t="s">
        <v>70</v>
      </c>
      <c r="G2324">
        <v>-383.6943</v>
      </c>
      <c r="H2324" s="1">
        <v>4.2912179999999999E-7</v>
      </c>
      <c r="I2324">
        <v>284.25060000000002</v>
      </c>
      <c r="J2324">
        <v>-368.72300000000001</v>
      </c>
      <c r="K2324">
        <v>1.1102030000000001</v>
      </c>
      <c r="L2324">
        <v>285.4991</v>
      </c>
      <c r="M2324">
        <v>-0.99994629999999995</v>
      </c>
      <c r="N2324">
        <v>-1.0147049999999999E-2</v>
      </c>
      <c r="O2324">
        <v>2.1281540000000002E-3</v>
      </c>
      <c r="P2324">
        <v>-0.97548650000000003</v>
      </c>
      <c r="Q2324">
        <v>0.18399209999999999</v>
      </c>
      <c r="R2324">
        <v>-0.1207199</v>
      </c>
      <c r="S2324">
        <v>-3.0863649999999998</v>
      </c>
      <c r="T2324">
        <v>-0.22653699999999999</v>
      </c>
      <c r="U2324">
        <v>-0.25469969999999997</v>
      </c>
      <c r="V2324">
        <v>-0.1227883</v>
      </c>
      <c r="W2324">
        <v>0.193883</v>
      </c>
      <c r="X2324">
        <v>0.97331009999999996</v>
      </c>
      <c r="Y2324">
        <v>-8.4105189999999996E-2</v>
      </c>
      <c r="Z2324">
        <v>-3.6395709999999999E-3</v>
      </c>
      <c r="AA2324">
        <v>0.99645019999999995</v>
      </c>
      <c r="AB2324">
        <v>26</v>
      </c>
      <c r="AC2324">
        <v>-14.9712999999999</v>
      </c>
      <c r="AD2324">
        <v>-1.1102025708782</v>
      </c>
      <c r="AE2324">
        <v>-1.24849999999997</v>
      </c>
      <c r="AF2324">
        <v>-1.2734059181581701</v>
      </c>
      <c r="AG2324">
        <v>-1.1102025708782</v>
      </c>
      <c r="AH2324">
        <v>14.887308715754299</v>
      </c>
      <c r="AI2324">
        <v>94.249407505011902</v>
      </c>
      <c r="AJ2324">
        <v>94.8889711913057</v>
      </c>
      <c r="AK2324">
        <v>14.982859312526401</v>
      </c>
      <c r="AL2324">
        <v>78.820521813579305</v>
      </c>
      <c r="AM2324">
        <v>97.190186694280897</v>
      </c>
      <c r="AN2324">
        <v>1.00000006753394</v>
      </c>
    </row>
    <row r="2325" spans="1:40" x14ac:dyDescent="0.25">
      <c r="A2325" t="str">
        <f>"20190304155102531"</f>
        <v>20190304155102531</v>
      </c>
      <c r="B2325" t="str">
        <f>"1551685862529226"</f>
        <v>1551685862529226</v>
      </c>
      <c r="C2325" t="s">
        <v>40</v>
      </c>
      <c r="D2325">
        <v>5.0180980000000002</v>
      </c>
      <c r="E2325">
        <v>0.51045529999999995</v>
      </c>
      <c r="F2325" t="s">
        <v>70</v>
      </c>
      <c r="G2325">
        <v>-385.04930000000002</v>
      </c>
      <c r="H2325" s="1">
        <v>1.150198E-6</v>
      </c>
      <c r="I2325">
        <v>284.11579999999998</v>
      </c>
      <c r="J2325">
        <v>-368.8811</v>
      </c>
      <c r="K2325">
        <v>1.1101989999999999</v>
      </c>
      <c r="L2325">
        <v>285.49950000000001</v>
      </c>
      <c r="M2325">
        <v>-0.99994640000000001</v>
      </c>
      <c r="N2325">
        <v>-1.014808E-2</v>
      </c>
      <c r="O2325">
        <v>2.1281490000000002E-3</v>
      </c>
      <c r="P2325">
        <v>-0.97543780000000002</v>
      </c>
      <c r="Q2325">
        <v>0.1840311</v>
      </c>
      <c r="R2325">
        <v>-0.12105489999999999</v>
      </c>
      <c r="S2325">
        <v>-3.082611</v>
      </c>
      <c r="T2325">
        <v>-0.20961959999999999</v>
      </c>
      <c r="U2325">
        <v>-0.26119999999999999</v>
      </c>
      <c r="V2325">
        <v>-0.1231228</v>
      </c>
      <c r="W2325">
        <v>0.19392280000000001</v>
      </c>
      <c r="X2325">
        <v>0.97325989999999996</v>
      </c>
      <c r="Y2325">
        <v>-8.6320019999999997E-2</v>
      </c>
      <c r="Z2325">
        <v>-3.4884199999999999E-3</v>
      </c>
      <c r="AA2325">
        <v>0.99626139999999996</v>
      </c>
      <c r="AB2325">
        <v>26</v>
      </c>
      <c r="AC2325">
        <v>-16.168199999999999</v>
      </c>
      <c r="AD2325">
        <v>-1.110197849802</v>
      </c>
      <c r="AE2325">
        <v>-1.3837000000000299</v>
      </c>
      <c r="AF2325">
        <v>-1.41150020283619</v>
      </c>
      <c r="AG2325">
        <v>-1.110197849802</v>
      </c>
      <c r="AH2325">
        <v>16.089906945810402</v>
      </c>
      <c r="AI2325">
        <v>93.932078642270099</v>
      </c>
      <c r="AJ2325">
        <v>95.013484295914594</v>
      </c>
      <c r="AK2325">
        <v>16.189810919623199</v>
      </c>
      <c r="AL2325">
        <v>78.818197178042894</v>
      </c>
      <c r="AM2325">
        <v>97.209936329897701</v>
      </c>
      <c r="AN2325">
        <v>1.0000000545938399</v>
      </c>
    </row>
    <row r="2326" spans="1:40" x14ac:dyDescent="0.25">
      <c r="A2326" t="str">
        <f>"20190304155102544"</f>
        <v>20190304155102544</v>
      </c>
      <c r="B2326" t="str">
        <f>"1551685862538986"</f>
        <v>1551685862538986</v>
      </c>
      <c r="C2326" t="s">
        <v>40</v>
      </c>
      <c r="D2326">
        <v>4.9966140000000001</v>
      </c>
      <c r="E2326">
        <v>0.51031389999999999</v>
      </c>
      <c r="F2326" t="s">
        <v>70</v>
      </c>
      <c r="G2326">
        <v>-387.01900000000001</v>
      </c>
      <c r="H2326" s="1">
        <v>2.1983959999999999E-6</v>
      </c>
      <c r="I2326">
        <v>283.92590000000001</v>
      </c>
      <c r="J2326">
        <v>-369.0514</v>
      </c>
      <c r="K2326">
        <v>1.1101989999999999</v>
      </c>
      <c r="L2326">
        <v>285.49990000000003</v>
      </c>
      <c r="M2326">
        <v>-0.99994629999999995</v>
      </c>
      <c r="N2326">
        <v>-1.014933E-2</v>
      </c>
      <c r="O2326">
        <v>2.128324E-3</v>
      </c>
      <c r="P2326">
        <v>-0.97541610000000001</v>
      </c>
      <c r="Q2326">
        <v>0.18396299999999999</v>
      </c>
      <c r="R2326">
        <v>-0.1213313</v>
      </c>
      <c r="S2326">
        <v>-3.0779109999999998</v>
      </c>
      <c r="T2326">
        <v>-0.1883948</v>
      </c>
      <c r="U2326">
        <v>-0.26702880000000001</v>
      </c>
      <c r="V2326">
        <v>-0.1233997</v>
      </c>
      <c r="W2326">
        <v>0.1938559</v>
      </c>
      <c r="X2326">
        <v>0.97323809999999999</v>
      </c>
      <c r="Y2326">
        <v>-8.83578E-2</v>
      </c>
      <c r="Z2326">
        <v>-3.2546419999999999E-3</v>
      </c>
      <c r="AA2326">
        <v>0.99608350000000001</v>
      </c>
      <c r="AB2326">
        <v>26</v>
      </c>
      <c r="AC2326">
        <v>-17.967600000000001</v>
      </c>
      <c r="AD2326">
        <v>-1.110196801604</v>
      </c>
      <c r="AE2326">
        <v>-1.5740000000000101</v>
      </c>
      <c r="AF2326">
        <v>-1.60615390796702</v>
      </c>
      <c r="AG2326">
        <v>-1.110196801604</v>
      </c>
      <c r="AH2326">
        <v>17.896403563650701</v>
      </c>
      <c r="AI2326">
        <v>93.535599649453303</v>
      </c>
      <c r="AJ2326">
        <v>95.128401952116704</v>
      </c>
      <c r="AK2326">
        <v>18.002597807744799</v>
      </c>
      <c r="AL2326">
        <v>78.822103766279099</v>
      </c>
      <c r="AM2326">
        <v>97.2261402345259</v>
      </c>
      <c r="AN2326">
        <v>0.99999999760825498</v>
      </c>
    </row>
    <row r="2327" spans="1:40" x14ac:dyDescent="0.25">
      <c r="A2327" t="str">
        <f>"20190304155102560"</f>
        <v>20190304155102560</v>
      </c>
      <c r="B2327" t="str">
        <f>"1551685862548746"</f>
        <v>1551685862548746</v>
      </c>
      <c r="C2327" t="s">
        <v>40</v>
      </c>
      <c r="D2327">
        <v>5.0325059999999997</v>
      </c>
      <c r="E2327">
        <v>0.51025310000000001</v>
      </c>
      <c r="F2327" t="s">
        <v>70</v>
      </c>
      <c r="G2327">
        <v>-388.11149999999998</v>
      </c>
      <c r="H2327" s="1">
        <v>2.7797650000000001E-6</v>
      </c>
      <c r="I2327">
        <v>283.83010000000002</v>
      </c>
      <c r="J2327">
        <v>-369.21949999999998</v>
      </c>
      <c r="K2327">
        <v>1.1102050000000001</v>
      </c>
      <c r="L2327">
        <v>285.50020000000001</v>
      </c>
      <c r="M2327">
        <v>-0.99994629999999995</v>
      </c>
      <c r="N2327">
        <v>-1.015078E-2</v>
      </c>
      <c r="O2327">
        <v>2.1286769999999998E-3</v>
      </c>
      <c r="P2327">
        <v>-0.97520200000000001</v>
      </c>
      <c r="Q2327">
        <v>0.1850559</v>
      </c>
      <c r="R2327">
        <v>-0.1213912</v>
      </c>
      <c r="S2327">
        <v>-3.0759280000000002</v>
      </c>
      <c r="T2327">
        <v>-0.17916360000000001</v>
      </c>
      <c r="U2327">
        <v>-0.26947019999999999</v>
      </c>
      <c r="V2327">
        <v>-0.12345920000000001</v>
      </c>
      <c r="W2327">
        <v>0.1949476</v>
      </c>
      <c r="X2327">
        <v>0.9730124</v>
      </c>
      <c r="Y2327">
        <v>-8.9213490000000006E-2</v>
      </c>
      <c r="Z2327">
        <v>-3.1472760000000001E-3</v>
      </c>
      <c r="AA2327">
        <v>0.99600759999999999</v>
      </c>
      <c r="AB2327">
        <v>26</v>
      </c>
      <c r="AC2327">
        <v>-18.891999999999999</v>
      </c>
      <c r="AD2327">
        <v>-1.1102022202349999</v>
      </c>
      <c r="AE2327">
        <v>-1.6700999999999899</v>
      </c>
      <c r="AF2327">
        <v>-1.70447264934053</v>
      </c>
      <c r="AG2327">
        <v>-1.1102022202349999</v>
      </c>
      <c r="AH2327">
        <v>18.82389932749</v>
      </c>
      <c r="AI2327">
        <v>93.361578714633097</v>
      </c>
      <c r="AJ2327">
        <v>95.173927594577606</v>
      </c>
      <c r="AK2327">
        <v>18.933487842276801</v>
      </c>
      <c r="AL2327">
        <v>78.758336720203104</v>
      </c>
      <c r="AM2327">
        <v>97.231246853635696</v>
      </c>
      <c r="AN2327">
        <v>0.99999993568207701</v>
      </c>
    </row>
    <row r="2328" spans="1:40" x14ac:dyDescent="0.25">
      <c r="A2328" t="str">
        <f>"20190304155102581"</f>
        <v>20190304155102581</v>
      </c>
      <c r="B2328" t="str">
        <f>"1551685862579002"</f>
        <v>1551685862579002</v>
      </c>
      <c r="C2328" t="s">
        <v>40</v>
      </c>
      <c r="D2328">
        <v>5.0532599999999999</v>
      </c>
      <c r="E2328">
        <v>0.5095404</v>
      </c>
      <c r="F2328" t="s">
        <v>70</v>
      </c>
      <c r="G2328">
        <v>-389.56220000000002</v>
      </c>
      <c r="H2328" s="1">
        <v>3.5517420000000001E-6</v>
      </c>
      <c r="I2328">
        <v>283.7079</v>
      </c>
      <c r="J2328">
        <v>-369.48200000000003</v>
      </c>
      <c r="K2328">
        <v>1.1102099999999999</v>
      </c>
      <c r="L2328">
        <v>285.50080000000003</v>
      </c>
      <c r="M2328">
        <v>-0.99994640000000001</v>
      </c>
      <c r="N2328">
        <v>-1.0153179999999999E-2</v>
      </c>
      <c r="O2328">
        <v>2.1293229999999998E-3</v>
      </c>
      <c r="P2328">
        <v>-0.97493030000000003</v>
      </c>
      <c r="Q2328">
        <v>0.1866099</v>
      </c>
      <c r="R2328">
        <v>-0.12119389999999899</v>
      </c>
      <c r="S2328">
        <v>-3.0744630000000002</v>
      </c>
      <c r="T2328">
        <v>-0.16778889999999999</v>
      </c>
      <c r="U2328">
        <v>-0.270874</v>
      </c>
      <c r="V2328">
        <v>-0.123261999999999</v>
      </c>
      <c r="W2328">
        <v>0.19650100000000001</v>
      </c>
      <c r="X2328">
        <v>0.97272499999999995</v>
      </c>
      <c r="Y2328">
        <v>-8.9726139999999996E-2</v>
      </c>
      <c r="Z2328">
        <v>-2.9929930000000002E-3</v>
      </c>
      <c r="AA2328">
        <v>0.99596200000000001</v>
      </c>
      <c r="AB2328">
        <v>26</v>
      </c>
      <c r="AC2328">
        <v>-20.080200000000001</v>
      </c>
      <c r="AD2328">
        <v>-1.1102064482580001</v>
      </c>
      <c r="AE2328">
        <v>-1.7929000000000299</v>
      </c>
      <c r="AF2328">
        <v>-1.8301052853420201</v>
      </c>
      <c r="AG2328">
        <v>-1.1102064482580001</v>
      </c>
      <c r="AH2328">
        <v>20.015636112216299</v>
      </c>
      <c r="AI2328">
        <v>93.1616081413015</v>
      </c>
      <c r="AJ2328">
        <v>95.224243598178404</v>
      </c>
      <c r="AK2328">
        <v>20.129767328259099</v>
      </c>
      <c r="AL2328">
        <v>78.667579324495804</v>
      </c>
      <c r="AM2328">
        <v>97.221929078652096</v>
      </c>
      <c r="AN2328">
        <v>1.0000000446349899</v>
      </c>
    </row>
    <row r="2329" spans="1:40" x14ac:dyDescent="0.25">
      <c r="A2329" t="str">
        <f>"20190304155102604"</f>
        <v>20190304155102604</v>
      </c>
      <c r="B2329" t="str">
        <f>"1551685862599500"</f>
        <v>1551685862599500</v>
      </c>
      <c r="C2329" t="s">
        <v>40</v>
      </c>
      <c r="D2329">
        <v>5.0291880000000004</v>
      </c>
      <c r="E2329">
        <v>0.50943209999999906</v>
      </c>
      <c r="F2329" t="s">
        <v>70</v>
      </c>
      <c r="G2329">
        <v>-392.86610000000002</v>
      </c>
      <c r="H2329" s="1">
        <v>-1.161612E-8</v>
      </c>
      <c r="I2329">
        <v>283.39460000000003</v>
      </c>
      <c r="J2329">
        <v>-369.75380000000001</v>
      </c>
      <c r="K2329">
        <v>1.1102179999999999</v>
      </c>
      <c r="L2329">
        <v>285.50139999999999</v>
      </c>
      <c r="M2329">
        <v>-0.99994620000000001</v>
      </c>
      <c r="N2329">
        <v>-1.01557E-2</v>
      </c>
      <c r="O2329">
        <v>2.1303260000000001E-3</v>
      </c>
      <c r="P2329">
        <v>-0.9745684</v>
      </c>
      <c r="Q2329">
        <v>0.18858849999999999</v>
      </c>
      <c r="R2329">
        <v>-0.121042899999999</v>
      </c>
      <c r="S2329">
        <v>-3.0706790000000002</v>
      </c>
      <c r="T2329">
        <v>-0.1457871</v>
      </c>
      <c r="U2329">
        <v>-0.27658080000000002</v>
      </c>
      <c r="V2329">
        <v>-0.12311039999999999</v>
      </c>
      <c r="W2329">
        <v>0.1984783</v>
      </c>
      <c r="X2329">
        <v>0.97234259999999995</v>
      </c>
      <c r="Y2329">
        <v>-9.1704010000000002E-2</v>
      </c>
      <c r="Z2329">
        <v>-2.7175400000000001E-3</v>
      </c>
      <c r="AA2329">
        <v>0.99578259999999996</v>
      </c>
      <c r="AB2329">
        <v>26</v>
      </c>
      <c r="AC2329">
        <v>-23.112300000000001</v>
      </c>
      <c r="AD2329">
        <v>-1.11021801161612</v>
      </c>
      <c r="AE2329">
        <v>-2.1067999999999598</v>
      </c>
      <c r="AF2329">
        <v>-2.1511118341711302</v>
      </c>
      <c r="AG2329">
        <v>-1.11021801161612</v>
      </c>
      <c r="AH2329">
        <v>23.0549995362923</v>
      </c>
      <c r="AI2329">
        <v>92.7450553771573</v>
      </c>
      <c r="AJ2329">
        <v>95.330463538185398</v>
      </c>
      <c r="AK2329">
        <v>23.181735693749602</v>
      </c>
      <c r="AL2329">
        <v>78.552011388988305</v>
      </c>
      <c r="AM2329">
        <v>97.2159473005389</v>
      </c>
      <c r="AN2329">
        <v>0.99999996896690402</v>
      </c>
    </row>
    <row r="2330" spans="1:40" x14ac:dyDescent="0.25">
      <c r="A2330" t="str">
        <f>"20190304155102627"</f>
        <v>20190304155102627</v>
      </c>
      <c r="B2330" t="str">
        <f>"1551685862619021"</f>
        <v>1551685862619021</v>
      </c>
      <c r="C2330" t="s">
        <v>40</v>
      </c>
      <c r="D2330">
        <v>5.0401239999999996</v>
      </c>
      <c r="E2330">
        <v>0.50968239999999998</v>
      </c>
      <c r="F2330" t="s">
        <v>70</v>
      </c>
      <c r="G2330">
        <v>-395.76710000000003</v>
      </c>
      <c r="H2330" s="1">
        <v>1.5321879999999901E-6</v>
      </c>
      <c r="I2330">
        <v>283.14550000000003</v>
      </c>
      <c r="J2330">
        <v>-370.0231</v>
      </c>
      <c r="K2330">
        <v>1.110225</v>
      </c>
      <c r="L2330">
        <v>285.50200000000001</v>
      </c>
      <c r="M2330">
        <v>-0.99994620000000001</v>
      </c>
      <c r="N2330">
        <v>-1.0158210000000001E-2</v>
      </c>
      <c r="O2330">
        <v>2.1315069999999999E-3</v>
      </c>
      <c r="P2330">
        <v>-0.97433380000000003</v>
      </c>
      <c r="Q2330">
        <v>0.1898118</v>
      </c>
      <c r="R2330">
        <v>-0.1210171</v>
      </c>
      <c r="S2330">
        <v>-3.0691220000000001</v>
      </c>
      <c r="T2330">
        <v>-0.13098609999999999</v>
      </c>
      <c r="U2330">
        <v>-0.27795409999999998</v>
      </c>
      <c r="V2330">
        <v>-0.12308520000000001</v>
      </c>
      <c r="W2330">
        <v>0.19970209999999999</v>
      </c>
      <c r="X2330">
        <v>0.97209520000000005</v>
      </c>
      <c r="Y2330">
        <v>-9.221393E-2</v>
      </c>
      <c r="Z2330">
        <v>-2.5016180000000002E-3</v>
      </c>
      <c r="AA2330">
        <v>0.99573610000000001</v>
      </c>
      <c r="AB2330">
        <v>26</v>
      </c>
      <c r="AC2330">
        <v>-25.744</v>
      </c>
      <c r="AD2330">
        <v>-1.110223467812</v>
      </c>
      <c r="AE2330">
        <v>-2.3564999999999801</v>
      </c>
      <c r="AF2330">
        <v>-2.4069317482367301</v>
      </c>
      <c r="AG2330">
        <v>-1.110223467812</v>
      </c>
      <c r="AH2330">
        <v>25.691533991225</v>
      </c>
      <c r="AI2330">
        <v>92.463642223144603</v>
      </c>
      <c r="AJ2330">
        <v>95.352178310878699</v>
      </c>
      <c r="AK2330">
        <v>25.827908072691798</v>
      </c>
      <c r="AL2330">
        <v>78.480460645436494</v>
      </c>
      <c r="AM2330">
        <v>97.216302548156804</v>
      </c>
      <c r="AN2330">
        <v>0.99999998653324496</v>
      </c>
    </row>
    <row r="2331" spans="1:40" x14ac:dyDescent="0.25">
      <c r="A2331" t="str">
        <f>"20190304155102640"</f>
        <v>20190304155102640</v>
      </c>
      <c r="B2331" t="str">
        <f>"1551685862628779"</f>
        <v>1551685862628779</v>
      </c>
      <c r="C2331" t="s">
        <v>40</v>
      </c>
      <c r="D2331">
        <v>5.0583549999999997</v>
      </c>
      <c r="E2331">
        <v>0.50981339999999997</v>
      </c>
      <c r="F2331" t="s">
        <v>70</v>
      </c>
      <c r="G2331">
        <v>-398.6275</v>
      </c>
      <c r="H2331" s="1">
        <v>3.0543320000000002E-6</v>
      </c>
      <c r="I2331">
        <v>282.92320000000001</v>
      </c>
      <c r="J2331">
        <v>-370.17129999999997</v>
      </c>
      <c r="K2331">
        <v>1.1102270000000001</v>
      </c>
      <c r="L2331">
        <v>285.50229999999999</v>
      </c>
      <c r="M2331">
        <v>-0.99994620000000001</v>
      </c>
      <c r="N2331">
        <v>-1.0159659999999999E-2</v>
      </c>
      <c r="O2331">
        <v>2.1321560000000001E-3</v>
      </c>
      <c r="P2331">
        <v>-0.97424359999999999</v>
      </c>
      <c r="Q2331">
        <v>0.19025890000000001</v>
      </c>
      <c r="R2331">
        <v>-0.12104139999999999</v>
      </c>
      <c r="S2331">
        <v>-3.0679020000000001</v>
      </c>
      <c r="T2331">
        <v>-0.1190745</v>
      </c>
      <c r="U2331">
        <v>-0.27658080000000002</v>
      </c>
      <c r="V2331">
        <v>-0.12310989999999999</v>
      </c>
      <c r="W2331">
        <v>0.20014970000000001</v>
      </c>
      <c r="X2331">
        <v>0.97199999999999998</v>
      </c>
      <c r="Y2331">
        <v>-9.1824859999999994E-2</v>
      </c>
      <c r="Z2331">
        <v>-2.3063049999999998E-3</v>
      </c>
      <c r="AA2331">
        <v>0.99577249999999995</v>
      </c>
      <c r="AB2331">
        <v>26</v>
      </c>
      <c r="AC2331">
        <v>-28.456199999999999</v>
      </c>
      <c r="AD2331">
        <v>-1.1102239456680001</v>
      </c>
      <c r="AE2331">
        <v>-2.57909999999998</v>
      </c>
      <c r="AF2331">
        <v>-2.6357908497951499</v>
      </c>
      <c r="AG2331">
        <v>-1.1102239456680001</v>
      </c>
      <c r="AH2331">
        <v>28.4077464623861</v>
      </c>
      <c r="AI2331">
        <v>92.228517035044405</v>
      </c>
      <c r="AJ2331">
        <v>95.300967629131605</v>
      </c>
      <c r="AK2331">
        <v>28.5513581057821</v>
      </c>
      <c r="AL2331">
        <v>78.454286491532699</v>
      </c>
      <c r="AM2331">
        <v>97.218434868070005</v>
      </c>
      <c r="AN2331">
        <v>0.99999997494404902</v>
      </c>
    </row>
    <row r="2332" spans="1:40" x14ac:dyDescent="0.25">
      <c r="A2332" t="str">
        <f>"20190304155102660"</f>
        <v>20190304155102660</v>
      </c>
      <c r="B2332" t="str">
        <f>"1551685862649275"</f>
        <v>1551685862649275</v>
      </c>
      <c r="C2332" t="s">
        <v>40</v>
      </c>
      <c r="D2332">
        <v>5.0442169999999997</v>
      </c>
      <c r="E2332">
        <v>0.50978369999999995</v>
      </c>
      <c r="F2332" t="s">
        <v>72</v>
      </c>
      <c r="G2332">
        <v>-400.084</v>
      </c>
      <c r="H2332" s="1">
        <v>8.7373199999999999E-6</v>
      </c>
      <c r="I2332">
        <v>282.81459999999998</v>
      </c>
      <c r="J2332">
        <v>-370.41019999999997</v>
      </c>
      <c r="K2332">
        <v>1.1102259999999999</v>
      </c>
      <c r="L2332">
        <v>285.50279999999998</v>
      </c>
      <c r="M2332">
        <v>-0.99994620000000001</v>
      </c>
      <c r="N2332">
        <v>-1.0162010000000001E-2</v>
      </c>
      <c r="O2332">
        <v>2.133336E-3</v>
      </c>
      <c r="P2332">
        <v>-0.97406809999999999</v>
      </c>
      <c r="Q2332">
        <v>0.19095300000000001</v>
      </c>
      <c r="R2332">
        <v>-0.1213598</v>
      </c>
      <c r="S2332">
        <v>-3.0672609999999998</v>
      </c>
      <c r="T2332">
        <v>-0.1138425</v>
      </c>
      <c r="U2332">
        <v>-0.27560420000000002</v>
      </c>
      <c r="V2332">
        <v>-0.1234299</v>
      </c>
      <c r="W2332">
        <v>0.20084440000000001</v>
      </c>
      <c r="X2332">
        <v>0.97181609999999996</v>
      </c>
      <c r="Y2332">
        <v>-9.1537149999999998E-2</v>
      </c>
      <c r="Z2332">
        <v>-2.2183369999999999E-3</v>
      </c>
      <c r="AA2332">
        <v>0.9957992</v>
      </c>
      <c r="AB2332">
        <v>27</v>
      </c>
      <c r="AC2332">
        <v>-29.6738</v>
      </c>
      <c r="AD2332">
        <v>-1.11021726268</v>
      </c>
      <c r="AE2332">
        <v>-2.6881999999999899</v>
      </c>
      <c r="AF2332">
        <v>-2.7476863949092301</v>
      </c>
      <c r="AG2332">
        <v>-1.11021726268</v>
      </c>
      <c r="AH2332">
        <v>29.6268628940418</v>
      </c>
      <c r="AI2332">
        <v>92.136897802773802</v>
      </c>
      <c r="AJ2332">
        <v>95.298629855340593</v>
      </c>
      <c r="AK2332">
        <v>29.774710205768098</v>
      </c>
      <c r="AL2332">
        <v>78.413658098230698</v>
      </c>
      <c r="AM2332">
        <v>97.238354055437199</v>
      </c>
      <c r="AN2332">
        <v>0.99999997272228902</v>
      </c>
    </row>
    <row r="2333" spans="1:40" x14ac:dyDescent="0.25">
      <c r="A2333" t="str">
        <f>"20190304155102683"</f>
        <v>20190304155102683</v>
      </c>
      <c r="B2333" t="str">
        <f>"1551685862678554"</f>
        <v>1551685862678554</v>
      </c>
      <c r="C2333" t="s">
        <v>40</v>
      </c>
      <c r="D2333">
        <v>5.0825490000000002</v>
      </c>
      <c r="E2333">
        <v>0.50933839999999997</v>
      </c>
      <c r="F2333" t="s">
        <v>72</v>
      </c>
      <c r="G2333">
        <v>-402.29899999999998</v>
      </c>
      <c r="H2333" s="1">
        <v>7.7951710000000002E-6</v>
      </c>
      <c r="I2333">
        <v>282.62040000000002</v>
      </c>
      <c r="J2333">
        <v>-370.67450000000002</v>
      </c>
      <c r="K2333">
        <v>1.1102270000000001</v>
      </c>
      <c r="L2333">
        <v>285.5034</v>
      </c>
      <c r="M2333">
        <v>-0.99994609999999995</v>
      </c>
      <c r="N2333">
        <v>-1.0164629999999999E-2</v>
      </c>
      <c r="O2333">
        <v>2.1346339999999998E-3</v>
      </c>
      <c r="P2333">
        <v>-0.97396059999999995</v>
      </c>
      <c r="Q2333">
        <v>0.19139400000000001</v>
      </c>
      <c r="R2333">
        <v>-0.12152830000000001</v>
      </c>
      <c r="S2333">
        <v>-3.0662229999999999</v>
      </c>
      <c r="T2333">
        <v>-0.10675129999999999</v>
      </c>
      <c r="U2333">
        <v>-0.27716059999999998</v>
      </c>
      <c r="V2333">
        <v>-0.1235991</v>
      </c>
      <c r="W2333">
        <v>0.20128670000000001</v>
      </c>
      <c r="X2333">
        <v>0.97170310000000004</v>
      </c>
      <c r="Y2333">
        <v>-9.2078129999999994E-2</v>
      </c>
      <c r="Z2333">
        <v>-2.1207320000000002E-3</v>
      </c>
      <c r="AA2333">
        <v>0.99574949999999995</v>
      </c>
      <c r="AB2333">
        <v>27</v>
      </c>
      <c r="AC2333">
        <v>-31.624500000000001</v>
      </c>
      <c r="AD2333">
        <v>-1.1102192048289901</v>
      </c>
      <c r="AE2333">
        <v>-2.88299999999998</v>
      </c>
      <c r="AF2333">
        <v>-2.9469016682081501</v>
      </c>
      <c r="AG2333">
        <v>-1.1102192048289901</v>
      </c>
      <c r="AH2333">
        <v>31.5796738241235</v>
      </c>
      <c r="AI2333">
        <v>92.004766155193195</v>
      </c>
      <c r="AJ2333">
        <v>95.331197398747705</v>
      </c>
      <c r="AK2333">
        <v>31.736298066455198</v>
      </c>
      <c r="AL2333">
        <v>78.387788094805501</v>
      </c>
      <c r="AM2333">
        <v>97.249005002013504</v>
      </c>
      <c r="AN2333">
        <v>0.99999999383365501</v>
      </c>
    </row>
    <row r="2334" spans="1:40" x14ac:dyDescent="0.25">
      <c r="A2334" t="str">
        <f>"20190304155102717"</f>
        <v>20190304155102717</v>
      </c>
      <c r="B2334" t="str">
        <f>"1551685862708814"</f>
        <v>1551685862708814</v>
      </c>
      <c r="C2334" t="s">
        <v>40</v>
      </c>
      <c r="D2334">
        <v>5.1318140000000003</v>
      </c>
      <c r="E2334">
        <v>0.48115540000000001</v>
      </c>
      <c r="F2334" t="s">
        <v>72</v>
      </c>
      <c r="G2334">
        <v>-405.29939999999999</v>
      </c>
      <c r="H2334" s="1">
        <v>6.5272669999999999E-6</v>
      </c>
      <c r="I2334">
        <v>282.31720000000001</v>
      </c>
      <c r="J2334">
        <v>-371.07889999999998</v>
      </c>
      <c r="K2334">
        <v>1.110215</v>
      </c>
      <c r="L2334">
        <v>285.5043</v>
      </c>
      <c r="M2334">
        <v>-0.999946</v>
      </c>
      <c r="N2334">
        <v>-1.0168669999999999E-2</v>
      </c>
      <c r="O2334">
        <v>2.1364610000000001E-3</v>
      </c>
      <c r="P2334">
        <v>-0.97421840000000004</v>
      </c>
      <c r="Q2334">
        <v>0.19014990000000001</v>
      </c>
      <c r="R2334">
        <v>-0.121415</v>
      </c>
      <c r="S2334">
        <v>-3.0643310000000001</v>
      </c>
      <c r="T2334">
        <v>-9.8255400000000007E-2</v>
      </c>
      <c r="U2334">
        <v>-0.28198240000000002</v>
      </c>
      <c r="V2334">
        <v>-0.123487899999999</v>
      </c>
      <c r="W2334">
        <v>0.20004930000000001</v>
      </c>
      <c r="X2334">
        <v>0.97197279999999997</v>
      </c>
      <c r="Y2334">
        <v>-9.3697569999999994E-2</v>
      </c>
      <c r="Z2334">
        <v>-2.0228550000000001E-3</v>
      </c>
      <c r="AA2334">
        <v>0.99559869999999995</v>
      </c>
      <c r="AB2334">
        <v>27</v>
      </c>
      <c r="AC2334">
        <v>-34.220500000000001</v>
      </c>
      <c r="AD2334">
        <v>-1.1102084727329999</v>
      </c>
      <c r="AE2334">
        <v>-3.1870999999999801</v>
      </c>
      <c r="AF2334">
        <v>-3.2568088444645298</v>
      </c>
      <c r="AG2334">
        <v>-1.1102084727329999</v>
      </c>
      <c r="AH2334">
        <v>34.177948303257097</v>
      </c>
      <c r="AI2334">
        <v>91.852111145586704</v>
      </c>
      <c r="AJ2334">
        <v>95.443266168242303</v>
      </c>
      <c r="AK2334">
        <v>34.350713484910699</v>
      </c>
      <c r="AL2334">
        <v>78.460158654100098</v>
      </c>
      <c r="AM2334">
        <v>97.240564167105404</v>
      </c>
      <c r="AN2334">
        <v>1.00000005390836</v>
      </c>
    </row>
    <row r="2335" spans="1:40" x14ac:dyDescent="0.25">
      <c r="A2335" t="str">
        <f>"20190304155102738"</f>
        <v>20190304155102738</v>
      </c>
      <c r="B2335" t="str">
        <f>"1551685862729306"</f>
        <v>1551685862729306</v>
      </c>
      <c r="C2335" t="s">
        <v>40</v>
      </c>
      <c r="D2335">
        <v>5.1721199999999996</v>
      </c>
      <c r="E2335">
        <v>0.47939720000000002</v>
      </c>
      <c r="F2335" t="s">
        <v>75</v>
      </c>
      <c r="G2335">
        <v>-511.07569999999998</v>
      </c>
      <c r="H2335">
        <v>6.0833640000000004</v>
      </c>
      <c r="I2335">
        <v>261.74520000000001</v>
      </c>
      <c r="J2335">
        <v>-371.34140000000002</v>
      </c>
      <c r="K2335">
        <v>1.1102110000000001</v>
      </c>
      <c r="L2335">
        <v>285.50490000000002</v>
      </c>
      <c r="M2335">
        <v>-0.99994609999999995</v>
      </c>
      <c r="N2335">
        <v>-1.017123E-2</v>
      </c>
      <c r="O2335">
        <v>2.1374620000000001E-3</v>
      </c>
      <c r="P2335">
        <v>-0.97437850000000004</v>
      </c>
      <c r="Q2335">
        <v>0.1890365</v>
      </c>
      <c r="R2335">
        <v>-0.1218688</v>
      </c>
      <c r="S2335">
        <v>-2.9952700000000001</v>
      </c>
      <c r="T2335">
        <v>0.106403399999999</v>
      </c>
      <c r="U2335">
        <v>-0.50833130000000004</v>
      </c>
      <c r="V2335">
        <v>-0.12394330000000001</v>
      </c>
      <c r="W2335">
        <v>0.19894000000000001</v>
      </c>
      <c r="X2335">
        <v>0.97214250000000002</v>
      </c>
      <c r="Y2335">
        <v>-0.16935029999999901</v>
      </c>
      <c r="Z2335">
        <v>2.2150849999999999E-3</v>
      </c>
      <c r="AA2335">
        <v>0.98555340000000002</v>
      </c>
      <c r="AB2335">
        <v>27</v>
      </c>
      <c r="AC2335">
        <v>-139.734299999999</v>
      </c>
      <c r="AD2335">
        <v>4.9731529999999999</v>
      </c>
      <c r="AE2335">
        <v>-23.759699999999999</v>
      </c>
      <c r="AF2335">
        <v>-24.028757036225802</v>
      </c>
      <c r="AG2335">
        <v>4.9731529999999999</v>
      </c>
      <c r="AH2335">
        <v>139.51144564282399</v>
      </c>
      <c r="AI2335">
        <v>87.988045748832803</v>
      </c>
      <c r="AJ2335">
        <v>99.772459648652998</v>
      </c>
      <c r="AK2335">
        <v>141.65294518935301</v>
      </c>
      <c r="AL2335">
        <v>78.525020645856301</v>
      </c>
      <c r="AM2335">
        <v>97.265726084364402</v>
      </c>
      <c r="AN2335">
        <v>1.0000000527605599</v>
      </c>
    </row>
    <row r="2336" spans="1:40" x14ac:dyDescent="0.25">
      <c r="A2336" t="str">
        <f>"20190304155102761"</f>
        <v>20190304155102761</v>
      </c>
      <c r="B2336" t="str">
        <f>"1551685862758586"</f>
        <v>1551685862758586</v>
      </c>
      <c r="C2336" t="s">
        <v>40</v>
      </c>
      <c r="D2336">
        <v>5.1455760000000001</v>
      </c>
      <c r="E2336">
        <v>0.47792079999999998</v>
      </c>
      <c r="F2336" t="s">
        <v>75</v>
      </c>
      <c r="G2336">
        <v>-512.82619999999997</v>
      </c>
      <c r="H2336">
        <v>3.132695</v>
      </c>
      <c r="I2336">
        <v>260.8809</v>
      </c>
      <c r="J2336">
        <v>-371.6105</v>
      </c>
      <c r="K2336">
        <v>1.1102000000000001</v>
      </c>
      <c r="L2336">
        <v>285.50540000000001</v>
      </c>
      <c r="M2336">
        <v>-0.99994590000000005</v>
      </c>
      <c r="N2336">
        <v>-1.017377E-2</v>
      </c>
      <c r="O2336">
        <v>2.1386410000000002E-3</v>
      </c>
      <c r="P2336">
        <v>-0.97447450000000002</v>
      </c>
      <c r="Q2336">
        <v>0.18858230000000001</v>
      </c>
      <c r="R2336">
        <v>-0.12180290000000001</v>
      </c>
      <c r="S2336">
        <v>-3.0051269999999999</v>
      </c>
      <c r="T2336">
        <v>4.2958969999999999E-2</v>
      </c>
      <c r="U2336">
        <v>-0.52301030000000004</v>
      </c>
      <c r="V2336">
        <v>-0.1238788</v>
      </c>
      <c r="W2336">
        <v>0.1984891</v>
      </c>
      <c r="X2336">
        <v>0.97224279999999996</v>
      </c>
      <c r="Y2336">
        <v>-0.1735632</v>
      </c>
      <c r="Z2336">
        <v>3.9366640000000001E-4</v>
      </c>
      <c r="AA2336">
        <v>0.98482259999999999</v>
      </c>
      <c r="AB2336">
        <v>27</v>
      </c>
      <c r="AC2336">
        <v>-141.215699999999</v>
      </c>
      <c r="AD2336">
        <v>2.0224950000000002</v>
      </c>
      <c r="AE2336">
        <v>-24.624500000000001</v>
      </c>
      <c r="AF2336">
        <v>-24.921507953806</v>
      </c>
      <c r="AG2336">
        <v>2.0224950000000002</v>
      </c>
      <c r="AH2336">
        <v>141.134616016759</v>
      </c>
      <c r="AI2336">
        <v>89.191499312821094</v>
      </c>
      <c r="AJ2336">
        <v>100.014042444246</v>
      </c>
      <c r="AK2336">
        <v>143.33231276622399</v>
      </c>
      <c r="AL2336">
        <v>78.551380057153807</v>
      </c>
      <c r="AM2336">
        <v>97.261244204671598</v>
      </c>
      <c r="AN2336">
        <v>0.99999997103004401</v>
      </c>
    </row>
    <row r="2337" spans="1:40" x14ac:dyDescent="0.25">
      <c r="A2337" t="str">
        <f>"20190304155102782"</f>
        <v>20190304155102782</v>
      </c>
      <c r="B2337" t="str">
        <f>"1551685862779082"</f>
        <v>1551685862779082</v>
      </c>
      <c r="C2337" t="s">
        <v>40</v>
      </c>
      <c r="D2337">
        <v>5.6112489999999999</v>
      </c>
      <c r="E2337">
        <v>0.47754029999999997</v>
      </c>
      <c r="F2337" t="s">
        <v>75</v>
      </c>
      <c r="G2337">
        <v>-512.82539999999995</v>
      </c>
      <c r="H2337">
        <v>0.85699029999999998</v>
      </c>
      <c r="I2337">
        <v>260.48840000000001</v>
      </c>
      <c r="J2337">
        <v>-371.8723</v>
      </c>
      <c r="K2337">
        <v>1.1101989999999999</v>
      </c>
      <c r="L2337">
        <v>285.50599999999997</v>
      </c>
      <c r="M2337">
        <v>-0.999946</v>
      </c>
      <c r="N2337">
        <v>-1.0176360000000001E-2</v>
      </c>
      <c r="O2337">
        <v>2.1394610000000001E-3</v>
      </c>
      <c r="P2337">
        <v>-0.97456900000000002</v>
      </c>
      <c r="Q2337">
        <v>0.18810830000000001</v>
      </c>
      <c r="R2337">
        <v>-0.1217811</v>
      </c>
      <c r="S2337">
        <v>-3.0129090000000001</v>
      </c>
      <c r="T2337">
        <v>-5.4007769999999998E-3</v>
      </c>
      <c r="U2337">
        <v>-0.53375240000000002</v>
      </c>
      <c r="V2337">
        <v>-0.123858</v>
      </c>
      <c r="W2337">
        <v>0.19801840000000001</v>
      </c>
      <c r="X2337">
        <v>0.97234149999999997</v>
      </c>
      <c r="Y2337">
        <v>-0.17654339999999999</v>
      </c>
      <c r="Z2337">
        <v>-1.044463E-3</v>
      </c>
      <c r="AA2337">
        <v>0.98429230000000001</v>
      </c>
      <c r="AB2337">
        <v>27</v>
      </c>
      <c r="AC2337">
        <v>-140.95309999999901</v>
      </c>
      <c r="AD2337">
        <v>-0.25320869999999901</v>
      </c>
      <c r="AE2337">
        <v>-25.017599999999899</v>
      </c>
      <c r="AF2337">
        <v>-25.319042781956298</v>
      </c>
      <c r="AG2337">
        <v>-0.25320869999999901</v>
      </c>
      <c r="AH2337">
        <v>140.89880962338</v>
      </c>
      <c r="AI2337">
        <v>90.101342691252199</v>
      </c>
      <c r="AJ2337">
        <v>100.187137107311</v>
      </c>
      <c r="AK2337">
        <v>143.15583325637101</v>
      </c>
      <c r="AL2337">
        <v>78.578896158708204</v>
      </c>
      <c r="AM2337">
        <v>97.259308920405701</v>
      </c>
      <c r="AN2337">
        <v>1.0000000417624</v>
      </c>
    </row>
    <row r="2338" spans="1:40" x14ac:dyDescent="0.25">
      <c r="A2338" t="str">
        <f>"20190304155102805"</f>
        <v>20190304155102805</v>
      </c>
      <c r="B2338" t="str">
        <f>"1551685862798602"</f>
        <v>1551685862798602</v>
      </c>
      <c r="C2338" t="s">
        <v>40</v>
      </c>
      <c r="D2338">
        <v>5.1852220000000004</v>
      </c>
      <c r="E2338">
        <v>0.47693089999999999</v>
      </c>
      <c r="F2338" t="s">
        <v>75</v>
      </c>
      <c r="G2338">
        <v>-512.82529999999997</v>
      </c>
      <c r="H2338">
        <v>0.29491990000000001</v>
      </c>
      <c r="I2338">
        <v>260.4126</v>
      </c>
      <c r="J2338">
        <v>-372.1386</v>
      </c>
      <c r="K2338">
        <v>1.110193</v>
      </c>
      <c r="L2338">
        <v>285.50659999999999</v>
      </c>
      <c r="M2338">
        <v>-0.99994590000000005</v>
      </c>
      <c r="N2338">
        <v>-1.017907E-2</v>
      </c>
      <c r="O2338">
        <v>2.1404599999999998E-3</v>
      </c>
      <c r="P2338">
        <v>-0.97476859999999999</v>
      </c>
      <c r="Q2338">
        <v>0.18746299999999999</v>
      </c>
      <c r="R2338">
        <v>-0.12117700000000001</v>
      </c>
      <c r="S2338">
        <v>-3.014618</v>
      </c>
      <c r="T2338">
        <v>-1.743507E-2</v>
      </c>
      <c r="U2338">
        <v>-0.53668209999999905</v>
      </c>
      <c r="V2338">
        <v>-0.1232552</v>
      </c>
      <c r="W2338">
        <v>0.197378</v>
      </c>
      <c r="X2338">
        <v>0.97254819999999997</v>
      </c>
      <c r="Y2338">
        <v>-0.17736969999999999</v>
      </c>
      <c r="Z2338">
        <v>-1.4093860000000001E-3</v>
      </c>
      <c r="AA2338">
        <v>0.98414330000000005</v>
      </c>
      <c r="AB2338">
        <v>27</v>
      </c>
      <c r="AC2338">
        <v>-140.68669999999901</v>
      </c>
      <c r="AD2338">
        <v>-0.81527309999999997</v>
      </c>
      <c r="AE2338">
        <v>-25.093999999999902</v>
      </c>
      <c r="AF2338">
        <v>-25.3942658822406</v>
      </c>
      <c r="AG2338">
        <v>-0.81527309999999997</v>
      </c>
      <c r="AH2338">
        <v>140.628085308843</v>
      </c>
      <c r="AI2338">
        <v>90.326874603388205</v>
      </c>
      <c r="AJ2338">
        <v>100.236019522598</v>
      </c>
      <c r="AK2338">
        <v>142.90483472422</v>
      </c>
      <c r="AL2338">
        <v>78.616326212895302</v>
      </c>
      <c r="AM2338">
        <v>97.222833815525505</v>
      </c>
      <c r="AN2338">
        <v>0.999999960267139</v>
      </c>
    </row>
    <row r="2339" spans="1:40" x14ac:dyDescent="0.25">
      <c r="A2339" t="str">
        <f>"20190304155102827"</f>
        <v>20190304155102827</v>
      </c>
      <c r="B2339" t="str">
        <f>"1551685862819098"</f>
        <v>1551685862819098</v>
      </c>
      <c r="C2339" t="s">
        <v>40</v>
      </c>
      <c r="D2339">
        <v>5.1495620000000004</v>
      </c>
      <c r="E2339">
        <v>0.47752139999999998</v>
      </c>
      <c r="F2339" t="s">
        <v>42</v>
      </c>
      <c r="G2339">
        <v>-472.44580000000002</v>
      </c>
      <c r="H2339">
        <v>-0.05</v>
      </c>
      <c r="I2339">
        <v>267.5831</v>
      </c>
      <c r="J2339">
        <v>-372.4092</v>
      </c>
      <c r="K2339">
        <v>1.1101939999999999</v>
      </c>
      <c r="L2339">
        <v>285.50720000000001</v>
      </c>
      <c r="M2339">
        <v>-0.999946</v>
      </c>
      <c r="N2339">
        <v>-1.0177149999999999E-2</v>
      </c>
      <c r="O2339">
        <v>2.141661E-3</v>
      </c>
      <c r="P2339">
        <v>-0.97479000000000005</v>
      </c>
      <c r="Q2339">
        <v>0.18724840000000001</v>
      </c>
      <c r="R2339">
        <v>-0.1213381</v>
      </c>
      <c r="S2339">
        <v>-3.017334</v>
      </c>
      <c r="T2339">
        <v>-3.489971E-2</v>
      </c>
      <c r="U2339">
        <v>-0.53915409999999997</v>
      </c>
      <c r="V2339">
        <v>-0.1234174</v>
      </c>
      <c r="W2339">
        <v>0.19716159999999999</v>
      </c>
      <c r="X2339">
        <v>0.97257159999999998</v>
      </c>
      <c r="Y2339">
        <v>-0.17798549999999999</v>
      </c>
      <c r="Z2339">
        <v>-1.9370469999999999E-3</v>
      </c>
      <c r="AA2339">
        <v>0.98403119999999999</v>
      </c>
      <c r="AB2339">
        <v>27</v>
      </c>
      <c r="AC2339">
        <v>-100.03660000000001</v>
      </c>
      <c r="AD2339">
        <v>-1.1601939999999999</v>
      </c>
      <c r="AE2339">
        <v>-17.924099999999999</v>
      </c>
      <c r="AF2339">
        <v>-18.135950926877101</v>
      </c>
      <c r="AG2339">
        <v>-1.1601939999999999</v>
      </c>
      <c r="AH2339">
        <v>99.984950919044607</v>
      </c>
      <c r="AI2339">
        <v>90.654139469503903</v>
      </c>
      <c r="AJ2339">
        <v>100.280919569782</v>
      </c>
      <c r="AK2339">
        <v>101.623074035494</v>
      </c>
      <c r="AL2339">
        <v>78.628974401071304</v>
      </c>
      <c r="AM2339">
        <v>97.232066098152202</v>
      </c>
      <c r="AN2339">
        <v>1.0000000341319299</v>
      </c>
    </row>
    <row r="2340" spans="1:40" x14ac:dyDescent="0.25">
      <c r="A2340" t="str">
        <f>"20190304155102849"</f>
        <v>20190304155102849</v>
      </c>
      <c r="B2340" t="str">
        <f>"1551685862838618"</f>
        <v>1551685862838618</v>
      </c>
      <c r="C2340" t="s">
        <v>40</v>
      </c>
      <c r="D2340">
        <v>4.8645160000000001</v>
      </c>
      <c r="E2340">
        <v>0.47733639999999999</v>
      </c>
      <c r="F2340" t="s">
        <v>42</v>
      </c>
      <c r="G2340">
        <v>-452.35059999999999</v>
      </c>
      <c r="H2340">
        <v>-0.05</v>
      </c>
      <c r="I2340">
        <v>271.33069999999998</v>
      </c>
      <c r="J2340">
        <v>-372.67270000000002</v>
      </c>
      <c r="K2340">
        <v>1.110193</v>
      </c>
      <c r="L2340">
        <v>285.50779999999997</v>
      </c>
      <c r="M2340">
        <v>-0.99994609999999995</v>
      </c>
      <c r="N2340">
        <v>-1.0170449999999999E-2</v>
      </c>
      <c r="O2340">
        <v>2.1427080000000001E-3</v>
      </c>
      <c r="P2340">
        <v>-0.97468699999999997</v>
      </c>
      <c r="Q2340">
        <v>0.18751789999999999</v>
      </c>
      <c r="R2340">
        <v>-0.1217476</v>
      </c>
      <c r="S2340">
        <v>-3.0193180000000002</v>
      </c>
      <c r="T2340">
        <v>-4.3819549999999999E-2</v>
      </c>
      <c r="U2340">
        <v>-0.53543090000000004</v>
      </c>
      <c r="V2340">
        <v>-0.1238281</v>
      </c>
      <c r="W2340">
        <v>0.19742380000000001</v>
      </c>
      <c r="X2340">
        <v>0.97246619999999995</v>
      </c>
      <c r="Y2340">
        <v>-0.17668919999999999</v>
      </c>
      <c r="Z2340">
        <v>-2.1869569999999998E-3</v>
      </c>
      <c r="AA2340">
        <v>0.98426429999999998</v>
      </c>
      <c r="AB2340">
        <v>27</v>
      </c>
      <c r="AC2340">
        <v>-79.677899999999894</v>
      </c>
      <c r="AD2340">
        <v>-1.160193</v>
      </c>
      <c r="AE2340">
        <v>-14.1770999999999</v>
      </c>
      <c r="AF2340">
        <v>-14.344854619562099</v>
      </c>
      <c r="AG2340">
        <v>-1.160193</v>
      </c>
      <c r="AH2340">
        <v>79.630972572550505</v>
      </c>
      <c r="AI2340">
        <v>90.821497724011095</v>
      </c>
      <c r="AJ2340">
        <v>100.21183465143299</v>
      </c>
      <c r="AK2340">
        <v>80.921027518834194</v>
      </c>
      <c r="AL2340">
        <v>78.613650229100401</v>
      </c>
      <c r="AM2340">
        <v>97.256654447935404</v>
      </c>
      <c r="AN2340">
        <v>1.00000003264924</v>
      </c>
    </row>
    <row r="2341" spans="1:40" x14ac:dyDescent="0.25">
      <c r="A2341" t="str">
        <f>"20190304155102872"</f>
        <v>20190304155102872</v>
      </c>
      <c r="B2341" t="str">
        <f>"1551685862868875"</f>
        <v>1551685862868875</v>
      </c>
      <c r="C2341" t="s">
        <v>40</v>
      </c>
      <c r="D2341">
        <v>5.1405450000000004</v>
      </c>
      <c r="E2341">
        <v>0.4777361</v>
      </c>
      <c r="F2341" t="s">
        <v>42</v>
      </c>
      <c r="G2341">
        <v>-467.0188</v>
      </c>
      <c r="H2341">
        <v>-0.05</v>
      </c>
      <c r="I2341">
        <v>268.68790000000001</v>
      </c>
      <c r="J2341">
        <v>-372.94380000000001</v>
      </c>
      <c r="K2341">
        <v>1.1101909999999999</v>
      </c>
      <c r="L2341">
        <v>285.50830000000002</v>
      </c>
      <c r="M2341">
        <v>-0.99994609999999995</v>
      </c>
      <c r="N2341">
        <v>-1.0162050000000001E-2</v>
      </c>
      <c r="O2341">
        <v>2.1437629999999999E-3</v>
      </c>
      <c r="P2341">
        <v>-0.97460119999999895</v>
      </c>
      <c r="Q2341">
        <v>0.18769910000000001</v>
      </c>
      <c r="R2341">
        <v>-0.122153399999999</v>
      </c>
      <c r="S2341">
        <v>-3.0178829999999999</v>
      </c>
      <c r="T2341">
        <v>-3.7111520000000002E-2</v>
      </c>
      <c r="U2341">
        <v>-0.53802490000000003</v>
      </c>
      <c r="V2341">
        <v>-0.1242346</v>
      </c>
      <c r="W2341">
        <v>0.19759589999999999</v>
      </c>
      <c r="X2341">
        <v>0.9723794</v>
      </c>
      <c r="Y2341">
        <v>-0.17759759999999999</v>
      </c>
      <c r="Z2341">
        <v>-1.997459E-3</v>
      </c>
      <c r="AA2341">
        <v>0.98410120000000001</v>
      </c>
      <c r="AB2341">
        <v>27</v>
      </c>
      <c r="AC2341">
        <v>-94.075000000000003</v>
      </c>
      <c r="AD2341">
        <v>-1.160191</v>
      </c>
      <c r="AE2341">
        <v>-16.820399999999999</v>
      </c>
      <c r="AF2341">
        <v>-17.0195378854872</v>
      </c>
      <c r="AG2341">
        <v>-1.160191</v>
      </c>
      <c r="AH2341">
        <v>94.024865434849701</v>
      </c>
      <c r="AI2341">
        <v>90.695644425093406</v>
      </c>
      <c r="AJ2341">
        <v>100.26007369649599</v>
      </c>
      <c r="AK2341">
        <v>95.559855760845494</v>
      </c>
      <c r="AL2341">
        <v>78.603591522360901</v>
      </c>
      <c r="AM2341">
        <v>97.280864154175106</v>
      </c>
      <c r="AN2341">
        <v>1.0000000365391599</v>
      </c>
    </row>
    <row r="2342" spans="1:40" x14ac:dyDescent="0.25">
      <c r="A2342" t="str">
        <f>"20190304155102896"</f>
        <v>20190304155102896</v>
      </c>
      <c r="B2342" t="str">
        <f>"1551685862889370"</f>
        <v>1551685862889370</v>
      </c>
      <c r="C2342" t="s">
        <v>40</v>
      </c>
      <c r="D2342">
        <v>5.1430730000000002</v>
      </c>
      <c r="E2342">
        <v>0.47815449999999998</v>
      </c>
      <c r="F2342" t="s">
        <v>42</v>
      </c>
      <c r="G2342">
        <v>-468.50740000000002</v>
      </c>
      <c r="H2342">
        <v>-0.05</v>
      </c>
      <c r="I2342">
        <v>268.54309999999998</v>
      </c>
      <c r="J2342">
        <v>-373.22739999999999</v>
      </c>
      <c r="K2342">
        <v>1.110193</v>
      </c>
      <c r="L2342">
        <v>285.50889999999998</v>
      </c>
      <c r="M2342">
        <v>-0.99994640000000001</v>
      </c>
      <c r="N2342">
        <v>-1.014644E-2</v>
      </c>
      <c r="O2342">
        <v>2.1451550000000002E-3</v>
      </c>
      <c r="P2342">
        <v>-0.97448659999999998</v>
      </c>
      <c r="Q2342">
        <v>0.1878099</v>
      </c>
      <c r="R2342">
        <v>-0.12289650000000001</v>
      </c>
      <c r="S2342">
        <v>-3.018097</v>
      </c>
      <c r="T2342">
        <v>-3.6641239999999999E-2</v>
      </c>
      <c r="U2342">
        <v>-0.53579709999999903</v>
      </c>
      <c r="V2342">
        <v>-0.1249786</v>
      </c>
      <c r="W2342">
        <v>0.19769030000000001</v>
      </c>
      <c r="X2342">
        <v>0.97226480000000004</v>
      </c>
      <c r="Y2342">
        <v>-0.1768834</v>
      </c>
      <c r="Z2342">
        <v>-1.9740169999999998E-3</v>
      </c>
      <c r="AA2342">
        <v>0.98422989999999999</v>
      </c>
      <c r="AB2342">
        <v>27</v>
      </c>
      <c r="AC2342">
        <v>-95.28</v>
      </c>
      <c r="AD2342">
        <v>-1.160193</v>
      </c>
      <c r="AE2342">
        <v>-16.965800000000002</v>
      </c>
      <c r="AF2342">
        <v>-17.167694565750601</v>
      </c>
      <c r="AG2342">
        <v>-1.160193</v>
      </c>
      <c r="AH2342">
        <v>95.229698716165203</v>
      </c>
      <c r="AI2342">
        <v>90.686933489587204</v>
      </c>
      <c r="AJ2342">
        <v>100.219328447151</v>
      </c>
      <c r="AK2342">
        <v>96.771748470675902</v>
      </c>
      <c r="AL2342">
        <v>78.598073230483394</v>
      </c>
      <c r="AM2342">
        <v>97.324848701055402</v>
      </c>
      <c r="AN2342">
        <v>0.99999997324554402</v>
      </c>
    </row>
    <row r="2343" spans="1:40" x14ac:dyDescent="0.25">
      <c r="A2343" t="str">
        <f>"20190304155102917"</f>
        <v>20190304155102917</v>
      </c>
      <c r="B2343" t="str">
        <f>"1551685862908890"</f>
        <v>1551685862908890</v>
      </c>
      <c r="C2343" t="s">
        <v>40</v>
      </c>
      <c r="D2343">
        <v>5.1675420000000001</v>
      </c>
      <c r="E2343">
        <v>0.47763410000000001</v>
      </c>
      <c r="F2343" t="s">
        <v>42</v>
      </c>
      <c r="G2343">
        <v>-479.62729999999999</v>
      </c>
      <c r="H2343">
        <v>-0.05</v>
      </c>
      <c r="I2343">
        <v>266.65440000000001</v>
      </c>
      <c r="J2343">
        <v>-373.49299999999999</v>
      </c>
      <c r="K2343">
        <v>1.110185</v>
      </c>
      <c r="L2343">
        <v>285.5095</v>
      </c>
      <c r="M2343">
        <v>-0.99994669999999997</v>
      </c>
      <c r="N2343">
        <v>-1.0121649999999999E-2</v>
      </c>
      <c r="O2343">
        <v>2.1485110000000001E-3</v>
      </c>
      <c r="P2343">
        <v>-0.97444189999999997</v>
      </c>
      <c r="Q2343">
        <v>0.1876562</v>
      </c>
      <c r="R2343">
        <v>-0.12348629999999999</v>
      </c>
      <c r="S2343">
        <v>-3.0174259999999999</v>
      </c>
      <c r="T2343">
        <v>-3.2902239999999999E-2</v>
      </c>
      <c r="U2343">
        <v>-0.53469849999999997</v>
      </c>
      <c r="V2343">
        <v>-0.12557099999999999</v>
      </c>
      <c r="W2343">
        <v>0.1975121</v>
      </c>
      <c r="X2343">
        <v>0.97222470000000005</v>
      </c>
      <c r="Y2343">
        <v>-0.1765806</v>
      </c>
      <c r="Z2343">
        <v>-1.8575480000000001E-3</v>
      </c>
      <c r="AA2343">
        <v>0.98428450000000001</v>
      </c>
      <c r="AB2343">
        <v>27</v>
      </c>
      <c r="AC2343">
        <v>-106.134299999999</v>
      </c>
      <c r="AD2343">
        <v>-1.160185</v>
      </c>
      <c r="AE2343">
        <v>-18.8551</v>
      </c>
      <c r="AF2343">
        <v>-19.080888538873801</v>
      </c>
      <c r="AG2343">
        <v>-1.160185</v>
      </c>
      <c r="AH2343">
        <v>106.081254396275</v>
      </c>
      <c r="AI2343">
        <v>90.616708968342806</v>
      </c>
      <c r="AJ2343">
        <v>100.19678675436499</v>
      </c>
      <c r="AK2343">
        <v>107.789882971243</v>
      </c>
      <c r="AL2343">
        <v>78.608488858783801</v>
      </c>
      <c r="AM2343">
        <v>97.359489057240793</v>
      </c>
      <c r="AN2343">
        <v>0.99999998648874999</v>
      </c>
    </row>
    <row r="2344" spans="1:40" x14ac:dyDescent="0.25">
      <c r="A2344" t="str">
        <f>"20190304155102939"</f>
        <v>20190304155102939</v>
      </c>
      <c r="B2344" t="str">
        <f>"1551685862929386"</f>
        <v>1551685862929386</v>
      </c>
      <c r="C2344" t="s">
        <v>40</v>
      </c>
      <c r="D2344">
        <v>5.2055550000000004</v>
      </c>
      <c r="E2344">
        <v>0.47748950000000001</v>
      </c>
      <c r="F2344" t="s">
        <v>42</v>
      </c>
      <c r="G2344">
        <v>-460.66730000000001</v>
      </c>
      <c r="H2344">
        <v>-0.05</v>
      </c>
      <c r="I2344">
        <v>269.90769999999998</v>
      </c>
      <c r="J2344">
        <v>-373.75040000000001</v>
      </c>
      <c r="K2344">
        <v>1.110171</v>
      </c>
      <c r="L2344">
        <v>285.51</v>
      </c>
      <c r="M2344">
        <v>-0.99994680000000002</v>
      </c>
      <c r="N2344">
        <v>-1.0090770000000001E-2</v>
      </c>
      <c r="O2344">
        <v>2.1557899999999999E-3</v>
      </c>
      <c r="P2344">
        <v>-0.97447499999999998</v>
      </c>
      <c r="Q2344">
        <v>0.18700240000000001</v>
      </c>
      <c r="R2344">
        <v>-0.1242134</v>
      </c>
      <c r="S2344">
        <v>-3.017944</v>
      </c>
      <c r="T2344">
        <v>-4.0165190000000003E-2</v>
      </c>
      <c r="U2344">
        <v>-0.54013059999999902</v>
      </c>
      <c r="V2344">
        <v>-0.126304</v>
      </c>
      <c r="W2344">
        <v>0.1968297</v>
      </c>
      <c r="X2344">
        <v>0.97226820000000003</v>
      </c>
      <c r="Y2344">
        <v>-0.17826829999999999</v>
      </c>
      <c r="Z2344">
        <v>-2.090363E-3</v>
      </c>
      <c r="AA2344">
        <v>0.98397970000000001</v>
      </c>
      <c r="AB2344">
        <v>27</v>
      </c>
      <c r="AC2344">
        <v>-86.916899999999998</v>
      </c>
      <c r="AD2344">
        <v>-1.1601709999999901</v>
      </c>
      <c r="AE2344">
        <v>-15.6023</v>
      </c>
      <c r="AF2344">
        <v>-15.786922902650099</v>
      </c>
      <c r="AG2344">
        <v>-1.1601709999999901</v>
      </c>
      <c r="AH2344">
        <v>86.868066857148193</v>
      </c>
      <c r="AI2344">
        <v>90.752841518045301</v>
      </c>
      <c r="AJ2344">
        <v>100.30020406790899</v>
      </c>
      <c r="AK2344">
        <v>88.298550220156102</v>
      </c>
      <c r="AL2344">
        <v>78.6483710478213</v>
      </c>
      <c r="AM2344">
        <v>97.401646321930301</v>
      </c>
      <c r="AN2344">
        <v>1.00000004197466</v>
      </c>
    </row>
    <row r="2345" spans="1:40" x14ac:dyDescent="0.25">
      <c r="A2345" t="str">
        <f>"20190304155102961"</f>
        <v>20190304155102961</v>
      </c>
      <c r="B2345" t="str">
        <f>"1551685862958666"</f>
        <v>1551685862958666</v>
      </c>
      <c r="C2345" t="s">
        <v>40</v>
      </c>
      <c r="D2345">
        <v>5.2729059999999999</v>
      </c>
      <c r="E2345">
        <v>0.47798459999999998</v>
      </c>
      <c r="F2345" t="s">
        <v>42</v>
      </c>
      <c r="G2345">
        <v>-466.4778</v>
      </c>
      <c r="H2345">
        <v>-0.05</v>
      </c>
      <c r="I2345">
        <v>268.82549999999998</v>
      </c>
      <c r="J2345">
        <v>-374.02080000000001</v>
      </c>
      <c r="K2345">
        <v>1.1101540000000001</v>
      </c>
      <c r="L2345">
        <v>285.51060000000001</v>
      </c>
      <c r="M2345">
        <v>-0.99994709999999998</v>
      </c>
      <c r="N2345">
        <v>-1.005757E-2</v>
      </c>
      <c r="O2345">
        <v>2.170323E-3</v>
      </c>
      <c r="P2345">
        <v>-0.97448179999999995</v>
      </c>
      <c r="Q2345">
        <v>0.1866439</v>
      </c>
      <c r="R2345">
        <v>-0.1246969</v>
      </c>
      <c r="S2345">
        <v>-3.016632</v>
      </c>
      <c r="T2345">
        <v>-3.7742970000000001E-2</v>
      </c>
      <c r="U2345">
        <v>-0.54278559999999998</v>
      </c>
      <c r="V2345">
        <v>-0.12679949999999901</v>
      </c>
      <c r="W2345">
        <v>0.1964407</v>
      </c>
      <c r="X2345">
        <v>0.97228239999999999</v>
      </c>
      <c r="Y2345">
        <v>-0.1791981</v>
      </c>
      <c r="Z2345">
        <v>-2.0257550000000002E-3</v>
      </c>
      <c r="AA2345">
        <v>0.98381090000000004</v>
      </c>
      <c r="AB2345">
        <v>27</v>
      </c>
      <c r="AC2345">
        <v>-92.456999999999994</v>
      </c>
      <c r="AD2345">
        <v>-1.1601539999999999</v>
      </c>
      <c r="AE2345">
        <v>-16.685099999999998</v>
      </c>
      <c r="AF2345">
        <v>-16.883157930791601</v>
      </c>
      <c r="AG2345">
        <v>-1.1601539999999999</v>
      </c>
      <c r="AH2345">
        <v>92.406477534235606</v>
      </c>
      <c r="AI2345">
        <v>90.707592939577097</v>
      </c>
      <c r="AJ2345">
        <v>100.354043242176</v>
      </c>
      <c r="AK2345">
        <v>93.943302418559696</v>
      </c>
      <c r="AL2345">
        <v>78.671103153714597</v>
      </c>
      <c r="AM2345">
        <v>97.430252376180604</v>
      </c>
      <c r="AN2345">
        <v>1.00000006358324</v>
      </c>
    </row>
    <row r="2346" spans="1:40" x14ac:dyDescent="0.25">
      <c r="A2346" t="str">
        <f>"20190304155102985"</f>
        <v>20190304155102985</v>
      </c>
      <c r="B2346" t="str">
        <f>"1551685862979162"</f>
        <v>1551685862979162</v>
      </c>
      <c r="C2346" t="s">
        <v>40</v>
      </c>
      <c r="D2346">
        <v>7.5799440000000002</v>
      </c>
      <c r="E2346">
        <v>0.47813739999999999</v>
      </c>
      <c r="F2346" t="s">
        <v>41</v>
      </c>
      <c r="G2346">
        <v>-480.1678</v>
      </c>
      <c r="H2346" s="1">
        <v>-4.9432329999999998E-6</v>
      </c>
      <c r="I2346">
        <v>266.48649999999998</v>
      </c>
      <c r="J2346">
        <v>-374.30509999999998</v>
      </c>
      <c r="K2346">
        <v>1.1101399999999999</v>
      </c>
      <c r="L2346">
        <v>285.51119999999997</v>
      </c>
      <c r="M2346">
        <v>-0.99994749999999999</v>
      </c>
      <c r="N2346">
        <v>-1.00252E-2</v>
      </c>
      <c r="O2346">
        <v>2.196688E-3</v>
      </c>
      <c r="P2346">
        <v>-0.97451690000000002</v>
      </c>
      <c r="Q2346">
        <v>0.1860677</v>
      </c>
      <c r="R2346">
        <v>-0.12528599999999901</v>
      </c>
      <c r="S2346">
        <v>-3.0154109999999998</v>
      </c>
      <c r="T2346">
        <v>-3.1537290000000003E-2</v>
      </c>
      <c r="U2346">
        <v>-0.54043580000000002</v>
      </c>
      <c r="V2346">
        <v>-0.12741050000000001</v>
      </c>
      <c r="W2346">
        <v>0.1958356</v>
      </c>
      <c r="X2346">
        <v>0.97232450000000004</v>
      </c>
      <c r="Y2346">
        <v>-0.17855670000000001</v>
      </c>
      <c r="Z2346">
        <v>-1.829455E-3</v>
      </c>
      <c r="AA2346">
        <v>0.98392789999999997</v>
      </c>
      <c r="AB2346">
        <v>27</v>
      </c>
      <c r="AC2346">
        <v>-105.8627</v>
      </c>
      <c r="AD2346">
        <v>-1.1101449432329999</v>
      </c>
      <c r="AE2346">
        <v>-19.024699999999999</v>
      </c>
      <c r="AF2346">
        <v>-19.255161825712001</v>
      </c>
      <c r="AG2346">
        <v>-1.1101449432329999</v>
      </c>
      <c r="AH2346">
        <v>105.809379332207</v>
      </c>
      <c r="AI2346">
        <v>90.591409167226502</v>
      </c>
      <c r="AJ2346">
        <v>100.313805810688</v>
      </c>
      <c r="AK2346">
        <v>107.55286343652701</v>
      </c>
      <c r="AL2346">
        <v>78.706458574206707</v>
      </c>
      <c r="AM2346">
        <v>97.465333488431995</v>
      </c>
      <c r="AN2346">
        <v>0.99999997551892905</v>
      </c>
    </row>
    <row r="2347" spans="1:40" x14ac:dyDescent="0.25">
      <c r="A2347" t="str">
        <f>"20190304155103006"</f>
        <v>20190304155103006</v>
      </c>
      <c r="B2347" t="str">
        <f>"1551685862998686"</f>
        <v>1551685862998686</v>
      </c>
      <c r="C2347" t="s">
        <v>40</v>
      </c>
      <c r="D2347">
        <v>5.3616599999999996</v>
      </c>
      <c r="E2347">
        <v>0.47817290000000001</v>
      </c>
      <c r="F2347" t="s">
        <v>41</v>
      </c>
      <c r="G2347">
        <v>-476.44749999999999</v>
      </c>
      <c r="H2347">
        <v>7.9986260000000003E-2</v>
      </c>
      <c r="I2347">
        <v>267.18619999999999</v>
      </c>
      <c r="J2347">
        <v>-374.56900000000002</v>
      </c>
      <c r="K2347">
        <v>1.110123</v>
      </c>
      <c r="L2347">
        <v>285.51179999999999</v>
      </c>
      <c r="M2347">
        <v>-0.99994749999999999</v>
      </c>
      <c r="N2347">
        <v>-9.9976849999999992E-3</v>
      </c>
      <c r="O2347">
        <v>2.2361669999999998E-3</v>
      </c>
      <c r="P2347">
        <v>-0.97443659999999999</v>
      </c>
      <c r="Q2347">
        <v>0.18620490000000001</v>
      </c>
      <c r="R2347">
        <v>-0.12570149999999999</v>
      </c>
      <c r="S2347">
        <v>-3.0147400000000002</v>
      </c>
      <c r="T2347">
        <v>-3.0405040000000001E-2</v>
      </c>
      <c r="U2347">
        <v>-0.54086299999999998</v>
      </c>
      <c r="V2347">
        <v>-0.12785959999999999</v>
      </c>
      <c r="W2347">
        <v>0.19594880000000001</v>
      </c>
      <c r="X2347">
        <v>0.97224279999999996</v>
      </c>
      <c r="Y2347">
        <v>-0.1787697</v>
      </c>
      <c r="Z2347">
        <v>-1.79530799999999E-3</v>
      </c>
      <c r="AA2347">
        <v>0.98388929999999997</v>
      </c>
      <c r="AB2347">
        <v>27</v>
      </c>
      <c r="AC2347">
        <v>-101.87849999999899</v>
      </c>
      <c r="AD2347">
        <v>-1.0301367400000001</v>
      </c>
      <c r="AE2347">
        <v>-18.325600000000001</v>
      </c>
      <c r="AF2347">
        <v>-18.5515456281822</v>
      </c>
      <c r="AG2347">
        <v>-1.0301367400000001</v>
      </c>
      <c r="AH2347">
        <v>101.827179496708</v>
      </c>
      <c r="AI2347">
        <v>90.570228537991497</v>
      </c>
      <c r="AJ2347">
        <v>100.325277383352</v>
      </c>
      <c r="AK2347">
        <v>103.50843207754799</v>
      </c>
      <c r="AL2347">
        <v>78.699845238568301</v>
      </c>
      <c r="AM2347">
        <v>97.491971508316894</v>
      </c>
      <c r="AN2347">
        <v>1.0000000358427099</v>
      </c>
    </row>
    <row r="2348" spans="1:40" x14ac:dyDescent="0.25">
      <c r="A2348" t="str">
        <f>"20190304155103028"</f>
        <v>20190304155103028</v>
      </c>
      <c r="B2348" t="str">
        <f>"1551685863019178"</f>
        <v>1551685863019178</v>
      </c>
      <c r="C2348" t="s">
        <v>40</v>
      </c>
      <c r="D2348">
        <v>5.1444169999999998</v>
      </c>
      <c r="E2348">
        <v>0.47833759999999997</v>
      </c>
      <c r="F2348" t="s">
        <v>41</v>
      </c>
      <c r="G2348">
        <v>-499.95780000000002</v>
      </c>
      <c r="H2348">
        <v>3.9755779999999998E-2</v>
      </c>
      <c r="I2348">
        <v>262.98390000000001</v>
      </c>
      <c r="J2348">
        <v>-374.83780000000002</v>
      </c>
      <c r="K2348">
        <v>1.1101049999999999</v>
      </c>
      <c r="L2348">
        <v>285.51249999999999</v>
      </c>
      <c r="M2348">
        <v>-0.99994769999999999</v>
      </c>
      <c r="N2348">
        <v>-9.9666400000000006E-3</v>
      </c>
      <c r="O2348">
        <v>2.294768E-3</v>
      </c>
      <c r="P2348">
        <v>-0.97435309999999997</v>
      </c>
      <c r="Q2348">
        <v>0.18623870000000001</v>
      </c>
      <c r="R2348">
        <v>-0.1262982</v>
      </c>
      <c r="S2348">
        <v>-3.0137939999999999</v>
      </c>
      <c r="T2348">
        <v>-2.5726909999999999E-2</v>
      </c>
      <c r="U2348">
        <v>-0.54147339999999999</v>
      </c>
      <c r="V2348">
        <v>-0.12850699999999901</v>
      </c>
      <c r="W2348">
        <v>0.1959554</v>
      </c>
      <c r="X2348">
        <v>0.97215600000000002</v>
      </c>
      <c r="Y2348">
        <v>-0.17907799999999999</v>
      </c>
      <c r="Z2348">
        <v>-1.6545479999999901E-3</v>
      </c>
      <c r="AA2348">
        <v>0.98383350000000003</v>
      </c>
      <c r="AB2348">
        <v>27</v>
      </c>
      <c r="AC2348">
        <v>-125.12</v>
      </c>
      <c r="AD2348">
        <v>-1.07034922</v>
      </c>
      <c r="AE2348">
        <v>-22.528599999999901</v>
      </c>
      <c r="AF2348">
        <v>-22.814059184871599</v>
      </c>
      <c r="AG2348">
        <v>-1.07034922</v>
      </c>
      <c r="AH2348">
        <v>125.059105506799</v>
      </c>
      <c r="AI2348">
        <v>90.482407086898505</v>
      </c>
      <c r="AJ2348">
        <v>100.338565746783</v>
      </c>
      <c r="AK2348">
        <v>127.127521859369</v>
      </c>
      <c r="AL2348">
        <v>78.699458376709501</v>
      </c>
      <c r="AM2348">
        <v>97.530136505026206</v>
      </c>
      <c r="AN2348">
        <v>0.99999992808707705</v>
      </c>
    </row>
    <row r="2349" spans="1:40" x14ac:dyDescent="0.25">
      <c r="A2349" t="str">
        <f>"20190304155103051"</f>
        <v>20190304155103051</v>
      </c>
      <c r="B2349" t="str">
        <f>"1551685863038698"</f>
        <v>1551685863038698</v>
      </c>
      <c r="C2349" t="s">
        <v>40</v>
      </c>
      <c r="D2349">
        <v>4.517474</v>
      </c>
      <c r="E2349">
        <v>0.4782595</v>
      </c>
      <c r="F2349" t="s">
        <v>41</v>
      </c>
      <c r="G2349">
        <v>-492.8519</v>
      </c>
      <c r="H2349" s="1">
        <v>-2.7865630000000002E-6</v>
      </c>
      <c r="I2349">
        <v>264.3159</v>
      </c>
      <c r="J2349">
        <v>-375.10919999999999</v>
      </c>
      <c r="K2349">
        <v>1.110085</v>
      </c>
      <c r="L2349">
        <v>285.51319999999998</v>
      </c>
      <c r="M2349">
        <v>-0.99994780000000005</v>
      </c>
      <c r="N2349">
        <v>-9.9338220000000001E-3</v>
      </c>
      <c r="O2349">
        <v>2.3743800000000002E-3</v>
      </c>
      <c r="P2349">
        <v>-0.97437830000000003</v>
      </c>
      <c r="Q2349">
        <v>0.1858156</v>
      </c>
      <c r="R2349">
        <v>-0.12672739999999999</v>
      </c>
      <c r="S2349">
        <v>-3.0141909999999998</v>
      </c>
      <c r="T2349">
        <v>-2.835321E-2</v>
      </c>
      <c r="U2349">
        <v>-0.54138180000000002</v>
      </c>
      <c r="V2349">
        <v>-0.1290065</v>
      </c>
      <c r="W2349">
        <v>0.19550509999999999</v>
      </c>
      <c r="X2349">
        <v>0.97218059999999995</v>
      </c>
      <c r="Y2349">
        <v>-0.1791027</v>
      </c>
      <c r="Z2349">
        <v>-1.731137E-3</v>
      </c>
      <c r="AA2349">
        <v>0.98382879999999995</v>
      </c>
      <c r="AB2349">
        <v>27</v>
      </c>
      <c r="AC2349">
        <v>-117.7427</v>
      </c>
      <c r="AD2349">
        <v>-1.1100877865629999</v>
      </c>
      <c r="AE2349">
        <v>-21.197299999999899</v>
      </c>
      <c r="AF2349">
        <v>-21.4749710040285</v>
      </c>
      <c r="AG2349">
        <v>-1.1100877865629999</v>
      </c>
      <c r="AH2349">
        <v>117.681902939351</v>
      </c>
      <c r="AI2349">
        <v>90.531672954332393</v>
      </c>
      <c r="AJ2349">
        <v>100.341725959304</v>
      </c>
      <c r="AK2349">
        <v>119.630418180096</v>
      </c>
      <c r="AL2349">
        <v>78.725768597204805</v>
      </c>
      <c r="AM2349">
        <v>97.5588788792532</v>
      </c>
      <c r="AN2349">
        <v>1.0000000200923</v>
      </c>
    </row>
    <row r="2350" spans="1:40" x14ac:dyDescent="0.25">
      <c r="A2350" t="str">
        <f>"20190304155103073"</f>
        <v>20190304155103073</v>
      </c>
      <c r="B2350" t="str">
        <f>"1551685863068954"</f>
        <v>1551685863068954</v>
      </c>
      <c r="C2350" t="s">
        <v>40</v>
      </c>
      <c r="D2350">
        <v>5.2020330000000001</v>
      </c>
      <c r="E2350">
        <v>0.47792950000000001</v>
      </c>
      <c r="F2350" t="s">
        <v>41</v>
      </c>
      <c r="G2350">
        <v>-494.07</v>
      </c>
      <c r="H2350" s="1">
        <v>-2.995578E-6</v>
      </c>
      <c r="I2350">
        <v>264.04759999999999</v>
      </c>
      <c r="J2350">
        <v>-375.38569999999999</v>
      </c>
      <c r="K2350">
        <v>1.1100699999999999</v>
      </c>
      <c r="L2350">
        <v>285.51389999999998</v>
      </c>
      <c r="M2350">
        <v>-0.9999479</v>
      </c>
      <c r="N2350">
        <v>-9.9029349999999999E-3</v>
      </c>
      <c r="O2350">
        <v>2.4735759999999999E-3</v>
      </c>
      <c r="P2350">
        <v>-0.97460440000000004</v>
      </c>
      <c r="Q2350">
        <v>0.1848542</v>
      </c>
      <c r="R2350">
        <v>-0.12639439999999999</v>
      </c>
      <c r="S2350">
        <v>-3.0134889999999999</v>
      </c>
      <c r="T2350">
        <v>-2.812052E-2</v>
      </c>
      <c r="U2350">
        <v>-0.54376219999999997</v>
      </c>
      <c r="V2350">
        <v>-0.1287642</v>
      </c>
      <c r="W2350">
        <v>0.19452059999999999</v>
      </c>
      <c r="X2350">
        <v>0.97241010000000005</v>
      </c>
      <c r="Y2350">
        <v>-0.17999299999999999</v>
      </c>
      <c r="Z2350">
        <v>-1.730091E-3</v>
      </c>
      <c r="AA2350">
        <v>0.98366640000000005</v>
      </c>
      <c r="AB2350">
        <v>27</v>
      </c>
      <c r="AC2350">
        <v>-118.68429999999999</v>
      </c>
      <c r="AD2350">
        <v>-1.110072995578</v>
      </c>
      <c r="AE2350">
        <v>-21.466299999999901</v>
      </c>
      <c r="AF2350">
        <v>-21.757980228809402</v>
      </c>
      <c r="AG2350">
        <v>-1.110072995578</v>
      </c>
      <c r="AH2350">
        <v>118.620787333217</v>
      </c>
      <c r="AI2350">
        <v>90.527370072078</v>
      </c>
      <c r="AJ2350">
        <v>100.39392144572</v>
      </c>
      <c r="AK2350">
        <v>120.60486372134901</v>
      </c>
      <c r="AL2350">
        <v>78.783279604098993</v>
      </c>
      <c r="AM2350">
        <v>97.543085332801098</v>
      </c>
      <c r="AN2350">
        <v>0.99999994280400295</v>
      </c>
    </row>
    <row r="2351" spans="1:40" x14ac:dyDescent="0.25">
      <c r="A2351" t="str">
        <f>"20190304155103097"</f>
        <v>20190304155103097</v>
      </c>
      <c r="B2351" t="str">
        <f>"1551685863089450"</f>
        <v>1551685863089450</v>
      </c>
      <c r="C2351" t="s">
        <v>40</v>
      </c>
      <c r="D2351">
        <v>5.1489419999999999</v>
      </c>
      <c r="E2351">
        <v>0.47843609999999998</v>
      </c>
      <c r="F2351" t="s">
        <v>42</v>
      </c>
      <c r="G2351">
        <v>-472.89159999999998</v>
      </c>
      <c r="H2351">
        <v>-0.05</v>
      </c>
      <c r="I2351">
        <v>267.87889999999999</v>
      </c>
      <c r="J2351">
        <v>-375.66590000000002</v>
      </c>
      <c r="K2351">
        <v>1.1100559999999999</v>
      </c>
      <c r="L2351">
        <v>285.5147</v>
      </c>
      <c r="M2351">
        <v>-0.99994799999999995</v>
      </c>
      <c r="N2351">
        <v>-9.8754280000000003E-3</v>
      </c>
      <c r="O2351">
        <v>2.5910350000000002E-3</v>
      </c>
      <c r="P2351">
        <v>-0.97453809999999996</v>
      </c>
      <c r="Q2351">
        <v>0.18523829999999999</v>
      </c>
      <c r="R2351">
        <v>-0.12634429999999999</v>
      </c>
      <c r="S2351">
        <v>-3.0142820000000001</v>
      </c>
      <c r="T2351">
        <v>-3.5862209999999999E-2</v>
      </c>
      <c r="U2351">
        <v>-0.54516600000000004</v>
      </c>
      <c r="V2351">
        <v>-0.12882209999999999</v>
      </c>
      <c r="W2351">
        <v>0.19488069999999999</v>
      </c>
      <c r="X2351">
        <v>0.97233040000000004</v>
      </c>
      <c r="Y2351">
        <v>-0.18049979999999999</v>
      </c>
      <c r="Z2351">
        <v>-1.9687699999999999E-3</v>
      </c>
      <c r="AA2351">
        <v>0.98357300000000003</v>
      </c>
      <c r="AB2351">
        <v>27</v>
      </c>
      <c r="AC2351">
        <v>-97.225699999999904</v>
      </c>
      <c r="AD2351">
        <v>-1.160056</v>
      </c>
      <c r="AE2351">
        <v>-17.6358</v>
      </c>
      <c r="AF2351">
        <v>-17.8852031655702</v>
      </c>
      <c r="AG2351">
        <v>-1.160056</v>
      </c>
      <c r="AH2351">
        <v>97.1662842057071</v>
      </c>
      <c r="AI2351">
        <v>90.672714443756604</v>
      </c>
      <c r="AJ2351">
        <v>100.42957675762401</v>
      </c>
      <c r="AK2351">
        <v>98.805430055949401</v>
      </c>
      <c r="AL2351">
        <v>78.762245651596203</v>
      </c>
      <c r="AM2351">
        <v>97.547049504824102</v>
      </c>
      <c r="AN2351">
        <v>1.00000001372253</v>
      </c>
    </row>
    <row r="2352" spans="1:40" x14ac:dyDescent="0.25">
      <c r="A2352" t="str">
        <f>"20190304155103119"</f>
        <v>20190304155103119</v>
      </c>
      <c r="B2352" t="str">
        <f>"1551685863108971"</f>
        <v>1551685863108971</v>
      </c>
      <c r="C2352" t="s">
        <v>40</v>
      </c>
      <c r="D2352">
        <v>5.1462430000000001</v>
      </c>
      <c r="E2352">
        <v>0.47823120000000002</v>
      </c>
      <c r="F2352" t="s">
        <v>42</v>
      </c>
      <c r="G2352">
        <v>-474.87819999999999</v>
      </c>
      <c r="H2352">
        <v>-0.05</v>
      </c>
      <c r="I2352">
        <v>267.71769999999998</v>
      </c>
      <c r="J2352">
        <v>-375.9366</v>
      </c>
      <c r="K2352">
        <v>1.110044</v>
      </c>
      <c r="L2352">
        <v>285.51560000000001</v>
      </c>
      <c r="M2352">
        <v>-0.9999479</v>
      </c>
      <c r="N2352">
        <v>-9.8519090000000007E-3</v>
      </c>
      <c r="O2352">
        <v>2.7185149999999999E-3</v>
      </c>
      <c r="P2352">
        <v>-0.97452559999999999</v>
      </c>
      <c r="Q2352">
        <v>0.18565090000000001</v>
      </c>
      <c r="R2352">
        <v>-0.1258329</v>
      </c>
      <c r="S2352">
        <v>-3.0149539999999999</v>
      </c>
      <c r="T2352">
        <v>-3.5252810000000002E-2</v>
      </c>
      <c r="U2352">
        <v>-0.54083249999999905</v>
      </c>
      <c r="V2352">
        <v>-0.12843080000000001</v>
      </c>
      <c r="W2352">
        <v>0.19527310000000001</v>
      </c>
      <c r="X2352">
        <v>0.97230349999999999</v>
      </c>
      <c r="Y2352">
        <v>-0.17921819999999999</v>
      </c>
      <c r="Z2352">
        <v>-1.9342910000000001E-3</v>
      </c>
      <c r="AA2352">
        <v>0.9838074</v>
      </c>
      <c r="AB2352">
        <v>27</v>
      </c>
      <c r="AC2352">
        <v>-98.941599999999994</v>
      </c>
      <c r="AD2352">
        <v>-1.1600440000000001</v>
      </c>
      <c r="AE2352">
        <v>-17.797899999999998</v>
      </c>
      <c r="AF2352">
        <v>-18.064416085622199</v>
      </c>
      <c r="AG2352">
        <v>-1.1600440000000001</v>
      </c>
      <c r="AH2352">
        <v>98.879681733717106</v>
      </c>
      <c r="AI2352">
        <v>90.661213295704002</v>
      </c>
      <c r="AJ2352">
        <v>100.35324089393499</v>
      </c>
      <c r="AK2352">
        <v>100.522934151155</v>
      </c>
      <c r="AL2352">
        <v>78.739323084456899</v>
      </c>
      <c r="AM2352">
        <v>97.524594019232197</v>
      </c>
      <c r="AN2352">
        <v>1.00000007504224</v>
      </c>
    </row>
    <row r="2353" spans="1:40" x14ac:dyDescent="0.25">
      <c r="A2353" t="str">
        <f>"20190304155103140"</f>
        <v>20190304155103140</v>
      </c>
      <c r="B2353" t="str">
        <f>"1551685863129467"</f>
        <v>1551685863129467</v>
      </c>
      <c r="C2353" t="s">
        <v>40</v>
      </c>
      <c r="D2353">
        <v>4.5217489999999998</v>
      </c>
      <c r="E2353">
        <v>0.47875380000000001</v>
      </c>
      <c r="F2353" t="s">
        <v>42</v>
      </c>
      <c r="G2353">
        <v>-467.42779999999999</v>
      </c>
      <c r="H2353">
        <v>-0.05</v>
      </c>
      <c r="I2353">
        <v>269.10950000000003</v>
      </c>
      <c r="J2353">
        <v>-376.1968</v>
      </c>
      <c r="K2353">
        <v>1.110034</v>
      </c>
      <c r="L2353">
        <v>285.51639999999998</v>
      </c>
      <c r="M2353">
        <v>-0.99994769999999999</v>
      </c>
      <c r="N2353">
        <v>-9.8318390000000002E-3</v>
      </c>
      <c r="O2353">
        <v>2.8508349999999999E-3</v>
      </c>
      <c r="P2353">
        <v>-0.97453049999999997</v>
      </c>
      <c r="Q2353">
        <v>0.1859065</v>
      </c>
      <c r="R2353">
        <v>-0.1254178</v>
      </c>
      <c r="S2353">
        <v>-3.0158689999999999</v>
      </c>
      <c r="T2353">
        <v>-3.8239120000000001E-2</v>
      </c>
      <c r="U2353">
        <v>-0.540802</v>
      </c>
      <c r="V2353">
        <v>-0.1281408</v>
      </c>
      <c r="W2353">
        <v>0.19551160000000001</v>
      </c>
      <c r="X2353">
        <v>0.97229370000000004</v>
      </c>
      <c r="Y2353">
        <v>-0.17928379999999999</v>
      </c>
      <c r="Z2353">
        <v>-2.0240169999999999E-3</v>
      </c>
      <c r="AA2353">
        <v>0.98379530000000004</v>
      </c>
      <c r="AB2353">
        <v>27</v>
      </c>
      <c r="AC2353">
        <v>-91.230999999999995</v>
      </c>
      <c r="AD2353">
        <v>-1.160034</v>
      </c>
      <c r="AE2353">
        <v>-16.406899999999901</v>
      </c>
      <c r="AF2353">
        <v>-16.664320515835801</v>
      </c>
      <c r="AG2353">
        <v>-1.160034</v>
      </c>
      <c r="AH2353">
        <v>91.169575104423103</v>
      </c>
      <c r="AI2353">
        <v>90.717107773454202</v>
      </c>
      <c r="AJ2353">
        <v>100.35839224566899</v>
      </c>
      <c r="AK2353">
        <v>92.6873059369874</v>
      </c>
      <c r="AL2353">
        <v>78.725387985170002</v>
      </c>
      <c r="AM2353">
        <v>97.507872145015796</v>
      </c>
      <c r="AN2353">
        <v>0.99999994470944298</v>
      </c>
    </row>
    <row r="2354" spans="1:40" x14ac:dyDescent="0.25">
      <c r="A2354" t="str">
        <f>"20190304155103162"</f>
        <v>20190304155103162</v>
      </c>
      <c r="B2354" t="str">
        <f>"1551685863158747"</f>
        <v>1551685863158747</v>
      </c>
      <c r="C2354" t="s">
        <v>40</v>
      </c>
      <c r="D2354">
        <v>5.0567449999999896</v>
      </c>
      <c r="E2354">
        <v>0.53148930000000005</v>
      </c>
      <c r="F2354" t="s">
        <v>42</v>
      </c>
      <c r="G2354">
        <v>-475.13290000000001</v>
      </c>
      <c r="H2354">
        <v>-0.05</v>
      </c>
      <c r="I2354">
        <v>267.95780000000002</v>
      </c>
      <c r="J2354">
        <v>-376.46980000000002</v>
      </c>
      <c r="K2354">
        <v>1.110026</v>
      </c>
      <c r="L2354">
        <v>285.51729999999998</v>
      </c>
      <c r="M2354">
        <v>-0.99994740000000004</v>
      </c>
      <c r="N2354">
        <v>-9.8135189999999997E-3</v>
      </c>
      <c r="O2354">
        <v>2.996121E-3</v>
      </c>
      <c r="P2354">
        <v>-0.97468370000000004</v>
      </c>
      <c r="Q2354">
        <v>0.185451</v>
      </c>
      <c r="R2354">
        <v>-0.12489939999999999</v>
      </c>
      <c r="S2354">
        <v>-3.0162659999999999</v>
      </c>
      <c r="T2354">
        <v>-3.5365939999999998E-2</v>
      </c>
      <c r="U2354">
        <v>-0.53530880000000003</v>
      </c>
      <c r="V2354">
        <v>-0.1277626</v>
      </c>
      <c r="W2354">
        <v>0.19504070000000001</v>
      </c>
      <c r="X2354">
        <v>0.97243809999999997</v>
      </c>
      <c r="Y2354">
        <v>-0.17767069999999999</v>
      </c>
      <c r="Z2354">
        <v>-1.9177980000000001E-3</v>
      </c>
      <c r="AA2354">
        <v>0.98408810000000002</v>
      </c>
      <c r="AB2354">
        <v>27</v>
      </c>
      <c r="AC2354">
        <v>-98.6631</v>
      </c>
      <c r="AD2354">
        <v>-1.160026</v>
      </c>
      <c r="AE2354">
        <v>-17.5594999999999</v>
      </c>
      <c r="AF2354">
        <v>-17.852649851797601</v>
      </c>
      <c r="AG2354">
        <v>-1.160026</v>
      </c>
      <c r="AH2354">
        <v>98.596832886860696</v>
      </c>
      <c r="AI2354">
        <v>90.663289253363203</v>
      </c>
      <c r="AJ2354">
        <v>100.26318831301801</v>
      </c>
      <c r="AK2354">
        <v>100.206777327539</v>
      </c>
      <c r="AL2354">
        <v>78.752898902911397</v>
      </c>
      <c r="AM2354">
        <v>97.484865782556597</v>
      </c>
      <c r="AN2354">
        <v>1.0000000074734201</v>
      </c>
    </row>
    <row r="2355" spans="1:40" x14ac:dyDescent="0.25">
      <c r="A2355" t="str">
        <f>"20190304155103185"</f>
        <v>20190304155103185</v>
      </c>
      <c r="B2355" t="str">
        <f>"1551685863179242"</f>
        <v>1551685863179242</v>
      </c>
      <c r="C2355" t="s">
        <v>40</v>
      </c>
      <c r="D2355">
        <v>4.619904</v>
      </c>
      <c r="E2355">
        <v>0.53449760000000002</v>
      </c>
      <c r="F2355" t="s">
        <v>75</v>
      </c>
      <c r="G2355">
        <v>-551.06290000000001</v>
      </c>
      <c r="H2355">
        <v>3.0385439999999999</v>
      </c>
      <c r="I2355">
        <v>278.81459999999998</v>
      </c>
      <c r="J2355">
        <v>-376.74979999999999</v>
      </c>
      <c r="K2355">
        <v>1.11002</v>
      </c>
      <c r="L2355">
        <v>285.51830000000001</v>
      </c>
      <c r="M2355">
        <v>-0.99994709999999998</v>
      </c>
      <c r="N2355">
        <v>-9.7972130000000008E-3</v>
      </c>
      <c r="O2355">
        <v>3.1485279999999998E-3</v>
      </c>
      <c r="P2355">
        <v>-0.9747131</v>
      </c>
      <c r="Q2355">
        <v>0.18552959999999999</v>
      </c>
      <c r="R2355">
        <v>-0.1245525</v>
      </c>
      <c r="S2355">
        <v>-3.0564879999999999</v>
      </c>
      <c r="T2355">
        <v>3.3762689999999998E-2</v>
      </c>
      <c r="U2355">
        <v>-0.1173401</v>
      </c>
      <c r="V2355">
        <v>-0.12756199999999901</v>
      </c>
      <c r="W2355">
        <v>0.19510520000000001</v>
      </c>
      <c r="X2355">
        <v>0.97245150000000002</v>
      </c>
      <c r="Y2355">
        <v>-4.1507450000000001E-2</v>
      </c>
      <c r="Z2355" s="1">
        <v>9.1350110000000006E-5</v>
      </c>
      <c r="AA2355">
        <v>0.99913819999999998</v>
      </c>
      <c r="AB2355">
        <v>27</v>
      </c>
      <c r="AC2355">
        <v>-174.31309999999999</v>
      </c>
      <c r="AD2355">
        <v>1.9285239999999999</v>
      </c>
      <c r="AE2355">
        <v>-6.70370000000002</v>
      </c>
      <c r="AF2355">
        <v>-7.2516364519915903</v>
      </c>
      <c r="AG2355">
        <v>1.9285239999999999</v>
      </c>
      <c r="AH2355">
        <v>174.269828564531</v>
      </c>
      <c r="AI2355">
        <v>89.366521164319295</v>
      </c>
      <c r="AJ2355">
        <v>92.382791139219293</v>
      </c>
      <c r="AK2355">
        <v>174.43130047087701</v>
      </c>
      <c r="AL2355">
        <v>78.749130982331906</v>
      </c>
      <c r="AM2355">
        <v>97.473144922238603</v>
      </c>
      <c r="AN2355">
        <v>1.0000000113816401</v>
      </c>
    </row>
    <row r="2356" spans="1:40" x14ac:dyDescent="0.25">
      <c r="A2356" t="str">
        <f>"20190304155103207"</f>
        <v>20190304155103207</v>
      </c>
      <c r="B2356" t="str">
        <f>"1551685863198766"</f>
        <v>1551685863198766</v>
      </c>
      <c r="C2356" t="s">
        <v>40</v>
      </c>
      <c r="D2356">
        <v>5.1546110000000001</v>
      </c>
      <c r="E2356">
        <v>0.53365169999999995</v>
      </c>
      <c r="F2356" t="s">
        <v>53</v>
      </c>
      <c r="G2356">
        <v>0</v>
      </c>
      <c r="H2356">
        <v>0</v>
      </c>
      <c r="I2356">
        <v>0</v>
      </c>
      <c r="J2356">
        <v>-377.02390000000003</v>
      </c>
      <c r="K2356">
        <v>1.11002</v>
      </c>
      <c r="L2356">
        <v>285.51929999999999</v>
      </c>
      <c r="M2356">
        <v>-0.99994680000000002</v>
      </c>
      <c r="N2356">
        <v>-9.783758E-3</v>
      </c>
      <c r="O2356">
        <v>3.298643E-3</v>
      </c>
      <c r="P2356">
        <v>-0.97467289999999995</v>
      </c>
      <c r="Q2356">
        <v>0.18589459999999999</v>
      </c>
      <c r="R2356">
        <v>-0.1243234</v>
      </c>
      <c r="S2356">
        <v>-3.0578919999999998</v>
      </c>
      <c r="T2356">
        <v>4.297948E-2</v>
      </c>
      <c r="U2356">
        <v>-9.1918949999999999E-2</v>
      </c>
      <c r="V2356">
        <v>-0.1274778</v>
      </c>
      <c r="W2356">
        <v>0.19545689999999999</v>
      </c>
      <c r="X2356">
        <v>0.97239189999999998</v>
      </c>
      <c r="Y2356">
        <v>-3.3341219999999998E-2</v>
      </c>
      <c r="Z2356">
        <v>1.4971559999999999E-4</v>
      </c>
      <c r="AA2356">
        <v>0.999444</v>
      </c>
      <c r="AB2356">
        <v>27</v>
      </c>
      <c r="AC2356">
        <v>-3.0578919999999998</v>
      </c>
      <c r="AD2356">
        <v>4.297948E-2</v>
      </c>
      <c r="AE2356">
        <v>-9.1918949999999999E-2</v>
      </c>
      <c r="AF2356">
        <v>-0.101985696537088</v>
      </c>
      <c r="AG2356">
        <v>4.297948E-2</v>
      </c>
      <c r="AH2356">
        <v>3.05696877917054</v>
      </c>
      <c r="AI2356">
        <v>89.194950372773704</v>
      </c>
      <c r="AJ2356">
        <v>91.910776315089507</v>
      </c>
      <c r="AK2356">
        <v>3.0589714668206098</v>
      </c>
      <c r="AL2356">
        <v>78.728584331336407</v>
      </c>
      <c r="AM2356">
        <v>97.468720394199806</v>
      </c>
      <c r="AN2356">
        <v>0.99999999821802998</v>
      </c>
    </row>
    <row r="2357" spans="1:40" x14ac:dyDescent="0.25">
      <c r="A2357" t="str">
        <f>"20190304155103229"</f>
        <v>20190304155103229</v>
      </c>
      <c r="B2357" t="str">
        <f>"1551685863219259"</f>
        <v>1551685863219259</v>
      </c>
      <c r="C2357" t="s">
        <v>40</v>
      </c>
      <c r="D2357">
        <v>5.0153879999999997</v>
      </c>
      <c r="E2357">
        <v>0.53548560000000001</v>
      </c>
      <c r="F2357" t="s">
        <v>53</v>
      </c>
      <c r="G2357">
        <v>0</v>
      </c>
      <c r="H2357">
        <v>0</v>
      </c>
      <c r="I2357">
        <v>0</v>
      </c>
      <c r="J2357">
        <v>-377.29759999999999</v>
      </c>
      <c r="K2357">
        <v>1.110007</v>
      </c>
      <c r="L2357">
        <v>285.5204</v>
      </c>
      <c r="M2357">
        <v>-0.99994640000000001</v>
      </c>
      <c r="N2357">
        <v>-9.7726110000000005E-3</v>
      </c>
      <c r="O2357">
        <v>3.4486069999999998E-3</v>
      </c>
      <c r="P2357">
        <v>-0.97467570000000003</v>
      </c>
      <c r="Q2357">
        <v>0.1860985</v>
      </c>
      <c r="R2357">
        <v>-0.12399489999999901</v>
      </c>
      <c r="S2357">
        <v>-3.0536500000000002</v>
      </c>
      <c r="T2357">
        <v>6.1819199999999998E-2</v>
      </c>
      <c r="U2357">
        <v>-9.8022460000000006E-2</v>
      </c>
      <c r="V2357">
        <v>-0.1272952</v>
      </c>
      <c r="W2357">
        <v>0.19564999999999999</v>
      </c>
      <c r="X2357">
        <v>0.97237700000000005</v>
      </c>
      <c r="Y2357">
        <v>-3.5525069999999999E-2</v>
      </c>
      <c r="Z2357">
        <v>2.8929660000000002E-4</v>
      </c>
      <c r="AA2357">
        <v>0.9993687</v>
      </c>
      <c r="AB2357">
        <v>27</v>
      </c>
      <c r="AC2357">
        <v>-3.0536500000000002</v>
      </c>
      <c r="AD2357">
        <v>6.1819199999999998E-2</v>
      </c>
      <c r="AE2357">
        <v>-9.8022460000000006E-2</v>
      </c>
      <c r="AF2357">
        <v>-0.108508792832561</v>
      </c>
      <c r="AG2357">
        <v>6.1819199999999998E-2</v>
      </c>
      <c r="AH2357">
        <v>3.0520442381053101</v>
      </c>
      <c r="AI2357">
        <v>88.840364289776403</v>
      </c>
      <c r="AJ2357">
        <v>92.036169168188806</v>
      </c>
      <c r="AK2357">
        <v>3.0545981409937402</v>
      </c>
      <c r="AL2357">
        <v>78.717302840314503</v>
      </c>
      <c r="AM2357">
        <v>97.458255672192095</v>
      </c>
      <c r="AN2357">
        <v>1.00000001028602</v>
      </c>
    </row>
    <row r="2358" spans="1:40" x14ac:dyDescent="0.25">
      <c r="A2358" t="str">
        <f>"20190304155103241"</f>
        <v>20190304155103241</v>
      </c>
      <c r="B2358" t="str">
        <f>"1551685863238779"</f>
        <v>1551685863238779</v>
      </c>
      <c r="C2358" t="s">
        <v>40</v>
      </c>
      <c r="D2358">
        <v>5.1415030000000002</v>
      </c>
      <c r="E2358">
        <v>0.53345540000000002</v>
      </c>
      <c r="F2358" t="s">
        <v>53</v>
      </c>
      <c r="G2358">
        <v>0</v>
      </c>
      <c r="H2358">
        <v>0</v>
      </c>
      <c r="I2358">
        <v>0</v>
      </c>
      <c r="J2358">
        <v>-377.44880000000001</v>
      </c>
      <c r="K2358">
        <v>1.110006</v>
      </c>
      <c r="L2358">
        <v>285.52100000000002</v>
      </c>
      <c r="M2358">
        <v>-0.99994609999999995</v>
      </c>
      <c r="N2358">
        <v>-9.7673399999999994E-3</v>
      </c>
      <c r="O2358">
        <v>3.531125E-3</v>
      </c>
      <c r="P2358">
        <v>-0.97471890000000005</v>
      </c>
      <c r="Q2358">
        <v>0.18584880000000001</v>
      </c>
      <c r="R2358">
        <v>-0.1240306</v>
      </c>
      <c r="S2358">
        <v>-3.0544129999999998</v>
      </c>
      <c r="T2358">
        <v>6.8230869999999999E-2</v>
      </c>
      <c r="U2358">
        <v>-8.2702639999999994E-2</v>
      </c>
      <c r="V2358">
        <v>-0.1274112</v>
      </c>
      <c r="W2358">
        <v>0.1953956</v>
      </c>
      <c r="X2358">
        <v>0.97241290000000002</v>
      </c>
      <c r="Y2358">
        <v>-3.0590249999999999E-2</v>
      </c>
      <c r="Z2358">
        <v>3.0546430000000002E-4</v>
      </c>
      <c r="AA2358">
        <v>0.99953199999999998</v>
      </c>
      <c r="AB2358">
        <v>28</v>
      </c>
      <c r="AC2358">
        <v>-3.0544129999999998</v>
      </c>
      <c r="AD2358">
        <v>6.8230869999999999E-2</v>
      </c>
      <c r="AE2358">
        <v>-8.2702639999999994E-2</v>
      </c>
      <c r="AF2358">
        <v>-9.3441558773528596E-2</v>
      </c>
      <c r="AG2358">
        <v>6.8230869999999999E-2</v>
      </c>
      <c r="AH2358">
        <v>3.0525797667963399</v>
      </c>
      <c r="AI2358">
        <v>88.720144605721799</v>
      </c>
      <c r="AJ2358">
        <v>91.753315588702804</v>
      </c>
      <c r="AK2358">
        <v>3.0547716787317198</v>
      </c>
      <c r="AL2358">
        <v>78.732165079193194</v>
      </c>
      <c r="AM2358">
        <v>97.464703033341905</v>
      </c>
      <c r="AN2358">
        <v>0.99999995123560304</v>
      </c>
    </row>
    <row r="2359" spans="1:40" x14ac:dyDescent="0.25">
      <c r="A2359" t="str">
        <f>"20190304155103253"</f>
        <v>20190304155103253</v>
      </c>
      <c r="B2359" t="str">
        <f>"1551685863248539"</f>
        <v>1551685863248539</v>
      </c>
      <c r="C2359" t="s">
        <v>40</v>
      </c>
      <c r="D2359">
        <v>4.9744519999999897</v>
      </c>
      <c r="E2359">
        <v>0.53443589999999996</v>
      </c>
      <c r="F2359" t="s">
        <v>53</v>
      </c>
      <c r="G2359">
        <v>0</v>
      </c>
      <c r="H2359">
        <v>0</v>
      </c>
      <c r="I2359">
        <v>0</v>
      </c>
      <c r="J2359">
        <v>-377.5951</v>
      </c>
      <c r="K2359">
        <v>1.110007</v>
      </c>
      <c r="L2359">
        <v>285.52159999999998</v>
      </c>
      <c r="M2359">
        <v>-0.99994590000000005</v>
      </c>
      <c r="N2359">
        <v>-9.7626239999999993E-3</v>
      </c>
      <c r="O2359">
        <v>3.6105389999999998E-3</v>
      </c>
      <c r="P2359">
        <v>-0.97476940000000001</v>
      </c>
      <c r="Q2359">
        <v>0.18571029999999999</v>
      </c>
      <c r="R2359">
        <v>-0.12384149999999999</v>
      </c>
      <c r="S2359">
        <v>-3.056</v>
      </c>
      <c r="T2359">
        <v>4.882777E-2</v>
      </c>
      <c r="U2359">
        <v>-9.8358150000000005E-2</v>
      </c>
      <c r="V2359">
        <v>-0.12729989999999999</v>
      </c>
      <c r="W2359">
        <v>0.19525300000000001</v>
      </c>
      <c r="X2359">
        <v>0.97245619999999999</v>
      </c>
      <c r="Y2359">
        <v>-3.5774269999999997E-2</v>
      </c>
      <c r="Z2359">
        <v>2.0392969999999999E-4</v>
      </c>
      <c r="AA2359">
        <v>0.99935980000000002</v>
      </c>
      <c r="AB2359">
        <v>28</v>
      </c>
      <c r="AC2359">
        <v>-3.056</v>
      </c>
      <c r="AD2359">
        <v>4.882777E-2</v>
      </c>
      <c r="AE2359">
        <v>-9.8358150000000005E-2</v>
      </c>
      <c r="AF2359">
        <v>-0.10936395085523</v>
      </c>
      <c r="AG2359">
        <v>4.882777E-2</v>
      </c>
      <c r="AH2359">
        <v>3.0548458836888002</v>
      </c>
      <c r="AI2359">
        <v>89.084865020587202</v>
      </c>
      <c r="AJ2359">
        <v>92.050322055097595</v>
      </c>
      <c r="AK2359">
        <v>3.05719282969855</v>
      </c>
      <c r="AL2359">
        <v>78.740496815928594</v>
      </c>
      <c r="AM2359">
        <v>97.457927337509901</v>
      </c>
      <c r="AN2359">
        <v>1.0000000297337199</v>
      </c>
    </row>
    <row r="2360" spans="1:40" x14ac:dyDescent="0.25">
      <c r="A2360" t="str">
        <f>"20190304155103266"</f>
        <v>20190304155103266</v>
      </c>
      <c r="B2360" t="str">
        <f>"1551685863259276"</f>
        <v>1551685863259276</v>
      </c>
      <c r="C2360" t="s">
        <v>40</v>
      </c>
      <c r="D2360">
        <v>5.0010909999999997</v>
      </c>
      <c r="E2360">
        <v>0.53559939999999995</v>
      </c>
      <c r="F2360" t="s">
        <v>53</v>
      </c>
      <c r="G2360">
        <v>0</v>
      </c>
      <c r="H2360">
        <v>0</v>
      </c>
      <c r="I2360">
        <v>0</v>
      </c>
      <c r="J2360">
        <v>-377.7457</v>
      </c>
      <c r="K2360">
        <v>1.110012</v>
      </c>
      <c r="L2360">
        <v>285.5222</v>
      </c>
      <c r="M2360">
        <v>-0.99994559999999999</v>
      </c>
      <c r="N2360">
        <v>-9.7581349999999994E-3</v>
      </c>
      <c r="O2360">
        <v>3.6923949999999998E-3</v>
      </c>
      <c r="P2360">
        <v>-0.97476589999999996</v>
      </c>
      <c r="Q2360">
        <v>0.18564059999999999</v>
      </c>
      <c r="R2360">
        <v>-0.123972</v>
      </c>
      <c r="S2360">
        <v>-3.0567319999999998</v>
      </c>
      <c r="T2360">
        <v>4.9944040000000002E-2</v>
      </c>
      <c r="U2360">
        <v>-8.9813229999999994E-2</v>
      </c>
      <c r="V2360">
        <v>-0.12750999999999901</v>
      </c>
      <c r="W2360">
        <v>0.19517860000000001</v>
      </c>
      <c r="X2360">
        <v>0.97244359999999996</v>
      </c>
      <c r="Y2360">
        <v>-3.3057179999999999E-2</v>
      </c>
      <c r="Z2360">
        <v>2.0498719999999999E-4</v>
      </c>
      <c r="AA2360">
        <v>0.99945340000000005</v>
      </c>
      <c r="AB2360">
        <v>28</v>
      </c>
      <c r="AC2360">
        <v>-3.0567319999999998</v>
      </c>
      <c r="AD2360">
        <v>4.9944040000000002E-2</v>
      </c>
      <c r="AE2360">
        <v>-8.9813229999999994E-2</v>
      </c>
      <c r="AF2360">
        <v>-0.101072857187571</v>
      </c>
      <c r="AG2360">
        <v>4.9944040000000002E-2</v>
      </c>
      <c r="AH2360">
        <v>3.0555644968976501</v>
      </c>
      <c r="AI2360">
        <v>89.064079951940499</v>
      </c>
      <c r="AJ2360">
        <v>91.894555783242097</v>
      </c>
      <c r="AK2360">
        <v>3.0576436228398101</v>
      </c>
      <c r="AL2360">
        <v>78.744843141478498</v>
      </c>
      <c r="AM2360">
        <v>97.470192946180504</v>
      </c>
      <c r="AN2360">
        <v>1.0000000205894599</v>
      </c>
    </row>
    <row r="2361" spans="1:40" x14ac:dyDescent="0.25">
      <c r="A2361" t="str">
        <f>"20190304155103277"</f>
        <v>20190304155103277</v>
      </c>
      <c r="B2361" t="str">
        <f>"1551685863269035"</f>
        <v>1551685863269035</v>
      </c>
      <c r="C2361" t="s">
        <v>40</v>
      </c>
      <c r="D2361">
        <v>5.0289229999999998</v>
      </c>
      <c r="E2361">
        <v>0.53675220000000001</v>
      </c>
      <c r="F2361" t="s">
        <v>53</v>
      </c>
      <c r="G2361">
        <v>0</v>
      </c>
      <c r="H2361">
        <v>0</v>
      </c>
      <c r="I2361">
        <v>0</v>
      </c>
      <c r="J2361">
        <v>-377.89080000000001</v>
      </c>
      <c r="K2361">
        <v>1.110012</v>
      </c>
      <c r="L2361">
        <v>285.52289999999999</v>
      </c>
      <c r="M2361">
        <v>-0.99994519999999998</v>
      </c>
      <c r="N2361">
        <v>-9.7545400000000008E-3</v>
      </c>
      <c r="O2361">
        <v>3.770612E-3</v>
      </c>
      <c r="P2361">
        <v>-0.97472789999999998</v>
      </c>
      <c r="Q2361">
        <v>0.18566740000000001</v>
      </c>
      <c r="R2361">
        <v>-0.1242288</v>
      </c>
      <c r="S2361">
        <v>-3.0579529999999999</v>
      </c>
      <c r="T2361">
        <v>4.9709320000000001E-2</v>
      </c>
      <c r="U2361">
        <v>-8.0841060000000006E-2</v>
      </c>
      <c r="V2361">
        <v>-0.12784280000000001</v>
      </c>
      <c r="W2361">
        <v>0.1952016</v>
      </c>
      <c r="X2361">
        <v>0.97239529999999996</v>
      </c>
      <c r="Y2361">
        <v>-3.0193520000000001E-2</v>
      </c>
      <c r="Z2361">
        <v>1.961058E-4</v>
      </c>
      <c r="AA2361">
        <v>0.99954399999999999</v>
      </c>
      <c r="AB2361">
        <v>28</v>
      </c>
      <c r="AC2361">
        <v>-3.0579529999999999</v>
      </c>
      <c r="AD2361">
        <v>4.9709320000000001E-2</v>
      </c>
      <c r="AE2361">
        <v>-8.0841060000000006E-2</v>
      </c>
      <c r="AF2361">
        <v>-9.2347003860818899E-2</v>
      </c>
      <c r="AG2361">
        <v>4.9709320000000001E-2</v>
      </c>
      <c r="AH2361">
        <v>3.0568192262409002</v>
      </c>
      <c r="AI2361">
        <v>89.068775560265294</v>
      </c>
      <c r="AJ2361">
        <v>91.730388490641104</v>
      </c>
      <c r="AK2361">
        <v>3.0586177870948399</v>
      </c>
      <c r="AL2361">
        <v>78.7434996334337</v>
      </c>
      <c r="AM2361">
        <v>97.489836819285003</v>
      </c>
      <c r="AN2361">
        <v>1.0000000328082399</v>
      </c>
    </row>
    <row r="2362" spans="1:40" x14ac:dyDescent="0.25">
      <c r="A2362" t="str">
        <f>"20190304155103290"</f>
        <v>20190304155103290</v>
      </c>
      <c r="B2362" t="str">
        <f>"1551685863278795"</f>
        <v>1551685863278795</v>
      </c>
      <c r="C2362" t="s">
        <v>40</v>
      </c>
      <c r="D2362">
        <v>5.1841980000000003</v>
      </c>
      <c r="E2362">
        <v>0.53618489999999996</v>
      </c>
      <c r="F2362" t="s">
        <v>53</v>
      </c>
      <c r="G2362">
        <v>0</v>
      </c>
      <c r="H2362">
        <v>0</v>
      </c>
      <c r="I2362">
        <v>0</v>
      </c>
      <c r="J2362">
        <v>-378.05</v>
      </c>
      <c r="K2362">
        <v>1.1100110000000001</v>
      </c>
      <c r="L2362">
        <v>285.52359999999999</v>
      </c>
      <c r="M2362">
        <v>-0.99994519999999998</v>
      </c>
      <c r="N2362">
        <v>-9.7508930000000001E-3</v>
      </c>
      <c r="O2362">
        <v>3.8556240000000002E-3</v>
      </c>
      <c r="P2362">
        <v>-0.97475250000000002</v>
      </c>
      <c r="Q2362">
        <v>0.18552740000000001</v>
      </c>
      <c r="R2362">
        <v>-0.1242486</v>
      </c>
      <c r="S2362">
        <v>-3.0593870000000001</v>
      </c>
      <c r="T2362">
        <v>4.8408270000000003E-2</v>
      </c>
      <c r="U2362">
        <v>-7.2296139999999995E-2</v>
      </c>
      <c r="V2362">
        <v>-0.12794529999999901</v>
      </c>
      <c r="W2362">
        <v>0.19505839999999999</v>
      </c>
      <c r="X2362">
        <v>0.97241049999999996</v>
      </c>
      <c r="Y2362">
        <v>-2.747631E-2</v>
      </c>
      <c r="Z2362">
        <v>1.8193119999999999E-4</v>
      </c>
      <c r="AA2362">
        <v>0.99962249999999997</v>
      </c>
      <c r="AB2362">
        <v>28</v>
      </c>
      <c r="AC2362">
        <v>-3.0593870000000001</v>
      </c>
      <c r="AD2362">
        <v>4.8408270000000003E-2</v>
      </c>
      <c r="AE2362">
        <v>-7.2296139999999995E-2</v>
      </c>
      <c r="AF2362">
        <v>-8.4070970754880694E-2</v>
      </c>
      <c r="AG2362">
        <v>4.8408270000000003E-2</v>
      </c>
      <c r="AH2362">
        <v>3.0583202345077201</v>
      </c>
      <c r="AI2362">
        <v>89.093518445389293</v>
      </c>
      <c r="AJ2362">
        <v>91.574622233497294</v>
      </c>
      <c r="AK2362">
        <v>3.05985848455895</v>
      </c>
      <c r="AL2362">
        <v>78.751864593393407</v>
      </c>
      <c r="AM2362">
        <v>97.495657820314193</v>
      </c>
      <c r="AN2362">
        <v>0.99999997985644895</v>
      </c>
    </row>
    <row r="2363" spans="1:40" x14ac:dyDescent="0.25">
      <c r="A2363" t="str">
        <f>"20190304155103310"</f>
        <v>20190304155103310</v>
      </c>
      <c r="B2363" t="str">
        <f>"1551685863299290"</f>
        <v>1551685863299290</v>
      </c>
      <c r="C2363" t="s">
        <v>40</v>
      </c>
      <c r="D2363">
        <v>4.9392500000000004</v>
      </c>
      <c r="E2363">
        <v>0.53740859999999901</v>
      </c>
      <c r="F2363" t="s">
        <v>53</v>
      </c>
      <c r="G2363">
        <v>0</v>
      </c>
      <c r="H2363">
        <v>0</v>
      </c>
      <c r="I2363">
        <v>0</v>
      </c>
      <c r="J2363">
        <v>-378.28559999999999</v>
      </c>
      <c r="K2363">
        <v>1.1100099999999999</v>
      </c>
      <c r="L2363">
        <v>285.52460000000002</v>
      </c>
      <c r="M2363">
        <v>-0.99994470000000002</v>
      </c>
      <c r="N2363">
        <v>-9.7463870000000005E-3</v>
      </c>
      <c r="O2363">
        <v>3.9809950000000002E-3</v>
      </c>
      <c r="P2363">
        <v>-0.97479780000000005</v>
      </c>
      <c r="Q2363">
        <v>0.18508830000000001</v>
      </c>
      <c r="R2363">
        <v>-0.1245491</v>
      </c>
      <c r="S2363">
        <v>-3.0598139999999998</v>
      </c>
      <c r="T2363">
        <v>4.227877E-2</v>
      </c>
      <c r="U2363">
        <v>-7.6873780000000003E-2</v>
      </c>
      <c r="V2363">
        <v>-0.12836810000000001</v>
      </c>
      <c r="W2363">
        <v>0.1946155</v>
      </c>
      <c r="X2363">
        <v>0.97244350000000002</v>
      </c>
      <c r="Y2363">
        <v>-2.9093560000000001E-2</v>
      </c>
      <c r="Z2363">
        <v>1.5293939999999999E-4</v>
      </c>
      <c r="AA2363">
        <v>0.99957669999999998</v>
      </c>
      <c r="AB2363">
        <v>28</v>
      </c>
      <c r="AC2363">
        <v>-3.0598139999999998</v>
      </c>
      <c r="AD2363">
        <v>4.227877E-2</v>
      </c>
      <c r="AE2363">
        <v>-7.6873780000000003E-2</v>
      </c>
      <c r="AF2363">
        <v>-8.9037863615697405E-2</v>
      </c>
      <c r="AG2363">
        <v>4.227877E-2</v>
      </c>
      <c r="AH2363">
        <v>3.0589000613965101</v>
      </c>
      <c r="AI2363">
        <v>89.208468586210898</v>
      </c>
      <c r="AJ2363">
        <v>91.667283553088396</v>
      </c>
      <c r="AK2363">
        <v>3.0604876770151401</v>
      </c>
      <c r="AL2363">
        <v>78.777736506698503</v>
      </c>
      <c r="AM2363">
        <v>97.519892190740507</v>
      </c>
      <c r="AN2363">
        <v>0.99999996131505398</v>
      </c>
    </row>
    <row r="2364" spans="1:40" x14ac:dyDescent="0.25">
      <c r="A2364" t="str">
        <f>"20190304155103331"</f>
        <v>20190304155103331</v>
      </c>
      <c r="B2364" t="str">
        <f>"1551685863318811"</f>
        <v>1551685863318811</v>
      </c>
      <c r="C2364" t="s">
        <v>40</v>
      </c>
      <c r="D2364">
        <v>5.0420559999999996</v>
      </c>
      <c r="E2364">
        <v>0.53786129999999999</v>
      </c>
      <c r="F2364" t="s">
        <v>53</v>
      </c>
      <c r="G2364">
        <v>0</v>
      </c>
      <c r="H2364">
        <v>0</v>
      </c>
      <c r="I2364">
        <v>0</v>
      </c>
      <c r="J2364">
        <v>-378.5566</v>
      </c>
      <c r="K2364">
        <v>1.1100049999999999</v>
      </c>
      <c r="L2364">
        <v>285.5258</v>
      </c>
      <c r="M2364">
        <v>-0.99994419999999995</v>
      </c>
      <c r="N2364">
        <v>-9.7423419999999993E-3</v>
      </c>
      <c r="O2364">
        <v>4.1223259999999999E-3</v>
      </c>
      <c r="P2364">
        <v>-0.9746842</v>
      </c>
      <c r="Q2364">
        <v>0.18536939999999999</v>
      </c>
      <c r="R2364">
        <v>-0.12501789999999999</v>
      </c>
      <c r="S2364">
        <v>-3.0609130000000002</v>
      </c>
      <c r="T2364">
        <v>4.1642190000000003E-2</v>
      </c>
      <c r="U2364">
        <v>-6.8359379999999997E-2</v>
      </c>
      <c r="V2364">
        <v>-0.1289748</v>
      </c>
      <c r="W2364">
        <v>0.1948915</v>
      </c>
      <c r="X2364">
        <v>0.97230799999999995</v>
      </c>
      <c r="Y2364">
        <v>-2.644693E-2</v>
      </c>
      <c r="Z2364">
        <v>1.472461E-4</v>
      </c>
      <c r="AA2364">
        <v>0.99965020000000004</v>
      </c>
      <c r="AB2364">
        <v>28</v>
      </c>
      <c r="AC2364">
        <v>-3.0609130000000002</v>
      </c>
      <c r="AD2364">
        <v>4.1642190000000003E-2</v>
      </c>
      <c r="AE2364">
        <v>-6.8359379999999997E-2</v>
      </c>
      <c r="AF2364">
        <v>-8.0962499985025096E-2</v>
      </c>
      <c r="AG2364">
        <v>4.1642190000000003E-2</v>
      </c>
      <c r="AH2364">
        <v>3.0600390994470201</v>
      </c>
      <c r="AI2364">
        <v>89.220617814446101</v>
      </c>
      <c r="AJ2364">
        <v>91.515577880972998</v>
      </c>
      <c r="AK2364">
        <v>3.0613931940435801</v>
      </c>
      <c r="AL2364">
        <v>78.7616148470767</v>
      </c>
      <c r="AM2364">
        <v>97.556064204110498</v>
      </c>
      <c r="AN2364">
        <v>1.0000000213356399</v>
      </c>
    </row>
    <row r="2365" spans="1:40" x14ac:dyDescent="0.25">
      <c r="A2365" t="str">
        <f>"20190304155103352"</f>
        <v>20190304155103352</v>
      </c>
      <c r="B2365" t="str">
        <f>"1551685863349067"</f>
        <v>1551685863349067</v>
      </c>
      <c r="C2365" t="s">
        <v>40</v>
      </c>
      <c r="D2365">
        <v>5.0060729999999998</v>
      </c>
      <c r="E2365">
        <v>0.53836219999999901</v>
      </c>
      <c r="F2365" t="s">
        <v>53</v>
      </c>
      <c r="G2365">
        <v>0</v>
      </c>
      <c r="H2365">
        <v>0</v>
      </c>
      <c r="I2365">
        <v>0</v>
      </c>
      <c r="J2365">
        <v>-378.8254</v>
      </c>
      <c r="K2365">
        <v>1.1100080000000001</v>
      </c>
      <c r="L2365">
        <v>285.52710000000002</v>
      </c>
      <c r="M2365">
        <v>-0.99994360000000004</v>
      </c>
      <c r="N2365">
        <v>-9.7392429999999999E-3</v>
      </c>
      <c r="O2365">
        <v>4.2573740000000004E-3</v>
      </c>
      <c r="P2365">
        <v>-0.97467539999999997</v>
      </c>
      <c r="Q2365">
        <v>0.18534970000000001</v>
      </c>
      <c r="R2365">
        <v>-0.125115</v>
      </c>
      <c r="S2365">
        <v>-3.0610659999999998</v>
      </c>
      <c r="T2365">
        <v>4.3871519999999997E-2</v>
      </c>
      <c r="U2365">
        <v>-6.6467289999999998E-2</v>
      </c>
      <c r="V2365">
        <v>-0.1292045</v>
      </c>
      <c r="W2365">
        <v>0.19486719999999999</v>
      </c>
      <c r="X2365">
        <v>0.97228239999999999</v>
      </c>
      <c r="Y2365">
        <v>-2.5962949999999999E-2</v>
      </c>
      <c r="Z2365">
        <v>1.6203389999999999E-4</v>
      </c>
      <c r="AA2365">
        <v>0.99966290000000002</v>
      </c>
      <c r="AB2365">
        <v>28</v>
      </c>
      <c r="AC2365">
        <v>-3.0610659999999998</v>
      </c>
      <c r="AD2365">
        <v>4.3871519999999997E-2</v>
      </c>
      <c r="AE2365">
        <v>-6.6467289999999998E-2</v>
      </c>
      <c r="AF2365">
        <v>-7.9483088435427701E-2</v>
      </c>
      <c r="AG2365">
        <v>4.3871519999999997E-2</v>
      </c>
      <c r="AH2365">
        <v>3.0601269843408301</v>
      </c>
      <c r="AI2365">
        <v>89.178912033220399</v>
      </c>
      <c r="AJ2365">
        <v>91.487853882364206</v>
      </c>
      <c r="AK2365">
        <v>3.0614734086555799</v>
      </c>
      <c r="AL2365">
        <v>78.763034641348398</v>
      </c>
      <c r="AM2365">
        <v>97.569562404622204</v>
      </c>
      <c r="AN2365">
        <v>1.00000004690292</v>
      </c>
    </row>
    <row r="2366" spans="1:40" x14ac:dyDescent="0.25">
      <c r="A2366" t="str">
        <f>"20190304155103375"</f>
        <v>20190304155103375</v>
      </c>
      <c r="B2366" t="str">
        <f>"1551685863368587"</f>
        <v>1551685863368587</v>
      </c>
      <c r="C2366" t="s">
        <v>40</v>
      </c>
      <c r="D2366">
        <v>4.9236559999999896</v>
      </c>
      <c r="E2366">
        <v>0.53909180000000001</v>
      </c>
      <c r="F2366" t="s">
        <v>53</v>
      </c>
      <c r="G2366">
        <v>0</v>
      </c>
      <c r="H2366">
        <v>0</v>
      </c>
      <c r="I2366">
        <v>0</v>
      </c>
      <c r="J2366">
        <v>-379.10129999999998</v>
      </c>
      <c r="K2366">
        <v>1.1100179999999999</v>
      </c>
      <c r="L2366">
        <v>285.52839999999998</v>
      </c>
      <c r="M2366">
        <v>-0.99994300000000003</v>
      </c>
      <c r="N2366">
        <v>-9.7368360000000004E-3</v>
      </c>
      <c r="O2366">
        <v>4.3877359999999997E-3</v>
      </c>
      <c r="P2366">
        <v>-0.9747576</v>
      </c>
      <c r="Q2366">
        <v>0.1851479</v>
      </c>
      <c r="R2366">
        <v>-0.1247726</v>
      </c>
      <c r="S2366">
        <v>-3.0621339999999999</v>
      </c>
      <c r="T2366">
        <v>4.0526149999999997E-2</v>
      </c>
      <c r="U2366">
        <v>-6.2652589999999994E-2</v>
      </c>
      <c r="V2366">
        <v>-0.12899150000000001</v>
      </c>
      <c r="W2366">
        <v>0.19466230000000001</v>
      </c>
      <c r="X2366">
        <v>0.97235170000000004</v>
      </c>
      <c r="Y2366">
        <v>-2.4841249999999999E-2</v>
      </c>
      <c r="Z2366">
        <v>1.4418069999999999E-4</v>
      </c>
      <c r="AA2366">
        <v>0.99969140000000001</v>
      </c>
      <c r="AB2366">
        <v>28</v>
      </c>
      <c r="AC2366">
        <v>-3.0621339999999999</v>
      </c>
      <c r="AD2366">
        <v>4.0526149999999997E-2</v>
      </c>
      <c r="AE2366">
        <v>-6.2652589999999994E-2</v>
      </c>
      <c r="AF2366">
        <v>-7.6075139600555494E-2</v>
      </c>
      <c r="AG2366">
        <v>4.0526149999999997E-2</v>
      </c>
      <c r="AH2366">
        <v>3.0612936283377401</v>
      </c>
      <c r="AI2366">
        <v>89.241782889457397</v>
      </c>
      <c r="AJ2366">
        <v>91.423544430410104</v>
      </c>
      <c r="AK2366">
        <v>3.0625068938045299</v>
      </c>
      <c r="AL2366">
        <v>78.775003486379902</v>
      </c>
      <c r="AM2366">
        <v>97.556695569160794</v>
      </c>
      <c r="AN2366">
        <v>1.00000002330321</v>
      </c>
    </row>
    <row r="2367" spans="1:40" x14ac:dyDescent="0.25">
      <c r="A2367" t="str">
        <f>"20190304155103397"</f>
        <v>20190304155103397</v>
      </c>
      <c r="B2367" t="str">
        <f>"1551685863389083"</f>
        <v>1551685863389083</v>
      </c>
      <c r="C2367" t="s">
        <v>40</v>
      </c>
      <c r="D2367">
        <v>5.0822929999999999</v>
      </c>
      <c r="E2367">
        <v>0.53893329999999995</v>
      </c>
      <c r="F2367" t="s">
        <v>53</v>
      </c>
      <c r="G2367">
        <v>0</v>
      </c>
      <c r="H2367">
        <v>0</v>
      </c>
      <c r="I2367">
        <v>0</v>
      </c>
      <c r="J2367">
        <v>-379.38679999999999</v>
      </c>
      <c r="K2367">
        <v>1.110031</v>
      </c>
      <c r="L2367">
        <v>285.52980000000002</v>
      </c>
      <c r="M2367">
        <v>-0.99994249999999996</v>
      </c>
      <c r="N2367">
        <v>-9.7354260000000001E-3</v>
      </c>
      <c r="O2367">
        <v>4.5098869999999998E-3</v>
      </c>
      <c r="P2367">
        <v>-0.97470089999999998</v>
      </c>
      <c r="Q2367">
        <v>0.18590989999999999</v>
      </c>
      <c r="R2367">
        <v>-0.1240805</v>
      </c>
      <c r="S2367">
        <v>-3.0627439999999999</v>
      </c>
      <c r="T2367">
        <v>4.0980099999999998E-2</v>
      </c>
      <c r="U2367">
        <v>-5.6121829999999998E-2</v>
      </c>
      <c r="V2367">
        <v>-0.12842229999999999</v>
      </c>
      <c r="W2367">
        <v>0.1954195</v>
      </c>
      <c r="X2367">
        <v>0.97227509999999995</v>
      </c>
      <c r="Y2367">
        <v>-2.2828359999999999E-2</v>
      </c>
      <c r="Z2367">
        <v>1.4580419999999999E-4</v>
      </c>
      <c r="AA2367">
        <v>0.99973939999999994</v>
      </c>
      <c r="AB2367">
        <v>28</v>
      </c>
      <c r="AC2367">
        <v>-3.0627439999999999</v>
      </c>
      <c r="AD2367">
        <v>4.0980099999999998E-2</v>
      </c>
      <c r="AE2367">
        <v>-5.6121829999999998E-2</v>
      </c>
      <c r="AF2367">
        <v>-6.9922028436499695E-2</v>
      </c>
      <c r="AG2367">
        <v>4.0980099999999998E-2</v>
      </c>
      <c r="AH2367">
        <v>3.0619117465298702</v>
      </c>
      <c r="AI2367">
        <v>89.233408760502797</v>
      </c>
      <c r="AJ2367">
        <v>91.308183015996306</v>
      </c>
      <c r="AK2367">
        <v>3.0629841661677402</v>
      </c>
      <c r="AL2367">
        <v>78.730768996497005</v>
      </c>
      <c r="AM2367">
        <v>97.524318980804097</v>
      </c>
      <c r="AN2367">
        <v>0.99999996909877398</v>
      </c>
    </row>
    <row r="2368" spans="1:40" x14ac:dyDescent="0.25">
      <c r="A2368" t="str">
        <f>"20190304155103411"</f>
        <v>20190304155103411</v>
      </c>
      <c r="B2368" t="str">
        <f>"1551685863398843"</f>
        <v>1551685863398843</v>
      </c>
      <c r="C2368" t="s">
        <v>40</v>
      </c>
      <c r="D2368">
        <v>5.0838479999999997</v>
      </c>
      <c r="E2368">
        <v>0.53854780000000002</v>
      </c>
      <c r="F2368" t="s">
        <v>53</v>
      </c>
      <c r="G2368">
        <v>0</v>
      </c>
      <c r="H2368">
        <v>0</v>
      </c>
      <c r="I2368">
        <v>0</v>
      </c>
      <c r="J2368">
        <v>-379.5471</v>
      </c>
      <c r="K2368">
        <v>1.1100369999999999</v>
      </c>
      <c r="L2368">
        <v>285.53059999999999</v>
      </c>
      <c r="M2368">
        <v>-0.9999422</v>
      </c>
      <c r="N2368">
        <v>-9.7350400000000004E-3</v>
      </c>
      <c r="O2368">
        <v>4.5725799999999997E-3</v>
      </c>
      <c r="P2368">
        <v>-0.97468759999999999</v>
      </c>
      <c r="Q2368">
        <v>0.18635930000000001</v>
      </c>
      <c r="R2368">
        <v>-0.12350949999999999</v>
      </c>
      <c r="S2368">
        <v>-3.0628660000000001</v>
      </c>
      <c r="T2368">
        <v>4.1491750000000001E-2</v>
      </c>
      <c r="U2368">
        <v>-5.5755619999999999E-2</v>
      </c>
      <c r="V2368">
        <v>-0.1279151</v>
      </c>
      <c r="W2368">
        <v>0.19586609999999999</v>
      </c>
      <c r="X2368">
        <v>0.97225209999999995</v>
      </c>
      <c r="Y2368">
        <v>-2.2770749999999999E-2</v>
      </c>
      <c r="Z2368">
        <v>1.4980789999999999E-4</v>
      </c>
      <c r="AA2368">
        <v>0.99974070000000004</v>
      </c>
      <c r="AB2368">
        <v>28</v>
      </c>
      <c r="AC2368">
        <v>-3.0628660000000001</v>
      </c>
      <c r="AD2368">
        <v>4.1491750000000001E-2</v>
      </c>
      <c r="AE2368">
        <v>-5.5755619999999999E-2</v>
      </c>
      <c r="AF2368">
        <v>-6.9748104519932394E-2</v>
      </c>
      <c r="AG2368">
        <v>4.1491750000000001E-2</v>
      </c>
      <c r="AH2368">
        <v>3.0620172830410302</v>
      </c>
      <c r="AI2368">
        <v>89.223864510345393</v>
      </c>
      <c r="AJ2368">
        <v>91.304885210058799</v>
      </c>
      <c r="AK2368">
        <v>3.0630925883890798</v>
      </c>
      <c r="AL2368">
        <v>78.704676523496104</v>
      </c>
      <c r="AM2368">
        <v>97.495115701705004</v>
      </c>
      <c r="AN2368">
        <v>0.99999997394581397</v>
      </c>
    </row>
    <row r="2369" spans="1:40" x14ac:dyDescent="0.25">
      <c r="A2369" t="str">
        <f>"20190304155103431"</f>
        <v>20190304155103431</v>
      </c>
      <c r="B2369" t="str">
        <f>"1551685863419339"</f>
        <v>1551685863419339</v>
      </c>
      <c r="C2369" t="s">
        <v>40</v>
      </c>
      <c r="D2369">
        <v>5.0850330000000001</v>
      </c>
      <c r="E2369">
        <v>0.53814649999999997</v>
      </c>
      <c r="F2369" t="s">
        <v>53</v>
      </c>
      <c r="G2369">
        <v>0</v>
      </c>
      <c r="H2369">
        <v>0</v>
      </c>
      <c r="I2369">
        <v>0</v>
      </c>
      <c r="J2369">
        <v>-379.79669999999999</v>
      </c>
      <c r="K2369">
        <v>1.1100490000000001</v>
      </c>
      <c r="L2369">
        <v>285.53190000000001</v>
      </c>
      <c r="M2369">
        <v>-0.99994179999999999</v>
      </c>
      <c r="N2369">
        <v>-9.7349770000000006E-3</v>
      </c>
      <c r="O2369">
        <v>4.6580379999999998E-3</v>
      </c>
      <c r="P2369">
        <v>-0.97469229999999996</v>
      </c>
      <c r="Q2369">
        <v>0.18732190000000001</v>
      </c>
      <c r="R2369">
        <v>-0.1220063</v>
      </c>
      <c r="S2369">
        <v>-3.0630190000000002</v>
      </c>
      <c r="T2369">
        <v>3.9521340000000002E-2</v>
      </c>
      <c r="U2369">
        <v>-5.7342530000000003E-2</v>
      </c>
      <c r="V2369">
        <v>-0.12650069999999999</v>
      </c>
      <c r="W2369">
        <v>0.19682459999999999</v>
      </c>
      <c r="X2369">
        <v>0.97224359999999999</v>
      </c>
      <c r="Y2369">
        <v>-2.3373209999999998E-2</v>
      </c>
      <c r="Z2369">
        <v>1.424206E-4</v>
      </c>
      <c r="AA2369">
        <v>0.99972680000000003</v>
      </c>
      <c r="AB2369">
        <v>28</v>
      </c>
      <c r="AC2369">
        <v>-3.0630190000000002</v>
      </c>
      <c r="AD2369">
        <v>3.9521340000000002E-2</v>
      </c>
      <c r="AE2369">
        <v>-5.7342530000000003E-2</v>
      </c>
      <c r="AF2369">
        <v>-7.1598326796687498E-2</v>
      </c>
      <c r="AG2369">
        <v>3.9521340000000002E-2</v>
      </c>
      <c r="AH2369">
        <v>3.0622090305410898</v>
      </c>
      <c r="AI2369">
        <v>89.260774935334197</v>
      </c>
      <c r="AJ2369">
        <v>91.339403874687207</v>
      </c>
      <c r="AK2369">
        <v>3.0633008999187301</v>
      </c>
      <c r="AL2369">
        <v>78.648668419655706</v>
      </c>
      <c r="AM2369">
        <v>97.413230672910004</v>
      </c>
      <c r="AN2369">
        <v>0.99999998400330403</v>
      </c>
    </row>
    <row r="2370" spans="1:40" x14ac:dyDescent="0.25">
      <c r="A2370" t="str">
        <f>"20190304155103453"</f>
        <v>20190304155103453</v>
      </c>
      <c r="B2370" t="str">
        <f>"1551685863449597"</f>
        <v>1551685863449597</v>
      </c>
      <c r="C2370" t="s">
        <v>40</v>
      </c>
      <c r="D2370">
        <v>5.099183</v>
      </c>
      <c r="E2370">
        <v>0.53737829999999998</v>
      </c>
      <c r="F2370" t="s">
        <v>53</v>
      </c>
      <c r="G2370">
        <v>0</v>
      </c>
      <c r="H2370">
        <v>0</v>
      </c>
      <c r="I2370">
        <v>0</v>
      </c>
      <c r="J2370">
        <v>-380.07260000000002</v>
      </c>
      <c r="K2370">
        <v>1.1100639999999999</v>
      </c>
      <c r="L2370">
        <v>285.5333</v>
      </c>
      <c r="M2370">
        <v>-0.99994150000000004</v>
      </c>
      <c r="N2370">
        <v>-9.7354050000000008E-3</v>
      </c>
      <c r="O2370">
        <v>4.7357800000000002E-3</v>
      </c>
      <c r="P2370">
        <v>-0.9746823</v>
      </c>
      <c r="Q2370">
        <v>0.18839239999999999</v>
      </c>
      <c r="R2370">
        <v>-0.1204277</v>
      </c>
      <c r="S2370">
        <v>-3.0641780000000001</v>
      </c>
      <c r="T2370">
        <v>3.4520750000000003E-2</v>
      </c>
      <c r="U2370">
        <v>-5.6396479999999999E-2</v>
      </c>
      <c r="V2370">
        <v>-0.125004</v>
      </c>
      <c r="W2370">
        <v>0.19789129999999999</v>
      </c>
      <c r="X2370">
        <v>0.97222070000000005</v>
      </c>
      <c r="Y2370">
        <v>-2.313573E-2</v>
      </c>
      <c r="Z2370">
        <v>1.171227E-4</v>
      </c>
      <c r="AA2370">
        <v>0.99973230000000002</v>
      </c>
      <c r="AB2370">
        <v>28</v>
      </c>
      <c r="AC2370">
        <v>-3.0641780000000001</v>
      </c>
      <c r="AD2370">
        <v>3.4520750000000003E-2</v>
      </c>
      <c r="AE2370">
        <v>-5.6396479999999999E-2</v>
      </c>
      <c r="AF2370">
        <v>-7.0898811133317904E-2</v>
      </c>
      <c r="AG2370">
        <v>3.4520750000000003E-2</v>
      </c>
      <c r="AH2370">
        <v>3.0634878531465</v>
      </c>
      <c r="AI2370">
        <v>89.3545656912966</v>
      </c>
      <c r="AJ2370">
        <v>91.325769133470601</v>
      </c>
      <c r="AK2370">
        <v>3.0645025942193</v>
      </c>
      <c r="AL2370">
        <v>78.586325311191999</v>
      </c>
      <c r="AM2370">
        <v>97.326649904640007</v>
      </c>
      <c r="AN2370">
        <v>1.00000002807008</v>
      </c>
    </row>
    <row r="2371" spans="1:40" x14ac:dyDescent="0.25">
      <c r="A2371" t="str">
        <f>"20190304155103465"</f>
        <v>20190304155103465</v>
      </c>
      <c r="B2371" t="str">
        <f>"1551685863459355"</f>
        <v>1551685863459355</v>
      </c>
      <c r="C2371" t="s">
        <v>40</v>
      </c>
      <c r="D2371">
        <v>5.3051259999999996</v>
      </c>
      <c r="E2371">
        <v>0.53747800000000001</v>
      </c>
      <c r="F2371" t="s">
        <v>53</v>
      </c>
      <c r="G2371">
        <v>0</v>
      </c>
      <c r="H2371">
        <v>0</v>
      </c>
      <c r="I2371">
        <v>0</v>
      </c>
      <c r="J2371">
        <v>-380.23140000000001</v>
      </c>
      <c r="K2371">
        <v>1.110069</v>
      </c>
      <c r="L2371">
        <v>285.53410000000002</v>
      </c>
      <c r="M2371">
        <v>-0.99994119999999997</v>
      </c>
      <c r="N2371">
        <v>-9.7358270000000007E-3</v>
      </c>
      <c r="O2371">
        <v>4.7733609999999899E-3</v>
      </c>
      <c r="P2371">
        <v>-0.97470460000000003</v>
      </c>
      <c r="Q2371">
        <v>0.18866740000000001</v>
      </c>
      <c r="R2371">
        <v>-0.1198153</v>
      </c>
      <c r="S2371">
        <v>-3.0649109999999999</v>
      </c>
      <c r="T2371">
        <v>3.063273E-2</v>
      </c>
      <c r="U2371">
        <v>-5.725098E-2</v>
      </c>
      <c r="V2371">
        <v>-0.124432399999999</v>
      </c>
      <c r="W2371">
        <v>0.19816420000000001</v>
      </c>
      <c r="X2371">
        <v>0.97223839999999995</v>
      </c>
      <c r="Y2371">
        <v>-2.3447820000000001E-2</v>
      </c>
      <c r="Z2371" s="1">
        <v>9.7178799999999999E-5</v>
      </c>
      <c r="AA2371">
        <v>0.99972499999999997</v>
      </c>
      <c r="AB2371">
        <v>28</v>
      </c>
      <c r="AC2371">
        <v>-3.0649109999999999</v>
      </c>
      <c r="AD2371">
        <v>3.063273E-2</v>
      </c>
      <c r="AE2371">
        <v>-5.725098E-2</v>
      </c>
      <c r="AF2371">
        <v>-7.1873770739242698E-2</v>
      </c>
      <c r="AG2371">
        <v>3.063273E-2</v>
      </c>
      <c r="AH2371">
        <v>3.06429679151515</v>
      </c>
      <c r="AI2371">
        <v>89.4274101825483</v>
      </c>
      <c r="AJ2371">
        <v>91.343639036759797</v>
      </c>
      <c r="AK2371">
        <v>3.06529264990434</v>
      </c>
      <c r="AL2371">
        <v>78.570372939944093</v>
      </c>
      <c r="AM2371">
        <v>97.293377881683597</v>
      </c>
      <c r="AN2371">
        <v>0.99999998938297896</v>
      </c>
    </row>
    <row r="2372" spans="1:40" x14ac:dyDescent="0.25">
      <c r="A2372" t="str">
        <f>"20190304155103476"</f>
        <v>20190304155103476</v>
      </c>
      <c r="B2372" t="str">
        <f>"1551685863469116"</f>
        <v>1551685863469116</v>
      </c>
      <c r="C2372" t="s">
        <v>40</v>
      </c>
      <c r="D2372">
        <v>5.0060640000000003</v>
      </c>
      <c r="E2372">
        <v>0.53750390000000003</v>
      </c>
      <c r="F2372" t="s">
        <v>53</v>
      </c>
      <c r="G2372">
        <v>0</v>
      </c>
      <c r="H2372">
        <v>0</v>
      </c>
      <c r="I2372">
        <v>0</v>
      </c>
      <c r="J2372">
        <v>-380.3707</v>
      </c>
      <c r="K2372">
        <v>1.1100760000000001</v>
      </c>
      <c r="L2372">
        <v>285.53480000000002</v>
      </c>
      <c r="M2372">
        <v>-0.99994110000000003</v>
      </c>
      <c r="N2372">
        <v>-9.7363720000000001E-3</v>
      </c>
      <c r="O2372">
        <v>4.8001670000000001E-3</v>
      </c>
      <c r="P2372">
        <v>-0.97461279999999995</v>
      </c>
      <c r="Q2372">
        <v>0.18952849999999999</v>
      </c>
      <c r="R2372">
        <v>-0.11920169999999999</v>
      </c>
      <c r="S2372">
        <v>-3.065887</v>
      </c>
      <c r="T2372">
        <v>2.7087569999999998E-2</v>
      </c>
      <c r="U2372">
        <v>-5.4443360000000003E-2</v>
      </c>
      <c r="V2372">
        <v>-0.1238466</v>
      </c>
      <c r="W2372">
        <v>0.19902320000000001</v>
      </c>
      <c r="X2372">
        <v>0.97213769999999999</v>
      </c>
      <c r="Y2372">
        <v>-2.255368E-2</v>
      </c>
      <c r="Z2372" s="1">
        <v>7.8953929999999998E-5</v>
      </c>
      <c r="AA2372">
        <v>0.99974560000000001</v>
      </c>
      <c r="AB2372">
        <v>28</v>
      </c>
      <c r="AC2372">
        <v>-3.065887</v>
      </c>
      <c r="AD2372">
        <v>2.7087569999999998E-2</v>
      </c>
      <c r="AE2372">
        <v>-5.4443360000000003E-2</v>
      </c>
      <c r="AF2372">
        <v>-6.9154803088718297E-2</v>
      </c>
      <c r="AG2372">
        <v>2.7087569999999998E-2</v>
      </c>
      <c r="AH2372">
        <v>3.0653511199019099</v>
      </c>
      <c r="AI2372">
        <v>89.493836689686802</v>
      </c>
      <c r="AJ2372">
        <v>91.2923825642292</v>
      </c>
      <c r="AK2372">
        <v>3.0662507417891698</v>
      </c>
      <c r="AL2372">
        <v>78.520155301004806</v>
      </c>
      <c r="AM2372">
        <v>97.260153369662703</v>
      </c>
      <c r="AN2372">
        <v>0.99999996111554401</v>
      </c>
    </row>
    <row r="2373" spans="1:40" x14ac:dyDescent="0.25">
      <c r="A2373" t="str">
        <f>"20190304155103498"</f>
        <v>20190304155103498</v>
      </c>
      <c r="B2373" t="str">
        <f>"1551685863488635"</f>
        <v>1551685863488635</v>
      </c>
      <c r="C2373" t="s">
        <v>40</v>
      </c>
      <c r="D2373">
        <v>4.5177769999999997</v>
      </c>
      <c r="E2373">
        <v>0.53732009999999997</v>
      </c>
      <c r="F2373" t="s">
        <v>53</v>
      </c>
      <c r="G2373">
        <v>0</v>
      </c>
      <c r="H2373">
        <v>0</v>
      </c>
      <c r="I2373">
        <v>0</v>
      </c>
      <c r="J2373">
        <v>-380.64100000000002</v>
      </c>
      <c r="K2373">
        <v>1.1100969999999999</v>
      </c>
      <c r="L2373">
        <v>285.53609999999998</v>
      </c>
      <c r="M2373">
        <v>-0.99994090000000002</v>
      </c>
      <c r="N2373">
        <v>-9.7376809999999998E-3</v>
      </c>
      <c r="O2373">
        <v>4.8405499999999999E-3</v>
      </c>
      <c r="P2373">
        <v>-0.97439529999999996</v>
      </c>
      <c r="Q2373">
        <v>0.1912452</v>
      </c>
      <c r="R2373">
        <v>-0.1182349</v>
      </c>
      <c r="S2373">
        <v>-3.0659179999999999</v>
      </c>
      <c r="T2373">
        <v>2.9902459999999999E-2</v>
      </c>
      <c r="U2373">
        <v>-5.2398680000000003E-2</v>
      </c>
      <c r="V2373">
        <v>-0.1229243</v>
      </c>
      <c r="W2373">
        <v>0.20073460000000001</v>
      </c>
      <c r="X2373">
        <v>0.97190290000000001</v>
      </c>
      <c r="Y2373">
        <v>-2.1927160000000001E-2</v>
      </c>
      <c r="Z2373" s="1">
        <v>9.4486639999999994E-5</v>
      </c>
      <c r="AA2373">
        <v>0.99975959999999997</v>
      </c>
      <c r="AB2373">
        <v>28</v>
      </c>
      <c r="AC2373">
        <v>-3.0659179999999999</v>
      </c>
      <c r="AD2373">
        <v>2.9902459999999999E-2</v>
      </c>
      <c r="AE2373">
        <v>-5.2398680000000003E-2</v>
      </c>
      <c r="AF2373">
        <v>-6.7233105029995799E-2</v>
      </c>
      <c r="AG2373">
        <v>2.9902459999999999E-2</v>
      </c>
      <c r="AH2373">
        <v>3.06533692353903</v>
      </c>
      <c r="AI2373">
        <v>89.441229940967105</v>
      </c>
      <c r="AJ2373">
        <v>91.256486876361507</v>
      </c>
      <c r="AK2373">
        <v>3.06621996965935</v>
      </c>
      <c r="AL2373">
        <v>78.420080340107603</v>
      </c>
      <c r="AM2373">
        <v>97.208379439509201</v>
      </c>
      <c r="AN2373">
        <v>1.00000000509803</v>
      </c>
    </row>
    <row r="2374" spans="1:40" x14ac:dyDescent="0.25">
      <c r="A2374" t="str">
        <f>"20190304155103520"</f>
        <v>20190304155103520</v>
      </c>
      <c r="B2374" t="str">
        <f>"1551685863509130"</f>
        <v>1551685863509130</v>
      </c>
      <c r="C2374" t="s">
        <v>40</v>
      </c>
      <c r="D2374">
        <v>5.035952</v>
      </c>
      <c r="E2374">
        <v>0.49118089999999998</v>
      </c>
      <c r="F2374" t="s">
        <v>53</v>
      </c>
      <c r="G2374">
        <v>0</v>
      </c>
      <c r="H2374">
        <v>0</v>
      </c>
      <c r="I2374">
        <v>0</v>
      </c>
      <c r="J2374">
        <v>-380.91640000000001</v>
      </c>
      <c r="K2374">
        <v>1.1101160000000001</v>
      </c>
      <c r="L2374">
        <v>285.53750000000002</v>
      </c>
      <c r="M2374">
        <v>-0.99994079999999996</v>
      </c>
      <c r="N2374">
        <v>-9.7393540000000004E-3</v>
      </c>
      <c r="O2374">
        <v>4.8644769999999999E-3</v>
      </c>
      <c r="P2374">
        <v>-0.97406179999999998</v>
      </c>
      <c r="Q2374">
        <v>0.19311639999999999</v>
      </c>
      <c r="R2374">
        <v>-0.11794060000000001</v>
      </c>
      <c r="S2374">
        <v>-3.0657350000000001</v>
      </c>
      <c r="T2374">
        <v>3.4833790000000003E-2</v>
      </c>
      <c r="U2374">
        <v>-5.1666259999999999E-2</v>
      </c>
      <c r="V2374">
        <v>-0.122657</v>
      </c>
      <c r="W2374">
        <v>0.2026009</v>
      </c>
      <c r="X2374">
        <v>0.97154929999999995</v>
      </c>
      <c r="Y2374">
        <v>-2.171296E-2</v>
      </c>
      <c r="Z2374">
        <v>1.20234E-4</v>
      </c>
      <c r="AA2374">
        <v>0.99976430000000005</v>
      </c>
      <c r="AB2374">
        <v>28</v>
      </c>
      <c r="AC2374">
        <v>-3.0657350000000001</v>
      </c>
      <c r="AD2374">
        <v>3.4833790000000003E-2</v>
      </c>
      <c r="AE2374">
        <v>-5.1666259999999999E-2</v>
      </c>
      <c r="AF2374">
        <v>-6.6570960490706196E-2</v>
      </c>
      <c r="AG2374">
        <v>3.4833790000000003E-2</v>
      </c>
      <c r="AH2374">
        <v>3.06505179136576</v>
      </c>
      <c r="AI2374">
        <v>89.349024797067202</v>
      </c>
      <c r="AJ2374">
        <v>91.2442319868601</v>
      </c>
      <c r="AK2374">
        <v>3.0659725324048299</v>
      </c>
      <c r="AL2374">
        <v>78.310905500751204</v>
      </c>
      <c r="AM2374">
        <v>97.195459546114506</v>
      </c>
      <c r="AN2374">
        <v>0.99999995333014802</v>
      </c>
    </row>
    <row r="2375" spans="1:40" x14ac:dyDescent="0.25">
      <c r="A2375" t="str">
        <f>"20190304155103543"</f>
        <v>20190304155103543</v>
      </c>
      <c r="B2375" t="str">
        <f>"1551685863539388"</f>
        <v>1551685863539388</v>
      </c>
      <c r="C2375" t="s">
        <v>40</v>
      </c>
      <c r="D2375">
        <v>4.9726239999999997</v>
      </c>
      <c r="E2375">
        <v>0.48578389999999999</v>
      </c>
      <c r="F2375" t="s">
        <v>75</v>
      </c>
      <c r="G2375">
        <v>-512.82539999999995</v>
      </c>
      <c r="H2375">
        <v>0.68554659999999901</v>
      </c>
      <c r="I2375">
        <v>267.4042</v>
      </c>
      <c r="J2375">
        <v>-381.19760000000002</v>
      </c>
      <c r="K2375">
        <v>1.110128</v>
      </c>
      <c r="L2375">
        <v>285.53890000000001</v>
      </c>
      <c r="M2375">
        <v>-0.99994070000000002</v>
      </c>
      <c r="N2375">
        <v>-9.7413410000000006E-3</v>
      </c>
      <c r="O2375">
        <v>4.8756009999999898E-3</v>
      </c>
      <c r="P2375">
        <v>-0.97389170000000003</v>
      </c>
      <c r="Q2375">
        <v>0.19402259999999999</v>
      </c>
      <c r="R2375">
        <v>-0.1178579</v>
      </c>
      <c r="S2375">
        <v>-3.0313720000000002</v>
      </c>
      <c r="T2375">
        <v>-9.7551349999999998E-3</v>
      </c>
      <c r="U2375">
        <v>-0.41671750000000002</v>
      </c>
      <c r="V2375">
        <v>-0.12259050000000001</v>
      </c>
      <c r="W2375">
        <v>0.2035034</v>
      </c>
      <c r="X2375">
        <v>0.97136909999999999</v>
      </c>
      <c r="Y2375">
        <v>-0.14101329999999901</v>
      </c>
      <c r="Z2375">
        <v>-8.8424670000000001E-4</v>
      </c>
      <c r="AA2375">
        <v>0.99000730000000003</v>
      </c>
      <c r="AB2375">
        <v>28</v>
      </c>
      <c r="AC2375">
        <v>-131.62779999999901</v>
      </c>
      <c r="AD2375">
        <v>-0.4245814</v>
      </c>
      <c r="AE2375">
        <v>-18.134699999999999</v>
      </c>
      <c r="AF2375">
        <v>-18.776087777849401</v>
      </c>
      <c r="AG2375">
        <v>-0.4245814</v>
      </c>
      <c r="AH2375">
        <v>131.53647049955401</v>
      </c>
      <c r="AI2375">
        <v>90.183086291501596</v>
      </c>
      <c r="AJ2375">
        <v>98.123768863119594</v>
      </c>
      <c r="AK2375">
        <v>132.87048134588301</v>
      </c>
      <c r="AL2375">
        <v>78.258096435762596</v>
      </c>
      <c r="AM2375">
        <v>97.192919445958793</v>
      </c>
      <c r="AN2375">
        <v>0.99999999646830995</v>
      </c>
    </row>
    <row r="2376" spans="1:40" x14ac:dyDescent="0.25">
      <c r="A2376" t="str">
        <f>"20190304155103565"</f>
        <v>20190304155103565</v>
      </c>
      <c r="B2376" t="str">
        <f>"1551685863558911"</f>
        <v>1551685863558911</v>
      </c>
      <c r="C2376" t="s">
        <v>40</v>
      </c>
      <c r="D2376">
        <v>5.0618980000000002</v>
      </c>
      <c r="E2376">
        <v>0.48379549999999999</v>
      </c>
      <c r="F2376" t="s">
        <v>42</v>
      </c>
      <c r="G2376">
        <v>-479.5009</v>
      </c>
      <c r="H2376">
        <v>-0.05</v>
      </c>
      <c r="I2376">
        <v>270.64960000000002</v>
      </c>
      <c r="J2376">
        <v>-381.49299999999999</v>
      </c>
      <c r="K2376">
        <v>1.1101369999999999</v>
      </c>
      <c r="L2376">
        <v>285.5403</v>
      </c>
      <c r="M2376">
        <v>-0.99994070000000002</v>
      </c>
      <c r="N2376">
        <v>-9.7435660000000004E-3</v>
      </c>
      <c r="O2376">
        <v>4.87835E-3</v>
      </c>
      <c r="P2376">
        <v>-0.97374260000000001</v>
      </c>
      <c r="Q2376">
        <v>0.19466020000000001</v>
      </c>
      <c r="R2376">
        <v>-0.118038</v>
      </c>
      <c r="S2376">
        <v>-3.031952</v>
      </c>
      <c r="T2376">
        <v>-3.578162E-2</v>
      </c>
      <c r="U2376">
        <v>-0.45922849999999998</v>
      </c>
      <c r="V2376">
        <v>-0.1227763</v>
      </c>
      <c r="W2376">
        <v>0.20413919999999999</v>
      </c>
      <c r="X2376">
        <v>0.97121219999999997</v>
      </c>
      <c r="Y2376">
        <v>-0.15455729999999901</v>
      </c>
      <c r="Z2376">
        <v>-1.6740959999999999E-3</v>
      </c>
      <c r="AA2376">
        <v>0.98798240000000004</v>
      </c>
      <c r="AB2376">
        <v>28</v>
      </c>
      <c r="AC2376">
        <v>-98.007899999999907</v>
      </c>
      <c r="AD2376">
        <v>-1.160137</v>
      </c>
      <c r="AE2376">
        <v>-14.890699999999899</v>
      </c>
      <c r="AF2376">
        <v>-15.3665577362148</v>
      </c>
      <c r="AG2376">
        <v>-1.160137</v>
      </c>
      <c r="AH2376">
        <v>97.920677231220495</v>
      </c>
      <c r="AI2376">
        <v>90.670586581527203</v>
      </c>
      <c r="AJ2376">
        <v>98.918611197403195</v>
      </c>
      <c r="AK2376">
        <v>99.125859612615997</v>
      </c>
      <c r="AL2376">
        <v>78.220886539507205</v>
      </c>
      <c r="AM2376">
        <v>97.204858239079499</v>
      </c>
      <c r="AN2376">
        <v>0.99999998512358401</v>
      </c>
    </row>
    <row r="2377" spans="1:40" x14ac:dyDescent="0.25">
      <c r="A2377" t="str">
        <f>"20190304155103578"</f>
        <v>20190304155103578</v>
      </c>
      <c r="B2377" t="str">
        <f>"1551685863568667"</f>
        <v>1551685863568667</v>
      </c>
      <c r="C2377" t="s">
        <v>40</v>
      </c>
      <c r="D2377">
        <v>4.9402780000000002</v>
      </c>
      <c r="E2377">
        <v>0.48325810000000002</v>
      </c>
      <c r="F2377" t="s">
        <v>75</v>
      </c>
      <c r="G2377">
        <v>-512.82539999999995</v>
      </c>
      <c r="H2377">
        <v>0.80261830000000001</v>
      </c>
      <c r="I2377">
        <v>264.85770000000002</v>
      </c>
      <c r="J2377">
        <v>-381.65109999999999</v>
      </c>
      <c r="K2377">
        <v>1.1101379999999901</v>
      </c>
      <c r="L2377">
        <v>285.54109999999997</v>
      </c>
      <c r="M2377">
        <v>-0.99994070000000002</v>
      </c>
      <c r="N2377">
        <v>-9.7448940000000005E-3</v>
      </c>
      <c r="O2377">
        <v>4.8767609999999899E-3</v>
      </c>
      <c r="P2377">
        <v>-0.97373469999999995</v>
      </c>
      <c r="Q2377">
        <v>0.19477549999999999</v>
      </c>
      <c r="R2377">
        <v>-0.1179139</v>
      </c>
      <c r="S2377">
        <v>-3.0245669999999998</v>
      </c>
      <c r="T2377">
        <v>-7.0803169999999896E-3</v>
      </c>
      <c r="U2377">
        <v>-0.47631839999999998</v>
      </c>
      <c r="V2377">
        <v>-0.12265189999999999</v>
      </c>
      <c r="W2377">
        <v>0.20425499999999999</v>
      </c>
      <c r="X2377">
        <v>0.97120359999999994</v>
      </c>
      <c r="Y2377">
        <v>-0.1603793</v>
      </c>
      <c r="Z2377">
        <v>-9.369364E-4</v>
      </c>
      <c r="AA2377">
        <v>0.98705500000000002</v>
      </c>
      <c r="AB2377">
        <v>28</v>
      </c>
      <c r="AC2377">
        <v>-131.17429999999899</v>
      </c>
      <c r="AD2377">
        <v>-0.30751969999999901</v>
      </c>
      <c r="AE2377">
        <v>-20.683399999999899</v>
      </c>
      <c r="AF2377">
        <v>-21.322775712234701</v>
      </c>
      <c r="AG2377">
        <v>-0.30751969999999901</v>
      </c>
      <c r="AH2377">
        <v>131.071164322154</v>
      </c>
      <c r="AI2377">
        <v>90.132683082332704</v>
      </c>
      <c r="AJ2377">
        <v>99.239984420149796</v>
      </c>
      <c r="AK2377">
        <v>132.79459871999799</v>
      </c>
      <c r="AL2377">
        <v>78.214109216257199</v>
      </c>
      <c r="AM2377">
        <v>97.197697762588405</v>
      </c>
      <c r="AN2377">
        <v>1.00000001312578</v>
      </c>
    </row>
    <row r="2378" spans="1:40" x14ac:dyDescent="0.25">
      <c r="A2378" t="str">
        <f>"20190304155103591"</f>
        <v>20190304155103591</v>
      </c>
      <c r="B2378" t="str">
        <f>"1551685863589163"</f>
        <v>1551685863589163</v>
      </c>
      <c r="C2378" t="s">
        <v>40</v>
      </c>
      <c r="D2378">
        <v>5.6977349999999998</v>
      </c>
      <c r="E2378">
        <v>0.48186950000000001</v>
      </c>
      <c r="F2378" t="s">
        <v>75</v>
      </c>
      <c r="G2378">
        <v>-512.82529999999997</v>
      </c>
      <c r="H2378">
        <v>0.51278049999999997</v>
      </c>
      <c r="I2378">
        <v>264.72460000000001</v>
      </c>
      <c r="J2378">
        <v>-381.80739999999997</v>
      </c>
      <c r="K2378">
        <v>1.1101379999999901</v>
      </c>
      <c r="L2378">
        <v>285.5419</v>
      </c>
      <c r="M2378">
        <v>-0.99994070000000002</v>
      </c>
      <c r="N2378">
        <v>-9.7462569999999995E-3</v>
      </c>
      <c r="O2378">
        <v>4.8747019999999999E-3</v>
      </c>
      <c r="P2378">
        <v>-0.9737865</v>
      </c>
      <c r="Q2378">
        <v>0.19452839999999999</v>
      </c>
      <c r="R2378">
        <v>-0.1178922</v>
      </c>
      <c r="S2378">
        <v>-3.0255429999999999</v>
      </c>
      <c r="T2378">
        <v>-1.37763E-2</v>
      </c>
      <c r="U2378">
        <v>-0.48013309999999998</v>
      </c>
      <c r="V2378">
        <v>-0.12262960000000001</v>
      </c>
      <c r="W2378">
        <v>0.20400950000000001</v>
      </c>
      <c r="X2378">
        <v>0.97125799999999995</v>
      </c>
      <c r="Y2378">
        <v>-0.1615394</v>
      </c>
      <c r="Z2378">
        <v>-1.1324600000000001E-3</v>
      </c>
      <c r="AA2378">
        <v>0.98686560000000001</v>
      </c>
      <c r="AB2378">
        <v>28</v>
      </c>
      <c r="AC2378">
        <v>-131.0179</v>
      </c>
      <c r="AD2378">
        <v>-0.59735749999999899</v>
      </c>
      <c r="AE2378">
        <v>-20.8172999999999</v>
      </c>
      <c r="AF2378">
        <v>-21.455321117235901</v>
      </c>
      <c r="AG2378">
        <v>-0.59735749999999899</v>
      </c>
      <c r="AH2378">
        <v>130.91220586788501</v>
      </c>
      <c r="AI2378">
        <v>90.257999111088196</v>
      </c>
      <c r="AJ2378">
        <v>99.307512356136101</v>
      </c>
      <c r="AK2378">
        <v>132.660066656933</v>
      </c>
      <c r="AL2378">
        <v>78.228477714518903</v>
      </c>
      <c r="AM2378">
        <v>97.196003987648595</v>
      </c>
      <c r="AN2378">
        <v>0.99999999872520395</v>
      </c>
    </row>
    <row r="2379" spans="1:40" x14ac:dyDescent="0.25">
      <c r="A2379" t="str">
        <f>"20190304155103609"</f>
        <v>20190304155103609</v>
      </c>
      <c r="B2379" t="str">
        <f>"1551685863598923"</f>
        <v>1551685863598923</v>
      </c>
      <c r="C2379" t="s">
        <v>40</v>
      </c>
      <c r="D2379">
        <v>4.9913949999999998</v>
      </c>
      <c r="E2379">
        <v>0.48155100000000001</v>
      </c>
      <c r="F2379" t="s">
        <v>75</v>
      </c>
      <c r="G2379">
        <v>-512.82529999999997</v>
      </c>
      <c r="H2379">
        <v>0.40040019999999998</v>
      </c>
      <c r="I2379">
        <v>264.2654</v>
      </c>
      <c r="J2379">
        <v>-382.04509999999999</v>
      </c>
      <c r="K2379">
        <v>1.110136</v>
      </c>
      <c r="L2379">
        <v>285.54300000000001</v>
      </c>
      <c r="M2379">
        <v>-0.99994070000000002</v>
      </c>
      <c r="N2379">
        <v>-9.7484700000000004E-3</v>
      </c>
      <c r="O2379">
        <v>4.8696629999999998E-3</v>
      </c>
      <c r="P2379">
        <v>-0.97401789999999999</v>
      </c>
      <c r="Q2379">
        <v>0.19332060000000001</v>
      </c>
      <c r="R2379">
        <v>-0.1179692</v>
      </c>
      <c r="S2379">
        <v>-3.0246279999999999</v>
      </c>
      <c r="T2379">
        <v>-1.638293E-2</v>
      </c>
      <c r="U2379">
        <v>-0.49118040000000002</v>
      </c>
      <c r="V2379">
        <v>-0.1227036</v>
      </c>
      <c r="W2379">
        <v>0.2028054</v>
      </c>
      <c r="X2379">
        <v>0.97150080000000005</v>
      </c>
      <c r="Y2379">
        <v>-0.16509209999999999</v>
      </c>
      <c r="Z2379">
        <v>-1.2332160000000001E-3</v>
      </c>
      <c r="AA2379">
        <v>0.98627739999999997</v>
      </c>
      <c r="AB2379">
        <v>28</v>
      </c>
      <c r="AC2379">
        <v>-130.78019999999901</v>
      </c>
      <c r="AD2379">
        <v>-0.70973580000000003</v>
      </c>
      <c r="AE2379">
        <v>-21.2776</v>
      </c>
      <c r="AF2379">
        <v>-21.913604658420098</v>
      </c>
      <c r="AG2379">
        <v>-0.70973580000000003</v>
      </c>
      <c r="AH2379">
        <v>130.67128031139799</v>
      </c>
      <c r="AI2379">
        <v>90.306910982162705</v>
      </c>
      <c r="AJ2379">
        <v>99.519931223458997</v>
      </c>
      <c r="AK2379">
        <v>132.497899199388</v>
      </c>
      <c r="AL2379">
        <v>78.298940716614098</v>
      </c>
      <c r="AM2379">
        <v>97.198520168112594</v>
      </c>
      <c r="AN2379">
        <v>1.0000000040613799</v>
      </c>
    </row>
    <row r="2380" spans="1:40" x14ac:dyDescent="0.25">
      <c r="A2380" t="str">
        <f>"20190304155103623"</f>
        <v>20190304155103623</v>
      </c>
      <c r="B2380" t="str">
        <f>"1551685863618622"</f>
        <v>1551685863618622</v>
      </c>
      <c r="C2380" t="s">
        <v>40</v>
      </c>
      <c r="D2380">
        <v>4.951587</v>
      </c>
      <c r="E2380">
        <v>0.48117520000000003</v>
      </c>
      <c r="F2380" t="s">
        <v>75</v>
      </c>
      <c r="G2380">
        <v>-512.8252</v>
      </c>
      <c r="H2380">
        <v>0.10016079999999999</v>
      </c>
      <c r="I2380">
        <v>264.1773</v>
      </c>
      <c r="J2380">
        <v>-382.21879999999999</v>
      </c>
      <c r="K2380">
        <v>1.1101299999999901</v>
      </c>
      <c r="L2380">
        <v>285.54390000000001</v>
      </c>
      <c r="M2380">
        <v>-0.99994070000000002</v>
      </c>
      <c r="N2380">
        <v>-9.7501759999999993E-3</v>
      </c>
      <c r="O2380">
        <v>4.8655959999999998E-3</v>
      </c>
      <c r="P2380">
        <v>-0.97414279999999998</v>
      </c>
      <c r="Q2380">
        <v>0.19264819999999999</v>
      </c>
      <c r="R2380">
        <v>-0.1180359</v>
      </c>
      <c r="S2380">
        <v>-3.0248409999999999</v>
      </c>
      <c r="T2380">
        <v>-2.3358110000000001E-2</v>
      </c>
      <c r="U2380">
        <v>-0.49417109999999898</v>
      </c>
      <c r="V2380">
        <v>-0.12276769999999999</v>
      </c>
      <c r="W2380">
        <v>0.20213539999999999</v>
      </c>
      <c r="X2380">
        <v>0.97163239999999995</v>
      </c>
      <c r="Y2380">
        <v>-0.16602259999999999</v>
      </c>
      <c r="Z2380">
        <v>-1.4417449999999999E-3</v>
      </c>
      <c r="AA2380">
        <v>0.98612089999999997</v>
      </c>
      <c r="AB2380">
        <v>28</v>
      </c>
      <c r="AC2380">
        <v>-130.60640000000001</v>
      </c>
      <c r="AD2380">
        <v>-1.00996919999999</v>
      </c>
      <c r="AE2380">
        <v>-21.366599999999998</v>
      </c>
      <c r="AF2380">
        <v>-22.000573897533801</v>
      </c>
      <c r="AG2380">
        <v>-1.00996919999999</v>
      </c>
      <c r="AH2380">
        <v>130.49328782483201</v>
      </c>
      <c r="AI2380">
        <v>90.437268271569295</v>
      </c>
      <c r="AJ2380">
        <v>99.569812525765002</v>
      </c>
      <c r="AK2380">
        <v>132.33874510868</v>
      </c>
      <c r="AL2380">
        <v>78.338141618353205</v>
      </c>
      <c r="AM2380">
        <v>97.201275929832704</v>
      </c>
      <c r="AN2380">
        <v>1.0000000744130999</v>
      </c>
    </row>
    <row r="2381" spans="1:40" x14ac:dyDescent="0.25">
      <c r="A2381" t="str">
        <f>"20190304155103654"</f>
        <v>20190304155103654</v>
      </c>
      <c r="B2381" t="str">
        <f>"1551685863648880"</f>
        <v>1551685863648880</v>
      </c>
      <c r="C2381" t="s">
        <v>40</v>
      </c>
      <c r="D2381">
        <v>4.9730509999999999</v>
      </c>
      <c r="E2381">
        <v>0.4807555</v>
      </c>
      <c r="F2381" t="s">
        <v>41</v>
      </c>
      <c r="G2381">
        <v>-481.55290000000002</v>
      </c>
      <c r="H2381" s="1">
        <v>-5.6090059999999997E-6</v>
      </c>
      <c r="I2381">
        <v>269.21480000000003</v>
      </c>
      <c r="J2381">
        <v>-382.6112</v>
      </c>
      <c r="K2381">
        <v>1.1101160000000001</v>
      </c>
      <c r="L2381">
        <v>285.54570000000001</v>
      </c>
      <c r="M2381">
        <v>-0.99994059999999996</v>
      </c>
      <c r="N2381">
        <v>-9.7541599999999996E-3</v>
      </c>
      <c r="O2381">
        <v>4.858182E-3</v>
      </c>
      <c r="P2381">
        <v>-0.97451080000000001</v>
      </c>
      <c r="Q2381">
        <v>0.190914</v>
      </c>
      <c r="R2381">
        <v>-0.1178149</v>
      </c>
      <c r="S2381">
        <v>-3.0260310000000001</v>
      </c>
      <c r="T2381">
        <v>-3.3818239999999999E-2</v>
      </c>
      <c r="U2381">
        <v>-0.4974365</v>
      </c>
      <c r="V2381">
        <v>-0.122541</v>
      </c>
      <c r="W2381">
        <v>0.200409</v>
      </c>
      <c r="X2381">
        <v>0.97201850000000001</v>
      </c>
      <c r="Y2381">
        <v>-0.16698170000000001</v>
      </c>
      <c r="Z2381">
        <v>-1.7535719999999999E-3</v>
      </c>
      <c r="AA2381">
        <v>0.98595849999999996</v>
      </c>
      <c r="AB2381">
        <v>28</v>
      </c>
      <c r="AC2381">
        <v>-98.941699999999997</v>
      </c>
      <c r="AD2381">
        <v>-1.110121609006</v>
      </c>
      <c r="AE2381">
        <v>-16.3308999999999</v>
      </c>
      <c r="AF2381">
        <v>-16.809346961585</v>
      </c>
      <c r="AG2381">
        <v>-1.110121609006</v>
      </c>
      <c r="AH2381">
        <v>98.849076179060901</v>
      </c>
      <c r="AI2381">
        <v>90.634326146718493</v>
      </c>
      <c r="AJ2381">
        <v>99.650864292794793</v>
      </c>
      <c r="AK2381">
        <v>100.274255802352</v>
      </c>
      <c r="AL2381">
        <v>78.439122913920798</v>
      </c>
      <c r="AM2381">
        <v>97.185292061013897</v>
      </c>
      <c r="AN2381">
        <v>1.0000000141521199</v>
      </c>
    </row>
    <row r="2382" spans="1:40" x14ac:dyDescent="0.25">
      <c r="A2382" t="str">
        <f>"20190304155103676"</f>
        <v>20190304155103676</v>
      </c>
      <c r="B2382" t="str">
        <f>"1551685863669373"</f>
        <v>1551685863669373</v>
      </c>
      <c r="C2382" t="s">
        <v>40</v>
      </c>
      <c r="D2382">
        <v>5.1586460000000001</v>
      </c>
      <c r="E2382">
        <v>0.48022399999999998</v>
      </c>
      <c r="F2382" t="s">
        <v>70</v>
      </c>
      <c r="G2382">
        <v>-446.43049999999999</v>
      </c>
      <c r="H2382">
        <v>8.0001459999999996E-2</v>
      </c>
      <c r="I2382">
        <v>275.00020000000001</v>
      </c>
      <c r="J2382">
        <v>-382.88979999999998</v>
      </c>
      <c r="K2382">
        <v>1.110117</v>
      </c>
      <c r="L2382">
        <v>285.5471</v>
      </c>
      <c r="M2382">
        <v>-0.99994070000000002</v>
      </c>
      <c r="N2382">
        <v>-9.7570769999999994E-3</v>
      </c>
      <c r="O2382">
        <v>4.8546509999999998E-3</v>
      </c>
      <c r="P2382">
        <v>-0.97471140000000001</v>
      </c>
      <c r="Q2382">
        <v>0.1896736</v>
      </c>
      <c r="R2382">
        <v>-0.11816069999999999</v>
      </c>
      <c r="S2382">
        <v>-3.0275569999999998</v>
      </c>
      <c r="T2382">
        <v>-4.8868179999999997E-2</v>
      </c>
      <c r="U2382">
        <v>-0.50027469999999996</v>
      </c>
      <c r="V2382">
        <v>-0.1228846</v>
      </c>
      <c r="W2382">
        <v>0.19917319999999999</v>
      </c>
      <c r="X2382">
        <v>0.97222909999999996</v>
      </c>
      <c r="Y2382">
        <v>-0.16778309999999999</v>
      </c>
      <c r="Z2382">
        <v>-2.199842E-3</v>
      </c>
      <c r="AA2382">
        <v>0.98582150000000002</v>
      </c>
      <c r="AB2382">
        <v>28</v>
      </c>
      <c r="AC2382">
        <v>-63.540700000000001</v>
      </c>
      <c r="AD2382">
        <v>-1.0301155399999999</v>
      </c>
      <c r="AE2382">
        <v>-10.5468999999999</v>
      </c>
      <c r="AF2382">
        <v>-10.8524824519848</v>
      </c>
      <c r="AG2382">
        <v>-1.0301155399999999</v>
      </c>
      <c r="AH2382">
        <v>63.4725123076879</v>
      </c>
      <c r="AI2382">
        <v>90.916492253231993</v>
      </c>
      <c r="AJ2382">
        <v>99.7025673398972</v>
      </c>
      <c r="AK2382">
        <v>64.401842613748101</v>
      </c>
      <c r="AL2382">
        <v>78.511385874614405</v>
      </c>
      <c r="AM2382">
        <v>97.203683513591201</v>
      </c>
      <c r="AN2382">
        <v>1.0000000057011</v>
      </c>
    </row>
    <row r="2383" spans="1:40" x14ac:dyDescent="0.25">
      <c r="A2383" t="str">
        <f>"20190304155103698"</f>
        <v>20190304155103698</v>
      </c>
      <c r="B2383" t="str">
        <f>"1551685863688893"</f>
        <v>1551685863688893</v>
      </c>
      <c r="C2383" t="s">
        <v>40</v>
      </c>
      <c r="D2383">
        <v>4.9658670000000003</v>
      </c>
      <c r="E2383">
        <v>0.47985889999999998</v>
      </c>
      <c r="F2383" t="s">
        <v>70</v>
      </c>
      <c r="G2383">
        <v>-442.31529999999998</v>
      </c>
      <c r="H2383">
        <v>8.0001180000000005E-2</v>
      </c>
      <c r="I2383">
        <v>275.6225</v>
      </c>
      <c r="J2383">
        <v>-383.17430000000002</v>
      </c>
      <c r="K2383">
        <v>1.1101160000000001</v>
      </c>
      <c r="L2383">
        <v>285.54849999999999</v>
      </c>
      <c r="M2383">
        <v>-0.99994059999999996</v>
      </c>
      <c r="N2383">
        <v>-9.7601540000000001E-3</v>
      </c>
      <c r="O2383">
        <v>4.8529080000000004E-3</v>
      </c>
      <c r="P2383">
        <v>-0.97478030000000004</v>
      </c>
      <c r="Q2383">
        <v>0.18904550000000001</v>
      </c>
      <c r="R2383">
        <v>-0.11859749999999999</v>
      </c>
      <c r="S2383">
        <v>-3.0267330000000001</v>
      </c>
      <c r="T2383">
        <v>-5.2467109999999997E-2</v>
      </c>
      <c r="U2383">
        <v>-0.50549319999999998</v>
      </c>
      <c r="V2383">
        <v>-0.1233205</v>
      </c>
      <c r="W2383">
        <v>0.1985489</v>
      </c>
      <c r="X2383">
        <v>0.97230159999999999</v>
      </c>
      <c r="Y2383">
        <v>-0.1694737</v>
      </c>
      <c r="Z2383">
        <v>-2.3280269999999999E-3</v>
      </c>
      <c r="AA2383">
        <v>0.98553199999999996</v>
      </c>
      <c r="AB2383">
        <v>28</v>
      </c>
      <c r="AC2383">
        <v>-59.140999999999899</v>
      </c>
      <c r="AD2383">
        <v>-1.0301148200000001</v>
      </c>
      <c r="AE2383">
        <v>-9.9259999999999806</v>
      </c>
      <c r="AF2383">
        <v>-10.209889944363599</v>
      </c>
      <c r="AG2383">
        <v>-1.0301148200000001</v>
      </c>
      <c r="AH2383">
        <v>59.074699916359698</v>
      </c>
      <c r="AI2383">
        <v>90.984402590816003</v>
      </c>
      <c r="AJ2383">
        <v>99.805572895640594</v>
      </c>
      <c r="AK2383">
        <v>59.959345888913298</v>
      </c>
      <c r="AL2383">
        <v>78.547884601747597</v>
      </c>
      <c r="AM2383">
        <v>97.22843346098</v>
      </c>
      <c r="AN2383">
        <v>1.00000000638701</v>
      </c>
    </row>
    <row r="2384" spans="1:40" x14ac:dyDescent="0.25">
      <c r="A2384" t="str">
        <f>"20190304155103721"</f>
        <v>20190304155103721</v>
      </c>
      <c r="B2384" t="str">
        <f>"1551685863718680"</f>
        <v>1551685863718680</v>
      </c>
      <c r="C2384" t="s">
        <v>40</v>
      </c>
      <c r="D2384">
        <v>4.9736669999999998</v>
      </c>
      <c r="E2384">
        <v>0.47942030000000002</v>
      </c>
      <c r="F2384" t="s">
        <v>72</v>
      </c>
      <c r="G2384">
        <v>-435.76929999999999</v>
      </c>
      <c r="H2384">
        <v>8.0001139999999998E-2</v>
      </c>
      <c r="I2384">
        <v>276.70049999999998</v>
      </c>
      <c r="J2384">
        <v>-383.46530000000001</v>
      </c>
      <c r="K2384">
        <v>1.1101160000000001</v>
      </c>
      <c r="L2384">
        <v>285.54989999999998</v>
      </c>
      <c r="M2384">
        <v>-0.99994059999999996</v>
      </c>
      <c r="N2384">
        <v>-9.7634160000000005E-3</v>
      </c>
      <c r="O2384">
        <v>4.852238E-3</v>
      </c>
      <c r="P2384">
        <v>-0.97487259999999998</v>
      </c>
      <c r="Q2384">
        <v>0.1884159</v>
      </c>
      <c r="R2384">
        <v>-0.11884110000000001</v>
      </c>
      <c r="S2384">
        <v>-3.0271300000000001</v>
      </c>
      <c r="T2384">
        <v>-5.9288739999999999E-2</v>
      </c>
      <c r="U2384">
        <v>-0.5092468</v>
      </c>
      <c r="V2384">
        <v>-0.1235632</v>
      </c>
      <c r="W2384">
        <v>0.1979235</v>
      </c>
      <c r="X2384">
        <v>0.97239830000000005</v>
      </c>
      <c r="Y2384">
        <v>-0.17063149999999999</v>
      </c>
      <c r="Z2384">
        <v>-2.5454190000000002E-3</v>
      </c>
      <c r="AA2384">
        <v>0.98533170000000003</v>
      </c>
      <c r="AB2384">
        <v>28</v>
      </c>
      <c r="AC2384">
        <v>-52.303999999999903</v>
      </c>
      <c r="AD2384">
        <v>-1.0301148600000001</v>
      </c>
      <c r="AE2384">
        <v>-8.8493999999999993</v>
      </c>
      <c r="AF2384">
        <v>-9.0996679713068307</v>
      </c>
      <c r="AG2384">
        <v>-1.0301148600000001</v>
      </c>
      <c r="AH2384">
        <v>52.240743349884902</v>
      </c>
      <c r="AI2384">
        <v>91.112893964703503</v>
      </c>
      <c r="AJ2384">
        <v>99.881052203326405</v>
      </c>
      <c r="AK2384">
        <v>53.037348722964701</v>
      </c>
      <c r="AL2384">
        <v>78.584443008850599</v>
      </c>
      <c r="AM2384">
        <v>97.241795834285696</v>
      </c>
      <c r="AN2384">
        <v>1.0000000150446899</v>
      </c>
    </row>
    <row r="2385" spans="1:40" x14ac:dyDescent="0.25">
      <c r="A2385" t="str">
        <f>"20190304155103745"</f>
        <v>20190304155103745</v>
      </c>
      <c r="B2385" t="str">
        <f>"1551685863739175"</f>
        <v>1551685863739175</v>
      </c>
      <c r="C2385" t="s">
        <v>40</v>
      </c>
      <c r="D2385">
        <v>4.9992580000000002</v>
      </c>
      <c r="E2385">
        <v>0.47920279999999998</v>
      </c>
      <c r="F2385" t="s">
        <v>72</v>
      </c>
      <c r="G2385">
        <v>-431.78809999999999</v>
      </c>
      <c r="H2385">
        <v>8.0001310000000006E-2</v>
      </c>
      <c r="I2385">
        <v>277.35239999999999</v>
      </c>
      <c r="J2385">
        <v>-383.75380000000001</v>
      </c>
      <c r="K2385">
        <v>1.1101129999999999</v>
      </c>
      <c r="L2385">
        <v>285.55130000000003</v>
      </c>
      <c r="M2385">
        <v>-0.99994059999999996</v>
      </c>
      <c r="N2385">
        <v>-9.7667380000000005E-3</v>
      </c>
      <c r="O2385">
        <v>4.8520450000000001E-3</v>
      </c>
      <c r="P2385">
        <v>-0.97479450000000001</v>
      </c>
      <c r="Q2385">
        <v>0.18879650000000001</v>
      </c>
      <c r="R2385">
        <v>-0.1188766</v>
      </c>
      <c r="S2385">
        <v>-3.0271300000000001</v>
      </c>
      <c r="T2385">
        <v>-6.4530370000000004E-2</v>
      </c>
      <c r="U2385">
        <v>-0.51351930000000001</v>
      </c>
      <c r="V2385">
        <v>-0.1235984</v>
      </c>
      <c r="W2385">
        <v>0.19830680000000001</v>
      </c>
      <c r="X2385">
        <v>0.9723157</v>
      </c>
      <c r="Y2385">
        <v>-0.1719754</v>
      </c>
      <c r="Z2385">
        <v>-2.7214100000000001E-3</v>
      </c>
      <c r="AA2385">
        <v>0.98509749999999996</v>
      </c>
      <c r="AB2385">
        <v>28</v>
      </c>
      <c r="AC2385">
        <v>-48.034299999999902</v>
      </c>
      <c r="AD2385">
        <v>-1.03011168999999</v>
      </c>
      <c r="AE2385">
        <v>-8.1989000000000303</v>
      </c>
      <c r="AF2385">
        <v>-8.4281127879081694</v>
      </c>
      <c r="AG2385">
        <v>-1.03011168999999</v>
      </c>
      <c r="AH2385">
        <v>47.972513110128098</v>
      </c>
      <c r="AI2385">
        <v>91.211570529197004</v>
      </c>
      <c r="AJ2385">
        <v>99.964394065573103</v>
      </c>
      <c r="AK2385">
        <v>48.718130396814203</v>
      </c>
      <c r="AL2385">
        <v>78.562037092816993</v>
      </c>
      <c r="AM2385">
        <v>97.2444457662872</v>
      </c>
      <c r="AN2385">
        <v>0.99999998593764405</v>
      </c>
    </row>
    <row r="2386" spans="1:40" x14ac:dyDescent="0.25">
      <c r="A2386" t="str">
        <f>"20190304155103766"</f>
        <v>20190304155103766</v>
      </c>
      <c r="B2386" t="str">
        <f>"1551685863758694"</f>
        <v>1551685863758694</v>
      </c>
      <c r="C2386" t="s">
        <v>40</v>
      </c>
      <c r="D2386">
        <v>5.0493180000000004</v>
      </c>
      <c r="E2386">
        <v>0.47904809999999998</v>
      </c>
      <c r="F2386" t="s">
        <v>72</v>
      </c>
      <c r="G2386">
        <v>-431.28140000000002</v>
      </c>
      <c r="H2386">
        <v>8.0001370000000002E-2</v>
      </c>
      <c r="I2386">
        <v>277.44029999999998</v>
      </c>
      <c r="J2386">
        <v>-384.0324</v>
      </c>
      <c r="K2386">
        <v>1.1101179999999999</v>
      </c>
      <c r="L2386">
        <v>285.55270000000002</v>
      </c>
      <c r="M2386">
        <v>-0.99994059999999996</v>
      </c>
      <c r="N2386">
        <v>-9.7700159999999994E-3</v>
      </c>
      <c r="O2386">
        <v>4.852032E-3</v>
      </c>
      <c r="P2386">
        <v>-0.97479349999999998</v>
      </c>
      <c r="Q2386">
        <v>0.18894859999999999</v>
      </c>
      <c r="R2386">
        <v>-0.118643899999999</v>
      </c>
      <c r="S2386">
        <v>-3.0272830000000002</v>
      </c>
      <c r="T2386">
        <v>-6.5613149999999995E-2</v>
      </c>
      <c r="U2386">
        <v>-0.51663210000000004</v>
      </c>
      <c r="V2386">
        <v>-0.1233654</v>
      </c>
      <c r="W2386">
        <v>0.198462</v>
      </c>
      <c r="X2386">
        <v>0.9723136</v>
      </c>
      <c r="Y2386">
        <v>-0.17294960000000001</v>
      </c>
      <c r="Z2386">
        <v>-2.7690190000000002E-3</v>
      </c>
      <c r="AA2386">
        <v>0.98492679999999999</v>
      </c>
      <c r="AB2386">
        <v>29</v>
      </c>
      <c r="AC2386">
        <v>-47.249000000000002</v>
      </c>
      <c r="AD2386">
        <v>-1.03011663</v>
      </c>
      <c r="AE2386">
        <v>-8.1124000000000294</v>
      </c>
      <c r="AF2386">
        <v>-8.3377194626575495</v>
      </c>
      <c r="AG2386">
        <v>-1.03011663</v>
      </c>
      <c r="AH2386">
        <v>47.187293388100699</v>
      </c>
      <c r="AI2386">
        <v>91.231519342830197</v>
      </c>
      <c r="AJ2386">
        <v>100.020402520864</v>
      </c>
      <c r="AK2386">
        <v>47.929316325231198</v>
      </c>
      <c r="AL2386">
        <v>78.552964185655298</v>
      </c>
      <c r="AM2386">
        <v>97.230949124518304</v>
      </c>
      <c r="AN2386">
        <v>0.99999996205305897</v>
      </c>
    </row>
    <row r="2387" spans="1:40" x14ac:dyDescent="0.25">
      <c r="A2387" t="str">
        <f>"20190304155103787"</f>
        <v>20190304155103787</v>
      </c>
      <c r="B2387" t="str">
        <f>"1551685863779190"</f>
        <v>1551685863779190</v>
      </c>
      <c r="C2387" t="s">
        <v>40</v>
      </c>
      <c r="D2387">
        <v>5.6614000000000004</v>
      </c>
      <c r="E2387">
        <v>0.51390100000000005</v>
      </c>
      <c r="F2387" t="s">
        <v>72</v>
      </c>
      <c r="G2387">
        <v>-430.3159</v>
      </c>
      <c r="H2387">
        <v>8.0001169999999996E-2</v>
      </c>
      <c r="I2387">
        <v>277.66239999999999</v>
      </c>
      <c r="J2387">
        <v>-384.31549999999999</v>
      </c>
      <c r="K2387">
        <v>1.110117</v>
      </c>
      <c r="L2387">
        <v>285.55399999999997</v>
      </c>
      <c r="M2387">
        <v>-0.99994039999999995</v>
      </c>
      <c r="N2387">
        <v>-9.7734310000000008E-3</v>
      </c>
      <c r="O2387">
        <v>4.8521989999999997E-3</v>
      </c>
      <c r="P2387">
        <v>-0.97492889999999999</v>
      </c>
      <c r="Q2387">
        <v>0.1885645</v>
      </c>
      <c r="R2387">
        <v>-0.1181402</v>
      </c>
      <c r="S2387">
        <v>-3.0278019999999999</v>
      </c>
      <c r="T2387">
        <v>-6.7388770000000001E-2</v>
      </c>
      <c r="U2387">
        <v>-0.51617429999999997</v>
      </c>
      <c r="V2387">
        <v>-0.12286270000000001</v>
      </c>
      <c r="W2387">
        <v>0.19808290000000001</v>
      </c>
      <c r="X2387">
        <v>0.97245459999999995</v>
      </c>
      <c r="Y2387">
        <v>-0.1727745</v>
      </c>
      <c r="Z2387">
        <v>-2.8193459999999999E-3</v>
      </c>
      <c r="AA2387">
        <v>0.98495739999999998</v>
      </c>
      <c r="AB2387">
        <v>29</v>
      </c>
      <c r="AC2387">
        <v>-46.000399999999999</v>
      </c>
      <c r="AD2387">
        <v>-1.03011583</v>
      </c>
      <c r="AE2387">
        <v>-7.8916000000000297</v>
      </c>
      <c r="AF2387">
        <v>-8.1107698013794298</v>
      </c>
      <c r="AG2387">
        <v>-1.03011583</v>
      </c>
      <c r="AH2387">
        <v>45.9391862842321</v>
      </c>
      <c r="AI2387">
        <v>91.2649966418236</v>
      </c>
      <c r="AJ2387">
        <v>100.01264200409901</v>
      </c>
      <c r="AK2387">
        <v>46.661060444995897</v>
      </c>
      <c r="AL2387">
        <v>78.575125573968194</v>
      </c>
      <c r="AM2387">
        <v>97.200760568800504</v>
      </c>
      <c r="AN2387">
        <v>1.0000000136924201</v>
      </c>
    </row>
    <row r="2388" spans="1:40" x14ac:dyDescent="0.25">
      <c r="A2388" t="str">
        <f>"20190304155103810"</f>
        <v>20190304155103810</v>
      </c>
      <c r="B2388" t="str">
        <f>"1551685863798711"</f>
        <v>1551685863798711</v>
      </c>
      <c r="C2388" t="s">
        <v>40</v>
      </c>
      <c r="D2388">
        <v>4.985868</v>
      </c>
      <c r="E2388">
        <v>0.55630290000000004</v>
      </c>
      <c r="F2388" t="s">
        <v>75</v>
      </c>
      <c r="G2388">
        <v>-511.07589999999999</v>
      </c>
      <c r="H2388">
        <v>6.5099119999999999</v>
      </c>
      <c r="I2388">
        <v>275.4796</v>
      </c>
      <c r="J2388">
        <v>-384.59710000000001</v>
      </c>
      <c r="K2388">
        <v>1.1101099999999999</v>
      </c>
      <c r="L2388">
        <v>285.55549999999999</v>
      </c>
      <c r="M2388">
        <v>-0.99994059999999996</v>
      </c>
      <c r="N2388">
        <v>-9.7769009999999993E-3</v>
      </c>
      <c r="O2388">
        <v>4.8520059999999999E-3</v>
      </c>
      <c r="P2388">
        <v>-0.97510300000000005</v>
      </c>
      <c r="Q2388">
        <v>0.187969</v>
      </c>
      <c r="R2388">
        <v>-0.1176526</v>
      </c>
      <c r="S2388">
        <v>-3.0231319999999999</v>
      </c>
      <c r="T2388">
        <v>0.12878239999999999</v>
      </c>
      <c r="U2388">
        <v>-0.2402649</v>
      </c>
      <c r="V2388">
        <v>-0.12237530000000001</v>
      </c>
      <c r="W2388">
        <v>0.1974921</v>
      </c>
      <c r="X2388">
        <v>0.97263619999999995</v>
      </c>
      <c r="Y2388">
        <v>-8.3996879999999996E-2</v>
      </c>
      <c r="Z2388">
        <v>1.6276729999999901E-3</v>
      </c>
      <c r="AA2388">
        <v>0.99646469999999998</v>
      </c>
      <c r="AB2388">
        <v>29</v>
      </c>
      <c r="AC2388">
        <v>-126.478799999999</v>
      </c>
      <c r="AD2388">
        <v>5.3998019999999904</v>
      </c>
      <c r="AE2388">
        <v>-10.075899999999899</v>
      </c>
      <c r="AF2388">
        <v>-10.6701604378427</v>
      </c>
      <c r="AG2388">
        <v>5.3998019999999904</v>
      </c>
      <c r="AH2388">
        <v>126.19984396144601</v>
      </c>
      <c r="AI2388">
        <v>87.558639485808897</v>
      </c>
      <c r="AJ2388">
        <v>94.832847399804606</v>
      </c>
      <c r="AK2388">
        <v>126.76517976677199</v>
      </c>
      <c r="AL2388">
        <v>78.609658077742694</v>
      </c>
      <c r="AM2388">
        <v>97.171167792257805</v>
      </c>
      <c r="AN2388">
        <v>1.0000000105814699</v>
      </c>
    </row>
    <row r="2389" spans="1:40" x14ac:dyDescent="0.25">
      <c r="A2389" t="str">
        <f>"20190304155103832"</f>
        <v>20190304155103832</v>
      </c>
      <c r="B2389" t="str">
        <f>"1551685863828498"</f>
        <v>1551685863828498</v>
      </c>
      <c r="C2389" t="s">
        <v>40</v>
      </c>
      <c r="D2389">
        <v>4.9841949999999997</v>
      </c>
      <c r="E2389">
        <v>0.55708080000000004</v>
      </c>
      <c r="F2389" t="s">
        <v>42</v>
      </c>
      <c r="G2389">
        <v>-535.80330000000004</v>
      </c>
      <c r="H2389">
        <v>-0.05</v>
      </c>
      <c r="I2389">
        <v>290.38170000000002</v>
      </c>
      <c r="J2389">
        <v>-384.88709999999998</v>
      </c>
      <c r="K2389">
        <v>1.110101</v>
      </c>
      <c r="L2389">
        <v>285.55689999999998</v>
      </c>
      <c r="M2389">
        <v>-0.99994050000000001</v>
      </c>
      <c r="N2389">
        <v>-9.7804940000000007E-3</v>
      </c>
      <c r="O2389">
        <v>4.8518720000000001E-3</v>
      </c>
      <c r="P2389">
        <v>-0.97525980000000001</v>
      </c>
      <c r="Q2389">
        <v>0.18711739999999999</v>
      </c>
      <c r="R2389">
        <v>-0.1177102</v>
      </c>
      <c r="S2389">
        <v>-3.093048</v>
      </c>
      <c r="T2389">
        <v>-2.373099E-2</v>
      </c>
      <c r="U2389">
        <v>9.8724370000000006E-2</v>
      </c>
      <c r="V2389">
        <v>-0.12243370000000001</v>
      </c>
      <c r="W2389">
        <v>0.19664590000000001</v>
      </c>
      <c r="X2389">
        <v>0.97280029999999995</v>
      </c>
      <c r="Y2389">
        <v>2.7050089999999999E-2</v>
      </c>
      <c r="Z2389">
        <v>2.4629349999999998E-4</v>
      </c>
      <c r="AA2389">
        <v>0.99963400000000002</v>
      </c>
      <c r="AB2389">
        <v>29</v>
      </c>
      <c r="AC2389">
        <v>-150.9162</v>
      </c>
      <c r="AD2389">
        <v>-1.160101</v>
      </c>
      <c r="AE2389">
        <v>4.8248000000000397</v>
      </c>
      <c r="AF2389">
        <v>4.0922406026357097</v>
      </c>
      <c r="AG2389">
        <v>-1.160101</v>
      </c>
      <c r="AH2389">
        <v>150.92892451079899</v>
      </c>
      <c r="AI2389">
        <v>90.440228172839696</v>
      </c>
      <c r="AJ2389">
        <v>88.446880312863698</v>
      </c>
      <c r="AK2389">
        <v>150.98884899709199</v>
      </c>
      <c r="AL2389">
        <v>78.659111703671002</v>
      </c>
      <c r="AM2389">
        <v>97.173356712547999</v>
      </c>
      <c r="AN2389">
        <v>1.0000000222812899</v>
      </c>
    </row>
    <row r="2390" spans="1:40" x14ac:dyDescent="0.25">
      <c r="A2390" t="str">
        <f>"20190304155103855"</f>
        <v>20190304155103855</v>
      </c>
      <c r="B2390" t="str">
        <f>"1551685863848994"</f>
        <v>1551685863848994</v>
      </c>
      <c r="C2390" t="s">
        <v>40</v>
      </c>
      <c r="D2390">
        <v>5.001887</v>
      </c>
      <c r="E2390">
        <v>0.55609909999999996</v>
      </c>
      <c r="F2390" t="s">
        <v>42</v>
      </c>
      <c r="G2390">
        <v>-528.69349999999997</v>
      </c>
      <c r="H2390">
        <v>-0.05</v>
      </c>
      <c r="I2390">
        <v>290.42419999999998</v>
      </c>
      <c r="J2390">
        <v>-385.1764</v>
      </c>
      <c r="K2390">
        <v>1.110093</v>
      </c>
      <c r="L2390">
        <v>285.55829999999997</v>
      </c>
      <c r="M2390">
        <v>-0.99994050000000001</v>
      </c>
      <c r="N2390">
        <v>-9.7841170000000002E-3</v>
      </c>
      <c r="O2390">
        <v>4.8516770000000004E-3</v>
      </c>
      <c r="P2390">
        <v>-0.97555360000000002</v>
      </c>
      <c r="Q2390">
        <v>0.18544830000000001</v>
      </c>
      <c r="R2390">
        <v>-0.1179167</v>
      </c>
      <c r="S2390">
        <v>-3.0935670000000002</v>
      </c>
      <c r="T2390">
        <v>-2.495611E-2</v>
      </c>
      <c r="U2390">
        <v>0.1047058</v>
      </c>
      <c r="V2390">
        <v>-0.12264129999999999</v>
      </c>
      <c r="W2390">
        <v>0.1949832</v>
      </c>
      <c r="X2390">
        <v>0.9731088</v>
      </c>
      <c r="Y2390">
        <v>2.8975330000000001E-2</v>
      </c>
      <c r="Z2390">
        <v>2.6696819999999998E-4</v>
      </c>
      <c r="AA2390">
        <v>0.99958009999999997</v>
      </c>
      <c r="AB2390">
        <v>29</v>
      </c>
      <c r="AC2390">
        <v>-143.517099999999</v>
      </c>
      <c r="AD2390">
        <v>-1.160093</v>
      </c>
      <c r="AE2390">
        <v>4.8659000000000097</v>
      </c>
      <c r="AF2390">
        <v>4.1692387717045003</v>
      </c>
      <c r="AG2390">
        <v>-1.160093</v>
      </c>
      <c r="AH2390">
        <v>143.5296521811</v>
      </c>
      <c r="AI2390">
        <v>90.462893635513595</v>
      </c>
      <c r="AJ2390">
        <v>88.336144286030702</v>
      </c>
      <c r="AK2390">
        <v>143.59487951501501</v>
      </c>
      <c r="AL2390">
        <v>78.756258232860404</v>
      </c>
      <c r="AM2390">
        <v>97.183138762718499</v>
      </c>
      <c r="AN2390">
        <v>1.00000003669268</v>
      </c>
    </row>
    <row r="2391" spans="1:40" x14ac:dyDescent="0.25">
      <c r="A2391" t="str">
        <f>"20190304155103878"</f>
        <v>20190304155103878</v>
      </c>
      <c r="B2391" t="str">
        <f>"1551685863868514"</f>
        <v>1551685863868514</v>
      </c>
      <c r="C2391" t="s">
        <v>40</v>
      </c>
      <c r="D2391">
        <v>4.9926979999999999</v>
      </c>
      <c r="E2391">
        <v>0.55651830000000002</v>
      </c>
      <c r="F2391" t="s">
        <v>52</v>
      </c>
      <c r="G2391">
        <v>-703.89940000000001</v>
      </c>
      <c r="H2391">
        <v>-0.1</v>
      </c>
      <c r="I2391">
        <v>295.5145</v>
      </c>
      <c r="J2391">
        <v>-385.47579999999999</v>
      </c>
      <c r="K2391">
        <v>1.1100829999999999</v>
      </c>
      <c r="L2391">
        <v>285.55970000000002</v>
      </c>
      <c r="M2391">
        <v>-0.99994050000000001</v>
      </c>
      <c r="N2391">
        <v>-9.7879390000000007E-3</v>
      </c>
      <c r="O2391">
        <v>4.851302E-3</v>
      </c>
      <c r="P2391">
        <v>-0.97580089999999997</v>
      </c>
      <c r="Q2391">
        <v>0.1840466</v>
      </c>
      <c r="R2391">
        <v>-0.1180672</v>
      </c>
      <c r="S2391">
        <v>-3.0890810000000002</v>
      </c>
      <c r="T2391">
        <v>-1.1728290000000001E-2</v>
      </c>
      <c r="U2391">
        <v>9.6496579999999998E-2</v>
      </c>
      <c r="V2391">
        <v>-0.12279229999999999</v>
      </c>
      <c r="W2391">
        <v>0.1935878</v>
      </c>
      <c r="X2391">
        <v>0.97336829999999996</v>
      </c>
      <c r="Y2391">
        <v>2.63726E-2</v>
      </c>
      <c r="Z2391">
        <v>2.08216E-4</v>
      </c>
      <c r="AA2391">
        <v>0.99965210000000004</v>
      </c>
      <c r="AB2391">
        <v>29</v>
      </c>
      <c r="AC2391">
        <v>-318.42360000000002</v>
      </c>
      <c r="AD2391">
        <v>-1.210083</v>
      </c>
      <c r="AE2391">
        <v>9.9547999999999703</v>
      </c>
      <c r="AF2391">
        <v>8.4097187262357291</v>
      </c>
      <c r="AG2391">
        <v>-1.210083</v>
      </c>
      <c r="AH2391">
        <v>318.46355391565498</v>
      </c>
      <c r="AI2391">
        <v>90.217632922402402</v>
      </c>
      <c r="AJ2391">
        <v>88.487332604680603</v>
      </c>
      <c r="AK2391">
        <v>318.57687116693</v>
      </c>
      <c r="AL2391">
        <v>78.837761586704701</v>
      </c>
      <c r="AM2391">
        <v>97.189993040417903</v>
      </c>
      <c r="AN2391">
        <v>1.0000000163465099</v>
      </c>
    </row>
    <row r="2392" spans="1:40" x14ac:dyDescent="0.25">
      <c r="A2392" t="str">
        <f>"20190304155103899"</f>
        <v>20190304155103899</v>
      </c>
      <c r="B2392" t="str">
        <f>"1551685863889014"</f>
        <v>1551685863889014</v>
      </c>
      <c r="C2392" t="s">
        <v>40</v>
      </c>
      <c r="D2392">
        <v>4.9584299999999999</v>
      </c>
      <c r="E2392">
        <v>0.55639320000000003</v>
      </c>
      <c r="F2392" t="s">
        <v>53</v>
      </c>
      <c r="G2392">
        <v>0</v>
      </c>
      <c r="H2392">
        <v>0</v>
      </c>
      <c r="I2392">
        <v>0</v>
      </c>
      <c r="J2392">
        <v>-385.7491</v>
      </c>
      <c r="K2392">
        <v>1.1100810000000001</v>
      </c>
      <c r="L2392">
        <v>285.56110000000001</v>
      </c>
      <c r="M2392">
        <v>-0.99994039999999995</v>
      </c>
      <c r="N2392">
        <v>-9.7914390000000007E-3</v>
      </c>
      <c r="O2392">
        <v>4.851106E-3</v>
      </c>
      <c r="P2392">
        <v>-0.97598110000000005</v>
      </c>
      <c r="Q2392">
        <v>0.18307119999999999</v>
      </c>
      <c r="R2392">
        <v>-0.1180928</v>
      </c>
      <c r="S2392">
        <v>-3.084076</v>
      </c>
      <c r="T2392">
        <v>1.21218E-2</v>
      </c>
      <c r="U2392">
        <v>9.8846439999999994E-2</v>
      </c>
      <c r="V2392">
        <v>-0.122819</v>
      </c>
      <c r="W2392">
        <v>0.19261800000000001</v>
      </c>
      <c r="X2392">
        <v>0.97355729999999996</v>
      </c>
      <c r="Y2392">
        <v>2.718568E-2</v>
      </c>
      <c r="Z2392">
        <v>1.4626830000000001E-4</v>
      </c>
      <c r="AA2392">
        <v>0.99963040000000003</v>
      </c>
      <c r="AB2392">
        <v>29</v>
      </c>
      <c r="AC2392">
        <v>-3.084076</v>
      </c>
      <c r="AD2392">
        <v>1.21218E-2</v>
      </c>
      <c r="AE2392">
        <v>9.8846439999999994E-2</v>
      </c>
      <c r="AF2392">
        <v>8.3882087021223795E-2</v>
      </c>
      <c r="AG2392">
        <v>1.21218E-2</v>
      </c>
      <c r="AH2392">
        <v>3.08447164335902</v>
      </c>
      <c r="AI2392">
        <v>89.774915185941097</v>
      </c>
      <c r="AJ2392">
        <v>88.442227442034095</v>
      </c>
      <c r="AK2392">
        <v>3.0856358277094502</v>
      </c>
      <c r="AL2392">
        <v>78.894392833447498</v>
      </c>
      <c r="AM2392">
        <v>97.190158562967895</v>
      </c>
      <c r="AN2392">
        <v>1.0000000085341401</v>
      </c>
    </row>
    <row r="2393" spans="1:40" x14ac:dyDescent="0.25">
      <c r="A2393" t="str">
        <f>"20190304155103922"</f>
        <v>20190304155103922</v>
      </c>
      <c r="B2393" t="str">
        <f>"1551685863918798"</f>
        <v>1551685863918798</v>
      </c>
      <c r="C2393" t="s">
        <v>40</v>
      </c>
      <c r="D2393">
        <v>5.0205890000000002</v>
      </c>
      <c r="E2393">
        <v>0.55580469999999904</v>
      </c>
      <c r="F2393" t="s">
        <v>53</v>
      </c>
      <c r="G2393">
        <v>0</v>
      </c>
      <c r="H2393">
        <v>0</v>
      </c>
      <c r="I2393">
        <v>0</v>
      </c>
      <c r="J2393">
        <v>-386.04219999999998</v>
      </c>
      <c r="K2393">
        <v>1.1100779999999999</v>
      </c>
      <c r="L2393">
        <v>285.5625</v>
      </c>
      <c r="M2393">
        <v>-0.99994019999999995</v>
      </c>
      <c r="N2393">
        <v>-9.7952009999999999E-3</v>
      </c>
      <c r="O2393">
        <v>4.8510869999999996E-3</v>
      </c>
      <c r="P2393">
        <v>-0.97607429999999995</v>
      </c>
      <c r="Q2393">
        <v>0.18250069999999999</v>
      </c>
      <c r="R2393">
        <v>-0.118204</v>
      </c>
      <c r="S2393">
        <v>-3.0833740000000001</v>
      </c>
      <c r="T2393">
        <v>1.231813E-2</v>
      </c>
      <c r="U2393">
        <v>9.7717289999999998E-2</v>
      </c>
      <c r="V2393">
        <v>-0.122930399999999</v>
      </c>
      <c r="W2393">
        <v>0.19205179999999999</v>
      </c>
      <c r="X2393">
        <v>0.9736551</v>
      </c>
      <c r="Y2393">
        <v>2.6827279999999998E-2</v>
      </c>
      <c r="Z2393">
        <v>1.4473240000000001E-4</v>
      </c>
      <c r="AA2393">
        <v>0.99963999999999997</v>
      </c>
      <c r="AB2393">
        <v>29</v>
      </c>
      <c r="AC2393">
        <v>-3.0833740000000001</v>
      </c>
      <c r="AD2393">
        <v>1.231813E-2</v>
      </c>
      <c r="AE2393">
        <v>9.7717289999999998E-2</v>
      </c>
      <c r="AF2393">
        <v>8.2756386586751704E-2</v>
      </c>
      <c r="AG2393">
        <v>1.231813E-2</v>
      </c>
      <c r="AH2393">
        <v>3.08376260560446</v>
      </c>
      <c r="AI2393">
        <v>89.771214845328203</v>
      </c>
      <c r="AJ2393">
        <v>88.462769509111894</v>
      </c>
      <c r="AK2393">
        <v>3.0848974316129198</v>
      </c>
      <c r="AL2393">
        <v>78.927450997555397</v>
      </c>
      <c r="AM2393">
        <v>97.195896581291095</v>
      </c>
      <c r="AN2393">
        <v>1.0000000154416999</v>
      </c>
    </row>
    <row r="2394" spans="1:40" x14ac:dyDescent="0.25">
      <c r="A2394" t="str">
        <f>"20190304155103947"</f>
        <v>20190304155103947</v>
      </c>
      <c r="B2394" t="str">
        <f>"1551685863939293"</f>
        <v>1551685863939293</v>
      </c>
      <c r="C2394" t="s">
        <v>40</v>
      </c>
      <c r="D2394">
        <v>5.024553</v>
      </c>
      <c r="E2394">
        <v>0.55641219999999902</v>
      </c>
      <c r="F2394" t="s">
        <v>53</v>
      </c>
      <c r="G2394">
        <v>0</v>
      </c>
      <c r="H2394">
        <v>0</v>
      </c>
      <c r="I2394">
        <v>0</v>
      </c>
      <c r="J2394">
        <v>-386.34070000000003</v>
      </c>
      <c r="K2394">
        <v>1.110085</v>
      </c>
      <c r="L2394">
        <v>285.56389999999999</v>
      </c>
      <c r="M2394">
        <v>-0.9999403</v>
      </c>
      <c r="N2394">
        <v>-9.7990460000000005E-3</v>
      </c>
      <c r="O2394">
        <v>4.8505919999999999E-3</v>
      </c>
      <c r="P2394">
        <v>-0.97608969999999995</v>
      </c>
      <c r="Q2394">
        <v>0.18265989999999999</v>
      </c>
      <c r="R2394">
        <v>-0.1178317</v>
      </c>
      <c r="S2394">
        <v>-3.082214</v>
      </c>
      <c r="T2394">
        <v>1.3538359999999999E-2</v>
      </c>
      <c r="U2394">
        <v>9.2437740000000004E-2</v>
      </c>
      <c r="V2394">
        <v>-0.12255770000000001</v>
      </c>
      <c r="W2394">
        <v>0.19221460000000001</v>
      </c>
      <c r="X2394">
        <v>0.97366989999999998</v>
      </c>
      <c r="Y2394">
        <v>2.512901E-2</v>
      </c>
      <c r="Z2394">
        <v>1.367966E-4</v>
      </c>
      <c r="AA2394">
        <v>0.99968420000000002</v>
      </c>
      <c r="AB2394">
        <v>29</v>
      </c>
      <c r="AC2394">
        <v>-3.082214</v>
      </c>
      <c r="AD2394">
        <v>1.3538359999999999E-2</v>
      </c>
      <c r="AE2394">
        <v>9.2437740000000004E-2</v>
      </c>
      <c r="AF2394">
        <v>7.7483879600193997E-2</v>
      </c>
      <c r="AG2394">
        <v>1.3538359999999999E-2</v>
      </c>
      <c r="AH2394">
        <v>3.0825667165838002</v>
      </c>
      <c r="AI2394">
        <v>89.748443085492298</v>
      </c>
      <c r="AJ2394">
        <v>88.5601075187638</v>
      </c>
      <c r="AK2394">
        <v>3.08357010638312</v>
      </c>
      <c r="AL2394">
        <v>78.917945516663096</v>
      </c>
      <c r="AM2394">
        <v>97.174199834402899</v>
      </c>
      <c r="AN2394">
        <v>0.99999995822422905</v>
      </c>
    </row>
    <row r="2395" spans="1:40" x14ac:dyDescent="0.25">
      <c r="A2395" t="str">
        <f>"20190304155103966"</f>
        <v>20190304155103966</v>
      </c>
      <c r="B2395" t="str">
        <f>"1551685863958816"</f>
        <v>1551685863958816</v>
      </c>
      <c r="C2395" t="s">
        <v>40</v>
      </c>
      <c r="D2395">
        <v>5.0916620000000004</v>
      </c>
      <c r="E2395">
        <v>0.55676510000000001</v>
      </c>
      <c r="F2395" t="s">
        <v>53</v>
      </c>
      <c r="G2395">
        <v>0</v>
      </c>
      <c r="H2395">
        <v>0</v>
      </c>
      <c r="I2395">
        <v>0</v>
      </c>
      <c r="J2395">
        <v>-386.61709999999999</v>
      </c>
      <c r="K2395">
        <v>1.1100859999999999</v>
      </c>
      <c r="L2395">
        <v>285.5652</v>
      </c>
      <c r="M2395">
        <v>-0.99994019999999995</v>
      </c>
      <c r="N2395">
        <v>-9.8026450000000005E-3</v>
      </c>
      <c r="O2395">
        <v>4.8483579999999997E-3</v>
      </c>
      <c r="P2395">
        <v>-0.97596450000000001</v>
      </c>
      <c r="Q2395">
        <v>0.1836092</v>
      </c>
      <c r="R2395">
        <v>-0.1173925</v>
      </c>
      <c r="S2395">
        <v>-3.0828250000000001</v>
      </c>
      <c r="T2395">
        <v>1.3787509999999999E-2</v>
      </c>
      <c r="U2395">
        <v>9.8419190000000004E-2</v>
      </c>
      <c r="V2395">
        <v>-0.12211660000000001</v>
      </c>
      <c r="W2395">
        <v>0.1931659</v>
      </c>
      <c r="X2395">
        <v>0.97353710000000004</v>
      </c>
      <c r="Y2395">
        <v>2.7063070000000002E-2</v>
      </c>
      <c r="Z2395">
        <v>1.4137230000000001E-4</v>
      </c>
      <c r="AA2395">
        <v>0.99963369999999996</v>
      </c>
      <c r="AB2395">
        <v>29</v>
      </c>
      <c r="AC2395">
        <v>-3.0828250000000001</v>
      </c>
      <c r="AD2395">
        <v>1.3787509999999999E-2</v>
      </c>
      <c r="AE2395">
        <v>9.8419190000000004E-2</v>
      </c>
      <c r="AF2395">
        <v>8.3469007870541595E-2</v>
      </c>
      <c r="AG2395">
        <v>1.3787509999999999E-2</v>
      </c>
      <c r="AH2395">
        <v>3.0832043498349702</v>
      </c>
      <c r="AI2395">
        <v>89.743879594497997</v>
      </c>
      <c r="AJ2395">
        <v>88.449258144015701</v>
      </c>
      <c r="AK2395">
        <v>3.08436480228072</v>
      </c>
      <c r="AL2395">
        <v>78.8623996263549</v>
      </c>
      <c r="AM2395">
        <v>97.149611683772903</v>
      </c>
      <c r="AN2395">
        <v>1.00000000699739</v>
      </c>
    </row>
    <row r="2396" spans="1:40" x14ac:dyDescent="0.25">
      <c r="A2396" t="str">
        <f>"20190304155103989"</f>
        <v>20190304155103989</v>
      </c>
      <c r="B2396" t="str">
        <f>"1551685863979310"</f>
        <v>1551685863979310</v>
      </c>
      <c r="C2396" t="s">
        <v>40</v>
      </c>
      <c r="D2396">
        <v>4.8574169999999999</v>
      </c>
      <c r="E2396">
        <v>0.55707499999999999</v>
      </c>
      <c r="F2396" t="s">
        <v>53</v>
      </c>
      <c r="G2396">
        <v>0</v>
      </c>
      <c r="H2396">
        <v>0</v>
      </c>
      <c r="I2396">
        <v>0</v>
      </c>
      <c r="J2396">
        <v>-386.90379999999999</v>
      </c>
      <c r="K2396">
        <v>1.1100890000000001</v>
      </c>
      <c r="L2396">
        <v>285.56670000000003</v>
      </c>
      <c r="M2396">
        <v>-0.9999403</v>
      </c>
      <c r="N2396">
        <v>-9.8063750000000009E-3</v>
      </c>
      <c r="O2396">
        <v>4.8398870000000002E-3</v>
      </c>
      <c r="P2396">
        <v>-0.97593920000000001</v>
      </c>
      <c r="Q2396">
        <v>0.1839972</v>
      </c>
      <c r="R2396">
        <v>-0.116993899999999</v>
      </c>
      <c r="S2396">
        <v>-3.083923</v>
      </c>
      <c r="T2396">
        <v>1.216078E-2</v>
      </c>
      <c r="U2396">
        <v>0.1027527</v>
      </c>
      <c r="V2396">
        <v>-0.1217111</v>
      </c>
      <c r="W2396">
        <v>0.19355649999999999</v>
      </c>
      <c r="X2396">
        <v>0.97351030000000005</v>
      </c>
      <c r="Y2396">
        <v>2.8463309999999999E-2</v>
      </c>
      <c r="Z2396">
        <v>1.5002799999999999E-4</v>
      </c>
      <c r="AA2396">
        <v>0.99959480000000001</v>
      </c>
      <c r="AB2396">
        <v>29</v>
      </c>
      <c r="AC2396">
        <v>-3.083923</v>
      </c>
      <c r="AD2396">
        <v>1.216078E-2</v>
      </c>
      <c r="AE2396">
        <v>0.1027527</v>
      </c>
      <c r="AF2396">
        <v>8.7823577196347202E-2</v>
      </c>
      <c r="AG2396">
        <v>1.216078E-2</v>
      </c>
      <c r="AH2396">
        <v>3.0843363053216302</v>
      </c>
      <c r="AI2396">
        <v>89.774189514726203</v>
      </c>
      <c r="AJ2396">
        <v>88.368997228333896</v>
      </c>
      <c r="AK2396">
        <v>3.0856103625712099</v>
      </c>
      <c r="AL2396">
        <v>78.839589416641502</v>
      </c>
      <c r="AM2396">
        <v>97.126309340512904</v>
      </c>
      <c r="AN2396">
        <v>1.00000000738077</v>
      </c>
    </row>
    <row r="2397" spans="1:40" x14ac:dyDescent="0.25">
      <c r="A2397" t="str">
        <f>"20190304155104010"</f>
        <v>20190304155104010</v>
      </c>
      <c r="B2397" t="str">
        <f>"1551685863998832"</f>
        <v>1551685863998832</v>
      </c>
      <c r="C2397" t="s">
        <v>40</v>
      </c>
      <c r="D2397">
        <v>4.0947719999999999</v>
      </c>
      <c r="E2397">
        <v>0.55698619999999899</v>
      </c>
      <c r="F2397" t="s">
        <v>53</v>
      </c>
      <c r="G2397">
        <v>0</v>
      </c>
      <c r="H2397">
        <v>0</v>
      </c>
      <c r="I2397">
        <v>0</v>
      </c>
      <c r="J2397">
        <v>-387.18849999999998</v>
      </c>
      <c r="K2397">
        <v>1.110093</v>
      </c>
      <c r="L2397">
        <v>285.56799999999998</v>
      </c>
      <c r="M2397">
        <v>-0.99994039999999995</v>
      </c>
      <c r="N2397">
        <v>-9.810114E-3</v>
      </c>
      <c r="O2397">
        <v>4.8199310000000004E-3</v>
      </c>
      <c r="P2397">
        <v>-0.97585759999999999</v>
      </c>
      <c r="Q2397">
        <v>0.18419060000000001</v>
      </c>
      <c r="R2397">
        <v>-0.1173713</v>
      </c>
      <c r="S2397">
        <v>-3.0836790000000001</v>
      </c>
      <c r="T2397">
        <v>1.6220689999999999E-2</v>
      </c>
      <c r="U2397">
        <v>0.1062927</v>
      </c>
      <c r="V2397">
        <v>-0.1220726</v>
      </c>
      <c r="W2397">
        <v>0.19375020000000001</v>
      </c>
      <c r="X2397">
        <v>0.97342649999999997</v>
      </c>
      <c r="Y2397">
        <v>2.9632189999999999E-2</v>
      </c>
      <c r="Z2397">
        <v>1.4009849999999999E-4</v>
      </c>
      <c r="AA2397">
        <v>0.99956080000000003</v>
      </c>
      <c r="AB2397">
        <v>29</v>
      </c>
      <c r="AC2397">
        <v>-3.0836790000000001</v>
      </c>
      <c r="AD2397">
        <v>1.6220689999999999E-2</v>
      </c>
      <c r="AE2397">
        <v>0.1062927</v>
      </c>
      <c r="AF2397">
        <v>9.1425105288278796E-2</v>
      </c>
      <c r="AG2397">
        <v>1.6220689999999999E-2</v>
      </c>
      <c r="AH2397">
        <v>3.0840702915923899</v>
      </c>
      <c r="AI2397">
        <v>89.698787530882996</v>
      </c>
      <c r="AJ2397">
        <v>88.302003991371905</v>
      </c>
      <c r="AK2397">
        <v>3.0854677480317099</v>
      </c>
      <c r="AL2397">
        <v>78.828277058223605</v>
      </c>
      <c r="AM2397">
        <v>97.147865886751205</v>
      </c>
      <c r="AN2397">
        <v>1.0000000052865201</v>
      </c>
    </row>
    <row r="2398" spans="1:40" x14ac:dyDescent="0.25">
      <c r="A2398" t="str">
        <f>"20190304155104034"</f>
        <v>20190304155104034</v>
      </c>
      <c r="B2398" t="str">
        <f>"1551685864028618"</f>
        <v>1551685864028618</v>
      </c>
      <c r="C2398" t="s">
        <v>40</v>
      </c>
      <c r="D2398">
        <v>4.2689389999999996</v>
      </c>
      <c r="E2398">
        <v>0.55754890000000001</v>
      </c>
      <c r="F2398" t="s">
        <v>53</v>
      </c>
      <c r="G2398">
        <v>0</v>
      </c>
      <c r="H2398">
        <v>0</v>
      </c>
      <c r="I2398">
        <v>0</v>
      </c>
      <c r="J2398">
        <v>-387.49009999999998</v>
      </c>
      <c r="K2398">
        <v>1.110106</v>
      </c>
      <c r="L2398">
        <v>285.56950000000001</v>
      </c>
      <c r="M2398">
        <v>-0.99994039999999995</v>
      </c>
      <c r="N2398">
        <v>-9.8141099999999992E-3</v>
      </c>
      <c r="O2398">
        <v>4.787197E-3</v>
      </c>
      <c r="P2398">
        <v>-0.97585520000000003</v>
      </c>
      <c r="Q2398">
        <v>0.18402250000000001</v>
      </c>
      <c r="R2398">
        <v>-0.11765399999999999</v>
      </c>
      <c r="S2398">
        <v>-3.0834350000000001</v>
      </c>
      <c r="T2398">
        <v>1.783502E-2</v>
      </c>
      <c r="U2398">
        <v>0.10461429999999999</v>
      </c>
      <c r="V2398">
        <v>-0.1223273</v>
      </c>
      <c r="W2398">
        <v>0.19358359999999999</v>
      </c>
      <c r="X2398">
        <v>0.97342770000000001</v>
      </c>
      <c r="Y2398">
        <v>2.912418E-2</v>
      </c>
      <c r="Z2398">
        <v>1.3340410000000001E-4</v>
      </c>
      <c r="AA2398">
        <v>0.99957580000000001</v>
      </c>
      <c r="AB2398">
        <v>29</v>
      </c>
      <c r="AC2398">
        <v>-3.0834350000000001</v>
      </c>
      <c r="AD2398">
        <v>1.783502E-2</v>
      </c>
      <c r="AE2398">
        <v>0.10461429999999999</v>
      </c>
      <c r="AF2398">
        <v>8.98483771833508E-2</v>
      </c>
      <c r="AG2398">
        <v>1.783502E-2</v>
      </c>
      <c r="AH2398">
        <v>3.08379744408062</v>
      </c>
      <c r="AI2398">
        <v>89.668776382423601</v>
      </c>
      <c r="AJ2398">
        <v>88.331123565635593</v>
      </c>
      <c r="AK2398">
        <v>3.0851576126575799</v>
      </c>
      <c r="AL2398">
        <v>78.838007055134895</v>
      </c>
      <c r="AM2398">
        <v>97.162616172080206</v>
      </c>
      <c r="AN2398">
        <v>1.0000000328207601</v>
      </c>
    </row>
    <row r="2399" spans="1:40" x14ac:dyDescent="0.25">
      <c r="A2399" t="str">
        <f>"20190304155104056"</f>
        <v>20190304155104056</v>
      </c>
      <c r="B2399" t="str">
        <f>"1551685864049118"</f>
        <v>1551685864049118</v>
      </c>
      <c r="C2399" t="s">
        <v>40</v>
      </c>
      <c r="D2399">
        <v>5.0868669999999998</v>
      </c>
      <c r="E2399">
        <v>0.55807410000000002</v>
      </c>
      <c r="F2399" t="s">
        <v>53</v>
      </c>
      <c r="G2399">
        <v>0</v>
      </c>
      <c r="H2399">
        <v>0</v>
      </c>
      <c r="I2399">
        <v>0</v>
      </c>
      <c r="J2399">
        <v>-387.78440000000001</v>
      </c>
      <c r="K2399">
        <v>1.1101080000000001</v>
      </c>
      <c r="L2399">
        <v>285.57080000000002</v>
      </c>
      <c r="M2399">
        <v>-0.99994059999999996</v>
      </c>
      <c r="N2399">
        <v>-9.8180320000000008E-3</v>
      </c>
      <c r="O2399">
        <v>4.7409770000000004E-3</v>
      </c>
      <c r="P2399">
        <v>-0.97606839999999995</v>
      </c>
      <c r="Q2399">
        <v>0.18276000000000001</v>
      </c>
      <c r="R2399">
        <v>-0.1178541</v>
      </c>
      <c r="S2399">
        <v>-3.0670470000000001</v>
      </c>
      <c r="T2399">
        <v>0.106921</v>
      </c>
      <c r="U2399">
        <v>0.10760500000000001</v>
      </c>
      <c r="V2399">
        <v>-0.12248820000000001</v>
      </c>
      <c r="W2399">
        <v>0.19232360000000001</v>
      </c>
      <c r="X2399">
        <v>0.97365710000000005</v>
      </c>
      <c r="Y2399">
        <v>3.0315499999999999E-2</v>
      </c>
      <c r="Z2399">
        <v>-1.675054E-4</v>
      </c>
      <c r="AA2399">
        <v>0.9995404</v>
      </c>
      <c r="AB2399">
        <v>29</v>
      </c>
      <c r="AC2399">
        <v>-3.0670470000000001</v>
      </c>
      <c r="AD2399">
        <v>0.106921</v>
      </c>
      <c r="AE2399">
        <v>0.10760500000000001</v>
      </c>
      <c r="AF2399">
        <v>9.2949467901013605E-2</v>
      </c>
      <c r="AG2399">
        <v>0.106921</v>
      </c>
      <c r="AH2399">
        <v>3.0638038276152799</v>
      </c>
      <c r="AI2399">
        <v>88.002214435974594</v>
      </c>
      <c r="AJ2399">
        <v>88.262297607867893</v>
      </c>
      <c r="AK2399">
        <v>3.0670776967553501</v>
      </c>
      <c r="AL2399">
        <v>78.911581304103194</v>
      </c>
      <c r="AM2399">
        <v>97.170267125292</v>
      </c>
      <c r="AN2399">
        <v>0.99999993731830294</v>
      </c>
    </row>
    <row r="2400" spans="1:40" x14ac:dyDescent="0.25">
      <c r="A2400" t="str">
        <f>"20190304155104079"</f>
        <v>20190304155104079</v>
      </c>
      <c r="B2400" t="str">
        <f>"1551685864068635"</f>
        <v>1551685864068635</v>
      </c>
      <c r="C2400" t="s">
        <v>40</v>
      </c>
      <c r="D2400">
        <v>5.0734810000000001</v>
      </c>
      <c r="E2400">
        <v>0.557504</v>
      </c>
      <c r="F2400" t="s">
        <v>53</v>
      </c>
      <c r="G2400">
        <v>0</v>
      </c>
      <c r="H2400">
        <v>0</v>
      </c>
      <c r="I2400">
        <v>0</v>
      </c>
      <c r="J2400">
        <v>-388.0763</v>
      </c>
      <c r="K2400">
        <v>1.110115</v>
      </c>
      <c r="L2400">
        <v>285.57209999999998</v>
      </c>
      <c r="M2400">
        <v>-0.99994090000000002</v>
      </c>
      <c r="N2400">
        <v>-9.8219529999999996E-3</v>
      </c>
      <c r="O2400">
        <v>4.6782359999999997E-3</v>
      </c>
      <c r="P2400">
        <v>-0.97609939999999995</v>
      </c>
      <c r="Q2400">
        <v>0.1823864</v>
      </c>
      <c r="R2400">
        <v>-0.1181746</v>
      </c>
      <c r="S2400">
        <v>-3.0699160000000001</v>
      </c>
      <c r="T2400">
        <v>9.1040250000000003E-2</v>
      </c>
      <c r="U2400">
        <v>0.11114499999999999</v>
      </c>
      <c r="V2400">
        <v>-0.1227536</v>
      </c>
      <c r="W2400">
        <v>0.1919507</v>
      </c>
      <c r="X2400">
        <v>0.97369729999999999</v>
      </c>
      <c r="Y2400">
        <v>3.1499480000000003E-2</v>
      </c>
      <c r="Z2400">
        <v>-1.274627E-4</v>
      </c>
      <c r="AA2400">
        <v>0.99950369999999999</v>
      </c>
      <c r="AB2400">
        <v>29</v>
      </c>
      <c r="AC2400">
        <v>-3.0699160000000001</v>
      </c>
      <c r="AD2400">
        <v>9.1040250000000003E-2</v>
      </c>
      <c r="AE2400">
        <v>0.11114499999999999</v>
      </c>
      <c r="AF2400">
        <v>9.6696371588536903E-2</v>
      </c>
      <c r="AG2400">
        <v>9.1040250000000003E-2</v>
      </c>
      <c r="AH2400">
        <v>3.0677080090900999</v>
      </c>
      <c r="AI2400">
        <v>88.300977655151897</v>
      </c>
      <c r="AJ2400">
        <v>88.1945934231926</v>
      </c>
      <c r="AK2400">
        <v>3.0705815319632901</v>
      </c>
      <c r="AL2400">
        <v>78.933352961564495</v>
      </c>
      <c r="AM2400">
        <v>97.185347438470203</v>
      </c>
      <c r="AN2400">
        <v>0.99999997478536895</v>
      </c>
    </row>
    <row r="2401" spans="1:40" x14ac:dyDescent="0.25">
      <c r="A2401" t="str">
        <f>"20190304155104100"</f>
        <v>20190304155104100</v>
      </c>
      <c r="B2401" t="str">
        <f>"1551685864089130"</f>
        <v>1551685864089130</v>
      </c>
      <c r="C2401" t="s">
        <v>40</v>
      </c>
      <c r="D2401">
        <v>5.0398449999999997</v>
      </c>
      <c r="E2401">
        <v>0.55781689999999995</v>
      </c>
      <c r="F2401" t="s">
        <v>53</v>
      </c>
      <c r="G2401">
        <v>0</v>
      </c>
      <c r="H2401">
        <v>0</v>
      </c>
      <c r="I2401">
        <v>0</v>
      </c>
      <c r="J2401">
        <v>-388.35590000000002</v>
      </c>
      <c r="K2401">
        <v>1.1101209999999999</v>
      </c>
      <c r="L2401">
        <v>285.57330000000002</v>
      </c>
      <c r="M2401">
        <v>-0.99994119999999997</v>
      </c>
      <c r="N2401">
        <v>-9.825716E-3</v>
      </c>
      <c r="O2401">
        <v>4.6029219999999997E-3</v>
      </c>
      <c r="P2401">
        <v>-0.97601990000000005</v>
      </c>
      <c r="Q2401">
        <v>0.18246999999999999</v>
      </c>
      <c r="R2401">
        <v>-0.11870120000000001</v>
      </c>
      <c r="S2401">
        <v>-3.0737299999999999</v>
      </c>
      <c r="T2401">
        <v>6.7102910000000002E-2</v>
      </c>
      <c r="U2401">
        <v>0.1061401</v>
      </c>
      <c r="V2401">
        <v>-0.12321120000000001</v>
      </c>
      <c r="W2401">
        <v>0.19203400000000001</v>
      </c>
      <c r="X2401">
        <v>0.97362309999999996</v>
      </c>
      <c r="Y2401">
        <v>2.990843E-2</v>
      </c>
      <c r="Z2401" s="1">
        <v>-3.3687450000000002E-5</v>
      </c>
      <c r="AA2401">
        <v>0.99955269999999996</v>
      </c>
      <c r="AB2401">
        <v>29</v>
      </c>
      <c r="AC2401">
        <v>-3.0737299999999999</v>
      </c>
      <c r="AD2401">
        <v>6.7102910000000002E-2</v>
      </c>
      <c r="AE2401">
        <v>0.1061401</v>
      </c>
      <c r="AF2401">
        <v>9.19463848219437E-2</v>
      </c>
      <c r="AG2401">
        <v>6.7102910000000002E-2</v>
      </c>
      <c r="AH2401">
        <v>3.0727233069871098</v>
      </c>
      <c r="AI2401">
        <v>88.749518648725399</v>
      </c>
      <c r="AJ2401">
        <v>88.286025871365894</v>
      </c>
      <c r="AK2401">
        <v>3.0748309643806602</v>
      </c>
      <c r="AL2401">
        <v>78.928490020310605</v>
      </c>
      <c r="AM2401">
        <v>97.212395249463896</v>
      </c>
      <c r="AN2401">
        <v>0.999999998907524</v>
      </c>
    </row>
    <row r="2402" spans="1:40" x14ac:dyDescent="0.25">
      <c r="A2402" t="str">
        <f>"20190304155104122"</f>
        <v>20190304155104122</v>
      </c>
      <c r="B2402" t="str">
        <f>"1551685864118918"</f>
        <v>1551685864118918</v>
      </c>
      <c r="C2402" t="s">
        <v>40</v>
      </c>
      <c r="D2402">
        <v>5.087358</v>
      </c>
      <c r="E2402">
        <v>0.48674519999999999</v>
      </c>
      <c r="F2402" t="s">
        <v>53</v>
      </c>
      <c r="G2402">
        <v>0</v>
      </c>
      <c r="H2402">
        <v>0</v>
      </c>
      <c r="I2402">
        <v>0</v>
      </c>
      <c r="J2402">
        <v>-388.64949999999999</v>
      </c>
      <c r="K2402">
        <v>1.110134</v>
      </c>
      <c r="L2402">
        <v>285.57459999999998</v>
      </c>
      <c r="M2402">
        <v>-0.99994159999999999</v>
      </c>
      <c r="N2402">
        <v>-9.8296530000000007E-3</v>
      </c>
      <c r="O2402">
        <v>4.5111029999999998E-3</v>
      </c>
      <c r="P2402">
        <v>-0.97576240000000003</v>
      </c>
      <c r="Q2402">
        <v>0.18327550000000001</v>
      </c>
      <c r="R2402">
        <v>-0.1195746</v>
      </c>
      <c r="S2402">
        <v>-3.0756839999999999</v>
      </c>
      <c r="T2402">
        <v>5.8644059999999998E-2</v>
      </c>
      <c r="U2402">
        <v>0.1069336</v>
      </c>
      <c r="V2402">
        <v>-0.1239986</v>
      </c>
      <c r="W2402">
        <v>0.19283739999999999</v>
      </c>
      <c r="X2402">
        <v>0.97336429999999996</v>
      </c>
      <c r="Y2402">
        <v>3.0236699999999998E-2</v>
      </c>
      <c r="Z2402" s="1">
        <v>-9.1825200000000003E-6</v>
      </c>
      <c r="AA2402">
        <v>0.99954279999999995</v>
      </c>
      <c r="AB2402">
        <v>29</v>
      </c>
      <c r="AC2402">
        <v>-3.0756839999999999</v>
      </c>
      <c r="AD2402">
        <v>5.8644059999999998E-2</v>
      </c>
      <c r="AE2402">
        <v>0.1069336</v>
      </c>
      <c r="AF2402">
        <v>9.3023337542661705E-2</v>
      </c>
      <c r="AG2402">
        <v>5.8644059999999998E-2</v>
      </c>
      <c r="AH2402">
        <v>3.0750185388605402</v>
      </c>
      <c r="AI2402">
        <v>88.907936987415596</v>
      </c>
      <c r="AJ2402">
        <v>88.267256080631299</v>
      </c>
      <c r="AK2402">
        <v>3.07698415358885</v>
      </c>
      <c r="AL2402">
        <v>78.881581734563298</v>
      </c>
      <c r="AM2402">
        <v>97.259906376642405</v>
      </c>
      <c r="AN2402">
        <v>0.99999998807760404</v>
      </c>
    </row>
    <row r="2403" spans="1:40" x14ac:dyDescent="0.25">
      <c r="A2403" t="str">
        <f>"20190304155104146"</f>
        <v>20190304155104146</v>
      </c>
      <c r="B2403" t="str">
        <f>"1551685864139413"</f>
        <v>1551685864139413</v>
      </c>
      <c r="C2403" t="s">
        <v>40</v>
      </c>
      <c r="D2403">
        <v>5.0696070000000004</v>
      </c>
      <c r="E2403">
        <v>0.48743639999999999</v>
      </c>
      <c r="F2403" t="s">
        <v>75</v>
      </c>
      <c r="G2403">
        <v>-512.82659999999998</v>
      </c>
      <c r="H2403">
        <v>4.4157599999999997</v>
      </c>
      <c r="I2403">
        <v>266.60829999999999</v>
      </c>
      <c r="J2403">
        <v>-388.95080000000002</v>
      </c>
      <c r="K2403">
        <v>1.110144</v>
      </c>
      <c r="L2403">
        <v>285.57580000000002</v>
      </c>
      <c r="M2403">
        <v>-0.99994190000000005</v>
      </c>
      <c r="N2403">
        <v>-9.8334660000000008E-3</v>
      </c>
      <c r="O2403">
        <v>4.4075119999999997E-3</v>
      </c>
      <c r="P2403">
        <v>-0.97573750000000004</v>
      </c>
      <c r="Q2403">
        <v>0.18333650000000001</v>
      </c>
      <c r="R2403">
        <v>-0.1196837</v>
      </c>
      <c r="S2403">
        <v>-3.0032960000000002</v>
      </c>
      <c r="T2403">
        <v>7.9950209999999994E-2</v>
      </c>
      <c r="U2403">
        <v>-0.4587097</v>
      </c>
      <c r="V2403">
        <v>-0.124011</v>
      </c>
      <c r="W2403">
        <v>0.1928996</v>
      </c>
      <c r="X2403">
        <v>0.97335039999999995</v>
      </c>
      <c r="Y2403">
        <v>-0.15530379999999999</v>
      </c>
      <c r="Z2403">
        <v>1.446515E-3</v>
      </c>
      <c r="AA2403">
        <v>0.98786569999999996</v>
      </c>
      <c r="AB2403">
        <v>29</v>
      </c>
      <c r="AC2403">
        <v>-123.875799999999</v>
      </c>
      <c r="AD2403">
        <v>3.3056160000000001</v>
      </c>
      <c r="AE2403">
        <v>-18.967500000000001</v>
      </c>
      <c r="AF2403">
        <v>-19.499758841947799</v>
      </c>
      <c r="AG2403">
        <v>3.3056160000000001</v>
      </c>
      <c r="AH2403">
        <v>123.70492261792</v>
      </c>
      <c r="AI2403">
        <v>88.4879798663586</v>
      </c>
      <c r="AJ2403">
        <v>98.957895310971296</v>
      </c>
      <c r="AK2403">
        <v>125.27599758908001</v>
      </c>
      <c r="AL2403">
        <v>78.8779497947328</v>
      </c>
      <c r="AM2403">
        <v>97.260727207905504</v>
      </c>
      <c r="AN2403">
        <v>0.99999999249065996</v>
      </c>
    </row>
    <row r="2404" spans="1:40" x14ac:dyDescent="0.25">
      <c r="A2404" t="str">
        <f>"20190304155104168"</f>
        <v>20190304155104168</v>
      </c>
      <c r="B2404" t="str">
        <f>"1551685864158934"</f>
        <v>1551685864158934</v>
      </c>
      <c r="C2404" t="s">
        <v>40</v>
      </c>
      <c r="D2404">
        <v>5.38591</v>
      </c>
      <c r="E2404">
        <v>0.48411539999999997</v>
      </c>
      <c r="F2404" t="s">
        <v>75</v>
      </c>
      <c r="G2404">
        <v>-512.82629999999995</v>
      </c>
      <c r="H2404">
        <v>3.364147</v>
      </c>
      <c r="I2404">
        <v>266.91320000000002</v>
      </c>
      <c r="J2404">
        <v>-389.24349999999998</v>
      </c>
      <c r="K2404">
        <v>1.110152</v>
      </c>
      <c r="L2404">
        <v>285.577</v>
      </c>
      <c r="M2404">
        <v>-0.99994249999999996</v>
      </c>
      <c r="N2404">
        <v>-9.8373139999999998E-3</v>
      </c>
      <c r="O2404">
        <v>4.2997909999999999E-3</v>
      </c>
      <c r="P2404">
        <v>-0.97579959999999999</v>
      </c>
      <c r="Q2404">
        <v>0.1830629</v>
      </c>
      <c r="R2404">
        <v>-0.1195968</v>
      </c>
      <c r="S2404">
        <v>-3.0086979999999999</v>
      </c>
      <c r="T2404">
        <v>5.4747219999999999E-2</v>
      </c>
      <c r="U2404">
        <v>-0.4532776</v>
      </c>
      <c r="V2404">
        <v>-0.1238214</v>
      </c>
      <c r="W2404">
        <v>0.1926292</v>
      </c>
      <c r="X2404">
        <v>0.97342810000000002</v>
      </c>
      <c r="Y2404">
        <v>-0.1532124</v>
      </c>
      <c r="Z2404">
        <v>7.479985E-4</v>
      </c>
      <c r="AA2404">
        <v>0.98819299999999999</v>
      </c>
      <c r="AB2404">
        <v>29</v>
      </c>
      <c r="AC2404">
        <v>-123.582799999999</v>
      </c>
      <c r="AD2404">
        <v>2.2539950000000002</v>
      </c>
      <c r="AE2404">
        <v>-18.663799999999899</v>
      </c>
      <c r="AF2404">
        <v>-19.188792461350399</v>
      </c>
      <c r="AG2404">
        <v>2.2539950000000002</v>
      </c>
      <c r="AH2404">
        <v>123.46124937863</v>
      </c>
      <c r="AI2404">
        <v>88.966490091718399</v>
      </c>
      <c r="AJ2404">
        <v>98.834432821018297</v>
      </c>
      <c r="AK2404">
        <v>124.96387617114399</v>
      </c>
      <c r="AL2404">
        <v>78.893738854671</v>
      </c>
      <c r="AM2404">
        <v>97.249171976924103</v>
      </c>
      <c r="AN2404">
        <v>1.0000000068301</v>
      </c>
    </row>
    <row r="2405" spans="1:40" x14ac:dyDescent="0.25">
      <c r="A2405" t="str">
        <f>"20190304155104189"</f>
        <v>20190304155104189</v>
      </c>
      <c r="B2405" t="str">
        <f>"1551685864179430"</f>
        <v>1551685864179430</v>
      </c>
      <c r="C2405" t="s">
        <v>40</v>
      </c>
      <c r="D2405">
        <v>5.214861</v>
      </c>
      <c r="E2405">
        <v>0.48373319999999997</v>
      </c>
      <c r="F2405" t="s">
        <v>75</v>
      </c>
      <c r="G2405">
        <v>-512.82550000000003</v>
      </c>
      <c r="H2405">
        <v>0.98752260000000003</v>
      </c>
      <c r="I2405">
        <v>265.9529</v>
      </c>
      <c r="J2405">
        <v>-389.52359999999999</v>
      </c>
      <c r="K2405">
        <v>1.1101570000000001</v>
      </c>
      <c r="L2405">
        <v>285.57810000000001</v>
      </c>
      <c r="M2405">
        <v>-0.99994289999999997</v>
      </c>
      <c r="N2405">
        <v>-9.8412929999999992E-3</v>
      </c>
      <c r="O2405">
        <v>4.1942380000000003E-3</v>
      </c>
      <c r="P2405">
        <v>-0.97580900000000004</v>
      </c>
      <c r="Q2405">
        <v>0.182951</v>
      </c>
      <c r="R2405">
        <v>-0.1196914</v>
      </c>
      <c r="S2405">
        <v>-3.016327</v>
      </c>
      <c r="T2405">
        <v>-2.9911989999999999E-3</v>
      </c>
      <c r="U2405">
        <v>-0.47897339999999999</v>
      </c>
      <c r="V2405">
        <v>-0.1238143</v>
      </c>
      <c r="W2405">
        <v>0.19252059999999999</v>
      </c>
      <c r="X2405">
        <v>0.9734505</v>
      </c>
      <c r="Y2405">
        <v>-0.1609688</v>
      </c>
      <c r="Z2405">
        <v>-8.3945619999999999E-4</v>
      </c>
      <c r="AA2405">
        <v>0.98695920000000004</v>
      </c>
      <c r="AB2405">
        <v>29</v>
      </c>
      <c r="AC2405">
        <v>-123.3019</v>
      </c>
      <c r="AD2405">
        <v>-0.1226344</v>
      </c>
      <c r="AE2405">
        <v>-19.6252</v>
      </c>
      <c r="AF2405">
        <v>-20.142190426785898</v>
      </c>
      <c r="AG2405">
        <v>-0.1226344</v>
      </c>
      <c r="AH2405">
        <v>123.21837973740899</v>
      </c>
      <c r="AI2405">
        <v>90.056277262118599</v>
      </c>
      <c r="AJ2405">
        <v>99.283880929365907</v>
      </c>
      <c r="AK2405">
        <v>124.85388251671399</v>
      </c>
      <c r="AL2405">
        <v>78.900080003825494</v>
      </c>
      <c r="AM2405">
        <v>97.248595699514297</v>
      </c>
      <c r="AN2405">
        <v>1.00000001912954</v>
      </c>
    </row>
    <row r="2406" spans="1:40" x14ac:dyDescent="0.25">
      <c r="A2406" t="str">
        <f>"20190304155104213"</f>
        <v>20190304155104213</v>
      </c>
      <c r="B2406" t="str">
        <f>"1551685864208711"</f>
        <v>1551685864208711</v>
      </c>
      <c r="C2406" t="s">
        <v>40</v>
      </c>
      <c r="D2406">
        <v>5.0791629999999897</v>
      </c>
      <c r="E2406">
        <v>0.48302709999999999</v>
      </c>
      <c r="F2406" t="s">
        <v>41</v>
      </c>
      <c r="G2406">
        <v>-499.96879999999999</v>
      </c>
      <c r="H2406">
        <v>6.1050970000000003E-2</v>
      </c>
      <c r="I2406">
        <v>267.95949999999999</v>
      </c>
      <c r="J2406">
        <v>-389.8229</v>
      </c>
      <c r="K2406">
        <v>1.1101639999999999</v>
      </c>
      <c r="L2406">
        <v>285.57929999999999</v>
      </c>
      <c r="M2406">
        <v>-0.99994329999999998</v>
      </c>
      <c r="N2406">
        <v>-9.8455880000000006E-3</v>
      </c>
      <c r="O2406">
        <v>4.0804700000000001E-3</v>
      </c>
      <c r="P2406">
        <v>-0.97559870000000004</v>
      </c>
      <c r="Q2406">
        <v>0.18401680000000001</v>
      </c>
      <c r="R2406">
        <v>-0.1197709</v>
      </c>
      <c r="S2406">
        <v>-3.0206909999999998</v>
      </c>
      <c r="T2406">
        <v>-2.8693199999999999E-2</v>
      </c>
      <c r="U2406">
        <v>-0.48187259999999998</v>
      </c>
      <c r="V2406">
        <v>-0.123783199999999</v>
      </c>
      <c r="W2406">
        <v>0.1935878</v>
      </c>
      <c r="X2406">
        <v>0.97324279999999996</v>
      </c>
      <c r="Y2406">
        <v>-0.16154589999999999</v>
      </c>
      <c r="Z2406">
        <v>-1.5613230000000001E-3</v>
      </c>
      <c r="AA2406">
        <v>0.98686399999999996</v>
      </c>
      <c r="AB2406">
        <v>29</v>
      </c>
      <c r="AC2406">
        <v>-110.145899999999</v>
      </c>
      <c r="AD2406">
        <v>-1.04911303</v>
      </c>
      <c r="AE2406">
        <v>-17.619799999999898</v>
      </c>
      <c r="AF2406">
        <v>-18.067523875228598</v>
      </c>
      <c r="AG2406">
        <v>-1.04911303</v>
      </c>
      <c r="AH2406">
        <v>110.063346467445</v>
      </c>
      <c r="AI2406">
        <v>90.538908903490807</v>
      </c>
      <c r="AJ2406">
        <v>99.322285075756994</v>
      </c>
      <c r="AK2406">
        <v>111.54136583682499</v>
      </c>
      <c r="AL2406">
        <v>78.837761767424695</v>
      </c>
      <c r="AM2406">
        <v>97.248324430497505</v>
      </c>
      <c r="AN2406">
        <v>1.00000003233145</v>
      </c>
    </row>
    <row r="2407" spans="1:40" x14ac:dyDescent="0.25">
      <c r="A2407" t="str">
        <f>"20190304155104224"</f>
        <v>20190304155104224</v>
      </c>
      <c r="B2407" t="str">
        <f>"1551685864218978"</f>
        <v>1551685864218978</v>
      </c>
      <c r="C2407" t="s">
        <v>40</v>
      </c>
      <c r="D2407">
        <v>5.0640890000000001</v>
      </c>
      <c r="E2407">
        <v>0.48287249999999998</v>
      </c>
      <c r="F2407" t="s">
        <v>70</v>
      </c>
      <c r="G2407">
        <v>-456.5222</v>
      </c>
      <c r="H2407">
        <v>8.0001439999999993E-2</v>
      </c>
      <c r="I2407">
        <v>274.82850000000002</v>
      </c>
      <c r="J2407">
        <v>-389.98809999999997</v>
      </c>
      <c r="K2407">
        <v>1.110166</v>
      </c>
      <c r="L2407">
        <v>285.57990000000001</v>
      </c>
      <c r="M2407">
        <v>-0.99994340000000004</v>
      </c>
      <c r="N2407">
        <v>-9.8479410000000007E-3</v>
      </c>
      <c r="O2407">
        <v>4.0180449999999996E-3</v>
      </c>
      <c r="P2407">
        <v>-0.97545219999999999</v>
      </c>
      <c r="Q2407">
        <v>0.1847483</v>
      </c>
      <c r="R2407">
        <v>-0.1198391</v>
      </c>
      <c r="S2407">
        <v>-3.0240480000000001</v>
      </c>
      <c r="T2407">
        <v>-4.6706079999999997E-2</v>
      </c>
      <c r="U2407">
        <v>-0.48742679999999999</v>
      </c>
      <c r="V2407">
        <v>-0.1237905</v>
      </c>
      <c r="W2407">
        <v>0.19431989999999999</v>
      </c>
      <c r="X2407">
        <v>0.97309599999999996</v>
      </c>
      <c r="Y2407">
        <v>-0.16306409999999999</v>
      </c>
      <c r="Z2407">
        <v>-2.081622E-3</v>
      </c>
      <c r="AA2407">
        <v>0.98661330000000003</v>
      </c>
      <c r="AB2407">
        <v>29</v>
      </c>
      <c r="AC2407">
        <v>-66.534099999999995</v>
      </c>
      <c r="AD2407">
        <v>-1.03016456</v>
      </c>
      <c r="AE2407">
        <v>-10.751399999999901</v>
      </c>
      <c r="AF2407">
        <v>-11.0160894875665</v>
      </c>
      <c r="AG2407">
        <v>-1.03016456</v>
      </c>
      <c r="AH2407">
        <v>66.474830595593403</v>
      </c>
      <c r="AI2407">
        <v>90.875901297101805</v>
      </c>
      <c r="AJ2407">
        <v>99.409439867010207</v>
      </c>
      <c r="AK2407">
        <v>67.389306045778497</v>
      </c>
      <c r="AL2407">
        <v>78.795003986005</v>
      </c>
      <c r="AM2407">
        <v>97.249829249769405</v>
      </c>
      <c r="AN2407">
        <v>1.0000000683211201</v>
      </c>
    </row>
    <row r="2408" spans="1:40" x14ac:dyDescent="0.25">
      <c r="A2408" t="str">
        <f>"20190304155104237"</f>
        <v>20190304155104237</v>
      </c>
      <c r="B2408" t="str">
        <f>"1551685864228738"</f>
        <v>1551685864228738</v>
      </c>
      <c r="C2408" t="s">
        <v>40</v>
      </c>
      <c r="D2408">
        <v>5.0771220000000001</v>
      </c>
      <c r="E2408">
        <v>0.48267409999999999</v>
      </c>
      <c r="F2408" t="s">
        <v>70</v>
      </c>
      <c r="G2408">
        <v>-453.32650000000001</v>
      </c>
      <c r="H2408">
        <v>8.0000890000000005E-2</v>
      </c>
      <c r="I2408">
        <v>275.34690000000001</v>
      </c>
      <c r="J2408">
        <v>-390.14460000000003</v>
      </c>
      <c r="K2408">
        <v>1.1101669999999999</v>
      </c>
      <c r="L2408">
        <v>285.5804</v>
      </c>
      <c r="M2408">
        <v>-0.99994380000000005</v>
      </c>
      <c r="N2408">
        <v>-9.8501579999999995E-3</v>
      </c>
      <c r="O2408">
        <v>3.9589610000000004E-3</v>
      </c>
      <c r="P2408">
        <v>-0.97526900000000005</v>
      </c>
      <c r="Q2408">
        <v>0.1855424</v>
      </c>
      <c r="R2408">
        <v>-0.12010410000000001</v>
      </c>
      <c r="S2408">
        <v>-3.02475</v>
      </c>
      <c r="T2408">
        <v>-4.9195889999999999E-2</v>
      </c>
      <c r="U2408">
        <v>-0.488678</v>
      </c>
      <c r="V2408">
        <v>-0.12399739999999999</v>
      </c>
      <c r="W2408">
        <v>0.1951146</v>
      </c>
      <c r="X2408">
        <v>0.97291059999999996</v>
      </c>
      <c r="Y2408">
        <v>-0.1633648</v>
      </c>
      <c r="Z2408">
        <v>-2.1549809999999998E-3</v>
      </c>
      <c r="AA2408">
        <v>0.98656339999999998</v>
      </c>
      <c r="AB2408">
        <v>29</v>
      </c>
      <c r="AC2408">
        <v>-63.181899999999899</v>
      </c>
      <c r="AD2408">
        <v>-1.0301661099999999</v>
      </c>
      <c r="AE2408">
        <v>-10.2334999999999</v>
      </c>
      <c r="AF2408">
        <v>-10.480851511474899</v>
      </c>
      <c r="AG2408">
        <v>-1.0301661099999999</v>
      </c>
      <c r="AH2408">
        <v>63.124536445696798</v>
      </c>
      <c r="AI2408">
        <v>90.922335662912701</v>
      </c>
      <c r="AJ2408">
        <v>99.427077636747896</v>
      </c>
      <c r="AK2408">
        <v>63.9970045557125</v>
      </c>
      <c r="AL2408">
        <v>78.748582276817899</v>
      </c>
      <c r="AM2408">
        <v>97.263186222659499</v>
      </c>
      <c r="AN2408">
        <v>1.00000004896613</v>
      </c>
    </row>
    <row r="2409" spans="1:40" x14ac:dyDescent="0.25">
      <c r="A2409" t="str">
        <f>"20190304155104250"</f>
        <v>20190304155104250</v>
      </c>
      <c r="B2409" t="str">
        <f>"1551685864238498"</f>
        <v>1551685864238498</v>
      </c>
      <c r="C2409" t="s">
        <v>40</v>
      </c>
      <c r="D2409">
        <v>5.2104689999999998</v>
      </c>
      <c r="E2409">
        <v>0.48196850000000002</v>
      </c>
      <c r="F2409" t="s">
        <v>70</v>
      </c>
      <c r="G2409">
        <v>-451.99560000000002</v>
      </c>
      <c r="H2409">
        <v>8.0001269999999999E-2</v>
      </c>
      <c r="I2409">
        <v>275.54250000000002</v>
      </c>
      <c r="J2409">
        <v>-390.31569999999999</v>
      </c>
      <c r="K2409">
        <v>1.110169</v>
      </c>
      <c r="L2409">
        <v>285.58109999999999</v>
      </c>
      <c r="M2409">
        <v>-0.99994400000000006</v>
      </c>
      <c r="N2409">
        <v>-9.8525590000000003E-3</v>
      </c>
      <c r="O2409">
        <v>3.894869E-3</v>
      </c>
      <c r="P2409">
        <v>-0.97514100000000004</v>
      </c>
      <c r="Q2409">
        <v>0.18633479999999999</v>
      </c>
      <c r="R2409">
        <v>-0.11991549999999999</v>
      </c>
      <c r="S2409">
        <v>-3.0252080000000001</v>
      </c>
      <c r="T2409">
        <v>-5.0386670000000001E-2</v>
      </c>
      <c r="U2409">
        <v>-0.49096679999999998</v>
      </c>
      <c r="V2409">
        <v>-0.12374640000000001</v>
      </c>
      <c r="W2409">
        <v>0.19590769999999999</v>
      </c>
      <c r="X2409">
        <v>0.97278310000000001</v>
      </c>
      <c r="Y2409">
        <v>-0.16400379999999901</v>
      </c>
      <c r="Z2409">
        <v>-2.1964380000000002E-3</v>
      </c>
      <c r="AA2409">
        <v>0.98645720000000003</v>
      </c>
      <c r="AB2409">
        <v>29</v>
      </c>
      <c r="AC2409">
        <v>-61.679900000000004</v>
      </c>
      <c r="AD2409">
        <v>-1.0301677300000001</v>
      </c>
      <c r="AE2409">
        <v>-10.038599999999899</v>
      </c>
      <c r="AF2409">
        <v>-10.2759780830054</v>
      </c>
      <c r="AG2409">
        <v>-1.0301677300000001</v>
      </c>
      <c r="AH2409">
        <v>61.623584788459802</v>
      </c>
      <c r="AI2409">
        <v>90.944688211255894</v>
      </c>
      <c r="AJ2409">
        <v>99.467189669038007</v>
      </c>
      <c r="AK2409">
        <v>62.482983069751398</v>
      </c>
      <c r="AL2409">
        <v>78.702245988184004</v>
      </c>
      <c r="AM2409">
        <v>97.2495803055387</v>
      </c>
      <c r="AN2409">
        <v>0.99999997903892901</v>
      </c>
    </row>
    <row r="2410" spans="1:40" x14ac:dyDescent="0.25">
      <c r="A2410" t="str">
        <f>"20190304155104268"</f>
        <v>20190304155104268</v>
      </c>
      <c r="B2410" t="str">
        <f>"1551685864258994"</f>
        <v>1551685864258994</v>
      </c>
      <c r="C2410" t="s">
        <v>40</v>
      </c>
      <c r="D2410">
        <v>5.4197689999999996</v>
      </c>
      <c r="E2410">
        <v>0.4819407</v>
      </c>
      <c r="F2410" t="s">
        <v>70</v>
      </c>
      <c r="G2410">
        <v>-451.45060000000001</v>
      </c>
      <c r="H2410">
        <v>8.0001429999999998E-2</v>
      </c>
      <c r="I2410">
        <v>275.55790000000002</v>
      </c>
      <c r="J2410">
        <v>-390.55889999999999</v>
      </c>
      <c r="K2410">
        <v>1.1101780000000001</v>
      </c>
      <c r="L2410">
        <v>285.58190000000002</v>
      </c>
      <c r="M2410">
        <v>-0.99994430000000001</v>
      </c>
      <c r="N2410">
        <v>-9.855852E-3</v>
      </c>
      <c r="O2410">
        <v>3.8047829999999999E-3</v>
      </c>
      <c r="P2410">
        <v>-0.97480520000000004</v>
      </c>
      <c r="Q2410">
        <v>0.1878302</v>
      </c>
      <c r="R2410">
        <v>-0.1203111</v>
      </c>
      <c r="S2410">
        <v>-3.025299</v>
      </c>
      <c r="T2410">
        <v>-5.0978540000000003E-2</v>
      </c>
      <c r="U2410">
        <v>-0.4960022</v>
      </c>
      <c r="V2410">
        <v>-0.1240536</v>
      </c>
      <c r="W2410">
        <v>0.19740240000000001</v>
      </c>
      <c r="X2410">
        <v>0.97244180000000002</v>
      </c>
      <c r="Y2410">
        <v>-0.165508399999999</v>
      </c>
      <c r="Z2410">
        <v>-2.2326989999999999E-3</v>
      </c>
      <c r="AA2410">
        <v>0.98620589999999997</v>
      </c>
      <c r="AB2410">
        <v>29</v>
      </c>
      <c r="AC2410">
        <v>-60.8917</v>
      </c>
      <c r="AD2410">
        <v>-1.0301765700000001</v>
      </c>
      <c r="AE2410">
        <v>-10.023999999999999</v>
      </c>
      <c r="AF2410">
        <v>-10.2527612050703</v>
      </c>
      <c r="AG2410">
        <v>-1.0301765700000001</v>
      </c>
      <c r="AH2410">
        <v>60.836164835871799</v>
      </c>
      <c r="AI2410">
        <v>90.956644394352907</v>
      </c>
      <c r="AJ2410">
        <v>99.566205195762905</v>
      </c>
      <c r="AK2410">
        <v>61.702668726975901</v>
      </c>
      <c r="AL2410">
        <v>78.614900928398697</v>
      </c>
      <c r="AM2410">
        <v>97.269908555325102</v>
      </c>
      <c r="AN2410">
        <v>1.00000002879297</v>
      </c>
    </row>
    <row r="2411" spans="1:40" x14ac:dyDescent="0.25">
      <c r="A2411" t="str">
        <f>"20190304155104281"</f>
        <v>20190304155104281</v>
      </c>
      <c r="B2411" t="str">
        <f>"1551685864278514"</f>
        <v>1551685864278514</v>
      </c>
      <c r="C2411" t="s">
        <v>40</v>
      </c>
      <c r="D2411">
        <v>5.0909170000000001</v>
      </c>
      <c r="E2411">
        <v>0.48171219999999998</v>
      </c>
      <c r="F2411" t="s">
        <v>70</v>
      </c>
      <c r="G2411">
        <v>-455.34309999999999</v>
      </c>
      <c r="H2411">
        <v>8.0001790000000003E-2</v>
      </c>
      <c r="I2411">
        <v>274.93090000000001</v>
      </c>
      <c r="J2411">
        <v>-390.73250000000002</v>
      </c>
      <c r="K2411">
        <v>1.1101799999999999</v>
      </c>
      <c r="L2411">
        <v>285.58249999999998</v>
      </c>
      <c r="M2411">
        <v>-0.99994459999999996</v>
      </c>
      <c r="N2411">
        <v>-9.8582949999999996E-3</v>
      </c>
      <c r="O2411">
        <v>3.7413450000000001E-3</v>
      </c>
      <c r="P2411">
        <v>-0.97472329999999996</v>
      </c>
      <c r="Q2411">
        <v>0.1882412</v>
      </c>
      <c r="R2411">
        <v>-0.12033339999999899</v>
      </c>
      <c r="S2411">
        <v>-3.025452</v>
      </c>
      <c r="T2411">
        <v>-4.8109649999999997E-2</v>
      </c>
      <c r="U2411">
        <v>-0.49740600000000001</v>
      </c>
      <c r="V2411">
        <v>-0.12401379999999999</v>
      </c>
      <c r="W2411">
        <v>0.19781509999999999</v>
      </c>
      <c r="X2411">
        <v>0.97236299999999998</v>
      </c>
      <c r="Y2411">
        <v>-0.1658867</v>
      </c>
      <c r="Z2411">
        <v>-2.1557569999999999E-3</v>
      </c>
      <c r="AA2411">
        <v>0.98614250000000003</v>
      </c>
      <c r="AB2411">
        <v>29</v>
      </c>
      <c r="AC2411">
        <v>-64.610599999999906</v>
      </c>
      <c r="AD2411">
        <v>-1.0301782100000001</v>
      </c>
      <c r="AE2411">
        <v>-10.651599999999901</v>
      </c>
      <c r="AF2411">
        <v>-10.8905722968899</v>
      </c>
      <c r="AG2411">
        <v>-1.0301782100000001</v>
      </c>
      <c r="AH2411">
        <v>64.554317465227498</v>
      </c>
      <c r="AI2411">
        <v>90.9015294795541</v>
      </c>
      <c r="AJ2411">
        <v>99.575860893333996</v>
      </c>
      <c r="AK2411">
        <v>65.474619017597405</v>
      </c>
      <c r="AL2411">
        <v>78.590779204911101</v>
      </c>
      <c r="AM2411">
        <v>97.268183765062105</v>
      </c>
      <c r="AN2411">
        <v>1.00000002007372</v>
      </c>
    </row>
    <row r="2412" spans="1:40" x14ac:dyDescent="0.25">
      <c r="A2412" t="str">
        <f>"20190304155104295"</f>
        <v>20190304155104295</v>
      </c>
      <c r="B2412" t="str">
        <f>"1551685864289250"</f>
        <v>1551685864289250</v>
      </c>
      <c r="C2412" t="s">
        <v>40</v>
      </c>
      <c r="D2412">
        <v>5.0859769999999997</v>
      </c>
      <c r="E2412">
        <v>0.48162899999999997</v>
      </c>
      <c r="F2412" t="s">
        <v>70</v>
      </c>
      <c r="G2412">
        <v>-448.04649999999998</v>
      </c>
      <c r="H2412">
        <v>8.0000940000000006E-2</v>
      </c>
      <c r="I2412">
        <v>276.12939999999998</v>
      </c>
      <c r="J2412">
        <v>-390.9101</v>
      </c>
      <c r="K2412">
        <v>1.1101810000000001</v>
      </c>
      <c r="L2412">
        <v>285.5831</v>
      </c>
      <c r="M2412">
        <v>-0.99994470000000002</v>
      </c>
      <c r="N2412">
        <v>-9.8607959999999998E-3</v>
      </c>
      <c r="O2412">
        <v>3.6767169999999999E-3</v>
      </c>
      <c r="P2412">
        <v>-0.97473469999999995</v>
      </c>
      <c r="Q2412">
        <v>0.18803909999999999</v>
      </c>
      <c r="R2412">
        <v>-0.1205586</v>
      </c>
      <c r="S2412">
        <v>-3.026672</v>
      </c>
      <c r="T2412">
        <v>-5.4402230000000003E-2</v>
      </c>
      <c r="U2412">
        <v>-0.4992065</v>
      </c>
      <c r="V2412">
        <v>-0.1241761</v>
      </c>
      <c r="W2412">
        <v>0.1976155</v>
      </c>
      <c r="X2412">
        <v>0.97238279999999999</v>
      </c>
      <c r="Y2412">
        <v>-0.1663229</v>
      </c>
      <c r="Z2412">
        <v>-2.3399139999999998E-3</v>
      </c>
      <c r="AA2412">
        <v>0.98606850000000001</v>
      </c>
      <c r="AB2412">
        <v>29</v>
      </c>
      <c r="AC2412">
        <v>-57.136399999999902</v>
      </c>
      <c r="AD2412">
        <v>-1.03018006</v>
      </c>
      <c r="AE2412">
        <v>-9.4537000000000209</v>
      </c>
      <c r="AF2412">
        <v>-9.6606637893002194</v>
      </c>
      <c r="AG2412">
        <v>-1.03018006</v>
      </c>
      <c r="AH2412">
        <v>57.083190948837498</v>
      </c>
      <c r="AI2412">
        <v>91.019411797654996</v>
      </c>
      <c r="AJ2412">
        <v>99.605625178534694</v>
      </c>
      <c r="AK2412">
        <v>57.9040619016262</v>
      </c>
      <c r="AL2412">
        <v>78.602444932885504</v>
      </c>
      <c r="AM2412">
        <v>97.277447307149004</v>
      </c>
      <c r="AN2412">
        <v>0.99999994969364803</v>
      </c>
    </row>
    <row r="2413" spans="1:40" x14ac:dyDescent="0.25">
      <c r="A2413" t="str">
        <f>"20190304155104313"</f>
        <v>20190304155104313</v>
      </c>
      <c r="B2413" t="str">
        <f>"1551685864308771"</f>
        <v>1551685864308771</v>
      </c>
      <c r="C2413" t="s">
        <v>40</v>
      </c>
      <c r="D2413">
        <v>4.6363560000000001</v>
      </c>
      <c r="E2413">
        <v>0.48100549999999997</v>
      </c>
      <c r="F2413" t="s">
        <v>70</v>
      </c>
      <c r="G2413">
        <v>-444.88549999999998</v>
      </c>
      <c r="H2413">
        <v>8.0000379999999996E-2</v>
      </c>
      <c r="I2413">
        <v>276.66489999999999</v>
      </c>
      <c r="J2413">
        <v>-391.14830000000001</v>
      </c>
      <c r="K2413">
        <v>1.1101749999999999</v>
      </c>
      <c r="L2413">
        <v>285.58390000000003</v>
      </c>
      <c r="M2413">
        <v>-0.99994490000000003</v>
      </c>
      <c r="N2413">
        <v>-9.8641430000000006E-3</v>
      </c>
      <c r="O2413">
        <v>3.590031E-3</v>
      </c>
      <c r="P2413">
        <v>-0.97493640000000004</v>
      </c>
      <c r="Q2413">
        <v>0.186748</v>
      </c>
      <c r="R2413">
        <v>-0.12093130000000001</v>
      </c>
      <c r="S2413">
        <v>-3.0270389999999998</v>
      </c>
      <c r="T2413">
        <v>-5.777442E-2</v>
      </c>
      <c r="U2413">
        <v>-0.50015259999999995</v>
      </c>
      <c r="V2413">
        <v>-0.1244653</v>
      </c>
      <c r="W2413">
        <v>0.1963299</v>
      </c>
      <c r="X2413">
        <v>0.97260630000000003</v>
      </c>
      <c r="Y2413">
        <v>-0.166514</v>
      </c>
      <c r="Z2413">
        <v>-2.438019E-3</v>
      </c>
      <c r="AA2413">
        <v>0.98603609999999997</v>
      </c>
      <c r="AB2413">
        <v>30</v>
      </c>
      <c r="AC2413">
        <v>-53.737199999999902</v>
      </c>
      <c r="AD2413">
        <v>-1.0301746199999999</v>
      </c>
      <c r="AE2413">
        <v>-8.9190000000000396</v>
      </c>
      <c r="AF2413">
        <v>-9.1086123382211408</v>
      </c>
      <c r="AG2413">
        <v>-1.0301746199999999</v>
      </c>
      <c r="AH2413">
        <v>53.685631455563602</v>
      </c>
      <c r="AI2413">
        <v>91.083829547919606</v>
      </c>
      <c r="AJ2413">
        <v>99.629430486880295</v>
      </c>
      <c r="AK2413">
        <v>54.4626027954805</v>
      </c>
      <c r="AL2413">
        <v>78.677577191889497</v>
      </c>
      <c r="AM2413">
        <v>97.292555666011097</v>
      </c>
      <c r="AN2413">
        <v>1.0000000276688901</v>
      </c>
    </row>
    <row r="2414" spans="1:40" x14ac:dyDescent="0.25">
      <c r="A2414" t="str">
        <f>"20190304155104336"</f>
        <v>20190304155104336</v>
      </c>
      <c r="B2414" t="str">
        <f>"1551685864328797"</f>
        <v>1551685864328797</v>
      </c>
      <c r="C2414" t="s">
        <v>40</v>
      </c>
      <c r="D2414">
        <v>5.1380339999999904</v>
      </c>
      <c r="E2414">
        <v>0.4809079</v>
      </c>
      <c r="F2414" t="s">
        <v>70</v>
      </c>
      <c r="G2414">
        <v>-444.06740000000002</v>
      </c>
      <c r="H2414">
        <v>8.000061E-2</v>
      </c>
      <c r="I2414">
        <v>276.73250000000002</v>
      </c>
      <c r="J2414">
        <v>-391.45729999999998</v>
      </c>
      <c r="K2414">
        <v>1.110171</v>
      </c>
      <c r="L2414">
        <v>285.5849</v>
      </c>
      <c r="M2414">
        <v>-0.99994530000000004</v>
      </c>
      <c r="N2414">
        <v>-9.8684099999999993E-3</v>
      </c>
      <c r="O2414">
        <v>3.4775940000000001E-3</v>
      </c>
      <c r="P2414">
        <v>-0.97520890000000005</v>
      </c>
      <c r="Q2414">
        <v>0.18538959999999999</v>
      </c>
      <c r="R2414">
        <v>-0.1208236</v>
      </c>
      <c r="S2414">
        <v>-3.0256349999999999</v>
      </c>
      <c r="T2414">
        <v>-5.8899880000000002E-2</v>
      </c>
      <c r="U2414">
        <v>-0.506073</v>
      </c>
      <c r="V2414">
        <v>-0.124249</v>
      </c>
      <c r="W2414">
        <v>0.19497800000000001</v>
      </c>
      <c r="X2414">
        <v>0.97290580000000004</v>
      </c>
      <c r="Y2414">
        <v>-0.168351799999999</v>
      </c>
      <c r="Z2414">
        <v>-2.4968949999999998E-3</v>
      </c>
      <c r="AA2414">
        <v>0.98572380000000004</v>
      </c>
      <c r="AB2414">
        <v>30</v>
      </c>
      <c r="AC2414">
        <v>-52.610100000000003</v>
      </c>
      <c r="AD2414">
        <v>-1.0301703900000001</v>
      </c>
      <c r="AE2414">
        <v>-8.8523999999999798</v>
      </c>
      <c r="AF2414">
        <v>-9.0319442165491601</v>
      </c>
      <c r="AG2414">
        <v>-1.0301703900000001</v>
      </c>
      <c r="AH2414">
        <v>52.559397598361301</v>
      </c>
      <c r="AI2414">
        <v>91.106643730864505</v>
      </c>
      <c r="AJ2414">
        <v>99.750622533321803</v>
      </c>
      <c r="AK2414">
        <v>53.3397370003444</v>
      </c>
      <c r="AL2414">
        <v>78.756561185418605</v>
      </c>
      <c r="AM2414">
        <v>97.277801439657694</v>
      </c>
      <c r="AN2414">
        <v>0.99999996507931899</v>
      </c>
    </row>
    <row r="2415" spans="1:40" x14ac:dyDescent="0.25">
      <c r="A2415" t="str">
        <f>"20190304155104359"</f>
        <v>20190304155104359</v>
      </c>
      <c r="B2415" t="str">
        <f>"1551685864349293"</f>
        <v>1551685864349293</v>
      </c>
      <c r="C2415" t="s">
        <v>40</v>
      </c>
      <c r="D2415">
        <v>5.428661</v>
      </c>
      <c r="E2415">
        <v>0.48137010000000002</v>
      </c>
      <c r="F2415" t="s">
        <v>72</v>
      </c>
      <c r="G2415">
        <v>-437.76839999999999</v>
      </c>
      <c r="H2415">
        <v>8.0000740000000001E-2</v>
      </c>
      <c r="I2415">
        <v>277.84829999999999</v>
      </c>
      <c r="J2415">
        <v>-391.75779999999997</v>
      </c>
      <c r="K2415">
        <v>1.110168</v>
      </c>
      <c r="L2415">
        <v>285.58580000000001</v>
      </c>
      <c r="M2415">
        <v>-0.99994559999999999</v>
      </c>
      <c r="N2415">
        <v>-9.8724160000000002E-3</v>
      </c>
      <c r="O2415">
        <v>3.368022E-3</v>
      </c>
      <c r="P2415">
        <v>-0.97538499999999995</v>
      </c>
      <c r="Q2415">
        <v>0.18477399999999999</v>
      </c>
      <c r="R2415">
        <v>-0.1203443</v>
      </c>
      <c r="S2415">
        <v>-3.0263979999999999</v>
      </c>
      <c r="T2415">
        <v>-6.7320939999999996E-2</v>
      </c>
      <c r="U2415">
        <v>-0.5055847</v>
      </c>
      <c r="V2415">
        <v>-0.123663</v>
      </c>
      <c r="W2415">
        <v>0.1943686</v>
      </c>
      <c r="X2415">
        <v>0.97310240000000003</v>
      </c>
      <c r="Y2415">
        <v>-0.16803689999999999</v>
      </c>
      <c r="Z2415">
        <v>-2.7325909999999999E-3</v>
      </c>
      <c r="AA2415">
        <v>0.98577689999999996</v>
      </c>
      <c r="AB2415">
        <v>30</v>
      </c>
      <c r="AC2415">
        <v>-46.010599999999997</v>
      </c>
      <c r="AD2415">
        <v>-1.03016726</v>
      </c>
      <c r="AE2415">
        <v>-7.7375000000000096</v>
      </c>
      <c r="AF2415">
        <v>-7.8885825709742896</v>
      </c>
      <c r="AG2415">
        <v>-1.03016726</v>
      </c>
      <c r="AH2415">
        <v>45.961870562173402</v>
      </c>
      <c r="AI2415">
        <v>91.265487165668404</v>
      </c>
      <c r="AJ2415">
        <v>99.738967375004194</v>
      </c>
      <c r="AK2415">
        <v>46.645305499445897</v>
      </c>
      <c r="AL2415">
        <v>78.792158506416598</v>
      </c>
      <c r="AM2415">
        <v>97.242394371542105</v>
      </c>
      <c r="AN2415">
        <v>0.99999998556035996</v>
      </c>
    </row>
    <row r="2416" spans="1:40" x14ac:dyDescent="0.25">
      <c r="A2416" t="str">
        <f>"20190304155104380"</f>
        <v>20190304155104380</v>
      </c>
      <c r="B2416" t="str">
        <f>"1551685864368813"</f>
        <v>1551685864368813</v>
      </c>
      <c r="C2416" t="s">
        <v>40</v>
      </c>
      <c r="D2416">
        <v>5.1086729999999996</v>
      </c>
      <c r="E2416">
        <v>0.53483190000000003</v>
      </c>
      <c r="F2416" t="s">
        <v>72</v>
      </c>
      <c r="G2416">
        <v>-435.46300000000002</v>
      </c>
      <c r="H2416">
        <v>8.0001269999999999E-2</v>
      </c>
      <c r="I2416">
        <v>278.35879999999997</v>
      </c>
      <c r="J2416">
        <v>-392.03840000000002</v>
      </c>
      <c r="K2416">
        <v>1.1101589999999999</v>
      </c>
      <c r="L2416">
        <v>285.58670000000001</v>
      </c>
      <c r="M2416">
        <v>-0.99994590000000005</v>
      </c>
      <c r="N2416">
        <v>-9.8762099999999999E-3</v>
      </c>
      <c r="O2416">
        <v>3.2660200000000001E-3</v>
      </c>
      <c r="P2416">
        <v>-0.9754739</v>
      </c>
      <c r="Q2416">
        <v>0.18408440000000001</v>
      </c>
      <c r="R2416">
        <v>-0.1206803</v>
      </c>
      <c r="S2416">
        <v>-3.0274350000000001</v>
      </c>
      <c r="T2416">
        <v>-7.1359039999999999E-2</v>
      </c>
      <c r="U2416">
        <v>-0.50061040000000001</v>
      </c>
      <c r="V2416">
        <v>-0.1239001</v>
      </c>
      <c r="W2416">
        <v>0.1936833</v>
      </c>
      <c r="X2416">
        <v>0.97320890000000004</v>
      </c>
      <c r="Y2416">
        <v>-0.16629949999999999</v>
      </c>
      <c r="Z2416">
        <v>-2.8177689999999999E-3</v>
      </c>
      <c r="AA2416">
        <v>0.98607120000000004</v>
      </c>
      <c r="AB2416">
        <v>30</v>
      </c>
      <c r="AC2416">
        <v>-43.424599999999998</v>
      </c>
      <c r="AD2416">
        <v>-1.03015773</v>
      </c>
      <c r="AE2416">
        <v>-7.2279000000000302</v>
      </c>
      <c r="AF2416">
        <v>-7.3656605020825703</v>
      </c>
      <c r="AG2416">
        <v>-1.03015773</v>
      </c>
      <c r="AH2416">
        <v>43.377007286870302</v>
      </c>
      <c r="AI2416">
        <v>91.341265599824993</v>
      </c>
      <c r="AJ2416">
        <v>99.637221775594398</v>
      </c>
      <c r="AK2416">
        <v>44.009986829648398</v>
      </c>
      <c r="AL2416">
        <v>78.832184200983406</v>
      </c>
      <c r="AM2416">
        <v>97.255346820472099</v>
      </c>
      <c r="AN2416">
        <v>1.00000000925905</v>
      </c>
    </row>
    <row r="2417" spans="1:40" x14ac:dyDescent="0.25">
      <c r="A2417" t="str">
        <f>"20190304155104395"</f>
        <v>20190304155104395</v>
      </c>
      <c r="B2417" t="str">
        <f>"1551685864389310"</f>
        <v>1551685864389310</v>
      </c>
      <c r="C2417" t="s">
        <v>40</v>
      </c>
      <c r="D2417">
        <v>4.751322</v>
      </c>
      <c r="E2417">
        <v>0.58329010000000003</v>
      </c>
      <c r="F2417" t="s">
        <v>53</v>
      </c>
      <c r="G2417">
        <v>0</v>
      </c>
      <c r="H2417">
        <v>0</v>
      </c>
      <c r="I2417">
        <v>0</v>
      </c>
      <c r="J2417">
        <v>-392.23050000000001</v>
      </c>
      <c r="K2417">
        <v>1.1101589999999999</v>
      </c>
      <c r="L2417">
        <v>285.5872</v>
      </c>
      <c r="M2417">
        <v>-0.99994609999999995</v>
      </c>
      <c r="N2417">
        <v>-9.8788269999999997E-3</v>
      </c>
      <c r="O2417">
        <v>3.196328E-3</v>
      </c>
      <c r="P2417">
        <v>-0.97539629999999999</v>
      </c>
      <c r="Q2417">
        <v>0.18435699999999999</v>
      </c>
      <c r="R2417">
        <v>-0.120891</v>
      </c>
      <c r="S2417">
        <v>-3.0346679999999999</v>
      </c>
      <c r="T2417">
        <v>0.1629409</v>
      </c>
      <c r="U2417">
        <v>-8.0932619999999997E-2</v>
      </c>
      <c r="V2417">
        <v>-0.1240431</v>
      </c>
      <c r="W2417">
        <v>0.1939583</v>
      </c>
      <c r="X2417">
        <v>0.97313590000000005</v>
      </c>
      <c r="Y2417">
        <v>-2.9813630000000001E-2</v>
      </c>
      <c r="Z2417">
        <v>8.5531050000000003E-4</v>
      </c>
      <c r="AA2417">
        <v>0.99955510000000003</v>
      </c>
      <c r="AB2417">
        <v>30</v>
      </c>
      <c r="AC2417">
        <v>-3.0346679999999999</v>
      </c>
      <c r="AD2417">
        <v>0.1629409</v>
      </c>
      <c r="AE2417">
        <v>-8.0932619999999997E-2</v>
      </c>
      <c r="AF2417">
        <v>-9.0372120551664006E-2</v>
      </c>
      <c r="AG2417">
        <v>0.1629409</v>
      </c>
      <c r="AH2417">
        <v>3.0256771058518099</v>
      </c>
      <c r="AI2417">
        <v>86.918816281830701</v>
      </c>
      <c r="AJ2417">
        <v>91.710824371677802</v>
      </c>
      <c r="AK2417">
        <v>3.0314087164124799</v>
      </c>
      <c r="AL2417">
        <v>78.816123151575198</v>
      </c>
      <c r="AM2417">
        <v>97.264170300522196</v>
      </c>
      <c r="AN2417">
        <v>0.99999999633265502</v>
      </c>
    </row>
    <row r="2418" spans="1:40" x14ac:dyDescent="0.25">
      <c r="A2418" t="str">
        <f>"20190304155104415"</f>
        <v>20190304155104415</v>
      </c>
      <c r="B2418" t="str">
        <f>"1551685864408833"</f>
        <v>1551685864408833</v>
      </c>
      <c r="C2418" t="s">
        <v>40</v>
      </c>
      <c r="D2418">
        <v>4.9597600000000002</v>
      </c>
      <c r="E2418">
        <v>0.57461189999999995</v>
      </c>
      <c r="F2418" t="s">
        <v>76</v>
      </c>
      <c r="G2418">
        <v>-510.95830000000001</v>
      </c>
      <c r="H2418">
        <v>14.14739</v>
      </c>
      <c r="I2418">
        <v>297.2713</v>
      </c>
      <c r="J2418">
        <v>-392.48739999999998</v>
      </c>
      <c r="K2418">
        <v>1.110158</v>
      </c>
      <c r="L2418">
        <v>285.58800000000002</v>
      </c>
      <c r="M2418">
        <v>-0.99994649999999996</v>
      </c>
      <c r="N2418">
        <v>-9.8823079999999994E-3</v>
      </c>
      <c r="O2418">
        <v>3.1033839999999998E-3</v>
      </c>
      <c r="P2418">
        <v>-0.97526849999999998</v>
      </c>
      <c r="Q2418">
        <v>0.18483730000000001</v>
      </c>
      <c r="R2418">
        <v>-0.12118950000000001</v>
      </c>
      <c r="S2418">
        <v>-3.0495610000000002</v>
      </c>
      <c r="T2418">
        <v>0.33486700000000003</v>
      </c>
      <c r="U2418">
        <v>0.30010989999999999</v>
      </c>
      <c r="V2418">
        <v>-0.1242505</v>
      </c>
      <c r="W2418">
        <v>0.1944401</v>
      </c>
      <c r="X2418">
        <v>0.97301329999999997</v>
      </c>
      <c r="Y2418">
        <v>9.4360109999999997E-2</v>
      </c>
      <c r="Z2418">
        <v>-4.3148329999999997E-3</v>
      </c>
      <c r="AA2418">
        <v>0.99552879999999999</v>
      </c>
      <c r="AB2418">
        <v>30</v>
      </c>
      <c r="AC2418">
        <v>-118.4709</v>
      </c>
      <c r="AD2418">
        <v>13.037231999999999</v>
      </c>
      <c r="AE2418">
        <v>11.683299999999999</v>
      </c>
      <c r="AF2418">
        <v>11.1814608461393</v>
      </c>
      <c r="AG2418">
        <v>13.037231999999999</v>
      </c>
      <c r="AH2418">
        <v>117.102130431299</v>
      </c>
      <c r="AI2418">
        <v>83.675828103064404</v>
      </c>
      <c r="AJ2418">
        <v>84.545666348441003</v>
      </c>
      <c r="AK2418">
        <v>118.354989064359</v>
      </c>
      <c r="AL2418">
        <v>78.787982464459304</v>
      </c>
      <c r="AM2418">
        <v>97.277092906643503</v>
      </c>
      <c r="AN2418">
        <v>1.0000000106075699</v>
      </c>
    </row>
    <row r="2419" spans="1:40" x14ac:dyDescent="0.25">
      <c r="A2419" t="str">
        <f>"20190304155104436"</f>
        <v>20190304155104436</v>
      </c>
      <c r="B2419" t="str">
        <f>"1551685864428861"</f>
        <v>1551685864428861</v>
      </c>
      <c r="C2419" t="s">
        <v>40</v>
      </c>
      <c r="D2419">
        <v>4.9648379999999896</v>
      </c>
      <c r="E2419">
        <v>0.57929529999999996</v>
      </c>
      <c r="F2419" t="s">
        <v>76</v>
      </c>
      <c r="G2419">
        <v>-510.95679999999999</v>
      </c>
      <c r="H2419">
        <v>9.7326149999999991</v>
      </c>
      <c r="I2419">
        <v>294.57499999999999</v>
      </c>
      <c r="J2419">
        <v>-392.78269999999998</v>
      </c>
      <c r="K2419">
        <v>1.110166</v>
      </c>
      <c r="L2419">
        <v>285.58870000000002</v>
      </c>
      <c r="M2419">
        <v>-0.99994680000000002</v>
      </c>
      <c r="N2419">
        <v>-9.8862629999999993E-3</v>
      </c>
      <c r="O2419">
        <v>2.9961340000000001E-3</v>
      </c>
      <c r="P2419">
        <v>-0.9749854</v>
      </c>
      <c r="Q2419">
        <v>0.1861314</v>
      </c>
      <c r="R2419">
        <v>-0.12148730000000001</v>
      </c>
      <c r="S2419">
        <v>-3.0626530000000001</v>
      </c>
      <c r="T2419">
        <v>0.2229081</v>
      </c>
      <c r="U2419">
        <v>0.23233029999999999</v>
      </c>
      <c r="V2419">
        <v>-0.12444330000000001</v>
      </c>
      <c r="W2419">
        <v>0.1957351</v>
      </c>
      <c r="X2419">
        <v>0.97272899999999995</v>
      </c>
      <c r="Y2419">
        <v>7.2499389999999997E-2</v>
      </c>
      <c r="Z2419">
        <v>-2.0248010000000001E-3</v>
      </c>
      <c r="AA2419">
        <v>0.99736639999999999</v>
      </c>
      <c r="AB2419">
        <v>30</v>
      </c>
      <c r="AC2419">
        <v>-118.1741</v>
      </c>
      <c r="AD2419">
        <v>8.6224489999999996</v>
      </c>
      <c r="AE2419">
        <v>8.9862999999999698</v>
      </c>
      <c r="AF2419">
        <v>8.5867263145439505</v>
      </c>
      <c r="AG2419">
        <v>8.6224489999999996</v>
      </c>
      <c r="AH2419">
        <v>117.57813860640201</v>
      </c>
      <c r="AI2419">
        <v>85.816892428940804</v>
      </c>
      <c r="AJ2419">
        <v>85.823106844279195</v>
      </c>
      <c r="AK2419">
        <v>118.206163856648</v>
      </c>
      <c r="AL2419">
        <v>78.712331129839498</v>
      </c>
      <c r="AM2419">
        <v>97.290370708609302</v>
      </c>
      <c r="AN2419">
        <v>1.00000003586394</v>
      </c>
    </row>
    <row r="2420" spans="1:40" x14ac:dyDescent="0.25">
      <c r="A2420" t="str">
        <f>"20190304155104449"</f>
        <v>20190304155104449</v>
      </c>
      <c r="B2420" t="str">
        <f>"1551685864438618"</f>
        <v>1551685864438618</v>
      </c>
      <c r="C2420" t="s">
        <v>40</v>
      </c>
      <c r="D2420">
        <v>4.8639199999999896</v>
      </c>
      <c r="E2420">
        <v>0.5792543</v>
      </c>
      <c r="F2420" t="s">
        <v>76</v>
      </c>
      <c r="G2420">
        <v>-510.95670000000001</v>
      </c>
      <c r="H2420">
        <v>9.4128779999999992</v>
      </c>
      <c r="I2420">
        <v>295.92529999999999</v>
      </c>
      <c r="J2420">
        <v>-392.9547</v>
      </c>
      <c r="K2420">
        <v>1.1101700000000001</v>
      </c>
      <c r="L2420">
        <v>285.58920000000001</v>
      </c>
      <c r="M2420">
        <v>-0.99994680000000002</v>
      </c>
      <c r="N2420">
        <v>-9.8885540000000008E-3</v>
      </c>
      <c r="O2420">
        <v>2.9336589999999999E-3</v>
      </c>
      <c r="P2420">
        <v>-0.97490540000000003</v>
      </c>
      <c r="Q2420">
        <v>0.18638679999999999</v>
      </c>
      <c r="R2420">
        <v>-0.1217356</v>
      </c>
      <c r="S2420">
        <v>-3.0692439999999999</v>
      </c>
      <c r="T2420">
        <v>0.215642</v>
      </c>
      <c r="U2420">
        <v>0.26846310000000001</v>
      </c>
      <c r="V2420">
        <v>-0.1246307</v>
      </c>
      <c r="W2420">
        <v>0.19599179999999999</v>
      </c>
      <c r="X2420">
        <v>0.97265330000000005</v>
      </c>
      <c r="Y2420">
        <v>8.4046010000000004E-2</v>
      </c>
      <c r="Z2420">
        <v>-2.292096E-3</v>
      </c>
      <c r="AA2420">
        <v>0.99645919999999999</v>
      </c>
      <c r="AB2420">
        <v>30</v>
      </c>
      <c r="AC2420">
        <v>-118.002</v>
      </c>
      <c r="AD2420">
        <v>8.3027079999999902</v>
      </c>
      <c r="AE2420">
        <v>10.336099999999901</v>
      </c>
      <c r="AF2420">
        <v>9.9410213255738302</v>
      </c>
      <c r="AG2420">
        <v>8.3027079999999902</v>
      </c>
      <c r="AH2420">
        <v>117.454768089212</v>
      </c>
      <c r="AI2420">
        <v>85.970927472660605</v>
      </c>
      <c r="AJ2420">
        <v>85.162185864078694</v>
      </c>
      <c r="AK2420">
        <v>118.166752566106</v>
      </c>
      <c r="AL2420">
        <v>78.697332616742898</v>
      </c>
      <c r="AM2420">
        <v>97.301793058914399</v>
      </c>
      <c r="AN2420">
        <v>1.00000001952531</v>
      </c>
    </row>
    <row r="2421" spans="1:40" x14ac:dyDescent="0.25">
      <c r="A2421" t="str">
        <f>"20190304155104469"</f>
        <v>20190304155104469</v>
      </c>
      <c r="B2421" t="str">
        <f>"1551685864459113"</f>
        <v>1551685864459113</v>
      </c>
      <c r="C2421" t="s">
        <v>40</v>
      </c>
      <c r="D2421">
        <v>5.5215160000000001</v>
      </c>
      <c r="E2421">
        <v>0.57525249999999895</v>
      </c>
      <c r="F2421" t="s">
        <v>76</v>
      </c>
      <c r="G2421">
        <v>-510.95659999999998</v>
      </c>
      <c r="H2421">
        <v>9.0175059999999991</v>
      </c>
      <c r="I2421">
        <v>295.85700000000003</v>
      </c>
      <c r="J2421">
        <v>-393.22770000000003</v>
      </c>
      <c r="K2421">
        <v>1.110166</v>
      </c>
      <c r="L2421">
        <v>285.5899</v>
      </c>
      <c r="M2421">
        <v>-0.99994720000000004</v>
      </c>
      <c r="N2421">
        <v>-9.8921860000000007E-3</v>
      </c>
      <c r="O2421">
        <v>2.8345190000000002E-3</v>
      </c>
      <c r="P2421">
        <v>-0.97485940000000004</v>
      </c>
      <c r="Q2421">
        <v>0.18653410000000001</v>
      </c>
      <c r="R2421">
        <v>-0.1218795</v>
      </c>
      <c r="S2421">
        <v>-3.071259</v>
      </c>
      <c r="T2421">
        <v>0.20580770000000001</v>
      </c>
      <c r="U2421">
        <v>0.26724239999999999</v>
      </c>
      <c r="V2421">
        <v>-0.12467780000000001</v>
      </c>
      <c r="W2421">
        <v>0.19614290000000001</v>
      </c>
      <c r="X2421">
        <v>0.97261679999999995</v>
      </c>
      <c r="Y2421">
        <v>8.3711800000000003E-2</v>
      </c>
      <c r="Z2421">
        <v>-2.1638429999999999E-3</v>
      </c>
      <c r="AA2421">
        <v>0.99648769999999998</v>
      </c>
      <c r="AB2421">
        <v>30</v>
      </c>
      <c r="AC2421">
        <v>-117.728899999999</v>
      </c>
      <c r="AD2421">
        <v>7.9073399999999996</v>
      </c>
      <c r="AE2421">
        <v>10.267099999999999</v>
      </c>
      <c r="AF2421">
        <v>9.8890625986371301</v>
      </c>
      <c r="AG2421">
        <v>7.9073399999999996</v>
      </c>
      <c r="AH2421">
        <v>117.232659533488</v>
      </c>
      <c r="AI2421">
        <v>86.154860649793306</v>
      </c>
      <c r="AJ2421">
        <v>85.178277510773796</v>
      </c>
      <c r="AK2421">
        <v>117.914443755844</v>
      </c>
      <c r="AL2421">
        <v>78.688503814317599</v>
      </c>
      <c r="AM2421">
        <v>97.304793890240205</v>
      </c>
      <c r="AN2421">
        <v>1.00000001533774</v>
      </c>
    </row>
    <row r="2422" spans="1:40" x14ac:dyDescent="0.25">
      <c r="A2422" t="str">
        <f>"20190304155104482"</f>
        <v>20190304155104482</v>
      </c>
      <c r="B2422" t="str">
        <f>"1551685864478634"</f>
        <v>1551685864478634</v>
      </c>
      <c r="C2422" t="s">
        <v>40</v>
      </c>
      <c r="D2422">
        <v>4.7828540000000004</v>
      </c>
      <c r="E2422">
        <v>0.57386780000000004</v>
      </c>
      <c r="F2422" t="s">
        <v>76</v>
      </c>
      <c r="G2422">
        <v>-510.9563</v>
      </c>
      <c r="H2422">
        <v>8.0424179999999996</v>
      </c>
      <c r="I2422">
        <v>294.62130000000002</v>
      </c>
      <c r="J2422">
        <v>-393.40230000000003</v>
      </c>
      <c r="K2422">
        <v>1.1101650000000001</v>
      </c>
      <c r="L2422">
        <v>285.59030000000001</v>
      </c>
      <c r="M2422">
        <v>-0.99994740000000004</v>
      </c>
      <c r="N2422">
        <v>-9.8945030000000007E-3</v>
      </c>
      <c r="O2422">
        <v>2.7706739999999999E-3</v>
      </c>
      <c r="P2422">
        <v>-0.97487380000000001</v>
      </c>
      <c r="Q2422">
        <v>0.18632950000000001</v>
      </c>
      <c r="R2422">
        <v>-0.12207759999999999</v>
      </c>
      <c r="S2422">
        <v>-3.0722659999999999</v>
      </c>
      <c r="T2422">
        <v>0.18090709999999999</v>
      </c>
      <c r="U2422">
        <v>0.23568729999999999</v>
      </c>
      <c r="V2422">
        <v>-0.1248133</v>
      </c>
      <c r="W2422">
        <v>0.1959409</v>
      </c>
      <c r="X2422">
        <v>0.97264019999999995</v>
      </c>
      <c r="Y2422">
        <v>7.3627890000000001E-2</v>
      </c>
      <c r="Z2422">
        <v>-1.6075340000000001E-3</v>
      </c>
      <c r="AA2422">
        <v>0.99728450000000002</v>
      </c>
      <c r="AB2422">
        <v>30</v>
      </c>
      <c r="AC2422">
        <v>-117.55399999999899</v>
      </c>
      <c r="AD2422">
        <v>6.9322529999999896</v>
      </c>
      <c r="AE2422">
        <v>9.0310000000000006</v>
      </c>
      <c r="AF2422">
        <v>8.6752539772151493</v>
      </c>
      <c r="AG2422">
        <v>6.9322529999999896</v>
      </c>
      <c r="AH2422">
        <v>117.173485509504</v>
      </c>
      <c r="AI2422">
        <v>86.623416865477097</v>
      </c>
      <c r="AJ2422">
        <v>85.765678590952902</v>
      </c>
      <c r="AK2422">
        <v>117.69852110231101</v>
      </c>
      <c r="AL2422">
        <v>78.7003072988648</v>
      </c>
      <c r="AM2422">
        <v>97.312472838590097</v>
      </c>
      <c r="AN2422">
        <v>1.0000000774028599</v>
      </c>
    </row>
    <row r="2423" spans="1:40" x14ac:dyDescent="0.25">
      <c r="A2423" t="str">
        <f>"20190304155104503"</f>
        <v>20190304155104503</v>
      </c>
      <c r="B2423" t="str">
        <f>"1551685864499130"</f>
        <v>1551685864499130</v>
      </c>
      <c r="C2423" t="s">
        <v>40</v>
      </c>
      <c r="D2423">
        <v>5.4889400000000004</v>
      </c>
      <c r="E2423">
        <v>0.56952700000000001</v>
      </c>
      <c r="F2423" t="s">
        <v>76</v>
      </c>
      <c r="G2423">
        <v>-510.95620000000002</v>
      </c>
      <c r="H2423">
        <v>7.8532839999999897</v>
      </c>
      <c r="I2423">
        <v>294.16269999999997</v>
      </c>
      <c r="J2423">
        <v>-393.67720000000003</v>
      </c>
      <c r="K2423">
        <v>1.1101730000000001</v>
      </c>
      <c r="L2423">
        <v>285.59089999999998</v>
      </c>
      <c r="M2423">
        <v>-0.99994749999999999</v>
      </c>
      <c r="N2423">
        <v>-9.8981350000000006E-3</v>
      </c>
      <c r="O2423">
        <v>2.6708159999999999E-3</v>
      </c>
      <c r="P2423">
        <v>-0.97497679999999998</v>
      </c>
      <c r="Q2423">
        <v>0.1857248</v>
      </c>
      <c r="R2423">
        <v>-0.1221754</v>
      </c>
      <c r="S2423">
        <v>-3.0717159999999999</v>
      </c>
      <c r="T2423">
        <v>0.17620160000000001</v>
      </c>
      <c r="U2423">
        <v>0.223999</v>
      </c>
      <c r="V2423">
        <v>-0.1248142</v>
      </c>
      <c r="W2423">
        <v>0.1953404</v>
      </c>
      <c r="X2423">
        <v>0.97276079999999998</v>
      </c>
      <c r="Y2423">
        <v>6.9977269999999994E-2</v>
      </c>
      <c r="Z2423">
        <v>-1.476464E-3</v>
      </c>
      <c r="AA2423">
        <v>0.99754750000000003</v>
      </c>
      <c r="AB2423">
        <v>30</v>
      </c>
      <c r="AC2423">
        <v>-117.279</v>
      </c>
      <c r="AD2423">
        <v>6.7431109999999999</v>
      </c>
      <c r="AE2423">
        <v>8.5717999999999908</v>
      </c>
      <c r="AF2423">
        <v>8.2314562898647292</v>
      </c>
      <c r="AG2423">
        <v>6.7431109999999999</v>
      </c>
      <c r="AH2423">
        <v>116.917022799688</v>
      </c>
      <c r="AI2423">
        <v>86.707293423722206</v>
      </c>
      <c r="AJ2423">
        <v>85.972778348698199</v>
      </c>
      <c r="AK2423">
        <v>117.400241221869</v>
      </c>
      <c r="AL2423">
        <v>78.735390679640005</v>
      </c>
      <c r="AM2423">
        <v>97.311628222229402</v>
      </c>
      <c r="AN2423">
        <v>1.00000001520521</v>
      </c>
    </row>
    <row r="2424" spans="1:40" x14ac:dyDescent="0.25">
      <c r="A2424" t="str">
        <f>"20190304155104515"</f>
        <v>20190304155104515</v>
      </c>
      <c r="B2424" t="str">
        <f>"1551685864508890"</f>
        <v>1551685864508890</v>
      </c>
      <c r="C2424" t="s">
        <v>40</v>
      </c>
      <c r="D2424">
        <v>4.3340610000000002</v>
      </c>
      <c r="E2424">
        <v>0.56898700000000002</v>
      </c>
      <c r="F2424" t="s">
        <v>76</v>
      </c>
      <c r="G2424">
        <v>-510.07100000000003</v>
      </c>
      <c r="H2424">
        <v>7.0072619999999999</v>
      </c>
      <c r="I2424">
        <v>292.79860000000002</v>
      </c>
      <c r="J2424">
        <v>-393.84899999999999</v>
      </c>
      <c r="K2424">
        <v>1.110174</v>
      </c>
      <c r="L2424">
        <v>285.59140000000002</v>
      </c>
      <c r="M2424">
        <v>-0.99994749999999999</v>
      </c>
      <c r="N2424">
        <v>-9.9004020000000009E-3</v>
      </c>
      <c r="O2424">
        <v>2.6086939999999999E-3</v>
      </c>
      <c r="P2424">
        <v>-0.97488529999999995</v>
      </c>
      <c r="Q2424">
        <v>0.18604979999999999</v>
      </c>
      <c r="R2424">
        <v>-0.1224099</v>
      </c>
      <c r="S2424">
        <v>-3.0712280000000001</v>
      </c>
      <c r="T2424">
        <v>0.15560570000000001</v>
      </c>
      <c r="U2424">
        <v>0.19018550000000001</v>
      </c>
      <c r="V2424">
        <v>-0.12498819999999999</v>
      </c>
      <c r="W2424">
        <v>0.19566639999999999</v>
      </c>
      <c r="X2424">
        <v>0.97267289999999995</v>
      </c>
      <c r="Y2424">
        <v>5.9146499999999998E-2</v>
      </c>
      <c r="Z2424">
        <v>-1.0449910000000001E-3</v>
      </c>
      <c r="AA2424">
        <v>0.99824880000000005</v>
      </c>
      <c r="AB2424">
        <v>30</v>
      </c>
      <c r="AC2424">
        <v>-116.221999999999</v>
      </c>
      <c r="AD2424">
        <v>5.8970880000000001</v>
      </c>
      <c r="AE2424">
        <v>7.2072000000000003</v>
      </c>
      <c r="AF2424">
        <v>6.8863118302814499</v>
      </c>
      <c r="AG2424">
        <v>5.8970880000000001</v>
      </c>
      <c r="AH2424">
        <v>115.943051036675</v>
      </c>
      <c r="AI2424">
        <v>87.093448095346304</v>
      </c>
      <c r="AJ2424">
        <v>86.600972378884506</v>
      </c>
      <c r="AK2424">
        <v>116.29698199521999</v>
      </c>
      <c r="AL2424">
        <v>78.716344327507301</v>
      </c>
      <c r="AM2424">
        <v>97.322365110472504</v>
      </c>
      <c r="AN2424">
        <v>0.99999998031130399</v>
      </c>
    </row>
    <row r="2425" spans="1:40" x14ac:dyDescent="0.25">
      <c r="A2425" t="str">
        <f>"20190304155104528"</f>
        <v>20190304155104528</v>
      </c>
      <c r="B2425" t="str">
        <f>"1551685864518650"</f>
        <v>1551685864518650</v>
      </c>
      <c r="C2425" t="s">
        <v>40</v>
      </c>
      <c r="D2425">
        <v>4.462555</v>
      </c>
      <c r="E2425">
        <v>0.56896040000000003</v>
      </c>
      <c r="F2425" t="s">
        <v>76</v>
      </c>
      <c r="G2425">
        <v>-512.59950000000003</v>
      </c>
      <c r="H2425">
        <v>7.1533249999999997</v>
      </c>
      <c r="I2425">
        <v>292.75510000000003</v>
      </c>
      <c r="J2425">
        <v>-394.01280000000003</v>
      </c>
      <c r="K2425">
        <v>1.110179</v>
      </c>
      <c r="L2425">
        <v>285.5917</v>
      </c>
      <c r="M2425">
        <v>-0.99994769999999999</v>
      </c>
      <c r="N2425">
        <v>-9.9025629999999996E-3</v>
      </c>
      <c r="O2425">
        <v>2.5494340000000002E-3</v>
      </c>
      <c r="P2425">
        <v>-0.97483679999999995</v>
      </c>
      <c r="Q2425">
        <v>0.18650729999999999</v>
      </c>
      <c r="R2425">
        <v>-0.1220987</v>
      </c>
      <c r="S2425">
        <v>-3.0706790000000002</v>
      </c>
      <c r="T2425">
        <v>0.156267299999999</v>
      </c>
      <c r="U2425">
        <v>0.18524170000000001</v>
      </c>
      <c r="V2425">
        <v>-0.12461940000000001</v>
      </c>
      <c r="W2425">
        <v>0.19612560000000001</v>
      </c>
      <c r="X2425">
        <v>0.97262780000000004</v>
      </c>
      <c r="Y2425">
        <v>5.7616290000000001E-2</v>
      </c>
      <c r="Z2425">
        <v>-1.023344E-3</v>
      </c>
      <c r="AA2425">
        <v>0.99833830000000001</v>
      </c>
      <c r="AB2425">
        <v>30</v>
      </c>
      <c r="AC2425">
        <v>-118.58669999999999</v>
      </c>
      <c r="AD2425">
        <v>6.0431460000000001</v>
      </c>
      <c r="AE2425">
        <v>7.1634000000000198</v>
      </c>
      <c r="AF2425">
        <v>6.84332614214998</v>
      </c>
      <c r="AG2425">
        <v>6.0431460000000001</v>
      </c>
      <c r="AH2425">
        <v>118.298486381141</v>
      </c>
      <c r="AI2425">
        <v>87.080523414735794</v>
      </c>
      <c r="AJ2425">
        <v>86.689245753472406</v>
      </c>
      <c r="AK2425">
        <v>118.65025329233001</v>
      </c>
      <c r="AL2425">
        <v>78.689514965742106</v>
      </c>
      <c r="AM2425">
        <v>97.301327517836995</v>
      </c>
      <c r="AN2425">
        <v>1.0000000415822701</v>
      </c>
    </row>
    <row r="2426" spans="1:40" x14ac:dyDescent="0.25">
      <c r="A2426" t="str">
        <f>"20190304155104549"</f>
        <v>20190304155104549</v>
      </c>
      <c r="B2426" t="str">
        <f>"1551685864539145"</f>
        <v>1551685864539145</v>
      </c>
      <c r="C2426" t="s">
        <v>40</v>
      </c>
      <c r="D2426">
        <v>5.4990629999999996</v>
      </c>
      <c r="E2426">
        <v>0.57064919999999997</v>
      </c>
      <c r="F2426" t="s">
        <v>76</v>
      </c>
      <c r="G2426">
        <v>-512.11339999999996</v>
      </c>
      <c r="H2426">
        <v>7.263922</v>
      </c>
      <c r="I2426">
        <v>292.75510000000003</v>
      </c>
      <c r="J2426">
        <v>-394.29599999999999</v>
      </c>
      <c r="K2426">
        <v>1.1101799999999999</v>
      </c>
      <c r="L2426">
        <v>285.59230000000002</v>
      </c>
      <c r="M2426">
        <v>-0.99994799999999995</v>
      </c>
      <c r="N2426">
        <v>-9.90627E-3</v>
      </c>
      <c r="O2426">
        <v>2.4463620000000001E-3</v>
      </c>
      <c r="P2426">
        <v>-0.97471319999999995</v>
      </c>
      <c r="Q2426">
        <v>0.18685550000000001</v>
      </c>
      <c r="R2426">
        <v>-0.122553</v>
      </c>
      <c r="S2426">
        <v>-3.0701290000000001</v>
      </c>
      <c r="T2426">
        <v>0.1599739</v>
      </c>
      <c r="U2426">
        <v>0.1862183</v>
      </c>
      <c r="V2426">
        <v>-0.1249731</v>
      </c>
      <c r="W2426">
        <v>0.1964767</v>
      </c>
      <c r="X2426">
        <v>0.97251149999999997</v>
      </c>
      <c r="Y2426">
        <v>5.8042620000000003E-2</v>
      </c>
      <c r="Z2426">
        <v>-1.0704110000000001E-3</v>
      </c>
      <c r="AA2426">
        <v>0.99831349999999996</v>
      </c>
      <c r="AB2426">
        <v>30</v>
      </c>
      <c r="AC2426">
        <v>-117.817399999999</v>
      </c>
      <c r="AD2426">
        <v>6.1537420000000003</v>
      </c>
      <c r="AE2426">
        <v>7.1627999999999998</v>
      </c>
      <c r="AF2426">
        <v>6.8559057331736</v>
      </c>
      <c r="AG2426">
        <v>6.1537420000000003</v>
      </c>
      <c r="AH2426">
        <v>117.515158990104</v>
      </c>
      <c r="AI2426">
        <v>87.007493938694196</v>
      </c>
      <c r="AJ2426">
        <v>86.661114106681097</v>
      </c>
      <c r="AK2426">
        <v>117.875716653152</v>
      </c>
      <c r="AL2426">
        <v>78.668998705557101</v>
      </c>
      <c r="AM2426">
        <v>97.322691986420395</v>
      </c>
      <c r="AN2426">
        <v>0.99999999349937496</v>
      </c>
    </row>
    <row r="2427" spans="1:40" x14ac:dyDescent="0.25">
      <c r="A2427" t="str">
        <f>"20190304155104570"</f>
        <v>20190304155104570</v>
      </c>
      <c r="B2427" t="str">
        <f>"1551685864558666"</f>
        <v>1551685864558666</v>
      </c>
      <c r="C2427" t="s">
        <v>40</v>
      </c>
      <c r="D2427">
        <v>4.9804469999999998</v>
      </c>
      <c r="E2427">
        <v>0.56220819999999905</v>
      </c>
      <c r="F2427" t="s">
        <v>76</v>
      </c>
      <c r="G2427">
        <v>-510.0711</v>
      </c>
      <c r="H2427">
        <v>7.2430380000000003</v>
      </c>
      <c r="I2427">
        <v>293.06240000000003</v>
      </c>
      <c r="J2427">
        <v>-394.57859999999999</v>
      </c>
      <c r="K2427">
        <v>1.110174</v>
      </c>
      <c r="L2427">
        <v>285.59289999999999</v>
      </c>
      <c r="M2427">
        <v>-0.99994830000000001</v>
      </c>
      <c r="N2427">
        <v>-9.9099779999999998E-3</v>
      </c>
      <c r="O2427">
        <v>2.3434670000000001E-3</v>
      </c>
      <c r="P2427">
        <v>-0.97483629999999999</v>
      </c>
      <c r="Q2427">
        <v>0.1856073</v>
      </c>
      <c r="R2427">
        <v>-0.1234692</v>
      </c>
      <c r="S2427">
        <v>-3.0715330000000001</v>
      </c>
      <c r="T2427">
        <v>0.16270770000000001</v>
      </c>
      <c r="U2427">
        <v>0.1981812</v>
      </c>
      <c r="V2427">
        <v>-0.12578909999999999</v>
      </c>
      <c r="W2427">
        <v>0.19523289999999999</v>
      </c>
      <c r="X2427">
        <v>0.97265679999999999</v>
      </c>
      <c r="Y2427">
        <v>6.1983440000000001E-2</v>
      </c>
      <c r="Z2427">
        <v>-1.1841359999999999E-3</v>
      </c>
      <c r="AA2427">
        <v>0.99807650000000003</v>
      </c>
      <c r="AB2427">
        <v>30</v>
      </c>
      <c r="AC2427">
        <v>-115.49250000000001</v>
      </c>
      <c r="AD2427">
        <v>6.1328639999999996</v>
      </c>
      <c r="AE2427">
        <v>7.4695000000000302</v>
      </c>
      <c r="AF2427">
        <v>7.1786552842179097</v>
      </c>
      <c r="AG2427">
        <v>6.1328639999999996</v>
      </c>
      <c r="AH2427">
        <v>115.18623841991</v>
      </c>
      <c r="AI2427">
        <v>86.958167484174894</v>
      </c>
      <c r="AJ2427">
        <v>86.433815519574907</v>
      </c>
      <c r="AK2427">
        <v>115.57255138596</v>
      </c>
      <c r="AL2427">
        <v>78.741670911442696</v>
      </c>
      <c r="AM2427">
        <v>97.368891965603794</v>
      </c>
      <c r="AN2427">
        <v>1.00000001675372</v>
      </c>
    </row>
    <row r="2428" spans="1:40" x14ac:dyDescent="0.25">
      <c r="A2428" t="str">
        <f>"20190304155104592"</f>
        <v>20190304155104592</v>
      </c>
      <c r="B2428" t="str">
        <f>"1551685864588922"</f>
        <v>1551685864588922</v>
      </c>
      <c r="C2428" t="s">
        <v>40</v>
      </c>
      <c r="D2428">
        <v>5.4729269999999897</v>
      </c>
      <c r="E2428">
        <v>0.55713840000000003</v>
      </c>
      <c r="F2428" t="s">
        <v>70</v>
      </c>
      <c r="G2428">
        <v>-444.60419999999999</v>
      </c>
      <c r="H2428" s="1">
        <v>7.7755480000000002E-7</v>
      </c>
      <c r="I2428">
        <v>287.72269999999997</v>
      </c>
      <c r="J2428">
        <v>-394.87560000000002</v>
      </c>
      <c r="K2428">
        <v>1.110166</v>
      </c>
      <c r="L2428">
        <v>285.59350000000001</v>
      </c>
      <c r="M2428">
        <v>-0.99994839999999996</v>
      </c>
      <c r="N2428">
        <v>-9.9138620000000007E-3</v>
      </c>
      <c r="O2428">
        <v>2.2353260000000002E-3</v>
      </c>
      <c r="P2428">
        <v>-0.97501499999999997</v>
      </c>
      <c r="Q2428">
        <v>0.18379010000000001</v>
      </c>
      <c r="R2428">
        <v>-0.1247688</v>
      </c>
      <c r="S2428">
        <v>-3.1073</v>
      </c>
      <c r="T2428">
        <v>-6.8957569999999996E-2</v>
      </c>
      <c r="U2428">
        <v>0.13229369999999999</v>
      </c>
      <c r="V2428">
        <v>-0.12698329999999999</v>
      </c>
      <c r="W2428">
        <v>0.1934218</v>
      </c>
      <c r="X2428">
        <v>0.97286340000000004</v>
      </c>
      <c r="Y2428">
        <v>4.0288909999999997E-2</v>
      </c>
      <c r="Z2428">
        <v>6.1920360000000002E-4</v>
      </c>
      <c r="AA2428">
        <v>0.99918790000000002</v>
      </c>
      <c r="AB2428">
        <v>30</v>
      </c>
      <c r="AC2428">
        <v>-49.728599999999901</v>
      </c>
      <c r="AD2428">
        <v>-1.1101652224452001</v>
      </c>
      <c r="AE2428">
        <v>2.12919999999996</v>
      </c>
      <c r="AF2428">
        <v>2.0170261780824101</v>
      </c>
      <c r="AG2428">
        <v>-1.1101652224452001</v>
      </c>
      <c r="AH2428">
        <v>49.708506922689402</v>
      </c>
      <c r="AI2428">
        <v>91.278351310352207</v>
      </c>
      <c r="AJ2428">
        <v>87.6763791581497</v>
      </c>
      <c r="AK2428">
        <v>49.761797816269201</v>
      </c>
      <c r="AL2428">
        <v>78.847455427084398</v>
      </c>
      <c r="AM2428">
        <v>97.436508161838205</v>
      </c>
      <c r="AN2428">
        <v>0.99999997312684397</v>
      </c>
    </row>
    <row r="2429" spans="1:40" x14ac:dyDescent="0.25">
      <c r="A2429" t="str">
        <f>"20190304155104604"</f>
        <v>20190304155104604</v>
      </c>
      <c r="B2429" t="str">
        <f>"1551685864598682"</f>
        <v>1551685864598682</v>
      </c>
      <c r="C2429" t="s">
        <v>40</v>
      </c>
      <c r="D2429">
        <v>4.946618</v>
      </c>
      <c r="E2429">
        <v>0.56192549999999997</v>
      </c>
      <c r="F2429" t="s">
        <v>72</v>
      </c>
      <c r="G2429">
        <v>-426.84</v>
      </c>
      <c r="H2429" s="1">
        <v>2.5857629999999999E-6</v>
      </c>
      <c r="I2429">
        <v>286.50979999999998</v>
      </c>
      <c r="J2429">
        <v>-395.03930000000003</v>
      </c>
      <c r="K2429">
        <v>1.110158</v>
      </c>
      <c r="L2429">
        <v>285.59379999999999</v>
      </c>
      <c r="M2429">
        <v>-0.99994859999999997</v>
      </c>
      <c r="N2429">
        <v>-9.9160020000000001E-3</v>
      </c>
      <c r="O2429">
        <v>2.1760070000000002E-3</v>
      </c>
      <c r="P2429">
        <v>-0.97496879999999997</v>
      </c>
      <c r="Q2429">
        <v>0.18352850000000001</v>
      </c>
      <c r="R2429">
        <v>-0.12551199999999901</v>
      </c>
      <c r="S2429">
        <v>-3.108673</v>
      </c>
      <c r="T2429">
        <v>-0.10796799999999999</v>
      </c>
      <c r="U2429">
        <v>8.9111330000000002E-2</v>
      </c>
      <c r="V2429">
        <v>-0.1276687</v>
      </c>
      <c r="W2429">
        <v>0.19316120000000001</v>
      </c>
      <c r="X2429">
        <v>0.97282550000000001</v>
      </c>
      <c r="Y2429">
        <v>2.6458499999999999E-2</v>
      </c>
      <c r="Z2429">
        <v>5.3652979999999995E-4</v>
      </c>
      <c r="AA2429">
        <v>0.99964980000000003</v>
      </c>
      <c r="AB2429">
        <v>30</v>
      </c>
      <c r="AC2429">
        <v>-31.8006999999999</v>
      </c>
      <c r="AD2429">
        <v>-1.110155414237</v>
      </c>
      <c r="AE2429">
        <v>0.91599999999999604</v>
      </c>
      <c r="AF2429">
        <v>0.84576601783517802</v>
      </c>
      <c r="AG2429">
        <v>-1.110155414237</v>
      </c>
      <c r="AH2429">
        <v>31.763939634857302</v>
      </c>
      <c r="AI2429">
        <v>92.000974436287507</v>
      </c>
      <c r="AJ2429">
        <v>88.474768034111406</v>
      </c>
      <c r="AK2429">
        <v>31.794584858550099</v>
      </c>
      <c r="AL2429">
        <v>78.862674004312694</v>
      </c>
      <c r="AM2429">
        <v>97.476482267684503</v>
      </c>
      <c r="AN2429">
        <v>0.99999999979769005</v>
      </c>
    </row>
    <row r="2430" spans="1:40" x14ac:dyDescent="0.25">
      <c r="A2430" t="str">
        <f>"20190304155104626"</f>
        <v>20190304155104626</v>
      </c>
      <c r="B2430" t="str">
        <f>"1551685864619177"</f>
        <v>1551685864619177</v>
      </c>
      <c r="C2430" t="s">
        <v>40</v>
      </c>
      <c r="D2430">
        <v>5.5012270000000001</v>
      </c>
      <c r="E2430">
        <v>0.5621642</v>
      </c>
      <c r="F2430" t="s">
        <v>70</v>
      </c>
      <c r="G2430">
        <v>-445.63659999999999</v>
      </c>
      <c r="H2430" s="1">
        <v>1.3316910000000001E-6</v>
      </c>
      <c r="I2430">
        <v>287.61380000000003</v>
      </c>
      <c r="J2430">
        <v>-395.32549999999998</v>
      </c>
      <c r="K2430">
        <v>1.1101529999999999</v>
      </c>
      <c r="L2430">
        <v>285.59440000000001</v>
      </c>
      <c r="M2430">
        <v>-0.99994859999999997</v>
      </c>
      <c r="N2430">
        <v>-9.9197230000000001E-3</v>
      </c>
      <c r="O2430">
        <v>2.072749E-3</v>
      </c>
      <c r="P2430">
        <v>-0.97500679999999995</v>
      </c>
      <c r="Q2430">
        <v>0.18271670000000001</v>
      </c>
      <c r="R2430">
        <v>-0.1263975</v>
      </c>
      <c r="S2430">
        <v>-3.1058349999999999</v>
      </c>
      <c r="T2430">
        <v>-6.8145280000000003E-2</v>
      </c>
      <c r="U2430">
        <v>0.1239929</v>
      </c>
      <c r="V2430">
        <v>-0.1284534</v>
      </c>
      <c r="W2430">
        <v>0.1923531</v>
      </c>
      <c r="X2430">
        <v>0.97288229999999998</v>
      </c>
      <c r="Y2430">
        <v>3.780646E-2</v>
      </c>
      <c r="Z2430">
        <v>5.7726670000000002E-4</v>
      </c>
      <c r="AA2430">
        <v>0.99928490000000003</v>
      </c>
      <c r="AB2430">
        <v>30</v>
      </c>
      <c r="AC2430">
        <v>-50.311100000000003</v>
      </c>
      <c r="AD2430">
        <v>-1.110151668309</v>
      </c>
      <c r="AE2430">
        <v>2.0194000000000099</v>
      </c>
      <c r="AF2430">
        <v>1.9141777349788001</v>
      </c>
      <c r="AG2430">
        <v>-1.110151668309</v>
      </c>
      <c r="AH2430">
        <v>50.290730814580698</v>
      </c>
      <c r="AI2430">
        <v>91.263665750691004</v>
      </c>
      <c r="AJ2430">
        <v>87.820246659680905</v>
      </c>
      <c r="AK2430">
        <v>50.339389338691397</v>
      </c>
      <c r="AL2430">
        <v>78.909859402585695</v>
      </c>
      <c r="AM2430">
        <v>97.521476815370605</v>
      </c>
      <c r="AN2430">
        <v>0.99999998035222903</v>
      </c>
    </row>
    <row r="2431" spans="1:40" x14ac:dyDescent="0.25">
      <c r="A2431" t="str">
        <f>"20190304155104648"</f>
        <v>20190304155104648</v>
      </c>
      <c r="B2431" t="str">
        <f>"1551685864638701"</f>
        <v>1551685864638701</v>
      </c>
      <c r="C2431" t="s">
        <v>40</v>
      </c>
      <c r="D2431">
        <v>4.9938820000000002</v>
      </c>
      <c r="E2431">
        <v>0.5642161</v>
      </c>
      <c r="F2431" t="s">
        <v>70</v>
      </c>
      <c r="G2431">
        <v>-442.45330000000001</v>
      </c>
      <c r="H2431" s="1">
        <v>-3.55582799999999E-7</v>
      </c>
      <c r="I2431">
        <v>287.46100000000001</v>
      </c>
      <c r="J2431">
        <v>-395.62540000000001</v>
      </c>
      <c r="K2431">
        <v>1.110161</v>
      </c>
      <c r="L2431">
        <v>285.59480000000002</v>
      </c>
      <c r="M2431">
        <v>-0.99994890000000003</v>
      </c>
      <c r="N2431">
        <v>-9.923566E-3</v>
      </c>
      <c r="O2431">
        <v>1.9641289999999998E-3</v>
      </c>
      <c r="P2431">
        <v>-0.97456880000000001</v>
      </c>
      <c r="Q2431">
        <v>0.1843264</v>
      </c>
      <c r="R2431">
        <v>-0.12743589999999999</v>
      </c>
      <c r="S2431">
        <v>-3.1065670000000001</v>
      </c>
      <c r="T2431">
        <v>-7.3179010000000003E-2</v>
      </c>
      <c r="U2431">
        <v>0.1230469</v>
      </c>
      <c r="V2431">
        <v>-0.12938530000000001</v>
      </c>
      <c r="W2431">
        <v>0.19396260000000001</v>
      </c>
      <c r="X2431">
        <v>0.97243919999999995</v>
      </c>
      <c r="Y2431">
        <v>3.7600210000000002E-2</v>
      </c>
      <c r="Z2431">
        <v>6.0254349999999896E-4</v>
      </c>
      <c r="AA2431">
        <v>0.99929270000000003</v>
      </c>
      <c r="AB2431">
        <v>30</v>
      </c>
      <c r="AC2431">
        <v>-46.8279</v>
      </c>
      <c r="AD2431">
        <v>-1.1101613555828</v>
      </c>
      <c r="AE2431">
        <v>1.8661999999999901</v>
      </c>
      <c r="AF2431">
        <v>1.7732208100892399</v>
      </c>
      <c r="AG2431">
        <v>-1.1101613555828</v>
      </c>
      <c r="AH2431">
        <v>46.805210880231797</v>
      </c>
      <c r="AI2431">
        <v>91.357756161966506</v>
      </c>
      <c r="AJ2431">
        <v>87.830380396163406</v>
      </c>
      <c r="AK2431">
        <v>46.851942711265799</v>
      </c>
      <c r="AL2431">
        <v>78.8158722997495</v>
      </c>
      <c r="AM2431">
        <v>97.578823631863798</v>
      </c>
      <c r="AN2431">
        <v>1.0000000218757401</v>
      </c>
    </row>
    <row r="2432" spans="1:40" x14ac:dyDescent="0.25">
      <c r="A2432" t="str">
        <f>"20190304155104669"</f>
        <v>20190304155104669</v>
      </c>
      <c r="B2432" t="str">
        <f>"1551685864659194"</f>
        <v>1551685864659194</v>
      </c>
      <c r="C2432" t="s">
        <v>40</v>
      </c>
      <c r="D2432">
        <v>5.1249260000000003</v>
      </c>
      <c r="E2432">
        <v>0.56565869999999996</v>
      </c>
      <c r="F2432" t="s">
        <v>70</v>
      </c>
      <c r="G2432">
        <v>-450.55489999999998</v>
      </c>
      <c r="H2432" s="1">
        <v>-1.3894030000000001E-6</v>
      </c>
      <c r="I2432">
        <v>287.99979999999999</v>
      </c>
      <c r="J2432">
        <v>-395.92579999999998</v>
      </c>
      <c r="K2432">
        <v>1.1101760000000001</v>
      </c>
      <c r="L2432">
        <v>285.59530000000001</v>
      </c>
      <c r="M2432">
        <v>-0.99994899999999998</v>
      </c>
      <c r="N2432">
        <v>-9.9273179999999992E-3</v>
      </c>
      <c r="O2432">
        <v>1.855333E-3</v>
      </c>
      <c r="P2432">
        <v>-0.97406230000000005</v>
      </c>
      <c r="Q2432">
        <v>0.18669740000000001</v>
      </c>
      <c r="R2432">
        <v>-0.12785489999999999</v>
      </c>
      <c r="S2432">
        <v>-3.107971</v>
      </c>
      <c r="T2432">
        <v>-6.2814239999999993E-2</v>
      </c>
      <c r="U2432">
        <v>0.1360779</v>
      </c>
      <c r="V2432">
        <v>-0.12969849999999999</v>
      </c>
      <c r="W2432">
        <v>0.19633129999999999</v>
      </c>
      <c r="X2432">
        <v>0.97192199999999995</v>
      </c>
      <c r="Y2432">
        <v>4.1875240000000001E-2</v>
      </c>
      <c r="Z2432">
        <v>6.1184260000000002E-4</v>
      </c>
      <c r="AA2432">
        <v>0.99912270000000003</v>
      </c>
      <c r="AB2432">
        <v>30</v>
      </c>
      <c r="AC2432">
        <v>-54.629100000000001</v>
      </c>
      <c r="AD2432">
        <v>-1.110177389403</v>
      </c>
      <c r="AE2432">
        <v>2.4044999999999801</v>
      </c>
      <c r="AF2432">
        <v>2.3021867588034399</v>
      </c>
      <c r="AG2432">
        <v>-1.110177389403</v>
      </c>
      <c r="AH2432">
        <v>54.6109573138828</v>
      </c>
      <c r="AI2432">
        <v>91.163563135543896</v>
      </c>
      <c r="AJ2432">
        <v>87.586060812386805</v>
      </c>
      <c r="AK2432">
        <v>54.670734551925399</v>
      </c>
      <c r="AL2432">
        <v>78.677495379978694</v>
      </c>
      <c r="AM2432">
        <v>97.600950904893196</v>
      </c>
      <c r="AN2432">
        <v>1.0000000271729601</v>
      </c>
    </row>
    <row r="2433" spans="1:40" x14ac:dyDescent="0.25">
      <c r="A2433" t="str">
        <f>"20190304155104692"</f>
        <v>20190304155104692</v>
      </c>
      <c r="B2433" t="str">
        <f>"1551685864689451"</f>
        <v>1551685864689451</v>
      </c>
      <c r="C2433" t="s">
        <v>40</v>
      </c>
      <c r="D2433">
        <v>5.2037120000000003</v>
      </c>
      <c r="E2433">
        <v>0.50579629999999998</v>
      </c>
      <c r="F2433" t="s">
        <v>70</v>
      </c>
      <c r="G2433">
        <v>-453.97140000000002</v>
      </c>
      <c r="H2433" s="1">
        <v>4.1486029999999997E-7</v>
      </c>
      <c r="I2433">
        <v>288.3159</v>
      </c>
      <c r="J2433">
        <v>-396.21870000000001</v>
      </c>
      <c r="K2433">
        <v>1.1101799999999999</v>
      </c>
      <c r="L2433">
        <v>285.59570000000002</v>
      </c>
      <c r="M2433">
        <v>-0.99994930000000004</v>
      </c>
      <c r="N2433">
        <v>-9.9309419999999999E-3</v>
      </c>
      <c r="O2433">
        <v>1.748685E-3</v>
      </c>
      <c r="P2433">
        <v>-0.97407840000000001</v>
      </c>
      <c r="Q2433">
        <v>0.1864661</v>
      </c>
      <c r="R2433">
        <v>-0.1280694</v>
      </c>
      <c r="S2433">
        <v>-3.1104430000000001</v>
      </c>
      <c r="T2433">
        <v>-5.9490080000000001E-2</v>
      </c>
      <c r="U2433">
        <v>0.14578250000000001</v>
      </c>
      <c r="V2433">
        <v>-0.1298088</v>
      </c>
      <c r="W2433">
        <v>0.1961041</v>
      </c>
      <c r="X2433">
        <v>0.97195319999999996</v>
      </c>
      <c r="Y2433">
        <v>4.5057970000000003E-2</v>
      </c>
      <c r="Z2433">
        <v>6.3843829999999996E-4</v>
      </c>
      <c r="AA2433">
        <v>0.99898419999999999</v>
      </c>
      <c r="AB2433">
        <v>30</v>
      </c>
      <c r="AC2433">
        <v>-57.752699999999997</v>
      </c>
      <c r="AD2433">
        <v>-1.1101795851397001</v>
      </c>
      <c r="AE2433">
        <v>2.72019999999997</v>
      </c>
      <c r="AF2433">
        <v>2.6182342371982301</v>
      </c>
      <c r="AG2433">
        <v>-1.1101795851397001</v>
      </c>
      <c r="AH2433">
        <v>57.736081093225103</v>
      </c>
      <c r="AI2433">
        <v>91.100446826664097</v>
      </c>
      <c r="AJ2433">
        <v>87.403511591295597</v>
      </c>
      <c r="AK2433">
        <v>57.806078479996998</v>
      </c>
      <c r="AL2433">
        <v>78.690771692440194</v>
      </c>
      <c r="AM2433">
        <v>97.607098002640697</v>
      </c>
      <c r="AN2433">
        <v>1.00000008279224</v>
      </c>
    </row>
    <row r="2434" spans="1:40" x14ac:dyDescent="0.25">
      <c r="A2434" t="str">
        <f>"20190304155104715"</f>
        <v>20190304155104715</v>
      </c>
      <c r="B2434" t="str">
        <f>"1551685864708970"</f>
        <v>1551685864708970</v>
      </c>
      <c r="C2434" t="s">
        <v>40</v>
      </c>
      <c r="D2434">
        <v>4.8926499999999997</v>
      </c>
      <c r="E2434">
        <v>0.50228519999999999</v>
      </c>
      <c r="F2434" t="s">
        <v>75</v>
      </c>
      <c r="G2434">
        <v>-511.07560000000001</v>
      </c>
      <c r="H2434">
        <v>5.5618990000000004</v>
      </c>
      <c r="I2434">
        <v>272.97620000000001</v>
      </c>
      <c r="J2434">
        <v>-396.53609999999998</v>
      </c>
      <c r="K2434">
        <v>1.110182</v>
      </c>
      <c r="L2434">
        <v>285.59620000000001</v>
      </c>
      <c r="M2434">
        <v>-0.99994939999999999</v>
      </c>
      <c r="N2434">
        <v>-9.9348649999999993E-3</v>
      </c>
      <c r="O2434">
        <v>1.6332720000000001E-3</v>
      </c>
      <c r="P2434">
        <v>-0.97412460000000001</v>
      </c>
      <c r="Q2434">
        <v>0.1860861</v>
      </c>
      <c r="R2434">
        <v>-0.12827089999999999</v>
      </c>
      <c r="S2434">
        <v>-3.0139469999999999</v>
      </c>
      <c r="T2434">
        <v>0.1168189</v>
      </c>
      <c r="U2434">
        <v>-0.3311462</v>
      </c>
      <c r="V2434">
        <v>-0.1298985</v>
      </c>
      <c r="W2434">
        <v>0.1957286</v>
      </c>
      <c r="X2434">
        <v>0.97201680000000001</v>
      </c>
      <c r="Y2434">
        <v>-0.1107747</v>
      </c>
      <c r="Z2434">
        <v>1.6667279999999999E-3</v>
      </c>
      <c r="AA2434">
        <v>0.99384419999999996</v>
      </c>
      <c r="AB2434">
        <v>30</v>
      </c>
      <c r="AC2434">
        <v>-114.5395</v>
      </c>
      <c r="AD2434">
        <v>4.4517170000000004</v>
      </c>
      <c r="AE2434">
        <v>-12.62</v>
      </c>
      <c r="AF2434">
        <v>-12.787980930911701</v>
      </c>
      <c r="AG2434">
        <v>4.4517170000000004</v>
      </c>
      <c r="AH2434">
        <v>114.348073841455</v>
      </c>
      <c r="AI2434">
        <v>87.784326359385403</v>
      </c>
      <c r="AJ2434">
        <v>96.381091202980201</v>
      </c>
      <c r="AK2434">
        <v>115.14700270431899</v>
      </c>
      <c r="AL2434">
        <v>78.712710285783203</v>
      </c>
      <c r="AM2434">
        <v>97.611800771977798</v>
      </c>
      <c r="AN2434">
        <v>0.999999982321225</v>
      </c>
    </row>
    <row r="2435" spans="1:40" x14ac:dyDescent="0.25">
      <c r="A2435" t="str">
        <f>"20190304155104738"</f>
        <v>20190304155104738</v>
      </c>
      <c r="B2435" t="str">
        <f>"1551685864728489"</f>
        <v>1551685864728489</v>
      </c>
      <c r="C2435" t="s">
        <v>40</v>
      </c>
      <c r="D2435">
        <v>5.1405640000000004</v>
      </c>
      <c r="E2435">
        <v>0.50198449999999994</v>
      </c>
      <c r="F2435" t="s">
        <v>75</v>
      </c>
      <c r="G2435">
        <v>-512.82640000000004</v>
      </c>
      <c r="H2435">
        <v>3.6022609999999999</v>
      </c>
      <c r="I2435">
        <v>271.77710000000002</v>
      </c>
      <c r="J2435">
        <v>-396.83949999999999</v>
      </c>
      <c r="K2435">
        <v>1.110182</v>
      </c>
      <c r="L2435">
        <v>285.59660000000002</v>
      </c>
      <c r="M2435">
        <v>-0.99994959999999999</v>
      </c>
      <c r="N2435">
        <v>-9.9386479999999996E-3</v>
      </c>
      <c r="O2435">
        <v>1.5229239999999999E-3</v>
      </c>
      <c r="P2435">
        <v>-0.9741455</v>
      </c>
      <c r="Q2435">
        <v>0.18633</v>
      </c>
      <c r="R2435">
        <v>-0.12775739999999999</v>
      </c>
      <c r="S2435">
        <v>-3.020111</v>
      </c>
      <c r="T2435">
        <v>6.4722420000000003E-2</v>
      </c>
      <c r="U2435">
        <v>-0.3588867</v>
      </c>
      <c r="V2435">
        <v>-0.12927730000000001</v>
      </c>
      <c r="W2435">
        <v>0.1959764</v>
      </c>
      <c r="X2435">
        <v>0.97204970000000002</v>
      </c>
      <c r="Y2435">
        <v>-0.1194992</v>
      </c>
      <c r="Z2435">
        <v>7.274661E-4</v>
      </c>
      <c r="AA2435">
        <v>0.99283399999999999</v>
      </c>
      <c r="AB2435">
        <v>30</v>
      </c>
      <c r="AC2435">
        <v>-115.98690000000001</v>
      </c>
      <c r="AD2435">
        <v>2.4920789999999999</v>
      </c>
      <c r="AE2435">
        <v>-13.8195</v>
      </c>
      <c r="AF2435">
        <v>-13.9897640341712</v>
      </c>
      <c r="AG2435">
        <v>2.4920789999999999</v>
      </c>
      <c r="AH2435">
        <v>115.91295705891</v>
      </c>
      <c r="AI2435">
        <v>88.777225872532497</v>
      </c>
      <c r="AJ2435">
        <v>96.881854793911003</v>
      </c>
      <c r="AK2435">
        <v>116.780724306774</v>
      </c>
      <c r="AL2435">
        <v>78.698232134577495</v>
      </c>
      <c r="AM2435">
        <v>97.575570002000404</v>
      </c>
      <c r="AN2435">
        <v>0.99999999446117005</v>
      </c>
    </row>
    <row r="2436" spans="1:40" x14ac:dyDescent="0.25">
      <c r="A2436" t="str">
        <f>"20190304155104760"</f>
        <v>20190304155104760</v>
      </c>
      <c r="B2436" t="str">
        <f>"1551685864748985"</f>
        <v>1551685864748985</v>
      </c>
      <c r="C2436" t="s">
        <v>40</v>
      </c>
      <c r="D2436">
        <v>5.1788829999999999</v>
      </c>
      <c r="E2436">
        <v>0.501444</v>
      </c>
      <c r="F2436" t="s">
        <v>75</v>
      </c>
      <c r="G2436">
        <v>-512.82600000000002</v>
      </c>
      <c r="H2436">
        <v>2.7320570000000002</v>
      </c>
      <c r="I2436">
        <v>271.82760000000002</v>
      </c>
      <c r="J2436">
        <v>-397.14330000000001</v>
      </c>
      <c r="K2436">
        <v>1.110182</v>
      </c>
      <c r="L2436">
        <v>285.59690000000001</v>
      </c>
      <c r="M2436">
        <v>-0.99994959999999999</v>
      </c>
      <c r="N2436">
        <v>-9.9482259999999993E-3</v>
      </c>
      <c r="O2436">
        <v>1.413021E-3</v>
      </c>
      <c r="P2436">
        <v>-0.97410209999999997</v>
      </c>
      <c r="Q2436">
        <v>0.18687290000000001</v>
      </c>
      <c r="R2436">
        <v>-0.1272942</v>
      </c>
      <c r="S2436">
        <v>-3.0244749999999998</v>
      </c>
      <c r="T2436">
        <v>4.2294140000000001E-2</v>
      </c>
      <c r="U2436">
        <v>-0.35903930000000001</v>
      </c>
      <c r="V2436">
        <v>-0.12870709999999999</v>
      </c>
      <c r="W2436">
        <v>0.19652810000000001</v>
      </c>
      <c r="X2436">
        <v>0.97201400000000004</v>
      </c>
      <c r="Y2436">
        <v>-0.119283</v>
      </c>
      <c r="Z2436">
        <v>2.693374E-4</v>
      </c>
      <c r="AA2436">
        <v>0.99286030000000003</v>
      </c>
      <c r="AB2436">
        <v>30</v>
      </c>
      <c r="AC2436">
        <v>-115.6827</v>
      </c>
      <c r="AD2436">
        <v>1.621875</v>
      </c>
      <c r="AE2436">
        <v>-13.7692999999999</v>
      </c>
      <c r="AF2436">
        <v>-13.9300565529221</v>
      </c>
      <c r="AG2436">
        <v>1.621875</v>
      </c>
      <c r="AH2436">
        <v>115.640714276019</v>
      </c>
      <c r="AI2436">
        <v>89.202238829763004</v>
      </c>
      <c r="AJ2436">
        <v>96.868742249301306</v>
      </c>
      <c r="AK2436">
        <v>116.487989734354</v>
      </c>
      <c r="AL2436">
        <v>78.665995377764801</v>
      </c>
      <c r="AM2436">
        <v>97.542815994839899</v>
      </c>
      <c r="AN2436">
        <v>1.0000000139380101</v>
      </c>
    </row>
    <row r="2437" spans="1:40" x14ac:dyDescent="0.25">
      <c r="A2437" t="str">
        <f>"20190304155104782"</f>
        <v>20190304155104782</v>
      </c>
      <c r="B2437" t="str">
        <f>"1551685864779242"</f>
        <v>1551685864779242</v>
      </c>
      <c r="C2437" t="s">
        <v>40</v>
      </c>
      <c r="D2437">
        <v>4.3991040000000003</v>
      </c>
      <c r="E2437">
        <v>0.4999268</v>
      </c>
      <c r="F2437" t="s">
        <v>75</v>
      </c>
      <c r="G2437">
        <v>-512.82569999999998</v>
      </c>
      <c r="H2437">
        <v>1.8540559999999999</v>
      </c>
      <c r="I2437">
        <v>271.80680000000001</v>
      </c>
      <c r="J2437">
        <v>-397.43880000000001</v>
      </c>
      <c r="K2437">
        <v>1.1101920000000001</v>
      </c>
      <c r="L2437">
        <v>285.59719999999999</v>
      </c>
      <c r="M2437">
        <v>-0.99994950000000005</v>
      </c>
      <c r="N2437">
        <v>-9.9667149999999993E-3</v>
      </c>
      <c r="O2437">
        <v>1.306471E-3</v>
      </c>
      <c r="P2437">
        <v>-0.9738909</v>
      </c>
      <c r="Q2437">
        <v>0.1883032</v>
      </c>
      <c r="R2437">
        <v>-0.126799</v>
      </c>
      <c r="S2437">
        <v>-3.0288089999999999</v>
      </c>
      <c r="T2437">
        <v>1.9478200000000001E-2</v>
      </c>
      <c r="U2437">
        <v>-0.36105350000000003</v>
      </c>
      <c r="V2437">
        <v>-0.1281091</v>
      </c>
      <c r="W2437">
        <v>0.19797500000000001</v>
      </c>
      <c r="X2437">
        <v>0.97179939999999998</v>
      </c>
      <c r="Y2437">
        <v>-0.1196668</v>
      </c>
      <c r="Z2437">
        <v>-1.9368409999999999E-4</v>
      </c>
      <c r="AA2437">
        <v>0.99281410000000003</v>
      </c>
      <c r="AB2437">
        <v>30</v>
      </c>
      <c r="AC2437">
        <v>-115.386899999999</v>
      </c>
      <c r="AD2437">
        <v>0.74386399999999997</v>
      </c>
      <c r="AE2437">
        <v>-13.790399999999901</v>
      </c>
      <c r="AF2437">
        <v>-13.940574143517001</v>
      </c>
      <c r="AG2437">
        <v>0.74386399999999997</v>
      </c>
      <c r="AH2437">
        <v>115.364056867952</v>
      </c>
      <c r="AI2437">
        <v>89.633231687264797</v>
      </c>
      <c r="AJ2437">
        <v>96.890204880805797</v>
      </c>
      <c r="AK2437">
        <v>116.205673519556</v>
      </c>
      <c r="AL2437">
        <v>78.581433206158493</v>
      </c>
      <c r="AM2437">
        <v>97.509810331997102</v>
      </c>
      <c r="AN2437">
        <v>1.00000005798408</v>
      </c>
    </row>
    <row r="2438" spans="1:40" x14ac:dyDescent="0.25">
      <c r="A2438" t="str">
        <f>"20190304155104804"</f>
        <v>20190304155104804</v>
      </c>
      <c r="B2438" t="str">
        <f>"1551685864798765"</f>
        <v>1551685864798765</v>
      </c>
      <c r="C2438" t="s">
        <v>40</v>
      </c>
      <c r="D2438">
        <v>5.2257759999999998</v>
      </c>
      <c r="E2438">
        <v>0.49949739999999998</v>
      </c>
      <c r="F2438" t="s">
        <v>75</v>
      </c>
      <c r="G2438">
        <v>-512.82569999999998</v>
      </c>
      <c r="H2438">
        <v>1.568408</v>
      </c>
      <c r="I2438">
        <v>271.44069999999999</v>
      </c>
      <c r="J2438">
        <v>-397.74720000000002</v>
      </c>
      <c r="K2438">
        <v>1.110195</v>
      </c>
      <c r="L2438">
        <v>285.59750000000003</v>
      </c>
      <c r="M2438">
        <v>-0.99994950000000005</v>
      </c>
      <c r="N2438">
        <v>-9.9937470000000007E-3</v>
      </c>
      <c r="O2438">
        <v>1.1948130000000001E-3</v>
      </c>
      <c r="P2438">
        <v>-0.97379740000000004</v>
      </c>
      <c r="Q2438">
        <v>0.1886697</v>
      </c>
      <c r="R2438">
        <v>-0.12697530000000001</v>
      </c>
      <c r="S2438">
        <v>-3.0296940000000001</v>
      </c>
      <c r="T2438">
        <v>1.203334E-2</v>
      </c>
      <c r="U2438">
        <v>-0.37170409999999998</v>
      </c>
      <c r="V2438">
        <v>-0.12817609999999999</v>
      </c>
      <c r="W2438">
        <v>0.1983666</v>
      </c>
      <c r="X2438">
        <v>0.97171059999999998</v>
      </c>
      <c r="Y2438">
        <v>-0.12296120000000001</v>
      </c>
      <c r="Z2438">
        <v>-3.568283E-4</v>
      </c>
      <c r="AA2438">
        <v>0.99241140000000005</v>
      </c>
      <c r="AB2438">
        <v>30</v>
      </c>
      <c r="AC2438">
        <v>-115.078499999999</v>
      </c>
      <c r="AD2438">
        <v>0.45821299999999998</v>
      </c>
      <c r="AE2438">
        <v>-14.1568</v>
      </c>
      <c r="AF2438">
        <v>-14.294070783973201</v>
      </c>
      <c r="AG2438">
        <v>0.45821299999999998</v>
      </c>
      <c r="AH2438">
        <v>115.059705285748</v>
      </c>
      <c r="AI2438">
        <v>89.773567495547198</v>
      </c>
      <c r="AJ2438">
        <v>97.081673067612996</v>
      </c>
      <c r="AK2438">
        <v>115.94509993602</v>
      </c>
      <c r="AL2438">
        <v>78.558541004359498</v>
      </c>
      <c r="AM2438">
        <v>97.514371831944899</v>
      </c>
      <c r="AN2438">
        <v>0.99999995537956399</v>
      </c>
    </row>
    <row r="2439" spans="1:40" x14ac:dyDescent="0.25">
      <c r="A2439" t="str">
        <f>"20190304155104827"</f>
        <v>20190304155104827</v>
      </c>
      <c r="B2439" t="str">
        <f>"1551685864819258"</f>
        <v>1551685864819258</v>
      </c>
      <c r="C2439" t="s">
        <v>40</v>
      </c>
      <c r="D2439">
        <v>5.1861980000000001</v>
      </c>
      <c r="E2439">
        <v>0.49925540000000002</v>
      </c>
      <c r="F2439" t="s">
        <v>75</v>
      </c>
      <c r="G2439">
        <v>-512.82560000000001</v>
      </c>
      <c r="H2439">
        <v>1.379507</v>
      </c>
      <c r="I2439">
        <v>271.31810000000002</v>
      </c>
      <c r="J2439">
        <v>-398.05689999999998</v>
      </c>
      <c r="K2439">
        <v>1.1102080000000001</v>
      </c>
      <c r="L2439">
        <v>285.59769999999997</v>
      </c>
      <c r="M2439">
        <v>-0.99994919999999998</v>
      </c>
      <c r="N2439">
        <v>-1.002952E-2</v>
      </c>
      <c r="O2439">
        <v>1.082752E-3</v>
      </c>
      <c r="P2439">
        <v>-0.97359110000000004</v>
      </c>
      <c r="Q2439">
        <v>0.18949099999999999</v>
      </c>
      <c r="R2439">
        <v>-0.12733510000000001</v>
      </c>
      <c r="S2439">
        <v>-3.0302730000000002</v>
      </c>
      <c r="T2439">
        <v>7.093668E-3</v>
      </c>
      <c r="U2439">
        <v>-0.37600709999999998</v>
      </c>
      <c r="V2439">
        <v>-0.12842680000000001</v>
      </c>
      <c r="W2439">
        <v>0.19922039999999999</v>
      </c>
      <c r="X2439">
        <v>0.9715028</v>
      </c>
      <c r="Y2439">
        <v>-0.1242147</v>
      </c>
      <c r="Z2439">
        <v>-4.6712270000000001E-4</v>
      </c>
      <c r="AA2439">
        <v>0.99225529999999995</v>
      </c>
      <c r="AB2439">
        <v>30</v>
      </c>
      <c r="AC2439">
        <v>-114.7687</v>
      </c>
      <c r="AD2439">
        <v>0.26929900000000001</v>
      </c>
      <c r="AE2439">
        <v>-14.279599999999901</v>
      </c>
      <c r="AF2439">
        <v>-14.403785812654201</v>
      </c>
      <c r="AG2439">
        <v>0.26929900000000001</v>
      </c>
      <c r="AH2439">
        <v>114.752548500632</v>
      </c>
      <c r="AI2439">
        <v>89.866586528434894</v>
      </c>
      <c r="AJ2439">
        <v>97.1543724826453</v>
      </c>
      <c r="AK2439">
        <v>115.653313636394</v>
      </c>
      <c r="AL2439">
        <v>78.508625566619699</v>
      </c>
      <c r="AM2439">
        <v>97.5304926888967</v>
      </c>
      <c r="AN2439">
        <v>0.99999995057111801</v>
      </c>
    </row>
    <row r="2440" spans="1:40" x14ac:dyDescent="0.25">
      <c r="A2440" t="str">
        <f>"20190304155104849"</f>
        <v>20190304155104849</v>
      </c>
      <c r="B2440" t="str">
        <f>"1551685864838778"</f>
        <v>1551685864838778</v>
      </c>
      <c r="C2440" t="s">
        <v>40</v>
      </c>
      <c r="D2440">
        <v>5.4066910000000004</v>
      </c>
      <c r="E2440">
        <v>0.4991546</v>
      </c>
      <c r="F2440" t="s">
        <v>75</v>
      </c>
      <c r="G2440">
        <v>-512.82560000000001</v>
      </c>
      <c r="H2440">
        <v>1.151297</v>
      </c>
      <c r="I2440">
        <v>271.2509</v>
      </c>
      <c r="J2440">
        <v>-398.35340000000002</v>
      </c>
      <c r="K2440">
        <v>1.1102209999999999</v>
      </c>
      <c r="L2440">
        <v>285.59789999999998</v>
      </c>
      <c r="M2440">
        <v>-0.99994890000000003</v>
      </c>
      <c r="N2440">
        <v>-1.0073769999999999E-2</v>
      </c>
      <c r="O2440">
        <v>9.7518020000000004E-4</v>
      </c>
      <c r="P2440">
        <v>-0.97347439999999996</v>
      </c>
      <c r="Q2440">
        <v>0.1901612</v>
      </c>
      <c r="R2440">
        <v>-0.12722710000000001</v>
      </c>
      <c r="S2440">
        <v>-3.0315859999999999</v>
      </c>
      <c r="T2440">
        <v>1.087427E-3</v>
      </c>
      <c r="U2440">
        <v>-0.37896730000000001</v>
      </c>
      <c r="V2440">
        <v>-0.1282142</v>
      </c>
      <c r="W2440">
        <v>0.19993250000000001</v>
      </c>
      <c r="X2440">
        <v>0.97138460000000004</v>
      </c>
      <c r="Y2440">
        <v>-0.1250087</v>
      </c>
      <c r="Z2440">
        <v>-5.9964260000000004E-4</v>
      </c>
      <c r="AA2440">
        <v>0.99215549999999997</v>
      </c>
      <c r="AB2440">
        <v>30</v>
      </c>
      <c r="AC2440">
        <v>-114.4722</v>
      </c>
      <c r="AD2440">
        <v>4.1076000000000099E-2</v>
      </c>
      <c r="AE2440">
        <v>-14.3469999999999</v>
      </c>
      <c r="AF2440">
        <v>-14.4586280190364</v>
      </c>
      <c r="AG2440">
        <v>4.1076000000000099E-2</v>
      </c>
      <c r="AH2440">
        <v>114.45813943609301</v>
      </c>
      <c r="AI2440">
        <v>89.979600179846003</v>
      </c>
      <c r="AJ2440">
        <v>97.199607009557994</v>
      </c>
      <c r="AK2440">
        <v>115.367756737326</v>
      </c>
      <c r="AL2440">
        <v>78.466987726324504</v>
      </c>
      <c r="AM2440">
        <v>97.519073654143597</v>
      </c>
      <c r="AN2440">
        <v>0.99999996337752395</v>
      </c>
    </row>
    <row r="2441" spans="1:40" x14ac:dyDescent="0.25">
      <c r="A2441" t="str">
        <f>"20190304155104870"</f>
        <v>20190304155104870</v>
      </c>
      <c r="B2441" t="str">
        <f>"1551685864859274"</f>
        <v>1551685864859274</v>
      </c>
      <c r="C2441" t="s">
        <v>40</v>
      </c>
      <c r="D2441">
        <v>7.6392879999999996</v>
      </c>
      <c r="E2441">
        <v>0.49908419999999998</v>
      </c>
      <c r="F2441" t="s">
        <v>75</v>
      </c>
      <c r="G2441">
        <v>-512.82560000000001</v>
      </c>
      <c r="H2441">
        <v>1.3865069999999999</v>
      </c>
      <c r="I2441">
        <v>271.23869999999999</v>
      </c>
      <c r="J2441">
        <v>-398.65350000000001</v>
      </c>
      <c r="K2441">
        <v>1.1102350000000001</v>
      </c>
      <c r="L2441">
        <v>285.59809999999999</v>
      </c>
      <c r="M2441">
        <v>-0.99994839999999996</v>
      </c>
      <c r="N2441">
        <v>-1.0126710000000001E-2</v>
      </c>
      <c r="O2441">
        <v>8.6654609999999997E-4</v>
      </c>
      <c r="P2441">
        <v>-0.97340660000000001</v>
      </c>
      <c r="Q2441">
        <v>0.18993769999999999</v>
      </c>
      <c r="R2441">
        <v>-0.1280763</v>
      </c>
      <c r="S2441">
        <v>-3.03064</v>
      </c>
      <c r="T2441">
        <v>7.3167090000000002E-3</v>
      </c>
      <c r="U2441">
        <v>-0.38015749999999998</v>
      </c>
      <c r="V2441">
        <v>-0.12895760000000001</v>
      </c>
      <c r="W2441">
        <v>0.1997601</v>
      </c>
      <c r="X2441">
        <v>0.97132169999999896</v>
      </c>
      <c r="Y2441">
        <v>-0.12532349999999901</v>
      </c>
      <c r="Z2441">
        <v>-4.7553230000000002E-4</v>
      </c>
      <c r="AA2441">
        <v>0.99211579999999999</v>
      </c>
      <c r="AB2441">
        <v>30</v>
      </c>
      <c r="AC2441">
        <v>-114.1721</v>
      </c>
      <c r="AD2441">
        <v>0.27627199999999902</v>
      </c>
      <c r="AE2441">
        <v>-14.3593999999999</v>
      </c>
      <c r="AF2441">
        <v>-14.4582517243316</v>
      </c>
      <c r="AG2441">
        <v>0.27627199999999902</v>
      </c>
      <c r="AH2441">
        <v>114.15895537683301</v>
      </c>
      <c r="AI2441">
        <v>89.862439665379895</v>
      </c>
      <c r="AJ2441">
        <v>97.218090864832405</v>
      </c>
      <c r="AK2441">
        <v>115.071214740576</v>
      </c>
      <c r="AL2441">
        <v>78.477069340906695</v>
      </c>
      <c r="AM2441">
        <v>97.562650994486802</v>
      </c>
      <c r="AN2441">
        <v>1.00000000252032</v>
      </c>
    </row>
    <row r="2442" spans="1:40" x14ac:dyDescent="0.25">
      <c r="A2442" t="str">
        <f>"20190304155104894"</f>
        <v>20190304155104894</v>
      </c>
      <c r="B2442" t="str">
        <f>"1551685864889530"</f>
        <v>1551685864889530</v>
      </c>
      <c r="C2442" t="s">
        <v>40</v>
      </c>
      <c r="D2442">
        <v>5.4587240000000001</v>
      </c>
      <c r="E2442">
        <v>0.49935629999999998</v>
      </c>
      <c r="F2442" t="s">
        <v>75</v>
      </c>
      <c r="G2442">
        <v>-512.82569999999998</v>
      </c>
      <c r="H2442">
        <v>1.521123</v>
      </c>
      <c r="I2442">
        <v>271.08800000000002</v>
      </c>
      <c r="J2442">
        <v>-398.9649</v>
      </c>
      <c r="K2442">
        <v>1.1102459999999901</v>
      </c>
      <c r="L2442">
        <v>285.59829999999999</v>
      </c>
      <c r="M2442">
        <v>-0.9999479</v>
      </c>
      <c r="N2442">
        <v>-1.0185079999999999E-2</v>
      </c>
      <c r="O2442">
        <v>7.5382940000000005E-4</v>
      </c>
      <c r="P2442">
        <v>-0.97372250000000005</v>
      </c>
      <c r="Q2442">
        <v>0.18717590000000001</v>
      </c>
      <c r="R2442">
        <v>-0.12972990000000001</v>
      </c>
      <c r="S2442">
        <v>-3.0292050000000001</v>
      </c>
      <c r="T2442">
        <v>1.090372E-2</v>
      </c>
      <c r="U2442">
        <v>-0.38497920000000002</v>
      </c>
      <c r="V2442">
        <v>-0.1305017</v>
      </c>
      <c r="W2442">
        <v>0.19705780000000001</v>
      </c>
      <c r="X2442">
        <v>0.97166739999999996</v>
      </c>
      <c r="Y2442">
        <v>-0.1268243</v>
      </c>
      <c r="Z2442">
        <v>-4.1076939999999998E-4</v>
      </c>
      <c r="AA2442">
        <v>0.9919251</v>
      </c>
      <c r="AB2442">
        <v>31</v>
      </c>
      <c r="AC2442">
        <v>-113.860799999999</v>
      </c>
      <c r="AD2442">
        <v>0.41087699999999999</v>
      </c>
      <c r="AE2442">
        <v>-14.510300000000001</v>
      </c>
      <c r="AF2442">
        <v>-14.595944913173801</v>
      </c>
      <c r="AG2442">
        <v>0.41087699999999999</v>
      </c>
      <c r="AH2442">
        <v>113.84836995536099</v>
      </c>
      <c r="AI2442">
        <v>89.7949000031157</v>
      </c>
      <c r="AJ2442">
        <v>97.305759556632097</v>
      </c>
      <c r="AK2442">
        <v>114.78092946700799</v>
      </c>
      <c r="AL2442">
        <v>78.635040359286705</v>
      </c>
      <c r="AM2442">
        <v>97.649446966677601</v>
      </c>
      <c r="AN2442">
        <v>1.0000000032332399</v>
      </c>
    </row>
    <row r="2443" spans="1:40" x14ac:dyDescent="0.25">
      <c r="A2443" t="str">
        <f>"20190304155104915"</f>
        <v>20190304155104915</v>
      </c>
      <c r="B2443" t="str">
        <f>"1551685864909049"</f>
        <v>1551685864909049</v>
      </c>
      <c r="C2443" t="s">
        <v>40</v>
      </c>
      <c r="D2443">
        <v>6.0006500000000003</v>
      </c>
      <c r="E2443">
        <v>0.49918000000000001</v>
      </c>
      <c r="F2443" t="s">
        <v>75</v>
      </c>
      <c r="G2443">
        <v>-512.82539999999995</v>
      </c>
      <c r="H2443">
        <v>0.82772349999999995</v>
      </c>
      <c r="I2443">
        <v>271.02620000000002</v>
      </c>
      <c r="J2443">
        <v>-399.26889999999997</v>
      </c>
      <c r="K2443">
        <v>1.110247</v>
      </c>
      <c r="L2443">
        <v>285.59840000000003</v>
      </c>
      <c r="M2443">
        <v>-0.99994720000000004</v>
      </c>
      <c r="N2443">
        <v>-1.024456E-2</v>
      </c>
      <c r="O2443">
        <v>6.4432249999999997E-4</v>
      </c>
      <c r="P2443">
        <v>-0.97376359999999995</v>
      </c>
      <c r="Q2443">
        <v>0.18608640000000001</v>
      </c>
      <c r="R2443">
        <v>-0.13098290000000001</v>
      </c>
      <c r="S2443">
        <v>-3.0307309999999998</v>
      </c>
      <c r="T2443">
        <v>-7.5180530000000002E-3</v>
      </c>
      <c r="U2443">
        <v>-0.38787840000000001</v>
      </c>
      <c r="V2443">
        <v>-0.13164779999999901</v>
      </c>
      <c r="W2443">
        <v>0.19602649999999999</v>
      </c>
      <c r="X2443">
        <v>0.97172139999999996</v>
      </c>
      <c r="Y2443">
        <v>-0.12758340000000001</v>
      </c>
      <c r="Z2443">
        <v>-8.0881200000000001E-4</v>
      </c>
      <c r="AA2443">
        <v>0.99182749999999997</v>
      </c>
      <c r="AB2443">
        <v>31</v>
      </c>
      <c r="AC2443">
        <v>-113.55649999999901</v>
      </c>
      <c r="AD2443">
        <v>-0.28252349999999898</v>
      </c>
      <c r="AE2443">
        <v>-14.5722</v>
      </c>
      <c r="AF2443">
        <v>-14.6452786465613</v>
      </c>
      <c r="AG2443">
        <v>-0.28252349999999898</v>
      </c>
      <c r="AH2443">
        <v>113.546395279007</v>
      </c>
      <c r="AI2443">
        <v>90.141390502455707</v>
      </c>
      <c r="AJ2443">
        <v>97.349466263974307</v>
      </c>
      <c r="AK2443">
        <v>114.487326316147</v>
      </c>
      <c r="AL2443">
        <v>78.695304964369598</v>
      </c>
      <c r="AM2443">
        <v>97.715396986405494</v>
      </c>
      <c r="AN2443">
        <v>1.00000000558252</v>
      </c>
    </row>
    <row r="2444" spans="1:40" x14ac:dyDescent="0.25">
      <c r="A2444" t="str">
        <f>"20190304155104939"</f>
        <v>20190304155104939</v>
      </c>
      <c r="B2444" t="str">
        <f>"1551685864929546"</f>
        <v>1551685864929546</v>
      </c>
      <c r="C2444" t="s">
        <v>40</v>
      </c>
      <c r="D2444">
        <v>5.5852209999999998</v>
      </c>
      <c r="E2444">
        <v>0.49904680000000001</v>
      </c>
      <c r="F2444" t="s">
        <v>75</v>
      </c>
      <c r="G2444">
        <v>-512.82539999999995</v>
      </c>
      <c r="H2444">
        <v>0.79083590000000004</v>
      </c>
      <c r="I2444">
        <v>270.87450000000001</v>
      </c>
      <c r="J2444">
        <v>-399.5797</v>
      </c>
      <c r="K2444">
        <v>1.110247</v>
      </c>
      <c r="L2444">
        <v>285.5985</v>
      </c>
      <c r="M2444">
        <v>-0.99994680000000002</v>
      </c>
      <c r="N2444">
        <v>-1.0306910000000001E-2</v>
      </c>
      <c r="O2444">
        <v>5.3241460000000003E-4</v>
      </c>
      <c r="P2444">
        <v>-0.97406150000000002</v>
      </c>
      <c r="Q2444">
        <v>0.18440400000000001</v>
      </c>
      <c r="R2444">
        <v>-0.13114629999999999</v>
      </c>
      <c r="S2444">
        <v>-3.0296020000000001</v>
      </c>
      <c r="T2444">
        <v>-8.5195300000000009E-3</v>
      </c>
      <c r="U2444">
        <v>-0.39282230000000001</v>
      </c>
      <c r="V2444">
        <v>-0.13170219999999999</v>
      </c>
      <c r="W2444">
        <v>0.19440789999999999</v>
      </c>
      <c r="X2444">
        <v>0.97203919999999999</v>
      </c>
      <c r="Y2444">
        <v>-0.12911059999999999</v>
      </c>
      <c r="Z2444">
        <v>-8.4496729999999996E-4</v>
      </c>
      <c r="AA2444">
        <v>0.99162980000000001</v>
      </c>
      <c r="AB2444">
        <v>31</v>
      </c>
      <c r="AC2444">
        <v>-113.245699999999</v>
      </c>
      <c r="AD2444">
        <v>-0.319411099999999</v>
      </c>
      <c r="AE2444">
        <v>-14.723999999999901</v>
      </c>
      <c r="AF2444">
        <v>-14.7841791187961</v>
      </c>
      <c r="AG2444">
        <v>-0.319411099999999</v>
      </c>
      <c r="AH2444">
        <v>113.236958400365</v>
      </c>
      <c r="AI2444">
        <v>90.160255538565195</v>
      </c>
      <c r="AJ2444">
        <v>97.438443277990501</v>
      </c>
      <c r="AK2444">
        <v>114.198435731114</v>
      </c>
      <c r="AL2444">
        <v>78.7898637683777</v>
      </c>
      <c r="AM2444">
        <v>97.7160536388389</v>
      </c>
      <c r="AN2444">
        <v>1.00000005370194</v>
      </c>
    </row>
    <row r="2445" spans="1:40" x14ac:dyDescent="0.25">
      <c r="A2445" t="str">
        <f>"20190304155104960"</f>
        <v>20190304155104960</v>
      </c>
      <c r="B2445" t="str">
        <f>"1551685864949066"</f>
        <v>1551685864949066</v>
      </c>
      <c r="C2445" t="s">
        <v>40</v>
      </c>
      <c r="D2445">
        <v>5.2196420000000003</v>
      </c>
      <c r="E2445">
        <v>0.4996292</v>
      </c>
      <c r="F2445" t="s">
        <v>75</v>
      </c>
      <c r="G2445">
        <v>-512.82529999999997</v>
      </c>
      <c r="H2445">
        <v>0.5584093</v>
      </c>
      <c r="I2445">
        <v>270.85309999999998</v>
      </c>
      <c r="J2445">
        <v>-399.88170000000002</v>
      </c>
      <c r="K2445">
        <v>1.1102510000000001</v>
      </c>
      <c r="L2445">
        <v>285.5985</v>
      </c>
      <c r="M2445">
        <v>-0.99994620000000001</v>
      </c>
      <c r="N2445">
        <v>-1.0371729999999999E-2</v>
      </c>
      <c r="O2445">
        <v>4.2371329999999998E-4</v>
      </c>
      <c r="P2445">
        <v>-0.97422549999999997</v>
      </c>
      <c r="Q2445">
        <v>0.18343889999999999</v>
      </c>
      <c r="R2445">
        <v>-0.13128129999999999</v>
      </c>
      <c r="S2445">
        <v>-3.0295719999999999</v>
      </c>
      <c r="T2445">
        <v>-1.476073E-2</v>
      </c>
      <c r="U2445">
        <v>-0.39447019999999999</v>
      </c>
      <c r="V2445">
        <v>-0.13173170000000001</v>
      </c>
      <c r="W2445">
        <v>0.19350790000000001</v>
      </c>
      <c r="X2445">
        <v>0.97221480000000005</v>
      </c>
      <c r="Y2445">
        <v>-0.12953210000000001</v>
      </c>
      <c r="Z2445">
        <v>-9.8649520000000006E-4</v>
      </c>
      <c r="AA2445">
        <v>0.99157479999999998</v>
      </c>
      <c r="AB2445">
        <v>31</v>
      </c>
      <c r="AC2445">
        <v>-112.94359999999899</v>
      </c>
      <c r="AD2445">
        <v>-0.55184169999999999</v>
      </c>
      <c r="AE2445">
        <v>-14.7454</v>
      </c>
      <c r="AF2445">
        <v>-14.7929097204897</v>
      </c>
      <c r="AG2445">
        <v>-0.55184169999999999</v>
      </c>
      <c r="AH2445">
        <v>112.934690804205</v>
      </c>
      <c r="AI2445">
        <v>90.277595417137604</v>
      </c>
      <c r="AJ2445">
        <v>97.4624829712169</v>
      </c>
      <c r="AK2445">
        <v>113.90074229039</v>
      </c>
      <c r="AL2445">
        <v>78.842428503040907</v>
      </c>
      <c r="AM2445">
        <v>97.716383956624298</v>
      </c>
      <c r="AN2445">
        <v>1.0000000827431601</v>
      </c>
    </row>
    <row r="2446" spans="1:40" x14ac:dyDescent="0.25">
      <c r="A2446" t="str">
        <f>"20190304155104983"</f>
        <v>20190304155104983</v>
      </c>
      <c r="B2446" t="str">
        <f>"1551685864979322"</f>
        <v>1551685864979322</v>
      </c>
      <c r="C2446" t="s">
        <v>40</v>
      </c>
      <c r="D2446">
        <v>5.232577</v>
      </c>
      <c r="E2446">
        <v>0.49831979999999998</v>
      </c>
      <c r="F2446" t="s">
        <v>75</v>
      </c>
      <c r="G2446">
        <v>-512.82529999999997</v>
      </c>
      <c r="H2446">
        <v>0.52560839999999998</v>
      </c>
      <c r="I2446">
        <v>271.03410000000002</v>
      </c>
      <c r="J2446">
        <v>-400.18729999999999</v>
      </c>
      <c r="K2446">
        <v>1.110268</v>
      </c>
      <c r="L2446">
        <v>285.59859999999998</v>
      </c>
      <c r="M2446">
        <v>-0.99994550000000004</v>
      </c>
      <c r="N2446">
        <v>-1.0439550000000001E-2</v>
      </c>
      <c r="O2446">
        <v>3.1344480000000002E-4</v>
      </c>
      <c r="P2446">
        <v>-0.97400169999999997</v>
      </c>
      <c r="Q2446">
        <v>0.18513640000000001</v>
      </c>
      <c r="R2446">
        <v>-0.13055729999999999</v>
      </c>
      <c r="S2446">
        <v>-3.0296940000000001</v>
      </c>
      <c r="T2446">
        <v>-1.568079E-2</v>
      </c>
      <c r="U2446">
        <v>-0.39068599999999998</v>
      </c>
      <c r="V2446">
        <v>-0.13090019999999999</v>
      </c>
      <c r="W2446">
        <v>0.1952689</v>
      </c>
      <c r="X2446">
        <v>0.97197489999999998</v>
      </c>
      <c r="Y2446">
        <v>-0.12819910000000001</v>
      </c>
      <c r="Z2446">
        <v>-1.0007079999999999E-3</v>
      </c>
      <c r="AA2446">
        <v>0.99174799999999996</v>
      </c>
      <c r="AB2446">
        <v>31</v>
      </c>
      <c r="AC2446">
        <v>-112.637999999999</v>
      </c>
      <c r="AD2446">
        <v>-0.58465959999999995</v>
      </c>
      <c r="AE2446">
        <v>-14.564499999999899</v>
      </c>
      <c r="AF2446">
        <v>-14.5994201272618</v>
      </c>
      <c r="AG2446">
        <v>-0.58465959999999995</v>
      </c>
      <c r="AH2446">
        <v>112.63044441746401</v>
      </c>
      <c r="AI2446">
        <v>90.294949659267601</v>
      </c>
      <c r="AJ2446">
        <v>97.385631571088396</v>
      </c>
      <c r="AK2446">
        <v>113.574213202538</v>
      </c>
      <c r="AL2446">
        <v>78.739567661969801</v>
      </c>
      <c r="AM2446">
        <v>97.670129062911101</v>
      </c>
      <c r="AN2446">
        <v>1.00000000594862</v>
      </c>
    </row>
    <row r="2447" spans="1:40" x14ac:dyDescent="0.25">
      <c r="A2447" t="str">
        <f>"20190304155105005"</f>
        <v>20190304155105005</v>
      </c>
      <c r="B2447" t="str">
        <f>"1551685864998845"</f>
        <v>1551685864998845</v>
      </c>
      <c r="C2447" t="s">
        <v>40</v>
      </c>
      <c r="D2447">
        <v>6.156765</v>
      </c>
      <c r="E2447">
        <v>0.49806280000000003</v>
      </c>
      <c r="F2447" t="s">
        <v>75</v>
      </c>
      <c r="G2447">
        <v>-512.82539999999995</v>
      </c>
      <c r="H2447">
        <v>0.75049379999999999</v>
      </c>
      <c r="I2447">
        <v>270.77749999999997</v>
      </c>
      <c r="J2447">
        <v>-400.49340000000001</v>
      </c>
      <c r="K2447">
        <v>1.110277</v>
      </c>
      <c r="L2447">
        <v>285.59859999999998</v>
      </c>
      <c r="M2447">
        <v>-0.99994479999999997</v>
      </c>
      <c r="N2447">
        <v>-1.050883E-2</v>
      </c>
      <c r="O2447">
        <v>2.0251399999999999E-4</v>
      </c>
      <c r="P2447">
        <v>-0.97365939999999995</v>
      </c>
      <c r="Q2447">
        <v>0.18748000000000001</v>
      </c>
      <c r="R2447">
        <v>-0.12976469999999901</v>
      </c>
      <c r="S2447">
        <v>-3.0285340000000001</v>
      </c>
      <c r="T2447">
        <v>-9.6712110000000007E-3</v>
      </c>
      <c r="U2447">
        <v>-0.39849849999999998</v>
      </c>
      <c r="V2447">
        <v>-0.12999959999999999</v>
      </c>
      <c r="W2447">
        <v>0.19767670000000001</v>
      </c>
      <c r="X2447">
        <v>0.97160899999999994</v>
      </c>
      <c r="Y2447">
        <v>-0.13065479999999999</v>
      </c>
      <c r="Z2447">
        <v>-8.9573029999999996E-4</v>
      </c>
      <c r="AA2447">
        <v>0.99142750000000002</v>
      </c>
      <c r="AB2447">
        <v>31</v>
      </c>
      <c r="AC2447">
        <v>-112.331999999999</v>
      </c>
      <c r="AD2447">
        <v>-0.35978320000000003</v>
      </c>
      <c r="AE2447">
        <v>-14.821099999999999</v>
      </c>
      <c r="AF2447">
        <v>-14.8437000885254</v>
      </c>
      <c r="AG2447">
        <v>-0.35978320000000003</v>
      </c>
      <c r="AH2447">
        <v>112.327863475209</v>
      </c>
      <c r="AI2447">
        <v>90.181934609737795</v>
      </c>
      <c r="AJ2447">
        <v>97.527803244651295</v>
      </c>
      <c r="AK2447">
        <v>113.30495924351401</v>
      </c>
      <c r="AL2447">
        <v>78.598868579635194</v>
      </c>
      <c r="AM2447">
        <v>97.620815180828302</v>
      </c>
      <c r="AN2447">
        <v>1.00000001130202</v>
      </c>
    </row>
    <row r="2448" spans="1:40" x14ac:dyDescent="0.25">
      <c r="A2448" t="str">
        <f>"20190304155105028"</f>
        <v>20190304155105028</v>
      </c>
      <c r="B2448" t="str">
        <f>"1551685865019338"</f>
        <v>1551685865019338</v>
      </c>
      <c r="C2448" t="s">
        <v>40</v>
      </c>
      <c r="D2448">
        <v>5.2764259999999998</v>
      </c>
      <c r="E2448">
        <v>0.49789689999999998</v>
      </c>
      <c r="F2448" t="s">
        <v>75</v>
      </c>
      <c r="G2448">
        <v>-512.82539999999995</v>
      </c>
      <c r="H2448">
        <v>0.95747610000000005</v>
      </c>
      <c r="I2448">
        <v>270.8528</v>
      </c>
      <c r="J2448">
        <v>-400.7978</v>
      </c>
      <c r="K2448">
        <v>1.1102749999999999</v>
      </c>
      <c r="L2448">
        <v>285.59840000000003</v>
      </c>
      <c r="M2448">
        <v>-0.9999441</v>
      </c>
      <c r="N2448">
        <v>-1.057669E-2</v>
      </c>
      <c r="O2448" s="1">
        <v>9.2777320000000005E-5</v>
      </c>
      <c r="P2448">
        <v>-0.9740896</v>
      </c>
      <c r="Q2448">
        <v>0.18582580000000001</v>
      </c>
      <c r="R2448">
        <v>-0.12891279999999999</v>
      </c>
      <c r="S2448">
        <v>-3.0289920000000001</v>
      </c>
      <c r="T2448">
        <v>-4.1180849999999996E-3</v>
      </c>
      <c r="U2448">
        <v>-0.39761350000000001</v>
      </c>
      <c r="V2448">
        <v>-0.12904069999999901</v>
      </c>
      <c r="W2448">
        <v>0.1960933</v>
      </c>
      <c r="X2448">
        <v>0.97205759999999997</v>
      </c>
      <c r="Y2448">
        <v>-0.13024359999999999</v>
      </c>
      <c r="Z2448">
        <v>-7.7904389999999997E-4</v>
      </c>
      <c r="AA2448">
        <v>0.99148170000000002</v>
      </c>
      <c r="AB2448">
        <v>31</v>
      </c>
      <c r="AC2448">
        <v>-112.027599999999</v>
      </c>
      <c r="AD2448">
        <v>-0.15279889999999899</v>
      </c>
      <c r="AE2448">
        <v>-14.7456</v>
      </c>
      <c r="AF2448">
        <v>-14.755967154512801</v>
      </c>
      <c r="AG2448">
        <v>-0.15279889999999899</v>
      </c>
      <c r="AH2448">
        <v>112.026026527657</v>
      </c>
      <c r="AI2448">
        <v>90.077479799015805</v>
      </c>
      <c r="AJ2448">
        <v>97.503750871868405</v>
      </c>
      <c r="AK2448">
        <v>112.993772101581</v>
      </c>
      <c r="AL2448">
        <v>78.691402147280797</v>
      </c>
      <c r="AM2448">
        <v>97.561805228849295</v>
      </c>
      <c r="AN2448">
        <v>1.00000003113956</v>
      </c>
    </row>
    <row r="2449" spans="1:40" x14ac:dyDescent="0.25">
      <c r="A2449" t="str">
        <f>"20190304155105050"</f>
        <v>20190304155105050</v>
      </c>
      <c r="B2449" t="str">
        <f>"1551685865038858"</f>
        <v>1551685865038858</v>
      </c>
      <c r="C2449" t="s">
        <v>40</v>
      </c>
      <c r="D2449">
        <v>5.3315060000000001</v>
      </c>
      <c r="E2449">
        <v>0.49768440000000003</v>
      </c>
      <c r="F2449" t="s">
        <v>75</v>
      </c>
      <c r="G2449">
        <v>-512.82539999999995</v>
      </c>
      <c r="H2449">
        <v>0.63673480000000005</v>
      </c>
      <c r="I2449">
        <v>270.96530000000001</v>
      </c>
      <c r="J2449">
        <v>-401.10520000000002</v>
      </c>
      <c r="K2449">
        <v>1.110266</v>
      </c>
      <c r="L2449">
        <v>285.59840000000003</v>
      </c>
      <c r="M2449">
        <v>-0.99994340000000004</v>
      </c>
      <c r="N2449">
        <v>-1.064617E-2</v>
      </c>
      <c r="O2449" s="1">
        <v>-1.8401810000000001E-5</v>
      </c>
      <c r="P2449">
        <v>-0.9747903</v>
      </c>
      <c r="Q2449">
        <v>0.18239720000000001</v>
      </c>
      <c r="R2449">
        <v>-0.12851129999999999</v>
      </c>
      <c r="S2449">
        <v>-3.029785</v>
      </c>
      <c r="T2449">
        <v>-1.280475E-2</v>
      </c>
      <c r="U2449">
        <v>-0.39575199999999999</v>
      </c>
      <c r="V2449">
        <v>-0.1285307</v>
      </c>
      <c r="W2449">
        <v>0.1927401</v>
      </c>
      <c r="X2449">
        <v>0.97279550000000004</v>
      </c>
      <c r="Y2449">
        <v>-0.1294979</v>
      </c>
      <c r="Z2449">
        <v>-9.648813E-4</v>
      </c>
      <c r="AA2449">
        <v>0.99157919999999999</v>
      </c>
      <c r="AB2449">
        <v>31</v>
      </c>
      <c r="AC2449">
        <v>-111.720199999999</v>
      </c>
      <c r="AD2449">
        <v>-0.47353119999999899</v>
      </c>
      <c r="AE2449">
        <v>-14.633100000000001</v>
      </c>
      <c r="AF2449">
        <v>-14.6307856144831</v>
      </c>
      <c r="AG2449">
        <v>-0.47353119999999899</v>
      </c>
      <c r="AH2449">
        <v>111.718496070432</v>
      </c>
      <c r="AI2449">
        <v>90.240796913004601</v>
      </c>
      <c r="AJ2449">
        <v>97.461061542960707</v>
      </c>
      <c r="AK2449">
        <v>112.673450660453</v>
      </c>
      <c r="AL2449">
        <v>78.887263172140294</v>
      </c>
      <c r="AM2449">
        <v>97.526615004324498</v>
      </c>
      <c r="AN2449">
        <v>0.99999998590537498</v>
      </c>
    </row>
    <row r="2450" spans="1:40" x14ac:dyDescent="0.25">
      <c r="A2450" t="str">
        <f>"20190304155105073"</f>
        <v>20190304155105073</v>
      </c>
      <c r="B2450" t="str">
        <f>"1551685865069115"</f>
        <v>1551685865069115</v>
      </c>
      <c r="C2450" t="s">
        <v>40</v>
      </c>
      <c r="D2450">
        <v>5.2711499999999996</v>
      </c>
      <c r="E2450">
        <v>0.49787409999999999</v>
      </c>
      <c r="F2450" t="s">
        <v>75</v>
      </c>
      <c r="G2450">
        <v>-512.8252</v>
      </c>
      <c r="H2450">
        <v>0.1249222</v>
      </c>
      <c r="I2450">
        <v>271.01170000000002</v>
      </c>
      <c r="J2450">
        <v>-401.41180000000003</v>
      </c>
      <c r="K2450">
        <v>1.1102700000000001</v>
      </c>
      <c r="L2450">
        <v>285.59829999999999</v>
      </c>
      <c r="M2450">
        <v>-0.99994269999999996</v>
      </c>
      <c r="N2450">
        <v>-1.0713250000000001E-2</v>
      </c>
      <c r="O2450">
        <v>-1.2915069999999999E-4</v>
      </c>
      <c r="P2450">
        <v>-0.97505070000000005</v>
      </c>
      <c r="Q2450">
        <v>0.18057219999999999</v>
      </c>
      <c r="R2450">
        <v>-0.12911329999999999</v>
      </c>
      <c r="S2450">
        <v>-3.0303960000000001</v>
      </c>
      <c r="T2450">
        <v>-2.6725169999999999E-2</v>
      </c>
      <c r="U2450">
        <v>-0.39566040000000002</v>
      </c>
      <c r="V2450">
        <v>-0.1290239</v>
      </c>
      <c r="W2450">
        <v>0.19098329999999999</v>
      </c>
      <c r="X2450">
        <v>0.97307659999999996</v>
      </c>
      <c r="Y2450">
        <v>-0.129326</v>
      </c>
      <c r="Z2450">
        <v>-1.2638160000000001E-3</v>
      </c>
      <c r="AA2450">
        <v>0.99160130000000002</v>
      </c>
      <c r="AB2450">
        <v>31</v>
      </c>
      <c r="AC2450">
        <v>-111.413399999999</v>
      </c>
      <c r="AD2450">
        <v>-0.9853478</v>
      </c>
      <c r="AE2450">
        <v>-14.586599999999899</v>
      </c>
      <c r="AF2450">
        <v>-14.5710894268042</v>
      </c>
      <c r="AG2450">
        <v>-0.9853478</v>
      </c>
      <c r="AH2450">
        <v>111.406715935021</v>
      </c>
      <c r="AI2450">
        <v>90.502465747460903</v>
      </c>
      <c r="AJ2450">
        <v>97.451522729565099</v>
      </c>
      <c r="AK2450">
        <v>112.35988569234701</v>
      </c>
      <c r="AL2450">
        <v>78.989825186560495</v>
      </c>
      <c r="AM2450">
        <v>97.553005934365899</v>
      </c>
      <c r="AN2450">
        <v>0.99999992855882702</v>
      </c>
    </row>
    <row r="2451" spans="1:40" x14ac:dyDescent="0.25">
      <c r="A2451" t="str">
        <f>"20190304155105096"</f>
        <v>20190304155105096</v>
      </c>
      <c r="B2451" t="str">
        <f>"1551685865089610"</f>
        <v>1551685865089610</v>
      </c>
      <c r="C2451" t="s">
        <v>40</v>
      </c>
      <c r="D2451">
        <v>5.2918729999999998</v>
      </c>
      <c r="E2451">
        <v>0.49772470000000002</v>
      </c>
      <c r="F2451" t="s">
        <v>62</v>
      </c>
      <c r="G2451">
        <v>-504.71319999999997</v>
      </c>
      <c r="H2451">
        <v>7.9999749999999994E-2</v>
      </c>
      <c r="I2451">
        <v>272.11099999999999</v>
      </c>
      <c r="J2451">
        <v>-401.73570000000001</v>
      </c>
      <c r="K2451">
        <v>1.1102890000000001</v>
      </c>
      <c r="L2451">
        <v>285.59809999999999</v>
      </c>
      <c r="M2451">
        <v>-0.99994190000000005</v>
      </c>
      <c r="N2451">
        <v>-1.078051E-2</v>
      </c>
      <c r="O2451">
        <v>-2.4574859999999999E-4</v>
      </c>
      <c r="P2451">
        <v>-0.97470749999999995</v>
      </c>
      <c r="Q2451">
        <v>0.18194099999999999</v>
      </c>
      <c r="R2451">
        <v>-0.12978000000000001</v>
      </c>
      <c r="S2451">
        <v>-3.0299680000000002</v>
      </c>
      <c r="T2451">
        <v>-3.0219200000000002E-2</v>
      </c>
      <c r="U2451">
        <v>-0.39559939999999999</v>
      </c>
      <c r="V2451">
        <v>-0.12957769999999999</v>
      </c>
      <c r="W2451">
        <v>0.19241349999999999</v>
      </c>
      <c r="X2451">
        <v>0.97272130000000001</v>
      </c>
      <c r="Y2451">
        <v>-0.1292065</v>
      </c>
      <c r="Z2451">
        <v>-1.341231E-3</v>
      </c>
      <c r="AA2451">
        <v>0.99161679999999996</v>
      </c>
      <c r="AB2451">
        <v>31</v>
      </c>
      <c r="AC2451">
        <v>-102.977499999999</v>
      </c>
      <c r="AD2451">
        <v>-1.0302892499999901</v>
      </c>
      <c r="AE2451">
        <v>-13.4870999999999</v>
      </c>
      <c r="AF2451">
        <v>-13.4604668778905</v>
      </c>
      <c r="AG2451">
        <v>-1.0302892499999901</v>
      </c>
      <c r="AH2451">
        <v>102.97067798923101</v>
      </c>
      <c r="AI2451">
        <v>90.568427000549804</v>
      </c>
      <c r="AJ2451">
        <v>97.447552270426101</v>
      </c>
      <c r="AK2451">
        <v>103.85184731179</v>
      </c>
      <c r="AL2451">
        <v>78.906333434594302</v>
      </c>
      <c r="AM2451">
        <v>97.587786769171402</v>
      </c>
      <c r="AN2451">
        <v>1.00000003139661</v>
      </c>
    </row>
    <row r="2452" spans="1:40" x14ac:dyDescent="0.25">
      <c r="A2452" t="str">
        <f>"20190304155105116"</f>
        <v>20190304155105116</v>
      </c>
      <c r="B2452" t="str">
        <f>"1551685865109130"</f>
        <v>1551685865109130</v>
      </c>
      <c r="C2452" t="s">
        <v>40</v>
      </c>
      <c r="D2452">
        <v>5.4059220000000003</v>
      </c>
      <c r="E2452">
        <v>0.49777650000000001</v>
      </c>
      <c r="F2452" t="s">
        <v>75</v>
      </c>
      <c r="G2452">
        <v>-512.8252</v>
      </c>
      <c r="H2452">
        <v>8.3181080000000004E-2</v>
      </c>
      <c r="I2452">
        <v>270.9846</v>
      </c>
      <c r="J2452">
        <v>-402.02850000000001</v>
      </c>
      <c r="K2452">
        <v>1.110301</v>
      </c>
      <c r="L2452">
        <v>285.59789999999998</v>
      </c>
      <c r="M2452">
        <v>-0.99994119999999997</v>
      </c>
      <c r="N2452">
        <v>-1.084302E-2</v>
      </c>
      <c r="O2452">
        <v>-3.5063729999999999E-4</v>
      </c>
      <c r="P2452">
        <v>-0.97439390000000003</v>
      </c>
      <c r="Q2452">
        <v>0.18336269999999999</v>
      </c>
      <c r="R2452">
        <v>-0.13013339999999901</v>
      </c>
      <c r="S2452">
        <v>-3.0300289999999999</v>
      </c>
      <c r="T2452">
        <v>-2.8012749999999999E-2</v>
      </c>
      <c r="U2452">
        <v>-0.3985901</v>
      </c>
      <c r="V2452">
        <v>-0.129829</v>
      </c>
      <c r="W2452">
        <v>0.19389290000000001</v>
      </c>
      <c r="X2452">
        <v>0.97239390000000003</v>
      </c>
      <c r="Y2452">
        <v>-0.1300634</v>
      </c>
      <c r="Z2452">
        <v>-1.307405E-3</v>
      </c>
      <c r="AA2452">
        <v>0.99150479999999996</v>
      </c>
      <c r="AB2452">
        <v>31</v>
      </c>
      <c r="AC2452">
        <v>-110.7967</v>
      </c>
      <c r="AD2452">
        <v>-1.0271199200000001</v>
      </c>
      <c r="AE2452">
        <v>-14.613299999999899</v>
      </c>
      <c r="AF2452">
        <v>-14.5732163747972</v>
      </c>
      <c r="AG2452">
        <v>-1.0271199200000001</v>
      </c>
      <c r="AH2452">
        <v>110.79245889916</v>
      </c>
      <c r="AI2452">
        <v>90.526618915553101</v>
      </c>
      <c r="AJ2452">
        <v>97.493448713869</v>
      </c>
      <c r="AK2452">
        <v>111.75152150981501</v>
      </c>
      <c r="AL2452">
        <v>78.819942410668602</v>
      </c>
      <c r="AM2452">
        <v>97.604860114844897</v>
      </c>
      <c r="AN2452">
        <v>0.99999996133430902</v>
      </c>
    </row>
    <row r="2453" spans="1:40" x14ac:dyDescent="0.25">
      <c r="A2453" t="str">
        <f>"20190304155105130"</f>
        <v>20190304155105130</v>
      </c>
      <c r="B2453" t="str">
        <f>"1551685865118890"</f>
        <v>1551685865118890</v>
      </c>
      <c r="C2453" t="s">
        <v>40</v>
      </c>
      <c r="D2453">
        <v>5.3189169999999999</v>
      </c>
      <c r="E2453">
        <v>0.49770799999999998</v>
      </c>
      <c r="F2453" t="s">
        <v>75</v>
      </c>
      <c r="G2453">
        <v>-512.82529999999997</v>
      </c>
      <c r="H2453">
        <v>0.28953220000000002</v>
      </c>
      <c r="I2453">
        <v>270.99470000000002</v>
      </c>
      <c r="J2453">
        <v>-402.20589999999999</v>
      </c>
      <c r="K2453">
        <v>1.110301</v>
      </c>
      <c r="L2453">
        <v>285.59780000000001</v>
      </c>
      <c r="M2453">
        <v>-0.99994070000000002</v>
      </c>
      <c r="N2453">
        <v>-1.0882060000000001E-2</v>
      </c>
      <c r="O2453">
        <v>-4.1355530000000001E-4</v>
      </c>
      <c r="P2453">
        <v>-0.97430629999999996</v>
      </c>
      <c r="Q2453">
        <v>0.1833668</v>
      </c>
      <c r="R2453">
        <v>-0.13078229999999999</v>
      </c>
      <c r="S2453">
        <v>-3.0297239999999999</v>
      </c>
      <c r="T2453">
        <v>-2.2441630000000001E-2</v>
      </c>
      <c r="U2453">
        <v>-0.39932250000000002</v>
      </c>
      <c r="V2453">
        <v>-0.1304168</v>
      </c>
      <c r="W2453">
        <v>0.19393350000000001</v>
      </c>
      <c r="X2453">
        <v>0.97230720000000004</v>
      </c>
      <c r="Y2453">
        <v>-0.1302527</v>
      </c>
      <c r="Z2453">
        <v>-1.193553E-3</v>
      </c>
      <c r="AA2453">
        <v>0.99148009999999998</v>
      </c>
      <c r="AB2453">
        <v>31</v>
      </c>
      <c r="AC2453">
        <v>-110.619399999999</v>
      </c>
      <c r="AD2453">
        <v>-0.82076879999999997</v>
      </c>
      <c r="AE2453">
        <v>-14.6030999999999</v>
      </c>
      <c r="AF2453">
        <v>-14.5565611506018</v>
      </c>
      <c r="AG2453">
        <v>-0.82076879999999997</v>
      </c>
      <c r="AH2453">
        <v>110.61944449299899</v>
      </c>
      <c r="AI2453">
        <v>90.421479219353301</v>
      </c>
      <c r="AJ2453">
        <v>97.496555712137607</v>
      </c>
      <c r="AK2453">
        <v>111.576111394393</v>
      </c>
      <c r="AL2453">
        <v>78.817571831070495</v>
      </c>
      <c r="AM2453">
        <v>97.639558517971395</v>
      </c>
      <c r="AN2453">
        <v>1.00000001765816</v>
      </c>
    </row>
    <row r="2454" spans="1:40" x14ac:dyDescent="0.25">
      <c r="A2454" t="str">
        <f>"20190304155105152"</f>
        <v>20190304155105152</v>
      </c>
      <c r="B2454" t="str">
        <f>"1551685865149147"</f>
        <v>1551685865149147</v>
      </c>
      <c r="C2454" t="s">
        <v>40</v>
      </c>
      <c r="D2454">
        <v>5.3073969999999999</v>
      </c>
      <c r="E2454">
        <v>0.49738939999999998</v>
      </c>
      <c r="F2454" t="s">
        <v>75</v>
      </c>
      <c r="G2454">
        <v>-512.82529999999997</v>
      </c>
      <c r="H2454">
        <v>0.30018119999999998</v>
      </c>
      <c r="I2454">
        <v>270.91019999999997</v>
      </c>
      <c r="J2454">
        <v>-402.49270000000001</v>
      </c>
      <c r="K2454">
        <v>1.110303</v>
      </c>
      <c r="L2454">
        <v>285.5976</v>
      </c>
      <c r="M2454">
        <v>-0.99994000000000005</v>
      </c>
      <c r="N2454">
        <v>-1.0944890000000001E-2</v>
      </c>
      <c r="O2454">
        <v>-5.1438860000000005E-4</v>
      </c>
      <c r="P2454">
        <v>-0.97424359999999999</v>
      </c>
      <c r="Q2454">
        <v>0.18337629999999999</v>
      </c>
      <c r="R2454">
        <v>-0.13123489999999999</v>
      </c>
      <c r="S2454">
        <v>-3.0293269999999999</v>
      </c>
      <c r="T2454">
        <v>-2.2183060000000001E-2</v>
      </c>
      <c r="U2454">
        <v>-0.40222170000000002</v>
      </c>
      <c r="V2454">
        <v>-0.13077139999999901</v>
      </c>
      <c r="W2454">
        <v>0.19400419999999999</v>
      </c>
      <c r="X2454">
        <v>0.97224549999999998</v>
      </c>
      <c r="Y2454">
        <v>-0.1311021</v>
      </c>
      <c r="Z2454">
        <v>-1.2003960000000001E-3</v>
      </c>
      <c r="AA2454">
        <v>0.99136820000000003</v>
      </c>
      <c r="AB2454">
        <v>31</v>
      </c>
      <c r="AC2454">
        <v>-110.332599999999</v>
      </c>
      <c r="AD2454">
        <v>-0.8101218</v>
      </c>
      <c r="AE2454">
        <v>-14.6874</v>
      </c>
      <c r="AF2454">
        <v>-14.6298658218308</v>
      </c>
      <c r="AG2454">
        <v>-0.8101218</v>
      </c>
      <c r="AH2454">
        <v>110.334296015276</v>
      </c>
      <c r="AI2454">
        <v>90.417032710000896</v>
      </c>
      <c r="AJ2454">
        <v>97.553120743079802</v>
      </c>
      <c r="AK2454">
        <v>111.302947618121</v>
      </c>
      <c r="AL2454">
        <v>78.813442967631403</v>
      </c>
      <c r="AM2454">
        <v>97.660564327182399</v>
      </c>
      <c r="AN2454">
        <v>1.0000000504729201</v>
      </c>
    </row>
    <row r="2455" spans="1:40" x14ac:dyDescent="0.25">
      <c r="A2455" t="str">
        <f>"20190304155105173"</f>
        <v>20190304155105173</v>
      </c>
      <c r="B2455" t="str">
        <f>"1551685865168666"</f>
        <v>1551685865168666</v>
      </c>
      <c r="C2455" t="s">
        <v>40</v>
      </c>
      <c r="D2455">
        <v>5.6585359999999998</v>
      </c>
      <c r="E2455">
        <v>0.49688169999999998</v>
      </c>
      <c r="F2455" t="s">
        <v>75</v>
      </c>
      <c r="G2455">
        <v>-512.8252</v>
      </c>
      <c r="H2455">
        <v>0.171933</v>
      </c>
      <c r="I2455">
        <v>270.8143</v>
      </c>
      <c r="J2455">
        <v>-402.79520000000002</v>
      </c>
      <c r="K2455">
        <v>1.110311</v>
      </c>
      <c r="L2455">
        <v>285.59730000000002</v>
      </c>
      <c r="M2455">
        <v>-0.99993929999999998</v>
      </c>
      <c r="N2455">
        <v>-1.1012610000000001E-2</v>
      </c>
      <c r="O2455">
        <v>-6.2012600000000003E-4</v>
      </c>
      <c r="P2455">
        <v>-0.97422889999999995</v>
      </c>
      <c r="Q2455">
        <v>0.18327099999999999</v>
      </c>
      <c r="R2455">
        <v>-0.13149269999999999</v>
      </c>
      <c r="S2455">
        <v>-3.02948</v>
      </c>
      <c r="T2455">
        <v>-2.5763270000000001E-2</v>
      </c>
      <c r="U2455">
        <v>-0.40591430000000001</v>
      </c>
      <c r="V2455">
        <v>-0.13092500000000001</v>
      </c>
      <c r="W2455">
        <v>0.1939649</v>
      </c>
      <c r="X2455">
        <v>0.9722326</v>
      </c>
      <c r="Y2455">
        <v>-0.13217570000000001</v>
      </c>
      <c r="Z2455">
        <v>-1.2921530000000001E-3</v>
      </c>
      <c r="AA2455">
        <v>0.99122549999999998</v>
      </c>
      <c r="AB2455">
        <v>31</v>
      </c>
      <c r="AC2455">
        <v>-110.02999999999901</v>
      </c>
      <c r="AD2455">
        <v>-0.93837800000000005</v>
      </c>
      <c r="AE2455">
        <v>-14.782999999999999</v>
      </c>
      <c r="AF2455">
        <v>-14.713709362977401</v>
      </c>
      <c r="AG2455">
        <v>-0.93837800000000005</v>
      </c>
      <c r="AH2455">
        <v>110.031285677992</v>
      </c>
      <c r="AI2455">
        <v>90.484312008409105</v>
      </c>
      <c r="AJ2455">
        <v>97.616576349846298</v>
      </c>
      <c r="AK2455">
        <v>111.01467301416</v>
      </c>
      <c r="AL2455">
        <v>78.815737531097199</v>
      </c>
      <c r="AM2455">
        <v>97.669555702186003</v>
      </c>
      <c r="AN2455">
        <v>0.99999998327988404</v>
      </c>
    </row>
    <row r="2456" spans="1:40" x14ac:dyDescent="0.25">
      <c r="A2456" t="str">
        <f>"20190304155105195"</f>
        <v>20190304155105195</v>
      </c>
      <c r="B2456" t="str">
        <f>"1551685865189162"</f>
        <v>1551685865189162</v>
      </c>
      <c r="C2456" t="s">
        <v>40</v>
      </c>
      <c r="D2456">
        <v>5.2707069999999998</v>
      </c>
      <c r="E2456">
        <v>0.5236634</v>
      </c>
      <c r="F2456" t="s">
        <v>75</v>
      </c>
      <c r="G2456">
        <v>-512.8252</v>
      </c>
      <c r="H2456">
        <v>0.13768849999999999</v>
      </c>
      <c r="I2456">
        <v>270.67020000000002</v>
      </c>
      <c r="J2456">
        <v>-403.1069</v>
      </c>
      <c r="K2456">
        <v>1.110306</v>
      </c>
      <c r="L2456">
        <v>285.59699999999998</v>
      </c>
      <c r="M2456">
        <v>-0.99993840000000001</v>
      </c>
      <c r="N2456">
        <v>-1.1084999999999999E-2</v>
      </c>
      <c r="O2456">
        <v>-7.2779829999999998E-4</v>
      </c>
      <c r="P2456">
        <v>-0.97453889999999999</v>
      </c>
      <c r="Q2456">
        <v>0.1814364</v>
      </c>
      <c r="R2456">
        <v>-0.13173789999999999</v>
      </c>
      <c r="S2456">
        <v>-3.0289609999999998</v>
      </c>
      <c r="T2456">
        <v>-2.677262E-2</v>
      </c>
      <c r="U2456">
        <v>-0.41091919999999998</v>
      </c>
      <c r="V2456">
        <v>-0.1310644</v>
      </c>
      <c r="W2456">
        <v>0.19220480000000001</v>
      </c>
      <c r="X2456">
        <v>0.97256330000000002</v>
      </c>
      <c r="Y2456">
        <v>-0.13369900000000001</v>
      </c>
      <c r="Z2456">
        <v>-1.3342579999999901E-3</v>
      </c>
      <c r="AA2456">
        <v>0.99102109999999999</v>
      </c>
      <c r="AB2456">
        <v>31</v>
      </c>
      <c r="AC2456">
        <v>-109.7183</v>
      </c>
      <c r="AD2456">
        <v>-0.97261749999999902</v>
      </c>
      <c r="AE2456">
        <v>-14.926799999999901</v>
      </c>
      <c r="AF2456">
        <v>-14.8457929361217</v>
      </c>
      <c r="AG2456">
        <v>-0.97261749999999902</v>
      </c>
      <c r="AH2456">
        <v>109.720669860166</v>
      </c>
      <c r="AI2456">
        <v>90.503298472082093</v>
      </c>
      <c r="AJ2456">
        <v>97.705628836149799</v>
      </c>
      <c r="AK2456">
        <v>110.724744060517</v>
      </c>
      <c r="AL2456">
        <v>78.918517785860899</v>
      </c>
      <c r="AM2456">
        <v>97.675044876177793</v>
      </c>
      <c r="AN2456">
        <v>0.99999996729864404</v>
      </c>
    </row>
    <row r="2457" spans="1:40" x14ac:dyDescent="0.25">
      <c r="A2457" t="str">
        <f>"20190304155105208"</f>
        <v>20190304155105208</v>
      </c>
      <c r="B2457" t="str">
        <f>"1551685865198922"</f>
        <v>1551685865198922</v>
      </c>
      <c r="C2457" t="s">
        <v>40</v>
      </c>
      <c r="D2457">
        <v>5.2520089999999904</v>
      </c>
      <c r="E2457">
        <v>0.52395709999999995</v>
      </c>
      <c r="F2457" t="s">
        <v>75</v>
      </c>
      <c r="G2457">
        <v>-511.95960000000002</v>
      </c>
      <c r="H2457">
        <v>2.9379819999999999</v>
      </c>
      <c r="I2457">
        <v>278.3854</v>
      </c>
      <c r="J2457">
        <v>-403.28059999999999</v>
      </c>
      <c r="K2457">
        <v>1.110304</v>
      </c>
      <c r="L2457">
        <v>285.5967</v>
      </c>
      <c r="M2457">
        <v>-0.99993779999999999</v>
      </c>
      <c r="N2457">
        <v>-1.112521E-2</v>
      </c>
      <c r="O2457">
        <v>-7.8749799999999997E-4</v>
      </c>
      <c r="P2457">
        <v>-0.97475319999999999</v>
      </c>
      <c r="Q2457">
        <v>0.1804106</v>
      </c>
      <c r="R2457">
        <v>-0.13156219999999999</v>
      </c>
      <c r="S2457">
        <v>-3.041595</v>
      </c>
      <c r="T2457">
        <v>5.1071640000000001E-2</v>
      </c>
      <c r="U2457">
        <v>-0.20150760000000001</v>
      </c>
      <c r="V2457">
        <v>-0.13082939999999901</v>
      </c>
      <c r="W2457">
        <v>0.191221</v>
      </c>
      <c r="X2457">
        <v>0.97278889999999996</v>
      </c>
      <c r="Y2457">
        <v>-6.5317089999999994E-2</v>
      </c>
      <c r="Z2457">
        <v>1.6202419999999999E-4</v>
      </c>
      <c r="AA2457">
        <v>0.99786450000000004</v>
      </c>
      <c r="AB2457">
        <v>31</v>
      </c>
      <c r="AC2457">
        <v>-108.679</v>
      </c>
      <c r="AD2457">
        <v>1.8276779999999999</v>
      </c>
      <c r="AE2457">
        <v>-7.2112999999999898</v>
      </c>
      <c r="AF2457">
        <v>-7.1237020869618704</v>
      </c>
      <c r="AG2457">
        <v>1.8276779999999999</v>
      </c>
      <c r="AH2457">
        <v>108.65405084132099</v>
      </c>
      <c r="AI2457">
        <v>89.038378420323198</v>
      </c>
      <c r="AJ2457">
        <v>93.751123299215294</v>
      </c>
      <c r="AK2457">
        <v>108.902664349977</v>
      </c>
      <c r="AL2457">
        <v>78.975951324202398</v>
      </c>
      <c r="AM2457">
        <v>97.659691355587299</v>
      </c>
      <c r="AN2457">
        <v>1.0000000233542801</v>
      </c>
    </row>
    <row r="2458" spans="1:40" x14ac:dyDescent="0.25">
      <c r="A2458" t="str">
        <f>"20190304155105221"</f>
        <v>20190304155105221</v>
      </c>
      <c r="B2458" t="str">
        <f>"1551685865219418"</f>
        <v>1551685865219418</v>
      </c>
      <c r="C2458" t="s">
        <v>40</v>
      </c>
      <c r="D2458">
        <v>5.2548450000000004</v>
      </c>
      <c r="E2458">
        <v>0.52563689999999996</v>
      </c>
      <c r="F2458" t="s">
        <v>75</v>
      </c>
      <c r="G2458">
        <v>-511.95940000000002</v>
      </c>
      <c r="H2458">
        <v>2.257482</v>
      </c>
      <c r="I2458">
        <v>278.52229999999997</v>
      </c>
      <c r="J2458">
        <v>-403.4667</v>
      </c>
      <c r="K2458">
        <v>1.110304</v>
      </c>
      <c r="L2458">
        <v>285.59660000000002</v>
      </c>
      <c r="M2458">
        <v>-0.99993739999999998</v>
      </c>
      <c r="N2458">
        <v>-1.116874E-2</v>
      </c>
      <c r="O2458">
        <v>-8.5044299999999999E-4</v>
      </c>
      <c r="P2458">
        <v>-0.97487219999999997</v>
      </c>
      <c r="Q2458">
        <v>0.17947969999999999</v>
      </c>
      <c r="R2458">
        <v>-0.13195299999999999</v>
      </c>
      <c r="S2458">
        <v>-3.0449830000000002</v>
      </c>
      <c r="T2458">
        <v>3.2144069999999997E-2</v>
      </c>
      <c r="U2458">
        <v>-0.19821169999999999</v>
      </c>
      <c r="V2458">
        <v>-0.13115859999999999</v>
      </c>
      <c r="W2458">
        <v>0.19033359999999999</v>
      </c>
      <c r="X2458">
        <v>0.97291859999999997</v>
      </c>
      <c r="Y2458">
        <v>-6.4108730000000003E-2</v>
      </c>
      <c r="Z2458" s="1">
        <v>-3.884028E-5</v>
      </c>
      <c r="AA2458">
        <v>0.99794289999999997</v>
      </c>
      <c r="AB2458">
        <v>31</v>
      </c>
      <c r="AC2458">
        <v>-108.4927</v>
      </c>
      <c r="AD2458">
        <v>1.14717799999999</v>
      </c>
      <c r="AE2458">
        <v>-7.0743000000000498</v>
      </c>
      <c r="AF2458">
        <v>-6.9812476086139696</v>
      </c>
      <c r="AG2458">
        <v>1.14717799999999</v>
      </c>
      <c r="AH2458">
        <v>108.48659945061</v>
      </c>
      <c r="AI2458">
        <v>89.395405964753493</v>
      </c>
      <c r="AJ2458">
        <v>93.681977817574506</v>
      </c>
      <c r="AK2458">
        <v>108.71704602266099</v>
      </c>
      <c r="AL2458">
        <v>79.027746984470795</v>
      </c>
      <c r="AM2458">
        <v>97.677723966714694</v>
      </c>
      <c r="AN2458">
        <v>1.00000002993443</v>
      </c>
    </row>
    <row r="2459" spans="1:40" x14ac:dyDescent="0.25">
      <c r="A2459" t="str">
        <f>"20190304155105236"</f>
        <v>20190304155105236</v>
      </c>
      <c r="B2459" t="str">
        <f>"1551685865229178"</f>
        <v>1551685865229178</v>
      </c>
      <c r="C2459" t="s">
        <v>40</v>
      </c>
      <c r="D2459">
        <v>5.17598</v>
      </c>
      <c r="E2459">
        <v>0.52577109999999905</v>
      </c>
      <c r="F2459" t="s">
        <v>75</v>
      </c>
      <c r="G2459">
        <v>-511.95920000000001</v>
      </c>
      <c r="H2459">
        <v>1.7200930000000001</v>
      </c>
      <c r="I2459">
        <v>278.98559999999998</v>
      </c>
      <c r="J2459">
        <v>-403.66449999999998</v>
      </c>
      <c r="K2459">
        <v>1.1103069999999999</v>
      </c>
      <c r="L2459">
        <v>285.59629999999999</v>
      </c>
      <c r="M2459">
        <v>-0.99993670000000001</v>
      </c>
      <c r="N2459">
        <v>-1.121637E-2</v>
      </c>
      <c r="O2459">
        <v>-9.1687180000000004E-4</v>
      </c>
      <c r="P2459">
        <v>-0.97496890000000003</v>
      </c>
      <c r="Q2459">
        <v>0.17884559999999999</v>
      </c>
      <c r="R2459">
        <v>-0.13209979999999999</v>
      </c>
      <c r="S2459">
        <v>-3.0490110000000001</v>
      </c>
      <c r="T2459">
        <v>1.7139430000000001E-2</v>
      </c>
      <c r="U2459">
        <v>-0.18579100000000001</v>
      </c>
      <c r="V2459">
        <v>-0.1312401</v>
      </c>
      <c r="W2459">
        <v>0.18974750000000001</v>
      </c>
      <c r="X2459">
        <v>0.97302200000000005</v>
      </c>
      <c r="Y2459">
        <v>-5.9907849999999999E-2</v>
      </c>
      <c r="Z2459">
        <v>-1.834944E-4</v>
      </c>
      <c r="AA2459">
        <v>0.99820390000000003</v>
      </c>
      <c r="AB2459">
        <v>31</v>
      </c>
      <c r="AC2459">
        <v>-108.29470000000001</v>
      </c>
      <c r="AD2459">
        <v>0.60978600000000005</v>
      </c>
      <c r="AE2459">
        <v>-6.6106999999999996</v>
      </c>
      <c r="AF2459">
        <v>-6.5111929436069698</v>
      </c>
      <c r="AG2459">
        <v>0.60978600000000005</v>
      </c>
      <c r="AH2459">
        <v>108.297295101656</v>
      </c>
      <c r="AI2459">
        <v>89.677971456703304</v>
      </c>
      <c r="AJ2459">
        <v>93.440670688653199</v>
      </c>
      <c r="AK2459">
        <v>108.49456944405</v>
      </c>
      <c r="AL2459">
        <v>79.061950432870304</v>
      </c>
      <c r="AM2459">
        <v>97.681631190883806</v>
      </c>
      <c r="AN2459">
        <v>0.99999994504412804</v>
      </c>
    </row>
    <row r="2460" spans="1:40" x14ac:dyDescent="0.25">
      <c r="A2460" t="str">
        <f>"20190304155105249"</f>
        <v>20190304155105249</v>
      </c>
      <c r="B2460" t="str">
        <f>"1551685865238938"</f>
        <v>1551685865238938</v>
      </c>
      <c r="C2460" t="s">
        <v>40</v>
      </c>
      <c r="D2460">
        <v>5.2466689999999998</v>
      </c>
      <c r="E2460">
        <v>0.5270011</v>
      </c>
      <c r="F2460" t="s">
        <v>75</v>
      </c>
      <c r="G2460">
        <v>-511.95920000000001</v>
      </c>
      <c r="H2460">
        <v>1.701956</v>
      </c>
      <c r="I2460">
        <v>279.02089999999998</v>
      </c>
      <c r="J2460">
        <v>-403.85059999999999</v>
      </c>
      <c r="K2460">
        <v>1.1103130000000001</v>
      </c>
      <c r="L2460">
        <v>285.59609999999998</v>
      </c>
      <c r="M2460">
        <v>-0.99993620000000005</v>
      </c>
      <c r="N2460">
        <v>-1.126248E-2</v>
      </c>
      <c r="O2460">
        <v>-9.7936139999999991E-4</v>
      </c>
      <c r="P2460">
        <v>-0.97507949999999999</v>
      </c>
      <c r="Q2460">
        <v>0.17810680000000001</v>
      </c>
      <c r="R2460">
        <v>-0.13228010000000001</v>
      </c>
      <c r="S2460">
        <v>-3.0488590000000002</v>
      </c>
      <c r="T2460">
        <v>1.6659139999999999E-2</v>
      </c>
      <c r="U2460">
        <v>-0.1851196</v>
      </c>
      <c r="V2460">
        <v>-0.13135959999999999</v>
      </c>
      <c r="W2460">
        <v>0.18905449999999999</v>
      </c>
      <c r="X2460">
        <v>0.97314080000000003</v>
      </c>
      <c r="Y2460">
        <v>-5.9629500000000002E-2</v>
      </c>
      <c r="Z2460">
        <v>-1.8971299999999999E-4</v>
      </c>
      <c r="AA2460">
        <v>0.99822060000000001</v>
      </c>
      <c r="AB2460">
        <v>31</v>
      </c>
      <c r="AC2460">
        <v>-108.1086</v>
      </c>
      <c r="AD2460">
        <v>0.59164300000000003</v>
      </c>
      <c r="AE2460">
        <v>-6.5751999999999899</v>
      </c>
      <c r="AF2460">
        <v>-6.4691197148035799</v>
      </c>
      <c r="AG2460">
        <v>0.59164300000000003</v>
      </c>
      <c r="AH2460">
        <v>108.11176202231999</v>
      </c>
      <c r="AI2460">
        <v>89.687011061742297</v>
      </c>
      <c r="AJ2460">
        <v>93.424343682382798</v>
      </c>
      <c r="AK2460">
        <v>108.306752508302</v>
      </c>
      <c r="AL2460">
        <v>79.102388758401901</v>
      </c>
      <c r="AM2460">
        <v>97.687614649543505</v>
      </c>
      <c r="AN2460">
        <v>0.99999998255352396</v>
      </c>
    </row>
    <row r="2461" spans="1:40" x14ac:dyDescent="0.25">
      <c r="A2461" t="str">
        <f>"20190304155105262"</f>
        <v>20190304155105262</v>
      </c>
      <c r="B2461" t="str">
        <f>"1551685865259435"</f>
        <v>1551685865259435</v>
      </c>
      <c r="C2461" t="s">
        <v>40</v>
      </c>
      <c r="D2461">
        <v>5.2735250000000002</v>
      </c>
      <c r="E2461">
        <v>0.52830769999999905</v>
      </c>
      <c r="F2461" t="s">
        <v>75</v>
      </c>
      <c r="G2461">
        <v>-513.60159999999996</v>
      </c>
      <c r="H2461">
        <v>1.634914</v>
      </c>
      <c r="I2461">
        <v>279.27539999999999</v>
      </c>
      <c r="J2461">
        <v>-404.02449999999999</v>
      </c>
      <c r="K2461">
        <v>1.11032999999999</v>
      </c>
      <c r="L2461">
        <v>285.5958</v>
      </c>
      <c r="M2461">
        <v>-0.99993560000000004</v>
      </c>
      <c r="N2461">
        <v>-1.1307620000000001E-2</v>
      </c>
      <c r="O2461">
        <v>-1.0377959999999999E-3</v>
      </c>
      <c r="P2461">
        <v>-0.97490969999999999</v>
      </c>
      <c r="Q2461">
        <v>0.17911779999999999</v>
      </c>
      <c r="R2461">
        <v>-0.1321657</v>
      </c>
      <c r="S2461">
        <v>-3.0501399999999999</v>
      </c>
      <c r="T2461">
        <v>1.458168E-2</v>
      </c>
      <c r="U2461">
        <v>-0.17565919999999999</v>
      </c>
      <c r="V2461">
        <v>-0.131189</v>
      </c>
      <c r="W2461">
        <v>0.190108</v>
      </c>
      <c r="X2461">
        <v>0.97295860000000001</v>
      </c>
      <c r="Y2461">
        <v>-5.6460099999999999E-2</v>
      </c>
      <c r="Z2461">
        <v>-2.013235E-4</v>
      </c>
      <c r="AA2461">
        <v>0.99840490000000004</v>
      </c>
      <c r="AB2461">
        <v>31</v>
      </c>
      <c r="AC2461">
        <v>-109.57709999999901</v>
      </c>
      <c r="AD2461">
        <v>0.52458400000000005</v>
      </c>
      <c r="AE2461">
        <v>-6.3204000000000002</v>
      </c>
      <c r="AF2461">
        <v>-6.2065288831312904</v>
      </c>
      <c r="AG2461">
        <v>0.52458400000000005</v>
      </c>
      <c r="AH2461">
        <v>109.58109755749</v>
      </c>
      <c r="AI2461">
        <v>89.726155994005097</v>
      </c>
      <c r="AJ2461">
        <v>93.241693980708007</v>
      </c>
      <c r="AK2461">
        <v>109.757975250341</v>
      </c>
      <c r="AL2461">
        <v>79.040913216277104</v>
      </c>
      <c r="AM2461">
        <v>97.679170329970603</v>
      </c>
      <c r="AN2461">
        <v>1.00000002134947</v>
      </c>
    </row>
    <row r="2462" spans="1:40" x14ac:dyDescent="0.25">
      <c r="A2462" t="str">
        <f>"20190304155105276"</f>
        <v>20190304155105276</v>
      </c>
      <c r="B2462" t="str">
        <f>"1551685865269194"</f>
        <v>1551685865269194</v>
      </c>
      <c r="C2462" t="s">
        <v>40</v>
      </c>
      <c r="D2462">
        <v>5.3652920000000002</v>
      </c>
      <c r="E2462">
        <v>0.52860299999999905</v>
      </c>
      <c r="F2462" t="s">
        <v>75</v>
      </c>
      <c r="G2462">
        <v>-543.87090000000001</v>
      </c>
      <c r="H2462">
        <v>1.8597859999999999</v>
      </c>
      <c r="I2462">
        <v>278.05</v>
      </c>
      <c r="J2462">
        <v>-404.20150000000001</v>
      </c>
      <c r="K2462">
        <v>1.1103400000000001</v>
      </c>
      <c r="L2462">
        <v>285.59559999999999</v>
      </c>
      <c r="M2462">
        <v>-0.99993489999999996</v>
      </c>
      <c r="N2462">
        <v>-1.1354990000000001E-2</v>
      </c>
      <c r="O2462">
        <v>-1.0974380000000001E-3</v>
      </c>
      <c r="P2462">
        <v>-0.97470500000000004</v>
      </c>
      <c r="Q2462">
        <v>0.1804048</v>
      </c>
      <c r="R2462">
        <v>-0.13192509999999999</v>
      </c>
      <c r="S2462">
        <v>-3.0518800000000001</v>
      </c>
      <c r="T2462">
        <v>1.6357179999999999E-2</v>
      </c>
      <c r="U2462">
        <v>-0.16467290000000001</v>
      </c>
      <c r="V2462">
        <v>-0.13089049999999999</v>
      </c>
      <c r="W2462">
        <v>0.19143869999999999</v>
      </c>
      <c r="X2462">
        <v>0.97273779999999999</v>
      </c>
      <c r="Y2462">
        <v>-5.2784520000000001E-2</v>
      </c>
      <c r="Z2462">
        <v>-1.7688830000000001E-4</v>
      </c>
      <c r="AA2462">
        <v>0.99860590000000005</v>
      </c>
      <c r="AB2462">
        <v>31</v>
      </c>
      <c r="AC2462">
        <v>-139.6694</v>
      </c>
      <c r="AD2462">
        <v>0.74944599999999995</v>
      </c>
      <c r="AE2462">
        <v>-7.5455999999999701</v>
      </c>
      <c r="AF2462">
        <v>-7.3920948449044603</v>
      </c>
      <c r="AG2462">
        <v>0.74944599999999995</v>
      </c>
      <c r="AH2462">
        <v>139.673587407507</v>
      </c>
      <c r="AI2462">
        <v>89.693000856046794</v>
      </c>
      <c r="AJ2462">
        <v>93.0294995080842</v>
      </c>
      <c r="AK2462">
        <v>139.87106832646</v>
      </c>
      <c r="AL2462">
        <v>78.963242589681997</v>
      </c>
      <c r="AM2462">
        <v>97.663623870152804</v>
      </c>
      <c r="AN2462">
        <v>0.99999996319838902</v>
      </c>
    </row>
    <row r="2463" spans="1:40" x14ac:dyDescent="0.25">
      <c r="A2463" t="str">
        <f>"20190304155105288"</f>
        <v>20190304155105288</v>
      </c>
      <c r="B2463" t="str">
        <f>"1551685865278954"</f>
        <v>1551685865278954</v>
      </c>
      <c r="C2463" t="s">
        <v>40</v>
      </c>
      <c r="D2463">
        <v>5.2587729999999997</v>
      </c>
      <c r="E2463">
        <v>0.52838359999999995</v>
      </c>
      <c r="F2463" t="s">
        <v>75</v>
      </c>
      <c r="G2463">
        <v>-546.99009999999998</v>
      </c>
      <c r="H2463">
        <v>1.810675</v>
      </c>
      <c r="I2463">
        <v>278.05</v>
      </c>
      <c r="J2463">
        <v>-404.38420000000002</v>
      </c>
      <c r="K2463">
        <v>1.110352</v>
      </c>
      <c r="L2463">
        <v>285.59530000000001</v>
      </c>
      <c r="M2463">
        <v>-0.9999344</v>
      </c>
      <c r="N2463">
        <v>-1.1405530000000001E-2</v>
      </c>
      <c r="O2463">
        <v>-1.159963E-3</v>
      </c>
      <c r="P2463">
        <v>-0.97459390000000001</v>
      </c>
      <c r="Q2463">
        <v>0.1811711</v>
      </c>
      <c r="R2463">
        <v>-0.13169739999999999</v>
      </c>
      <c r="S2463">
        <v>-3.053223</v>
      </c>
      <c r="T2463">
        <v>1.497686E-2</v>
      </c>
      <c r="U2463">
        <v>-0.1613464</v>
      </c>
      <c r="V2463">
        <v>-0.1306022</v>
      </c>
      <c r="W2463">
        <v>0.19225249999999999</v>
      </c>
      <c r="X2463">
        <v>0.97261609999999998</v>
      </c>
      <c r="Y2463">
        <v>-5.1613520000000003E-2</v>
      </c>
      <c r="Z2463">
        <v>-1.8695929999999999E-4</v>
      </c>
      <c r="AA2463">
        <v>0.99866710000000003</v>
      </c>
      <c r="AB2463">
        <v>31</v>
      </c>
      <c r="AC2463">
        <v>-142.605899999999</v>
      </c>
      <c r="AD2463">
        <v>0.70032299999999903</v>
      </c>
      <c r="AE2463">
        <v>-7.5452999999999903</v>
      </c>
      <c r="AF2463">
        <v>-7.3796891363033597</v>
      </c>
      <c r="AG2463">
        <v>0.70032299999999903</v>
      </c>
      <c r="AH2463">
        <v>142.611127146261</v>
      </c>
      <c r="AI2463">
        <v>89.719014803463693</v>
      </c>
      <c r="AJ2463">
        <v>92.962238987385604</v>
      </c>
      <c r="AK2463">
        <v>142.80365489013201</v>
      </c>
      <c r="AL2463">
        <v>78.915733409510906</v>
      </c>
      <c r="AM2463">
        <v>97.647889403868405</v>
      </c>
      <c r="AN2463">
        <v>1.0000000181901401</v>
      </c>
    </row>
    <row r="2464" spans="1:40" x14ac:dyDescent="0.25">
      <c r="A2464" t="str">
        <f>"20190304155105305"</f>
        <v>20190304155105305</v>
      </c>
      <c r="B2464" t="str">
        <f>"1551685865299451"</f>
        <v>1551685865299451</v>
      </c>
      <c r="C2464" t="s">
        <v>40</v>
      </c>
      <c r="D2464">
        <v>5.2561609999999996</v>
      </c>
      <c r="E2464">
        <v>0.52758119999999997</v>
      </c>
      <c r="F2464" t="s">
        <v>75</v>
      </c>
      <c r="G2464">
        <v>-545.77149999999995</v>
      </c>
      <c r="H2464">
        <v>1.7312890000000001</v>
      </c>
      <c r="I2464">
        <v>278.05</v>
      </c>
      <c r="J2464">
        <v>-404.61340000000001</v>
      </c>
      <c r="K2464">
        <v>1.1103689999999999</v>
      </c>
      <c r="L2464">
        <v>285.59500000000003</v>
      </c>
      <c r="M2464">
        <v>-0.99993330000000002</v>
      </c>
      <c r="N2464">
        <v>-1.1479100000000001E-2</v>
      </c>
      <c r="O2464">
        <v>-1.240515E-3</v>
      </c>
      <c r="P2464">
        <v>-0.97451929999999998</v>
      </c>
      <c r="Q2464">
        <v>0.18155869999999999</v>
      </c>
      <c r="R2464">
        <v>-0.13171429999999901</v>
      </c>
      <c r="S2464">
        <v>-3.0536799999999999</v>
      </c>
      <c r="T2464">
        <v>1.341271E-2</v>
      </c>
      <c r="U2464">
        <v>-0.16296389999999999</v>
      </c>
      <c r="V2464">
        <v>-0.13054160000000001</v>
      </c>
      <c r="W2464">
        <v>0.19271060000000001</v>
      </c>
      <c r="X2464">
        <v>0.9725336</v>
      </c>
      <c r="Y2464">
        <v>-5.2052639999999997E-2</v>
      </c>
      <c r="Z2464">
        <v>-2.0441989999999999E-4</v>
      </c>
      <c r="AA2464">
        <v>0.99864430000000004</v>
      </c>
      <c r="AB2464">
        <v>31</v>
      </c>
      <c r="AC2464">
        <v>-141.158099999999</v>
      </c>
      <c r="AD2464">
        <v>0.62091999999999903</v>
      </c>
      <c r="AE2464">
        <v>-7.5450000000000097</v>
      </c>
      <c r="AF2464">
        <v>-7.3697317165409704</v>
      </c>
      <c r="AG2464">
        <v>0.62091999999999903</v>
      </c>
      <c r="AH2464">
        <v>141.164628055538</v>
      </c>
      <c r="AI2464">
        <v>89.748325877648199</v>
      </c>
      <c r="AJ2464">
        <v>92.988507336725107</v>
      </c>
      <c r="AK2464">
        <v>141.35823535004499</v>
      </c>
      <c r="AL2464">
        <v>78.888986342801005</v>
      </c>
      <c r="AM2464">
        <v>97.645023525369297</v>
      </c>
      <c r="AN2464">
        <v>1.00000004390593</v>
      </c>
    </row>
    <row r="2465" spans="1:40" x14ac:dyDescent="0.25">
      <c r="A2465" t="str">
        <f>"20190304155105319"</f>
        <v>20190304155105319</v>
      </c>
      <c r="B2465" t="str">
        <f>"1551685865309210"</f>
        <v>1551685865309210</v>
      </c>
      <c r="C2465" t="s">
        <v>40</v>
      </c>
      <c r="D2465">
        <v>4.8281099999999997</v>
      </c>
      <c r="E2465">
        <v>0.52758119999999997</v>
      </c>
      <c r="F2465" t="s">
        <v>75</v>
      </c>
      <c r="G2465">
        <v>-540.96500000000003</v>
      </c>
      <c r="H2465">
        <v>1.5639689999999999</v>
      </c>
      <c r="I2465">
        <v>278.05</v>
      </c>
      <c r="J2465">
        <v>-404.80560000000003</v>
      </c>
      <c r="K2465">
        <v>1.1103809999999901</v>
      </c>
      <c r="L2465">
        <v>285.59460000000001</v>
      </c>
      <c r="M2465">
        <v>-0.9999325</v>
      </c>
      <c r="N2465">
        <v>-1.154663E-2</v>
      </c>
      <c r="O2465">
        <v>-1.3052960000000001E-3</v>
      </c>
      <c r="P2465">
        <v>-0.97448190000000001</v>
      </c>
      <c r="Q2465">
        <v>0.181563</v>
      </c>
      <c r="R2465">
        <v>-0.13198480000000001</v>
      </c>
      <c r="S2465">
        <v>-3.0537109999999998</v>
      </c>
      <c r="T2465">
        <v>1.0160570000000001E-2</v>
      </c>
      <c r="U2465">
        <v>-0.16897579999999901</v>
      </c>
      <c r="V2465">
        <v>-0.13074929999999901</v>
      </c>
      <c r="W2465">
        <v>0.1927799</v>
      </c>
      <c r="X2465">
        <v>0.97249189999999996</v>
      </c>
      <c r="Y2465">
        <v>-5.3947500000000002E-2</v>
      </c>
      <c r="Z2465">
        <v>-2.4142219999999999E-4</v>
      </c>
      <c r="AA2465">
        <v>0.99854370000000003</v>
      </c>
      <c r="AB2465">
        <v>31</v>
      </c>
      <c r="AC2465">
        <v>-136.15940000000001</v>
      </c>
      <c r="AD2465">
        <v>0.45358799999999999</v>
      </c>
      <c r="AE2465">
        <v>-7.5446</v>
      </c>
      <c r="AF2465">
        <v>-7.36677190266471</v>
      </c>
      <c r="AG2465">
        <v>0.45358799999999999</v>
      </c>
      <c r="AH2465">
        <v>136.16762607879701</v>
      </c>
      <c r="AI2465">
        <v>89.8094214216826</v>
      </c>
      <c r="AJ2465">
        <v>93.096726244277306</v>
      </c>
      <c r="AK2465">
        <v>136.367508821841</v>
      </c>
      <c r="AL2465">
        <v>78.884939177342901</v>
      </c>
      <c r="AM2465">
        <v>97.657367480635898</v>
      </c>
      <c r="AN2465">
        <v>0.99999998243005395</v>
      </c>
    </row>
    <row r="2466" spans="1:40" x14ac:dyDescent="0.25">
      <c r="A2466" t="str">
        <f>"20190304155105340"</f>
        <v>20190304155105340</v>
      </c>
      <c r="B2466" t="str">
        <f>"1551685865328731"</f>
        <v>1551685865328731</v>
      </c>
      <c r="C2466" t="s">
        <v>40</v>
      </c>
      <c r="D2466">
        <v>5.2500900000000001</v>
      </c>
      <c r="E2466">
        <v>0.52844209999999903</v>
      </c>
      <c r="F2466" t="s">
        <v>75</v>
      </c>
      <c r="G2466">
        <v>-540.24210000000005</v>
      </c>
      <c r="H2466">
        <v>1.5598179999999999</v>
      </c>
      <c r="I2466">
        <v>278.05</v>
      </c>
      <c r="J2466">
        <v>-405.09829999999999</v>
      </c>
      <c r="K2466">
        <v>1.11039</v>
      </c>
      <c r="L2466">
        <v>285.59410000000003</v>
      </c>
      <c r="M2466">
        <v>-0.99993100000000001</v>
      </c>
      <c r="N2466">
        <v>-1.166331E-2</v>
      </c>
      <c r="O2466">
        <v>-1.3950659999999999E-3</v>
      </c>
      <c r="P2466">
        <v>-0.97455340000000001</v>
      </c>
      <c r="Q2466">
        <v>0.18086450000000001</v>
      </c>
      <c r="R2466">
        <v>-0.1324139</v>
      </c>
      <c r="S2466">
        <v>-3.0536189999999999</v>
      </c>
      <c r="T2466">
        <v>1.013505E-2</v>
      </c>
      <c r="U2466">
        <v>-0.17010500000000001</v>
      </c>
      <c r="V2466">
        <v>-0.13109209999999999</v>
      </c>
      <c r="W2466">
        <v>0.192195</v>
      </c>
      <c r="X2466">
        <v>0.97256149999999997</v>
      </c>
      <c r="Y2466">
        <v>-5.4227629999999999E-2</v>
      </c>
      <c r="Z2466">
        <v>-2.4745449999999999E-4</v>
      </c>
      <c r="AA2466">
        <v>0.99852850000000004</v>
      </c>
      <c r="AB2466">
        <v>31</v>
      </c>
      <c r="AC2466">
        <v>-135.1438</v>
      </c>
      <c r="AD2466">
        <v>0.44942799999999999</v>
      </c>
      <c r="AE2466">
        <v>-7.54410000000001</v>
      </c>
      <c r="AF2466">
        <v>-7.3554642173799998</v>
      </c>
      <c r="AG2466">
        <v>0.44942799999999999</v>
      </c>
      <c r="AH2466">
        <v>135.15270365413701</v>
      </c>
      <c r="AI2466">
        <v>89.809754581765105</v>
      </c>
      <c r="AJ2466">
        <v>93.115155652933694</v>
      </c>
      <c r="AK2466">
        <v>135.353456344503</v>
      </c>
      <c r="AL2466">
        <v>78.919089915030696</v>
      </c>
      <c r="AM2466">
        <v>97.676661667332297</v>
      </c>
      <c r="AN2466">
        <v>0.99999996399482904</v>
      </c>
    </row>
    <row r="2467" spans="1:40" x14ac:dyDescent="0.25">
      <c r="A2467" t="str">
        <f>"20190304155105363"</f>
        <v>20190304155105363</v>
      </c>
      <c r="B2467" t="str">
        <f>"1551685865358986"</f>
        <v>1551685865358986</v>
      </c>
      <c r="C2467" t="s">
        <v>40</v>
      </c>
      <c r="D2467">
        <v>5.2118900000000004</v>
      </c>
      <c r="E2467">
        <v>0.52876540000000005</v>
      </c>
      <c r="F2467" t="s">
        <v>75</v>
      </c>
      <c r="G2467">
        <v>-545.34770000000003</v>
      </c>
      <c r="H2467">
        <v>1.3270249999999999</v>
      </c>
      <c r="I2467">
        <v>278.05</v>
      </c>
      <c r="J2467">
        <v>-405.41419999999999</v>
      </c>
      <c r="K2467">
        <v>1.110403</v>
      </c>
      <c r="L2467">
        <v>285.59359999999998</v>
      </c>
      <c r="M2467">
        <v>-0.99992919999999996</v>
      </c>
      <c r="N2467">
        <v>-1.1811469999999999E-2</v>
      </c>
      <c r="O2467">
        <v>-1.4922290000000001E-3</v>
      </c>
      <c r="P2467">
        <v>-0.97473750000000003</v>
      </c>
      <c r="Q2467">
        <v>0.179874799999999</v>
      </c>
      <c r="R2467">
        <v>-0.13240869999999999</v>
      </c>
      <c r="S2467">
        <v>-3.0551149999999998</v>
      </c>
      <c r="T2467">
        <v>4.7208069999999996E-3</v>
      </c>
      <c r="U2467">
        <v>-0.16433719999999999</v>
      </c>
      <c r="V2467">
        <v>-0.1309902</v>
      </c>
      <c r="W2467">
        <v>0.19135260000000001</v>
      </c>
      <c r="X2467">
        <v>0.97274139999999998</v>
      </c>
      <c r="Y2467">
        <v>-5.2223489999999997E-2</v>
      </c>
      <c r="Z2467">
        <v>-2.8824880000000001E-4</v>
      </c>
      <c r="AA2467">
        <v>0.99863539999999995</v>
      </c>
      <c r="AB2467">
        <v>31</v>
      </c>
      <c r="AC2467">
        <v>-139.93350000000001</v>
      </c>
      <c r="AD2467">
        <v>0.21662199999999901</v>
      </c>
      <c r="AE2467">
        <v>-7.5435999999999597</v>
      </c>
      <c r="AF2467">
        <v>-7.3347466945963902</v>
      </c>
      <c r="AG2467">
        <v>0.21662199999999901</v>
      </c>
      <c r="AH2467">
        <v>139.94426735057999</v>
      </c>
      <c r="AI2467">
        <v>89.9114325690567</v>
      </c>
      <c r="AJ2467">
        <v>93.000236166916395</v>
      </c>
      <c r="AK2467">
        <v>140.136517005581</v>
      </c>
      <c r="AL2467">
        <v>78.968269538995102</v>
      </c>
      <c r="AM2467">
        <v>97.669363795609598</v>
      </c>
      <c r="AN2467">
        <v>1.00000004064837</v>
      </c>
    </row>
    <row r="2468" spans="1:40" x14ac:dyDescent="0.25">
      <c r="A2468" t="str">
        <f>"20190304155105386"</f>
        <v>20190304155105386</v>
      </c>
      <c r="B2468" t="str">
        <f>"1551685865379482"</f>
        <v>1551685865379482</v>
      </c>
      <c r="C2468" t="s">
        <v>40</v>
      </c>
      <c r="D2468">
        <v>5.2289009999999996</v>
      </c>
      <c r="E2468">
        <v>0.52914150000000004</v>
      </c>
      <c r="F2468" t="s">
        <v>75</v>
      </c>
      <c r="G2468">
        <v>-548.01869999999997</v>
      </c>
      <c r="H2468">
        <v>1.2408490000000001</v>
      </c>
      <c r="I2468">
        <v>278.05</v>
      </c>
      <c r="J2468">
        <v>-405.72309999999999</v>
      </c>
      <c r="K2468">
        <v>1.110417</v>
      </c>
      <c r="L2468">
        <v>285.59300000000002</v>
      </c>
      <c r="M2468">
        <v>-0.99992720000000002</v>
      </c>
      <c r="N2468">
        <v>-1.1972999999999999E-2</v>
      </c>
      <c r="O2468">
        <v>-1.59633E-3</v>
      </c>
      <c r="P2468">
        <v>-0.97487539999999995</v>
      </c>
      <c r="Q2468">
        <v>0.17912059999999999</v>
      </c>
      <c r="R2468">
        <v>-0.1324168</v>
      </c>
      <c r="S2468">
        <v>-3.0552980000000001</v>
      </c>
      <c r="T2468">
        <v>2.7965310000000001E-3</v>
      </c>
      <c r="U2468">
        <v>-0.16162109999999999</v>
      </c>
      <c r="V2468">
        <v>-0.13089329999999999</v>
      </c>
      <c r="W2468">
        <v>0.19076000000000001</v>
      </c>
      <c r="X2468">
        <v>0.97287080000000004</v>
      </c>
      <c r="Y2468">
        <v>-5.1230900000000003E-2</v>
      </c>
      <c r="Z2468">
        <v>-3.0404899999999998E-4</v>
      </c>
      <c r="AA2468">
        <v>0.99868679999999999</v>
      </c>
      <c r="AB2468">
        <v>31</v>
      </c>
      <c r="AC2468">
        <v>-142.29559999999901</v>
      </c>
      <c r="AD2468">
        <v>0.13043199999999899</v>
      </c>
      <c r="AE2468">
        <v>-7.5430000000000001</v>
      </c>
      <c r="AF2468">
        <v>-7.3158172748147399</v>
      </c>
      <c r="AG2468">
        <v>0.13043199999999899</v>
      </c>
      <c r="AH2468">
        <v>142.30734141635401</v>
      </c>
      <c r="AI2468">
        <v>89.947554741443398</v>
      </c>
      <c r="AJ2468">
        <v>92.942903515812503</v>
      </c>
      <c r="AK2468">
        <v>142.49532489136601</v>
      </c>
      <c r="AL2468">
        <v>79.002859907199195</v>
      </c>
      <c r="AM2468">
        <v>97.662750603864296</v>
      </c>
      <c r="AN2468">
        <v>1.0000000135387599</v>
      </c>
    </row>
    <row r="2469" spans="1:40" x14ac:dyDescent="0.25">
      <c r="A2469" t="str">
        <f>"20190304155105407"</f>
        <v>20190304155105407</v>
      </c>
      <c r="B2469" t="str">
        <f>"1551685865399006"</f>
        <v>1551685865399006</v>
      </c>
      <c r="C2469" t="s">
        <v>40</v>
      </c>
      <c r="D2469">
        <v>5.4807189999999997</v>
      </c>
      <c r="E2469">
        <v>0.52939579999999997</v>
      </c>
      <c r="F2469" t="s">
        <v>75</v>
      </c>
      <c r="G2469">
        <v>-550.78859999999997</v>
      </c>
      <c r="H2469">
        <v>1.181541</v>
      </c>
      <c r="I2469">
        <v>278.05</v>
      </c>
      <c r="J2469">
        <v>-406.017</v>
      </c>
      <c r="K2469">
        <v>1.110439</v>
      </c>
      <c r="L2469">
        <v>285.5924</v>
      </c>
      <c r="M2469">
        <v>-0.99992499999999995</v>
      </c>
      <c r="N2469">
        <v>-1.213827E-2</v>
      </c>
      <c r="O2469">
        <v>-1.69964799999999E-3</v>
      </c>
      <c r="P2469">
        <v>-0.97473140000000003</v>
      </c>
      <c r="Q2469">
        <v>0.1799336</v>
      </c>
      <c r="R2469">
        <v>-0.13237470000000001</v>
      </c>
      <c r="S2469">
        <v>-3.05545</v>
      </c>
      <c r="T2469">
        <v>1.4997719999999999E-3</v>
      </c>
      <c r="U2469">
        <v>-0.1588745</v>
      </c>
      <c r="V2469">
        <v>-0.13074839999999999</v>
      </c>
      <c r="W2469">
        <v>0.19173399999999999</v>
      </c>
      <c r="X2469">
        <v>0.97269879999999997</v>
      </c>
      <c r="Y2469">
        <v>-5.0229660000000002E-2</v>
      </c>
      <c r="Z2469">
        <v>-3.1419940000000001E-4</v>
      </c>
      <c r="AA2469">
        <v>0.9987376</v>
      </c>
      <c r="AB2469">
        <v>31</v>
      </c>
      <c r="AC2469">
        <v>-144.77159999999901</v>
      </c>
      <c r="AD2469">
        <v>7.1101999999999999E-2</v>
      </c>
      <c r="AE2469">
        <v>-7.5423999999999802</v>
      </c>
      <c r="AF2469">
        <v>-7.2963084881010101</v>
      </c>
      <c r="AG2469">
        <v>7.1101999999999999E-2</v>
      </c>
      <c r="AH2469">
        <v>144.784176399844</v>
      </c>
      <c r="AI2469">
        <v>89.971898302923606</v>
      </c>
      <c r="AJ2469">
        <v>92.884944616736107</v>
      </c>
      <c r="AK2469">
        <v>144.96792372393699</v>
      </c>
      <c r="AL2469">
        <v>78.946004369575903</v>
      </c>
      <c r="AM2469">
        <v>97.655705950574699</v>
      </c>
      <c r="AN2469">
        <v>1.00000001319</v>
      </c>
    </row>
    <row r="2470" spans="1:40" x14ac:dyDescent="0.25">
      <c r="A2470" t="str">
        <f>"20190304155105429"</f>
        <v>20190304155105429</v>
      </c>
      <c r="B2470" t="str">
        <f>"1551685865419498"</f>
        <v>1551685865419498</v>
      </c>
      <c r="C2470" t="s">
        <v>40</v>
      </c>
      <c r="D2470">
        <v>5.290527</v>
      </c>
      <c r="E2470">
        <v>0.5293099</v>
      </c>
      <c r="F2470" t="s">
        <v>75</v>
      </c>
      <c r="G2470">
        <v>-551.06230000000005</v>
      </c>
      <c r="H2470">
        <v>1.268273</v>
      </c>
      <c r="I2470">
        <v>278.16180000000003</v>
      </c>
      <c r="J2470">
        <v>-406.31779999999998</v>
      </c>
      <c r="K2470">
        <v>1.1104750000000001</v>
      </c>
      <c r="L2470">
        <v>285.59179999999998</v>
      </c>
      <c r="M2470">
        <v>-0.99992259999999999</v>
      </c>
      <c r="N2470">
        <v>-1.23176E-2</v>
      </c>
      <c r="O2470">
        <v>-1.8031239999999999E-3</v>
      </c>
      <c r="P2470">
        <v>-0.97478569999999998</v>
      </c>
      <c r="Q2470">
        <v>0.17988779999999999</v>
      </c>
      <c r="R2470">
        <v>-0.1320363</v>
      </c>
      <c r="S2470">
        <v>-3.0559690000000002</v>
      </c>
      <c r="T2470">
        <v>3.3271310000000001E-3</v>
      </c>
      <c r="U2470">
        <v>-0.15655520000000001</v>
      </c>
      <c r="V2470">
        <v>-0.1303076</v>
      </c>
      <c r="W2470">
        <v>0.19186410000000001</v>
      </c>
      <c r="X2470">
        <v>0.97273229999999999</v>
      </c>
      <c r="Y2470">
        <v>-4.936169E-2</v>
      </c>
      <c r="Z2470">
        <v>-3.0152379999999999E-4</v>
      </c>
      <c r="AA2470">
        <v>0.99878089999999997</v>
      </c>
      <c r="AB2470">
        <v>31</v>
      </c>
      <c r="AC2470">
        <v>-144.74449999999999</v>
      </c>
      <c r="AD2470">
        <v>0.15779799999999899</v>
      </c>
      <c r="AE2470">
        <v>-7.42999999999995</v>
      </c>
      <c r="AF2470">
        <v>-7.1689673620129897</v>
      </c>
      <c r="AG2470">
        <v>0.15779799999999899</v>
      </c>
      <c r="AH2470">
        <v>144.75749129797501</v>
      </c>
      <c r="AI2470">
        <v>89.937619194461305</v>
      </c>
      <c r="AJ2470">
        <v>92.835198761985495</v>
      </c>
      <c r="AK2470">
        <v>144.934986390897</v>
      </c>
      <c r="AL2470">
        <v>78.938409203682198</v>
      </c>
      <c r="AM2470">
        <v>97.629940706881399</v>
      </c>
      <c r="AN2470">
        <v>1.00000001547492</v>
      </c>
    </row>
    <row r="2471" spans="1:40" x14ac:dyDescent="0.25">
      <c r="A2471" t="str">
        <f>"20190304155105451"</f>
        <v>20190304155105451</v>
      </c>
      <c r="B2471" t="str">
        <f>"1551685865448779"</f>
        <v>1551685865448779</v>
      </c>
      <c r="C2471" t="s">
        <v>40</v>
      </c>
      <c r="D2471">
        <v>5.4711639999999999</v>
      </c>
      <c r="E2471">
        <v>0.52249389999999996</v>
      </c>
      <c r="F2471" t="s">
        <v>75</v>
      </c>
      <c r="G2471">
        <v>-551.06230000000005</v>
      </c>
      <c r="H2471">
        <v>1.218569</v>
      </c>
      <c r="I2471">
        <v>278.19709999999998</v>
      </c>
      <c r="J2471">
        <v>-406.6232</v>
      </c>
      <c r="K2471">
        <v>1.110501</v>
      </c>
      <c r="L2471">
        <v>285.59109999999998</v>
      </c>
      <c r="M2471">
        <v>-0.99992009999999998</v>
      </c>
      <c r="N2471">
        <v>-1.249668E-2</v>
      </c>
      <c r="O2471">
        <v>-1.902969E-3</v>
      </c>
      <c r="P2471">
        <v>-0.97503890000000004</v>
      </c>
      <c r="Q2471">
        <v>0.17867569999999999</v>
      </c>
      <c r="R2471">
        <v>-0.1318116</v>
      </c>
      <c r="S2471">
        <v>-3.0560610000000001</v>
      </c>
      <c r="T2471">
        <v>2.2839309999999999E-3</v>
      </c>
      <c r="U2471">
        <v>-0.15612789999999999</v>
      </c>
      <c r="V2471">
        <v>-0.12998599999999999</v>
      </c>
      <c r="W2471">
        <v>0.19082879999999999</v>
      </c>
      <c r="X2471">
        <v>0.97297889999999998</v>
      </c>
      <c r="Y2471">
        <v>-4.9121079999999998E-2</v>
      </c>
      <c r="Z2471">
        <v>-3.1398100000000001E-4</v>
      </c>
      <c r="AA2471">
        <v>0.99879280000000004</v>
      </c>
      <c r="AB2471">
        <v>31</v>
      </c>
      <c r="AC2471">
        <v>-144.4391</v>
      </c>
      <c r="AD2471">
        <v>0.108068</v>
      </c>
      <c r="AE2471">
        <v>-7.3940000000000001</v>
      </c>
      <c r="AF2471">
        <v>-7.1190980399949897</v>
      </c>
      <c r="AG2471">
        <v>0.108068</v>
      </c>
      <c r="AH2471">
        <v>144.45282943072201</v>
      </c>
      <c r="AI2471">
        <v>89.957187869787106</v>
      </c>
      <c r="AJ2471">
        <v>92.821436712772694</v>
      </c>
      <c r="AK2471">
        <v>144.62818938967899</v>
      </c>
      <c r="AL2471">
        <v>78.998843653612596</v>
      </c>
      <c r="AM2471">
        <v>97.609424517934002</v>
      </c>
      <c r="AN2471">
        <v>0.99999996547532399</v>
      </c>
    </row>
    <row r="2472" spans="1:40" x14ac:dyDescent="0.25">
      <c r="A2472" t="str">
        <f>"20190304155105464"</f>
        <v>20190304155105464</v>
      </c>
      <c r="B2472" t="str">
        <f>"1551685865459514"</f>
        <v>1551685865459514</v>
      </c>
      <c r="C2472" t="s">
        <v>40</v>
      </c>
      <c r="D2472">
        <v>5.8022769999999904</v>
      </c>
      <c r="E2472">
        <v>0.52608129999999997</v>
      </c>
      <c r="F2472" t="s">
        <v>75</v>
      </c>
      <c r="G2472">
        <v>-511.96609999999998</v>
      </c>
      <c r="H2472">
        <v>22.433330000000002</v>
      </c>
      <c r="I2472">
        <v>277.76170000000002</v>
      </c>
      <c r="J2472">
        <v>-406.80119999999999</v>
      </c>
      <c r="K2472">
        <v>1.11052</v>
      </c>
      <c r="L2472">
        <v>285.5908</v>
      </c>
      <c r="M2472">
        <v>-0.99991870000000005</v>
      </c>
      <c r="N2472">
        <v>-1.259856E-2</v>
      </c>
      <c r="O2472">
        <v>-1.960018E-3</v>
      </c>
      <c r="P2472">
        <v>-0.97513360000000004</v>
      </c>
      <c r="Q2472">
        <v>0.1784993</v>
      </c>
      <c r="R2472">
        <v>-0.13134989999999999</v>
      </c>
      <c r="S2472">
        <v>-2.9382929999999998</v>
      </c>
      <c r="T2472">
        <v>0.59475159999999905</v>
      </c>
      <c r="U2472">
        <v>-0.21838379999999999</v>
      </c>
      <c r="V2472">
        <v>-0.12946869999999999</v>
      </c>
      <c r="W2472">
        <v>0.19075249999999999</v>
      </c>
      <c r="X2472">
        <v>0.97306289999999995</v>
      </c>
      <c r="Y2472">
        <v>-7.0870290000000002E-2</v>
      </c>
      <c r="Z2472">
        <v>6.2232219999999996E-3</v>
      </c>
      <c r="AA2472">
        <v>0.99746610000000002</v>
      </c>
      <c r="AB2472">
        <v>31</v>
      </c>
      <c r="AC2472">
        <v>-105.1649</v>
      </c>
      <c r="AD2472">
        <v>21.32281</v>
      </c>
      <c r="AE2472">
        <v>-7.82909999999998</v>
      </c>
      <c r="AF2472">
        <v>-7.3235326258349698</v>
      </c>
      <c r="AG2472">
        <v>21.32281</v>
      </c>
      <c r="AH2472">
        <v>101.048825372412</v>
      </c>
      <c r="AI2472">
        <v>78.114821168082997</v>
      </c>
      <c r="AJ2472">
        <v>94.145274639410303</v>
      </c>
      <c r="AK2472">
        <v>103.533383338718</v>
      </c>
      <c r="AL2472">
        <v>79.003297891086007</v>
      </c>
      <c r="AM2472">
        <v>97.578847657977803</v>
      </c>
      <c r="AN2472">
        <v>1.0000000339461701</v>
      </c>
    </row>
    <row r="2473" spans="1:40" x14ac:dyDescent="0.25">
      <c r="A2473" t="str">
        <f>"20190304155105477"</f>
        <v>20190304155105477</v>
      </c>
      <c r="B2473" t="str">
        <f>"1551685865469275"</f>
        <v>1551685865469275</v>
      </c>
      <c r="C2473" t="s">
        <v>40</v>
      </c>
      <c r="D2473">
        <v>5.3373109999999997</v>
      </c>
      <c r="E2473">
        <v>0.52608129999999997</v>
      </c>
      <c r="F2473" t="s">
        <v>75</v>
      </c>
      <c r="G2473">
        <v>-511.96600000000001</v>
      </c>
      <c r="H2473">
        <v>22.322199999999999</v>
      </c>
      <c r="I2473">
        <v>278.84789999999998</v>
      </c>
      <c r="J2473">
        <v>-406.9649</v>
      </c>
      <c r="K2473">
        <v>1.110536</v>
      </c>
      <c r="L2473">
        <v>285.59039999999999</v>
      </c>
      <c r="M2473">
        <v>-0.99991759999999996</v>
      </c>
      <c r="N2473">
        <v>-1.2690470000000001E-2</v>
      </c>
      <c r="O2473">
        <v>-2.0121179999999998E-3</v>
      </c>
      <c r="P2473">
        <v>-0.97512920000000003</v>
      </c>
      <c r="Q2473">
        <v>0.1786864</v>
      </c>
      <c r="R2473">
        <v>-0.1311272</v>
      </c>
      <c r="S2473">
        <v>-2.9424440000000001</v>
      </c>
      <c r="T2473">
        <v>0.59349039999999997</v>
      </c>
      <c r="U2473">
        <v>-0.18865970000000001</v>
      </c>
      <c r="V2473">
        <v>-0.1291958</v>
      </c>
      <c r="W2473">
        <v>0.19102910000000001</v>
      </c>
      <c r="X2473">
        <v>0.97304489999999999</v>
      </c>
      <c r="Y2473">
        <v>-6.0880110000000001E-2</v>
      </c>
      <c r="Z2473">
        <v>5.2555650000000002E-3</v>
      </c>
      <c r="AA2473">
        <v>0.99813130000000005</v>
      </c>
      <c r="AB2473">
        <v>31</v>
      </c>
      <c r="AC2473">
        <v>-105.00109999999999</v>
      </c>
      <c r="AD2473">
        <v>21.211663999999999</v>
      </c>
      <c r="AE2473">
        <v>-6.7424999999999997</v>
      </c>
      <c r="AF2473">
        <v>-6.2761208776329296</v>
      </c>
      <c r="AG2473">
        <v>21.211663999999999</v>
      </c>
      <c r="AH2473">
        <v>100.913146630328</v>
      </c>
      <c r="AI2473">
        <v>78.151641849593702</v>
      </c>
      <c r="AJ2473">
        <v>93.558829391791406</v>
      </c>
      <c r="AK2473">
        <v>103.30918422751</v>
      </c>
      <c r="AL2473">
        <v>78.987152890765799</v>
      </c>
      <c r="AM2473">
        <v>97.563196018578907</v>
      </c>
      <c r="AN2473">
        <v>1.0000000246002201</v>
      </c>
    </row>
    <row r="2474" spans="1:40" x14ac:dyDescent="0.25">
      <c r="A2474" t="str">
        <f>"20190304155105496"</f>
        <v>20190304155105496</v>
      </c>
      <c r="B2474" t="str">
        <f>"1551685865488795"</f>
        <v>1551685865488795</v>
      </c>
      <c r="C2474" t="s">
        <v>40</v>
      </c>
      <c r="D2474">
        <v>5.2577970000000001</v>
      </c>
      <c r="E2474">
        <v>0.52150229999999997</v>
      </c>
      <c r="F2474" t="s">
        <v>75</v>
      </c>
      <c r="G2474">
        <v>-511.96600000000001</v>
      </c>
      <c r="H2474">
        <v>22.310600000000001</v>
      </c>
      <c r="I2474">
        <v>278.88290000000001</v>
      </c>
      <c r="J2474">
        <v>-407.22829999999999</v>
      </c>
      <c r="K2474">
        <v>1.11056</v>
      </c>
      <c r="L2474">
        <v>285.58980000000003</v>
      </c>
      <c r="M2474">
        <v>-0.99991549999999996</v>
      </c>
      <c r="N2474">
        <v>-1.283433E-2</v>
      </c>
      <c r="O2474">
        <v>-2.0960280000000002E-3</v>
      </c>
      <c r="P2474">
        <v>-0.97504930000000001</v>
      </c>
      <c r="Q2474">
        <v>0.17957310000000001</v>
      </c>
      <c r="R2474">
        <v>-0.13050899999999999</v>
      </c>
      <c r="S2474">
        <v>-2.942383</v>
      </c>
      <c r="T2474">
        <v>0.59407779999999999</v>
      </c>
      <c r="U2474">
        <v>-0.18795780000000001</v>
      </c>
      <c r="V2474">
        <v>-0.12849630000000001</v>
      </c>
      <c r="W2474">
        <v>0.19205410000000001</v>
      </c>
      <c r="X2474">
        <v>0.97293569999999996</v>
      </c>
      <c r="Y2474">
        <v>-6.0566979999999999E-2</v>
      </c>
      <c r="Z2474">
        <v>5.2094589999999996E-3</v>
      </c>
      <c r="AA2474">
        <v>0.99815050000000005</v>
      </c>
      <c r="AB2474">
        <v>31</v>
      </c>
      <c r="AC2474">
        <v>-104.7377</v>
      </c>
      <c r="AD2474">
        <v>21.200039999999898</v>
      </c>
      <c r="AE2474">
        <v>-6.7069000000000099</v>
      </c>
      <c r="AF2474">
        <v>-6.2330097112440699</v>
      </c>
      <c r="AG2474">
        <v>21.200039999999898</v>
      </c>
      <c r="AH2474">
        <v>100.644932499601</v>
      </c>
      <c r="AI2474">
        <v>78.127100102729997</v>
      </c>
      <c r="AJ2474">
        <v>93.5438408601796</v>
      </c>
      <c r="AK2474">
        <v>103.042197879856</v>
      </c>
      <c r="AL2474">
        <v>78.927316279684504</v>
      </c>
      <c r="AM2474">
        <v>97.523551788224495</v>
      </c>
      <c r="AN2474">
        <v>0.99999997638749405</v>
      </c>
    </row>
    <row r="2475" spans="1:40" x14ac:dyDescent="0.25">
      <c r="A2475" t="str">
        <f>"20190304155105519"</f>
        <v>20190304155105519</v>
      </c>
      <c r="B2475" t="str">
        <f>"1551685865509290"</f>
        <v>1551685865509290</v>
      </c>
      <c r="C2475" t="s">
        <v>40</v>
      </c>
      <c r="D2475">
        <v>5.3544039999999997</v>
      </c>
      <c r="E2475">
        <v>0.52273040000000004</v>
      </c>
      <c r="F2475" t="s">
        <v>62</v>
      </c>
      <c r="G2475">
        <v>-499.95769999999999</v>
      </c>
      <c r="H2475">
        <v>1.40845E-2</v>
      </c>
      <c r="I2475">
        <v>279.12110000000001</v>
      </c>
      <c r="J2475">
        <v>-407.53579999999999</v>
      </c>
      <c r="K2475">
        <v>1.110582</v>
      </c>
      <c r="L2475">
        <v>285.589</v>
      </c>
      <c r="M2475">
        <v>-0.99991319999999995</v>
      </c>
      <c r="N2475">
        <v>-1.29911E-2</v>
      </c>
      <c r="O2475">
        <v>-2.1956359999999999E-3</v>
      </c>
      <c r="P2475">
        <v>-0.97503249999999997</v>
      </c>
      <c r="Q2475">
        <v>0.18066170000000001</v>
      </c>
      <c r="R2475">
        <v>-0.12912489999999999</v>
      </c>
      <c r="S2475">
        <v>-3.0549010000000001</v>
      </c>
      <c r="T2475">
        <v>-3.6122559999999998E-2</v>
      </c>
      <c r="U2475">
        <v>-0.21310419999999999</v>
      </c>
      <c r="V2475">
        <v>-0.12701580000000001</v>
      </c>
      <c r="W2475">
        <v>0.19329540000000001</v>
      </c>
      <c r="X2475">
        <v>0.97288430000000004</v>
      </c>
      <c r="Y2475">
        <v>-6.7388500000000004E-2</v>
      </c>
      <c r="Z2475">
        <v>-8.3878809999999996E-4</v>
      </c>
      <c r="AA2475">
        <v>0.99772640000000001</v>
      </c>
      <c r="AB2475">
        <v>31</v>
      </c>
      <c r="AC2475">
        <v>-92.421899999999994</v>
      </c>
      <c r="AD2475">
        <v>-1.0964974999999999</v>
      </c>
      <c r="AE2475">
        <v>-6.4678999999999798</v>
      </c>
      <c r="AF2475">
        <v>-6.26406502532868</v>
      </c>
      <c r="AG2475">
        <v>-1.0964974999999999</v>
      </c>
      <c r="AH2475">
        <v>92.422933901541995</v>
      </c>
      <c r="AI2475">
        <v>90.678164485578407</v>
      </c>
      <c r="AJ2475">
        <v>93.877354123899096</v>
      </c>
      <c r="AK2475">
        <v>92.641456855869095</v>
      </c>
      <c r="AL2475">
        <v>78.854837142161998</v>
      </c>
      <c r="AM2475">
        <v>97.438232138394</v>
      </c>
      <c r="AN2475">
        <v>0.99999999314864496</v>
      </c>
    </row>
    <row r="2476" spans="1:40" x14ac:dyDescent="0.25">
      <c r="A2476" t="str">
        <f>"20190304155105541"</f>
        <v>20190304155105541</v>
      </c>
      <c r="B2476" t="str">
        <f>"1551685865539546"</f>
        <v>1551685865539546</v>
      </c>
      <c r="C2476" t="s">
        <v>40</v>
      </c>
      <c r="D2476">
        <v>5.3465210000000001</v>
      </c>
      <c r="E2476">
        <v>0.52262429999999904</v>
      </c>
      <c r="F2476" t="s">
        <v>75</v>
      </c>
      <c r="G2476">
        <v>-511.95870000000002</v>
      </c>
      <c r="H2476">
        <v>0.19314120000000001</v>
      </c>
      <c r="I2476">
        <v>278.75310000000002</v>
      </c>
      <c r="J2476">
        <v>-407.84160000000003</v>
      </c>
      <c r="K2476">
        <v>1.1105959999999999</v>
      </c>
      <c r="L2476">
        <v>285.5883</v>
      </c>
      <c r="M2476">
        <v>-0.99991129999999995</v>
      </c>
      <c r="N2476">
        <v>-1.3132110000000001E-2</v>
      </c>
      <c r="O2476">
        <v>-2.2952670000000001E-3</v>
      </c>
      <c r="P2476">
        <v>-0.97493890000000005</v>
      </c>
      <c r="Q2476">
        <v>0.18164920000000001</v>
      </c>
      <c r="R2476">
        <v>-0.12844549999999999</v>
      </c>
      <c r="S2476">
        <v>-3.0553279999999998</v>
      </c>
      <c r="T2476">
        <v>-2.6841159999999999E-2</v>
      </c>
      <c r="U2476">
        <v>-0.2000122</v>
      </c>
      <c r="V2476">
        <v>-0.1262393</v>
      </c>
      <c r="W2476">
        <v>0.19441900000000001</v>
      </c>
      <c r="X2476">
        <v>0.97276149999999995</v>
      </c>
      <c r="Y2476">
        <v>-6.3026819999999997E-2</v>
      </c>
      <c r="Z2476">
        <v>-7.008327E-4</v>
      </c>
      <c r="AA2476">
        <v>0.9980116</v>
      </c>
      <c r="AB2476">
        <v>30</v>
      </c>
      <c r="AC2476">
        <v>-104.11709999999999</v>
      </c>
      <c r="AD2476">
        <v>-0.91745480000000001</v>
      </c>
      <c r="AE2476">
        <v>-6.83519999999998</v>
      </c>
      <c r="AF2476">
        <v>-6.5956749416133098</v>
      </c>
      <c r="AG2476">
        <v>-0.91745480000000001</v>
      </c>
      <c r="AH2476">
        <v>104.124465386887</v>
      </c>
      <c r="AI2476">
        <v>90.503818111466899</v>
      </c>
      <c r="AJ2476">
        <v>93.624509423329997</v>
      </c>
      <c r="AK2476">
        <v>104.337188688168</v>
      </c>
      <c r="AL2476">
        <v>78.789215056195204</v>
      </c>
      <c r="AM2476">
        <v>97.394186749770995</v>
      </c>
      <c r="AN2476">
        <v>1.0000000221538601</v>
      </c>
    </row>
    <row r="2477" spans="1:40" x14ac:dyDescent="0.25">
      <c r="A2477" t="str">
        <f>"20190304155105564"</f>
        <v>20190304155105564</v>
      </c>
      <c r="B2477" t="str">
        <f>"1551685865559066"</f>
        <v>1551685865559066</v>
      </c>
      <c r="C2477" t="s">
        <v>40</v>
      </c>
      <c r="D2477">
        <v>5.3635769999999896</v>
      </c>
      <c r="E2477">
        <v>0.52165410000000001</v>
      </c>
      <c r="F2477" t="s">
        <v>75</v>
      </c>
      <c r="G2477">
        <v>-511.9588</v>
      </c>
      <c r="H2477">
        <v>0.49487880000000001</v>
      </c>
      <c r="I2477">
        <v>278.78640000000001</v>
      </c>
      <c r="J2477">
        <v>-408.15969999999999</v>
      </c>
      <c r="K2477">
        <v>1.1106039999999999</v>
      </c>
      <c r="L2477">
        <v>285.5874</v>
      </c>
      <c r="M2477">
        <v>-0.99990919999999905</v>
      </c>
      <c r="N2477">
        <v>-1.326335E-2</v>
      </c>
      <c r="O2477">
        <v>-2.3974460000000001E-3</v>
      </c>
      <c r="P2477">
        <v>-0.97479950000000004</v>
      </c>
      <c r="Q2477">
        <v>0.1827849</v>
      </c>
      <c r="R2477">
        <v>-0.12789039999999999</v>
      </c>
      <c r="S2477">
        <v>-3.0541689999999999</v>
      </c>
      <c r="T2477">
        <v>-1.8059019999999999E-2</v>
      </c>
      <c r="U2477">
        <v>-0.1995239</v>
      </c>
      <c r="V2477">
        <v>-0.12558510000000001</v>
      </c>
      <c r="W2477">
        <v>0.1956813</v>
      </c>
      <c r="X2477">
        <v>0.97259300000000004</v>
      </c>
      <c r="Y2477">
        <v>-6.2793199999999993E-2</v>
      </c>
      <c r="Z2477">
        <v>-6.1994969999999998E-4</v>
      </c>
      <c r="AA2477">
        <v>0.99802639999999998</v>
      </c>
      <c r="AB2477">
        <v>30</v>
      </c>
      <c r="AC2477">
        <v>-103.7991</v>
      </c>
      <c r="AD2477">
        <v>-0.61572519999999997</v>
      </c>
      <c r="AE2477">
        <v>-6.8009999999999797</v>
      </c>
      <c r="AF2477">
        <v>-6.5518762739619198</v>
      </c>
      <c r="AG2477">
        <v>-0.61572519999999997</v>
      </c>
      <c r="AH2477">
        <v>103.81147086861</v>
      </c>
      <c r="AI2477">
        <v>90.339153188357798</v>
      </c>
      <c r="AJ2477">
        <v>93.611331281694703</v>
      </c>
      <c r="AK2477">
        <v>104.019842742313</v>
      </c>
      <c r="AL2477">
        <v>78.715473629381293</v>
      </c>
      <c r="AM2477">
        <v>97.357549727732504</v>
      </c>
      <c r="AN2477">
        <v>0.99999996608034902</v>
      </c>
    </row>
    <row r="2478" spans="1:40" x14ac:dyDescent="0.25">
      <c r="A2478" t="str">
        <f>"20190304155105587"</f>
        <v>20190304155105587</v>
      </c>
      <c r="B2478" t="str">
        <f>"1551685865579562"</f>
        <v>1551685865579562</v>
      </c>
      <c r="C2478" t="s">
        <v>40</v>
      </c>
      <c r="D2478">
        <v>5.3448969999999996</v>
      </c>
      <c r="E2478">
        <v>0.52177209999999996</v>
      </c>
      <c r="F2478" t="s">
        <v>75</v>
      </c>
      <c r="G2478">
        <v>-511.95890000000003</v>
      </c>
      <c r="H2478">
        <v>0.78315849999999998</v>
      </c>
      <c r="I2478">
        <v>278.58019999999999</v>
      </c>
      <c r="J2478">
        <v>-408.46170000000001</v>
      </c>
      <c r="K2478">
        <v>1.110619</v>
      </c>
      <c r="L2478">
        <v>285.58659999999998</v>
      </c>
      <c r="M2478">
        <v>-0.99990760000000001</v>
      </c>
      <c r="N2478">
        <v>-1.3373660000000001E-2</v>
      </c>
      <c r="O2478">
        <v>-2.487894E-3</v>
      </c>
      <c r="P2478">
        <v>-0.9746475</v>
      </c>
      <c r="Q2478">
        <v>0.18400900000000001</v>
      </c>
      <c r="R2478">
        <v>-0.1272924</v>
      </c>
      <c r="S2478">
        <v>-3.0523380000000002</v>
      </c>
      <c r="T2478">
        <v>-9.6265080000000006E-3</v>
      </c>
      <c r="U2478">
        <v>-0.20605470000000001</v>
      </c>
      <c r="V2478">
        <v>-0.1248977</v>
      </c>
      <c r="W2478">
        <v>0.19701199999999999</v>
      </c>
      <c r="X2478">
        <v>0.97241290000000002</v>
      </c>
      <c r="Y2478">
        <v>-6.4869629999999998E-2</v>
      </c>
      <c r="Z2478">
        <v>-5.6186690000000004E-4</v>
      </c>
      <c r="AA2478">
        <v>0.99789360000000005</v>
      </c>
      <c r="AB2478">
        <v>30</v>
      </c>
      <c r="AC2478">
        <v>-103.49720000000001</v>
      </c>
      <c r="AD2478">
        <v>-0.32746049999999999</v>
      </c>
      <c r="AE2478">
        <v>-7.0063999999999798</v>
      </c>
      <c r="AF2478">
        <v>-6.7487980011516902</v>
      </c>
      <c r="AG2478">
        <v>-0.32746049999999999</v>
      </c>
      <c r="AH2478">
        <v>103.513280871524</v>
      </c>
      <c r="AI2478">
        <v>90.180868511503405</v>
      </c>
      <c r="AJ2478">
        <v>93.730257105494303</v>
      </c>
      <c r="AK2478">
        <v>103.73356651357599</v>
      </c>
      <c r="AL2478">
        <v>78.637717007228105</v>
      </c>
      <c r="AM2478">
        <v>97.319055909491894</v>
      </c>
      <c r="AN2478">
        <v>1.00000000584785</v>
      </c>
    </row>
    <row r="2479" spans="1:40" x14ac:dyDescent="0.25">
      <c r="A2479" t="str">
        <f>"20190304155105609"</f>
        <v>20190304155105609</v>
      </c>
      <c r="B2479" t="str">
        <f>"1551685865599082"</f>
        <v>1551685865599082</v>
      </c>
      <c r="C2479" t="s">
        <v>40</v>
      </c>
      <c r="D2479">
        <v>5.3574199999999896</v>
      </c>
      <c r="E2479">
        <v>0.52189839999999998</v>
      </c>
      <c r="F2479" t="s">
        <v>75</v>
      </c>
      <c r="G2479">
        <v>-511.95890000000003</v>
      </c>
      <c r="H2479">
        <v>0.69411429999999996</v>
      </c>
      <c r="I2479">
        <v>278.6909</v>
      </c>
      <c r="J2479">
        <v>-408.75819999999999</v>
      </c>
      <c r="K2479">
        <v>1.110643</v>
      </c>
      <c r="L2479">
        <v>285.58580000000001</v>
      </c>
      <c r="M2479">
        <v>-0.99990599999999996</v>
      </c>
      <c r="N2479">
        <v>-1.346867E-2</v>
      </c>
      <c r="O2479">
        <v>-2.5651860000000001E-3</v>
      </c>
      <c r="P2479">
        <v>-0.97451290000000002</v>
      </c>
      <c r="Q2479">
        <v>0.1855078</v>
      </c>
      <c r="R2479">
        <v>-0.12614040000000001</v>
      </c>
      <c r="S2479">
        <v>-3.053741</v>
      </c>
      <c r="T2479">
        <v>-1.2286780000000001E-2</v>
      </c>
      <c r="U2479">
        <v>-0.20346069999999999</v>
      </c>
      <c r="V2479">
        <v>-0.12366729999999999</v>
      </c>
      <c r="W2479">
        <v>0.198604</v>
      </c>
      <c r="X2479">
        <v>0.97224630000000001</v>
      </c>
      <c r="Y2479">
        <v>-6.3917199999999993E-2</v>
      </c>
      <c r="Z2479">
        <v>-5.8359150000000001E-4</v>
      </c>
      <c r="AA2479">
        <v>0.99795500000000004</v>
      </c>
      <c r="AB2479">
        <v>30</v>
      </c>
      <c r="AC2479">
        <v>-103.2007</v>
      </c>
      <c r="AD2479">
        <v>-0.41652869999999997</v>
      </c>
      <c r="AE2479">
        <v>-6.8948999999999998</v>
      </c>
      <c r="AF2479">
        <v>-6.6300167806445698</v>
      </c>
      <c r="AG2479">
        <v>-0.41652869999999997</v>
      </c>
      <c r="AH2479">
        <v>103.21637476734701</v>
      </c>
      <c r="AI2479">
        <v>90.230739794760595</v>
      </c>
      <c r="AJ2479">
        <v>93.675296832347399</v>
      </c>
      <c r="AK2479">
        <v>103.429931058582</v>
      </c>
      <c r="AL2479">
        <v>78.544663485498305</v>
      </c>
      <c r="AM2479">
        <v>97.248953145651797</v>
      </c>
      <c r="AN2479">
        <v>1.00000000888449</v>
      </c>
    </row>
    <row r="2480" spans="1:40" x14ac:dyDescent="0.25">
      <c r="A2480" t="str">
        <f>"20190304155105631"</f>
        <v>20190304155105631</v>
      </c>
      <c r="B2480" t="str">
        <f>"1551685865629339"</f>
        <v>1551685865629339</v>
      </c>
      <c r="C2480" t="s">
        <v>40</v>
      </c>
      <c r="D2480">
        <v>5.5528500000000003</v>
      </c>
      <c r="E2480">
        <v>0.52190199999999998</v>
      </c>
      <c r="F2480" t="s">
        <v>75</v>
      </c>
      <c r="G2480">
        <v>-511.95890000000003</v>
      </c>
      <c r="H2480">
        <v>0.80556939999999999</v>
      </c>
      <c r="I2480">
        <v>278.8723</v>
      </c>
      <c r="J2480">
        <v>-409.06400000000002</v>
      </c>
      <c r="K2480">
        <v>1.1106480000000001</v>
      </c>
      <c r="L2480">
        <v>285.5849</v>
      </c>
      <c r="M2480">
        <v>-0.99990460000000003</v>
      </c>
      <c r="N2480">
        <v>-1.355403E-2</v>
      </c>
      <c r="O2480">
        <v>-2.6283859999999999E-3</v>
      </c>
      <c r="P2480">
        <v>-0.97430839999999996</v>
      </c>
      <c r="Q2480">
        <v>0.18746060000000001</v>
      </c>
      <c r="R2480">
        <v>-0.1248272</v>
      </c>
      <c r="S2480">
        <v>-3.054443</v>
      </c>
      <c r="T2480">
        <v>-9.0268850000000001E-3</v>
      </c>
      <c r="U2480">
        <v>-0.19869999999999999</v>
      </c>
      <c r="V2480">
        <v>-0.1222871</v>
      </c>
      <c r="W2480">
        <v>0.20064019999999999</v>
      </c>
      <c r="X2480">
        <v>0.9720027</v>
      </c>
      <c r="Y2480">
        <v>-6.2290869999999998E-2</v>
      </c>
      <c r="Z2480">
        <v>-5.4239519999999995E-4</v>
      </c>
      <c r="AA2480">
        <v>0.99805790000000005</v>
      </c>
      <c r="AB2480">
        <v>30</v>
      </c>
      <c r="AC2480">
        <v>-102.89490000000001</v>
      </c>
      <c r="AD2480">
        <v>-0.30507859999999898</v>
      </c>
      <c r="AE2480">
        <v>-6.7126000000000001</v>
      </c>
      <c r="AF2480">
        <v>-6.44204803392652</v>
      </c>
      <c r="AG2480">
        <v>-0.30507859999999898</v>
      </c>
      <c r="AH2480">
        <v>102.91128858603599</v>
      </c>
      <c r="AI2480">
        <v>90.169519967746197</v>
      </c>
      <c r="AJ2480">
        <v>93.581931467017995</v>
      </c>
      <c r="AK2480">
        <v>103.11317265151899</v>
      </c>
      <c r="AL2480">
        <v>78.425600583421499</v>
      </c>
      <c r="AM2480">
        <v>97.170674894698607</v>
      </c>
      <c r="AN2480">
        <v>0.99999993674486698</v>
      </c>
    </row>
    <row r="2481" spans="1:40" x14ac:dyDescent="0.25">
      <c r="A2481" t="str">
        <f>"20190304155105652"</f>
        <v>20190304155105652</v>
      </c>
      <c r="B2481" t="str">
        <f>"1551685865648862"</f>
        <v>1551685865648862</v>
      </c>
      <c r="C2481" t="s">
        <v>40</v>
      </c>
      <c r="D2481">
        <v>5.4034659999999999</v>
      </c>
      <c r="E2481">
        <v>0.52190199999999998</v>
      </c>
      <c r="F2481" t="s">
        <v>75</v>
      </c>
      <c r="G2481">
        <v>-511.95890000000003</v>
      </c>
      <c r="H2481">
        <v>0.82538690000000003</v>
      </c>
      <c r="I2481">
        <v>279.04340000000002</v>
      </c>
      <c r="J2481">
        <v>-409.35599999999999</v>
      </c>
      <c r="K2481">
        <v>1.110644</v>
      </c>
      <c r="L2481">
        <v>285.58409999999998</v>
      </c>
      <c r="M2481">
        <v>-0.9999036</v>
      </c>
      <c r="N2481">
        <v>-1.3625719999999999E-2</v>
      </c>
      <c r="O2481">
        <v>-2.6743130000000002E-3</v>
      </c>
      <c r="P2481">
        <v>-0.97447479999999997</v>
      </c>
      <c r="Q2481">
        <v>0.1882511</v>
      </c>
      <c r="R2481">
        <v>-0.1223122</v>
      </c>
      <c r="S2481">
        <v>-3.055847</v>
      </c>
      <c r="T2481">
        <v>-8.4694619999999901E-3</v>
      </c>
      <c r="U2481">
        <v>-0.1942749</v>
      </c>
      <c r="V2481">
        <v>-0.11972089999999901</v>
      </c>
      <c r="W2481">
        <v>0.20150670000000001</v>
      </c>
      <c r="X2481">
        <v>0.97214290000000003</v>
      </c>
      <c r="Y2481">
        <v>-6.07761E-2</v>
      </c>
      <c r="Z2481">
        <v>-5.2763889999999996E-4</v>
      </c>
      <c r="AA2481">
        <v>0.99815129999999996</v>
      </c>
      <c r="AB2481">
        <v>30</v>
      </c>
      <c r="AC2481">
        <v>-102.60290000000001</v>
      </c>
      <c r="AD2481">
        <v>-0.28525709999999899</v>
      </c>
      <c r="AE2481">
        <v>-6.5406999999999504</v>
      </c>
      <c r="AF2481">
        <v>-6.2662106255670302</v>
      </c>
      <c r="AG2481">
        <v>-0.28525709999999899</v>
      </c>
      <c r="AH2481">
        <v>102.619236539496</v>
      </c>
      <c r="AI2481">
        <v>90.158972146984098</v>
      </c>
      <c r="AJ2481">
        <v>93.494297951416002</v>
      </c>
      <c r="AK2481">
        <v>102.810770229417</v>
      </c>
      <c r="AL2481">
        <v>78.374918599036903</v>
      </c>
      <c r="AM2481">
        <v>97.020713423430493</v>
      </c>
      <c r="AN2481">
        <v>0.999999931031052</v>
      </c>
    </row>
    <row r="2482" spans="1:40" x14ac:dyDescent="0.25">
      <c r="A2482" t="str">
        <f>"20190304155105676"</f>
        <v>20190304155105676</v>
      </c>
      <c r="B2482" t="str">
        <f>"1551685865669358"</f>
        <v>1551685865669358</v>
      </c>
      <c r="C2482" t="s">
        <v>40</v>
      </c>
      <c r="D2482">
        <v>5.5263929999999997</v>
      </c>
      <c r="E2482">
        <v>0.57001440000000003</v>
      </c>
      <c r="F2482" t="s">
        <v>75</v>
      </c>
      <c r="G2482">
        <v>-512.82979999999998</v>
      </c>
      <c r="H2482">
        <v>0.91064500000000004</v>
      </c>
      <c r="I2482">
        <v>279.27539999999999</v>
      </c>
      <c r="J2482">
        <v>-409.66160000000002</v>
      </c>
      <c r="K2482">
        <v>1.1106259999999999</v>
      </c>
      <c r="L2482">
        <v>285.58330000000001</v>
      </c>
      <c r="M2482">
        <v>-0.99990270000000003</v>
      </c>
      <c r="N2482">
        <v>-1.3690829999999999E-2</v>
      </c>
      <c r="O2482">
        <v>-2.7055120000000002E-3</v>
      </c>
      <c r="P2482">
        <v>-0.97486989999999996</v>
      </c>
      <c r="Q2482">
        <v>0.188114</v>
      </c>
      <c r="R2482">
        <v>-0.11934019999999999</v>
      </c>
      <c r="S2482">
        <v>-3.0563349999999998</v>
      </c>
      <c r="T2482">
        <v>-5.9050319999999898E-3</v>
      </c>
      <c r="U2482">
        <v>-0.18634029999999999</v>
      </c>
      <c r="V2482">
        <v>-0.1167107</v>
      </c>
      <c r="W2482">
        <v>0.2014427</v>
      </c>
      <c r="X2482">
        <v>0.9725222</v>
      </c>
      <c r="Y2482">
        <v>-5.815389E-2</v>
      </c>
      <c r="Z2482">
        <v>-4.8639160000000001E-4</v>
      </c>
      <c r="AA2482">
        <v>0.99830750000000001</v>
      </c>
      <c r="AB2482">
        <v>30</v>
      </c>
      <c r="AC2482">
        <v>-103.168199999999</v>
      </c>
      <c r="AD2482">
        <v>-0.19998099999999999</v>
      </c>
      <c r="AE2482">
        <v>-6.3079000000000098</v>
      </c>
      <c r="AF2482">
        <v>-6.0287053990043198</v>
      </c>
      <c r="AG2482">
        <v>-0.19998099999999999</v>
      </c>
      <c r="AH2482">
        <v>103.18450378089901</v>
      </c>
      <c r="AI2482">
        <v>90.110855269885406</v>
      </c>
      <c r="AJ2482">
        <v>93.343788249389902</v>
      </c>
      <c r="AK2482">
        <v>103.360665157006</v>
      </c>
      <c r="AL2482">
        <v>78.378662983798094</v>
      </c>
      <c r="AM2482">
        <v>96.843240129363707</v>
      </c>
      <c r="AN2482">
        <v>0.99999998918530997</v>
      </c>
    </row>
    <row r="2483" spans="1:40" x14ac:dyDescent="0.25">
      <c r="A2483" t="str">
        <f>"20190304155105697"</f>
        <v>20190304155105697</v>
      </c>
      <c r="B2483" t="str">
        <f>"1551685865689096"</f>
        <v>1551685865689096</v>
      </c>
      <c r="C2483" t="s">
        <v>40</v>
      </c>
      <c r="D2483">
        <v>5.7857750000000001</v>
      </c>
      <c r="E2483">
        <v>0.5692739</v>
      </c>
      <c r="F2483" t="s">
        <v>76</v>
      </c>
      <c r="G2483">
        <v>-518.59659999999997</v>
      </c>
      <c r="H2483">
        <v>5.5610839999999904</v>
      </c>
      <c r="I2483">
        <v>292.75510000000003</v>
      </c>
      <c r="J2483">
        <v>-409.96440000000001</v>
      </c>
      <c r="K2483">
        <v>1.1106180000000001</v>
      </c>
      <c r="L2483">
        <v>285.58249999999998</v>
      </c>
      <c r="M2483">
        <v>-0.99990190000000001</v>
      </c>
      <c r="N2483">
        <v>-1.374654E-2</v>
      </c>
      <c r="O2483">
        <v>-2.7215469999999999E-3</v>
      </c>
      <c r="P2483">
        <v>-0.97519339999999999</v>
      </c>
      <c r="Q2483">
        <v>0.18812719999999999</v>
      </c>
      <c r="R2483">
        <v>-0.11664679999999999</v>
      </c>
      <c r="S2483">
        <v>-3.0779109999999998</v>
      </c>
      <c r="T2483">
        <v>0.1257479</v>
      </c>
      <c r="U2483">
        <v>0.2026367</v>
      </c>
      <c r="V2483">
        <v>-0.1139946</v>
      </c>
      <c r="W2483">
        <v>0.2015179</v>
      </c>
      <c r="X2483">
        <v>0.97282869999999999</v>
      </c>
      <c r="Y2483">
        <v>6.8367620000000004E-2</v>
      </c>
      <c r="Z2483">
        <v>-1.0722959999999999E-3</v>
      </c>
      <c r="AA2483">
        <v>0.99765959999999998</v>
      </c>
      <c r="AB2483">
        <v>30</v>
      </c>
      <c r="AC2483">
        <v>-108.632199999999</v>
      </c>
      <c r="AD2483">
        <v>4.4504659999999898</v>
      </c>
      <c r="AE2483">
        <v>7.1726000000000401</v>
      </c>
      <c r="AF2483">
        <v>7.4557895475956197</v>
      </c>
      <c r="AG2483">
        <v>4.4504659999999898</v>
      </c>
      <c r="AH2483">
        <v>108.43107511672601</v>
      </c>
      <c r="AI2483">
        <v>87.655190596254897</v>
      </c>
      <c r="AJ2483">
        <v>86.066497270522703</v>
      </c>
      <c r="AK2483">
        <v>108.77818483668599</v>
      </c>
      <c r="AL2483">
        <v>78.3742637431004</v>
      </c>
      <c r="AM2483">
        <v>96.683354976596405</v>
      </c>
      <c r="AN2483">
        <v>0.99999995619662896</v>
      </c>
    </row>
    <row r="2484" spans="1:40" x14ac:dyDescent="0.25">
      <c r="A2484" t="str">
        <f>"20190304155105719"</f>
        <v>20190304155105719</v>
      </c>
      <c r="B2484" t="str">
        <f>"1551685865708616"</f>
        <v>1551685865708616</v>
      </c>
      <c r="C2484" t="s">
        <v>40</v>
      </c>
      <c r="D2484">
        <v>5.5449580000000003</v>
      </c>
      <c r="E2484">
        <v>0.56881139999999997</v>
      </c>
      <c r="F2484" t="s">
        <v>76</v>
      </c>
      <c r="G2484">
        <v>-544.30520000000001</v>
      </c>
      <c r="H2484">
        <v>3.0507399999999998</v>
      </c>
      <c r="I2484">
        <v>294.55</v>
      </c>
      <c r="J2484">
        <v>-410.25839999999999</v>
      </c>
      <c r="K2484">
        <v>1.1106069999999999</v>
      </c>
      <c r="L2484">
        <v>285.58159999999998</v>
      </c>
      <c r="M2484">
        <v>-0.99990120000000005</v>
      </c>
      <c r="N2484">
        <v>-1.3793450000000001E-2</v>
      </c>
      <c r="O2484">
        <v>-2.7268499999999998E-3</v>
      </c>
      <c r="P2484">
        <v>-0.97563029999999995</v>
      </c>
      <c r="Q2484">
        <v>0.18694659999999999</v>
      </c>
      <c r="R2484">
        <v>-0.1148781</v>
      </c>
      <c r="S2484">
        <v>-3.092346</v>
      </c>
      <c r="T2484">
        <v>4.4660930000000001E-2</v>
      </c>
      <c r="U2484">
        <v>0.20642089999999999</v>
      </c>
      <c r="V2484">
        <v>-0.1122155</v>
      </c>
      <c r="W2484">
        <v>0.20039119999999999</v>
      </c>
      <c r="X2484">
        <v>0.97326820000000003</v>
      </c>
      <c r="Y2484">
        <v>6.9323399999999993E-2</v>
      </c>
      <c r="Z2484" s="1">
        <v>-9.8262040000000005E-5</v>
      </c>
      <c r="AA2484">
        <v>0.99759419999999999</v>
      </c>
      <c r="AB2484">
        <v>30</v>
      </c>
      <c r="AC2484">
        <v>-134.04679999999999</v>
      </c>
      <c r="AD2484">
        <v>1.9401330000000001</v>
      </c>
      <c r="AE2484">
        <v>8.9684000000000292</v>
      </c>
      <c r="AF2484">
        <v>9.3319807394940302</v>
      </c>
      <c r="AG2484">
        <v>1.9401330000000001</v>
      </c>
      <c r="AH2484">
        <v>133.99389928846699</v>
      </c>
      <c r="AI2484">
        <v>89.172461507220902</v>
      </c>
      <c r="AJ2484">
        <v>86.016078753748303</v>
      </c>
      <c r="AK2484">
        <v>134.33247941993699</v>
      </c>
      <c r="AL2484">
        <v>78.440163382132596</v>
      </c>
      <c r="AM2484">
        <v>96.5770252160262</v>
      </c>
      <c r="AN2484">
        <v>0.99999997030446397</v>
      </c>
    </row>
    <row r="2485" spans="1:40" x14ac:dyDescent="0.25">
      <c r="A2485" t="str">
        <f>"20190304155105742"</f>
        <v>20190304155105742</v>
      </c>
      <c r="B2485" t="str">
        <f>"1551685865739271"</f>
        <v>1551685865739271</v>
      </c>
      <c r="C2485" t="s">
        <v>40</v>
      </c>
      <c r="D2485">
        <v>5.4234600000000004</v>
      </c>
      <c r="E2485">
        <v>0.57463649999999999</v>
      </c>
      <c r="F2485" t="s">
        <v>76</v>
      </c>
      <c r="G2485">
        <v>-543.23689999999999</v>
      </c>
      <c r="H2485">
        <v>1.9896480000000001</v>
      </c>
      <c r="I2485">
        <v>294.55</v>
      </c>
      <c r="J2485">
        <v>-410.55860000000001</v>
      </c>
      <c r="K2485">
        <v>1.1106049999999901</v>
      </c>
      <c r="L2485">
        <v>285.58080000000001</v>
      </c>
      <c r="M2485">
        <v>-0.99990069999999998</v>
      </c>
      <c r="N2485">
        <v>-1.383477E-2</v>
      </c>
      <c r="O2485">
        <v>-2.7258460000000001E-3</v>
      </c>
      <c r="P2485">
        <v>-0.97594060000000005</v>
      </c>
      <c r="Q2485">
        <v>0.1860222</v>
      </c>
      <c r="R2485">
        <v>-0.1137368</v>
      </c>
      <c r="S2485">
        <v>-3.0955509999999999</v>
      </c>
      <c r="T2485">
        <v>2.0464779999999998E-2</v>
      </c>
      <c r="U2485">
        <v>0.20877080000000001</v>
      </c>
      <c r="V2485">
        <v>-0.1110713</v>
      </c>
      <c r="W2485">
        <v>0.19951289999999999</v>
      </c>
      <c r="X2485">
        <v>0.97357990000000005</v>
      </c>
      <c r="Y2485">
        <v>7.0010130000000004E-2</v>
      </c>
      <c r="Z2485">
        <v>1.9803059999999999E-4</v>
      </c>
      <c r="AA2485">
        <v>0.9975463</v>
      </c>
      <c r="AB2485">
        <v>30</v>
      </c>
      <c r="AC2485">
        <v>-132.67829999999901</v>
      </c>
      <c r="AD2485">
        <v>0.87904300000000002</v>
      </c>
      <c r="AE2485">
        <v>8.9692000000000007</v>
      </c>
      <c r="AF2485">
        <v>9.3304541555254801</v>
      </c>
      <c r="AG2485">
        <v>0.87904300000000002</v>
      </c>
      <c r="AH2485">
        <v>132.64755984516799</v>
      </c>
      <c r="AI2485">
        <v>89.621247575367704</v>
      </c>
      <c r="AJ2485">
        <v>85.976431285774197</v>
      </c>
      <c r="AK2485">
        <v>132.97821334422301</v>
      </c>
      <c r="AL2485">
        <v>78.491524103624201</v>
      </c>
      <c r="AM2485">
        <v>96.508475075474095</v>
      </c>
      <c r="AN2485">
        <v>1.0000000263170501</v>
      </c>
    </row>
    <row r="2486" spans="1:40" x14ac:dyDescent="0.25">
      <c r="A2486" t="str">
        <f>"20190304155105765"</f>
        <v>20190304155105765</v>
      </c>
      <c r="B2486" t="str">
        <f>"1551685865758790"</f>
        <v>1551685865758790</v>
      </c>
      <c r="C2486" t="s">
        <v>40</v>
      </c>
      <c r="D2486">
        <v>5.4125750000000004</v>
      </c>
      <c r="E2486">
        <v>0.5751328</v>
      </c>
      <c r="F2486" t="s">
        <v>76</v>
      </c>
      <c r="G2486">
        <v>-510.95429999999999</v>
      </c>
      <c r="H2486">
        <v>2.0359829999999999</v>
      </c>
      <c r="I2486">
        <v>293.94589999999999</v>
      </c>
      <c r="J2486">
        <v>-410.86470000000003</v>
      </c>
      <c r="K2486">
        <v>1.110606</v>
      </c>
      <c r="L2486">
        <v>285.58</v>
      </c>
      <c r="M2486">
        <v>-0.99990029999999996</v>
      </c>
      <c r="N2486">
        <v>-1.387091E-2</v>
      </c>
      <c r="O2486">
        <v>-2.7212690000000001E-3</v>
      </c>
      <c r="P2486">
        <v>-0.97592029999999996</v>
      </c>
      <c r="Q2486">
        <v>0.1866632</v>
      </c>
      <c r="R2486">
        <v>-0.11285729999999999</v>
      </c>
      <c r="S2486">
        <v>-3.0986020000000001</v>
      </c>
      <c r="T2486">
        <v>2.8563379999999999E-2</v>
      </c>
      <c r="U2486">
        <v>0.25817869999999998</v>
      </c>
      <c r="V2486">
        <v>-0.1101946</v>
      </c>
      <c r="W2486">
        <v>0.2001899</v>
      </c>
      <c r="X2486">
        <v>0.97354050000000003</v>
      </c>
      <c r="Y2486">
        <v>8.5746240000000001E-2</v>
      </c>
      <c r="Z2486">
        <v>1.384991E-4</v>
      </c>
      <c r="AA2486">
        <v>0.99631700000000001</v>
      </c>
      <c r="AB2486">
        <v>30</v>
      </c>
      <c r="AC2486">
        <v>-100.089599999999</v>
      </c>
      <c r="AD2486">
        <v>0.92537700000000001</v>
      </c>
      <c r="AE2486">
        <v>8.3658999999999999</v>
      </c>
      <c r="AF2486">
        <v>8.6375326875883598</v>
      </c>
      <c r="AG2486">
        <v>0.92537700000000001</v>
      </c>
      <c r="AH2486">
        <v>100.05796776319799</v>
      </c>
      <c r="AI2486">
        <v>89.472083577997196</v>
      </c>
      <c r="AJ2486">
        <v>85.066156941154205</v>
      </c>
      <c r="AK2486">
        <v>100.434357699058</v>
      </c>
      <c r="AL2486">
        <v>78.451935629343296</v>
      </c>
      <c r="AM2486">
        <v>96.457797617783598</v>
      </c>
      <c r="AN2486">
        <v>0.99999997553570896</v>
      </c>
    </row>
    <row r="2487" spans="1:40" x14ac:dyDescent="0.25">
      <c r="A2487" t="str">
        <f>"20190304155105789"</f>
        <v>20190304155105789</v>
      </c>
      <c r="B2487" t="str">
        <f>"1551685865779287"</f>
        <v>1551685865779287</v>
      </c>
      <c r="C2487" t="s">
        <v>40</v>
      </c>
      <c r="D2487">
        <v>5.296748</v>
      </c>
      <c r="E2487">
        <v>0.57737450000000001</v>
      </c>
      <c r="F2487" t="s">
        <v>76</v>
      </c>
      <c r="G2487">
        <v>-510.95440000000002</v>
      </c>
      <c r="H2487">
        <v>2.375591</v>
      </c>
      <c r="I2487">
        <v>294.11399999999998</v>
      </c>
      <c r="J2487">
        <v>-411.17540000000002</v>
      </c>
      <c r="K2487">
        <v>1.1106149999999999</v>
      </c>
      <c r="L2487">
        <v>285.57920000000001</v>
      </c>
      <c r="M2487">
        <v>-0.99989969999999995</v>
      </c>
      <c r="N2487">
        <v>-1.390198E-2</v>
      </c>
      <c r="O2487">
        <v>-2.716085E-3</v>
      </c>
      <c r="P2487">
        <v>-0.97595529999999997</v>
      </c>
      <c r="Q2487">
        <v>0.18675410000000001</v>
      </c>
      <c r="R2487">
        <v>-0.1124029</v>
      </c>
      <c r="S2487">
        <v>-3.0970759999999999</v>
      </c>
      <c r="T2487">
        <v>3.9144989999999998E-2</v>
      </c>
      <c r="U2487">
        <v>0.26406859999999999</v>
      </c>
      <c r="V2487">
        <v>-0.1097443</v>
      </c>
      <c r="W2487">
        <v>0.2003123</v>
      </c>
      <c r="X2487">
        <v>0.97356620000000005</v>
      </c>
      <c r="Y2487">
        <v>8.7661569999999994E-2</v>
      </c>
      <c r="Z2487" s="1">
        <v>-1.4457149999999999E-5</v>
      </c>
      <c r="AA2487">
        <v>0.99615030000000004</v>
      </c>
      <c r="AB2487">
        <v>30</v>
      </c>
      <c r="AC2487">
        <v>-99.778999999999996</v>
      </c>
      <c r="AD2487">
        <v>1.2649760000000001</v>
      </c>
      <c r="AE2487">
        <v>8.5348000000000095</v>
      </c>
      <c r="AF2487">
        <v>8.8043981252042993</v>
      </c>
      <c r="AG2487">
        <v>1.2649760000000001</v>
      </c>
      <c r="AH2487">
        <v>99.739534102224795</v>
      </c>
      <c r="AI2487">
        <v>89.276182690502694</v>
      </c>
      <c r="AJ2487">
        <v>84.955353806661407</v>
      </c>
      <c r="AK2487">
        <v>100.13536964308101</v>
      </c>
      <c r="AL2487">
        <v>78.444777776199103</v>
      </c>
      <c r="AM2487">
        <v>96.431461641437394</v>
      </c>
      <c r="AN2487">
        <v>0.99999998734810902</v>
      </c>
    </row>
    <row r="2488" spans="1:40" x14ac:dyDescent="0.25">
      <c r="A2488" t="str">
        <f>"20190304155105809"</f>
        <v>20190304155105809</v>
      </c>
      <c r="B2488" t="str">
        <f>"1551685865798807"</f>
        <v>1551685865798807</v>
      </c>
      <c r="C2488" t="s">
        <v>40</v>
      </c>
      <c r="D2488">
        <v>4.9661569999999999</v>
      </c>
      <c r="E2488">
        <v>0.57812799999999998</v>
      </c>
      <c r="F2488" t="s">
        <v>76</v>
      </c>
      <c r="G2488">
        <v>-510.95440000000002</v>
      </c>
      <c r="H2488">
        <v>2.5193759999999998</v>
      </c>
      <c r="I2488">
        <v>294.68150000000003</v>
      </c>
      <c r="J2488">
        <v>-411.4579</v>
      </c>
      <c r="K2488">
        <v>1.1106240000000001</v>
      </c>
      <c r="L2488">
        <v>285.57839999999999</v>
      </c>
      <c r="M2488">
        <v>-0.99989950000000005</v>
      </c>
      <c r="N2488">
        <v>-1.392585E-2</v>
      </c>
      <c r="O2488">
        <v>-2.712538E-3</v>
      </c>
      <c r="P2488">
        <v>-0.97591459999999997</v>
      </c>
      <c r="Q2488">
        <v>0.18703929999999999</v>
      </c>
      <c r="R2488">
        <v>-0.1122823</v>
      </c>
      <c r="S2488">
        <v>-3.0980829999999999</v>
      </c>
      <c r="T2488">
        <v>4.3743850000000001E-2</v>
      </c>
      <c r="U2488">
        <v>0.28262330000000002</v>
      </c>
      <c r="V2488">
        <v>-0.10962669999999999</v>
      </c>
      <c r="W2488">
        <v>0.2006202</v>
      </c>
      <c r="X2488">
        <v>0.97351600000000005</v>
      </c>
      <c r="Y2488">
        <v>9.3548069999999997E-2</v>
      </c>
      <c r="Z2488" s="1">
        <v>-8.2195499999999894E-5</v>
      </c>
      <c r="AA2488">
        <v>0.99561480000000002</v>
      </c>
      <c r="AB2488">
        <v>30</v>
      </c>
      <c r="AC2488">
        <v>-99.496499999999997</v>
      </c>
      <c r="AD2488">
        <v>1.40875199999999</v>
      </c>
      <c r="AE2488">
        <v>9.1031000000000297</v>
      </c>
      <c r="AF2488">
        <v>9.3711176235969607</v>
      </c>
      <c r="AG2488">
        <v>1.40875199999999</v>
      </c>
      <c r="AH2488">
        <v>99.451667232313596</v>
      </c>
      <c r="AI2488">
        <v>89.192027083603406</v>
      </c>
      <c r="AJ2488">
        <v>84.617035433022096</v>
      </c>
      <c r="AK2488">
        <v>99.902134827037798</v>
      </c>
      <c r="AL2488">
        <v>78.426770322224797</v>
      </c>
      <c r="AM2488">
        <v>96.424955978215493</v>
      </c>
      <c r="AN2488">
        <v>0.99999994012846305</v>
      </c>
    </row>
    <row r="2489" spans="1:40" x14ac:dyDescent="0.25">
      <c r="A2489" t="str">
        <f>"20190304155105831"</f>
        <v>20190304155105831</v>
      </c>
      <c r="B2489" t="str">
        <f>"1551685865829063"</f>
        <v>1551685865829063</v>
      </c>
      <c r="C2489" t="s">
        <v>40</v>
      </c>
      <c r="D2489">
        <v>5.4470710000000002</v>
      </c>
      <c r="E2489">
        <v>0.57771459999999997</v>
      </c>
      <c r="F2489" t="s">
        <v>76</v>
      </c>
      <c r="G2489">
        <v>-510.95460000000003</v>
      </c>
      <c r="H2489">
        <v>2.8954949999999999</v>
      </c>
      <c r="I2489">
        <v>294.84089999999998</v>
      </c>
      <c r="J2489">
        <v>-411.75749999999999</v>
      </c>
      <c r="K2489">
        <v>1.1106279999999999</v>
      </c>
      <c r="L2489">
        <v>285.57760000000002</v>
      </c>
      <c r="M2489">
        <v>-0.99989910000000004</v>
      </c>
      <c r="N2489">
        <v>-1.3947380000000001E-2</v>
      </c>
      <c r="O2489">
        <v>-2.7100539999999999E-3</v>
      </c>
      <c r="P2489">
        <v>-0.97585900000000003</v>
      </c>
      <c r="Q2489">
        <v>0.1872673</v>
      </c>
      <c r="R2489">
        <v>-0.1123869</v>
      </c>
      <c r="S2489">
        <v>-3.096527</v>
      </c>
      <c r="T2489">
        <v>5.5551169999999997E-2</v>
      </c>
      <c r="U2489">
        <v>0.288269</v>
      </c>
      <c r="V2489">
        <v>-0.109733399999999</v>
      </c>
      <c r="W2489">
        <v>0.2008682</v>
      </c>
      <c r="X2489">
        <v>0.97345289999999995</v>
      </c>
      <c r="Y2489">
        <v>9.5387120000000006E-2</v>
      </c>
      <c r="Z2489">
        <v>-2.7324359999999999E-4</v>
      </c>
      <c r="AA2489">
        <v>0.9954402</v>
      </c>
      <c r="AB2489">
        <v>30</v>
      </c>
      <c r="AC2489">
        <v>-99.197100000000006</v>
      </c>
      <c r="AD2489">
        <v>1.78486699999999</v>
      </c>
      <c r="AE2489">
        <v>9.2632999999999495</v>
      </c>
      <c r="AF2489">
        <v>9.5290632221101408</v>
      </c>
      <c r="AG2489">
        <v>1.78486699999999</v>
      </c>
      <c r="AH2489">
        <v>99.139809840047107</v>
      </c>
      <c r="AI2489">
        <v>88.973315495950402</v>
      </c>
      <c r="AJ2489">
        <v>84.509743120172502</v>
      </c>
      <c r="AK2489">
        <v>99.612703463059205</v>
      </c>
      <c r="AL2489">
        <v>78.412266419006301</v>
      </c>
      <c r="AM2489">
        <v>96.431570420262005</v>
      </c>
      <c r="AN2489">
        <v>1.0000000006826</v>
      </c>
    </row>
    <row r="2490" spans="1:40" x14ac:dyDescent="0.25">
      <c r="A2490" t="str">
        <f>"20190304155105854"</f>
        <v>20190304155105854</v>
      </c>
      <c r="B2490" t="str">
        <f>"1551685865849561"</f>
        <v>1551685865849561</v>
      </c>
      <c r="C2490" t="s">
        <v>40</v>
      </c>
      <c r="D2490">
        <v>5.2328429999999999</v>
      </c>
      <c r="E2490">
        <v>0.57795569999999996</v>
      </c>
      <c r="F2490" t="s">
        <v>76</v>
      </c>
      <c r="G2490">
        <v>-510.95499999999998</v>
      </c>
      <c r="H2490">
        <v>4.0121919999999998</v>
      </c>
      <c r="I2490">
        <v>294.70749999999998</v>
      </c>
      <c r="J2490">
        <v>-412.0598</v>
      </c>
      <c r="K2490">
        <v>1.1106290000000001</v>
      </c>
      <c r="L2490">
        <v>285.57670000000002</v>
      </c>
      <c r="M2490">
        <v>-0.99989879999999998</v>
      </c>
      <c r="N2490">
        <v>-1.3965760000000001E-2</v>
      </c>
      <c r="O2490">
        <v>-2.7088640000000001E-3</v>
      </c>
      <c r="P2490">
        <v>-0.9758791</v>
      </c>
      <c r="Q2490">
        <v>0.1869741</v>
      </c>
      <c r="R2490">
        <v>-0.11269849999999999</v>
      </c>
      <c r="S2490">
        <v>-3.0896300000000001</v>
      </c>
      <c r="T2490">
        <v>9.0375419999999998E-2</v>
      </c>
      <c r="U2490">
        <v>0.28436280000000003</v>
      </c>
      <c r="V2490">
        <v>-0.11004650000000001</v>
      </c>
      <c r="W2490">
        <v>0.20059350000000001</v>
      </c>
      <c r="X2490">
        <v>0.97347419999999996</v>
      </c>
      <c r="Y2490">
        <v>9.4324539999999998E-2</v>
      </c>
      <c r="Z2490">
        <v>-8.3299800000000005E-4</v>
      </c>
      <c r="AA2490">
        <v>0.99554120000000002</v>
      </c>
      <c r="AB2490">
        <v>30</v>
      </c>
      <c r="AC2490">
        <v>-98.895200000000003</v>
      </c>
      <c r="AD2490">
        <v>2.9015629999999901</v>
      </c>
      <c r="AE2490">
        <v>9.1307999999999598</v>
      </c>
      <c r="AF2490">
        <v>9.3906708966899295</v>
      </c>
      <c r="AG2490">
        <v>2.9015629999999901</v>
      </c>
      <c r="AH2490">
        <v>98.785782326159193</v>
      </c>
      <c r="AI2490">
        <v>88.325122654802698</v>
      </c>
      <c r="AJ2490">
        <v>84.569726243845295</v>
      </c>
      <c r="AK2490">
        <v>99.273534023546404</v>
      </c>
      <c r="AL2490">
        <v>78.428332579778697</v>
      </c>
      <c r="AM2490">
        <v>96.449627130948997</v>
      </c>
      <c r="AN2490">
        <v>1.0000000012350601</v>
      </c>
    </row>
    <row r="2491" spans="1:40" x14ac:dyDescent="0.25">
      <c r="A2491" t="str">
        <f>"20190304155105875"</f>
        <v>20190304155105875</v>
      </c>
      <c r="B2491" t="str">
        <f>"1551685865869082"</f>
        <v>1551685865869082</v>
      </c>
      <c r="C2491" t="s">
        <v>40</v>
      </c>
      <c r="D2491">
        <v>5.2096799999999996</v>
      </c>
      <c r="E2491">
        <v>0.578377699999999</v>
      </c>
      <c r="F2491" t="s">
        <v>76</v>
      </c>
      <c r="G2491">
        <v>-510.95499999999998</v>
      </c>
      <c r="H2491">
        <v>4.2506680000000001</v>
      </c>
      <c r="I2491">
        <v>294.71390000000002</v>
      </c>
      <c r="J2491">
        <v>-412.3571</v>
      </c>
      <c r="K2491">
        <v>1.110636</v>
      </c>
      <c r="L2491">
        <v>285.57589999999999</v>
      </c>
      <c r="M2491">
        <v>-0.99989870000000003</v>
      </c>
      <c r="N2491">
        <v>-1.398102E-2</v>
      </c>
      <c r="O2491">
        <v>-2.7084909999999999E-3</v>
      </c>
      <c r="P2491">
        <v>-0.9758192</v>
      </c>
      <c r="Q2491">
        <v>0.18711620000000001</v>
      </c>
      <c r="R2491">
        <v>-0.11298130000000001</v>
      </c>
      <c r="S2491">
        <v>-3.0883180000000001</v>
      </c>
      <c r="T2491">
        <v>9.8060250000000002E-2</v>
      </c>
      <c r="U2491">
        <v>0.28533940000000002</v>
      </c>
      <c r="V2491">
        <v>-0.11032930000000001</v>
      </c>
      <c r="W2491">
        <v>0.2007496</v>
      </c>
      <c r="X2491">
        <v>0.97341</v>
      </c>
      <c r="Y2491">
        <v>9.4669059999999999E-2</v>
      </c>
      <c r="Z2491">
        <v>-9.5965320000000005E-4</v>
      </c>
      <c r="AA2491">
        <v>0.99550830000000001</v>
      </c>
      <c r="AB2491">
        <v>30</v>
      </c>
      <c r="AC2491">
        <v>-98.597899999999896</v>
      </c>
      <c r="AD2491">
        <v>3.1400320000000002</v>
      </c>
      <c r="AE2491">
        <v>9.1380000000000301</v>
      </c>
      <c r="AF2491">
        <v>9.3955960139254593</v>
      </c>
      <c r="AG2491">
        <v>3.1400320000000002</v>
      </c>
      <c r="AH2491">
        <v>98.473762022055496</v>
      </c>
      <c r="AI2491">
        <v>88.181880095206097</v>
      </c>
      <c r="AJ2491">
        <v>84.549783635364307</v>
      </c>
      <c r="AK2491">
        <v>98.970797875910506</v>
      </c>
      <c r="AL2491">
        <v>78.419202894104899</v>
      </c>
      <c r="AM2491">
        <v>96.466484185543706</v>
      </c>
      <c r="AN2491">
        <v>0.99999999221932501</v>
      </c>
    </row>
    <row r="2492" spans="1:40" x14ac:dyDescent="0.25">
      <c r="A2492" t="str">
        <f>"20190304155105898"</f>
        <v>20190304155105898</v>
      </c>
      <c r="B2492" t="str">
        <f>"1551685865889575"</f>
        <v>1551685865889575</v>
      </c>
      <c r="C2492" t="s">
        <v>40</v>
      </c>
      <c r="D2492">
        <v>4.7589139999999999</v>
      </c>
      <c r="E2492">
        <v>0.57870440000000001</v>
      </c>
      <c r="F2492" t="s">
        <v>76</v>
      </c>
      <c r="G2492">
        <v>-510.95499999999998</v>
      </c>
      <c r="H2492">
        <v>4.2061710000000003</v>
      </c>
      <c r="I2492">
        <v>294.75659999999999</v>
      </c>
      <c r="J2492">
        <v>-412.65910000000002</v>
      </c>
      <c r="K2492">
        <v>1.1106370000000001</v>
      </c>
      <c r="L2492">
        <v>285.57510000000002</v>
      </c>
      <c r="M2492">
        <v>-0.99989859999999997</v>
      </c>
      <c r="N2492">
        <v>-1.399399E-2</v>
      </c>
      <c r="O2492">
        <v>-2.7083440000000001E-3</v>
      </c>
      <c r="P2492">
        <v>-0.97576439999999998</v>
      </c>
      <c r="Q2492">
        <v>0.18744130000000001</v>
      </c>
      <c r="R2492">
        <v>-0.11291519999999999</v>
      </c>
      <c r="S2492">
        <v>-3.0890499999999999</v>
      </c>
      <c r="T2492">
        <v>9.6984860000000006E-2</v>
      </c>
      <c r="U2492">
        <v>0.2876282</v>
      </c>
      <c r="V2492">
        <v>-0.1102635</v>
      </c>
      <c r="W2492">
        <v>0.2010864</v>
      </c>
      <c r="X2492">
        <v>0.97334799999999999</v>
      </c>
      <c r="Y2492">
        <v>9.5379270000000002E-2</v>
      </c>
      <c r="Z2492">
        <v>-9.4738839999999999E-4</v>
      </c>
      <c r="AA2492">
        <v>0.99544049999999995</v>
      </c>
      <c r="AB2492">
        <v>30</v>
      </c>
      <c r="AC2492">
        <v>-98.295899999999904</v>
      </c>
      <c r="AD2492">
        <v>3.0955339999999998</v>
      </c>
      <c r="AE2492">
        <v>9.1814999999999696</v>
      </c>
      <c r="AF2492">
        <v>9.4384318890504808</v>
      </c>
      <c r="AG2492">
        <v>3.0955339999999998</v>
      </c>
      <c r="AH2492">
        <v>98.174148670400797</v>
      </c>
      <c r="AI2492">
        <v>88.202285665785695</v>
      </c>
      <c r="AJ2492">
        <v>84.508479292466802</v>
      </c>
      <c r="AK2492">
        <v>98.675375826126796</v>
      </c>
      <c r="AL2492">
        <v>78.399504707565001</v>
      </c>
      <c r="AM2492">
        <v>96.463068408008198</v>
      </c>
      <c r="AN2492">
        <v>1.0000000544006</v>
      </c>
    </row>
    <row r="2493" spans="1:40" x14ac:dyDescent="0.25">
      <c r="A2493" t="str">
        <f>"20190304155105920"</f>
        <v>20190304155105920</v>
      </c>
      <c r="B2493" t="str">
        <f>"1551685865909095"</f>
        <v>1551685865909095</v>
      </c>
      <c r="C2493" t="s">
        <v>40</v>
      </c>
      <c r="D2493">
        <v>5.1633469999999999</v>
      </c>
      <c r="E2493">
        <v>0.57893539999999999</v>
      </c>
      <c r="F2493" t="s">
        <v>76</v>
      </c>
      <c r="G2493">
        <v>-510.95510000000002</v>
      </c>
      <c r="H2493">
        <v>4.3853730000000004</v>
      </c>
      <c r="I2493">
        <v>294.82369999999997</v>
      </c>
      <c r="J2493">
        <v>-412.94830000000002</v>
      </c>
      <c r="K2493">
        <v>1.110646</v>
      </c>
      <c r="L2493">
        <v>285.57429999999999</v>
      </c>
      <c r="M2493">
        <v>-0.99989830000000002</v>
      </c>
      <c r="N2493">
        <v>-1.400119E-2</v>
      </c>
      <c r="O2493">
        <v>-2.7083960000000001E-3</v>
      </c>
      <c r="P2493">
        <v>-0.9756553</v>
      </c>
      <c r="Q2493">
        <v>0.1877376</v>
      </c>
      <c r="R2493">
        <v>-0.11336599999999999</v>
      </c>
      <c r="S2493">
        <v>-3.088409</v>
      </c>
      <c r="T2493">
        <v>0.102893</v>
      </c>
      <c r="U2493">
        <v>0.29058840000000002</v>
      </c>
      <c r="V2493">
        <v>-0.1107151</v>
      </c>
      <c r="W2493">
        <v>0.20138809999999999</v>
      </c>
      <c r="X2493">
        <v>0.9732343</v>
      </c>
      <c r="Y2493">
        <v>9.6339049999999996E-2</v>
      </c>
      <c r="Z2493">
        <v>-1.05261E-3</v>
      </c>
      <c r="AA2493">
        <v>0.99534800000000001</v>
      </c>
      <c r="AB2493">
        <v>30</v>
      </c>
      <c r="AC2493">
        <v>-98.006799999999998</v>
      </c>
      <c r="AD2493">
        <v>3.2747269999999999</v>
      </c>
      <c r="AE2493">
        <v>9.2493999999999801</v>
      </c>
      <c r="AF2493">
        <v>9.5043159363068597</v>
      </c>
      <c r="AG2493">
        <v>3.2747269999999999</v>
      </c>
      <c r="AH2493">
        <v>97.873081588124705</v>
      </c>
      <c r="AI2493">
        <v>88.092625917080696</v>
      </c>
      <c r="AJ2493">
        <v>84.453479309859404</v>
      </c>
      <c r="AK2493">
        <v>98.387986857631105</v>
      </c>
      <c r="AL2493">
        <v>78.381856931877493</v>
      </c>
      <c r="AM2493">
        <v>96.490065154442604</v>
      </c>
      <c r="AN2493">
        <v>1.0000000014430499</v>
      </c>
    </row>
    <row r="2494" spans="1:40" x14ac:dyDescent="0.25">
      <c r="A2494" t="str">
        <f>"20190304155105944"</f>
        <v>20190304155105944</v>
      </c>
      <c r="B2494" t="str">
        <f>"1551685865939351"</f>
        <v>1551685865939351</v>
      </c>
      <c r="C2494" t="s">
        <v>40</v>
      </c>
      <c r="D2494">
        <v>5.1174839999999904</v>
      </c>
      <c r="E2494">
        <v>0.57942609999999894</v>
      </c>
      <c r="F2494" t="s">
        <v>76</v>
      </c>
      <c r="G2494">
        <v>-510.95510000000002</v>
      </c>
      <c r="H2494">
        <v>4.4221240000000002</v>
      </c>
      <c r="I2494">
        <v>294.79910000000001</v>
      </c>
      <c r="J2494">
        <v>-413.25799999999998</v>
      </c>
      <c r="K2494">
        <v>1.1106510000000001</v>
      </c>
      <c r="L2494">
        <v>285.57339999999999</v>
      </c>
      <c r="M2494">
        <v>-0.99989830000000002</v>
      </c>
      <c r="N2494">
        <v>-1.400183E-2</v>
      </c>
      <c r="O2494">
        <v>-2.7086409999999999E-3</v>
      </c>
      <c r="P2494">
        <v>-0.97569510000000004</v>
      </c>
      <c r="Q2494">
        <v>0.18755520000000001</v>
      </c>
      <c r="R2494">
        <v>-0.1133231</v>
      </c>
      <c r="S2494">
        <v>-3.088562</v>
      </c>
      <c r="T2494">
        <v>0.1043596</v>
      </c>
      <c r="U2494">
        <v>0.29071039999999998</v>
      </c>
      <c r="V2494">
        <v>-0.11067150000000001</v>
      </c>
      <c r="W2494">
        <v>0.20120679999999999</v>
      </c>
      <c r="X2494">
        <v>0.97327669999999999</v>
      </c>
      <c r="Y2494">
        <v>9.6372449999999998E-2</v>
      </c>
      <c r="Z2494">
        <v>-1.0769149999999999E-3</v>
      </c>
      <c r="AA2494">
        <v>0.99534480000000003</v>
      </c>
      <c r="AB2494">
        <v>30</v>
      </c>
      <c r="AC2494">
        <v>-97.697099999999907</v>
      </c>
      <c r="AD2494">
        <v>3.3114729999999999</v>
      </c>
      <c r="AE2494">
        <v>9.2257000000000104</v>
      </c>
      <c r="AF2494">
        <v>9.4795237785806492</v>
      </c>
      <c r="AG2494">
        <v>3.3114729999999999</v>
      </c>
      <c r="AH2494">
        <v>97.560654035576803</v>
      </c>
      <c r="AI2494">
        <v>88.065077797129106</v>
      </c>
      <c r="AJ2494">
        <v>84.450251959439996</v>
      </c>
      <c r="AK2494">
        <v>98.076033975420899</v>
      </c>
      <c r="AL2494">
        <v>78.392461083056403</v>
      </c>
      <c r="AM2494">
        <v>96.487250922277994</v>
      </c>
      <c r="AN2494">
        <v>0.99999994602068798</v>
      </c>
    </row>
    <row r="2495" spans="1:40" x14ac:dyDescent="0.25">
      <c r="A2495" t="str">
        <f>"20190304155105966"</f>
        <v>20190304155105966</v>
      </c>
      <c r="B2495" t="str">
        <f>"1551685865958874"</f>
        <v>1551685865958874</v>
      </c>
      <c r="C2495" t="s">
        <v>40</v>
      </c>
      <c r="D2495">
        <v>5.183268</v>
      </c>
      <c r="E2495">
        <v>0.57953569999999999</v>
      </c>
      <c r="F2495" t="s">
        <v>76</v>
      </c>
      <c r="G2495">
        <v>-510.95499999999998</v>
      </c>
      <c r="H2495">
        <v>4.2803069999999996</v>
      </c>
      <c r="I2495">
        <v>294.87689999999998</v>
      </c>
      <c r="J2495">
        <v>-413.55169999999998</v>
      </c>
      <c r="K2495">
        <v>1.1106499999999999</v>
      </c>
      <c r="L2495">
        <v>285.57260000000002</v>
      </c>
      <c r="M2495">
        <v>-0.99989839999999997</v>
      </c>
      <c r="N2495">
        <v>-1.399474E-2</v>
      </c>
      <c r="O2495">
        <v>-2.7087119999999998E-3</v>
      </c>
      <c r="P2495">
        <v>-0.97572230000000004</v>
      </c>
      <c r="Q2495">
        <v>0.18705620000000001</v>
      </c>
      <c r="R2495">
        <v>-0.11391220000000001</v>
      </c>
      <c r="S2495">
        <v>-3.0896300000000001</v>
      </c>
      <c r="T2495">
        <v>0.1002417</v>
      </c>
      <c r="U2495">
        <v>0.29421999999999998</v>
      </c>
      <c r="V2495">
        <v>-0.1112606</v>
      </c>
      <c r="W2495">
        <v>0.20070189999999999</v>
      </c>
      <c r="X2495">
        <v>0.97331389999999995</v>
      </c>
      <c r="Y2495">
        <v>9.7464120000000001E-2</v>
      </c>
      <c r="Z2495">
        <v>-1.018917E-3</v>
      </c>
      <c r="AA2495">
        <v>0.99523850000000003</v>
      </c>
      <c r="AB2495">
        <v>30</v>
      </c>
      <c r="AC2495">
        <v>-97.403300000000002</v>
      </c>
      <c r="AD2495">
        <v>3.1696569999999999</v>
      </c>
      <c r="AE2495">
        <v>9.3042999999999498</v>
      </c>
      <c r="AF2495">
        <v>9.5580991198932406</v>
      </c>
      <c r="AG2495">
        <v>3.1696569999999999</v>
      </c>
      <c r="AH2495">
        <v>97.2756584345222</v>
      </c>
      <c r="AI2495">
        <v>88.142656875236497</v>
      </c>
      <c r="AJ2495">
        <v>84.388252156767805</v>
      </c>
      <c r="AK2495">
        <v>97.795489201461507</v>
      </c>
      <c r="AL2495">
        <v>78.421993487697193</v>
      </c>
      <c r="AM2495">
        <v>96.521238503013294</v>
      </c>
      <c r="AN2495">
        <v>1.00000006085458</v>
      </c>
    </row>
    <row r="2496" spans="1:40" x14ac:dyDescent="0.25">
      <c r="A2496" t="str">
        <f>"20190304155105989"</f>
        <v>20190304155105989</v>
      </c>
      <c r="B2496" t="str">
        <f>"1551685865979367"</f>
        <v>1551685865979367</v>
      </c>
      <c r="C2496" t="s">
        <v>40</v>
      </c>
      <c r="D2496">
        <v>5.1098039999999996</v>
      </c>
      <c r="E2496">
        <v>0.57969559999999998</v>
      </c>
      <c r="F2496" t="s">
        <v>76</v>
      </c>
      <c r="G2496">
        <v>-510.95499999999998</v>
      </c>
      <c r="H2496">
        <v>4.3536830000000002</v>
      </c>
      <c r="I2496">
        <v>294.81880000000001</v>
      </c>
      <c r="J2496">
        <v>-413.85390000000001</v>
      </c>
      <c r="K2496">
        <v>1.110641</v>
      </c>
      <c r="L2496">
        <v>285.5718</v>
      </c>
      <c r="M2496">
        <v>-0.99989890000000003</v>
      </c>
      <c r="N2496">
        <v>-1.3976229999999999E-2</v>
      </c>
      <c r="O2496">
        <v>-2.7089409999999999E-3</v>
      </c>
      <c r="P2496">
        <v>-0.97559479999999998</v>
      </c>
      <c r="Q2496">
        <v>0.1873841</v>
      </c>
      <c r="R2496">
        <v>-0.1144656</v>
      </c>
      <c r="S2496">
        <v>-3.089172</v>
      </c>
      <c r="T2496">
        <v>0.10285619999999999</v>
      </c>
      <c r="U2496">
        <v>0.29324339999999999</v>
      </c>
      <c r="V2496">
        <v>-0.111814</v>
      </c>
      <c r="W2496">
        <v>0.20100970000000001</v>
      </c>
      <c r="X2496">
        <v>0.97318689999999997</v>
      </c>
      <c r="Y2496">
        <v>9.7164299999999995E-2</v>
      </c>
      <c r="Z2496">
        <v>-1.06058E-3</v>
      </c>
      <c r="AA2496">
        <v>0.99526780000000004</v>
      </c>
      <c r="AB2496">
        <v>30</v>
      </c>
      <c r="AC2496">
        <v>-97.101099999999903</v>
      </c>
      <c r="AD2496">
        <v>3.243042</v>
      </c>
      <c r="AE2496">
        <v>9.2470000000000105</v>
      </c>
      <c r="AF2496">
        <v>9.4995316629636193</v>
      </c>
      <c r="AG2496">
        <v>3.243042</v>
      </c>
      <c r="AH2496">
        <v>96.968498560622606</v>
      </c>
      <c r="AI2496">
        <v>88.093616955810305</v>
      </c>
      <c r="AJ2496">
        <v>84.404865023689098</v>
      </c>
      <c r="AK2496">
        <v>97.486656196275902</v>
      </c>
      <c r="AL2496">
        <v>78.403990328800404</v>
      </c>
      <c r="AM2496">
        <v>96.554240848929098</v>
      </c>
      <c r="AN2496">
        <v>1.0000000062108401</v>
      </c>
    </row>
    <row r="2497" spans="1:40" x14ac:dyDescent="0.25">
      <c r="A2497" t="str">
        <f>"20190304155106010"</f>
        <v>20190304155106010</v>
      </c>
      <c r="B2497" t="str">
        <f>"1551685865998886"</f>
        <v>1551685865998886</v>
      </c>
      <c r="C2497" t="s">
        <v>40</v>
      </c>
      <c r="D2497">
        <v>5.0745610000000001</v>
      </c>
      <c r="E2497">
        <v>0.57988660000000003</v>
      </c>
      <c r="F2497" t="s">
        <v>76</v>
      </c>
      <c r="G2497">
        <v>-510.95510000000002</v>
      </c>
      <c r="H2497">
        <v>4.3929499999999999</v>
      </c>
      <c r="I2497">
        <v>294.78379999999999</v>
      </c>
      <c r="J2497">
        <v>-414.13959999999997</v>
      </c>
      <c r="K2497">
        <v>1.110633</v>
      </c>
      <c r="L2497">
        <v>285.57100000000003</v>
      </c>
      <c r="M2497">
        <v>-0.99989910000000004</v>
      </c>
      <c r="N2497">
        <v>-1.394784E-2</v>
      </c>
      <c r="O2497">
        <v>-2.7091020000000001E-3</v>
      </c>
      <c r="P2497">
        <v>-0.97587029999999997</v>
      </c>
      <c r="Q2497">
        <v>0.18587909999999999</v>
      </c>
      <c r="R2497">
        <v>-0.1145713</v>
      </c>
      <c r="S2497">
        <v>-3.0893860000000002</v>
      </c>
      <c r="T2497">
        <v>0.1044331</v>
      </c>
      <c r="U2497">
        <v>0.29309079999999998</v>
      </c>
      <c r="V2497">
        <v>-0.1119188</v>
      </c>
      <c r="W2497">
        <v>0.1994812</v>
      </c>
      <c r="X2497">
        <v>0.9734893</v>
      </c>
      <c r="Y2497">
        <v>9.7107869999999999E-2</v>
      </c>
      <c r="Z2497">
        <v>-1.0873199999999999E-3</v>
      </c>
      <c r="AA2497">
        <v>0.99527330000000003</v>
      </c>
      <c r="AB2497">
        <v>30</v>
      </c>
      <c r="AC2497">
        <v>-96.8155</v>
      </c>
      <c r="AD2497">
        <v>3.2823169999999999</v>
      </c>
      <c r="AE2497">
        <v>9.2128000000000103</v>
      </c>
      <c r="AF2497">
        <v>9.4642941134013192</v>
      </c>
      <c r="AG2497">
        <v>3.2823169999999999</v>
      </c>
      <c r="AH2497">
        <v>96.680056948615501</v>
      </c>
      <c r="AI2497">
        <v>88.064781339248299</v>
      </c>
      <c r="AJ2497">
        <v>84.408962501045195</v>
      </c>
      <c r="AK2497">
        <v>97.197633096392806</v>
      </c>
      <c r="AL2497">
        <v>78.493377239428995</v>
      </c>
      <c r="AM2497">
        <v>96.558310308896907</v>
      </c>
      <c r="AN2497">
        <v>0.99999999208068402</v>
      </c>
    </row>
    <row r="2498" spans="1:40" x14ac:dyDescent="0.25">
      <c r="A2498" t="str">
        <f>"20190304155106033"</f>
        <v>20190304155106033</v>
      </c>
      <c r="B2498" t="str">
        <f>"1551685866029143"</f>
        <v>1551685866029143</v>
      </c>
      <c r="C2498" t="s">
        <v>40</v>
      </c>
      <c r="D2498">
        <v>5.3151320000000002</v>
      </c>
      <c r="E2498">
        <v>0.57950819999999903</v>
      </c>
      <c r="F2498" t="s">
        <v>76</v>
      </c>
      <c r="G2498">
        <v>-510.95499999999998</v>
      </c>
      <c r="H2498">
        <v>4.1827079999999999</v>
      </c>
      <c r="I2498">
        <v>294.7912</v>
      </c>
      <c r="J2498">
        <v>-414.43599999999998</v>
      </c>
      <c r="K2498">
        <v>1.11063</v>
      </c>
      <c r="L2498">
        <v>285.5702</v>
      </c>
      <c r="M2498">
        <v>-0.9998996</v>
      </c>
      <c r="N2498">
        <v>-1.3913200000000001E-2</v>
      </c>
      <c r="O2498">
        <v>-2.70922E-3</v>
      </c>
      <c r="P2498">
        <v>-0.97583339999999996</v>
      </c>
      <c r="Q2498">
        <v>0.18607290000000001</v>
      </c>
      <c r="R2498">
        <v>-0.1145702</v>
      </c>
      <c r="S2498">
        <v>-3.0900569999999998</v>
      </c>
      <c r="T2498">
        <v>9.8054050000000004E-2</v>
      </c>
      <c r="U2498">
        <v>0.29428100000000001</v>
      </c>
      <c r="V2498">
        <v>-0.1119179</v>
      </c>
      <c r="W2498">
        <v>0.1996404</v>
      </c>
      <c r="X2498">
        <v>0.97345669999999995</v>
      </c>
      <c r="Y2498">
        <v>9.7472829999999996E-2</v>
      </c>
      <c r="Z2498">
        <v>-9.8624879999999996E-4</v>
      </c>
      <c r="AA2498">
        <v>0.9952377</v>
      </c>
      <c r="AB2498">
        <v>30</v>
      </c>
      <c r="AC2498">
        <v>-96.518999999999906</v>
      </c>
      <c r="AD2498">
        <v>3.0720779999999999</v>
      </c>
      <c r="AE2498">
        <v>9.2210000000000001</v>
      </c>
      <c r="AF2498">
        <v>9.4729726814461497</v>
      </c>
      <c r="AG2498">
        <v>3.0720779999999999</v>
      </c>
      <c r="AH2498">
        <v>96.396888174251004</v>
      </c>
      <c r="AI2498">
        <v>88.183399846879695</v>
      </c>
      <c r="AJ2498">
        <v>84.387534157783804</v>
      </c>
      <c r="AK2498">
        <v>96.909932021132605</v>
      </c>
      <c r="AL2498">
        <v>78.484067741407301</v>
      </c>
      <c r="AM2498">
        <v>96.558475744853894</v>
      </c>
      <c r="AN2498">
        <v>0.99999992621372702</v>
      </c>
    </row>
    <row r="2499" spans="1:40" x14ac:dyDescent="0.25">
      <c r="A2499" t="str">
        <f>"20190304155106055"</f>
        <v>20190304155106055</v>
      </c>
      <c r="B2499" t="str">
        <f>"1551685866048663"</f>
        <v>1551685866048663</v>
      </c>
      <c r="C2499" t="s">
        <v>40</v>
      </c>
      <c r="D2499">
        <v>5.1644180000000004</v>
      </c>
      <c r="E2499">
        <v>0.51385020000000003</v>
      </c>
      <c r="F2499" t="s">
        <v>76</v>
      </c>
      <c r="G2499">
        <v>-510.95499999999998</v>
      </c>
      <c r="H2499">
        <v>4.0375249999999996</v>
      </c>
      <c r="I2499">
        <v>294.6671</v>
      </c>
      <c r="J2499">
        <v>-414.73820000000001</v>
      </c>
      <c r="K2499">
        <v>1.1106210000000001</v>
      </c>
      <c r="L2499">
        <v>285.5693</v>
      </c>
      <c r="M2499">
        <v>-0.99990020000000002</v>
      </c>
      <c r="N2499">
        <v>-1.387276E-2</v>
      </c>
      <c r="O2499">
        <v>-2.709417E-3</v>
      </c>
      <c r="P2499">
        <v>-0.97587290000000004</v>
      </c>
      <c r="Q2499">
        <v>0.18542339999999999</v>
      </c>
      <c r="R2499">
        <v>-0.115284</v>
      </c>
      <c r="S2499">
        <v>-3.0906069999999999</v>
      </c>
      <c r="T2499">
        <v>9.3723890000000004E-2</v>
      </c>
      <c r="U2499">
        <v>0.2912903</v>
      </c>
      <c r="V2499">
        <v>-0.1126311</v>
      </c>
      <c r="W2499">
        <v>0.19895260000000001</v>
      </c>
      <c r="X2499">
        <v>0.97351529999999997</v>
      </c>
      <c r="Y2499">
        <v>9.6505350000000004E-2</v>
      </c>
      <c r="Z2499">
        <v>-9.0817939999999998E-4</v>
      </c>
      <c r="AA2499">
        <v>0.99533210000000005</v>
      </c>
      <c r="AB2499">
        <v>30</v>
      </c>
      <c r="AC2499">
        <v>-96.216799999999907</v>
      </c>
      <c r="AD2499">
        <v>2.9269039999999902</v>
      </c>
      <c r="AE2499">
        <v>9.0977999999999994</v>
      </c>
      <c r="AF2499">
        <v>9.3499076482725503</v>
      </c>
      <c r="AG2499">
        <v>2.9269039999999902</v>
      </c>
      <c r="AH2499">
        <v>96.103651349637303</v>
      </c>
      <c r="AI2499">
        <v>88.2637488043556</v>
      </c>
      <c r="AJ2499">
        <v>84.443191773013595</v>
      </c>
      <c r="AK2499">
        <v>96.601756416687806</v>
      </c>
      <c r="AL2499">
        <v>78.524283037254307</v>
      </c>
      <c r="AM2499">
        <v>96.599508474377103</v>
      </c>
      <c r="AN2499">
        <v>0.999999970534029</v>
      </c>
    </row>
    <row r="2500" spans="1:40" x14ac:dyDescent="0.25">
      <c r="A2500" t="str">
        <f>"20190304155106069"</f>
        <v>20190304155106069</v>
      </c>
      <c r="B2500" t="str">
        <f>"1551685866059400"</f>
        <v>1551685866059400</v>
      </c>
      <c r="C2500" t="s">
        <v>40</v>
      </c>
      <c r="D2500">
        <v>5.133845</v>
      </c>
      <c r="E2500">
        <v>0.50764979999999904</v>
      </c>
      <c r="F2500" t="s">
        <v>70</v>
      </c>
      <c r="G2500">
        <v>-464.87630000000001</v>
      </c>
      <c r="H2500" s="1">
        <v>1.1804130000000001E-6</v>
      </c>
      <c r="I2500">
        <v>281.8186</v>
      </c>
      <c r="J2500">
        <v>-414.92</v>
      </c>
      <c r="K2500">
        <v>1.110617</v>
      </c>
      <c r="L2500">
        <v>285.56880000000001</v>
      </c>
      <c r="M2500">
        <v>-0.99990049999999997</v>
      </c>
      <c r="N2500">
        <v>-1.3847160000000001E-2</v>
      </c>
      <c r="O2500">
        <v>-2.7092399999999999E-3</v>
      </c>
      <c r="P2500">
        <v>-0.97587360000000001</v>
      </c>
      <c r="Q2500">
        <v>0.18525159999999999</v>
      </c>
      <c r="R2500">
        <v>-0.1155537</v>
      </c>
      <c r="S2500">
        <v>-3.0599980000000002</v>
      </c>
      <c r="T2500">
        <v>-6.7782640000000005E-2</v>
      </c>
      <c r="U2500">
        <v>-0.22891239999999999</v>
      </c>
      <c r="V2500">
        <v>-0.11290119999999999</v>
      </c>
      <c r="W2500">
        <v>0.19875590000000001</v>
      </c>
      <c r="X2500">
        <v>0.97352419999999995</v>
      </c>
      <c r="Y2500">
        <v>-7.1868899999999999E-2</v>
      </c>
      <c r="Z2500">
        <v>-1.2707350000000001E-3</v>
      </c>
      <c r="AA2500">
        <v>0.99741329999999995</v>
      </c>
      <c r="AB2500">
        <v>30</v>
      </c>
      <c r="AC2500">
        <v>-49.956299999999999</v>
      </c>
      <c r="AD2500">
        <v>-1.110615819587</v>
      </c>
      <c r="AE2500">
        <v>-3.7502</v>
      </c>
      <c r="AF2500">
        <v>-3.6130539099166898</v>
      </c>
      <c r="AG2500">
        <v>-1.110615819587</v>
      </c>
      <c r="AH2500">
        <v>49.9417323854763</v>
      </c>
      <c r="AI2500">
        <v>91.270627139664001</v>
      </c>
      <c r="AJ2500">
        <v>94.137876321743306</v>
      </c>
      <c r="AK2500">
        <v>50.084571074505703</v>
      </c>
      <c r="AL2500">
        <v>78.535782868917707</v>
      </c>
      <c r="AM2500">
        <v>96.615134671888001</v>
      </c>
      <c r="AN2500">
        <v>0.99999997836594401</v>
      </c>
    </row>
    <row r="2501" spans="1:40" x14ac:dyDescent="0.25">
      <c r="A2501" t="str">
        <f>"20190304155106088"</f>
        <v>20190304155106088</v>
      </c>
      <c r="B2501" t="str">
        <f>"1551685866078919"</f>
        <v>1551685866078919</v>
      </c>
      <c r="C2501" t="s">
        <v>40</v>
      </c>
      <c r="D2501">
        <v>5.1743649999999999</v>
      </c>
      <c r="E2501">
        <v>0.50067289999999998</v>
      </c>
      <c r="F2501" t="s">
        <v>70</v>
      </c>
      <c r="G2501">
        <v>-463.19459999999998</v>
      </c>
      <c r="H2501" s="1">
        <v>3.1397260000000001E-7</v>
      </c>
      <c r="I2501">
        <v>281.1678</v>
      </c>
      <c r="J2501">
        <v>-415.17829999999998</v>
      </c>
      <c r="K2501">
        <v>1.110609</v>
      </c>
      <c r="L2501">
        <v>285.56810000000002</v>
      </c>
      <c r="M2501">
        <v>-0.99990109999999999</v>
      </c>
      <c r="N2501">
        <v>-1.3807359999999999E-2</v>
      </c>
      <c r="O2501">
        <v>-2.7093239999999999E-3</v>
      </c>
      <c r="P2501">
        <v>-0.97581620000000002</v>
      </c>
      <c r="Q2501">
        <v>0.1852336</v>
      </c>
      <c r="R2501">
        <v>-0.1160673</v>
      </c>
      <c r="S2501">
        <v>-3.054535</v>
      </c>
      <c r="T2501">
        <v>-7.0273279999999994E-2</v>
      </c>
      <c r="U2501">
        <v>-0.27847290000000002</v>
      </c>
      <c r="V2501">
        <v>-0.1134151</v>
      </c>
      <c r="W2501">
        <v>0.1986984</v>
      </c>
      <c r="X2501">
        <v>0.97347620000000001</v>
      </c>
      <c r="Y2501">
        <v>-8.8054830000000001E-2</v>
      </c>
      <c r="Z2501">
        <v>-1.5951330000000001E-3</v>
      </c>
      <c r="AA2501">
        <v>0.99611439999999996</v>
      </c>
      <c r="AB2501">
        <v>30</v>
      </c>
      <c r="AC2501">
        <v>-48.016300000000001</v>
      </c>
      <c r="AD2501">
        <v>-1.11060868602739</v>
      </c>
      <c r="AE2501">
        <v>-4.4003000000000103</v>
      </c>
      <c r="AF2501">
        <v>-4.2679154716761003</v>
      </c>
      <c r="AG2501">
        <v>-1.11060868602739</v>
      </c>
      <c r="AH2501">
        <v>48.002579740817602</v>
      </c>
      <c r="AI2501">
        <v>91.320177880504005</v>
      </c>
      <c r="AJ2501">
        <v>95.080815185150499</v>
      </c>
      <c r="AK2501">
        <v>48.204732297777603</v>
      </c>
      <c r="AL2501">
        <v>78.539144389919798</v>
      </c>
      <c r="AM2501">
        <v>96.645301268620898</v>
      </c>
      <c r="AN2501">
        <v>0.99999997551850395</v>
      </c>
    </row>
    <row r="2502" spans="1:40" x14ac:dyDescent="0.25">
      <c r="A2502" t="str">
        <f>"20190304155106112"</f>
        <v>20190304155106112</v>
      </c>
      <c r="B2502" t="str">
        <f>"1551685866109176"</f>
        <v>1551685866109176</v>
      </c>
      <c r="C2502" t="s">
        <v>40</v>
      </c>
      <c r="D2502">
        <v>5.1143260000000001</v>
      </c>
      <c r="E2502">
        <v>0.49603390000000003</v>
      </c>
      <c r="F2502" t="s">
        <v>70</v>
      </c>
      <c r="G2502">
        <v>-461.43009999999998</v>
      </c>
      <c r="H2502" s="1">
        <v>-5.9530209999999898E-7</v>
      </c>
      <c r="I2502">
        <v>280.48829999999998</v>
      </c>
      <c r="J2502">
        <v>-415.48430000000002</v>
      </c>
      <c r="K2502">
        <v>1.1106049999999901</v>
      </c>
      <c r="L2502">
        <v>285.56729999999999</v>
      </c>
      <c r="M2502">
        <v>-0.99990179999999995</v>
      </c>
      <c r="N2502">
        <v>-1.375877E-2</v>
      </c>
      <c r="O2502">
        <v>-2.709468E-3</v>
      </c>
      <c r="P2502">
        <v>-0.97571209999999997</v>
      </c>
      <c r="Q2502">
        <v>0.18539369999999999</v>
      </c>
      <c r="R2502">
        <v>-0.1166838</v>
      </c>
      <c r="S2502">
        <v>-3.0484309999999999</v>
      </c>
      <c r="T2502">
        <v>-7.3199630000000002E-2</v>
      </c>
      <c r="U2502">
        <v>-0.3348083</v>
      </c>
      <c r="V2502">
        <v>-0.1140317</v>
      </c>
      <c r="W2502">
        <v>0.1988096</v>
      </c>
      <c r="X2502">
        <v>0.97338150000000001</v>
      </c>
      <c r="Y2502">
        <v>-0.1064316</v>
      </c>
      <c r="Z2502">
        <v>-1.9807100000000001E-3</v>
      </c>
      <c r="AA2502">
        <v>0.99431809999999998</v>
      </c>
      <c r="AB2502">
        <v>30</v>
      </c>
      <c r="AC2502">
        <v>-45.945799999999899</v>
      </c>
      <c r="AD2502">
        <v>-1.1106055953020999</v>
      </c>
      <c r="AE2502">
        <v>-5.0789999999999997</v>
      </c>
      <c r="AF2502">
        <v>-4.9516226559190804</v>
      </c>
      <c r="AG2502">
        <v>-1.1106055953020999</v>
      </c>
      <c r="AH2502">
        <v>45.932879906003997</v>
      </c>
      <c r="AI2502">
        <v>91.377102391348899</v>
      </c>
      <c r="AJ2502">
        <v>96.152796929902195</v>
      </c>
      <c r="AK2502">
        <v>46.212351900485601</v>
      </c>
      <c r="AL2502">
        <v>78.532643860552398</v>
      </c>
      <c r="AM2502">
        <v>96.681747939526502</v>
      </c>
      <c r="AN2502">
        <v>1.00000001509965</v>
      </c>
    </row>
    <row r="2503" spans="1:40" x14ac:dyDescent="0.25">
      <c r="A2503" t="str">
        <f>"20190304155106124"</f>
        <v>20190304155106124</v>
      </c>
      <c r="B2503" t="str">
        <f>"1551685866118935"</f>
        <v>1551685866118935</v>
      </c>
      <c r="C2503" t="s">
        <v>40</v>
      </c>
      <c r="D2503">
        <v>5.0948289999999998</v>
      </c>
      <c r="E2503">
        <v>0.49542019999999998</v>
      </c>
      <c r="F2503" t="s">
        <v>70</v>
      </c>
      <c r="G2503">
        <v>-466.71789999999999</v>
      </c>
      <c r="H2503">
        <v>8.0001180000000005E-2</v>
      </c>
      <c r="I2503">
        <v>279.28269999999998</v>
      </c>
      <c r="J2503">
        <v>-415.65289999999999</v>
      </c>
      <c r="K2503">
        <v>1.1106039999999999</v>
      </c>
      <c r="L2503">
        <v>285.56689999999998</v>
      </c>
      <c r="M2503">
        <v>-0.99990210000000002</v>
      </c>
      <c r="N2503">
        <v>-1.373285E-2</v>
      </c>
      <c r="O2503">
        <v>-2.7096479999999998E-3</v>
      </c>
      <c r="P2503">
        <v>-0.97560380000000002</v>
      </c>
      <c r="Q2503">
        <v>0.18575359999999999</v>
      </c>
      <c r="R2503">
        <v>-0.11701590000000001</v>
      </c>
      <c r="S2503">
        <v>-3.0416560000000001</v>
      </c>
      <c r="T2503">
        <v>-6.1185360000000001E-2</v>
      </c>
      <c r="U2503">
        <v>-0.37310789999999999</v>
      </c>
      <c r="V2503">
        <v>-0.11436399999999999</v>
      </c>
      <c r="W2503">
        <v>0.1991424</v>
      </c>
      <c r="X2503">
        <v>0.97327450000000004</v>
      </c>
      <c r="Y2503">
        <v>-0.1190232</v>
      </c>
      <c r="Z2503">
        <v>-1.9958049999999998E-3</v>
      </c>
      <c r="AA2503">
        <v>0.99288949999999998</v>
      </c>
      <c r="AB2503">
        <v>30</v>
      </c>
      <c r="AC2503">
        <v>-51.064999999999998</v>
      </c>
      <c r="AD2503">
        <v>-1.0306028199999999</v>
      </c>
      <c r="AE2503">
        <v>-6.2841999999999896</v>
      </c>
      <c r="AF2503">
        <v>-6.1433307388688396</v>
      </c>
      <c r="AG2503">
        <v>-1.0306028199999999</v>
      </c>
      <c r="AH2503">
        <v>51.061354031961599</v>
      </c>
      <c r="AI2503">
        <v>91.148002416303697</v>
      </c>
      <c r="AJ2503">
        <v>96.860436330316901</v>
      </c>
      <c r="AK2503">
        <v>51.439911842042001</v>
      </c>
      <c r="AL2503">
        <v>78.513187013608004</v>
      </c>
      <c r="AM2503">
        <v>96.701772413269396</v>
      </c>
      <c r="AN2503">
        <v>1.0000000361620001</v>
      </c>
    </row>
    <row r="2504" spans="1:40" x14ac:dyDescent="0.25">
      <c r="A2504" t="str">
        <f>"20190304155106137"</f>
        <v>20190304155106137</v>
      </c>
      <c r="B2504" t="str">
        <f>"1551685866128695"</f>
        <v>1551685866128695</v>
      </c>
      <c r="C2504" t="s">
        <v>40</v>
      </c>
      <c r="D2504">
        <v>5.0690739999999996</v>
      </c>
      <c r="E2504">
        <v>0.4948689</v>
      </c>
      <c r="F2504" t="s">
        <v>70</v>
      </c>
      <c r="G2504">
        <v>-467.2346</v>
      </c>
      <c r="H2504">
        <v>8.0001039999999995E-2</v>
      </c>
      <c r="I2504">
        <v>279.13600000000002</v>
      </c>
      <c r="J2504">
        <v>-415.82139999999998</v>
      </c>
      <c r="K2504">
        <v>1.1106039999999999</v>
      </c>
      <c r="L2504">
        <v>285.56639999999999</v>
      </c>
      <c r="M2504">
        <v>-0.99990250000000003</v>
      </c>
      <c r="N2504">
        <v>-1.370831E-2</v>
      </c>
      <c r="O2504">
        <v>-2.7098389999999999E-3</v>
      </c>
      <c r="P2504">
        <v>-0.97543939999999996</v>
      </c>
      <c r="Q2504">
        <v>0.18643750000000001</v>
      </c>
      <c r="R2504">
        <v>-0.11730119999999999</v>
      </c>
      <c r="S2504">
        <v>-3.0411380000000001</v>
      </c>
      <c r="T2504">
        <v>-6.0762049999999998E-2</v>
      </c>
      <c r="U2504">
        <v>-0.3791504</v>
      </c>
      <c r="V2504">
        <v>-0.114649</v>
      </c>
      <c r="W2504">
        <v>0.1998007</v>
      </c>
      <c r="X2504">
        <v>0.97310600000000003</v>
      </c>
      <c r="Y2504">
        <v>-0.1209861</v>
      </c>
      <c r="Z2504">
        <v>-2.0195859999999999E-3</v>
      </c>
      <c r="AA2504">
        <v>0.99265219999999998</v>
      </c>
      <c r="AB2504">
        <v>30</v>
      </c>
      <c r="AC2504">
        <v>-51.413200000000003</v>
      </c>
      <c r="AD2504">
        <v>-1.03060296</v>
      </c>
      <c r="AE2504">
        <v>-6.4304000000000103</v>
      </c>
      <c r="AF2504">
        <v>-6.2885538592859103</v>
      </c>
      <c r="AG2504">
        <v>-1.03060296</v>
      </c>
      <c r="AH2504">
        <v>51.410098656072698</v>
      </c>
      <c r="AI2504">
        <v>91.139943349359399</v>
      </c>
      <c r="AJ2504">
        <v>96.973853987698703</v>
      </c>
      <c r="AK2504">
        <v>51.803535554336698</v>
      </c>
      <c r="AL2504">
        <v>78.474695244178704</v>
      </c>
      <c r="AM2504">
        <v>96.719473728147406</v>
      </c>
      <c r="AN2504">
        <v>1.0000000000787399</v>
      </c>
    </row>
    <row r="2505" spans="1:40" x14ac:dyDescent="0.25">
      <c r="A2505" t="str">
        <f>"20190304155106151"</f>
        <v>20190304155106151</v>
      </c>
      <c r="B2505" t="str">
        <f>"1551685866139432"</f>
        <v>1551685866139432</v>
      </c>
      <c r="C2505" t="s">
        <v>40</v>
      </c>
      <c r="D2505">
        <v>4.9888320000000004</v>
      </c>
      <c r="E2505">
        <v>0.49444310000000002</v>
      </c>
      <c r="F2505" t="s">
        <v>70</v>
      </c>
      <c r="G2505">
        <v>-467.98660000000001</v>
      </c>
      <c r="H2505">
        <v>8.0000829999999995E-2</v>
      </c>
      <c r="I2505">
        <v>278.97460000000001</v>
      </c>
      <c r="J2505">
        <v>-415.99799999999999</v>
      </c>
      <c r="K2505">
        <v>1.1106049999999901</v>
      </c>
      <c r="L2505">
        <v>285.5659</v>
      </c>
      <c r="M2505">
        <v>-0.99990279999999998</v>
      </c>
      <c r="N2505">
        <v>-1.368346E-2</v>
      </c>
      <c r="O2505">
        <v>-2.7097890000000002E-3</v>
      </c>
      <c r="P2505">
        <v>-0.97548440000000003</v>
      </c>
      <c r="Q2505">
        <v>0.18605740000000001</v>
      </c>
      <c r="R2505">
        <v>-0.1175291</v>
      </c>
      <c r="S2505">
        <v>-3.0408019999999998</v>
      </c>
      <c r="T2505">
        <v>-6.007564E-2</v>
      </c>
      <c r="U2505">
        <v>-0.3842468</v>
      </c>
      <c r="V2505">
        <v>-0.1148772</v>
      </c>
      <c r="W2505">
        <v>0.19939660000000001</v>
      </c>
      <c r="X2505">
        <v>0.97316199999999997</v>
      </c>
      <c r="Y2505">
        <v>-0.1226375</v>
      </c>
      <c r="Z2505">
        <v>-2.0327019999999999E-3</v>
      </c>
      <c r="AA2505">
        <v>0.99244949999999998</v>
      </c>
      <c r="AB2505">
        <v>30</v>
      </c>
      <c r="AC2505">
        <v>-51.988599999999899</v>
      </c>
      <c r="AD2505">
        <v>-1.0306041699999999</v>
      </c>
      <c r="AE2505">
        <v>-6.5912999999999897</v>
      </c>
      <c r="AF2505">
        <v>-6.4478906921092198</v>
      </c>
      <c r="AG2505">
        <v>-1.0306041699999999</v>
      </c>
      <c r="AH2505">
        <v>51.986165593494903</v>
      </c>
      <c r="AI2505">
        <v>91.127082308628701</v>
      </c>
      <c r="AJ2505">
        <v>97.070338507677405</v>
      </c>
      <c r="AK2505">
        <v>52.394645265016202</v>
      </c>
      <c r="AL2505">
        <v>78.498324241989494</v>
      </c>
      <c r="AM2505">
        <v>96.732341789143604</v>
      </c>
      <c r="AN2505">
        <v>1.0000000267076901</v>
      </c>
    </row>
    <row r="2506" spans="1:40" x14ac:dyDescent="0.25">
      <c r="A2506" t="str">
        <f>"20190304155106166"</f>
        <v>20190304155106166</v>
      </c>
      <c r="B2506" t="str">
        <f>"1551685866158951"</f>
        <v>1551685866158951</v>
      </c>
      <c r="C2506" t="s">
        <v>40</v>
      </c>
      <c r="D2506">
        <v>5.0073119999999998</v>
      </c>
      <c r="E2506">
        <v>0.49458249999999998</v>
      </c>
      <c r="F2506" t="s">
        <v>70</v>
      </c>
      <c r="G2506">
        <v>-464.42930000000001</v>
      </c>
      <c r="H2506">
        <v>8.0000390000000005E-2</v>
      </c>
      <c r="I2506">
        <v>279.39139999999998</v>
      </c>
      <c r="J2506">
        <v>-416.21820000000002</v>
      </c>
      <c r="K2506">
        <v>1.110608</v>
      </c>
      <c r="L2506">
        <v>285.56529999999998</v>
      </c>
      <c r="M2506">
        <v>-0.99990319999999999</v>
      </c>
      <c r="N2506">
        <v>-1.365424E-2</v>
      </c>
      <c r="O2506">
        <v>-2.7099479999999998E-3</v>
      </c>
      <c r="P2506">
        <v>-0.9754235</v>
      </c>
      <c r="Q2506">
        <v>0.18615590000000001</v>
      </c>
      <c r="R2506">
        <v>-0.1178795</v>
      </c>
      <c r="S2506">
        <v>-3.040985</v>
      </c>
      <c r="T2506">
        <v>-6.4711329999999997E-2</v>
      </c>
      <c r="U2506">
        <v>-0.38769530000000002</v>
      </c>
      <c r="V2506">
        <v>-0.1152273</v>
      </c>
      <c r="W2506">
        <v>0.19946620000000001</v>
      </c>
      <c r="X2506">
        <v>0.97310629999999998</v>
      </c>
      <c r="Y2506">
        <v>-0.1237321</v>
      </c>
      <c r="Z2506">
        <v>-2.1388029999999999E-3</v>
      </c>
      <c r="AA2506">
        <v>0.99231340000000001</v>
      </c>
      <c r="AB2506">
        <v>30</v>
      </c>
      <c r="AC2506">
        <v>-48.211099999999902</v>
      </c>
      <c r="AD2506">
        <v>-1.0306076099999999</v>
      </c>
      <c r="AE2506">
        <v>-6.1738999999999997</v>
      </c>
      <c r="AF2506">
        <v>-6.0404997625783796</v>
      </c>
      <c r="AG2506">
        <v>-1.0306076099999999</v>
      </c>
      <c r="AH2506">
        <v>48.205981939231201</v>
      </c>
      <c r="AI2506">
        <v>91.215253395591603</v>
      </c>
      <c r="AJ2506">
        <v>97.142279634027801</v>
      </c>
      <c r="AK2506">
        <v>48.593893486249698</v>
      </c>
      <c r="AL2506">
        <v>78.494254200520899</v>
      </c>
      <c r="AM2506">
        <v>96.753053054543599</v>
      </c>
      <c r="AN2506">
        <v>0.99999998335370899</v>
      </c>
    </row>
    <row r="2507" spans="1:40" x14ac:dyDescent="0.25">
      <c r="A2507" t="str">
        <f>"20190304155106190"</f>
        <v>20190304155106190</v>
      </c>
      <c r="B2507" t="str">
        <f>"1551685866179447"</f>
        <v>1551685866179447</v>
      </c>
      <c r="C2507" t="s">
        <v>40</v>
      </c>
      <c r="D2507">
        <v>5.0864989999999999</v>
      </c>
      <c r="E2507">
        <v>0.49419079999999899</v>
      </c>
      <c r="F2507" t="s">
        <v>62</v>
      </c>
      <c r="G2507">
        <v>-485.36520000000002</v>
      </c>
      <c r="H2507" s="1">
        <v>1.734503E-6</v>
      </c>
      <c r="I2507">
        <v>276.74189999999999</v>
      </c>
      <c r="J2507">
        <v>-416.5138</v>
      </c>
      <c r="K2507">
        <v>1.110608</v>
      </c>
      <c r="L2507">
        <v>285.56450000000001</v>
      </c>
      <c r="M2507">
        <v>-0.99990369999999995</v>
      </c>
      <c r="N2507">
        <v>-1.3617809999999999E-2</v>
      </c>
      <c r="O2507">
        <v>-2.7101780000000002E-3</v>
      </c>
      <c r="P2507">
        <v>-0.97533040000000004</v>
      </c>
      <c r="Q2507">
        <v>0.18645709999999999</v>
      </c>
      <c r="R2507">
        <v>-0.1181716</v>
      </c>
      <c r="S2507">
        <v>-3.0380250000000002</v>
      </c>
      <c r="T2507">
        <v>-4.879534E-2</v>
      </c>
      <c r="U2507">
        <v>-0.38766479999999998</v>
      </c>
      <c r="V2507">
        <v>-0.1155202</v>
      </c>
      <c r="W2507">
        <v>0.19973060000000001</v>
      </c>
      <c r="X2507">
        <v>0.97301729999999997</v>
      </c>
      <c r="Y2507">
        <v>-0.1238595</v>
      </c>
      <c r="Z2507">
        <v>-1.830911E-3</v>
      </c>
      <c r="AA2507">
        <v>0.99229809999999996</v>
      </c>
      <c r="AB2507">
        <v>30</v>
      </c>
      <c r="AC2507">
        <v>-68.851399999999998</v>
      </c>
      <c r="AD2507">
        <v>-1.1106062654969999</v>
      </c>
      <c r="AE2507">
        <v>-8.8226000000000209</v>
      </c>
      <c r="AF2507">
        <v>-8.6337406133191301</v>
      </c>
      <c r="AG2507">
        <v>-1.1106062654969999</v>
      </c>
      <c r="AH2507">
        <v>68.857433368601605</v>
      </c>
      <c r="AI2507">
        <v>90.916869460147794</v>
      </c>
      <c r="AJ2507">
        <v>97.146776877102894</v>
      </c>
      <c r="AK2507">
        <v>69.405482876833702</v>
      </c>
      <c r="AL2507">
        <v>78.478793687693198</v>
      </c>
      <c r="AM2507">
        <v>96.770673222314102</v>
      </c>
      <c r="AN2507">
        <v>0.99999994764184297</v>
      </c>
    </row>
    <row r="2508" spans="1:40" x14ac:dyDescent="0.25">
      <c r="A2508" t="str">
        <f>"20190304155106212"</f>
        <v>20190304155106212</v>
      </c>
      <c r="B2508" t="str">
        <f>"1551685866208728"</f>
        <v>1551685866208728</v>
      </c>
      <c r="C2508" t="s">
        <v>40</v>
      </c>
      <c r="D2508">
        <v>5.0694949999999999</v>
      </c>
      <c r="E2508">
        <v>0.49367060000000001</v>
      </c>
      <c r="F2508" t="s">
        <v>62</v>
      </c>
      <c r="G2508">
        <v>-479.20549999999997</v>
      </c>
      <c r="H2508">
        <v>8.0000089999999996E-2</v>
      </c>
      <c r="I2508">
        <v>277.4796</v>
      </c>
      <c r="J2508">
        <v>-416.80399999999997</v>
      </c>
      <c r="K2508">
        <v>1.110603</v>
      </c>
      <c r="L2508">
        <v>285.56380000000001</v>
      </c>
      <c r="M2508">
        <v>-0.99990420000000002</v>
      </c>
      <c r="N2508">
        <v>-1.3579890000000001E-2</v>
      </c>
      <c r="O2508">
        <v>-2.7105190000000002E-3</v>
      </c>
      <c r="P2508">
        <v>-0.97528950000000003</v>
      </c>
      <c r="Q2508">
        <v>0.1864294</v>
      </c>
      <c r="R2508">
        <v>-0.1185533</v>
      </c>
      <c r="S2508">
        <v>-3.0379330000000002</v>
      </c>
      <c r="T2508">
        <v>-4.994154E-2</v>
      </c>
      <c r="U2508">
        <v>-0.39178469999999999</v>
      </c>
      <c r="V2508">
        <v>-0.1159009</v>
      </c>
      <c r="W2508">
        <v>0.1996657</v>
      </c>
      <c r="X2508">
        <v>0.9729854</v>
      </c>
      <c r="Y2508">
        <v>-0.1251854</v>
      </c>
      <c r="Z2508">
        <v>-1.8706090000000001E-3</v>
      </c>
      <c r="AA2508">
        <v>0.9921316</v>
      </c>
      <c r="AB2508">
        <v>29</v>
      </c>
      <c r="AC2508">
        <v>-62.401499999999899</v>
      </c>
      <c r="AD2508">
        <v>-1.03060291</v>
      </c>
      <c r="AE2508">
        <v>-8.0842000000000098</v>
      </c>
      <c r="AF2508">
        <v>-7.9128915099068298</v>
      </c>
      <c r="AG2508">
        <v>-1.03060291</v>
      </c>
      <c r="AH2508">
        <v>62.4064436547038</v>
      </c>
      <c r="AI2508">
        <v>90.938603887808696</v>
      </c>
      <c r="AJ2508">
        <v>97.226317632279404</v>
      </c>
      <c r="AK2508">
        <v>62.914546839609102</v>
      </c>
      <c r="AL2508">
        <v>78.482589229015403</v>
      </c>
      <c r="AM2508">
        <v>96.792998630227103</v>
      </c>
      <c r="AN2508">
        <v>0.99999999949523</v>
      </c>
    </row>
    <row r="2509" spans="1:40" x14ac:dyDescent="0.25">
      <c r="A2509" t="str">
        <f>"20190304155106234"</f>
        <v>20190304155106234</v>
      </c>
      <c r="B2509" t="str">
        <f>"1551685866229223"</f>
        <v>1551685866229223</v>
      </c>
      <c r="C2509" t="s">
        <v>40</v>
      </c>
      <c r="D2509">
        <v>5.0346799999999998</v>
      </c>
      <c r="E2509">
        <v>0.49341780000000002</v>
      </c>
      <c r="F2509" t="s">
        <v>62</v>
      </c>
      <c r="G2509">
        <v>-476.69560000000001</v>
      </c>
      <c r="H2509">
        <v>8.0000089999999996E-2</v>
      </c>
      <c r="I2509">
        <v>277.745</v>
      </c>
      <c r="J2509">
        <v>-417.09809999999999</v>
      </c>
      <c r="K2509">
        <v>1.1105940000000001</v>
      </c>
      <c r="L2509">
        <v>285.56299999999999</v>
      </c>
      <c r="M2509">
        <v>-0.99990469999999998</v>
      </c>
      <c r="N2509">
        <v>-1.3541350000000001E-2</v>
      </c>
      <c r="O2509">
        <v>-2.7104970000000001E-3</v>
      </c>
      <c r="P2509">
        <v>-0.97524339999999998</v>
      </c>
      <c r="Q2509">
        <v>0.18643899999999999</v>
      </c>
      <c r="R2509">
        <v>-0.1189158</v>
      </c>
      <c r="S2509">
        <v>-3.03775</v>
      </c>
      <c r="T2509">
        <v>-5.227304E-2</v>
      </c>
      <c r="U2509">
        <v>-0.39657589999999998</v>
      </c>
      <c r="V2509">
        <v>-0.1162639</v>
      </c>
      <c r="W2509">
        <v>0.1996367</v>
      </c>
      <c r="X2509">
        <v>0.97294809999999998</v>
      </c>
      <c r="Y2509">
        <v>-0.12672919999999999</v>
      </c>
      <c r="Z2509">
        <v>-1.9376110000000001E-3</v>
      </c>
      <c r="AA2509">
        <v>0.99193549999999997</v>
      </c>
      <c r="AB2509">
        <v>29</v>
      </c>
      <c r="AC2509">
        <v>-59.597499999999997</v>
      </c>
      <c r="AD2509">
        <v>-1.0305939099999999</v>
      </c>
      <c r="AE2509">
        <v>-7.8179999999999801</v>
      </c>
      <c r="AF2509">
        <v>-7.6541675008224903</v>
      </c>
      <c r="AG2509">
        <v>-1.0305939099999999</v>
      </c>
      <c r="AH2509">
        <v>59.600952499508303</v>
      </c>
      <c r="AI2509">
        <v>90.982567314839599</v>
      </c>
      <c r="AJ2509">
        <v>97.318072980287397</v>
      </c>
      <c r="AK2509">
        <v>60.099267406405403</v>
      </c>
      <c r="AL2509">
        <v>78.484285604434703</v>
      </c>
      <c r="AM2509">
        <v>96.814333244027594</v>
      </c>
      <c r="AN2509">
        <v>1.00000005586185</v>
      </c>
    </row>
    <row r="2510" spans="1:40" x14ac:dyDescent="0.25">
      <c r="A2510" t="str">
        <f>"20190304155106246"</f>
        <v>20190304155106246</v>
      </c>
      <c r="B2510" t="str">
        <f>"1551685866238986"</f>
        <v>1551685866238986</v>
      </c>
      <c r="C2510" t="s">
        <v>40</v>
      </c>
      <c r="D2510">
        <v>5.7159399999999998</v>
      </c>
      <c r="E2510">
        <v>0.49375639999999998</v>
      </c>
      <c r="F2510" t="s">
        <v>62</v>
      </c>
      <c r="G2510">
        <v>-474.4153</v>
      </c>
      <c r="H2510">
        <v>8.000003E-2</v>
      </c>
      <c r="I2510">
        <v>278.03640000000001</v>
      </c>
      <c r="J2510">
        <v>-417.26780000000002</v>
      </c>
      <c r="K2510">
        <v>1.1105860000000001</v>
      </c>
      <c r="L2510">
        <v>285.5625</v>
      </c>
      <c r="M2510">
        <v>-0.99990489999999999</v>
      </c>
      <c r="N2510">
        <v>-1.3520020000000001E-2</v>
      </c>
      <c r="O2510">
        <v>-2.7105929999999999E-3</v>
      </c>
      <c r="P2510">
        <v>-0.97522739999999997</v>
      </c>
      <c r="Q2510">
        <v>0.18641340000000001</v>
      </c>
      <c r="R2510">
        <v>-0.11908680000000001</v>
      </c>
      <c r="S2510">
        <v>-3.0379640000000001</v>
      </c>
      <c r="T2510">
        <v>-5.4624199999999998E-2</v>
      </c>
      <c r="U2510">
        <v>-0.3989258</v>
      </c>
      <c r="V2510">
        <v>-0.1164348</v>
      </c>
      <c r="W2510">
        <v>0.1995905</v>
      </c>
      <c r="X2510">
        <v>0.9729371</v>
      </c>
      <c r="Y2510">
        <v>-0.1274719</v>
      </c>
      <c r="Z2510">
        <v>-1.9945409999999998E-3</v>
      </c>
      <c r="AA2510">
        <v>0.99184019999999995</v>
      </c>
      <c r="AB2510">
        <v>29</v>
      </c>
      <c r="AC2510">
        <v>-57.147499999999901</v>
      </c>
      <c r="AD2510">
        <v>-1.03058597</v>
      </c>
      <c r="AE2510">
        <v>-7.52609999999998</v>
      </c>
      <c r="AF2510">
        <v>-7.3687989621285199</v>
      </c>
      <c r="AG2510">
        <v>-1.03058597</v>
      </c>
      <c r="AH2510">
        <v>57.149422941797503</v>
      </c>
      <c r="AI2510">
        <v>91.024632789078296</v>
      </c>
      <c r="AJ2510">
        <v>97.347132895282201</v>
      </c>
      <c r="AK2510">
        <v>57.6317434073122</v>
      </c>
      <c r="AL2510">
        <v>78.486986564807196</v>
      </c>
      <c r="AM2510">
        <v>96.824331881308794</v>
      </c>
      <c r="AN2510">
        <v>1.00000001544884</v>
      </c>
    </row>
    <row r="2511" spans="1:40" x14ac:dyDescent="0.25">
      <c r="A2511" t="str">
        <f>"20190304155106268"</f>
        <v>20190304155106268</v>
      </c>
      <c r="B2511" t="str">
        <f>"1551685866259483"</f>
        <v>1551685866259483</v>
      </c>
      <c r="C2511" t="s">
        <v>40</v>
      </c>
      <c r="D2511">
        <v>5.0662609999999999</v>
      </c>
      <c r="E2511">
        <v>0.49381000000000003</v>
      </c>
      <c r="F2511" t="s">
        <v>62</v>
      </c>
      <c r="G2511">
        <v>-486.19920000000002</v>
      </c>
      <c r="H2511" s="1">
        <v>1.787476E-6</v>
      </c>
      <c r="I2511">
        <v>276.55889999999999</v>
      </c>
      <c r="J2511">
        <v>-417.54349999999999</v>
      </c>
      <c r="K2511">
        <v>1.1105849999999999</v>
      </c>
      <c r="L2511">
        <v>285.56180000000001</v>
      </c>
      <c r="M2511">
        <v>-0.9999055</v>
      </c>
      <c r="N2511">
        <v>-1.348863E-2</v>
      </c>
      <c r="O2511">
        <v>-2.7108589999999999E-3</v>
      </c>
      <c r="P2511">
        <v>-0.97535430000000001</v>
      </c>
      <c r="Q2511">
        <v>0.1857</v>
      </c>
      <c r="R2511">
        <v>-0.11916400000000001</v>
      </c>
      <c r="S2511">
        <v>-3.0371090000000001</v>
      </c>
      <c r="T2511">
        <v>-4.893219E-2</v>
      </c>
      <c r="U2511">
        <v>-0.396698</v>
      </c>
      <c r="V2511">
        <v>-0.1165117</v>
      </c>
      <c r="W2511">
        <v>0.198848</v>
      </c>
      <c r="X2511">
        <v>0.9730799</v>
      </c>
      <c r="Y2511">
        <v>-0.1267981</v>
      </c>
      <c r="Z2511">
        <v>-1.8689150000000001E-3</v>
      </c>
      <c r="AA2511">
        <v>0.9919268</v>
      </c>
      <c r="AB2511">
        <v>29</v>
      </c>
      <c r="AC2511">
        <v>-68.655699999999996</v>
      </c>
      <c r="AD2511">
        <v>-1.1105832125239901</v>
      </c>
      <c r="AE2511">
        <v>-9.0029000000000092</v>
      </c>
      <c r="AF2511">
        <v>-8.8144666206475097</v>
      </c>
      <c r="AG2511">
        <v>-1.1105832125239901</v>
      </c>
      <c r="AH2511">
        <v>68.662192584218602</v>
      </c>
      <c r="AI2511">
        <v>90.919114037758405</v>
      </c>
      <c r="AJ2511">
        <v>97.315300107629994</v>
      </c>
      <c r="AK2511">
        <v>69.234564397783103</v>
      </c>
      <c r="AL2511">
        <v>78.530398676029606</v>
      </c>
      <c r="AM2511">
        <v>96.827803832128694</v>
      </c>
      <c r="AN2511">
        <v>0.99999999756244995</v>
      </c>
    </row>
    <row r="2512" spans="1:40" x14ac:dyDescent="0.25">
      <c r="A2512" t="str">
        <f>"20190304155106281"</f>
        <v>20190304155106281</v>
      </c>
      <c r="B2512" t="str">
        <f>"1551685866269240"</f>
        <v>1551685866269240</v>
      </c>
      <c r="C2512" t="s">
        <v>40</v>
      </c>
      <c r="D2512">
        <v>5.2344939999999998</v>
      </c>
      <c r="E2512">
        <v>0.49402590000000002</v>
      </c>
      <c r="F2512" t="s">
        <v>62</v>
      </c>
      <c r="G2512">
        <v>-488.15539999999999</v>
      </c>
      <c r="H2512" s="1">
        <v>2.0553890000000002E-6</v>
      </c>
      <c r="I2512">
        <v>276.33519999999999</v>
      </c>
      <c r="J2512">
        <v>-417.72280000000001</v>
      </c>
      <c r="K2512">
        <v>1.1105799999999999</v>
      </c>
      <c r="L2512">
        <v>285.56119999999999</v>
      </c>
      <c r="M2512">
        <v>-0.99990559999999995</v>
      </c>
      <c r="N2512">
        <v>-1.3470050000000001E-2</v>
      </c>
      <c r="O2512">
        <v>-2.710854E-3</v>
      </c>
      <c r="P2512">
        <v>-0.97540800000000005</v>
      </c>
      <c r="Q2512">
        <v>0.18541959999999999</v>
      </c>
      <c r="R2512">
        <v>-0.1191594</v>
      </c>
      <c r="S2512">
        <v>-3.036438</v>
      </c>
      <c r="T2512">
        <v>-4.7757029999999999E-2</v>
      </c>
      <c r="U2512">
        <v>-0.39675899999999997</v>
      </c>
      <c r="V2512">
        <v>-0.11650679999999999</v>
      </c>
      <c r="W2512">
        <v>0.1985507</v>
      </c>
      <c r="X2512">
        <v>0.97314120000000004</v>
      </c>
      <c r="Y2512">
        <v>-0.12684699999999999</v>
      </c>
      <c r="Z2512">
        <v>-1.845223E-3</v>
      </c>
      <c r="AA2512">
        <v>0.99192060000000004</v>
      </c>
      <c r="AB2512">
        <v>29</v>
      </c>
      <c r="AC2512">
        <v>-70.432599999999894</v>
      </c>
      <c r="AD2512">
        <v>-1.11057794461099</v>
      </c>
      <c r="AE2512">
        <v>-9.2260000000000009</v>
      </c>
      <c r="AF2512">
        <v>-9.0328083471794507</v>
      </c>
      <c r="AG2512">
        <v>-1.11057794461099</v>
      </c>
      <c r="AH2512">
        <v>70.440135785854693</v>
      </c>
      <c r="AI2512">
        <v>90.895930627332206</v>
      </c>
      <c r="AJ2512">
        <v>97.307377386177095</v>
      </c>
      <c r="AK2512">
        <v>71.025613264072405</v>
      </c>
      <c r="AL2512">
        <v>78.547779358566999</v>
      </c>
      <c r="AM2512">
        <v>96.827093374678697</v>
      </c>
      <c r="AN2512">
        <v>1.0000000050270801</v>
      </c>
    </row>
    <row r="2513" spans="1:40" x14ac:dyDescent="0.25">
      <c r="A2513" t="str">
        <f>"20190304155106301"</f>
        <v>20190304155106301</v>
      </c>
      <c r="B2513" t="str">
        <f>"1551685866288760"</f>
        <v>1551685866288760</v>
      </c>
      <c r="C2513" t="s">
        <v>40</v>
      </c>
      <c r="D2513">
        <v>5.055358</v>
      </c>
      <c r="E2513">
        <v>0.49417250000000001</v>
      </c>
      <c r="F2513" t="s">
        <v>62</v>
      </c>
      <c r="G2513">
        <v>-479.27530000000002</v>
      </c>
      <c r="H2513">
        <v>7.9999929999999997E-2</v>
      </c>
      <c r="I2513">
        <v>277.55959999999999</v>
      </c>
      <c r="J2513">
        <v>-417.97460000000001</v>
      </c>
      <c r="K2513">
        <v>1.110584</v>
      </c>
      <c r="L2513">
        <v>285.56060000000002</v>
      </c>
      <c r="M2513">
        <v>-0.99990610000000002</v>
      </c>
      <c r="N2513">
        <v>-1.3445520000000001E-2</v>
      </c>
      <c r="O2513">
        <v>-2.7112870000000002E-3</v>
      </c>
      <c r="P2513">
        <v>-0.9754853</v>
      </c>
      <c r="Q2513">
        <v>0.1850831</v>
      </c>
      <c r="R2513">
        <v>-0.1190507</v>
      </c>
      <c r="S2513">
        <v>-3.037048</v>
      </c>
      <c r="T2513">
        <v>-5.0849680000000001E-2</v>
      </c>
      <c r="U2513">
        <v>-0.39480589999999999</v>
      </c>
      <c r="V2513">
        <v>-0.1163976</v>
      </c>
      <c r="W2513">
        <v>0.19819129999999999</v>
      </c>
      <c r="X2513">
        <v>0.97322750000000002</v>
      </c>
      <c r="Y2513">
        <v>-0.12619089999999999</v>
      </c>
      <c r="Z2513">
        <v>-1.8950709999999999E-3</v>
      </c>
      <c r="AA2513">
        <v>0.9920042</v>
      </c>
      <c r="AB2513">
        <v>29</v>
      </c>
      <c r="AC2513">
        <v>-61.300699999999999</v>
      </c>
      <c r="AD2513">
        <v>-1.03058407</v>
      </c>
      <c r="AE2513">
        <v>-8.0010000000000296</v>
      </c>
      <c r="AF2513">
        <v>-7.8325750695771399</v>
      </c>
      <c r="AG2513">
        <v>-1.03058407</v>
      </c>
      <c r="AH2513">
        <v>61.305132471836799</v>
      </c>
      <c r="AI2513">
        <v>90.955329024023698</v>
      </c>
      <c r="AJ2513">
        <v>97.280879319606797</v>
      </c>
      <c r="AK2513">
        <v>61.812058719438902</v>
      </c>
      <c r="AL2513">
        <v>78.568788692756797</v>
      </c>
      <c r="AM2513">
        <v>96.820155632636599</v>
      </c>
      <c r="AN2513">
        <v>0.99999997971884902</v>
      </c>
    </row>
    <row r="2514" spans="1:40" x14ac:dyDescent="0.25">
      <c r="A2514" t="str">
        <f>"20190304155106324"</f>
        <v>20190304155106324</v>
      </c>
      <c r="B2514" t="str">
        <f>"1551685866319016"</f>
        <v>1551685866319016</v>
      </c>
      <c r="C2514" t="s">
        <v>40</v>
      </c>
      <c r="D2514">
        <v>5.4012529999999996</v>
      </c>
      <c r="E2514">
        <v>0.49367420000000001</v>
      </c>
      <c r="F2514" t="s">
        <v>62</v>
      </c>
      <c r="G2514">
        <v>-475.31380000000001</v>
      </c>
      <c r="H2514">
        <v>7.9999990000000007E-2</v>
      </c>
      <c r="I2514">
        <v>278.13440000000003</v>
      </c>
      <c r="J2514">
        <v>-418.28120000000001</v>
      </c>
      <c r="K2514">
        <v>1.1105860000000001</v>
      </c>
      <c r="L2514">
        <v>285.5598</v>
      </c>
      <c r="M2514">
        <v>-0.99990650000000003</v>
      </c>
      <c r="N2514">
        <v>-1.341438E-2</v>
      </c>
      <c r="O2514">
        <v>-2.7113179999999999E-3</v>
      </c>
      <c r="P2514">
        <v>-0.97551659999999996</v>
      </c>
      <c r="Q2514">
        <v>0.18504660000000001</v>
      </c>
      <c r="R2514">
        <v>-0.1188509</v>
      </c>
      <c r="S2514">
        <v>-3.03775</v>
      </c>
      <c r="T2514">
        <v>-5.4598929999999997E-2</v>
      </c>
      <c r="U2514">
        <v>-0.39343260000000002</v>
      </c>
      <c r="V2514">
        <v>-0.1161977</v>
      </c>
      <c r="W2514">
        <v>0.19812450000000001</v>
      </c>
      <c r="X2514">
        <v>0.97326500000000005</v>
      </c>
      <c r="Y2514">
        <v>-0.1257171</v>
      </c>
      <c r="Z2514">
        <v>-1.9595680000000001E-3</v>
      </c>
      <c r="AA2514">
        <v>0.99206419999999995</v>
      </c>
      <c r="AB2514">
        <v>29</v>
      </c>
      <c r="AC2514">
        <v>-57.032600000000002</v>
      </c>
      <c r="AD2514">
        <v>-1.0305860099999999</v>
      </c>
      <c r="AE2514">
        <v>-7.4253999999999598</v>
      </c>
      <c r="AF2514">
        <v>-7.2683915131113599</v>
      </c>
      <c r="AG2514">
        <v>-1.0305860099999999</v>
      </c>
      <c r="AH2514">
        <v>57.034211841066799</v>
      </c>
      <c r="AI2514">
        <v>91.026896385603095</v>
      </c>
      <c r="AJ2514">
        <v>97.262577777351098</v>
      </c>
      <c r="AK2514">
        <v>57.504721050045703</v>
      </c>
      <c r="AL2514">
        <v>78.5726936201158</v>
      </c>
      <c r="AM2514">
        <v>96.808292944952697</v>
      </c>
      <c r="AN2514">
        <v>0.99999999160526898</v>
      </c>
    </row>
    <row r="2515" spans="1:40" x14ac:dyDescent="0.25">
      <c r="A2515" t="str">
        <f>"20190304155106347"</f>
        <v>20190304155106347</v>
      </c>
      <c r="B2515" t="str">
        <f>"1551685866339511"</f>
        <v>1551685866339511</v>
      </c>
      <c r="C2515" t="s">
        <v>40</v>
      </c>
      <c r="D2515">
        <v>5.0485340000000001</v>
      </c>
      <c r="E2515">
        <v>0.49362139999999999</v>
      </c>
      <c r="F2515" t="s">
        <v>62</v>
      </c>
      <c r="G2515">
        <v>-471.3904</v>
      </c>
      <c r="H2515">
        <v>8.0000580000000002E-2</v>
      </c>
      <c r="I2515">
        <v>278.62729999999999</v>
      </c>
      <c r="J2515">
        <v>-418.57740000000001</v>
      </c>
      <c r="K2515">
        <v>1.110581</v>
      </c>
      <c r="L2515">
        <v>285.55900000000003</v>
      </c>
      <c r="M2515">
        <v>-0.99990679999999998</v>
      </c>
      <c r="N2515">
        <v>-1.338226E-2</v>
      </c>
      <c r="O2515">
        <v>-2.7113430000000002E-3</v>
      </c>
      <c r="P2515">
        <v>-0.97541889999999998</v>
      </c>
      <c r="Q2515">
        <v>0.18538969999999999</v>
      </c>
      <c r="R2515">
        <v>-0.1191175</v>
      </c>
      <c r="S2515">
        <v>-3.0381469999999999</v>
      </c>
      <c r="T2515">
        <v>-5.8955309999999997E-2</v>
      </c>
      <c r="U2515">
        <v>-0.39657589999999998</v>
      </c>
      <c r="V2515">
        <v>-0.1164645</v>
      </c>
      <c r="W2515">
        <v>0.19843530000000001</v>
      </c>
      <c r="X2515">
        <v>0.97316979999999997</v>
      </c>
      <c r="Y2515">
        <v>-0.12670509999999999</v>
      </c>
      <c r="Z2515">
        <v>-2.059352E-3</v>
      </c>
      <c r="AA2515">
        <v>0.99193830000000005</v>
      </c>
      <c r="AB2515">
        <v>29</v>
      </c>
      <c r="AC2515">
        <v>-52.812999999999903</v>
      </c>
      <c r="AD2515">
        <v>-1.0305804199999999</v>
      </c>
      <c r="AE2515">
        <v>-6.9317000000000304</v>
      </c>
      <c r="AF2515">
        <v>-6.7859273048897899</v>
      </c>
      <c r="AG2515">
        <v>-1.0305804199999999</v>
      </c>
      <c r="AH2515">
        <v>52.811832241019502</v>
      </c>
      <c r="AI2515">
        <v>91.108825390002494</v>
      </c>
      <c r="AJ2515">
        <v>97.321961031222997</v>
      </c>
      <c r="AK2515">
        <v>53.255990555456997</v>
      </c>
      <c r="AL2515">
        <v>78.554525510865403</v>
      </c>
      <c r="AM2515">
        <v>96.824439377477603</v>
      </c>
      <c r="AN2515">
        <v>1.0000000038391801</v>
      </c>
    </row>
    <row r="2516" spans="1:40" x14ac:dyDescent="0.25">
      <c r="A2516" t="str">
        <f>"20190304155106368"</f>
        <v>20190304155106368</v>
      </c>
      <c r="B2516" t="str">
        <f>"1551685866359032"</f>
        <v>1551685866359032</v>
      </c>
      <c r="C2516" t="s">
        <v>40</v>
      </c>
      <c r="D2516">
        <v>4.9842820000000003</v>
      </c>
      <c r="E2516">
        <v>0.49351400000000001</v>
      </c>
      <c r="F2516" t="s">
        <v>62</v>
      </c>
      <c r="G2516">
        <v>-471.48270000000002</v>
      </c>
      <c r="H2516">
        <v>8.0000559999999998E-2</v>
      </c>
      <c r="I2516">
        <v>278.64089999999999</v>
      </c>
      <c r="J2516">
        <v>-418.86250000000001</v>
      </c>
      <c r="K2516">
        <v>1.110573</v>
      </c>
      <c r="L2516">
        <v>285.5582</v>
      </c>
      <c r="M2516">
        <v>-0.9999072</v>
      </c>
      <c r="N2516">
        <v>-1.335242E-2</v>
      </c>
      <c r="O2516">
        <v>-2.7116219999999999E-3</v>
      </c>
      <c r="P2516">
        <v>-0.97547309999999998</v>
      </c>
      <c r="Q2516">
        <v>0.18508820000000001</v>
      </c>
      <c r="R2516">
        <v>-0.1191407</v>
      </c>
      <c r="S2516">
        <v>-3.0383610000000001</v>
      </c>
      <c r="T2516">
        <v>-5.9186460000000003E-2</v>
      </c>
      <c r="U2516">
        <v>-0.3973083</v>
      </c>
      <c r="V2516">
        <v>-0.1164873</v>
      </c>
      <c r="W2516">
        <v>0.19810530000000001</v>
      </c>
      <c r="X2516">
        <v>0.9732343</v>
      </c>
      <c r="Y2516">
        <v>-0.12693070000000001</v>
      </c>
      <c r="Z2516">
        <v>-2.0655769999999999E-3</v>
      </c>
      <c r="AA2516">
        <v>0.99190940000000005</v>
      </c>
      <c r="AB2516">
        <v>29</v>
      </c>
      <c r="AC2516">
        <v>-52.620199999999997</v>
      </c>
      <c r="AD2516">
        <v>-1.03057244</v>
      </c>
      <c r="AE2516">
        <v>-6.9173000000000098</v>
      </c>
      <c r="AF2516">
        <v>-6.7720222919033999</v>
      </c>
      <c r="AG2516">
        <v>-1.03057244</v>
      </c>
      <c r="AH2516">
        <v>52.618924761924603</v>
      </c>
      <c r="AI2516">
        <v>91.112851737291294</v>
      </c>
      <c r="AJ2516">
        <v>97.333617652685703</v>
      </c>
      <c r="AK2516">
        <v>53.0629212216705</v>
      </c>
      <c r="AL2516">
        <v>78.573816063234304</v>
      </c>
      <c r="AM2516">
        <v>96.825314677193504</v>
      </c>
      <c r="AN2516">
        <v>1.00000000182293</v>
      </c>
    </row>
    <row r="2517" spans="1:40" x14ac:dyDescent="0.25">
      <c r="A2517" t="str">
        <f>"20190304155106391"</f>
        <v>20190304155106391</v>
      </c>
      <c r="B2517" t="str">
        <f>"1551685866379528"</f>
        <v>1551685866379528</v>
      </c>
      <c r="C2517" t="s">
        <v>40</v>
      </c>
      <c r="D2517">
        <v>5.086786</v>
      </c>
      <c r="E2517">
        <v>0.49349340000000003</v>
      </c>
      <c r="F2517" t="s">
        <v>70</v>
      </c>
      <c r="G2517">
        <v>-469.36399999999998</v>
      </c>
      <c r="H2517">
        <v>8.0000420000000003E-2</v>
      </c>
      <c r="I2517">
        <v>278.9427</v>
      </c>
      <c r="J2517">
        <v>-419.15699999999998</v>
      </c>
      <c r="K2517">
        <v>1.1105670000000001</v>
      </c>
      <c r="L2517">
        <v>285.55739999999997</v>
      </c>
      <c r="M2517">
        <v>-0.99990769999999995</v>
      </c>
      <c r="N2517">
        <v>-1.3318740000000001E-2</v>
      </c>
      <c r="O2517">
        <v>-2.7118759999999998E-3</v>
      </c>
      <c r="P2517">
        <v>-0.97544600000000004</v>
      </c>
      <c r="Q2517">
        <v>0.18492420000000001</v>
      </c>
      <c r="R2517">
        <v>-0.119617</v>
      </c>
      <c r="S2517">
        <v>-3.0385439999999999</v>
      </c>
      <c r="T2517">
        <v>-6.2006829999999999E-2</v>
      </c>
      <c r="U2517">
        <v>-0.39804079999999997</v>
      </c>
      <c r="V2517">
        <v>-0.1169636</v>
      </c>
      <c r="W2517">
        <v>0.19790859999999999</v>
      </c>
      <c r="X2517">
        <v>0.9732172</v>
      </c>
      <c r="Y2517">
        <v>-0.12715470000000001</v>
      </c>
      <c r="Z2517">
        <v>-2.1231800000000001E-3</v>
      </c>
      <c r="AA2517">
        <v>0.99188069999999895</v>
      </c>
      <c r="AB2517">
        <v>29</v>
      </c>
      <c r="AC2517">
        <v>-50.207000000000001</v>
      </c>
      <c r="AD2517">
        <v>-1.0305665799999999</v>
      </c>
      <c r="AE2517">
        <v>-6.6146999999999698</v>
      </c>
      <c r="AF2517">
        <v>-6.4758265310988703</v>
      </c>
      <c r="AG2517">
        <v>-1.0305665799999999</v>
      </c>
      <c r="AH2517">
        <v>50.203963585471598</v>
      </c>
      <c r="AI2517">
        <v>91.1663191622048</v>
      </c>
      <c r="AJ2517">
        <v>97.350017174674804</v>
      </c>
      <c r="AK2517">
        <v>50.630389653132802</v>
      </c>
      <c r="AL2517">
        <v>78.585313862764394</v>
      </c>
      <c r="AM2517">
        <v>96.853076815236903</v>
      </c>
      <c r="AN2517">
        <v>1.0000000080273701</v>
      </c>
    </row>
    <row r="2518" spans="1:40" x14ac:dyDescent="0.25">
      <c r="A2518" t="str">
        <f>"20190304155106413"</f>
        <v>20190304155106413</v>
      </c>
      <c r="B2518" t="str">
        <f>"1551685866408807"</f>
        <v>1551685866408807</v>
      </c>
      <c r="C2518" t="s">
        <v>40</v>
      </c>
      <c r="D2518">
        <v>5.0155479999999999</v>
      </c>
      <c r="E2518">
        <v>0.49325750000000002</v>
      </c>
      <c r="F2518" t="s">
        <v>70</v>
      </c>
      <c r="G2518">
        <v>-468.35730000000001</v>
      </c>
      <c r="H2518">
        <v>8.0000710000000003E-2</v>
      </c>
      <c r="I2518">
        <v>279.08920000000001</v>
      </c>
      <c r="J2518">
        <v>-419.44959999999998</v>
      </c>
      <c r="K2518">
        <v>1.110568</v>
      </c>
      <c r="L2518">
        <v>285.5566</v>
      </c>
      <c r="M2518">
        <v>-0.99990829999999997</v>
      </c>
      <c r="N2518">
        <v>-1.328443E-2</v>
      </c>
      <c r="O2518">
        <v>-2.7120069999999998E-3</v>
      </c>
      <c r="P2518">
        <v>-0.97536089999999998</v>
      </c>
      <c r="Q2518">
        <v>0.1851083</v>
      </c>
      <c r="R2518">
        <v>-0.1200276</v>
      </c>
      <c r="S2518">
        <v>-3.038605</v>
      </c>
      <c r="T2518">
        <v>-6.3647629999999997E-2</v>
      </c>
      <c r="U2518">
        <v>-0.39947510000000003</v>
      </c>
      <c r="V2518">
        <v>-0.1173739</v>
      </c>
      <c r="W2518">
        <v>0.1980577</v>
      </c>
      <c r="X2518">
        <v>0.97313749999999999</v>
      </c>
      <c r="Y2518">
        <v>-0.12761030000000001</v>
      </c>
      <c r="Z2518">
        <v>-2.1613689999999998E-3</v>
      </c>
      <c r="AA2518">
        <v>0.99182199999999998</v>
      </c>
      <c r="AB2518">
        <v>29</v>
      </c>
      <c r="AC2518">
        <v>-48.907699999999998</v>
      </c>
      <c r="AD2518">
        <v>-1.03056729</v>
      </c>
      <c r="AE2518">
        <v>-6.4673999999999898</v>
      </c>
      <c r="AF2518">
        <v>-6.3319633390326802</v>
      </c>
      <c r="AG2518">
        <v>-1.03056729</v>
      </c>
      <c r="AH2518">
        <v>48.903720452007697</v>
      </c>
      <c r="AI2518">
        <v>91.197246739180898</v>
      </c>
      <c r="AJ2518">
        <v>97.377507375759194</v>
      </c>
      <c r="AK2518">
        <v>49.322709807087797</v>
      </c>
      <c r="AL2518">
        <v>78.576598909519106</v>
      </c>
      <c r="AM2518">
        <v>96.877444926985305</v>
      </c>
      <c r="AN2518">
        <v>1.0000000394183699</v>
      </c>
    </row>
    <row r="2519" spans="1:40" x14ac:dyDescent="0.25">
      <c r="A2519" t="str">
        <f>"20190304155106436"</f>
        <v>20190304155106436</v>
      </c>
      <c r="B2519" t="str">
        <f>"1551685866429303"</f>
        <v>1551685866429303</v>
      </c>
      <c r="C2519" t="s">
        <v>40</v>
      </c>
      <c r="D2519">
        <v>5.0126869999999997</v>
      </c>
      <c r="E2519">
        <v>0.49311670000000002</v>
      </c>
      <c r="F2519" t="s">
        <v>70</v>
      </c>
      <c r="G2519">
        <v>-467.21690000000001</v>
      </c>
      <c r="H2519">
        <v>8.0001050000000004E-2</v>
      </c>
      <c r="I2519">
        <v>279.23099999999999</v>
      </c>
      <c r="J2519">
        <v>-419.74329999999998</v>
      </c>
      <c r="K2519">
        <v>1.1105689999999999</v>
      </c>
      <c r="L2519">
        <v>285.55579999999998</v>
      </c>
      <c r="M2519">
        <v>-0.99990849999999998</v>
      </c>
      <c r="N2519">
        <v>-1.325205E-2</v>
      </c>
      <c r="O2519">
        <v>-2.7120320000000001E-3</v>
      </c>
      <c r="P2519">
        <v>-0.97524920000000004</v>
      </c>
      <c r="Q2519">
        <v>0.18576509999999999</v>
      </c>
      <c r="R2519">
        <v>-0.1199178</v>
      </c>
      <c r="S2519">
        <v>-3.0386959999999998</v>
      </c>
      <c r="T2519">
        <v>-6.5559030000000004E-2</v>
      </c>
      <c r="U2519">
        <v>-0.40240480000000001</v>
      </c>
      <c r="V2519">
        <v>-0.1172646</v>
      </c>
      <c r="W2519">
        <v>0.19868160000000001</v>
      </c>
      <c r="X2519">
        <v>0.97302350000000004</v>
      </c>
      <c r="Y2519">
        <v>-0.12854380000000001</v>
      </c>
      <c r="Z2519">
        <v>-2.2136320000000001E-3</v>
      </c>
      <c r="AA2519">
        <v>0.99170139999999996</v>
      </c>
      <c r="AB2519">
        <v>29</v>
      </c>
      <c r="AC2519">
        <v>-47.473599999999998</v>
      </c>
      <c r="AD2519">
        <v>-1.03056795</v>
      </c>
      <c r="AE2519">
        <v>-6.3247999999999802</v>
      </c>
      <c r="AF2519">
        <v>-6.19314789993616</v>
      </c>
      <c r="AG2519">
        <v>-1.03056795</v>
      </c>
      <c r="AH2519">
        <v>47.468600620698901</v>
      </c>
      <c r="AI2519">
        <v>91.233276872884304</v>
      </c>
      <c r="AJ2519">
        <v>97.433296567066094</v>
      </c>
      <c r="AK2519">
        <v>47.8819923989956</v>
      </c>
      <c r="AL2519">
        <v>78.540127383504696</v>
      </c>
      <c r="AM2519">
        <v>96.871899146656503</v>
      </c>
      <c r="AN2519">
        <v>1.00000004807198</v>
      </c>
    </row>
    <row r="2520" spans="1:40" x14ac:dyDescent="0.25">
      <c r="A2520" t="str">
        <f>"20190304155106448"</f>
        <v>20190304155106448</v>
      </c>
      <c r="B2520" t="str">
        <f>"1551685866439064"</f>
        <v>1551685866439064</v>
      </c>
      <c r="C2520" t="s">
        <v>40</v>
      </c>
      <c r="D2520">
        <v>5.0894209999999998</v>
      </c>
      <c r="E2520">
        <v>0.49309969999999997</v>
      </c>
      <c r="F2520" t="s">
        <v>70</v>
      </c>
      <c r="G2520">
        <v>-468.10579999999999</v>
      </c>
      <c r="H2520">
        <v>8.0000790000000002E-2</v>
      </c>
      <c r="I2520">
        <v>279.13920000000002</v>
      </c>
      <c r="J2520">
        <v>-419.91649999999998</v>
      </c>
      <c r="K2520">
        <v>1.1105689999999999</v>
      </c>
      <c r="L2520">
        <v>285.55540000000002</v>
      </c>
      <c r="M2520">
        <v>-0.99990880000000004</v>
      </c>
      <c r="N2520">
        <v>-1.323381E-2</v>
      </c>
      <c r="O2520">
        <v>-2.7121509999999999E-3</v>
      </c>
      <c r="P2520">
        <v>-0.97527350000000002</v>
      </c>
      <c r="Q2520">
        <v>0.18570690000000001</v>
      </c>
      <c r="R2520">
        <v>-0.11981219999999999</v>
      </c>
      <c r="S2520">
        <v>-3.03891</v>
      </c>
      <c r="T2520">
        <v>-6.4756869999999994E-2</v>
      </c>
      <c r="U2520">
        <v>-0.40319820000000001</v>
      </c>
      <c r="V2520">
        <v>-0.11715830000000001</v>
      </c>
      <c r="W2520">
        <v>0.1986059</v>
      </c>
      <c r="X2520">
        <v>0.97305169999999996</v>
      </c>
      <c r="Y2520">
        <v>-0.12878989999999901</v>
      </c>
      <c r="Z2520">
        <v>-2.2003740000000002E-3</v>
      </c>
      <c r="AA2520">
        <v>0.99166949999999998</v>
      </c>
      <c r="AB2520">
        <v>29</v>
      </c>
      <c r="AC2520">
        <v>-48.189300000000003</v>
      </c>
      <c r="AD2520">
        <v>-1.03056821</v>
      </c>
      <c r="AE2520">
        <v>-6.4161999999999999</v>
      </c>
      <c r="AF2520">
        <v>-6.2826449601238696</v>
      </c>
      <c r="AG2520">
        <v>-1.03056821</v>
      </c>
      <c r="AH2520">
        <v>48.184872299815098</v>
      </c>
      <c r="AI2520">
        <v>91.214962745135793</v>
      </c>
      <c r="AJ2520">
        <v>97.428673938340395</v>
      </c>
      <c r="AK2520">
        <v>48.603658474233399</v>
      </c>
      <c r="AL2520">
        <v>78.544552201169395</v>
      </c>
      <c r="AM2520">
        <v>96.865532202373004</v>
      </c>
      <c r="AN2520">
        <v>0.99999999082329405</v>
      </c>
    </row>
    <row r="2521" spans="1:40" x14ac:dyDescent="0.25">
      <c r="A2521" t="str">
        <f>"20190304155106468"</f>
        <v>20190304155106468</v>
      </c>
      <c r="B2521" t="str">
        <f>"1551685866459559"</f>
        <v>1551685866459559</v>
      </c>
      <c r="C2521" t="s">
        <v>40</v>
      </c>
      <c r="D2521">
        <v>4.9714260000000001</v>
      </c>
      <c r="E2521">
        <v>0.4932086</v>
      </c>
      <c r="F2521" t="s">
        <v>70</v>
      </c>
      <c r="G2521">
        <v>-467.68119999999999</v>
      </c>
      <c r="H2521">
        <v>8.0000909999999995E-2</v>
      </c>
      <c r="I2521">
        <v>279.22280000000001</v>
      </c>
      <c r="J2521">
        <v>-420.17619999999999</v>
      </c>
      <c r="K2521">
        <v>1.110563</v>
      </c>
      <c r="L2521">
        <v>285.55470000000003</v>
      </c>
      <c r="M2521">
        <v>-0.99990919999999905</v>
      </c>
      <c r="N2521">
        <v>-1.320401E-2</v>
      </c>
      <c r="O2521">
        <v>-2.7121929999999999E-3</v>
      </c>
      <c r="P2521">
        <v>-0.97534699999999996</v>
      </c>
      <c r="Q2521">
        <v>0.18514159999999999</v>
      </c>
      <c r="R2521">
        <v>-0.1200886</v>
      </c>
      <c r="S2521">
        <v>-3.0391240000000002</v>
      </c>
      <c r="T2521">
        <v>-6.5571899999999905E-2</v>
      </c>
      <c r="U2521">
        <v>-0.40292359999999999</v>
      </c>
      <c r="V2521">
        <v>-0.11743530000000001</v>
      </c>
      <c r="W2521">
        <v>0.19801279999999999</v>
      </c>
      <c r="X2521">
        <v>0.97313919999999998</v>
      </c>
      <c r="Y2521">
        <v>-0.1286918</v>
      </c>
      <c r="Z2521">
        <v>-2.213039E-3</v>
      </c>
      <c r="AA2521">
        <v>0.99168219999999996</v>
      </c>
      <c r="AB2521">
        <v>29</v>
      </c>
      <c r="AC2521">
        <v>-47.505000000000003</v>
      </c>
      <c r="AD2521">
        <v>-1.0305620900000001</v>
      </c>
      <c r="AE2521">
        <v>-6.3319000000000099</v>
      </c>
      <c r="AF2521">
        <v>-6.2001557748540401</v>
      </c>
      <c r="AG2521">
        <v>-1.0305620900000001</v>
      </c>
      <c r="AH2521">
        <v>47.500035862381097</v>
      </c>
      <c r="AI2521">
        <v>91.232444269797398</v>
      </c>
      <c r="AJ2521">
        <v>97.436743843109298</v>
      </c>
      <c r="AK2521">
        <v>47.914062620292299</v>
      </c>
      <c r="AL2521">
        <v>78.579223136187693</v>
      </c>
      <c r="AM2521">
        <v>96.8809962287106</v>
      </c>
      <c r="AN2521">
        <v>1.00000001061328</v>
      </c>
    </row>
    <row r="2522" spans="1:40" x14ac:dyDescent="0.25">
      <c r="A2522" t="str">
        <f>"20190304155106490"</f>
        <v>20190304155106490</v>
      </c>
      <c r="B2522" t="str">
        <f>"1551685866479083"</f>
        <v>1551685866479083</v>
      </c>
      <c r="C2522" t="s">
        <v>40</v>
      </c>
      <c r="D2522">
        <v>4.9814740000000004</v>
      </c>
      <c r="E2522">
        <v>0.49381799999999998</v>
      </c>
      <c r="F2522" t="s">
        <v>70</v>
      </c>
      <c r="G2522">
        <v>-466.07139999999998</v>
      </c>
      <c r="H2522">
        <v>8.0001370000000002E-2</v>
      </c>
      <c r="I2522">
        <v>279.46300000000002</v>
      </c>
      <c r="J2522">
        <v>-420.45940000000002</v>
      </c>
      <c r="K2522">
        <v>1.110557</v>
      </c>
      <c r="L2522">
        <v>285.5539</v>
      </c>
      <c r="M2522">
        <v>-0.99990959999999995</v>
      </c>
      <c r="N2522">
        <v>-1.3170309999999999E-2</v>
      </c>
      <c r="O2522">
        <v>-2.7120909999999998E-3</v>
      </c>
      <c r="P2522">
        <v>-0.97534169999999998</v>
      </c>
      <c r="Q2522">
        <v>0.18515970000000001</v>
      </c>
      <c r="R2522">
        <v>-0.120102</v>
      </c>
      <c r="S2522">
        <v>-3.0391240000000002</v>
      </c>
      <c r="T2522">
        <v>-6.8242549999999999E-2</v>
      </c>
      <c r="U2522">
        <v>-0.4033813</v>
      </c>
      <c r="V2522">
        <v>-0.1174486</v>
      </c>
      <c r="W2522">
        <v>0.19799829999999999</v>
      </c>
      <c r="X2522">
        <v>0.97314049999999996</v>
      </c>
      <c r="Y2522">
        <v>-0.12883549999999999</v>
      </c>
      <c r="Z2522">
        <v>-2.267238E-3</v>
      </c>
      <c r="AA2522">
        <v>0.99166339999999997</v>
      </c>
      <c r="AB2522">
        <v>29</v>
      </c>
      <c r="AC2522">
        <v>-45.611999999999902</v>
      </c>
      <c r="AD2522">
        <v>-1.0305556300000001</v>
      </c>
      <c r="AE2522">
        <v>-6.0909000000000297</v>
      </c>
      <c r="AF2522">
        <v>-5.9641716814099697</v>
      </c>
      <c r="AG2522">
        <v>-1.0305556300000001</v>
      </c>
      <c r="AH2522">
        <v>45.605479605726302</v>
      </c>
      <c r="AI2522">
        <v>91.283577116424993</v>
      </c>
      <c r="AJ2522">
        <v>97.450716218762594</v>
      </c>
      <c r="AK2522">
        <v>46.0053601096674</v>
      </c>
      <c r="AL2522">
        <v>78.580070196625698</v>
      </c>
      <c r="AM2522">
        <v>96.881758950048805</v>
      </c>
      <c r="AN2522">
        <v>0.99999996659254897</v>
      </c>
    </row>
    <row r="2523" spans="1:40" x14ac:dyDescent="0.25">
      <c r="A2523" t="str">
        <f>"20190304155106524"</f>
        <v>20190304155106524</v>
      </c>
      <c r="B2523" t="str">
        <f>"1551685866519096"</f>
        <v>1551685866519096</v>
      </c>
      <c r="C2523" t="s">
        <v>40</v>
      </c>
      <c r="D2523">
        <v>4.9400719999999998</v>
      </c>
      <c r="E2523">
        <v>0.49498120000000001</v>
      </c>
      <c r="F2523" t="s">
        <v>70</v>
      </c>
      <c r="G2523">
        <v>-466.71390000000002</v>
      </c>
      <c r="H2523">
        <v>8.0001180000000005E-2</v>
      </c>
      <c r="I2523">
        <v>279.48809999999997</v>
      </c>
      <c r="J2523">
        <v>-420.90710000000001</v>
      </c>
      <c r="K2523">
        <v>1.1105480000000001</v>
      </c>
      <c r="L2523">
        <v>285.55270000000002</v>
      </c>
      <c r="M2523">
        <v>-0.99991019999999997</v>
      </c>
      <c r="N2523">
        <v>-1.312142E-2</v>
      </c>
      <c r="O2523">
        <v>-2.7123669999999998E-3</v>
      </c>
      <c r="P2523">
        <v>-0.97534319999999997</v>
      </c>
      <c r="Q2523">
        <v>0.1853293</v>
      </c>
      <c r="R2523">
        <v>-0.11982909999999999</v>
      </c>
      <c r="S2523">
        <v>-3.0396420000000002</v>
      </c>
      <c r="T2523">
        <v>-6.7723749999999999E-2</v>
      </c>
      <c r="U2523">
        <v>-0.39862059999999999</v>
      </c>
      <c r="V2523">
        <v>-0.1171756</v>
      </c>
      <c r="W2523">
        <v>0.19811980000000001</v>
      </c>
      <c r="X2523">
        <v>0.97314869999999998</v>
      </c>
      <c r="Y2523">
        <v>-0.1272877</v>
      </c>
      <c r="Z2523">
        <v>-2.2259110000000001E-3</v>
      </c>
      <c r="AA2523">
        <v>0.9918633</v>
      </c>
      <c r="AB2523">
        <v>29</v>
      </c>
      <c r="AC2523">
        <v>-45.806800000000003</v>
      </c>
      <c r="AD2523">
        <v>-1.0305468200000001</v>
      </c>
      <c r="AE2523">
        <v>-6.0646000000000404</v>
      </c>
      <c r="AF2523">
        <v>-5.9373687290414399</v>
      </c>
      <c r="AG2523">
        <v>-1.0305468200000001</v>
      </c>
      <c r="AH2523">
        <v>45.8003000237929</v>
      </c>
      <c r="AI2523">
        <v>91.278294816938995</v>
      </c>
      <c r="AJ2523">
        <v>97.386403387917994</v>
      </c>
      <c r="AK2523">
        <v>46.195041470294797</v>
      </c>
      <c r="AL2523">
        <v>78.572968272255693</v>
      </c>
      <c r="AM2523">
        <v>96.865858413903396</v>
      </c>
      <c r="AN2523">
        <v>0.99999998434954396</v>
      </c>
    </row>
    <row r="2524" spans="1:40" x14ac:dyDescent="0.25">
      <c r="A2524" t="str">
        <f>"20190304155106547"</f>
        <v>20190304155106547</v>
      </c>
      <c r="B2524" t="str">
        <f>"1551685866539595"</f>
        <v>1551685866539595</v>
      </c>
      <c r="C2524" t="s">
        <v>40</v>
      </c>
      <c r="D2524">
        <v>4.9466900000000003</v>
      </c>
      <c r="E2524">
        <v>0.49557649999999998</v>
      </c>
      <c r="F2524" t="s">
        <v>70</v>
      </c>
      <c r="G2524">
        <v>-468.19420000000002</v>
      </c>
      <c r="H2524">
        <v>8.0000740000000001E-2</v>
      </c>
      <c r="I2524">
        <v>279.50779999999997</v>
      </c>
      <c r="J2524">
        <v>-421.20249999999999</v>
      </c>
      <c r="K2524">
        <v>1.110544</v>
      </c>
      <c r="L2524">
        <v>285.55189999999999</v>
      </c>
      <c r="M2524">
        <v>-0.99991070000000004</v>
      </c>
      <c r="N2524">
        <v>-1.3092909999999999E-2</v>
      </c>
      <c r="O2524">
        <v>-2.7124190000000002E-3</v>
      </c>
      <c r="P2524">
        <v>-0.97532359999999896</v>
      </c>
      <c r="Q2524">
        <v>0.18563499999999999</v>
      </c>
      <c r="R2524">
        <v>-0.11951489999999999</v>
      </c>
      <c r="S2524">
        <v>-3.04068</v>
      </c>
      <c r="T2524">
        <v>-6.6266779999999997E-2</v>
      </c>
      <c r="U2524">
        <v>-0.3887024</v>
      </c>
      <c r="V2524">
        <v>-0.1168608</v>
      </c>
      <c r="W2524">
        <v>0.1983974</v>
      </c>
      <c r="X2524">
        <v>0.97313000000000005</v>
      </c>
      <c r="Y2524">
        <v>-0.12406440000000001</v>
      </c>
      <c r="Z2524">
        <v>-2.1384249999999998E-3</v>
      </c>
      <c r="AA2524">
        <v>0.99227180000000004</v>
      </c>
      <c r="AB2524">
        <v>29</v>
      </c>
      <c r="AC2524">
        <v>-46.991700000000002</v>
      </c>
      <c r="AD2524">
        <v>-1.03054326</v>
      </c>
      <c r="AE2524">
        <v>-6.04410000000001</v>
      </c>
      <c r="AF2524">
        <v>-5.9138077726055203</v>
      </c>
      <c r="AG2524">
        <v>-1.03054326</v>
      </c>
      <c r="AH2524">
        <v>46.985693130147297</v>
      </c>
      <c r="AI2524">
        <v>91.246641706590594</v>
      </c>
      <c r="AJ2524">
        <v>97.173753706092796</v>
      </c>
      <c r="AK2524">
        <v>47.367610249013303</v>
      </c>
      <c r="AL2524">
        <v>78.556740863017595</v>
      </c>
      <c r="AM2524">
        <v>96.847718541641896</v>
      </c>
      <c r="AN2524">
        <v>0.99999998590169903</v>
      </c>
    </row>
    <row r="2525" spans="1:40" x14ac:dyDescent="0.25">
      <c r="A2525" t="str">
        <f>"20190304155106568"</f>
        <v>20190304155106568</v>
      </c>
      <c r="B2525" t="str">
        <f>"1551685866559112"</f>
        <v>1551685866559112</v>
      </c>
      <c r="C2525" t="s">
        <v>40</v>
      </c>
      <c r="D2525">
        <v>4.9768339999999904</v>
      </c>
      <c r="E2525">
        <v>0.49610310000000002</v>
      </c>
      <c r="F2525" t="s">
        <v>70</v>
      </c>
      <c r="G2525">
        <v>-469.26209999999998</v>
      </c>
      <c r="H2525">
        <v>8.0000429999999997E-2</v>
      </c>
      <c r="I2525">
        <v>279.49689999999998</v>
      </c>
      <c r="J2525">
        <v>-421.47969999999998</v>
      </c>
      <c r="K2525">
        <v>1.110536</v>
      </c>
      <c r="L2525">
        <v>285.55119999999999</v>
      </c>
      <c r="M2525">
        <v>-0.99991099999999999</v>
      </c>
      <c r="N2525">
        <v>-1.3068700000000001E-2</v>
      </c>
      <c r="O2525">
        <v>-2.7125000000000001E-3</v>
      </c>
      <c r="P2525">
        <v>-0.9753636</v>
      </c>
      <c r="Q2525">
        <v>0.18596199999999999</v>
      </c>
      <c r="R2525">
        <v>-0.118677</v>
      </c>
      <c r="S2525">
        <v>-3.0413510000000001</v>
      </c>
      <c r="T2525">
        <v>-6.5215830000000002E-2</v>
      </c>
      <c r="U2525">
        <v>-0.38317869999999998</v>
      </c>
      <c r="V2525">
        <v>-0.1160233</v>
      </c>
      <c r="W2525">
        <v>0.19870119999999999</v>
      </c>
      <c r="X2525">
        <v>0.97316829999999999</v>
      </c>
      <c r="Y2525">
        <v>-0.122264899999999</v>
      </c>
      <c r="Z2525">
        <v>-2.085188E-3</v>
      </c>
      <c r="AA2525">
        <v>0.99249529999999997</v>
      </c>
      <c r="AB2525">
        <v>29</v>
      </c>
      <c r="AC2525">
        <v>-47.782400000000003</v>
      </c>
      <c r="AD2525">
        <v>-1.0305355700000001</v>
      </c>
      <c r="AE2525">
        <v>-6.0543000000000102</v>
      </c>
      <c r="AF2525">
        <v>-5.92194585387446</v>
      </c>
      <c r="AG2525">
        <v>-1.0305355700000001</v>
      </c>
      <c r="AH2525">
        <v>47.776775802566199</v>
      </c>
      <c r="AI2525">
        <v>91.226285656595707</v>
      </c>
      <c r="AJ2525">
        <v>97.065790810513505</v>
      </c>
      <c r="AK2525">
        <v>48.153418906095702</v>
      </c>
      <c r="AL2525">
        <v>78.538981639355001</v>
      </c>
      <c r="AM2525">
        <v>96.798839333996696</v>
      </c>
      <c r="AN2525">
        <v>1.0000000565745999</v>
      </c>
    </row>
    <row r="2526" spans="1:40" x14ac:dyDescent="0.25">
      <c r="A2526" t="str">
        <f>"20190304155106592"</f>
        <v>20190304155106592</v>
      </c>
      <c r="B2526" t="str">
        <f>"1551685866589368"</f>
        <v>1551685866589368</v>
      </c>
      <c r="C2526" t="s">
        <v>40</v>
      </c>
      <c r="D2526">
        <v>4.9489470000000004</v>
      </c>
      <c r="E2526">
        <v>0.49719410000000003</v>
      </c>
      <c r="F2526" t="s">
        <v>62</v>
      </c>
      <c r="G2526">
        <v>-470.75310000000002</v>
      </c>
      <c r="H2526">
        <v>8.0000740000000001E-2</v>
      </c>
      <c r="I2526">
        <v>279.44450000000001</v>
      </c>
      <c r="J2526">
        <v>-421.77839999999998</v>
      </c>
      <c r="K2526">
        <v>1.1105370000000001</v>
      </c>
      <c r="L2526">
        <v>285.55040000000002</v>
      </c>
      <c r="M2526">
        <v>-0.9999112</v>
      </c>
      <c r="N2526">
        <v>-1.304512E-2</v>
      </c>
      <c r="O2526">
        <v>-2.7123469999999999E-3</v>
      </c>
      <c r="P2526">
        <v>-0.97531880000000004</v>
      </c>
      <c r="Q2526">
        <v>0.18654999999999999</v>
      </c>
      <c r="R2526">
        <v>-0.11812159999999999</v>
      </c>
      <c r="S2526">
        <v>-3.0420229999999999</v>
      </c>
      <c r="T2526">
        <v>-6.3622830000000005E-2</v>
      </c>
      <c r="U2526">
        <v>-0.37701420000000002</v>
      </c>
      <c r="V2526">
        <v>-0.1154678</v>
      </c>
      <c r="W2526">
        <v>0.19926569999999999</v>
      </c>
      <c r="X2526">
        <v>0.97311890000000001</v>
      </c>
      <c r="Y2526">
        <v>-0.1202597</v>
      </c>
      <c r="Z2526">
        <v>-2.018976E-3</v>
      </c>
      <c r="AA2526">
        <v>0.99274039999999997</v>
      </c>
      <c r="AB2526">
        <v>29</v>
      </c>
      <c r="AC2526">
        <v>-48.974699999999999</v>
      </c>
      <c r="AD2526">
        <v>-1.0305362600000001</v>
      </c>
      <c r="AE2526">
        <v>-6.1059000000000099</v>
      </c>
      <c r="AF2526">
        <v>-5.9704267540965201</v>
      </c>
      <c r="AG2526">
        <v>-1.0305362600000001</v>
      </c>
      <c r="AH2526">
        <v>48.969731851381503</v>
      </c>
      <c r="AI2526">
        <v>91.196715611014</v>
      </c>
      <c r="AJ2526">
        <v>96.951237638605903</v>
      </c>
      <c r="AK2526">
        <v>49.3431113551366</v>
      </c>
      <c r="AL2526">
        <v>78.505977688297406</v>
      </c>
      <c r="AM2526">
        <v>96.766930502711105</v>
      </c>
      <c r="AN2526">
        <v>1.00000001278527</v>
      </c>
    </row>
    <row r="2527" spans="1:40" x14ac:dyDescent="0.25">
      <c r="A2527" t="str">
        <f>"20190304155106615"</f>
        <v>20190304155106615</v>
      </c>
      <c r="B2527" t="str">
        <f>"1551685866608887"</f>
        <v>1551685866608887</v>
      </c>
      <c r="C2527" t="s">
        <v>40</v>
      </c>
      <c r="D2527">
        <v>5.0783860000000001</v>
      </c>
      <c r="E2527">
        <v>0.49815480000000001</v>
      </c>
      <c r="F2527" t="s">
        <v>62</v>
      </c>
      <c r="G2527">
        <v>-475.65550000000002</v>
      </c>
      <c r="H2527">
        <v>8.0000150000000006E-2</v>
      </c>
      <c r="I2527">
        <v>279.0428</v>
      </c>
      <c r="J2527">
        <v>-422.08190000000002</v>
      </c>
      <c r="K2527">
        <v>1.1105400000000001</v>
      </c>
      <c r="L2527">
        <v>285.5496</v>
      </c>
      <c r="M2527">
        <v>-0.99991160000000001</v>
      </c>
      <c r="N2527">
        <v>-1.302382E-2</v>
      </c>
      <c r="O2527">
        <v>-2.712328E-3</v>
      </c>
      <c r="P2527">
        <v>-0.97518470000000002</v>
      </c>
      <c r="Q2527">
        <v>0.18754489999999999</v>
      </c>
      <c r="R2527">
        <v>-0.1176513</v>
      </c>
      <c r="S2527">
        <v>-3.0425110000000002</v>
      </c>
      <c r="T2527">
        <v>-5.8195829999999997E-2</v>
      </c>
      <c r="U2527">
        <v>-0.36749270000000001</v>
      </c>
      <c r="V2527">
        <v>-0.114997699999999</v>
      </c>
      <c r="W2527">
        <v>0.20023850000000001</v>
      </c>
      <c r="X2527">
        <v>0.97297480000000003</v>
      </c>
      <c r="Y2527">
        <v>-0.11718530000000001</v>
      </c>
      <c r="Z2527">
        <v>-1.8661019999999999E-3</v>
      </c>
      <c r="AA2527">
        <v>0.99310830000000005</v>
      </c>
      <c r="AB2527">
        <v>29</v>
      </c>
      <c r="AC2527">
        <v>-53.573599999999999</v>
      </c>
      <c r="AD2527">
        <v>-1.03053984999999</v>
      </c>
      <c r="AE2527">
        <v>-6.5067999999999904</v>
      </c>
      <c r="AF2527">
        <v>-6.3591357580060599</v>
      </c>
      <c r="AG2527">
        <v>-1.03053984999999</v>
      </c>
      <c r="AH2527">
        <v>53.571518478095598</v>
      </c>
      <c r="AI2527">
        <v>91.0943652096677</v>
      </c>
      <c r="AJ2527">
        <v>96.769542252826398</v>
      </c>
      <c r="AK2527">
        <v>53.957466693870401</v>
      </c>
      <c r="AL2527">
        <v>78.449093145990702</v>
      </c>
      <c r="AM2527">
        <v>96.740623447721802</v>
      </c>
      <c r="AN2527">
        <v>0.99999994466128805</v>
      </c>
    </row>
    <row r="2528" spans="1:40" x14ac:dyDescent="0.25">
      <c r="A2528" t="str">
        <f>"20190304155106636"</f>
        <v>20190304155106636</v>
      </c>
      <c r="B2528" t="str">
        <f>"1551685866629387"</f>
        <v>1551685866629387</v>
      </c>
      <c r="C2528" t="s">
        <v>40</v>
      </c>
      <c r="D2528">
        <v>5.0182580000000003</v>
      </c>
      <c r="E2528">
        <v>0.4984731</v>
      </c>
      <c r="F2528" t="s">
        <v>62</v>
      </c>
      <c r="G2528">
        <v>-485.57100000000003</v>
      </c>
      <c r="H2528" s="1">
        <v>2.2075559999999999E-6</v>
      </c>
      <c r="I2528">
        <v>278.0625</v>
      </c>
      <c r="J2528">
        <v>-422.35719999999998</v>
      </c>
      <c r="K2528">
        <v>1.1105419999999999</v>
      </c>
      <c r="L2528">
        <v>285.5489</v>
      </c>
      <c r="M2528">
        <v>-0.99991180000000002</v>
      </c>
      <c r="N2528">
        <v>-1.30066E-2</v>
      </c>
      <c r="O2528">
        <v>-2.7125740000000001E-3</v>
      </c>
      <c r="P2528">
        <v>-0.97506930000000003</v>
      </c>
      <c r="Q2528">
        <v>0.1884353</v>
      </c>
      <c r="R2528">
        <v>-0.11718530000000001</v>
      </c>
      <c r="S2528">
        <v>-3.0432739999999998</v>
      </c>
      <c r="T2528">
        <v>-5.3232309999999998E-2</v>
      </c>
      <c r="U2528">
        <v>-0.3588867</v>
      </c>
      <c r="V2528">
        <v>-0.11453190000000001</v>
      </c>
      <c r="W2528">
        <v>0.2011106</v>
      </c>
      <c r="X2528">
        <v>0.97284990000000005</v>
      </c>
      <c r="Y2528">
        <v>-0.11439149999999999</v>
      </c>
      <c r="Z2528">
        <v>-1.7314299999999999E-3</v>
      </c>
      <c r="AA2528">
        <v>0.99343429999999999</v>
      </c>
      <c r="AB2528">
        <v>29</v>
      </c>
      <c r="AC2528">
        <v>-63.2137999999999</v>
      </c>
      <c r="AD2528">
        <v>-1.1105397924439999</v>
      </c>
      <c r="AE2528">
        <v>-7.4863999999999997</v>
      </c>
      <c r="AF2528">
        <v>-7.3126601261656896</v>
      </c>
      <c r="AG2528">
        <v>-1.1105397924439999</v>
      </c>
      <c r="AH2528">
        <v>63.214636166651097</v>
      </c>
      <c r="AI2528">
        <v>90.999789279205004</v>
      </c>
      <c r="AJ2528">
        <v>96.5986379850752</v>
      </c>
      <c r="AK2528">
        <v>63.645883782327097</v>
      </c>
      <c r="AL2528">
        <v>78.398088343081497</v>
      </c>
      <c r="AM2528">
        <v>96.714424225578497</v>
      </c>
      <c r="AN2528">
        <v>0.99999997873998903</v>
      </c>
    </row>
    <row r="2529" spans="1:40" x14ac:dyDescent="0.25">
      <c r="A2529" t="str">
        <f>"20190304155106658"</f>
        <v>20190304155106658</v>
      </c>
      <c r="B2529" t="str">
        <f>"1551685866648904"</f>
        <v>1551685866648904</v>
      </c>
      <c r="C2529" t="s">
        <v>40</v>
      </c>
      <c r="D2529">
        <v>5.1007759999999998</v>
      </c>
      <c r="E2529">
        <v>0.49889879999999998</v>
      </c>
      <c r="F2529" t="s">
        <v>62</v>
      </c>
      <c r="G2529">
        <v>-490.19889999999998</v>
      </c>
      <c r="H2529" s="1">
        <v>2.8115690000000001E-6</v>
      </c>
      <c r="I2529">
        <v>277.63040000000001</v>
      </c>
      <c r="J2529">
        <v>-422.65199999999999</v>
      </c>
      <c r="K2529">
        <v>1.11054599999999</v>
      </c>
      <c r="L2529">
        <v>285.54809999999998</v>
      </c>
      <c r="M2529">
        <v>-0.99991200000000002</v>
      </c>
      <c r="N2529">
        <v>-1.299028E-2</v>
      </c>
      <c r="O2529">
        <v>-2.712468E-3</v>
      </c>
      <c r="P2529">
        <v>-0.97493989999999997</v>
      </c>
      <c r="Q2529">
        <v>0.1892257</v>
      </c>
      <c r="R2529">
        <v>-0.1169877</v>
      </c>
      <c r="S2529">
        <v>-3.0436709999999998</v>
      </c>
      <c r="T2529">
        <v>-4.9823520000000003E-2</v>
      </c>
      <c r="U2529">
        <v>-0.35525509999999999</v>
      </c>
      <c r="V2529">
        <v>-0.1143347</v>
      </c>
      <c r="W2529">
        <v>0.20188320000000001</v>
      </c>
      <c r="X2529">
        <v>0.9727131</v>
      </c>
      <c r="Y2529">
        <v>-0.11321050000000001</v>
      </c>
      <c r="Z2529">
        <v>-1.6522030000000001E-3</v>
      </c>
      <c r="AA2529">
        <v>0.9935697</v>
      </c>
      <c r="AB2529">
        <v>29</v>
      </c>
      <c r="AC2529">
        <v>-67.546899999999994</v>
      </c>
      <c r="AD2529">
        <v>-1.11054318843099</v>
      </c>
      <c r="AE2529">
        <v>-7.91769999999996</v>
      </c>
      <c r="AF2529">
        <v>-7.7323748134220702</v>
      </c>
      <c r="AG2529">
        <v>-1.11054318843099</v>
      </c>
      <c r="AH2529">
        <v>67.550117886738093</v>
      </c>
      <c r="AI2529">
        <v>90.935764440726004</v>
      </c>
      <c r="AJ2529">
        <v>96.530151205521605</v>
      </c>
      <c r="AK2529">
        <v>68.000304065061599</v>
      </c>
      <c r="AL2529">
        <v>78.352895059400694</v>
      </c>
      <c r="AM2529">
        <v>96.703902784774698</v>
      </c>
      <c r="AN2529">
        <v>1.0000000124889601</v>
      </c>
    </row>
    <row r="2530" spans="1:40" x14ac:dyDescent="0.25">
      <c r="A2530" t="str">
        <f>"20190304155106680"</f>
        <v>20190304155106680</v>
      </c>
      <c r="B2530" t="str">
        <f>"1551685866669400"</f>
        <v>1551685866669400</v>
      </c>
      <c r="C2530" t="s">
        <v>40</v>
      </c>
      <c r="D2530">
        <v>4.9823230000000001</v>
      </c>
      <c r="E2530">
        <v>0.52383089999999999</v>
      </c>
      <c r="F2530" t="s">
        <v>62</v>
      </c>
      <c r="G2530">
        <v>-495.54719999999998</v>
      </c>
      <c r="H2530" s="1">
        <v>2.1047969999999999E-6</v>
      </c>
      <c r="I2530">
        <v>277.12529999999998</v>
      </c>
      <c r="J2530">
        <v>-422.93520000000001</v>
      </c>
      <c r="K2530">
        <v>1.110552</v>
      </c>
      <c r="L2530">
        <v>285.54730000000001</v>
      </c>
      <c r="M2530">
        <v>-0.99991229999999998</v>
      </c>
      <c r="N2530">
        <v>-1.2976369999999999E-2</v>
      </c>
      <c r="O2530">
        <v>-2.7127359999999999E-3</v>
      </c>
      <c r="P2530">
        <v>-0.97497480000000003</v>
      </c>
      <c r="Q2530">
        <v>0.1895522</v>
      </c>
      <c r="R2530">
        <v>-0.1161664</v>
      </c>
      <c r="S2530">
        <v>-3.0439449999999999</v>
      </c>
      <c r="T2530">
        <v>-4.637384E-2</v>
      </c>
      <c r="U2530">
        <v>-0.3517151</v>
      </c>
      <c r="V2530">
        <v>-0.11351310000000001</v>
      </c>
      <c r="W2530">
        <v>0.2021965</v>
      </c>
      <c r="X2530">
        <v>0.97274419999999995</v>
      </c>
      <c r="Y2530">
        <v>-0.1120628</v>
      </c>
      <c r="Z2530">
        <v>-1.5742499999999999E-3</v>
      </c>
      <c r="AA2530">
        <v>0.99369989999999997</v>
      </c>
      <c r="AB2530">
        <v>29</v>
      </c>
      <c r="AC2530">
        <v>-72.611999999999895</v>
      </c>
      <c r="AD2530">
        <v>-1.110549895203</v>
      </c>
      <c r="AE2530">
        <v>-8.4220000000000201</v>
      </c>
      <c r="AF2530">
        <v>-8.2230772946852095</v>
      </c>
      <c r="AG2530">
        <v>-1.110549895203</v>
      </c>
      <c r="AH2530">
        <v>72.617820398262197</v>
      </c>
      <c r="AI2530">
        <v>90.870597351735896</v>
      </c>
      <c r="AJ2530">
        <v>96.460523959877705</v>
      </c>
      <c r="AK2530">
        <v>73.090356139906504</v>
      </c>
      <c r="AL2530">
        <v>78.334565724608794</v>
      </c>
      <c r="AM2530">
        <v>96.655951984491693</v>
      </c>
      <c r="AN2530">
        <v>0.99999996355874898</v>
      </c>
    </row>
    <row r="2531" spans="1:40" x14ac:dyDescent="0.25">
      <c r="A2531" t="str">
        <f>"20190304155106702"</f>
        <v>20190304155106702</v>
      </c>
      <c r="B2531" t="str">
        <f>"1551685866698679"</f>
        <v>1551685866698679</v>
      </c>
      <c r="C2531" t="s">
        <v>40</v>
      </c>
      <c r="D2531">
        <v>4.9900979999999997</v>
      </c>
      <c r="E2531">
        <v>0.52289640000000004</v>
      </c>
      <c r="F2531" t="s">
        <v>75</v>
      </c>
      <c r="G2531">
        <v>-551.06240000000003</v>
      </c>
      <c r="H2531">
        <v>1.7305009999999901</v>
      </c>
      <c r="I2531">
        <v>279.12009999999998</v>
      </c>
      <c r="J2531">
        <v>-423.22539999999998</v>
      </c>
      <c r="K2531">
        <v>1.1105430000000001</v>
      </c>
      <c r="L2531">
        <v>285.54660000000001</v>
      </c>
      <c r="M2531">
        <v>-0.99991240000000003</v>
      </c>
      <c r="N2531">
        <v>-1.296368E-2</v>
      </c>
      <c r="O2531">
        <v>-2.7126540000000001E-3</v>
      </c>
      <c r="P2531">
        <v>-0.9750605</v>
      </c>
      <c r="Q2531">
        <v>0.1894064</v>
      </c>
      <c r="R2531">
        <v>-0.1156831</v>
      </c>
      <c r="S2531">
        <v>-3.0558779999999999</v>
      </c>
      <c r="T2531">
        <v>1.478791E-2</v>
      </c>
      <c r="U2531">
        <v>-0.1532898</v>
      </c>
      <c r="V2531">
        <v>-0.1130299</v>
      </c>
      <c r="W2531">
        <v>0.2020392</v>
      </c>
      <c r="X2531">
        <v>0.97283319999999995</v>
      </c>
      <c r="Y2531">
        <v>-4.7390979999999999E-2</v>
      </c>
      <c r="Z2531">
        <v>-2.410534E-4</v>
      </c>
      <c r="AA2531">
        <v>0.9988764</v>
      </c>
      <c r="AB2531">
        <v>29</v>
      </c>
      <c r="AC2531">
        <v>-127.837</v>
      </c>
      <c r="AD2531">
        <v>0.61995799999999901</v>
      </c>
      <c r="AE2531">
        <v>-6.4265000000000301</v>
      </c>
      <c r="AF2531">
        <v>-6.0795270762367997</v>
      </c>
      <c r="AG2531">
        <v>0.61995799999999901</v>
      </c>
      <c r="AH2531">
        <v>127.850964614994</v>
      </c>
      <c r="AI2531">
        <v>89.722484627584805</v>
      </c>
      <c r="AJ2531">
        <v>92.722459350824593</v>
      </c>
      <c r="AK2531">
        <v>127.996930238099</v>
      </c>
      <c r="AL2531">
        <v>78.343768898516899</v>
      </c>
      <c r="AM2531">
        <v>96.627270731544996</v>
      </c>
      <c r="AN2531">
        <v>1.0000000158264399</v>
      </c>
    </row>
    <row r="2532" spans="1:40" x14ac:dyDescent="0.25">
      <c r="A2532" t="str">
        <f>"20190304155106726"</f>
        <v>20190304155106726</v>
      </c>
      <c r="B2532" t="str">
        <f>"1551685866719175"</f>
        <v>1551685866719175</v>
      </c>
      <c r="C2532" t="s">
        <v>40</v>
      </c>
      <c r="D2532">
        <v>4.9690190000000003</v>
      </c>
      <c r="E2532">
        <v>0.52240329999999902</v>
      </c>
      <c r="F2532" t="s">
        <v>75</v>
      </c>
      <c r="G2532">
        <v>-551.06230000000005</v>
      </c>
      <c r="H2532">
        <v>1.253498</v>
      </c>
      <c r="I2532">
        <v>278.8852</v>
      </c>
      <c r="J2532">
        <v>-423.52140000000003</v>
      </c>
      <c r="K2532">
        <v>1.110538</v>
      </c>
      <c r="L2532">
        <v>285.54570000000001</v>
      </c>
      <c r="M2532">
        <v>-0.99991240000000003</v>
      </c>
      <c r="N2532">
        <v>-1.295232E-2</v>
      </c>
      <c r="O2532">
        <v>-2.7125809999999999E-3</v>
      </c>
      <c r="P2532">
        <v>-0.97505149999999996</v>
      </c>
      <c r="Q2532">
        <v>0.1895288</v>
      </c>
      <c r="R2532">
        <v>-0.1155577</v>
      </c>
      <c r="S2532">
        <v>-3.0571290000000002</v>
      </c>
      <c r="T2532">
        <v>3.4205910000000002E-3</v>
      </c>
      <c r="U2532">
        <v>-0.15930179999999999</v>
      </c>
      <c r="V2532">
        <v>-0.1129043</v>
      </c>
      <c r="W2532">
        <v>0.20215069999999999</v>
      </c>
      <c r="X2532">
        <v>0.97282460000000004</v>
      </c>
      <c r="Y2532">
        <v>-4.9328959999999998E-2</v>
      </c>
      <c r="Z2532">
        <v>-3.3025829999999999E-4</v>
      </c>
      <c r="AA2532">
        <v>0.99878250000000002</v>
      </c>
      <c r="AB2532">
        <v>29</v>
      </c>
      <c r="AC2532">
        <v>-127.54089999999999</v>
      </c>
      <c r="AD2532">
        <v>0.142959999999999</v>
      </c>
      <c r="AE2532">
        <v>-6.6605000000000096</v>
      </c>
      <c r="AF2532">
        <v>-6.3144735214716396</v>
      </c>
      <c r="AG2532">
        <v>0.142959999999999</v>
      </c>
      <c r="AH2532">
        <v>127.55833952415701</v>
      </c>
      <c r="AI2532">
        <v>89.935864769103603</v>
      </c>
      <c r="AJ2532">
        <v>92.833978492770498</v>
      </c>
      <c r="AK2532">
        <v>127.71461543447199</v>
      </c>
      <c r="AL2532">
        <v>78.337245568399098</v>
      </c>
      <c r="AM2532">
        <v>96.620029843207604</v>
      </c>
      <c r="AN2532">
        <v>0.99999999441706999</v>
      </c>
    </row>
    <row r="2533" spans="1:40" x14ac:dyDescent="0.25">
      <c r="A2533" t="str">
        <f>"20190304155106747"</f>
        <v>20190304155106747</v>
      </c>
      <c r="B2533" t="str">
        <f>"1551685866738696"</f>
        <v>1551685866738696</v>
      </c>
      <c r="C2533" t="s">
        <v>40</v>
      </c>
      <c r="D2533">
        <v>4.4426920000000001</v>
      </c>
      <c r="E2533">
        <v>0.52188279999999998</v>
      </c>
      <c r="F2533" t="s">
        <v>75</v>
      </c>
      <c r="G2533">
        <v>-551.06209999999999</v>
      </c>
      <c r="H2533">
        <v>0.7289236</v>
      </c>
      <c r="I2533">
        <v>278.76440000000002</v>
      </c>
      <c r="J2533">
        <v>-423.81020000000001</v>
      </c>
      <c r="K2533">
        <v>1.1105339999999999</v>
      </c>
      <c r="L2533">
        <v>285.54500000000002</v>
      </c>
      <c r="M2533">
        <v>-0.99991260000000004</v>
      </c>
      <c r="N2533">
        <v>-1.294259E-2</v>
      </c>
      <c r="O2533">
        <v>-2.7126369999999999E-3</v>
      </c>
      <c r="P2533">
        <v>-0.97506199999999998</v>
      </c>
      <c r="Q2533">
        <v>0.18953490000000001</v>
      </c>
      <c r="R2533">
        <v>-0.1154587</v>
      </c>
      <c r="S2533">
        <v>-3.0592350000000001</v>
      </c>
      <c r="T2533">
        <v>-9.1515780000000005E-3</v>
      </c>
      <c r="U2533">
        <v>-0.16265869999999999</v>
      </c>
      <c r="V2533">
        <v>-0.11280560000000001</v>
      </c>
      <c r="W2533">
        <v>0.20214750000000001</v>
      </c>
      <c r="X2533">
        <v>0.9728367</v>
      </c>
      <c r="Y2533">
        <v>-5.0384440000000003E-2</v>
      </c>
      <c r="Z2533">
        <v>-4.2858570000000001E-4</v>
      </c>
      <c r="AA2533">
        <v>0.9987298</v>
      </c>
      <c r="AB2533">
        <v>29</v>
      </c>
      <c r="AC2533">
        <v>-127.251899999999</v>
      </c>
      <c r="AD2533">
        <v>-0.38161039999999902</v>
      </c>
      <c r="AE2533">
        <v>-6.78059999999999</v>
      </c>
      <c r="AF2533">
        <v>-6.4353002248215896</v>
      </c>
      <c r="AG2533">
        <v>-0.38161039999999902</v>
      </c>
      <c r="AH2533">
        <v>127.268685276109</v>
      </c>
      <c r="AI2533">
        <v>90.171579535510404</v>
      </c>
      <c r="AJ2533">
        <v>92.894677357859393</v>
      </c>
      <c r="AK2533">
        <v>127.43185224813401</v>
      </c>
      <c r="AL2533">
        <v>78.337432609506294</v>
      </c>
      <c r="AM2533">
        <v>96.614212430612099</v>
      </c>
      <c r="AN2533">
        <v>0.99999998000724899</v>
      </c>
    </row>
    <row r="2534" spans="1:40" x14ac:dyDescent="0.25">
      <c r="A2534" t="str">
        <f>"20190304155106769"</f>
        <v>20190304155106769</v>
      </c>
      <c r="B2534" t="str">
        <f>"1551685866759192"</f>
        <v>1551685866759192</v>
      </c>
      <c r="C2534" t="s">
        <v>40</v>
      </c>
      <c r="D2534">
        <v>4.989382</v>
      </c>
      <c r="E2534">
        <v>0.52171000000000001</v>
      </c>
      <c r="F2534" t="s">
        <v>75</v>
      </c>
      <c r="G2534">
        <v>-551.06240000000003</v>
      </c>
      <c r="H2534">
        <v>1.684418</v>
      </c>
      <c r="I2534">
        <v>278.57979999999998</v>
      </c>
      <c r="J2534">
        <v>-424.09660000000002</v>
      </c>
      <c r="K2534">
        <v>1.1105339999999999</v>
      </c>
      <c r="L2534">
        <v>285.54419999999999</v>
      </c>
      <c r="M2534">
        <v>-0.99991260000000004</v>
      </c>
      <c r="N2534">
        <v>-1.29342E-2</v>
      </c>
      <c r="O2534">
        <v>-2.7128220000000001E-3</v>
      </c>
      <c r="P2534">
        <v>-0.97522830000000005</v>
      </c>
      <c r="Q2534">
        <v>0.18878700000000001</v>
      </c>
      <c r="R2534">
        <v>-0.1152801</v>
      </c>
      <c r="S2534">
        <v>-3.0542600000000002</v>
      </c>
      <c r="T2534">
        <v>1.377606E-2</v>
      </c>
      <c r="U2534">
        <v>-0.1671753</v>
      </c>
      <c r="V2534">
        <v>-0.1126258</v>
      </c>
      <c r="W2534">
        <v>0.20139319999999999</v>
      </c>
      <c r="X2534">
        <v>0.97301400000000005</v>
      </c>
      <c r="Y2534">
        <v>-5.1945520000000002E-2</v>
      </c>
      <c r="Z2534">
        <v>-2.6642860000000002E-4</v>
      </c>
      <c r="AA2534">
        <v>0.99864989999999998</v>
      </c>
      <c r="AB2534">
        <v>29</v>
      </c>
      <c r="AC2534">
        <v>-126.9658</v>
      </c>
      <c r="AD2534">
        <v>0.57388399999999995</v>
      </c>
      <c r="AE2534">
        <v>-6.9644000000000101</v>
      </c>
      <c r="AF2534">
        <v>-6.6197750764181302</v>
      </c>
      <c r="AG2534">
        <v>0.57388399999999995</v>
      </c>
      <c r="AH2534">
        <v>126.98164099337799</v>
      </c>
      <c r="AI2534">
        <v>89.741408931699596</v>
      </c>
      <c r="AJ2534">
        <v>92.984227739993898</v>
      </c>
      <c r="AK2534">
        <v>127.155369191706</v>
      </c>
      <c r="AL2534">
        <v>78.3815588063202</v>
      </c>
      <c r="AM2534">
        <v>96.602570583092998</v>
      </c>
      <c r="AN2534">
        <v>1.0000000180139399</v>
      </c>
    </row>
    <row r="2535" spans="1:40" x14ac:dyDescent="0.25">
      <c r="A2535" t="str">
        <f>"20190304155106793"</f>
        <v>20190304155106793</v>
      </c>
      <c r="B2535" t="str">
        <f>"1551685866789448"</f>
        <v>1551685866789448</v>
      </c>
      <c r="C2535" t="s">
        <v>40</v>
      </c>
      <c r="D2535">
        <v>5.0397639999999999</v>
      </c>
      <c r="E2535">
        <v>0.52169520000000003</v>
      </c>
      <c r="F2535" t="s">
        <v>75</v>
      </c>
      <c r="G2535">
        <v>-551.06230000000005</v>
      </c>
      <c r="H2535">
        <v>1.47522</v>
      </c>
      <c r="I2535">
        <v>278.54340000000002</v>
      </c>
      <c r="J2535">
        <v>-424.39170000000001</v>
      </c>
      <c r="K2535">
        <v>1.1105370000000001</v>
      </c>
      <c r="L2535">
        <v>285.54340000000002</v>
      </c>
      <c r="M2535">
        <v>-0.99991269999999999</v>
      </c>
      <c r="N2535">
        <v>-1.292655E-2</v>
      </c>
      <c r="O2535">
        <v>-2.7127729999999999E-3</v>
      </c>
      <c r="P2535">
        <v>-0.97538910000000001</v>
      </c>
      <c r="Q2535">
        <v>0.1880127</v>
      </c>
      <c r="R2535">
        <v>-0.1151836</v>
      </c>
      <c r="S2535">
        <v>-3.0545960000000001</v>
      </c>
      <c r="T2535">
        <v>8.7757110000000003E-3</v>
      </c>
      <c r="U2535">
        <v>-0.16842650000000001</v>
      </c>
      <c r="V2535">
        <v>-0.11252910000000001</v>
      </c>
      <c r="W2535">
        <v>0.2006136</v>
      </c>
      <c r="X2535">
        <v>0.9731862</v>
      </c>
      <c r="Y2535">
        <v>-5.2347089999999999E-2</v>
      </c>
      <c r="Z2535">
        <v>-3.0629350000000002E-4</v>
      </c>
      <c r="AA2535">
        <v>0.99862890000000004</v>
      </c>
      <c r="AB2535">
        <v>29</v>
      </c>
      <c r="AC2535">
        <v>-126.67059999999999</v>
      </c>
      <c r="AD2535">
        <v>0.36468299999999898</v>
      </c>
      <c r="AE2535">
        <v>-7</v>
      </c>
      <c r="AF2535">
        <v>-6.6562619155300302</v>
      </c>
      <c r="AG2535">
        <v>0.36468299999999898</v>
      </c>
      <c r="AH2535">
        <v>126.68807796153401</v>
      </c>
      <c r="AI2535">
        <v>89.835296587908402</v>
      </c>
      <c r="AJ2535">
        <v>93.007586592588297</v>
      </c>
      <c r="AK2535">
        <v>126.86334346045901</v>
      </c>
      <c r="AL2535">
        <v>78.427156993355396</v>
      </c>
      <c r="AM2535">
        <v>96.595794627868798</v>
      </c>
      <c r="AN2535">
        <v>0.99999999736110501</v>
      </c>
    </row>
    <row r="2536" spans="1:40" x14ac:dyDescent="0.25">
      <c r="A2536" t="str">
        <f>"20190304155106815"</f>
        <v>20190304155106815</v>
      </c>
      <c r="B2536" t="str">
        <f>"1551685866808967"</f>
        <v>1551685866808967</v>
      </c>
      <c r="C2536" t="s">
        <v>40</v>
      </c>
      <c r="D2536">
        <v>5.2376100000000001</v>
      </c>
      <c r="E2536">
        <v>0.52184279999999905</v>
      </c>
      <c r="F2536" t="s">
        <v>75</v>
      </c>
      <c r="G2536">
        <v>-551.06230000000005</v>
      </c>
      <c r="H2536">
        <v>1.272805</v>
      </c>
      <c r="I2536">
        <v>278.56</v>
      </c>
      <c r="J2536">
        <v>-424.68979999999999</v>
      </c>
      <c r="K2536">
        <v>1.110538</v>
      </c>
      <c r="L2536">
        <v>285.54259999999999</v>
      </c>
      <c r="M2536">
        <v>-0.99991289999999999</v>
      </c>
      <c r="N2536">
        <v>-1.2919669999999999E-2</v>
      </c>
      <c r="O2536">
        <v>-2.7128479999999999E-3</v>
      </c>
      <c r="P2536">
        <v>-0.97544399999999998</v>
      </c>
      <c r="Q2536">
        <v>0.1881438</v>
      </c>
      <c r="R2536">
        <v>-0.1145042</v>
      </c>
      <c r="S2536">
        <v>-3.0550540000000002</v>
      </c>
      <c r="T2536">
        <v>3.9155479999999996E-3</v>
      </c>
      <c r="U2536">
        <v>-0.16842650000000001</v>
      </c>
      <c r="V2536">
        <v>-0.11184910000000001</v>
      </c>
      <c r="W2536">
        <v>0.2007388</v>
      </c>
      <c r="X2536">
        <v>0.97323879999999996</v>
      </c>
      <c r="Y2536">
        <v>-5.2338370000000002E-2</v>
      </c>
      <c r="Z2536">
        <v>-3.4335069999999999E-4</v>
      </c>
      <c r="AA2536">
        <v>0.99862930000000005</v>
      </c>
      <c r="AB2536">
        <v>29</v>
      </c>
      <c r="AC2536">
        <v>-126.3725</v>
      </c>
      <c r="AD2536">
        <v>0.162266999999999</v>
      </c>
      <c r="AE2536">
        <v>-6.9825999999999899</v>
      </c>
      <c r="AF2536">
        <v>-6.6397054023194197</v>
      </c>
      <c r="AG2536">
        <v>0.162266999999999</v>
      </c>
      <c r="AH2536">
        <v>126.390771459595</v>
      </c>
      <c r="AI2536">
        <v>89.926542051741507</v>
      </c>
      <c r="AJ2536">
        <v>93.007163511859005</v>
      </c>
      <c r="AK2536">
        <v>126.56515764048299</v>
      </c>
      <c r="AL2536">
        <v>78.419834924584706</v>
      </c>
      <c r="AM2536">
        <v>96.555933823953197</v>
      </c>
      <c r="AN2536">
        <v>1.00000002441084</v>
      </c>
    </row>
    <row r="2537" spans="1:40" x14ac:dyDescent="0.25">
      <c r="A2537" t="str">
        <f>"20190304155106836"</f>
        <v>20190304155106836</v>
      </c>
      <c r="B2537" t="str">
        <f>"1551685866829467"</f>
        <v>1551685866829467</v>
      </c>
      <c r="C2537" t="s">
        <v>40</v>
      </c>
      <c r="D2537">
        <v>5.0715750000000002</v>
      </c>
      <c r="E2537">
        <v>0.56577010000000005</v>
      </c>
      <c r="F2537" t="s">
        <v>75</v>
      </c>
      <c r="G2537">
        <v>-551.06230000000005</v>
      </c>
      <c r="H2537">
        <v>1.4840249999999999</v>
      </c>
      <c r="I2537">
        <v>278.69650000000001</v>
      </c>
      <c r="J2537">
        <v>-424.96230000000003</v>
      </c>
      <c r="K2537">
        <v>1.110538</v>
      </c>
      <c r="L2537">
        <v>285.54180000000002</v>
      </c>
      <c r="M2537">
        <v>-0.99991289999999999</v>
      </c>
      <c r="N2537">
        <v>-1.2916189999999999E-2</v>
      </c>
      <c r="O2537">
        <v>-2.7130639999999998E-3</v>
      </c>
      <c r="P2537">
        <v>-0.97544500000000001</v>
      </c>
      <c r="Q2537">
        <v>0.18855150000000001</v>
      </c>
      <c r="R2537">
        <v>-0.1138218</v>
      </c>
      <c r="S2537">
        <v>-3.0543520000000002</v>
      </c>
      <c r="T2537">
        <v>9.028912E-3</v>
      </c>
      <c r="U2537">
        <v>-0.16546629999999901</v>
      </c>
      <c r="V2537">
        <v>-0.11116669999999999</v>
      </c>
      <c r="W2537">
        <v>0.2011433</v>
      </c>
      <c r="X2537">
        <v>0.97323349999999997</v>
      </c>
      <c r="Y2537">
        <v>-5.1386210000000002E-2</v>
      </c>
      <c r="Z2537">
        <v>-2.9924900000000002E-4</v>
      </c>
      <c r="AA2537">
        <v>0.99867879999999998</v>
      </c>
      <c r="AB2537">
        <v>29</v>
      </c>
      <c r="AC2537">
        <v>-126.1</v>
      </c>
      <c r="AD2537">
        <v>0.37348699999999901</v>
      </c>
      <c r="AE2537">
        <v>-6.8452999999999999</v>
      </c>
      <c r="AF2537">
        <v>-6.5030720103670197</v>
      </c>
      <c r="AG2537">
        <v>0.37348699999999901</v>
      </c>
      <c r="AH2537">
        <v>126.11700601068701</v>
      </c>
      <c r="AI2537">
        <v>89.830548033388197</v>
      </c>
      <c r="AJ2537">
        <v>92.951773854997796</v>
      </c>
      <c r="AK2537">
        <v>126.285108556832</v>
      </c>
      <c r="AL2537">
        <v>78.396176570797095</v>
      </c>
      <c r="AM2537">
        <v>96.516315804945094</v>
      </c>
      <c r="AN2537">
        <v>1.0000000539230101</v>
      </c>
    </row>
    <row r="2538" spans="1:40" x14ac:dyDescent="0.25">
      <c r="A2538" t="str">
        <f>"20190304155106858"</f>
        <v>20190304155106858</v>
      </c>
      <c r="B2538" t="str">
        <f>"1551685866848986"</f>
        <v>1551685866848986</v>
      </c>
      <c r="C2538" t="s">
        <v>40</v>
      </c>
      <c r="D2538">
        <v>4.9884779999999997</v>
      </c>
      <c r="E2538">
        <v>0.57416809999999996</v>
      </c>
      <c r="F2538" t="s">
        <v>53</v>
      </c>
      <c r="G2538">
        <v>0</v>
      </c>
      <c r="H2538">
        <v>0</v>
      </c>
      <c r="I2538">
        <v>0</v>
      </c>
      <c r="J2538">
        <v>-425.25459999999998</v>
      </c>
      <c r="K2538">
        <v>1.110544</v>
      </c>
      <c r="L2538">
        <v>285.54109999999997</v>
      </c>
      <c r="M2538">
        <v>-0.99991300000000005</v>
      </c>
      <c r="N2538">
        <v>-1.292101E-2</v>
      </c>
      <c r="O2538">
        <v>-2.7132139999999998E-3</v>
      </c>
      <c r="P2538">
        <v>-0.97546469999999996</v>
      </c>
      <c r="Q2538">
        <v>0.18894359999999999</v>
      </c>
      <c r="R2538">
        <v>-0.1130002</v>
      </c>
      <c r="S2538">
        <v>-3.0918580000000002</v>
      </c>
      <c r="T2538">
        <v>2.6961800000000001E-2</v>
      </c>
      <c r="U2538">
        <v>0.1847229</v>
      </c>
      <c r="V2538">
        <v>-0.1103454</v>
      </c>
      <c r="W2538">
        <v>0.20153989999999999</v>
      </c>
      <c r="X2538">
        <v>0.97324480000000002</v>
      </c>
      <c r="Y2538">
        <v>6.2347510000000002E-2</v>
      </c>
      <c r="Z2538" s="1">
        <v>7.290818E-5</v>
      </c>
      <c r="AA2538">
        <v>0.99805449999999996</v>
      </c>
      <c r="AB2538">
        <v>29</v>
      </c>
      <c r="AC2538">
        <v>-3.0918580000000002</v>
      </c>
      <c r="AD2538">
        <v>2.6961800000000001E-2</v>
      </c>
      <c r="AE2538">
        <v>0.1847229</v>
      </c>
      <c r="AF2538">
        <v>0.193097159943283</v>
      </c>
      <c r="AG2538">
        <v>2.6961800000000001E-2</v>
      </c>
      <c r="AH2538">
        <v>3.09111116213584</v>
      </c>
      <c r="AI2538">
        <v>89.501230149942401</v>
      </c>
      <c r="AJ2538">
        <v>86.425461903182494</v>
      </c>
      <c r="AK2538">
        <v>3.0972538915171599</v>
      </c>
      <c r="AL2538">
        <v>78.372976636824902</v>
      </c>
      <c r="AM2538">
        <v>96.468508310107097</v>
      </c>
      <c r="AN2538">
        <v>0.99999993966010303</v>
      </c>
    </row>
    <row r="2539" spans="1:40" x14ac:dyDescent="0.25">
      <c r="A2539" t="str">
        <f>"20190304155106881"</f>
        <v>20190304155106881</v>
      </c>
      <c r="B2539" t="str">
        <f>"1551685866879239"</f>
        <v>1551685866879239</v>
      </c>
      <c r="C2539" t="s">
        <v>40</v>
      </c>
      <c r="D2539">
        <v>4.9913959999999999</v>
      </c>
      <c r="E2539">
        <v>0.57988329999999999</v>
      </c>
      <c r="F2539" t="s">
        <v>76</v>
      </c>
      <c r="G2539">
        <v>-535.17610000000002</v>
      </c>
      <c r="H2539">
        <v>3.5836079999999999</v>
      </c>
      <c r="I2539">
        <v>294.55</v>
      </c>
      <c r="J2539">
        <v>-425.54500000000002</v>
      </c>
      <c r="K2539">
        <v>1.110552</v>
      </c>
      <c r="L2539">
        <v>285.5403</v>
      </c>
      <c r="M2539">
        <v>-0.99991269999999999</v>
      </c>
      <c r="N2539">
        <v>-1.2937250000000001E-2</v>
      </c>
      <c r="O2539">
        <v>-2.7133190000000001E-3</v>
      </c>
      <c r="P2539">
        <v>-0.97542770000000001</v>
      </c>
      <c r="Q2539">
        <v>0.18936610000000001</v>
      </c>
      <c r="R2539">
        <v>-0.1126129</v>
      </c>
      <c r="S2539">
        <v>-3.0913089999999999</v>
      </c>
      <c r="T2539">
        <v>6.9551940000000007E-2</v>
      </c>
      <c r="U2539">
        <v>0.2533569</v>
      </c>
      <c r="V2539">
        <v>-0.1099579</v>
      </c>
      <c r="W2539">
        <v>0.20197789999999999</v>
      </c>
      <c r="X2539">
        <v>0.97319789999999995</v>
      </c>
      <c r="Y2539">
        <v>8.4377480000000005E-2</v>
      </c>
      <c r="Z2539">
        <v>-4.9671009999999996E-4</v>
      </c>
      <c r="AA2539">
        <v>0.99643369999999998</v>
      </c>
      <c r="AB2539">
        <v>29</v>
      </c>
      <c r="AC2539">
        <v>-109.6311</v>
      </c>
      <c r="AD2539">
        <v>2.4730560000000001</v>
      </c>
      <c r="AE2539">
        <v>9.0097000000000094</v>
      </c>
      <c r="AF2539">
        <v>9.3024539386276608</v>
      </c>
      <c r="AG2539">
        <v>2.4730560000000001</v>
      </c>
      <c r="AH2539">
        <v>109.550875796574</v>
      </c>
      <c r="AI2539">
        <v>88.711431872079999</v>
      </c>
      <c r="AJ2539">
        <v>85.1464027926325</v>
      </c>
      <c r="AK2539">
        <v>109.97293322929799</v>
      </c>
      <c r="AL2539">
        <v>78.347354665796303</v>
      </c>
      <c r="AM2539">
        <v>96.4462923956754</v>
      </c>
      <c r="AN2539">
        <v>0.99999998221261399</v>
      </c>
    </row>
    <row r="2540" spans="1:40" x14ac:dyDescent="0.25">
      <c r="A2540" t="str">
        <f>"20190304155106904"</f>
        <v>20190304155106904</v>
      </c>
      <c r="B2540" t="str">
        <f>"1551685866898760"</f>
        <v>1551685866898760</v>
      </c>
      <c r="C2540" t="s">
        <v>40</v>
      </c>
      <c r="D2540">
        <v>4.9933059999999996</v>
      </c>
      <c r="E2540">
        <v>0.58122980000000002</v>
      </c>
      <c r="F2540" t="s">
        <v>76</v>
      </c>
      <c r="G2540">
        <v>-510.95479999999998</v>
      </c>
      <c r="H2540">
        <v>3.492537</v>
      </c>
      <c r="I2540">
        <v>293.81619999999998</v>
      </c>
      <c r="J2540">
        <v>-425.83690000000001</v>
      </c>
      <c r="K2540">
        <v>1.110565</v>
      </c>
      <c r="L2540">
        <v>285.53949999999998</v>
      </c>
      <c r="M2540">
        <v>-0.99991240000000003</v>
      </c>
      <c r="N2540">
        <v>-1.2960910000000001E-2</v>
      </c>
      <c r="O2540">
        <v>-2.7134709999999999E-3</v>
      </c>
      <c r="P2540">
        <v>-0.97536339999999999</v>
      </c>
      <c r="Q2540">
        <v>0.18992870000000001</v>
      </c>
      <c r="R2540">
        <v>-0.11222070000000001</v>
      </c>
      <c r="S2540">
        <v>-3.093445</v>
      </c>
      <c r="T2540">
        <v>8.6275699999999997E-2</v>
      </c>
      <c r="U2540">
        <v>0.2997437</v>
      </c>
      <c r="V2540">
        <v>-0.1095658</v>
      </c>
      <c r="W2540">
        <v>0.20256260000000001</v>
      </c>
      <c r="X2540">
        <v>0.9731206</v>
      </c>
      <c r="Y2540">
        <v>9.9122829999999995E-2</v>
      </c>
      <c r="Z2540">
        <v>-8.4537700000000002E-4</v>
      </c>
      <c r="AA2540">
        <v>0.99507489999999998</v>
      </c>
      <c r="AB2540">
        <v>29</v>
      </c>
      <c r="AC2540">
        <v>-85.117899999999906</v>
      </c>
      <c r="AD2540">
        <v>2.3819720000000002</v>
      </c>
      <c r="AE2540">
        <v>8.2766999999999999</v>
      </c>
      <c r="AF2540">
        <v>8.5010588211410596</v>
      </c>
      <c r="AG2540">
        <v>2.3819720000000002</v>
      </c>
      <c r="AH2540">
        <v>85.029161305836496</v>
      </c>
      <c r="AI2540">
        <v>88.403315175186506</v>
      </c>
      <c r="AJ2540">
        <v>84.290645997343702</v>
      </c>
      <c r="AK2540">
        <v>85.486256580009695</v>
      </c>
      <c r="AL2540">
        <v>78.3131467899575</v>
      </c>
      <c r="AM2540">
        <v>96.424003951268602</v>
      </c>
      <c r="AN2540">
        <v>0.99999998679637903</v>
      </c>
    </row>
    <row r="2541" spans="1:40" x14ac:dyDescent="0.25">
      <c r="A2541" t="str">
        <f>"20190304155106926"</f>
        <v>20190304155106926</v>
      </c>
      <c r="B2541" t="str">
        <f>"1551685866919256"</f>
        <v>1551685866919256</v>
      </c>
      <c r="C2541" t="s">
        <v>40</v>
      </c>
      <c r="D2541">
        <v>5.0170370000000002</v>
      </c>
      <c r="E2541">
        <v>0.58211250000000003</v>
      </c>
      <c r="F2541" t="s">
        <v>76</v>
      </c>
      <c r="G2541">
        <v>-510.95479999999998</v>
      </c>
      <c r="H2541">
        <v>3.6415150000000001</v>
      </c>
      <c r="I2541">
        <v>294.10480000000001</v>
      </c>
      <c r="J2541">
        <v>-426.12180000000001</v>
      </c>
      <c r="K2541">
        <v>1.110571</v>
      </c>
      <c r="L2541">
        <v>285.53879999999998</v>
      </c>
      <c r="M2541">
        <v>-0.99991189999999996</v>
      </c>
      <c r="N2541">
        <v>-1.298962E-2</v>
      </c>
      <c r="O2541">
        <v>-2.7135369999999998E-3</v>
      </c>
      <c r="P2541">
        <v>-0.97541109999999998</v>
      </c>
      <c r="Q2541">
        <v>0.1899875</v>
      </c>
      <c r="R2541">
        <v>-0.111705399999999</v>
      </c>
      <c r="S2541">
        <v>-3.093658</v>
      </c>
      <c r="T2541">
        <v>9.1991660000000003E-2</v>
      </c>
      <c r="U2541">
        <v>0.31130980000000003</v>
      </c>
      <c r="V2541">
        <v>-0.10905049999999999</v>
      </c>
      <c r="W2541">
        <v>0.20264989999999999</v>
      </c>
      <c r="X2541">
        <v>0.97316029999999998</v>
      </c>
      <c r="Y2541">
        <v>0.102794899999999</v>
      </c>
      <c r="Z2541">
        <v>-9.7034110000000003E-4</v>
      </c>
      <c r="AA2541">
        <v>0.99470210000000003</v>
      </c>
      <c r="AB2541">
        <v>29</v>
      </c>
      <c r="AC2541">
        <v>-84.832999999999899</v>
      </c>
      <c r="AD2541">
        <v>2.5309439999999999</v>
      </c>
      <c r="AE2541">
        <v>8.5660000000000291</v>
      </c>
      <c r="AF2541">
        <v>8.7884417982110001</v>
      </c>
      <c r="AG2541">
        <v>2.5309439999999999</v>
      </c>
      <c r="AH2541">
        <v>84.734780893880199</v>
      </c>
      <c r="AI2541">
        <v>88.298263553772699</v>
      </c>
      <c r="AJ2541">
        <v>84.078622541817296</v>
      </c>
      <c r="AK2541">
        <v>85.226905844959305</v>
      </c>
      <c r="AL2541">
        <v>78.3080388701365</v>
      </c>
      <c r="AM2541">
        <v>96.393783274556299</v>
      </c>
      <c r="AN2541">
        <v>0.99999998150817404</v>
      </c>
    </row>
    <row r="2542" spans="1:40" x14ac:dyDescent="0.25">
      <c r="A2542" t="str">
        <f>"20190304155106948"</f>
        <v>20190304155106948</v>
      </c>
      <c r="B2542" t="str">
        <f>"1551685866938775"</f>
        <v>1551685866938775</v>
      </c>
      <c r="C2542" t="s">
        <v>40</v>
      </c>
      <c r="D2542">
        <v>5.2696160000000001</v>
      </c>
      <c r="E2542">
        <v>0.58238400000000001</v>
      </c>
      <c r="F2542" t="s">
        <v>76</v>
      </c>
      <c r="G2542">
        <v>-510.95479999999998</v>
      </c>
      <c r="H2542">
        <v>3.6845089999999998</v>
      </c>
      <c r="I2542">
        <v>294.30619999999999</v>
      </c>
      <c r="J2542">
        <v>-426.41149999999999</v>
      </c>
      <c r="K2542">
        <v>1.1105750000000001</v>
      </c>
      <c r="L2542">
        <v>285.53800000000001</v>
      </c>
      <c r="M2542">
        <v>-0.99991169999999996</v>
      </c>
      <c r="N2542">
        <v>-1.302202E-2</v>
      </c>
      <c r="O2542">
        <v>-2.7137469999999999E-3</v>
      </c>
      <c r="P2542">
        <v>-0.9754372</v>
      </c>
      <c r="Q2542">
        <v>0.1900347</v>
      </c>
      <c r="R2542">
        <v>-0.11139789999999999</v>
      </c>
      <c r="S2542">
        <v>-3.0939939999999999</v>
      </c>
      <c r="T2542">
        <v>9.3878509999999998E-2</v>
      </c>
      <c r="U2542">
        <v>0.31976320000000003</v>
      </c>
      <c r="V2542">
        <v>-0.10874200000000001</v>
      </c>
      <c r="W2542">
        <v>0.20272889999999999</v>
      </c>
      <c r="X2542">
        <v>0.9731784</v>
      </c>
      <c r="Y2542">
        <v>0.1054715</v>
      </c>
      <c r="Z2542">
        <v>-1.024175E-3</v>
      </c>
      <c r="AA2542">
        <v>0.99442180000000002</v>
      </c>
      <c r="AB2542">
        <v>29</v>
      </c>
      <c r="AC2542">
        <v>-84.543299999999903</v>
      </c>
      <c r="AD2542">
        <v>2.5739339999999902</v>
      </c>
      <c r="AE2542">
        <v>8.76819999999997</v>
      </c>
      <c r="AF2542">
        <v>8.9893726038827602</v>
      </c>
      <c r="AG2542">
        <v>2.5739339999999902</v>
      </c>
      <c r="AH2542">
        <v>84.441755181906004</v>
      </c>
      <c r="AI2542">
        <v>88.263867947438499</v>
      </c>
      <c r="AJ2542">
        <v>83.923379048946103</v>
      </c>
      <c r="AK2542">
        <v>84.957895302607</v>
      </c>
      <c r="AL2542">
        <v>78.303416942056103</v>
      </c>
      <c r="AM2542">
        <v>96.375727042688794</v>
      </c>
      <c r="AN2542">
        <v>1.00000001384288</v>
      </c>
    </row>
    <row r="2543" spans="1:40" x14ac:dyDescent="0.25">
      <c r="A2543" t="str">
        <f>"20190304155106970"</f>
        <v>20190304155106970</v>
      </c>
      <c r="B2543" t="str">
        <f>"1551685866959272"</f>
        <v>1551685866959272</v>
      </c>
      <c r="C2543" t="s">
        <v>40</v>
      </c>
      <c r="D2543">
        <v>5.1158570000000001</v>
      </c>
      <c r="E2543">
        <v>0.58305189999999996</v>
      </c>
      <c r="F2543" t="s">
        <v>76</v>
      </c>
      <c r="G2543">
        <v>-510.95499999999998</v>
      </c>
      <c r="H2543">
        <v>4.2395680000000002</v>
      </c>
      <c r="I2543">
        <v>294.35919999999999</v>
      </c>
      <c r="J2543">
        <v>-426.69670000000002</v>
      </c>
      <c r="K2543">
        <v>1.1105769999999999</v>
      </c>
      <c r="L2543">
        <v>285.53719999999998</v>
      </c>
      <c r="M2543">
        <v>-0.9999112</v>
      </c>
      <c r="N2543">
        <v>-1.3053210000000001E-2</v>
      </c>
      <c r="O2543">
        <v>-2.713591E-3</v>
      </c>
      <c r="P2543">
        <v>-0.97550000000000003</v>
      </c>
      <c r="Q2543">
        <v>0.1897277</v>
      </c>
      <c r="R2543">
        <v>-0.1113707</v>
      </c>
      <c r="S2543">
        <v>-3.0900880000000002</v>
      </c>
      <c r="T2543">
        <v>0.1143684</v>
      </c>
      <c r="U2543">
        <v>0.32241819999999999</v>
      </c>
      <c r="V2543">
        <v>-0.1087153</v>
      </c>
      <c r="W2543">
        <v>0.2024533</v>
      </c>
      <c r="X2543">
        <v>0.97323870000000001</v>
      </c>
      <c r="Y2543">
        <v>0.10642509999999999</v>
      </c>
      <c r="Z2543">
        <v>-1.4022570000000001E-3</v>
      </c>
      <c r="AA2543">
        <v>0.99431970000000003</v>
      </c>
      <c r="AB2543">
        <v>29</v>
      </c>
      <c r="AC2543">
        <v>-84.258299999999906</v>
      </c>
      <c r="AD2543">
        <v>3.1289910000000001</v>
      </c>
      <c r="AE2543">
        <v>8.8219999999999992</v>
      </c>
      <c r="AF2543">
        <v>9.0383003392721708</v>
      </c>
      <c r="AG2543">
        <v>3.1289910000000001</v>
      </c>
      <c r="AH2543">
        <v>84.119300721987599</v>
      </c>
      <c r="AI2543">
        <v>87.881927317095005</v>
      </c>
      <c r="AJ2543">
        <v>83.867313213925499</v>
      </c>
      <c r="AK2543">
        <v>84.661314729084793</v>
      </c>
      <c r="AL2543">
        <v>78.319541413987693</v>
      </c>
      <c r="AM2543">
        <v>96.373782781698907</v>
      </c>
      <c r="AN2543">
        <v>0.99999996115633405</v>
      </c>
    </row>
    <row r="2544" spans="1:40" x14ac:dyDescent="0.25">
      <c r="A2544" t="str">
        <f>"20190304155106994"</f>
        <v>20190304155106994</v>
      </c>
      <c r="B2544" t="str">
        <f>"1551685866989528"</f>
        <v>1551685866989528</v>
      </c>
      <c r="C2544" t="s">
        <v>40</v>
      </c>
      <c r="D2544">
        <v>4.4565400000000004</v>
      </c>
      <c r="E2544">
        <v>0.58300160000000001</v>
      </c>
      <c r="F2544" t="s">
        <v>76</v>
      </c>
      <c r="G2544">
        <v>-510.95510000000002</v>
      </c>
      <c r="H2544">
        <v>4.4319769999999998</v>
      </c>
      <c r="I2544">
        <v>294.48439999999999</v>
      </c>
      <c r="J2544">
        <v>-426.99299999999999</v>
      </c>
      <c r="K2544">
        <v>1.1105689999999999</v>
      </c>
      <c r="L2544">
        <v>285.53640000000001</v>
      </c>
      <c r="M2544">
        <v>-0.99991090000000005</v>
      </c>
      <c r="N2544">
        <v>-1.308345E-2</v>
      </c>
      <c r="O2544">
        <v>-2.713549E-3</v>
      </c>
      <c r="P2544">
        <v>-0.97570250000000003</v>
      </c>
      <c r="Q2544">
        <v>0.18880549999999999</v>
      </c>
      <c r="R2544">
        <v>-0.11116529999999999</v>
      </c>
      <c r="S2544">
        <v>-3.089172</v>
      </c>
      <c r="T2544">
        <v>0.1217756</v>
      </c>
      <c r="U2544">
        <v>0.32803339999999998</v>
      </c>
      <c r="V2544">
        <v>-0.1085092</v>
      </c>
      <c r="W2544">
        <v>0.20156279999999999</v>
      </c>
      <c r="X2544">
        <v>0.97344649999999999</v>
      </c>
      <c r="Y2544">
        <v>0.1082337</v>
      </c>
      <c r="Z2544">
        <v>-1.5582809999999999E-3</v>
      </c>
      <c r="AA2544">
        <v>0.99412420000000001</v>
      </c>
      <c r="AB2544">
        <v>29</v>
      </c>
      <c r="AC2544">
        <v>-83.962099999999893</v>
      </c>
      <c r="AD2544">
        <v>3.3214079999999999</v>
      </c>
      <c r="AE2544">
        <v>8.9479999999999702</v>
      </c>
      <c r="AF2544">
        <v>9.1616460163833704</v>
      </c>
      <c r="AG2544">
        <v>3.3214079999999999</v>
      </c>
      <c r="AH2544">
        <v>83.807832469025698</v>
      </c>
      <c r="AI2544">
        <v>87.743911515675606</v>
      </c>
      <c r="AJ2544">
        <v>83.761352522901902</v>
      </c>
      <c r="AK2544">
        <v>84.372509100940306</v>
      </c>
      <c r="AL2544">
        <v>78.371637178143502</v>
      </c>
      <c r="AM2544">
        <v>96.360451758829996</v>
      </c>
      <c r="AN2544">
        <v>0.99999994859536301</v>
      </c>
    </row>
    <row r="2545" spans="1:40" x14ac:dyDescent="0.25">
      <c r="A2545" t="str">
        <f>"20190304155107073"</f>
        <v>20190304155107073</v>
      </c>
      <c r="B2545" t="str">
        <f>"1551685867069560"</f>
        <v>1551685867069560</v>
      </c>
      <c r="C2545" t="s">
        <v>40</v>
      </c>
      <c r="D2545">
        <v>4.7946920000000004</v>
      </c>
      <c r="E2545">
        <v>0.58300160000000001</v>
      </c>
      <c r="F2545" t="s">
        <v>76</v>
      </c>
      <c r="G2545">
        <v>-510.95499999999998</v>
      </c>
      <c r="H2545">
        <v>4.2436730000000003</v>
      </c>
      <c r="I2545">
        <v>294.44799999999998</v>
      </c>
      <c r="J2545">
        <v>-428.0206</v>
      </c>
      <c r="K2545">
        <v>1.110573</v>
      </c>
      <c r="L2545">
        <v>285.53359999999998</v>
      </c>
      <c r="M2545">
        <v>-0.99990959999999995</v>
      </c>
      <c r="N2545">
        <v>-1.316839E-2</v>
      </c>
      <c r="O2545">
        <v>-2.7136249999999999E-3</v>
      </c>
      <c r="P2545">
        <v>-0.97575900000000004</v>
      </c>
      <c r="Q2545">
        <v>0.1892334</v>
      </c>
      <c r="R2545">
        <v>-0.1099316</v>
      </c>
      <c r="S2545">
        <v>-3.0897519999999998</v>
      </c>
      <c r="T2545">
        <v>0.1152992</v>
      </c>
      <c r="U2545">
        <v>0.32794190000000001</v>
      </c>
      <c r="V2545">
        <v>-0.10727540000000001</v>
      </c>
      <c r="W2545">
        <v>0.20207459999999999</v>
      </c>
      <c r="X2545">
        <v>0.97347720000000004</v>
      </c>
      <c r="Y2545">
        <v>0.1081926</v>
      </c>
      <c r="Z2545">
        <v>-1.434367E-3</v>
      </c>
      <c r="AA2545">
        <v>0.99412889999999998</v>
      </c>
      <c r="AB2545">
        <v>29</v>
      </c>
      <c r="AC2545">
        <v>-82.934399999999897</v>
      </c>
      <c r="AD2545">
        <v>3.1331000000000002</v>
      </c>
      <c r="AE2545">
        <v>8.9144000000000005</v>
      </c>
      <c r="AF2545">
        <v>9.1265630617158902</v>
      </c>
      <c r="AG2545">
        <v>3.1331000000000002</v>
      </c>
      <c r="AH2545">
        <v>82.793090998596199</v>
      </c>
      <c r="AI2545">
        <v>87.845852908437706</v>
      </c>
      <c r="AJ2545">
        <v>83.709489472633095</v>
      </c>
      <c r="AK2545">
        <v>83.353502542072704</v>
      </c>
      <c r="AL2545">
        <v>78.341697808932906</v>
      </c>
      <c r="AM2545">
        <v>96.288516460332005</v>
      </c>
      <c r="AN2545">
        <v>1.0000000071650801</v>
      </c>
    </row>
    <row r="2546" spans="1:40" x14ac:dyDescent="0.25">
      <c r="A2546" t="str">
        <f>"20190304155107094"</f>
        <v>20190304155107094</v>
      </c>
      <c r="B2546" t="str">
        <f>"1551685867089080"</f>
        <v>1551685867089080</v>
      </c>
      <c r="C2546" t="s">
        <v>40</v>
      </c>
      <c r="D2546">
        <v>5.3130579999999998</v>
      </c>
      <c r="E2546">
        <v>0.58599140000000005</v>
      </c>
      <c r="F2546" t="s">
        <v>76</v>
      </c>
      <c r="G2546">
        <v>-510.95499999999998</v>
      </c>
      <c r="H2546">
        <v>4.2121890000000004</v>
      </c>
      <c r="I2546">
        <v>294.42450000000002</v>
      </c>
      <c r="J2546">
        <v>-428.28969999999998</v>
      </c>
      <c r="K2546">
        <v>1.1105780000000001</v>
      </c>
      <c r="L2546">
        <v>285.53280000000001</v>
      </c>
      <c r="M2546">
        <v>-0.99990959999999995</v>
      </c>
      <c r="N2546">
        <v>-1.3185219999999999E-2</v>
      </c>
      <c r="O2546">
        <v>-2.7138539999999999E-3</v>
      </c>
      <c r="P2546">
        <v>-0.97588059999999999</v>
      </c>
      <c r="Q2546">
        <v>0.1891409</v>
      </c>
      <c r="R2546">
        <v>-0.1090101</v>
      </c>
      <c r="S2546">
        <v>-3.0894780000000002</v>
      </c>
      <c r="T2546">
        <v>0.1155446</v>
      </c>
      <c r="U2546">
        <v>0.33120729999999998</v>
      </c>
      <c r="V2546">
        <v>-0.1063529</v>
      </c>
      <c r="W2546">
        <v>0.20199990000000001</v>
      </c>
      <c r="X2546">
        <v>0.97359390000000001</v>
      </c>
      <c r="Y2546">
        <v>0.1092403</v>
      </c>
      <c r="Z2546">
        <v>-1.4506300000000001E-3</v>
      </c>
      <c r="AA2546">
        <v>0.99401430000000002</v>
      </c>
      <c r="AB2546">
        <v>29</v>
      </c>
      <c r="AC2546">
        <v>-82.665300000000002</v>
      </c>
      <c r="AD2546">
        <v>3.1016109999999899</v>
      </c>
      <c r="AE2546">
        <v>8.8917000000000108</v>
      </c>
      <c r="AF2546">
        <v>9.1033595037540493</v>
      </c>
      <c r="AG2546">
        <v>3.1016109999999899</v>
      </c>
      <c r="AH2546">
        <v>82.526014722234294</v>
      </c>
      <c r="AI2546">
        <v>87.860605527308607</v>
      </c>
      <c r="AJ2546">
        <v>83.705211185225707</v>
      </c>
      <c r="AK2546">
        <v>83.084500666395897</v>
      </c>
      <c r="AL2546">
        <v>78.346067728262099</v>
      </c>
      <c r="AM2546">
        <v>96.234125491952199</v>
      </c>
      <c r="AN2546">
        <v>0.99999999052781496</v>
      </c>
    </row>
    <row r="2547" spans="1:40" x14ac:dyDescent="0.25">
      <c r="A2547" t="str">
        <f>"20190304155107194"</f>
        <v>20190304155107194</v>
      </c>
      <c r="B2547" t="str">
        <f>"1551685867189607"</f>
        <v>1551685867189607</v>
      </c>
      <c r="C2547" t="s">
        <v>40</v>
      </c>
      <c r="D2547">
        <v>5.11165</v>
      </c>
      <c r="E2547">
        <v>0.5608223</v>
      </c>
      <c r="F2547" t="s">
        <v>70</v>
      </c>
      <c r="G2547">
        <v>-466.95519999999999</v>
      </c>
      <c r="H2547" s="1">
        <v>2.0134070000000001E-6</v>
      </c>
      <c r="I2547">
        <v>288.07139999999998</v>
      </c>
      <c r="J2547">
        <v>-429.57549999999998</v>
      </c>
      <c r="K2547">
        <v>1.1105750000000001</v>
      </c>
      <c r="L2547">
        <v>285.52929999999998</v>
      </c>
      <c r="M2547">
        <v>-0.99990880000000004</v>
      </c>
      <c r="N2547">
        <v>-1.3240119999999999E-2</v>
      </c>
      <c r="O2547">
        <v>-2.7144529999999999E-3</v>
      </c>
      <c r="P2547">
        <v>-0.97600849999999995</v>
      </c>
      <c r="Q2547">
        <v>0.18942200000000001</v>
      </c>
      <c r="R2547">
        <v>-0.1073653</v>
      </c>
      <c r="S2547">
        <v>-3.114868</v>
      </c>
      <c r="T2547">
        <v>-9.1834780000000005E-2</v>
      </c>
      <c r="U2547">
        <v>0.210144</v>
      </c>
      <c r="V2547">
        <v>-0.10470739999999901</v>
      </c>
      <c r="W2547">
        <v>0.20233570000000001</v>
      </c>
      <c r="X2547">
        <v>0.97370250000000003</v>
      </c>
      <c r="Y2547">
        <v>6.9975819999999994E-2</v>
      </c>
      <c r="Z2547">
        <v>1.5381079999999901E-3</v>
      </c>
      <c r="AA2547">
        <v>0.99754750000000003</v>
      </c>
      <c r="AB2547">
        <v>29</v>
      </c>
      <c r="AC2547">
        <v>-37.3797</v>
      </c>
      <c r="AD2547">
        <v>-1.1105729865930001</v>
      </c>
      <c r="AE2547">
        <v>2.5421</v>
      </c>
      <c r="AF2547">
        <v>2.6412442087371999</v>
      </c>
      <c r="AG2547">
        <v>-1.1105729865930001</v>
      </c>
      <c r="AH2547">
        <v>37.3398523850326</v>
      </c>
      <c r="AI2547">
        <v>91.699362324704197</v>
      </c>
      <c r="AJ2547">
        <v>85.953907272134799</v>
      </c>
      <c r="AK2547">
        <v>37.449621085730101</v>
      </c>
      <c r="AL2547">
        <v>78.326421860677897</v>
      </c>
      <c r="AM2547">
        <v>96.137733323361303</v>
      </c>
      <c r="AN2547">
        <v>0.99999996680774905</v>
      </c>
    </row>
    <row r="2548" spans="1:40" x14ac:dyDescent="0.25">
      <c r="A2548" t="str">
        <f>"20190304155107218"</f>
        <v>20190304155107218</v>
      </c>
      <c r="B2548" t="str">
        <f>"1551685867209128"</f>
        <v>1551685867209128</v>
      </c>
      <c r="C2548" t="s">
        <v>40</v>
      </c>
      <c r="D2548">
        <v>5.0786870000000004</v>
      </c>
      <c r="E2548">
        <v>0.5568959</v>
      </c>
      <c r="F2548" t="s">
        <v>70</v>
      </c>
      <c r="G2548">
        <v>-468.59160000000003</v>
      </c>
      <c r="H2548" s="1">
        <v>2.9049229999999999E-6</v>
      </c>
      <c r="I2548">
        <v>287.59739999999999</v>
      </c>
      <c r="J2548">
        <v>-429.8741</v>
      </c>
      <c r="K2548">
        <v>1.110573</v>
      </c>
      <c r="L2548">
        <v>285.52850000000001</v>
      </c>
      <c r="M2548">
        <v>-0.99990869999999998</v>
      </c>
      <c r="N2548">
        <v>-1.3248019999999999E-2</v>
      </c>
      <c r="O2548">
        <v>-2.714625E-3</v>
      </c>
      <c r="P2548">
        <v>-0.97600410000000004</v>
      </c>
      <c r="Q2548">
        <v>0.18929770000000001</v>
      </c>
      <c r="R2548">
        <v>-0.1076237</v>
      </c>
      <c r="S2548">
        <v>-3.10907</v>
      </c>
      <c r="T2548">
        <v>-8.8497999999999993E-2</v>
      </c>
      <c r="U2548">
        <v>0.16479489999999999</v>
      </c>
      <c r="V2548">
        <v>-0.1049654</v>
      </c>
      <c r="W2548">
        <v>0.20221890000000001</v>
      </c>
      <c r="X2548">
        <v>0.97369899999999998</v>
      </c>
      <c r="Y2548">
        <v>5.5607869999999997E-2</v>
      </c>
      <c r="Z2548">
        <v>1.2007070000000001E-3</v>
      </c>
      <c r="AA2548">
        <v>0.99845189999999995</v>
      </c>
      <c r="AB2548">
        <v>29</v>
      </c>
      <c r="AC2548">
        <v>-38.717500000000001</v>
      </c>
      <c r="AD2548">
        <v>-1.1105700950769899</v>
      </c>
      <c r="AE2548">
        <v>2.0688999999999802</v>
      </c>
      <c r="AF2548">
        <v>2.1722229319148298</v>
      </c>
      <c r="AG2548">
        <v>-1.1105700950769899</v>
      </c>
      <c r="AH2548">
        <v>38.680006482139099</v>
      </c>
      <c r="AI2548">
        <v>91.6420235591238</v>
      </c>
      <c r="AJ2548">
        <v>86.785713752067096</v>
      </c>
      <c r="AK2548">
        <v>38.756868034715403</v>
      </c>
      <c r="AL2548">
        <v>78.333255430011903</v>
      </c>
      <c r="AM2548">
        <v>96.152762844670406</v>
      </c>
      <c r="AN2548">
        <v>0.99999998065768403</v>
      </c>
    </row>
    <row r="2549" spans="1:40" x14ac:dyDescent="0.25">
      <c r="A2549" t="str">
        <f>"20190304155107239"</f>
        <v>20190304155107239</v>
      </c>
      <c r="B2549" t="str">
        <f>"1551685867229627"</f>
        <v>1551685867229627</v>
      </c>
      <c r="C2549" t="s">
        <v>40</v>
      </c>
      <c r="D2549">
        <v>5.0850519999999904</v>
      </c>
      <c r="E2549">
        <v>0.55414869999999905</v>
      </c>
      <c r="F2549" t="s">
        <v>62</v>
      </c>
      <c r="G2549">
        <v>-470.95569999999998</v>
      </c>
      <c r="H2549" s="1">
        <v>6.4240849999999998E-6</v>
      </c>
      <c r="I2549">
        <v>287.2903</v>
      </c>
      <c r="J2549">
        <v>-430.14479999999998</v>
      </c>
      <c r="K2549">
        <v>1.110574</v>
      </c>
      <c r="L2549">
        <v>285.52780000000001</v>
      </c>
      <c r="M2549">
        <v>-0.99990840000000003</v>
      </c>
      <c r="N2549">
        <v>-1.325404E-2</v>
      </c>
      <c r="O2549">
        <v>-2.7145450000000001E-3</v>
      </c>
      <c r="P2549">
        <v>-0.97594639999999999</v>
      </c>
      <c r="Q2549">
        <v>0.18946070000000001</v>
      </c>
      <c r="R2549">
        <v>-0.10785839999999899</v>
      </c>
      <c r="S2549">
        <v>-3.1047359999999999</v>
      </c>
      <c r="T2549">
        <v>-8.393109E-2</v>
      </c>
      <c r="U2549">
        <v>0.13314819999999999</v>
      </c>
      <c r="V2549">
        <v>-0.1052003</v>
      </c>
      <c r="W2549">
        <v>0.2023875</v>
      </c>
      <c r="X2549">
        <v>0.97363869999999997</v>
      </c>
      <c r="Y2549">
        <v>4.5533240000000003E-2</v>
      </c>
      <c r="Z2549">
        <v>9.5442119999999996E-4</v>
      </c>
      <c r="AA2549">
        <v>0.99896229999999997</v>
      </c>
      <c r="AB2549">
        <v>29</v>
      </c>
      <c r="AC2549">
        <v>-40.810899999999997</v>
      </c>
      <c r="AD2549">
        <v>-1.110567575915</v>
      </c>
      <c r="AE2549">
        <v>1.76249999999998</v>
      </c>
      <c r="AF2549">
        <v>1.8719026665804099</v>
      </c>
      <c r="AG2549">
        <v>-1.110567575915</v>
      </c>
      <c r="AH2549">
        <v>40.775825644382898</v>
      </c>
      <c r="AI2549">
        <v>91.558477667786704</v>
      </c>
      <c r="AJ2549">
        <v>87.371558456165701</v>
      </c>
      <c r="AK2549">
        <v>40.833874870197398</v>
      </c>
      <c r="AL2549">
        <v>78.323392350119505</v>
      </c>
      <c r="AM2549">
        <v>96.166804989313903</v>
      </c>
      <c r="AN2549">
        <v>1.0000000607070101</v>
      </c>
    </row>
    <row r="2550" spans="1:40" x14ac:dyDescent="0.25">
      <c r="A2550" t="str">
        <f>"20190304155107253"</f>
        <v>20190304155107253</v>
      </c>
      <c r="B2550" t="str">
        <f>"1551685867249145"</f>
        <v>1551685867249145</v>
      </c>
      <c r="C2550" t="s">
        <v>40</v>
      </c>
      <c r="D2550">
        <v>5.087504</v>
      </c>
      <c r="E2550">
        <v>0.53115859999999904</v>
      </c>
      <c r="F2550" t="s">
        <v>62</v>
      </c>
      <c r="G2550">
        <v>-473.74259999999998</v>
      </c>
      <c r="H2550" s="1">
        <v>5.1701050000000002E-6</v>
      </c>
      <c r="I2550">
        <v>287.08330000000001</v>
      </c>
      <c r="J2550">
        <v>-430.32429999999999</v>
      </c>
      <c r="K2550">
        <v>1.1105769999999999</v>
      </c>
      <c r="L2550">
        <v>285.52730000000003</v>
      </c>
      <c r="M2550">
        <v>-0.99990849999999998</v>
      </c>
      <c r="N2550">
        <v>-1.32574999999999E-2</v>
      </c>
      <c r="O2550">
        <v>-2.7149259999999999E-3</v>
      </c>
      <c r="P2550">
        <v>-0.97603150000000005</v>
      </c>
      <c r="Q2550">
        <v>0.18913530000000001</v>
      </c>
      <c r="R2550">
        <v>-0.1076597</v>
      </c>
      <c r="S2550">
        <v>-3.1015009999999998</v>
      </c>
      <c r="T2550">
        <v>-7.9004759999999993E-2</v>
      </c>
      <c r="U2550">
        <v>0.1106567</v>
      </c>
      <c r="V2550">
        <v>-0.1050012</v>
      </c>
      <c r="W2550">
        <v>0.2020662</v>
      </c>
      <c r="X2550">
        <v>0.97372689999999995</v>
      </c>
      <c r="Y2550">
        <v>3.8349960000000002E-2</v>
      </c>
      <c r="Z2550">
        <v>7.7572320000000004E-4</v>
      </c>
      <c r="AA2550">
        <v>0.99926409999999999</v>
      </c>
      <c r="AB2550">
        <v>29</v>
      </c>
      <c r="AC2550">
        <v>-43.418299999999903</v>
      </c>
      <c r="AD2550">
        <v>-1.110571829895</v>
      </c>
      <c r="AE2550">
        <v>1.5559999999999801</v>
      </c>
      <c r="AF2550">
        <v>1.6727890598747199</v>
      </c>
      <c r="AG2550">
        <v>-1.110571829895</v>
      </c>
      <c r="AH2550">
        <v>43.385566305872103</v>
      </c>
      <c r="AI2550">
        <v>91.465233220943105</v>
      </c>
      <c r="AJ2550">
        <v>87.791977606873004</v>
      </c>
      <c r="AK2550">
        <v>43.432003830233498</v>
      </c>
      <c r="AL2550">
        <v>78.342189601254404</v>
      </c>
      <c r="AM2550">
        <v>96.154670231453096</v>
      </c>
      <c r="AN2550">
        <v>1.00000003848374</v>
      </c>
    </row>
    <row r="2551" spans="1:40" x14ac:dyDescent="0.25">
      <c r="A2551" t="str">
        <f>"20190304155107272"</f>
        <v>20190304155107272</v>
      </c>
      <c r="B2551" t="str">
        <f>"1551685867269640"</f>
        <v>1551685867269640</v>
      </c>
      <c r="C2551" t="s">
        <v>40</v>
      </c>
      <c r="D2551">
        <v>5.189038</v>
      </c>
      <c r="E2551">
        <v>0.53630319999999898</v>
      </c>
      <c r="F2551" t="s">
        <v>52</v>
      </c>
      <c r="G2551">
        <v>-620.553</v>
      </c>
      <c r="H2551">
        <v>-0.1</v>
      </c>
      <c r="I2551">
        <v>281.096</v>
      </c>
      <c r="J2551">
        <v>-430.56950000000001</v>
      </c>
      <c r="K2551">
        <v>1.110571</v>
      </c>
      <c r="L2551">
        <v>285.52659999999997</v>
      </c>
      <c r="M2551">
        <v>-0.99990840000000003</v>
      </c>
      <c r="N2551">
        <v>-1.326158E-2</v>
      </c>
      <c r="O2551">
        <v>-2.714953E-3</v>
      </c>
      <c r="P2551">
        <v>-0.97606769999999998</v>
      </c>
      <c r="Q2551">
        <v>0.18897810000000001</v>
      </c>
      <c r="R2551">
        <v>-0.1076073</v>
      </c>
      <c r="S2551">
        <v>-3.06955</v>
      </c>
      <c r="T2551">
        <v>-1.9533990000000001E-2</v>
      </c>
      <c r="U2551">
        <v>-7.1502689999999994E-2</v>
      </c>
      <c r="V2551">
        <v>-0.1049484</v>
      </c>
      <c r="W2551">
        <v>0.2019135</v>
      </c>
      <c r="X2551">
        <v>0.97376419999999997</v>
      </c>
      <c r="Y2551">
        <v>-2.0572119999999999E-2</v>
      </c>
      <c r="Z2551">
        <v>-2.2061420000000001E-4</v>
      </c>
      <c r="AA2551">
        <v>0.99978829999999996</v>
      </c>
      <c r="AB2551">
        <v>29</v>
      </c>
      <c r="AC2551">
        <v>-189.98349999999999</v>
      </c>
      <c r="AD2551">
        <v>-1.2105709999999901</v>
      </c>
      <c r="AE2551">
        <v>-4.4305999999999699</v>
      </c>
      <c r="AF2551">
        <v>-3.91458319111777</v>
      </c>
      <c r="AG2551">
        <v>-1.2105709999999901</v>
      </c>
      <c r="AH2551">
        <v>189.987119934894</v>
      </c>
      <c r="AI2551">
        <v>90.364998176832103</v>
      </c>
      <c r="AJ2551">
        <v>91.180381929915796</v>
      </c>
      <c r="AK2551">
        <v>190.03130053983801</v>
      </c>
      <c r="AL2551">
        <v>78.351122023637899</v>
      </c>
      <c r="AM2551">
        <v>96.151365251819996</v>
      </c>
      <c r="AN2551">
        <v>0.99999997267322405</v>
      </c>
    </row>
    <row r="2552" spans="1:40" x14ac:dyDescent="0.25">
      <c r="A2552" t="str">
        <f>"20190304155107285"</f>
        <v>20190304155107285</v>
      </c>
      <c r="B2552" t="str">
        <f>"1551685867279401"</f>
        <v>1551685867279401</v>
      </c>
      <c r="C2552" t="s">
        <v>40</v>
      </c>
      <c r="D2552">
        <v>4.9116439999999999</v>
      </c>
      <c r="E2552">
        <v>0.53490389999999999</v>
      </c>
      <c r="F2552" t="s">
        <v>62</v>
      </c>
      <c r="G2552">
        <v>-504.70479999999998</v>
      </c>
      <c r="H2552">
        <v>7.9982120000000004E-2</v>
      </c>
      <c r="I2552">
        <v>284.7946</v>
      </c>
      <c r="J2552">
        <v>-430.73630000000003</v>
      </c>
      <c r="K2552">
        <v>1.110571</v>
      </c>
      <c r="L2552">
        <v>285.52609999999999</v>
      </c>
      <c r="M2552">
        <v>-0.99990840000000003</v>
      </c>
      <c r="N2552">
        <v>-1.326399E-2</v>
      </c>
      <c r="O2552">
        <v>-2.7149689999999998E-3</v>
      </c>
      <c r="P2552">
        <v>-0.9760896</v>
      </c>
      <c r="Q2552">
        <v>0.18886890000000001</v>
      </c>
      <c r="R2552">
        <v>-0.1075989</v>
      </c>
      <c r="S2552">
        <v>-3.0784910000000001</v>
      </c>
      <c r="T2552">
        <v>-4.279554E-2</v>
      </c>
      <c r="U2552">
        <v>-3.0395510000000001E-2</v>
      </c>
      <c r="V2552">
        <v>-0.10494059999999999</v>
      </c>
      <c r="W2552">
        <v>0.20180699999999999</v>
      </c>
      <c r="X2552">
        <v>0.97378710000000002</v>
      </c>
      <c r="Y2552">
        <v>-7.1565650000000001E-3</v>
      </c>
      <c r="Z2552" s="1">
        <v>-9.5482730000000002E-5</v>
      </c>
      <c r="AA2552">
        <v>0.99997440000000004</v>
      </c>
      <c r="AB2552">
        <v>29</v>
      </c>
      <c r="AC2552">
        <v>-73.968499999999906</v>
      </c>
      <c r="AD2552">
        <v>-1.03058888</v>
      </c>
      <c r="AE2552">
        <v>-0.73149999999998205</v>
      </c>
      <c r="AF2552">
        <v>-0.53055447959484003</v>
      </c>
      <c r="AG2552">
        <v>-1.03058888</v>
      </c>
      <c r="AH2552">
        <v>73.955858374349503</v>
      </c>
      <c r="AI2552">
        <v>90.798355311784206</v>
      </c>
      <c r="AJ2552">
        <v>90.411029114888393</v>
      </c>
      <c r="AK2552">
        <v>73.964941623597895</v>
      </c>
      <c r="AL2552">
        <v>78.357352074960303</v>
      </c>
      <c r="AM2552">
        <v>96.150768034512595</v>
      </c>
      <c r="AN2552">
        <v>0.99999995545188403</v>
      </c>
    </row>
    <row r="2553" spans="1:40" x14ac:dyDescent="0.25">
      <c r="A2553" t="str">
        <f>"20190304155107306"</f>
        <v>20190304155107306</v>
      </c>
      <c r="B2553" t="str">
        <f>"1551685867298924"</f>
        <v>1551685867298924</v>
      </c>
      <c r="C2553" t="s">
        <v>40</v>
      </c>
      <c r="D2553">
        <v>5.0457970000000003</v>
      </c>
      <c r="E2553">
        <v>0.53530690000000003</v>
      </c>
      <c r="F2553" t="s">
        <v>42</v>
      </c>
      <c r="G2553">
        <v>-518.23230000000001</v>
      </c>
      <c r="H2553">
        <v>-0.05</v>
      </c>
      <c r="I2553">
        <v>284.34230000000002</v>
      </c>
      <c r="J2553">
        <v>-431.00439999999998</v>
      </c>
      <c r="K2553">
        <v>1.1105799999999999</v>
      </c>
      <c r="L2553">
        <v>285.52539999999999</v>
      </c>
      <c r="M2553">
        <v>-0.99990840000000003</v>
      </c>
      <c r="N2553">
        <v>-1.327182E-2</v>
      </c>
      <c r="O2553">
        <v>-2.71514E-3</v>
      </c>
      <c r="P2553">
        <v>-0.97601470000000001</v>
      </c>
      <c r="Q2553">
        <v>0.18926270000000001</v>
      </c>
      <c r="R2553">
        <v>-0.10758719999999999</v>
      </c>
      <c r="S2553">
        <v>-3.0767820000000001</v>
      </c>
      <c r="T2553">
        <v>-4.0811300000000002E-2</v>
      </c>
      <c r="U2553">
        <v>-4.162598E-2</v>
      </c>
      <c r="V2553">
        <v>-0.10492890000000001</v>
      </c>
      <c r="W2553">
        <v>0.20220769999999999</v>
      </c>
      <c r="X2553">
        <v>0.9737053</v>
      </c>
      <c r="Y2553">
        <v>-1.0810739999999999E-2</v>
      </c>
      <c r="Z2553">
        <v>-1.4346779999999999E-4</v>
      </c>
      <c r="AA2553">
        <v>0.99994150000000004</v>
      </c>
      <c r="AB2553">
        <v>29</v>
      </c>
      <c r="AC2553">
        <v>-87.227900000000005</v>
      </c>
      <c r="AD2553">
        <v>-1.1605799999999999</v>
      </c>
      <c r="AE2553">
        <v>-1.1830999999999601</v>
      </c>
      <c r="AF2553">
        <v>-0.946071405661561</v>
      </c>
      <c r="AG2553">
        <v>-1.1605799999999999</v>
      </c>
      <c r="AH2553">
        <v>87.215354359650206</v>
      </c>
      <c r="AI2553">
        <v>90.762348561707896</v>
      </c>
      <c r="AJ2553">
        <v>90.621493464002398</v>
      </c>
      <c r="AK2553">
        <v>87.228206637075701</v>
      </c>
      <c r="AL2553">
        <v>78.333911140159003</v>
      </c>
      <c r="AM2553">
        <v>96.150600233584001</v>
      </c>
      <c r="AN2553">
        <v>1.0000000196212899</v>
      </c>
    </row>
    <row r="2554" spans="1:40" x14ac:dyDescent="0.25">
      <c r="A2554" t="str">
        <f>"20190304155107330"</f>
        <v>20190304155107330</v>
      </c>
      <c r="B2554" t="str">
        <f>"1551685867319416"</f>
        <v>1551685867319416</v>
      </c>
      <c r="C2554" t="s">
        <v>40</v>
      </c>
      <c r="D2554">
        <v>5.1226469999999997</v>
      </c>
      <c r="E2554">
        <v>0.53501399999999999</v>
      </c>
      <c r="F2554" t="s">
        <v>52</v>
      </c>
      <c r="G2554">
        <v>-572.28279999999995</v>
      </c>
      <c r="H2554">
        <v>-0.1</v>
      </c>
      <c r="I2554">
        <v>283.77670000000001</v>
      </c>
      <c r="J2554">
        <v>-431.29759999999999</v>
      </c>
      <c r="K2554">
        <v>1.110582</v>
      </c>
      <c r="L2554">
        <v>285.52460000000002</v>
      </c>
      <c r="M2554">
        <v>-0.99990809999999997</v>
      </c>
      <c r="N2554">
        <v>-1.3284270000000001E-2</v>
      </c>
      <c r="O2554">
        <v>-2.715103E-3</v>
      </c>
      <c r="P2554">
        <v>-0.97594210000000003</v>
      </c>
      <c r="Q2554">
        <v>0.18956629999999999</v>
      </c>
      <c r="R2554">
        <v>-0.1077111</v>
      </c>
      <c r="S2554">
        <v>-3.0746150000000001</v>
      </c>
      <c r="T2554">
        <v>-2.6345609999999998E-2</v>
      </c>
      <c r="U2554">
        <v>-3.805542E-2</v>
      </c>
      <c r="V2554">
        <v>-0.10505340000000001</v>
      </c>
      <c r="W2554">
        <v>0.20252200000000001</v>
      </c>
      <c r="X2554">
        <v>0.97362660000000001</v>
      </c>
      <c r="Y2554">
        <v>-9.6602930000000004E-3</v>
      </c>
      <c r="Z2554">
        <v>-1.183645E-4</v>
      </c>
      <c r="AA2554">
        <v>0.99995330000000004</v>
      </c>
      <c r="AB2554">
        <v>29</v>
      </c>
      <c r="AC2554">
        <v>-140.985199999999</v>
      </c>
      <c r="AD2554">
        <v>-1.210582</v>
      </c>
      <c r="AE2554">
        <v>-1.74790000000001</v>
      </c>
      <c r="AF2554">
        <v>-1.3649698234365</v>
      </c>
      <c r="AG2554">
        <v>-1.210582</v>
      </c>
      <c r="AH2554">
        <v>140.97903367999601</v>
      </c>
      <c r="AI2554">
        <v>90.491961692671296</v>
      </c>
      <c r="AJ2554">
        <v>90.554724801023696</v>
      </c>
      <c r="AK2554">
        <v>140.99083866954999</v>
      </c>
      <c r="AL2554">
        <v>78.315523180988095</v>
      </c>
      <c r="AM2554">
        <v>96.158335920366099</v>
      </c>
      <c r="AN2554">
        <v>1.0000000667815501</v>
      </c>
    </row>
    <row r="2555" spans="1:40" x14ac:dyDescent="0.25">
      <c r="A2555" t="str">
        <f>"20190304155107351"</f>
        <v>20190304155107351</v>
      </c>
      <c r="B2555" t="str">
        <f>"1551685867339445"</f>
        <v>1551685867339445</v>
      </c>
      <c r="C2555" t="s">
        <v>40</v>
      </c>
      <c r="D2555">
        <v>4.979889</v>
      </c>
      <c r="E2555">
        <v>0.53546149999999904</v>
      </c>
      <c r="F2555" t="s">
        <v>52</v>
      </c>
      <c r="G2555">
        <v>-578.87670000000003</v>
      </c>
      <c r="H2555">
        <v>-0.1</v>
      </c>
      <c r="I2555">
        <v>283.58199999999999</v>
      </c>
      <c r="J2555">
        <v>-431.57350000000002</v>
      </c>
      <c r="K2555">
        <v>1.110587</v>
      </c>
      <c r="L2555">
        <v>285.52379999999999</v>
      </c>
      <c r="M2555">
        <v>-0.99990800000000002</v>
      </c>
      <c r="N2555">
        <v>-1.3295899999999999E-2</v>
      </c>
      <c r="O2555">
        <v>-2.7155370000000001E-3</v>
      </c>
      <c r="P2555">
        <v>-0.97581370000000001</v>
      </c>
      <c r="Q2555">
        <v>0.19019179999999999</v>
      </c>
      <c r="R2555">
        <v>-0.1077719</v>
      </c>
      <c r="S2555">
        <v>-3.0743100000000001</v>
      </c>
      <c r="T2555">
        <v>-2.521837E-2</v>
      </c>
      <c r="U2555">
        <v>-4.0466309999999998E-2</v>
      </c>
      <c r="V2555">
        <v>-0.1051131</v>
      </c>
      <c r="W2555">
        <v>0.20315749999999999</v>
      </c>
      <c r="X2555">
        <v>0.97348769999999996</v>
      </c>
      <c r="Y2555">
        <v>-1.0445110000000001E-2</v>
      </c>
      <c r="Z2555">
        <v>-1.2611759999999999E-4</v>
      </c>
      <c r="AA2555">
        <v>0.99994550000000004</v>
      </c>
      <c r="AB2555">
        <v>28</v>
      </c>
      <c r="AC2555">
        <v>-147.3032</v>
      </c>
      <c r="AD2555">
        <v>-1.2105870000000001</v>
      </c>
      <c r="AE2555">
        <v>-1.9418</v>
      </c>
      <c r="AF2555">
        <v>-1.5416461142792699</v>
      </c>
      <c r="AG2555">
        <v>-1.2105870000000001</v>
      </c>
      <c r="AH2555">
        <v>147.29798335292699</v>
      </c>
      <c r="AI2555">
        <v>90.470856180347397</v>
      </c>
      <c r="AJ2555">
        <v>90.599645621845497</v>
      </c>
      <c r="AK2555">
        <v>147.31102502346999</v>
      </c>
      <c r="AL2555">
        <v>78.278338140401601</v>
      </c>
      <c r="AM2555">
        <v>96.162681099957894</v>
      </c>
      <c r="AN2555">
        <v>1.00000001782457</v>
      </c>
    </row>
    <row r="2556" spans="1:40" x14ac:dyDescent="0.25">
      <c r="A2556" t="str">
        <f>"20190304155107373"</f>
        <v>20190304155107373</v>
      </c>
      <c r="B2556" t="str">
        <f>"1551685867369701"</f>
        <v>1551685867369701</v>
      </c>
      <c r="C2556" t="s">
        <v>40</v>
      </c>
      <c r="D2556">
        <v>5.1059659999999996</v>
      </c>
      <c r="E2556">
        <v>0.53657730000000003</v>
      </c>
      <c r="F2556" t="s">
        <v>42</v>
      </c>
      <c r="G2556">
        <v>-556.87699999999995</v>
      </c>
      <c r="H2556">
        <v>-0.05</v>
      </c>
      <c r="I2556">
        <v>284.00209999999998</v>
      </c>
      <c r="J2556">
        <v>-431.85910000000001</v>
      </c>
      <c r="K2556">
        <v>1.11059</v>
      </c>
      <c r="L2556">
        <v>285.52300000000002</v>
      </c>
      <c r="M2556">
        <v>-0.99990780000000001</v>
      </c>
      <c r="N2556">
        <v>-1.330656E-2</v>
      </c>
      <c r="O2556">
        <v>-2.7157269999999998E-3</v>
      </c>
      <c r="P2556">
        <v>-0.97577290000000005</v>
      </c>
      <c r="Q2556">
        <v>0.19037570000000001</v>
      </c>
      <c r="R2556">
        <v>-0.1078175</v>
      </c>
      <c r="S2556">
        <v>-3.075806</v>
      </c>
      <c r="T2556">
        <v>-2.8488759999999998E-2</v>
      </c>
      <c r="U2556">
        <v>-3.7353520000000001E-2</v>
      </c>
      <c r="V2556">
        <v>-0.1051594</v>
      </c>
      <c r="W2556">
        <v>0.2033508</v>
      </c>
      <c r="X2556">
        <v>0.97344229999999998</v>
      </c>
      <c r="Y2556">
        <v>-9.4266349999999992E-3</v>
      </c>
      <c r="Z2556">
        <v>-1.1736530000000001E-4</v>
      </c>
      <c r="AA2556">
        <v>0.9999555</v>
      </c>
      <c r="AB2556">
        <v>28</v>
      </c>
      <c r="AC2556">
        <v>-125.017899999999</v>
      </c>
      <c r="AD2556">
        <v>-1.16059</v>
      </c>
      <c r="AE2556">
        <v>-1.5208999999999799</v>
      </c>
      <c r="AF2556">
        <v>-1.1812480637609699</v>
      </c>
      <c r="AG2556">
        <v>-1.16059</v>
      </c>
      <c r="AH2556">
        <v>125.01079761402499</v>
      </c>
      <c r="AI2556">
        <v>90.531890296188394</v>
      </c>
      <c r="AJ2556">
        <v>90.541381350136206</v>
      </c>
      <c r="AK2556">
        <v>125.021765449985</v>
      </c>
      <c r="AL2556">
        <v>78.267026294804197</v>
      </c>
      <c r="AM2556">
        <v>96.165660053348802</v>
      </c>
      <c r="AN2556">
        <v>0.99999997934914397</v>
      </c>
    </row>
    <row r="2557" spans="1:40" x14ac:dyDescent="0.25">
      <c r="A2557" t="str">
        <f>"20190304155107390"</f>
        <v>20190304155107390</v>
      </c>
      <c r="B2557" t="str">
        <f>"1551685867379461"</f>
        <v>1551685867379461</v>
      </c>
      <c r="C2557" t="s">
        <v>40</v>
      </c>
      <c r="D2557">
        <v>5.1114870000000003</v>
      </c>
      <c r="E2557">
        <v>0.53641640000000002</v>
      </c>
      <c r="F2557" t="s">
        <v>52</v>
      </c>
      <c r="G2557">
        <v>-654.97659999999996</v>
      </c>
      <c r="H2557">
        <v>-0.1</v>
      </c>
      <c r="I2557">
        <v>283.42360000000002</v>
      </c>
      <c r="J2557">
        <v>-432.06509999999997</v>
      </c>
      <c r="K2557">
        <v>1.110592</v>
      </c>
      <c r="L2557">
        <v>285.5224</v>
      </c>
      <c r="M2557">
        <v>-0.99990780000000001</v>
      </c>
      <c r="N2557">
        <v>-1.331366E-2</v>
      </c>
      <c r="O2557">
        <v>-2.7157750000000001E-3</v>
      </c>
      <c r="P2557">
        <v>-0.97576019999999997</v>
      </c>
      <c r="Q2557">
        <v>0.1903474</v>
      </c>
      <c r="R2557">
        <v>-0.1079831</v>
      </c>
      <c r="S2557">
        <v>-3.074554</v>
      </c>
      <c r="T2557">
        <v>-1.6681910000000001E-2</v>
      </c>
      <c r="U2557">
        <v>-2.893066E-2</v>
      </c>
      <c r="V2557">
        <v>-0.1053246</v>
      </c>
      <c r="W2557">
        <v>0.20332929999999999</v>
      </c>
      <c r="X2557">
        <v>0.97342899999999999</v>
      </c>
      <c r="Y2557">
        <v>-6.6931079999999997E-3</v>
      </c>
      <c r="Z2557" s="1">
        <v>-8.4139619999999896E-5</v>
      </c>
      <c r="AA2557">
        <v>0.99997760000000002</v>
      </c>
      <c r="AB2557">
        <v>28</v>
      </c>
      <c r="AC2557">
        <v>-222.91149999999999</v>
      </c>
      <c r="AD2557">
        <v>-1.2105919999999999</v>
      </c>
      <c r="AE2557">
        <v>-2.0987999999999798</v>
      </c>
      <c r="AF2557">
        <v>-1.49331715235322</v>
      </c>
      <c r="AG2557">
        <v>-1.2105919999999999</v>
      </c>
      <c r="AH2557">
        <v>222.90980431835499</v>
      </c>
      <c r="AI2557">
        <v>90.311155331441498</v>
      </c>
      <c r="AJ2557">
        <v>90.383830090525507</v>
      </c>
      <c r="AK2557">
        <v>222.91809345666701</v>
      </c>
      <c r="AL2557">
        <v>78.268285241842605</v>
      </c>
      <c r="AM2557">
        <v>96.1753549311494</v>
      </c>
      <c r="AN2557">
        <v>1.00000004682232</v>
      </c>
    </row>
    <row r="2558" spans="1:40" x14ac:dyDescent="0.25">
      <c r="A2558" t="str">
        <f>"20190304155107406"</f>
        <v>20190304155107406</v>
      </c>
      <c r="B2558" t="str">
        <f>"1551685867398980"</f>
        <v>1551685867398980</v>
      </c>
      <c r="C2558" t="s">
        <v>40</v>
      </c>
      <c r="D2558">
        <v>5.1313510000000004</v>
      </c>
      <c r="E2558">
        <v>0.53626030000000002</v>
      </c>
      <c r="F2558" t="s">
        <v>52</v>
      </c>
      <c r="G2558">
        <v>-621.62400000000002</v>
      </c>
      <c r="H2558">
        <v>-0.1</v>
      </c>
      <c r="I2558">
        <v>283.66370000000001</v>
      </c>
      <c r="J2558">
        <v>-432.28530000000001</v>
      </c>
      <c r="K2558">
        <v>1.110589</v>
      </c>
      <c r="L2558">
        <v>285.52179999999998</v>
      </c>
      <c r="M2558">
        <v>-0.99990769999999995</v>
      </c>
      <c r="N2558">
        <v>-1.33209E-2</v>
      </c>
      <c r="O2558">
        <v>-2.715823E-3</v>
      </c>
      <c r="P2558">
        <v>-0.97562210000000005</v>
      </c>
      <c r="Q2558">
        <v>0.19048029999999999</v>
      </c>
      <c r="R2558">
        <v>-0.1089919</v>
      </c>
      <c r="S2558">
        <v>-3.0749819999999999</v>
      </c>
      <c r="T2558">
        <v>-1.963794E-2</v>
      </c>
      <c r="U2558">
        <v>-3.015137E-2</v>
      </c>
      <c r="V2558">
        <v>-0.10633330000000001</v>
      </c>
      <c r="W2558">
        <v>0.2034675</v>
      </c>
      <c r="X2558">
        <v>0.9732904</v>
      </c>
      <c r="Y2558">
        <v>-7.0885610000000002E-3</v>
      </c>
      <c r="Z2558" s="1">
        <v>-8.8686919999999994E-5</v>
      </c>
      <c r="AA2558">
        <v>0.99997480000000005</v>
      </c>
      <c r="AB2558">
        <v>28</v>
      </c>
      <c r="AC2558">
        <v>-189.33869999999999</v>
      </c>
      <c r="AD2558">
        <v>-1.2105889999999999</v>
      </c>
      <c r="AE2558">
        <v>-1.8580999999999701</v>
      </c>
      <c r="AF2558">
        <v>-1.3437822519708</v>
      </c>
      <c r="AG2558">
        <v>-1.2105889999999999</v>
      </c>
      <c r="AH2558">
        <v>189.33530899124901</v>
      </c>
      <c r="AI2558">
        <v>90.366328651434003</v>
      </c>
      <c r="AJ2558">
        <v>90.406642370570495</v>
      </c>
      <c r="AK2558">
        <v>189.343947638364</v>
      </c>
      <c r="AL2558">
        <v>78.260197332838899</v>
      </c>
      <c r="AM2558">
        <v>96.234913954896001</v>
      </c>
      <c r="AN2558">
        <v>0.99999999848864995</v>
      </c>
    </row>
    <row r="2559" spans="1:40" x14ac:dyDescent="0.25">
      <c r="A2559" t="str">
        <f>"20190304155107430"</f>
        <v>20190304155107430</v>
      </c>
      <c r="B2559" t="str">
        <f>"1551685867419477"</f>
        <v>1551685867419477</v>
      </c>
      <c r="C2559" t="s">
        <v>40</v>
      </c>
      <c r="D2559">
        <v>5.0816150000000002</v>
      </c>
      <c r="E2559">
        <v>0.49268719999999999</v>
      </c>
      <c r="F2559" t="s">
        <v>52</v>
      </c>
      <c r="G2559">
        <v>-638.26689999999996</v>
      </c>
      <c r="H2559">
        <v>-0.1</v>
      </c>
      <c r="I2559">
        <v>283.22989999999999</v>
      </c>
      <c r="J2559">
        <v>-432.5745</v>
      </c>
      <c r="K2559">
        <v>1.1105959999999999</v>
      </c>
      <c r="L2559">
        <v>285.52100000000002</v>
      </c>
      <c r="M2559">
        <v>-0.99990760000000001</v>
      </c>
      <c r="N2559">
        <v>-1.332932E-2</v>
      </c>
      <c r="O2559">
        <v>-2.7159990000000002E-3</v>
      </c>
      <c r="P2559">
        <v>-0.97554549999999995</v>
      </c>
      <c r="Q2559">
        <v>0.190502</v>
      </c>
      <c r="R2559">
        <v>-0.1096361</v>
      </c>
      <c r="S2559">
        <v>-3.074646</v>
      </c>
      <c r="T2559">
        <v>-1.8070220000000001E-2</v>
      </c>
      <c r="U2559">
        <v>-3.4210209999999998E-2</v>
      </c>
      <c r="V2559">
        <v>-0.1069782</v>
      </c>
      <c r="W2559">
        <v>0.20349639999999999</v>
      </c>
      <c r="X2559">
        <v>0.97321369999999896</v>
      </c>
      <c r="Y2559">
        <v>-8.4093499999999995E-3</v>
      </c>
      <c r="Z2559">
        <v>-1.010036E-4</v>
      </c>
      <c r="AA2559">
        <v>0.99996470000000004</v>
      </c>
      <c r="AB2559">
        <v>28</v>
      </c>
      <c r="AC2559">
        <v>-205.69239999999999</v>
      </c>
      <c r="AD2559">
        <v>-1.210596</v>
      </c>
      <c r="AE2559">
        <v>-2.2910999999999699</v>
      </c>
      <c r="AF2559">
        <v>-1.73232163356941</v>
      </c>
      <c r="AG2559">
        <v>-1.210596</v>
      </c>
      <c r="AH2559">
        <v>205.690740398407</v>
      </c>
      <c r="AI2559">
        <v>90.337199335266604</v>
      </c>
      <c r="AJ2559">
        <v>90.482532036059794</v>
      </c>
      <c r="AK2559">
        <v>205.70159738456601</v>
      </c>
      <c r="AL2559">
        <v>78.258506274605793</v>
      </c>
      <c r="AM2559">
        <v>96.272917925976003</v>
      </c>
      <c r="AN2559">
        <v>1.0000000129779401</v>
      </c>
    </row>
    <row r="2560" spans="1:40" x14ac:dyDescent="0.25">
      <c r="A2560" t="str">
        <f>"20190304155107451"</f>
        <v>20190304155107451</v>
      </c>
      <c r="B2560" t="str">
        <f>"1551685867449733"</f>
        <v>1551685867449733</v>
      </c>
      <c r="C2560" t="s">
        <v>40</v>
      </c>
      <c r="D2560">
        <v>5.1033200000000001</v>
      </c>
      <c r="E2560">
        <v>0.49054510000000001</v>
      </c>
      <c r="F2560" t="s">
        <v>62</v>
      </c>
      <c r="G2560">
        <v>-483.04579999999999</v>
      </c>
      <c r="H2560" s="1">
        <v>2.1602990000000001E-6</v>
      </c>
      <c r="I2560">
        <v>279.19589999999999</v>
      </c>
      <c r="J2560">
        <v>-432.84640000000002</v>
      </c>
      <c r="K2560">
        <v>1.110595</v>
      </c>
      <c r="L2560">
        <v>285.52030000000002</v>
      </c>
      <c r="M2560">
        <v>-0.9999074</v>
      </c>
      <c r="N2560">
        <v>-1.3336290000000001E-2</v>
      </c>
      <c r="O2560">
        <v>-2.7162829999999999E-3</v>
      </c>
      <c r="P2560">
        <v>-0.97542629999999997</v>
      </c>
      <c r="Q2560">
        <v>0.19065579999999999</v>
      </c>
      <c r="R2560">
        <v>-0.1104271</v>
      </c>
      <c r="S2560">
        <v>-3.04541</v>
      </c>
      <c r="T2560">
        <v>-6.7012550000000004E-2</v>
      </c>
      <c r="U2560">
        <v>-0.38165280000000001</v>
      </c>
      <c r="V2560">
        <v>-0.1077695</v>
      </c>
      <c r="W2560">
        <v>0.20365510000000001</v>
      </c>
      <c r="X2560">
        <v>0.97309319999999999</v>
      </c>
      <c r="Y2560">
        <v>-0.1216054</v>
      </c>
      <c r="Z2560">
        <v>-2.12335E-3</v>
      </c>
      <c r="AA2560">
        <v>0.99257620000000002</v>
      </c>
      <c r="AB2560">
        <v>28</v>
      </c>
      <c r="AC2560">
        <v>-50.199399999999898</v>
      </c>
      <c r="AD2560">
        <v>-1.1105928397010001</v>
      </c>
      <c r="AE2560">
        <v>-6.3244000000000202</v>
      </c>
      <c r="AF2560">
        <v>-6.1850287699693798</v>
      </c>
      <c r="AG2560">
        <v>-1.1105928397010001</v>
      </c>
      <c r="AH2560">
        <v>50.192212180642898</v>
      </c>
      <c r="AI2560">
        <v>91.258052591956996</v>
      </c>
      <c r="AJ2560">
        <v>97.024964228187002</v>
      </c>
      <c r="AK2560">
        <v>50.5840504598794</v>
      </c>
      <c r="AL2560">
        <v>78.249219038792404</v>
      </c>
      <c r="AM2560">
        <v>96.319719847434499</v>
      </c>
      <c r="AN2560">
        <v>1.00000002038624</v>
      </c>
    </row>
    <row r="2561" spans="1:40" x14ac:dyDescent="0.25">
      <c r="A2561" t="str">
        <f>"20190304155107474"</f>
        <v>20190304155107474</v>
      </c>
      <c r="B2561" t="str">
        <f>"1551685867469252"</f>
        <v>1551685867469252</v>
      </c>
      <c r="C2561" t="s">
        <v>40</v>
      </c>
      <c r="D2561">
        <v>5.1871720000000003</v>
      </c>
      <c r="E2561">
        <v>0.48993049999999999</v>
      </c>
      <c r="F2561" t="s">
        <v>62</v>
      </c>
      <c r="G2561">
        <v>-481.78590000000003</v>
      </c>
      <c r="H2561" s="1">
        <v>1.892505E-6</v>
      </c>
      <c r="I2561">
        <v>279.07060000000001</v>
      </c>
      <c r="J2561">
        <v>-433.12709999999998</v>
      </c>
      <c r="K2561">
        <v>1.1105969999999901</v>
      </c>
      <c r="L2561">
        <v>285.51949999999999</v>
      </c>
      <c r="M2561">
        <v>-0.99990730000000005</v>
      </c>
      <c r="N2561">
        <v>-1.334253E-2</v>
      </c>
      <c r="O2561">
        <v>-2.7163249999999999E-3</v>
      </c>
      <c r="P2561">
        <v>-0.9752866</v>
      </c>
      <c r="Q2561">
        <v>0.190668</v>
      </c>
      <c r="R2561">
        <v>-0.11163140000000001</v>
      </c>
      <c r="S2561">
        <v>-3.0436709999999998</v>
      </c>
      <c r="T2561">
        <v>-6.9070580000000006E-2</v>
      </c>
      <c r="U2561">
        <v>-0.40112300000000001</v>
      </c>
      <c r="V2561">
        <v>-0.108974</v>
      </c>
      <c r="W2561">
        <v>0.20367199999999999</v>
      </c>
      <c r="X2561">
        <v>0.97295549999999997</v>
      </c>
      <c r="Y2561">
        <v>-0.1279141</v>
      </c>
      <c r="Z2561">
        <v>-2.2769130000000002E-3</v>
      </c>
      <c r="AA2561">
        <v>0.99178270000000002</v>
      </c>
      <c r="AB2561">
        <v>28</v>
      </c>
      <c r="AC2561">
        <v>-48.658799999999999</v>
      </c>
      <c r="AD2561">
        <v>-1.11059510749499</v>
      </c>
      <c r="AE2561">
        <v>-6.4488999999999796</v>
      </c>
      <c r="AF2561">
        <v>-6.3134591555812998</v>
      </c>
      <c r="AG2561">
        <v>-1.11059510749499</v>
      </c>
      <c r="AH2561">
        <v>48.651232381195101</v>
      </c>
      <c r="AI2561">
        <v>91.296832896843696</v>
      </c>
      <c r="AJ2561">
        <v>97.393939672551994</v>
      </c>
      <c r="AK2561">
        <v>49.071739323270698</v>
      </c>
      <c r="AL2561">
        <v>78.248229894639195</v>
      </c>
      <c r="AM2561">
        <v>96.390668860572504</v>
      </c>
      <c r="AN2561">
        <v>1.0000000106201199</v>
      </c>
    </row>
    <row r="2562" spans="1:40" x14ac:dyDescent="0.25">
      <c r="A2562" t="str">
        <f>"20190304155107488"</f>
        <v>20190304155107488</v>
      </c>
      <c r="B2562" t="str">
        <f>"1551685867479013"</f>
        <v>1551685867479013</v>
      </c>
      <c r="C2562" t="s">
        <v>40</v>
      </c>
      <c r="D2562">
        <v>5.1024159999999998</v>
      </c>
      <c r="E2562">
        <v>0.4889944</v>
      </c>
      <c r="F2562" t="s">
        <v>62</v>
      </c>
      <c r="G2562">
        <v>-472.80119999999999</v>
      </c>
      <c r="H2562" s="1">
        <v>4.9847090000000004E-6</v>
      </c>
      <c r="I2562">
        <v>280.18729999999999</v>
      </c>
      <c r="J2562">
        <v>-433.31459999999998</v>
      </c>
      <c r="K2562">
        <v>1.1105959999999999</v>
      </c>
      <c r="L2562">
        <v>285.51900000000001</v>
      </c>
      <c r="M2562">
        <v>-0.99990730000000005</v>
      </c>
      <c r="N2562">
        <v>-1.334632E-2</v>
      </c>
      <c r="O2562">
        <v>-2.716469E-3</v>
      </c>
      <c r="P2562">
        <v>-0.97522710000000001</v>
      </c>
      <c r="Q2562">
        <v>0.1906899</v>
      </c>
      <c r="R2562">
        <v>-0.1121135</v>
      </c>
      <c r="S2562">
        <v>-3.0458370000000001</v>
      </c>
      <c r="T2562">
        <v>-8.5261820000000002E-2</v>
      </c>
      <c r="U2562">
        <v>-0.40936280000000003</v>
      </c>
      <c r="V2562">
        <v>-0.10945589999999999</v>
      </c>
      <c r="W2562">
        <v>0.20369719999999999</v>
      </c>
      <c r="X2562">
        <v>0.97289610000000004</v>
      </c>
      <c r="Y2562">
        <v>-0.13043589999999999</v>
      </c>
      <c r="Z2562">
        <v>-2.652129E-3</v>
      </c>
      <c r="AA2562">
        <v>0.99145320000000003</v>
      </c>
      <c r="AB2562">
        <v>28</v>
      </c>
      <c r="AC2562">
        <v>-39.486600000000003</v>
      </c>
      <c r="AD2562">
        <v>-1.1105910152909999</v>
      </c>
      <c r="AE2562">
        <v>-5.3317000000000103</v>
      </c>
      <c r="AF2562">
        <v>-5.2203509885942196</v>
      </c>
      <c r="AG2562">
        <v>-1.1105910152909999</v>
      </c>
      <c r="AH2562">
        <v>39.470274725659003</v>
      </c>
      <c r="AI2562">
        <v>91.597821882192505</v>
      </c>
      <c r="AJ2562">
        <v>97.5342293819768</v>
      </c>
      <c r="AK2562">
        <v>39.829487365096199</v>
      </c>
      <c r="AL2562">
        <v>78.246754787919897</v>
      </c>
      <c r="AM2562">
        <v>96.419082671135499</v>
      </c>
      <c r="AN2562">
        <v>0.99999998236392895</v>
      </c>
    </row>
    <row r="2563" spans="1:40" x14ac:dyDescent="0.25">
      <c r="A2563" t="str">
        <f>"20190304155107507"</f>
        <v>20190304155107507</v>
      </c>
      <c r="B2563" t="str">
        <f>"1551685867499512"</f>
        <v>1551685867499512</v>
      </c>
      <c r="C2563" t="s">
        <v>40</v>
      </c>
      <c r="D2563">
        <v>5.097537</v>
      </c>
      <c r="E2563">
        <v>0.4884076</v>
      </c>
      <c r="F2563" t="s">
        <v>62</v>
      </c>
      <c r="G2563">
        <v>-472.57240000000002</v>
      </c>
      <c r="H2563" s="1">
        <v>5.0806979999999999E-6</v>
      </c>
      <c r="I2563">
        <v>280.12470000000002</v>
      </c>
      <c r="J2563">
        <v>-433.55380000000002</v>
      </c>
      <c r="K2563">
        <v>1.1106069999999999</v>
      </c>
      <c r="L2563">
        <v>285.51830000000001</v>
      </c>
      <c r="M2563">
        <v>-0.9999072</v>
      </c>
      <c r="N2563">
        <v>-1.335035E-2</v>
      </c>
      <c r="O2563">
        <v>-2.7164960000000001E-3</v>
      </c>
      <c r="P2563">
        <v>-0.97511729999999996</v>
      </c>
      <c r="Q2563">
        <v>0.19124920000000001</v>
      </c>
      <c r="R2563">
        <v>-0.1121156</v>
      </c>
      <c r="S2563">
        <v>-3.0449519999999999</v>
      </c>
      <c r="T2563">
        <v>-8.6140869999999994E-2</v>
      </c>
      <c r="U2563">
        <v>-0.41839599999999999</v>
      </c>
      <c r="V2563">
        <v>-0.10945820000000001</v>
      </c>
      <c r="W2563">
        <v>0.20425879999999999</v>
      </c>
      <c r="X2563">
        <v>0.97277809999999998</v>
      </c>
      <c r="Y2563">
        <v>-0.13335820000000001</v>
      </c>
      <c r="Z2563">
        <v>-2.7314190000000001E-3</v>
      </c>
      <c r="AA2563">
        <v>0.9910641</v>
      </c>
      <c r="AB2563">
        <v>28</v>
      </c>
      <c r="AC2563">
        <v>-39.0185999999999</v>
      </c>
      <c r="AD2563">
        <v>-1.11060191930199</v>
      </c>
      <c r="AE2563">
        <v>-5.3935999999999904</v>
      </c>
      <c r="AF2563">
        <v>-5.2833766284782504</v>
      </c>
      <c r="AG2563">
        <v>-1.11060191930199</v>
      </c>
      <c r="AH2563">
        <v>39.002103322935596</v>
      </c>
      <c r="AI2563">
        <v>91.616326758560504</v>
      </c>
      <c r="AJ2563">
        <v>97.714549362519094</v>
      </c>
      <c r="AK2563">
        <v>39.373996099385799</v>
      </c>
      <c r="AL2563">
        <v>78.2138865671958</v>
      </c>
      <c r="AM2563">
        <v>96.419988593096704</v>
      </c>
      <c r="AN2563">
        <v>0.99999999338214496</v>
      </c>
    </row>
    <row r="2564" spans="1:40" x14ac:dyDescent="0.25">
      <c r="A2564" t="str">
        <f>"20190304155107529"</f>
        <v>20190304155107529</v>
      </c>
      <c r="B2564" t="str">
        <f>"1551685867519028"</f>
        <v>1551685867519028</v>
      </c>
      <c r="C2564" t="s">
        <v>40</v>
      </c>
      <c r="D2564">
        <v>5.0744619999999996</v>
      </c>
      <c r="E2564">
        <v>0.48770659999999999</v>
      </c>
      <c r="F2564" t="s">
        <v>62</v>
      </c>
      <c r="G2564">
        <v>-473.65519999999998</v>
      </c>
      <c r="H2564" s="1">
        <v>4.5854119999999997E-6</v>
      </c>
      <c r="I2564">
        <v>279.95179999999999</v>
      </c>
      <c r="J2564">
        <v>-433.83319999999998</v>
      </c>
      <c r="K2564">
        <v>1.110609</v>
      </c>
      <c r="L2564">
        <v>285.51749999999998</v>
      </c>
      <c r="M2564">
        <v>-0.9999072</v>
      </c>
      <c r="N2564">
        <v>-1.335338E-2</v>
      </c>
      <c r="O2564">
        <v>-2.7168729999999999E-3</v>
      </c>
      <c r="P2564">
        <v>-0.97501800000000005</v>
      </c>
      <c r="Q2564">
        <v>0.19188379999999999</v>
      </c>
      <c r="R2564">
        <v>-0.1118956</v>
      </c>
      <c r="S2564">
        <v>-3.044495</v>
      </c>
      <c r="T2564">
        <v>-8.4316970000000005E-2</v>
      </c>
      <c r="U2564">
        <v>-0.42260740000000002</v>
      </c>
      <c r="V2564">
        <v>-0.1092378</v>
      </c>
      <c r="W2564">
        <v>0.20489499999999999</v>
      </c>
      <c r="X2564">
        <v>0.97266909999999895</v>
      </c>
      <c r="Y2564">
        <v>-0.13472500000000001</v>
      </c>
      <c r="Z2564">
        <v>-2.721687E-3</v>
      </c>
      <c r="AA2564">
        <v>0.99087930000000002</v>
      </c>
      <c r="AB2564">
        <v>28</v>
      </c>
      <c r="AC2564">
        <v>-39.821999999999903</v>
      </c>
      <c r="AD2564">
        <v>-1.1106044145880001</v>
      </c>
      <c r="AE2564">
        <v>-5.5656999999999899</v>
      </c>
      <c r="AF2564">
        <v>-5.4533181288429997</v>
      </c>
      <c r="AG2564">
        <v>-1.1106044145880001</v>
      </c>
      <c r="AH2564">
        <v>39.806606960099103</v>
      </c>
      <c r="AI2564">
        <v>91.5833564914183</v>
      </c>
      <c r="AJ2564">
        <v>97.800694064014905</v>
      </c>
      <c r="AK2564">
        <v>40.193756709915498</v>
      </c>
      <c r="AL2564">
        <v>78.176647697056893</v>
      </c>
      <c r="AM2564">
        <v>96.407881239171502</v>
      </c>
      <c r="AN2564">
        <v>1.00000001803432</v>
      </c>
    </row>
    <row r="2565" spans="1:40" x14ac:dyDescent="0.25">
      <c r="A2565" t="str">
        <f>"20190304155107551"</f>
        <v>20190304155107551</v>
      </c>
      <c r="B2565" t="str">
        <f>"1551685867548817"</f>
        <v>1551685867548817</v>
      </c>
      <c r="C2565" t="s">
        <v>40</v>
      </c>
      <c r="D2565">
        <v>5.0852789999999999</v>
      </c>
      <c r="E2565">
        <v>0.48710330000000002</v>
      </c>
      <c r="F2565" t="s">
        <v>62</v>
      </c>
      <c r="G2565">
        <v>-473.14870000000002</v>
      </c>
      <c r="H2565" s="1">
        <v>4.8145999999999996E-6</v>
      </c>
      <c r="I2565">
        <v>280.0043</v>
      </c>
      <c r="J2565">
        <v>-434.1146</v>
      </c>
      <c r="K2565">
        <v>1.1106100000000001</v>
      </c>
      <c r="L2565">
        <v>285.51679999999999</v>
      </c>
      <c r="M2565">
        <v>-0.99990730000000005</v>
      </c>
      <c r="N2565">
        <v>-1.334428E-2</v>
      </c>
      <c r="O2565">
        <v>-2.717171E-3</v>
      </c>
      <c r="P2565">
        <v>-0.97483379999999997</v>
      </c>
      <c r="Q2565">
        <v>0.19278790000000001</v>
      </c>
      <c r="R2565">
        <v>-0.11194709999999999</v>
      </c>
      <c r="S2565">
        <v>-3.0447690000000001</v>
      </c>
      <c r="T2565">
        <v>-8.6010219999999998E-2</v>
      </c>
      <c r="U2565">
        <v>-0.4269714</v>
      </c>
      <c r="V2565">
        <v>-0.1092897</v>
      </c>
      <c r="W2565">
        <v>0.2057872</v>
      </c>
      <c r="X2565">
        <v>0.97247490000000003</v>
      </c>
      <c r="Y2565">
        <v>-0.13610220000000001</v>
      </c>
      <c r="Z2565">
        <v>-2.7851450000000002E-3</v>
      </c>
      <c r="AA2565">
        <v>0.99069090000000004</v>
      </c>
      <c r="AB2565">
        <v>28</v>
      </c>
      <c r="AC2565">
        <v>-39.034100000000002</v>
      </c>
      <c r="AD2565">
        <v>-1.1106051854000001</v>
      </c>
      <c r="AE2565">
        <v>-5.5124999999999797</v>
      </c>
      <c r="AF2565">
        <v>-5.4021202339636796</v>
      </c>
      <c r="AG2565">
        <v>-1.1106051854000001</v>
      </c>
      <c r="AH2565">
        <v>39.017967170517998</v>
      </c>
      <c r="AI2565">
        <v>91.615026109043697</v>
      </c>
      <c r="AJ2565">
        <v>97.882609773041494</v>
      </c>
      <c r="AK2565">
        <v>39.405813137399598</v>
      </c>
      <c r="AL2565">
        <v>78.124415386533798</v>
      </c>
      <c r="AM2565">
        <v>96.4121699220767</v>
      </c>
      <c r="AN2565">
        <v>1.00000002066997</v>
      </c>
    </row>
    <row r="2566" spans="1:40" x14ac:dyDescent="0.25">
      <c r="A2566" t="str">
        <f>"20190304155107575"</f>
        <v>20190304155107575</v>
      </c>
      <c r="B2566" t="str">
        <f>"1551685867569313"</f>
        <v>1551685867569313</v>
      </c>
      <c r="C2566" t="s">
        <v>40</v>
      </c>
      <c r="D2566">
        <v>5.2054489999999998</v>
      </c>
      <c r="E2566">
        <v>0.48682890000000001</v>
      </c>
      <c r="F2566" t="s">
        <v>62</v>
      </c>
      <c r="G2566">
        <v>-473.1979</v>
      </c>
      <c r="H2566" s="1">
        <v>4.7897860000000003E-6</v>
      </c>
      <c r="I2566">
        <v>279.97019999999998</v>
      </c>
      <c r="J2566">
        <v>-434.40010000000001</v>
      </c>
      <c r="K2566">
        <v>1.110614</v>
      </c>
      <c r="L2566">
        <v>285.51609999999999</v>
      </c>
      <c r="M2566">
        <v>-0.99990749999999995</v>
      </c>
      <c r="N2566">
        <v>-1.332709E-2</v>
      </c>
      <c r="O2566">
        <v>-2.7170580000000001E-3</v>
      </c>
      <c r="P2566">
        <v>-0.97463880000000003</v>
      </c>
      <c r="Q2566">
        <v>0.19362180000000001</v>
      </c>
      <c r="R2566">
        <v>-0.1122045</v>
      </c>
      <c r="S2566">
        <v>-3.0449220000000001</v>
      </c>
      <c r="T2566">
        <v>-8.6525560000000001E-2</v>
      </c>
      <c r="U2566">
        <v>-0.43212889999999998</v>
      </c>
      <c r="V2566">
        <v>-0.1095478</v>
      </c>
      <c r="W2566">
        <v>0.2066019</v>
      </c>
      <c r="X2566">
        <v>0.9722731</v>
      </c>
      <c r="Y2566">
        <v>-0.1377389</v>
      </c>
      <c r="Z2566">
        <v>-2.8288150000000001E-3</v>
      </c>
      <c r="AA2566">
        <v>0.99046449999999997</v>
      </c>
      <c r="AB2566">
        <v>28</v>
      </c>
      <c r="AC2566">
        <v>-38.797800000000002</v>
      </c>
      <c r="AD2566">
        <v>-1.1106092102139999</v>
      </c>
      <c r="AE2566">
        <v>-5.5459000000000103</v>
      </c>
      <c r="AF2566">
        <v>-5.4360890263787303</v>
      </c>
      <c r="AG2566">
        <v>-1.1106092102139999</v>
      </c>
      <c r="AH2566">
        <v>38.781584423258202</v>
      </c>
      <c r="AI2566">
        <v>91.624489052797401</v>
      </c>
      <c r="AJ2566">
        <v>97.979270924212997</v>
      </c>
      <c r="AK2566">
        <v>39.176470069403003</v>
      </c>
      <c r="AL2566">
        <v>78.076711435841403</v>
      </c>
      <c r="AM2566">
        <v>96.4285092478557</v>
      </c>
      <c r="AN2566">
        <v>1.00000002327602</v>
      </c>
    </row>
    <row r="2567" spans="1:40" x14ac:dyDescent="0.25">
      <c r="A2567" t="str">
        <f>"20190304155107597"</f>
        <v>20190304155107597</v>
      </c>
      <c r="B2567" t="str">
        <f>"1551685867588833"</f>
        <v>1551685867588833</v>
      </c>
      <c r="C2567" t="s">
        <v>40</v>
      </c>
      <c r="D2567">
        <v>5.0805870000000004</v>
      </c>
      <c r="E2567">
        <v>0.48652339999999999</v>
      </c>
      <c r="F2567" t="s">
        <v>62</v>
      </c>
      <c r="G2567">
        <v>-473.5419</v>
      </c>
      <c r="H2567" s="1">
        <v>4.6337339999999999E-6</v>
      </c>
      <c r="I2567">
        <v>279.92989999999998</v>
      </c>
      <c r="J2567">
        <v>-434.68549999999999</v>
      </c>
      <c r="K2567">
        <v>1.1106130000000001</v>
      </c>
      <c r="L2567">
        <v>285.51530000000002</v>
      </c>
      <c r="M2567">
        <v>-0.99990780000000001</v>
      </c>
      <c r="N2567">
        <v>-1.3309130000000001E-2</v>
      </c>
      <c r="O2567">
        <v>-2.7174170000000002E-3</v>
      </c>
      <c r="P2567">
        <v>-0.97435609999999995</v>
      </c>
      <c r="Q2567">
        <v>0.1946842</v>
      </c>
      <c r="R2567">
        <v>-0.1128213</v>
      </c>
      <c r="S2567">
        <v>-3.0451969999999999</v>
      </c>
      <c r="T2567">
        <v>-8.6404560000000005E-2</v>
      </c>
      <c r="U2567">
        <v>-0.43460080000000001</v>
      </c>
      <c r="V2567">
        <v>-0.1101651</v>
      </c>
      <c r="W2567">
        <v>0.2076431</v>
      </c>
      <c r="X2567">
        <v>0.97198150000000005</v>
      </c>
      <c r="Y2567">
        <v>-0.1385139</v>
      </c>
      <c r="Z2567">
        <v>-2.8408000000000001E-3</v>
      </c>
      <c r="AA2567">
        <v>0.99035640000000003</v>
      </c>
      <c r="AB2567">
        <v>28</v>
      </c>
      <c r="AC2567">
        <v>-38.856400000000001</v>
      </c>
      <c r="AD2567">
        <v>-1.11060836626599</v>
      </c>
      <c r="AE2567">
        <v>-5.5854000000000497</v>
      </c>
      <c r="AF2567">
        <v>-5.4753984012039503</v>
      </c>
      <c r="AG2567">
        <v>-1.11060836626599</v>
      </c>
      <c r="AH2567">
        <v>38.8403473624724</v>
      </c>
      <c r="AI2567">
        <v>91.621852617092898</v>
      </c>
      <c r="AJ2567">
        <v>98.024219608839005</v>
      </c>
      <c r="AK2567">
        <v>39.240107311686202</v>
      </c>
      <c r="AL2567">
        <v>78.015732722383305</v>
      </c>
      <c r="AM2567">
        <v>96.466350943530202</v>
      </c>
      <c r="AN2567">
        <v>1.00000002128893</v>
      </c>
    </row>
    <row r="2568" spans="1:40" x14ac:dyDescent="0.25">
      <c r="A2568" t="str">
        <f>"20190304155107620"</f>
        <v>20190304155107620</v>
      </c>
      <c r="B2568" t="str">
        <f>"1551685867609329"</f>
        <v>1551685867609329</v>
      </c>
      <c r="C2568" t="s">
        <v>40</v>
      </c>
      <c r="D2568">
        <v>5.0592059999999996</v>
      </c>
      <c r="E2568">
        <v>0.48624899999999999</v>
      </c>
      <c r="F2568" t="s">
        <v>62</v>
      </c>
      <c r="G2568">
        <v>-474.57510000000002</v>
      </c>
      <c r="H2568" s="1">
        <v>4.1608269999999997E-6</v>
      </c>
      <c r="I2568">
        <v>279.76170000000002</v>
      </c>
      <c r="J2568">
        <v>-434.96960000000001</v>
      </c>
      <c r="K2568">
        <v>1.110617</v>
      </c>
      <c r="L2568">
        <v>285.5145</v>
      </c>
      <c r="M2568">
        <v>-0.99990789999999996</v>
      </c>
      <c r="N2568">
        <v>-1.328942E-2</v>
      </c>
      <c r="O2568">
        <v>-2.717288E-3</v>
      </c>
      <c r="P2568">
        <v>-0.97422929999999996</v>
      </c>
      <c r="Q2568">
        <v>0.1950325</v>
      </c>
      <c r="R2568">
        <v>-0.113311</v>
      </c>
      <c r="S2568">
        <v>-3.0450439999999999</v>
      </c>
      <c r="T2568">
        <v>-8.4780220000000003E-2</v>
      </c>
      <c r="U2568">
        <v>-0.43920900000000002</v>
      </c>
      <c r="V2568">
        <v>-0.110655</v>
      </c>
      <c r="W2568">
        <v>0.2079705</v>
      </c>
      <c r="X2568">
        <v>0.97185580000000005</v>
      </c>
      <c r="Y2568">
        <v>-0.139991</v>
      </c>
      <c r="Z2568">
        <v>-2.834385E-3</v>
      </c>
      <c r="AA2568">
        <v>0.99014869999999999</v>
      </c>
      <c r="AB2568">
        <v>28</v>
      </c>
      <c r="AC2568">
        <v>-39.605499999999999</v>
      </c>
      <c r="AD2568">
        <v>-1.1106128391729999</v>
      </c>
      <c r="AE2568">
        <v>-5.7527999999999704</v>
      </c>
      <c r="AF2568">
        <v>-5.64080571124346</v>
      </c>
      <c r="AG2568">
        <v>-1.1106128391729999</v>
      </c>
      <c r="AH2568">
        <v>39.590498531849903</v>
      </c>
      <c r="AI2568">
        <v>91.590811594942593</v>
      </c>
      <c r="AJ2568">
        <v>98.1088558958932</v>
      </c>
      <c r="AK2568">
        <v>40.005746136660697</v>
      </c>
      <c r="AL2568">
        <v>77.996554902144695</v>
      </c>
      <c r="AM2568">
        <v>96.4956942609316</v>
      </c>
      <c r="AN2568">
        <v>0.99999997694444398</v>
      </c>
    </row>
    <row r="2569" spans="1:40" x14ac:dyDescent="0.25">
      <c r="A2569" t="str">
        <f>"20190304155107641"</f>
        <v>20190304155107641</v>
      </c>
      <c r="B2569" t="str">
        <f>"1551685867639585"</f>
        <v>1551685867639585</v>
      </c>
      <c r="C2569" t="s">
        <v>40</v>
      </c>
      <c r="D2569">
        <v>5.189254</v>
      </c>
      <c r="E2569">
        <v>0.4857728</v>
      </c>
      <c r="F2569" t="s">
        <v>62</v>
      </c>
      <c r="G2569">
        <v>-473.87400000000002</v>
      </c>
      <c r="H2569" s="1">
        <v>4.4801380000000003E-6</v>
      </c>
      <c r="I2569">
        <v>279.8578</v>
      </c>
      <c r="J2569">
        <v>-435.24220000000003</v>
      </c>
      <c r="K2569">
        <v>1.110614</v>
      </c>
      <c r="L2569">
        <v>285.5138</v>
      </c>
      <c r="M2569">
        <v>-0.99990840000000003</v>
      </c>
      <c r="N2569">
        <v>-1.326598E-2</v>
      </c>
      <c r="O2569">
        <v>-2.7164099999999998E-3</v>
      </c>
      <c r="P2569">
        <v>-0.97410050000000004</v>
      </c>
      <c r="Q2569">
        <v>0.195628</v>
      </c>
      <c r="R2569">
        <v>-0.11339399999999999</v>
      </c>
      <c r="S2569">
        <v>-3.045258</v>
      </c>
      <c r="T2569">
        <v>-8.6933490000000002E-2</v>
      </c>
      <c r="U2569">
        <v>-0.44277949999999999</v>
      </c>
      <c r="V2569">
        <v>-0.110739</v>
      </c>
      <c r="W2569">
        <v>0.20854139999999999</v>
      </c>
      <c r="X2569">
        <v>0.97172389999999997</v>
      </c>
      <c r="Y2569">
        <v>-0.1411152</v>
      </c>
      <c r="Z2569">
        <v>-2.9032369999999999E-3</v>
      </c>
      <c r="AA2569">
        <v>0.98998889999999995</v>
      </c>
      <c r="AB2569">
        <v>28</v>
      </c>
      <c r="AC2569">
        <v>-38.631799999999998</v>
      </c>
      <c r="AD2569">
        <v>-1.1106095198620001</v>
      </c>
      <c r="AE2569">
        <v>-5.6559999999999997</v>
      </c>
      <c r="AF2569">
        <v>-5.5465421825245498</v>
      </c>
      <c r="AG2569">
        <v>-1.1106095198620001</v>
      </c>
      <c r="AH2569">
        <v>38.6157773574202</v>
      </c>
      <c r="AI2569">
        <v>91.630675830861193</v>
      </c>
      <c r="AJ2569">
        <v>98.173723283983193</v>
      </c>
      <c r="AK2569">
        <v>39.027885474439699</v>
      </c>
      <c r="AL2569">
        <v>77.963111628026994</v>
      </c>
      <c r="AM2569">
        <v>96.501457879183704</v>
      </c>
      <c r="AN2569">
        <v>0.99999998973308402</v>
      </c>
    </row>
    <row r="2570" spans="1:40" x14ac:dyDescent="0.25">
      <c r="A2570" t="str">
        <f>"20190304155107663"</f>
        <v>20190304155107663</v>
      </c>
      <c r="B2570" t="str">
        <f>"1551685867659105"</f>
        <v>1551685867659105</v>
      </c>
      <c r="C2570" t="s">
        <v>40</v>
      </c>
      <c r="D2570">
        <v>5.0984749999999996</v>
      </c>
      <c r="E2570">
        <v>0.48571589999999998</v>
      </c>
      <c r="F2570" t="s">
        <v>62</v>
      </c>
      <c r="G2570">
        <v>-472.75580000000002</v>
      </c>
      <c r="H2570" s="1">
        <v>4.9895679999999996E-6</v>
      </c>
      <c r="I2570">
        <v>280.0127</v>
      </c>
      <c r="J2570">
        <v>-435.52589999999998</v>
      </c>
      <c r="K2570">
        <v>1.1106100000000001</v>
      </c>
      <c r="L2570">
        <v>285.51299999999998</v>
      </c>
      <c r="M2570">
        <v>-0.99990880000000004</v>
      </c>
      <c r="N2570">
        <v>-1.3240149999999999E-2</v>
      </c>
      <c r="O2570">
        <v>-2.7107160000000002E-3</v>
      </c>
      <c r="P2570">
        <v>-0.97403099999999998</v>
      </c>
      <c r="Q2570">
        <v>0.195575</v>
      </c>
      <c r="R2570">
        <v>-0.11408</v>
      </c>
      <c r="S2570">
        <v>-3.045868</v>
      </c>
      <c r="T2570">
        <v>-9.0174560000000001E-2</v>
      </c>
      <c r="U2570">
        <v>-0.44665529999999998</v>
      </c>
      <c r="V2570">
        <v>-0.111429399999999</v>
      </c>
      <c r="W2570">
        <v>0.2084635</v>
      </c>
      <c r="X2570">
        <v>0.97166169999999996</v>
      </c>
      <c r="Y2570">
        <v>-0.14232</v>
      </c>
      <c r="Z2570">
        <v>-2.998484E-3</v>
      </c>
      <c r="AA2570">
        <v>0.98981620000000003</v>
      </c>
      <c r="AB2570">
        <v>28</v>
      </c>
      <c r="AC2570">
        <v>-37.229900000000001</v>
      </c>
      <c r="AD2570">
        <v>-1.110605010432</v>
      </c>
      <c r="AE2570">
        <v>-5.5002999999999798</v>
      </c>
      <c r="AF2570">
        <v>-5.39465317408599</v>
      </c>
      <c r="AG2570">
        <v>-1.110605010432</v>
      </c>
      <c r="AH2570">
        <v>37.212266835794601</v>
      </c>
      <c r="AI2570">
        <v>91.691817710149706</v>
      </c>
      <c r="AJ2570">
        <v>98.248689946557406</v>
      </c>
      <c r="AK2570">
        <v>37.617662466137503</v>
      </c>
      <c r="AL2570">
        <v>77.967675402825805</v>
      </c>
      <c r="AM2570">
        <v>96.542055953696902</v>
      </c>
      <c r="AN2570">
        <v>1.00000000063174</v>
      </c>
    </row>
    <row r="2571" spans="1:40" x14ac:dyDescent="0.25">
      <c r="A2571" t="str">
        <f>"20190304155107686"</f>
        <v>20190304155107686</v>
      </c>
      <c r="B2571" t="str">
        <f>"1551685867679604"</f>
        <v>1551685867679604</v>
      </c>
      <c r="C2571" t="s">
        <v>40</v>
      </c>
      <c r="D2571">
        <v>5.1843389999999996</v>
      </c>
      <c r="E2571">
        <v>0.48567080000000001</v>
      </c>
      <c r="F2571" t="s">
        <v>62</v>
      </c>
      <c r="G2571">
        <v>-472.37799999999999</v>
      </c>
      <c r="H2571" s="1">
        <v>5.1630980000000001E-6</v>
      </c>
      <c r="I2571">
        <v>280.08120000000002</v>
      </c>
      <c r="J2571">
        <v>-435.815</v>
      </c>
      <c r="K2571">
        <v>1.1106039999999999</v>
      </c>
      <c r="L2571">
        <v>285.51220000000001</v>
      </c>
      <c r="M2571">
        <v>-0.9999091</v>
      </c>
      <c r="N2571">
        <v>-1.32154E-2</v>
      </c>
      <c r="O2571">
        <v>-2.6948340000000001E-3</v>
      </c>
      <c r="P2571">
        <v>-0.97404659999999998</v>
      </c>
      <c r="Q2571">
        <v>0.19541539999999999</v>
      </c>
      <c r="R2571">
        <v>-0.1142196</v>
      </c>
      <c r="S2571">
        <v>-3.045868</v>
      </c>
      <c r="T2571">
        <v>-9.1792819999999997E-2</v>
      </c>
      <c r="U2571">
        <v>-0.44894410000000001</v>
      </c>
      <c r="V2571">
        <v>-0.1115811</v>
      </c>
      <c r="W2571">
        <v>0.20828160000000001</v>
      </c>
      <c r="X2571">
        <v>0.97168330000000003</v>
      </c>
      <c r="Y2571">
        <v>-0.14306060000000001</v>
      </c>
      <c r="Z2571">
        <v>-3.0490280000000001E-3</v>
      </c>
      <c r="AA2571">
        <v>0.98970930000000001</v>
      </c>
      <c r="AB2571">
        <v>28</v>
      </c>
      <c r="AC2571">
        <v>-36.563000000000002</v>
      </c>
      <c r="AD2571">
        <v>-1.1105988369019999</v>
      </c>
      <c r="AE2571">
        <v>-5.4309999999999796</v>
      </c>
      <c r="AF2571">
        <v>-5.3276311042224798</v>
      </c>
      <c r="AG2571">
        <v>-1.1105988369019999</v>
      </c>
      <c r="AH2571">
        <v>36.544514685134203</v>
      </c>
      <c r="AI2571">
        <v>91.722503331174195</v>
      </c>
      <c r="AJ2571">
        <v>98.294416484343799</v>
      </c>
      <c r="AK2571">
        <v>36.947511912593001</v>
      </c>
      <c r="AL2571">
        <v>77.978331415667796</v>
      </c>
      <c r="AM2571">
        <v>96.550740589002402</v>
      </c>
      <c r="AN2571">
        <v>1.00000000113733</v>
      </c>
    </row>
    <row r="2572" spans="1:40" x14ac:dyDescent="0.25">
      <c r="A2572" t="str">
        <f>"20190304155107708"</f>
        <v>20190304155107708</v>
      </c>
      <c r="B2572" t="str">
        <f>"1551685867699121"</f>
        <v>1551685867699121</v>
      </c>
      <c r="C2572" t="s">
        <v>40</v>
      </c>
      <c r="D2572">
        <v>5.0955329999999996</v>
      </c>
      <c r="E2572">
        <v>0.48555110000000001</v>
      </c>
      <c r="F2572" t="s">
        <v>62</v>
      </c>
      <c r="G2572">
        <v>-473.73700000000002</v>
      </c>
      <c r="H2572" s="1">
        <v>4.5454090000000002E-6</v>
      </c>
      <c r="I2572">
        <v>279.90949999999998</v>
      </c>
      <c r="J2572">
        <v>-436.08589999999998</v>
      </c>
      <c r="K2572">
        <v>1.110581</v>
      </c>
      <c r="L2572">
        <v>285.51150000000001</v>
      </c>
      <c r="M2572">
        <v>-0.99990950000000001</v>
      </c>
      <c r="N2572">
        <v>-1.319421E-2</v>
      </c>
      <c r="O2572">
        <v>-2.6667629999999999E-3</v>
      </c>
      <c r="P2572">
        <v>-0.97394449999999999</v>
      </c>
      <c r="Q2572">
        <v>0.19570960000000001</v>
      </c>
      <c r="R2572">
        <v>-0.1145856</v>
      </c>
      <c r="S2572">
        <v>-3.0450740000000001</v>
      </c>
      <c r="T2572">
        <v>-8.917928E-2</v>
      </c>
      <c r="U2572">
        <v>-0.44989010000000001</v>
      </c>
      <c r="V2572">
        <v>-0.1119701</v>
      </c>
      <c r="W2572">
        <v>0.20855679999999999</v>
      </c>
      <c r="X2572">
        <v>0.97157950000000004</v>
      </c>
      <c r="Y2572">
        <v>-0.14343069999999999</v>
      </c>
      <c r="Z2572">
        <v>-2.9975090000000002E-3</v>
      </c>
      <c r="AA2572">
        <v>0.98965590000000003</v>
      </c>
      <c r="AB2572">
        <v>28</v>
      </c>
      <c r="AC2572">
        <v>-37.6510999999999</v>
      </c>
      <c r="AD2572">
        <v>-1.110576454591</v>
      </c>
      <c r="AE2572">
        <v>-5.6020000000000296</v>
      </c>
      <c r="AF2572">
        <v>-5.4968858302827996</v>
      </c>
      <c r="AG2572">
        <v>-1.110576454591</v>
      </c>
      <c r="AH2572">
        <v>37.633872604992</v>
      </c>
      <c r="AI2572">
        <v>91.672572168463205</v>
      </c>
      <c r="AJ2572">
        <v>98.309983979048397</v>
      </c>
      <c r="AK2572">
        <v>38.049408683203303</v>
      </c>
      <c r="AL2572">
        <v>77.962209358992098</v>
      </c>
      <c r="AM2572">
        <v>96.574074732586595</v>
      </c>
      <c r="AN2572">
        <v>0.99999998347024999</v>
      </c>
    </row>
    <row r="2573" spans="1:40" x14ac:dyDescent="0.25">
      <c r="A2573" t="str">
        <f>"20190304155107730"</f>
        <v>20190304155107730</v>
      </c>
      <c r="B2573" t="str">
        <f>"1551685867719617"</f>
        <v>1551685867719617</v>
      </c>
      <c r="C2573" t="s">
        <v>40</v>
      </c>
      <c r="D2573">
        <v>5.0746060000000002</v>
      </c>
      <c r="E2573">
        <v>0.48528520000000003</v>
      </c>
      <c r="F2573" t="s">
        <v>62</v>
      </c>
      <c r="G2573">
        <v>-474.31849999999997</v>
      </c>
      <c r="H2573" s="1">
        <v>4.2813180000000001E-6</v>
      </c>
      <c r="I2573">
        <v>279.83800000000002</v>
      </c>
      <c r="J2573">
        <v>-436.36079999999998</v>
      </c>
      <c r="K2573">
        <v>1.1105659999999999</v>
      </c>
      <c r="L2573">
        <v>285.51080000000002</v>
      </c>
      <c r="M2573">
        <v>-0.99990999999999997</v>
      </c>
      <c r="N2573">
        <v>-1.3168600000000001E-2</v>
      </c>
      <c r="O2573">
        <v>-2.6209689999999999E-3</v>
      </c>
      <c r="P2573">
        <v>-0.97396729999999998</v>
      </c>
      <c r="Q2573">
        <v>0.19543099999999999</v>
      </c>
      <c r="R2573">
        <v>-0.1148691</v>
      </c>
      <c r="S2573">
        <v>-3.044861</v>
      </c>
      <c r="T2573">
        <v>-8.8446860000000002E-2</v>
      </c>
      <c r="U2573">
        <v>-0.4518433</v>
      </c>
      <c r="V2573">
        <v>-0.1122915</v>
      </c>
      <c r="W2573">
        <v>0.20825740000000001</v>
      </c>
      <c r="X2573">
        <v>0.97160670000000005</v>
      </c>
      <c r="Y2573">
        <v>-0.14410809999999999</v>
      </c>
      <c r="Z2573">
        <v>-2.9941619999999999E-3</v>
      </c>
      <c r="AA2573">
        <v>0.98955740000000003</v>
      </c>
      <c r="AB2573">
        <v>28</v>
      </c>
      <c r="AC2573">
        <v>-37.957699999999903</v>
      </c>
      <c r="AD2573">
        <v>-1.110561718682</v>
      </c>
      <c r="AE2573">
        <v>-5.6728000000000502</v>
      </c>
      <c r="AF2573">
        <v>-5.5686232168733998</v>
      </c>
      <c r="AG2573">
        <v>-1.110561718682</v>
      </c>
      <c r="AH2573">
        <v>37.940670587189203</v>
      </c>
      <c r="AI2573">
        <v>91.658864241394198</v>
      </c>
      <c r="AJ2573">
        <v>98.349792337265697</v>
      </c>
      <c r="AK2573">
        <v>38.363229745006002</v>
      </c>
      <c r="AL2573">
        <v>77.979749687679103</v>
      </c>
      <c r="AM2573">
        <v>96.592596189373396</v>
      </c>
      <c r="AN2573">
        <v>1.00000005255594</v>
      </c>
    </row>
    <row r="2574" spans="1:40" x14ac:dyDescent="0.25">
      <c r="A2574" t="str">
        <f>"20190304155107752"</f>
        <v>20190304155107752</v>
      </c>
      <c r="B2574" t="str">
        <f>"1551685867748897"</f>
        <v>1551685867748897</v>
      </c>
      <c r="C2574" t="s">
        <v>40</v>
      </c>
      <c r="D2574">
        <v>5.0648759999999999</v>
      </c>
      <c r="E2574">
        <v>0.48498059999999998</v>
      </c>
      <c r="F2574" t="s">
        <v>62</v>
      </c>
      <c r="G2574">
        <v>-473.67779999999999</v>
      </c>
      <c r="H2574" s="1">
        <v>4.5740739999999997E-6</v>
      </c>
      <c r="I2574">
        <v>279.93700000000001</v>
      </c>
      <c r="J2574">
        <v>-436.64640000000003</v>
      </c>
      <c r="K2574">
        <v>1.110549</v>
      </c>
      <c r="L2574">
        <v>285.51010000000002</v>
      </c>
      <c r="M2574">
        <v>-0.99991059999999998</v>
      </c>
      <c r="N2574">
        <v>-1.313979E-2</v>
      </c>
      <c r="O2574">
        <v>-2.557035E-3</v>
      </c>
      <c r="P2574">
        <v>-0.97398530000000005</v>
      </c>
      <c r="Q2574">
        <v>0.1952999</v>
      </c>
      <c r="R2574">
        <v>-0.11493979999999999</v>
      </c>
      <c r="S2574">
        <v>-3.0447389999999999</v>
      </c>
      <c r="T2574">
        <v>-9.0611929999999993E-2</v>
      </c>
      <c r="U2574">
        <v>-0.45477289999999998</v>
      </c>
      <c r="V2574">
        <v>-0.11241719999999999</v>
      </c>
      <c r="W2574">
        <v>0.20810200000000001</v>
      </c>
      <c r="X2574">
        <v>0.97162539999999997</v>
      </c>
      <c r="Y2574">
        <v>-0.14510439999999999</v>
      </c>
      <c r="Z2574">
        <v>-3.0634619999999999E-3</v>
      </c>
      <c r="AA2574">
        <v>0.98941159999999995</v>
      </c>
      <c r="AB2574">
        <v>28</v>
      </c>
      <c r="AC2574">
        <v>-37.031399999999898</v>
      </c>
      <c r="AD2574">
        <v>-1.110544425926</v>
      </c>
      <c r="AE2574">
        <v>-5.5731000000000099</v>
      </c>
      <c r="AF2574">
        <v>-5.4735693733744704</v>
      </c>
      <c r="AG2574">
        <v>-1.110544425926</v>
      </c>
      <c r="AH2574">
        <v>37.012980156744703</v>
      </c>
      <c r="AI2574">
        <v>91.700119193516699</v>
      </c>
      <c r="AJ2574">
        <v>98.412070777530104</v>
      </c>
      <c r="AK2574">
        <v>37.431991273383701</v>
      </c>
      <c r="AL2574">
        <v>77.988852178460903</v>
      </c>
      <c r="AM2574">
        <v>96.599785020406003</v>
      </c>
      <c r="AN2574">
        <v>0.99999999359250002</v>
      </c>
    </row>
    <row r="2575" spans="1:40" x14ac:dyDescent="0.25">
      <c r="A2575" t="str">
        <f>"20190304155107775"</f>
        <v>20190304155107775</v>
      </c>
      <c r="B2575" t="str">
        <f>"1551685867769404"</f>
        <v>1551685867769404</v>
      </c>
      <c r="C2575" t="s">
        <v>40</v>
      </c>
      <c r="D2575">
        <v>5.2703889999999998</v>
      </c>
      <c r="E2575">
        <v>0.48497390000000001</v>
      </c>
      <c r="F2575" t="s">
        <v>62</v>
      </c>
      <c r="G2575">
        <v>-473.10149999999999</v>
      </c>
      <c r="H2575" s="1">
        <v>4.8382910000000003E-6</v>
      </c>
      <c r="I2575">
        <v>280.03590000000003</v>
      </c>
      <c r="J2575">
        <v>-436.92570000000001</v>
      </c>
      <c r="K2575">
        <v>1.1105370000000001</v>
      </c>
      <c r="L2575">
        <v>285.5095</v>
      </c>
      <c r="M2575">
        <v>-0.99991099999999999</v>
      </c>
      <c r="N2575">
        <v>-1.311321E-2</v>
      </c>
      <c r="O2575">
        <v>-2.4790739999999999E-3</v>
      </c>
      <c r="P2575">
        <v>-0.97394510000000001</v>
      </c>
      <c r="Q2575">
        <v>0.19543630000000001</v>
      </c>
      <c r="R2575">
        <v>-0.1150462</v>
      </c>
      <c r="S2575">
        <v>-3.0447690000000001</v>
      </c>
      <c r="T2575">
        <v>-9.2753890000000006E-2</v>
      </c>
      <c r="U2575">
        <v>-0.45721440000000002</v>
      </c>
      <c r="V2575">
        <v>-0.11259420000000001</v>
      </c>
      <c r="W2575">
        <v>0.20821490000000001</v>
      </c>
      <c r="X2575">
        <v>0.97158069999999996</v>
      </c>
      <c r="Y2575">
        <v>-0.14595179999999999</v>
      </c>
      <c r="Z2575">
        <v>-3.1300770000000002E-3</v>
      </c>
      <c r="AA2575">
        <v>0.98928680000000002</v>
      </c>
      <c r="AB2575">
        <v>28</v>
      </c>
      <c r="AC2575">
        <v>-36.175799999999903</v>
      </c>
      <c r="AD2575">
        <v>-1.110532161709</v>
      </c>
      <c r="AE2575">
        <v>-5.47359999999997</v>
      </c>
      <c r="AF2575">
        <v>-5.3789374322966301</v>
      </c>
      <c r="AG2575">
        <v>-1.110532161709</v>
      </c>
      <c r="AH2575">
        <v>36.155949382878603</v>
      </c>
      <c r="AI2575">
        <v>91.740150496136394</v>
      </c>
      <c r="AJ2575">
        <v>98.461856276381496</v>
      </c>
      <c r="AK2575">
        <v>36.5707386493633</v>
      </c>
      <c r="AL2575">
        <v>77.982238419724396</v>
      </c>
      <c r="AM2575">
        <v>96.610385865000396</v>
      </c>
      <c r="AN2575">
        <v>0.999999977534069</v>
      </c>
    </row>
    <row r="2576" spans="1:40" x14ac:dyDescent="0.25">
      <c r="A2576" t="str">
        <f>"20190304155107797"</f>
        <v>20190304155107797</v>
      </c>
      <c r="B2576" t="str">
        <f>"1551685867788914"</f>
        <v>1551685867788914</v>
      </c>
      <c r="C2576" t="s">
        <v>40</v>
      </c>
      <c r="D2576">
        <v>5.1175369999999996</v>
      </c>
      <c r="E2576">
        <v>0.48511789999999999</v>
      </c>
      <c r="F2576" t="s">
        <v>62</v>
      </c>
      <c r="G2576">
        <v>-474.61750000000001</v>
      </c>
      <c r="H2576" s="1">
        <v>4.1489189999999997E-6</v>
      </c>
      <c r="I2576">
        <v>279.84050000000002</v>
      </c>
      <c r="J2576">
        <v>-437.20609999999999</v>
      </c>
      <c r="K2576">
        <v>1.1105259999999999</v>
      </c>
      <c r="L2576">
        <v>285.50889999999998</v>
      </c>
      <c r="M2576">
        <v>-0.99991149999999995</v>
      </c>
      <c r="N2576">
        <v>-1.308902E-2</v>
      </c>
      <c r="O2576">
        <v>-2.3870889999999998E-3</v>
      </c>
      <c r="P2576">
        <v>-0.97404990000000002</v>
      </c>
      <c r="Q2576">
        <v>0.19516939999999999</v>
      </c>
      <c r="R2576">
        <v>-0.1146114</v>
      </c>
      <c r="S2576">
        <v>-3.0441889999999998</v>
      </c>
      <c r="T2576">
        <v>-8.9692350000000004E-2</v>
      </c>
      <c r="U2576">
        <v>-0.45785520000000002</v>
      </c>
      <c r="V2576">
        <v>-0.1122435</v>
      </c>
      <c r="W2576">
        <v>0.20792859999999999</v>
      </c>
      <c r="X2576">
        <v>0.97168259999999995</v>
      </c>
      <c r="Y2576">
        <v>-0.1462792</v>
      </c>
      <c r="Z2576">
        <v>-3.066601E-3</v>
      </c>
      <c r="AA2576">
        <v>0.98923859999999997</v>
      </c>
      <c r="AB2576">
        <v>28</v>
      </c>
      <c r="AC2576">
        <v>-37.4114</v>
      </c>
      <c r="AD2576">
        <v>-1.110521851081</v>
      </c>
      <c r="AE2576">
        <v>-5.6683999999999601</v>
      </c>
      <c r="AF2576">
        <v>-5.5742703556931801</v>
      </c>
      <c r="AG2576">
        <v>-1.110521851081</v>
      </c>
      <c r="AH2576">
        <v>37.392616706679703</v>
      </c>
      <c r="AI2576">
        <v>91.682543017674007</v>
      </c>
      <c r="AJ2576">
        <v>98.478875287317095</v>
      </c>
      <c r="AK2576">
        <v>37.822130201150102</v>
      </c>
      <c r="AL2576">
        <v>77.999009414384204</v>
      </c>
      <c r="AM2576">
        <v>96.589292701629702</v>
      </c>
      <c r="AN2576">
        <v>0.99999999056648403</v>
      </c>
    </row>
    <row r="2577" spans="1:40" x14ac:dyDescent="0.25">
      <c r="A2577" t="str">
        <f>"20190304155107821"</f>
        <v>20190304155107821</v>
      </c>
      <c r="B2577" t="str">
        <f>"1551685867809409"</f>
        <v>1551685867809409</v>
      </c>
      <c r="C2577" t="s">
        <v>40</v>
      </c>
      <c r="D2577">
        <v>5.1414479999999996</v>
      </c>
      <c r="E2577">
        <v>0.4848885</v>
      </c>
      <c r="F2577" t="s">
        <v>62</v>
      </c>
      <c r="G2577">
        <v>-475.2346</v>
      </c>
      <c r="H2577" s="1">
        <v>3.8737730000000004E-6</v>
      </c>
      <c r="I2577">
        <v>279.8236</v>
      </c>
      <c r="J2577">
        <v>-437.49459999999999</v>
      </c>
      <c r="K2577">
        <v>1.1105179999999999</v>
      </c>
      <c r="L2577">
        <v>285.50830000000002</v>
      </c>
      <c r="M2577">
        <v>-0.99991209999999997</v>
      </c>
      <c r="N2577">
        <v>-1.306628E-2</v>
      </c>
      <c r="O2577">
        <v>-2.282872E-3</v>
      </c>
      <c r="P2577">
        <v>-0.97397829999999996</v>
      </c>
      <c r="Q2577">
        <v>0.19555410000000001</v>
      </c>
      <c r="R2577">
        <v>-0.11456479999999999</v>
      </c>
      <c r="S2577">
        <v>-3.0441889999999998</v>
      </c>
      <c r="T2577">
        <v>-8.8897470000000006E-2</v>
      </c>
      <c r="U2577">
        <v>-0.45510859999999898</v>
      </c>
      <c r="V2577">
        <v>-0.1122944</v>
      </c>
      <c r="W2577">
        <v>0.2082919</v>
      </c>
      <c r="X2577">
        <v>0.97159890000000004</v>
      </c>
      <c r="Y2577">
        <v>-0.1455111</v>
      </c>
      <c r="Z2577">
        <v>-3.0320600000000001E-3</v>
      </c>
      <c r="AA2577">
        <v>0.98935200000000001</v>
      </c>
      <c r="AB2577">
        <v>28</v>
      </c>
      <c r="AC2577">
        <v>-37.74</v>
      </c>
      <c r="AD2577">
        <v>-1.110514126227</v>
      </c>
      <c r="AE2577">
        <v>-5.6847000000000198</v>
      </c>
      <c r="AF2577">
        <v>-5.5937862998829004</v>
      </c>
      <c r="AG2577">
        <v>-1.110514126227</v>
      </c>
      <c r="AH2577">
        <v>37.720943976657701</v>
      </c>
      <c r="AI2577">
        <v>91.668083885616099</v>
      </c>
      <c r="AJ2577">
        <v>98.435141068407006</v>
      </c>
      <c r="AK2577">
        <v>38.149617315032899</v>
      </c>
      <c r="AL2577">
        <v>77.977727840971397</v>
      </c>
      <c r="AM2577">
        <v>96.592817409379293</v>
      </c>
      <c r="AN2577">
        <v>0.99999998517908995</v>
      </c>
    </row>
    <row r="2578" spans="1:40" x14ac:dyDescent="0.25">
      <c r="A2578" t="str">
        <f>"20190304155107843"</f>
        <v>20190304155107843</v>
      </c>
      <c r="B2578" t="str">
        <f>"1551685867828930"</f>
        <v>1551685867828930</v>
      </c>
      <c r="C2578" t="s">
        <v>40</v>
      </c>
      <c r="D2578">
        <v>5.0677620000000001</v>
      </c>
      <c r="E2578">
        <v>0.48481419999999997</v>
      </c>
      <c r="F2578" t="s">
        <v>62</v>
      </c>
      <c r="G2578">
        <v>-475.10039999999998</v>
      </c>
      <c r="H2578" s="1">
        <v>3.937192E-6</v>
      </c>
      <c r="I2578">
        <v>279.86790000000002</v>
      </c>
      <c r="J2578">
        <v>-437.77550000000002</v>
      </c>
      <c r="K2578">
        <v>1.110509</v>
      </c>
      <c r="L2578">
        <v>285.50779999999997</v>
      </c>
      <c r="M2578">
        <v>-0.99991260000000004</v>
      </c>
      <c r="N2578">
        <v>-1.304604E-2</v>
      </c>
      <c r="O2578">
        <v>-2.1766889999999999E-3</v>
      </c>
      <c r="P2578">
        <v>-0.97386300000000003</v>
      </c>
      <c r="Q2578">
        <v>0.1961136</v>
      </c>
      <c r="R2578">
        <v>-0.1145886</v>
      </c>
      <c r="S2578">
        <v>-3.0444640000000001</v>
      </c>
      <c r="T2578">
        <v>-8.9904310000000001E-2</v>
      </c>
      <c r="U2578">
        <v>-0.4566345</v>
      </c>
      <c r="V2578">
        <v>-0.1124192</v>
      </c>
      <c r="W2578">
        <v>0.20883189999999999</v>
      </c>
      <c r="X2578">
        <v>0.97146860000000002</v>
      </c>
      <c r="Y2578">
        <v>-0.1460862</v>
      </c>
      <c r="Z2578">
        <v>-3.067429E-3</v>
      </c>
      <c r="AA2578">
        <v>0.98926709999999995</v>
      </c>
      <c r="AB2578">
        <v>28</v>
      </c>
      <c r="AC2578">
        <v>-37.3248999999999</v>
      </c>
      <c r="AD2578">
        <v>-1.110505062808</v>
      </c>
      <c r="AE2578">
        <v>-5.6398999999999502</v>
      </c>
      <c r="AF2578">
        <v>-5.5538284959917998</v>
      </c>
      <c r="AG2578">
        <v>-1.110505062808</v>
      </c>
      <c r="AH2578">
        <v>37.3048036616361</v>
      </c>
      <c r="AI2578">
        <v>91.686524254706697</v>
      </c>
      <c r="AJ2578">
        <v>98.467829835565198</v>
      </c>
      <c r="AK2578">
        <v>37.732301926739503</v>
      </c>
      <c r="AL2578">
        <v>77.946093099459503</v>
      </c>
      <c r="AM2578">
        <v>96.600957257932194</v>
      </c>
      <c r="AN2578">
        <v>1.0000000398861</v>
      </c>
    </row>
    <row r="2579" spans="1:40" x14ac:dyDescent="0.25">
      <c r="A2579" t="str">
        <f>"20190304155107865"</f>
        <v>20190304155107865</v>
      </c>
      <c r="B2579" t="str">
        <f>"1551685867859185"</f>
        <v>1551685867859185</v>
      </c>
      <c r="C2579" t="s">
        <v>40</v>
      </c>
      <c r="D2579">
        <v>5.269927</v>
      </c>
      <c r="E2579">
        <v>0.48458069999999998</v>
      </c>
      <c r="F2579" t="s">
        <v>62</v>
      </c>
      <c r="G2579">
        <v>-475.57859999999999</v>
      </c>
      <c r="H2579" s="1">
        <v>3.7216749999999998E-6</v>
      </c>
      <c r="I2579">
        <v>279.82830000000001</v>
      </c>
      <c r="J2579">
        <v>-438.05009999999999</v>
      </c>
      <c r="K2579">
        <v>1.110506</v>
      </c>
      <c r="L2579">
        <v>285.50729999999999</v>
      </c>
      <c r="M2579">
        <v>-0.99991319999999995</v>
      </c>
      <c r="N2579">
        <v>-1.302815E-2</v>
      </c>
      <c r="O2579">
        <v>-2.07092E-3</v>
      </c>
      <c r="P2579">
        <v>-0.97390149999999998</v>
      </c>
      <c r="Q2579">
        <v>0.19589780000000001</v>
      </c>
      <c r="R2579">
        <v>-0.11463089999999999</v>
      </c>
      <c r="S2579">
        <v>-3.0446780000000002</v>
      </c>
      <c r="T2579">
        <v>-8.9440580000000006E-2</v>
      </c>
      <c r="U2579">
        <v>-0.457428</v>
      </c>
      <c r="V2579">
        <v>-0.112563</v>
      </c>
      <c r="W2579">
        <v>0.20859920000000001</v>
      </c>
      <c r="X2579">
        <v>0.97150190000000003</v>
      </c>
      <c r="Y2579">
        <v>-0.14643329999999999</v>
      </c>
      <c r="Z2579">
        <v>-3.064242E-3</v>
      </c>
      <c r="AA2579">
        <v>0.98921579999999998</v>
      </c>
      <c r="AB2579">
        <v>28</v>
      </c>
      <c r="AC2579">
        <v>-37.528500000000001</v>
      </c>
      <c r="AD2579">
        <v>-1.110502278325</v>
      </c>
      <c r="AE2579">
        <v>-5.6789999999999701</v>
      </c>
      <c r="AF2579">
        <v>-5.5964720301373001</v>
      </c>
      <c r="AG2579">
        <v>-1.110502278325</v>
      </c>
      <c r="AH2579">
        <v>37.508073621603899</v>
      </c>
      <c r="AI2579">
        <v>91.677304712396406</v>
      </c>
      <c r="AJ2579">
        <v>98.486332006138198</v>
      </c>
      <c r="AK2579">
        <v>37.939547984892101</v>
      </c>
      <c r="AL2579">
        <v>77.959725567854207</v>
      </c>
      <c r="AM2579">
        <v>96.609101612555506</v>
      </c>
      <c r="AN2579">
        <v>0.99999999845662502</v>
      </c>
    </row>
    <row r="2580" spans="1:40" x14ac:dyDescent="0.25">
      <c r="A2580" t="str">
        <f>"20190304155107886"</f>
        <v>20190304155107886</v>
      </c>
      <c r="B2580" t="str">
        <f>"1551685867879681"</f>
        <v>1551685867879681</v>
      </c>
      <c r="C2580" t="s">
        <v>40</v>
      </c>
      <c r="D2580">
        <v>5.1293879999999996</v>
      </c>
      <c r="E2580">
        <v>0.48467490000000002</v>
      </c>
      <c r="F2580" t="s">
        <v>62</v>
      </c>
      <c r="G2580">
        <v>-475.01740000000001</v>
      </c>
      <c r="H2580" s="1">
        <v>3.9798060000000002E-6</v>
      </c>
      <c r="I2580">
        <v>279.93430000000001</v>
      </c>
      <c r="J2580">
        <v>-438.32499999999999</v>
      </c>
      <c r="K2580">
        <v>1.110503</v>
      </c>
      <c r="L2580">
        <v>285.5068</v>
      </c>
      <c r="M2580">
        <v>-0.99991350000000001</v>
      </c>
      <c r="N2580">
        <v>-1.301213E-2</v>
      </c>
      <c r="O2580">
        <v>-1.9645909999999999E-3</v>
      </c>
      <c r="P2580">
        <v>-0.97387500000000005</v>
      </c>
      <c r="Q2580">
        <v>0.19599369999999999</v>
      </c>
      <c r="R2580">
        <v>-0.114693</v>
      </c>
      <c r="S2580">
        <v>-3.0447690000000001</v>
      </c>
      <c r="T2580">
        <v>-9.1465350000000001E-2</v>
      </c>
      <c r="U2580">
        <v>-0.4590149</v>
      </c>
      <c r="V2580">
        <v>-0.1127282</v>
      </c>
      <c r="W2580">
        <v>0.20867939999999999</v>
      </c>
      <c r="X2580">
        <v>0.97146549999999998</v>
      </c>
      <c r="Y2580">
        <v>-0.14703450000000001</v>
      </c>
      <c r="Z2580">
        <v>-3.1246590000000001E-3</v>
      </c>
      <c r="AA2580">
        <v>0.98912639999999996</v>
      </c>
      <c r="AB2580">
        <v>28</v>
      </c>
      <c r="AC2580">
        <v>-36.692399999999999</v>
      </c>
      <c r="AD2580">
        <v>-1.1104990201939999</v>
      </c>
      <c r="AE2580">
        <v>-5.57249999999999</v>
      </c>
      <c r="AF2580">
        <v>-5.4954773469740301</v>
      </c>
      <c r="AG2580">
        <v>-1.1104990201939999</v>
      </c>
      <c r="AH2580">
        <v>36.670445797805797</v>
      </c>
      <c r="AI2580">
        <v>91.715426083101093</v>
      </c>
      <c r="AJ2580">
        <v>98.522988306908303</v>
      </c>
      <c r="AK2580">
        <v>37.096564185309198</v>
      </c>
      <c r="AL2580">
        <v>77.955026798811303</v>
      </c>
      <c r="AM2580">
        <v>96.618961077248898</v>
      </c>
      <c r="AN2580">
        <v>0.99999997837492405</v>
      </c>
    </row>
    <row r="2581" spans="1:40" x14ac:dyDescent="0.25">
      <c r="A2581" t="str">
        <f>"20190304155107908"</f>
        <v>20190304155107908</v>
      </c>
      <c r="B2581" t="str">
        <f>"1551685867899201"</f>
        <v>1551685867899201</v>
      </c>
      <c r="C2581" t="s">
        <v>40</v>
      </c>
      <c r="D2581">
        <v>5.1696339999999896</v>
      </c>
      <c r="E2581">
        <v>0.48467579999999999</v>
      </c>
      <c r="F2581" t="s">
        <v>62</v>
      </c>
      <c r="G2581">
        <v>-475.23540000000003</v>
      </c>
      <c r="H2581" s="1">
        <v>3.884416E-6</v>
      </c>
      <c r="I2581">
        <v>279.94940000000003</v>
      </c>
      <c r="J2581">
        <v>-438.6019</v>
      </c>
      <c r="K2581">
        <v>1.1105</v>
      </c>
      <c r="L2581">
        <v>285.50650000000002</v>
      </c>
      <c r="M2581">
        <v>-0.99991379999999996</v>
      </c>
      <c r="N2581">
        <v>-1.2997770000000001E-2</v>
      </c>
      <c r="O2581">
        <v>-1.8587670000000001E-3</v>
      </c>
      <c r="P2581">
        <v>-0.97395529999999997</v>
      </c>
      <c r="Q2581">
        <v>0.1956659</v>
      </c>
      <c r="R2581">
        <v>-0.11457000000000001</v>
      </c>
      <c r="S2581">
        <v>-3.0449519999999999</v>
      </c>
      <c r="T2581">
        <v>-9.1611499999999998E-2</v>
      </c>
      <c r="U2581">
        <v>-0.45846559999999997</v>
      </c>
      <c r="V2581">
        <v>-0.1127079</v>
      </c>
      <c r="W2581">
        <v>0.208339</v>
      </c>
      <c r="X2581">
        <v>0.97154090000000004</v>
      </c>
      <c r="Y2581">
        <v>-0.14695569999999999</v>
      </c>
      <c r="Z2581">
        <v>-3.1269760000000001E-3</v>
      </c>
      <c r="AA2581">
        <v>0.98913810000000002</v>
      </c>
      <c r="AB2581">
        <v>28</v>
      </c>
      <c r="AC2581">
        <v>-36.633499999999998</v>
      </c>
      <c r="AD2581">
        <v>-1.1104961155840001</v>
      </c>
      <c r="AE2581">
        <v>-5.5570999999999904</v>
      </c>
      <c r="AF2581">
        <v>-5.4840654473808002</v>
      </c>
      <c r="AG2581">
        <v>-1.1104961155840001</v>
      </c>
      <c r="AH2581">
        <v>36.610881234615398</v>
      </c>
      <c r="AI2581">
        <v>91.718227938610596</v>
      </c>
      <c r="AJ2581">
        <v>98.519183945422697</v>
      </c>
      <c r="AK2581">
        <v>37.035993306903499</v>
      </c>
      <c r="AL2581">
        <v>77.974968432172801</v>
      </c>
      <c r="AM2581">
        <v>96.617270671868297</v>
      </c>
      <c r="AN2581">
        <v>0.99999996500810895</v>
      </c>
    </row>
    <row r="2582" spans="1:40" x14ac:dyDescent="0.25">
      <c r="A2582" t="str">
        <f>"20190304155107931"</f>
        <v>20190304155107931</v>
      </c>
      <c r="B2582" t="str">
        <f>"1551685867929457"</f>
        <v>1551685867929457</v>
      </c>
      <c r="C2582" t="s">
        <v>40</v>
      </c>
      <c r="D2582">
        <v>5.0055800000000001</v>
      </c>
      <c r="E2582">
        <v>0.4844869</v>
      </c>
      <c r="F2582" t="s">
        <v>62</v>
      </c>
      <c r="G2582">
        <v>-474.47</v>
      </c>
      <c r="H2582" s="1">
        <v>4.237841E-6</v>
      </c>
      <c r="I2582">
        <v>280.10930000000002</v>
      </c>
      <c r="J2582">
        <v>-438.88130000000001</v>
      </c>
      <c r="K2582">
        <v>1.110492</v>
      </c>
      <c r="L2582">
        <v>285.50599999999997</v>
      </c>
      <c r="M2582">
        <v>-0.99991419999999998</v>
      </c>
      <c r="N2582">
        <v>-1.298468E-2</v>
      </c>
      <c r="O2582">
        <v>-1.7534390000000001E-3</v>
      </c>
      <c r="P2582">
        <v>-0.97398899999999999</v>
      </c>
      <c r="Q2582">
        <v>0.1955259</v>
      </c>
      <c r="R2582">
        <v>-0.11452080000000001</v>
      </c>
      <c r="S2582">
        <v>-3.0452270000000001</v>
      </c>
      <c r="T2582">
        <v>-9.4281909999999997E-2</v>
      </c>
      <c r="U2582">
        <v>-0.4582214</v>
      </c>
      <c r="V2582">
        <v>-0.1127621</v>
      </c>
      <c r="W2582">
        <v>0.2081865</v>
      </c>
      <c r="X2582">
        <v>0.97156730000000002</v>
      </c>
      <c r="Y2582">
        <v>-0.1469646</v>
      </c>
      <c r="Z2582">
        <v>-3.190301E-3</v>
      </c>
      <c r="AA2582">
        <v>0.98913660000000003</v>
      </c>
      <c r="AB2582">
        <v>28</v>
      </c>
      <c r="AC2582">
        <v>-35.588700000000003</v>
      </c>
      <c r="AD2582">
        <v>-1.1104877621589999</v>
      </c>
      <c r="AE2582">
        <v>-5.3966999999999503</v>
      </c>
      <c r="AF2582">
        <v>-5.3292116710118096</v>
      </c>
      <c r="AG2582">
        <v>-1.1104877621589999</v>
      </c>
      <c r="AH2582">
        <v>35.564260037921201</v>
      </c>
      <c r="AI2582">
        <v>91.768734733365605</v>
      </c>
      <c r="AJ2582">
        <v>98.522214118586007</v>
      </c>
      <c r="AK2582">
        <v>35.978469563743701</v>
      </c>
      <c r="AL2582">
        <v>77.983901914513595</v>
      </c>
      <c r="AM2582">
        <v>96.620246305919494</v>
      </c>
      <c r="AN2582">
        <v>0.99999996420397397</v>
      </c>
    </row>
    <row r="2583" spans="1:40" x14ac:dyDescent="0.25">
      <c r="A2583" t="str">
        <f>"20190304155107953"</f>
        <v>20190304155107953</v>
      </c>
      <c r="B2583" t="str">
        <f>"1551685867948980"</f>
        <v>1551685867948980</v>
      </c>
      <c r="C2583" t="s">
        <v>40</v>
      </c>
      <c r="D2583">
        <v>5.0993120000000003</v>
      </c>
      <c r="E2583">
        <v>0.48430260000000003</v>
      </c>
      <c r="F2583" t="s">
        <v>62</v>
      </c>
      <c r="G2583">
        <v>-473.8777</v>
      </c>
      <c r="H2583" s="1">
        <v>4.5109780000000003E-6</v>
      </c>
      <c r="I2583">
        <v>280.22899999999998</v>
      </c>
      <c r="J2583">
        <v>-439.16550000000001</v>
      </c>
      <c r="K2583">
        <v>1.11049</v>
      </c>
      <c r="L2583">
        <v>285.50569999999999</v>
      </c>
      <c r="M2583">
        <v>-0.99991450000000004</v>
      </c>
      <c r="N2583">
        <v>-1.297306E-2</v>
      </c>
      <c r="O2583">
        <v>-1.6482370000000001E-3</v>
      </c>
      <c r="P2583">
        <v>-0.9740934</v>
      </c>
      <c r="Q2583">
        <v>0.19513030000000001</v>
      </c>
      <c r="R2583">
        <v>-0.1143076</v>
      </c>
      <c r="S2583">
        <v>-3.0455019999999999</v>
      </c>
      <c r="T2583">
        <v>-9.6638559999999998E-2</v>
      </c>
      <c r="U2583">
        <v>-0.45922849999999998</v>
      </c>
      <c r="V2583">
        <v>-0.11265210000000001</v>
      </c>
      <c r="W2583">
        <v>0.2077802</v>
      </c>
      <c r="X2583">
        <v>0.97166710000000001</v>
      </c>
      <c r="Y2583">
        <v>-0.147370899999999</v>
      </c>
      <c r="Z2583">
        <v>-3.2553790000000001E-3</v>
      </c>
      <c r="AA2583">
        <v>0.98907599999999996</v>
      </c>
      <c r="AB2583">
        <v>28</v>
      </c>
      <c r="AC2583">
        <v>-34.712200000000003</v>
      </c>
      <c r="AD2583">
        <v>-1.1104854890219999</v>
      </c>
      <c r="AE2583">
        <v>-5.2766999999999404</v>
      </c>
      <c r="AF2583">
        <v>-5.21425814436971</v>
      </c>
      <c r="AG2583">
        <v>-1.1104854890219999</v>
      </c>
      <c r="AH2583">
        <v>34.6861534836139</v>
      </c>
      <c r="AI2583">
        <v>91.813350850480901</v>
      </c>
      <c r="AJ2583">
        <v>98.549076461091403</v>
      </c>
      <c r="AK2583">
        <v>35.093459640028001</v>
      </c>
      <c r="AL2583">
        <v>78.007702437362795</v>
      </c>
      <c r="AM2583">
        <v>96.613172174601402</v>
      </c>
      <c r="AN2583">
        <v>1.0000000301844201</v>
      </c>
    </row>
    <row r="2584" spans="1:40" x14ac:dyDescent="0.25">
      <c r="A2584" t="str">
        <f>"20190304155107977"</f>
        <v>20190304155107977</v>
      </c>
      <c r="B2584" t="str">
        <f>"1551685867969476"</f>
        <v>1551685867969476</v>
      </c>
      <c r="C2584" t="s">
        <v>40</v>
      </c>
      <c r="D2584">
        <v>5.5575299999999999</v>
      </c>
      <c r="E2584">
        <v>0.52975760000000005</v>
      </c>
      <c r="F2584" t="s">
        <v>62</v>
      </c>
      <c r="G2584">
        <v>-473.49439999999998</v>
      </c>
      <c r="H2584" s="1">
        <v>4.6894579999999999E-6</v>
      </c>
      <c r="I2584">
        <v>280.3263</v>
      </c>
      <c r="J2584">
        <v>-439.44889999999998</v>
      </c>
      <c r="K2584">
        <v>1.110495</v>
      </c>
      <c r="L2584">
        <v>285.50540000000001</v>
      </c>
      <c r="M2584">
        <v>-0.99991479999999999</v>
      </c>
      <c r="N2584">
        <v>-1.296317E-2</v>
      </c>
      <c r="O2584">
        <v>-1.5441229999999999E-3</v>
      </c>
      <c r="P2584">
        <v>-0.97415189999999996</v>
      </c>
      <c r="Q2584">
        <v>0.1949787</v>
      </c>
      <c r="R2584">
        <v>-0.1140678</v>
      </c>
      <c r="S2584">
        <v>-3.045563</v>
      </c>
      <c r="T2584">
        <v>-9.8519209999999996E-2</v>
      </c>
      <c r="U2584">
        <v>-0.4595032</v>
      </c>
      <c r="V2584">
        <v>-0.11251419999999999</v>
      </c>
      <c r="W2584">
        <v>0.20761930000000001</v>
      </c>
      <c r="X2584">
        <v>0.97171739999999995</v>
      </c>
      <c r="Y2584">
        <v>-0.14755470000000001</v>
      </c>
      <c r="Z2584">
        <v>-3.3049450000000001E-3</v>
      </c>
      <c r="AA2584">
        <v>0.98904840000000005</v>
      </c>
      <c r="AB2584">
        <v>28</v>
      </c>
      <c r="AC2584">
        <v>-34.045499999999997</v>
      </c>
      <c r="AD2584">
        <v>-1.1104903105419901</v>
      </c>
      <c r="AE2584">
        <v>-5.1791</v>
      </c>
      <c r="AF2584">
        <v>-5.12119364891986</v>
      </c>
      <c r="AG2584">
        <v>-1.1104903105419901</v>
      </c>
      <c r="AH2584">
        <v>34.0180832339367</v>
      </c>
      <c r="AI2584">
        <v>91.848887369722803</v>
      </c>
      <c r="AJ2584">
        <v>98.561205574429593</v>
      </c>
      <c r="AK2584">
        <v>34.419323061771401</v>
      </c>
      <c r="AL2584">
        <v>78.017126022933596</v>
      </c>
      <c r="AM2584">
        <v>96.604809528608101</v>
      </c>
      <c r="AN2584">
        <v>0.999999962198444</v>
      </c>
    </row>
    <row r="2585" spans="1:40" x14ac:dyDescent="0.25">
      <c r="A2585" t="str">
        <f>"20190304155107998"</f>
        <v>20190304155107998</v>
      </c>
      <c r="B2585" t="str">
        <f>"1551685867988994"</f>
        <v>1551685867988994</v>
      </c>
      <c r="C2585" t="s">
        <v>40</v>
      </c>
      <c r="D2585">
        <v>4.994491</v>
      </c>
      <c r="E2585">
        <v>0.53953649999999997</v>
      </c>
      <c r="F2585" t="s">
        <v>52</v>
      </c>
      <c r="G2585">
        <v>-1088.355</v>
      </c>
      <c r="H2585">
        <v>-0.1</v>
      </c>
      <c r="I2585">
        <v>264.39280000000002</v>
      </c>
      <c r="J2585">
        <v>-439.72390000000001</v>
      </c>
      <c r="K2585">
        <v>1.110498</v>
      </c>
      <c r="L2585">
        <v>285.505</v>
      </c>
      <c r="M2585">
        <v>-0.99991509999999995</v>
      </c>
      <c r="N2585">
        <v>-1.2954780000000001E-2</v>
      </c>
      <c r="O2585">
        <v>-1.4433569999999999E-3</v>
      </c>
      <c r="P2585">
        <v>-0.97416259999999999</v>
      </c>
      <c r="Q2585">
        <v>0.19477179999999999</v>
      </c>
      <c r="R2585">
        <v>-0.1143311</v>
      </c>
      <c r="S2585">
        <v>-3.069061</v>
      </c>
      <c r="T2585">
        <v>-5.7251450000000001E-3</v>
      </c>
      <c r="U2585">
        <v>-9.9853520000000001E-2</v>
      </c>
      <c r="V2585">
        <v>-0.1128758</v>
      </c>
      <c r="W2585">
        <v>0.20740430000000001</v>
      </c>
      <c r="X2585">
        <v>0.97172139999999996</v>
      </c>
      <c r="Y2585">
        <v>-3.1075229999999999E-2</v>
      </c>
      <c r="Z2585">
        <v>-2.4632890000000001E-4</v>
      </c>
      <c r="AA2585">
        <v>0.99951699999999999</v>
      </c>
      <c r="AB2585">
        <v>28</v>
      </c>
      <c r="AC2585">
        <v>-648.63109999999995</v>
      </c>
      <c r="AD2585">
        <v>-1.2104979999999901</v>
      </c>
      <c r="AE2585">
        <v>-21.112199999999898</v>
      </c>
      <c r="AF2585">
        <v>-20.175823056518499</v>
      </c>
      <c r="AG2585">
        <v>-1.2104979999999901</v>
      </c>
      <c r="AH2585">
        <v>648.658642464987</v>
      </c>
      <c r="AI2585">
        <v>90.106871035611107</v>
      </c>
      <c r="AJ2585">
        <v>91.781548662470797</v>
      </c>
      <c r="AK2585">
        <v>648.97346909248597</v>
      </c>
      <c r="AL2585">
        <v>78.029718999085205</v>
      </c>
      <c r="AM2585">
        <v>96.625820699836197</v>
      </c>
      <c r="AN2585">
        <v>0.999999984551044</v>
      </c>
    </row>
    <row r="2586" spans="1:40" x14ac:dyDescent="0.25">
      <c r="A2586" t="str">
        <f>"20190304155108013"</f>
        <v>20190304155108013</v>
      </c>
      <c r="B2586" t="str">
        <f>"1551685868009490"</f>
        <v>1551685868009490</v>
      </c>
      <c r="C2586" t="s">
        <v>40</v>
      </c>
      <c r="D2586">
        <v>5.0478300000000003</v>
      </c>
      <c r="E2586">
        <v>0.54241300000000003</v>
      </c>
      <c r="F2586" t="s">
        <v>52</v>
      </c>
      <c r="G2586">
        <v>-745.25429999999994</v>
      </c>
      <c r="H2586">
        <v>-0.1</v>
      </c>
      <c r="I2586">
        <v>283.22199999999998</v>
      </c>
      <c r="J2586">
        <v>-439.90179999999998</v>
      </c>
      <c r="K2586">
        <v>1.1104969999999901</v>
      </c>
      <c r="L2586">
        <v>285.50490000000002</v>
      </c>
      <c r="M2586">
        <v>-0.9999152</v>
      </c>
      <c r="N2586">
        <v>-1.2949850000000001E-2</v>
      </c>
      <c r="O2586">
        <v>-1.37801E-3</v>
      </c>
      <c r="P2586">
        <v>-0.9741128</v>
      </c>
      <c r="Q2586">
        <v>0.19476299999999999</v>
      </c>
      <c r="R2586">
        <v>-0.1147671</v>
      </c>
      <c r="S2586">
        <v>-3.0793759999999999</v>
      </c>
      <c r="T2586">
        <v>-1.220036E-2</v>
      </c>
      <c r="U2586">
        <v>-2.3010249999999999E-2</v>
      </c>
      <c r="V2586">
        <v>-0.11337560000000001</v>
      </c>
      <c r="W2586">
        <v>0.2073903</v>
      </c>
      <c r="X2586">
        <v>0.97166620000000004</v>
      </c>
      <c r="Y2586">
        <v>-6.0939230000000002E-3</v>
      </c>
      <c r="Z2586" s="1">
        <v>-6.391848E-5</v>
      </c>
      <c r="AA2586">
        <v>0.99998140000000002</v>
      </c>
      <c r="AB2586">
        <v>28</v>
      </c>
      <c r="AC2586">
        <v>-305.35250000000002</v>
      </c>
      <c r="AD2586">
        <v>-1.2104969999999999</v>
      </c>
      <c r="AE2586">
        <v>-2.2829000000000401</v>
      </c>
      <c r="AF2586">
        <v>-1.86205448691107</v>
      </c>
      <c r="AG2586">
        <v>-1.2104969999999999</v>
      </c>
      <c r="AH2586">
        <v>305.350557728083</v>
      </c>
      <c r="AI2586">
        <v>90.227131454737602</v>
      </c>
      <c r="AJ2586">
        <v>90.349390358711304</v>
      </c>
      <c r="AK2586">
        <v>305.358634485339</v>
      </c>
      <c r="AL2586">
        <v>78.030538958635503</v>
      </c>
      <c r="AM2586">
        <v>96.655271098644803</v>
      </c>
      <c r="AN2586">
        <v>0.99999998371594401</v>
      </c>
    </row>
    <row r="2587" spans="1:40" x14ac:dyDescent="0.25">
      <c r="A2587" t="str">
        <f>"20190304155108032"</f>
        <v>20190304155108032</v>
      </c>
      <c r="B2587" t="str">
        <f>"1551685868029009"</f>
        <v>1551685868029009</v>
      </c>
      <c r="C2587" t="s">
        <v>40</v>
      </c>
      <c r="D2587">
        <v>5.0607309999999996</v>
      </c>
      <c r="E2587">
        <v>0.54499919999999902</v>
      </c>
      <c r="F2587" t="s">
        <v>52</v>
      </c>
      <c r="G2587">
        <v>-832.62030000000004</v>
      </c>
      <c r="H2587">
        <v>-0.1</v>
      </c>
      <c r="I2587">
        <v>285.30650000000003</v>
      </c>
      <c r="J2587">
        <v>-440.1456</v>
      </c>
      <c r="K2587">
        <v>1.1104969999999901</v>
      </c>
      <c r="L2587">
        <v>285.50459999999998</v>
      </c>
      <c r="M2587">
        <v>-0.99991549999999996</v>
      </c>
      <c r="N2587">
        <v>-1.2943720000000001E-2</v>
      </c>
      <c r="O2587">
        <v>-1.2890499999999999E-3</v>
      </c>
      <c r="P2587">
        <v>-0.97405240000000004</v>
      </c>
      <c r="Q2587">
        <v>0.1946997</v>
      </c>
      <c r="R2587">
        <v>-0.1153869</v>
      </c>
      <c r="S2587">
        <v>-3.0814509999999999</v>
      </c>
      <c r="T2587">
        <v>-9.4981189999999993E-3</v>
      </c>
      <c r="U2587">
        <v>-1.556396E-3</v>
      </c>
      <c r="V2587">
        <v>-0.114083</v>
      </c>
      <c r="W2587">
        <v>0.2073198</v>
      </c>
      <c r="X2587">
        <v>0.97159839999999997</v>
      </c>
      <c r="Y2587">
        <v>7.8399009999999996E-4</v>
      </c>
      <c r="Z2587" s="1">
        <v>-6.4302179999999999E-6</v>
      </c>
      <c r="AA2587">
        <v>0.99999970000000005</v>
      </c>
      <c r="AB2587">
        <v>28</v>
      </c>
      <c r="AC2587">
        <v>-392.47469999999998</v>
      </c>
      <c r="AD2587">
        <v>-1.2104969999999999</v>
      </c>
      <c r="AE2587">
        <v>-0.19809999999995401</v>
      </c>
      <c r="AF2587">
        <v>0.30785908145157098</v>
      </c>
      <c r="AG2587">
        <v>-1.2104969999999999</v>
      </c>
      <c r="AH2587">
        <v>392.47089579015699</v>
      </c>
      <c r="AI2587">
        <v>90.176716614389804</v>
      </c>
      <c r="AJ2587">
        <v>89.955056482854204</v>
      </c>
      <c r="AK2587">
        <v>392.47288329581301</v>
      </c>
      <c r="AL2587">
        <v>78.034667530673801</v>
      </c>
      <c r="AM2587">
        <v>96.696883330913195</v>
      </c>
      <c r="AN2587">
        <v>0.99999994062179798</v>
      </c>
    </row>
    <row r="2588" spans="1:40" x14ac:dyDescent="0.25">
      <c r="A2588" t="str">
        <f>"20190304155108055"</f>
        <v>20190304155108055</v>
      </c>
      <c r="B2588" t="str">
        <f>"1551685868049506"</f>
        <v>1551685868049506</v>
      </c>
      <c r="C2588" t="s">
        <v>40</v>
      </c>
      <c r="D2588">
        <v>5.109699</v>
      </c>
      <c r="E2588">
        <v>0.5467168</v>
      </c>
      <c r="F2588" t="s">
        <v>52</v>
      </c>
      <c r="G2588">
        <v>-575.08010000000002</v>
      </c>
      <c r="H2588">
        <v>-0.1</v>
      </c>
      <c r="I2588">
        <v>286.26749999999998</v>
      </c>
      <c r="J2588">
        <v>-440.42689999999999</v>
      </c>
      <c r="K2588">
        <v>1.1105</v>
      </c>
      <c r="L2588">
        <v>285.50439999999998</v>
      </c>
      <c r="M2588">
        <v>-0.99991560000000002</v>
      </c>
      <c r="N2588">
        <v>-1.2937479999999999E-2</v>
      </c>
      <c r="O2588">
        <v>-1.1864989999999999E-3</v>
      </c>
      <c r="P2588">
        <v>-0.97402739999999999</v>
      </c>
      <c r="Q2588">
        <v>0.19470100000000001</v>
      </c>
      <c r="R2588">
        <v>-0.1155949</v>
      </c>
      <c r="S2588">
        <v>-3.087494</v>
      </c>
      <c r="T2588">
        <v>-2.7697920000000001E-2</v>
      </c>
      <c r="U2588">
        <v>1.7456050000000001E-2</v>
      </c>
      <c r="V2588">
        <v>-0.1143907</v>
      </c>
      <c r="W2588">
        <v>0.20731469999999999</v>
      </c>
      <c r="X2588">
        <v>0.97156330000000002</v>
      </c>
      <c r="Y2588">
        <v>6.839599E-3</v>
      </c>
      <c r="Z2588" s="1">
        <v>7.0218969999999998E-5</v>
      </c>
      <c r="AA2588">
        <v>0.99997659999999999</v>
      </c>
      <c r="AB2588">
        <v>28</v>
      </c>
      <c r="AC2588">
        <v>-134.6532</v>
      </c>
      <c r="AD2588">
        <v>-1.2104999999999999</v>
      </c>
      <c r="AE2588">
        <v>0.76310000000000799</v>
      </c>
      <c r="AF2588">
        <v>0.92280414805894595</v>
      </c>
      <c r="AG2588">
        <v>-1.2104999999999999</v>
      </c>
      <c r="AH2588">
        <v>134.64131891460801</v>
      </c>
      <c r="AI2588">
        <v>90.515094803337504</v>
      </c>
      <c r="AJ2588">
        <v>89.607312557844196</v>
      </c>
      <c r="AK2588">
        <v>134.64992252805399</v>
      </c>
      <c r="AL2588">
        <v>78.034966117931006</v>
      </c>
      <c r="AM2588">
        <v>96.715021545942307</v>
      </c>
      <c r="AN2588">
        <v>0.99999993149473199</v>
      </c>
    </row>
    <row r="2589" spans="1:40" x14ac:dyDescent="0.25">
      <c r="A2589" t="str">
        <f>"20190304155108077"</f>
        <v>20190304155108077</v>
      </c>
      <c r="B2589" t="str">
        <f>"1551685868069030"</f>
        <v>1551685868069030</v>
      </c>
      <c r="C2589" t="s">
        <v>40</v>
      </c>
      <c r="D2589">
        <v>5.070614</v>
      </c>
      <c r="E2589">
        <v>0.54779290000000003</v>
      </c>
      <c r="F2589" t="s">
        <v>52</v>
      </c>
      <c r="G2589">
        <v>-586.03120000000001</v>
      </c>
      <c r="H2589">
        <v>-0.1</v>
      </c>
      <c r="I2589">
        <v>286.89269999999999</v>
      </c>
      <c r="J2589">
        <v>-440.70049999999998</v>
      </c>
      <c r="K2589">
        <v>1.1105039999999999</v>
      </c>
      <c r="L2589">
        <v>285.50420000000003</v>
      </c>
      <c r="M2589">
        <v>-0.99991580000000002</v>
      </c>
      <c r="N2589">
        <v>-1.293208E-2</v>
      </c>
      <c r="O2589">
        <v>-1.0864570000000001E-3</v>
      </c>
      <c r="P2589">
        <v>-0.97411429999999999</v>
      </c>
      <c r="Q2589">
        <v>0.19438530000000001</v>
      </c>
      <c r="R2589">
        <v>-0.11539480000000001</v>
      </c>
      <c r="S2589">
        <v>-3.088654</v>
      </c>
      <c r="T2589">
        <v>-2.567792E-2</v>
      </c>
      <c r="U2589">
        <v>2.944946E-2</v>
      </c>
      <c r="V2589">
        <v>-0.114287899999999</v>
      </c>
      <c r="W2589">
        <v>0.2069947</v>
      </c>
      <c r="X2589">
        <v>0.9716437</v>
      </c>
      <c r="Y2589">
        <v>1.061984E-2</v>
      </c>
      <c r="Z2589">
        <v>1.0780020000000001E-4</v>
      </c>
      <c r="AA2589">
        <v>0.99994360000000004</v>
      </c>
      <c r="AB2589">
        <v>28</v>
      </c>
      <c r="AC2589">
        <v>-145.33070000000001</v>
      </c>
      <c r="AD2589">
        <v>-1.210504</v>
      </c>
      <c r="AE2589">
        <v>1.3884999999999601</v>
      </c>
      <c r="AF2589">
        <v>1.5463006709642</v>
      </c>
      <c r="AG2589">
        <v>-1.210504</v>
      </c>
      <c r="AH2589">
        <v>145.31902461147601</v>
      </c>
      <c r="AI2589">
        <v>90.477234419158506</v>
      </c>
      <c r="AJ2589">
        <v>89.390354022921997</v>
      </c>
      <c r="AK2589">
        <v>145.33229262531401</v>
      </c>
      <c r="AL2589">
        <v>78.0537081877942</v>
      </c>
      <c r="AM2589">
        <v>96.708491873246899</v>
      </c>
      <c r="AN2589">
        <v>1.0000000048320901</v>
      </c>
    </row>
    <row r="2590" spans="1:40" x14ac:dyDescent="0.25">
      <c r="A2590" t="str">
        <f>"20190304155108098"</f>
        <v>20190304155108098</v>
      </c>
      <c r="B2590" t="str">
        <f>"1551685868089522"</f>
        <v>1551685868089522</v>
      </c>
      <c r="C2590" t="s">
        <v>40</v>
      </c>
      <c r="D2590">
        <v>5.0850710000000001</v>
      </c>
      <c r="E2590">
        <v>0.54878509999999903</v>
      </c>
      <c r="F2590" t="s">
        <v>52</v>
      </c>
      <c r="G2590">
        <v>-580.50049999999999</v>
      </c>
      <c r="H2590">
        <v>-0.1</v>
      </c>
      <c r="I2590">
        <v>287.23439999999999</v>
      </c>
      <c r="J2590">
        <v>-440.97160000000002</v>
      </c>
      <c r="K2590">
        <v>1.1104940000000001</v>
      </c>
      <c r="L2590">
        <v>285.50409999999999</v>
      </c>
      <c r="M2590">
        <v>-0.99991600000000003</v>
      </c>
      <c r="N2590">
        <v>-1.2927289999999999E-2</v>
      </c>
      <c r="O2590">
        <v>-9.8725039999999998E-4</v>
      </c>
      <c r="P2590">
        <v>-0.97419820000000001</v>
      </c>
      <c r="Q2590">
        <v>0.1937585</v>
      </c>
      <c r="R2590">
        <v>-0.11574</v>
      </c>
      <c r="S2590">
        <v>-3.0896300000000001</v>
      </c>
      <c r="T2590">
        <v>-2.675259E-2</v>
      </c>
      <c r="U2590">
        <v>3.823853E-2</v>
      </c>
      <c r="V2590">
        <v>-0.1147302</v>
      </c>
      <c r="W2590">
        <v>0.20636399999999999</v>
      </c>
      <c r="X2590">
        <v>0.97172570000000003</v>
      </c>
      <c r="Y2590">
        <v>1.336146E-2</v>
      </c>
      <c r="Z2590">
        <v>1.400041E-4</v>
      </c>
      <c r="AA2590">
        <v>0.99991070000000004</v>
      </c>
      <c r="AB2590">
        <v>28</v>
      </c>
      <c r="AC2590">
        <v>-139.528899999999</v>
      </c>
      <c r="AD2590">
        <v>-1.210494</v>
      </c>
      <c r="AE2590">
        <v>1.73029999999999</v>
      </c>
      <c r="AF2590">
        <v>1.86792005514744</v>
      </c>
      <c r="AG2590">
        <v>-1.210494</v>
      </c>
      <c r="AH2590">
        <v>139.516624411913</v>
      </c>
      <c r="AI2590">
        <v>90.497060780529594</v>
      </c>
      <c r="AJ2590">
        <v>89.232940576037805</v>
      </c>
      <c r="AK2590">
        <v>139.53437894781001</v>
      </c>
      <c r="AL2590">
        <v>78.090641757876</v>
      </c>
      <c r="AM2590">
        <v>96.733653036877797</v>
      </c>
      <c r="AN2590">
        <v>0.99999997766426396</v>
      </c>
    </row>
    <row r="2591" spans="1:40" x14ac:dyDescent="0.25">
      <c r="A2591" t="str">
        <f>"20190304155108113"</f>
        <v>20190304155108113</v>
      </c>
      <c r="B2591" t="str">
        <f>"1551685868109041"</f>
        <v>1551685868109041</v>
      </c>
      <c r="C2591" t="s">
        <v>40</v>
      </c>
      <c r="D2591">
        <v>5.0923429999999996</v>
      </c>
      <c r="E2591">
        <v>0.54911219999999905</v>
      </c>
      <c r="F2591" t="s">
        <v>52</v>
      </c>
      <c r="G2591">
        <v>-578.97149999999999</v>
      </c>
      <c r="H2591">
        <v>-0.1</v>
      </c>
      <c r="I2591">
        <v>287.52780000000001</v>
      </c>
      <c r="J2591">
        <v>-441.15199999999999</v>
      </c>
      <c r="K2591">
        <v>1.1104909999999999</v>
      </c>
      <c r="L2591">
        <v>285.50389999999999</v>
      </c>
      <c r="M2591">
        <v>-0.99991609999999997</v>
      </c>
      <c r="N2591">
        <v>-1.2924369999999999E-2</v>
      </c>
      <c r="O2591">
        <v>-9.2131050000000001E-4</v>
      </c>
      <c r="P2591">
        <v>-0.97422969999999998</v>
      </c>
      <c r="Q2591">
        <v>0.19354469999999999</v>
      </c>
      <c r="R2591">
        <v>-0.115832199999999</v>
      </c>
      <c r="S2591">
        <v>-3.0902099999999999</v>
      </c>
      <c r="T2591">
        <v>-2.7106399999999999E-2</v>
      </c>
      <c r="U2591">
        <v>4.5318600000000001E-2</v>
      </c>
      <c r="V2591">
        <v>-0.11488660000000001</v>
      </c>
      <c r="W2591">
        <v>0.2061479</v>
      </c>
      <c r="X2591">
        <v>0.97175310000000004</v>
      </c>
      <c r="Y2591">
        <v>1.558344E-2</v>
      </c>
      <c r="Z2591">
        <v>1.65232599999999E-4</v>
      </c>
      <c r="AA2591">
        <v>0.99987859999999995</v>
      </c>
      <c r="AB2591">
        <v>28</v>
      </c>
      <c r="AC2591">
        <v>-137.81950000000001</v>
      </c>
      <c r="AD2591">
        <v>-1.210491</v>
      </c>
      <c r="AE2591">
        <v>2.0239000000000198</v>
      </c>
      <c r="AF2591">
        <v>2.1507184144014602</v>
      </c>
      <c r="AG2591">
        <v>-1.210491</v>
      </c>
      <c r="AH2591">
        <v>137.80694802456799</v>
      </c>
      <c r="AI2591">
        <v>90.503209731978501</v>
      </c>
      <c r="AJ2591">
        <v>89.105871754202198</v>
      </c>
      <c r="AK2591">
        <v>137.82904556734499</v>
      </c>
      <c r="AL2591">
        <v>78.103295573072103</v>
      </c>
      <c r="AM2591">
        <v>96.742559508946599</v>
      </c>
      <c r="AN2591">
        <v>0.99999998744678997</v>
      </c>
    </row>
    <row r="2592" spans="1:40" x14ac:dyDescent="0.25">
      <c r="A2592" t="str">
        <f>"20190304155108126"</f>
        <v>20190304155108126</v>
      </c>
      <c r="B2592" t="str">
        <f>"1551685868118801"</f>
        <v>1551685868118801</v>
      </c>
      <c r="C2592" t="s">
        <v>40</v>
      </c>
      <c r="D2592">
        <v>5.0278099999999997</v>
      </c>
      <c r="E2592">
        <v>0.54915509999999901</v>
      </c>
      <c r="F2592" t="s">
        <v>52</v>
      </c>
      <c r="G2592">
        <v>-586.74509999999998</v>
      </c>
      <c r="H2592">
        <v>-0.1</v>
      </c>
      <c r="I2592">
        <v>287.7441</v>
      </c>
      <c r="J2592">
        <v>-441.32339999999999</v>
      </c>
      <c r="K2592">
        <v>1.1104889999999901</v>
      </c>
      <c r="L2592">
        <v>285.50380000000001</v>
      </c>
      <c r="M2592">
        <v>-0.99991609999999997</v>
      </c>
      <c r="N2592">
        <v>-1.2921729999999999E-2</v>
      </c>
      <c r="O2592">
        <v>-8.5847309999999896E-4</v>
      </c>
      <c r="P2592">
        <v>-0.97423079999999995</v>
      </c>
      <c r="Q2592">
        <v>0.19335350000000001</v>
      </c>
      <c r="R2592">
        <v>-0.1161416</v>
      </c>
      <c r="S2592">
        <v>-3.0901179999999999</v>
      </c>
      <c r="T2592">
        <v>-2.5691869999999999E-2</v>
      </c>
      <c r="U2592">
        <v>4.7546390000000001E-2</v>
      </c>
      <c r="V2592">
        <v>-0.1152575</v>
      </c>
      <c r="W2592">
        <v>0.20595430000000001</v>
      </c>
      <c r="X2592">
        <v>0.97175029999999996</v>
      </c>
      <c r="Y2592">
        <v>1.6241769999999999E-2</v>
      </c>
      <c r="Z2592">
        <v>1.6850869999999999E-4</v>
      </c>
      <c r="AA2592">
        <v>0.99986810000000004</v>
      </c>
      <c r="AB2592">
        <v>28</v>
      </c>
      <c r="AC2592">
        <v>-145.42169999999999</v>
      </c>
      <c r="AD2592">
        <v>-1.2104889999999999</v>
      </c>
      <c r="AE2592">
        <v>2.2402999999999902</v>
      </c>
      <c r="AF2592">
        <v>2.3649863926665899</v>
      </c>
      <c r="AG2592">
        <v>-1.2104889999999999</v>
      </c>
      <c r="AH2592">
        <v>145.40965013226301</v>
      </c>
      <c r="AI2592">
        <v>90.476895019715897</v>
      </c>
      <c r="AJ2592">
        <v>89.068206322460895</v>
      </c>
      <c r="AK2592">
        <v>145.433919000499</v>
      </c>
      <c r="AL2592">
        <v>78.114632104487697</v>
      </c>
      <c r="AM2592">
        <v>96.764145131377404</v>
      </c>
      <c r="AN2592">
        <v>1.00000005527241</v>
      </c>
    </row>
    <row r="2593" spans="1:40" x14ac:dyDescent="0.25">
      <c r="A2593" t="str">
        <f>"20190304155108144"</f>
        <v>20190304155108144</v>
      </c>
      <c r="B2593" t="str">
        <f>"1551685868139297"</f>
        <v>1551685868139297</v>
      </c>
      <c r="C2593" t="s">
        <v>40</v>
      </c>
      <c r="D2593">
        <v>5.0794649999999999</v>
      </c>
      <c r="E2593">
        <v>0.54965369999999902</v>
      </c>
      <c r="F2593" t="s">
        <v>52</v>
      </c>
      <c r="G2593">
        <v>-594.44359999999995</v>
      </c>
      <c r="H2593">
        <v>-0.1</v>
      </c>
      <c r="I2593">
        <v>287.82229999999998</v>
      </c>
      <c r="J2593">
        <v>-441.52859999999998</v>
      </c>
      <c r="K2593">
        <v>1.1104889999999901</v>
      </c>
      <c r="L2593">
        <v>285.50380000000001</v>
      </c>
      <c r="M2593">
        <v>-0.99991629999999998</v>
      </c>
      <c r="N2593">
        <v>-1.291865E-2</v>
      </c>
      <c r="O2593">
        <v>-7.831181E-4</v>
      </c>
      <c r="P2593">
        <v>-0.97435380000000005</v>
      </c>
      <c r="Q2593">
        <v>0.19275139999999999</v>
      </c>
      <c r="R2593">
        <v>-0.11611059999999999</v>
      </c>
      <c r="S2593">
        <v>-3.0898129999999999</v>
      </c>
      <c r="T2593">
        <v>-2.4426460000000001E-2</v>
      </c>
      <c r="U2593">
        <v>4.6783449999999997E-2</v>
      </c>
      <c r="V2593">
        <v>-0.11529979999999999</v>
      </c>
      <c r="W2593">
        <v>0.20535039999999999</v>
      </c>
      <c r="X2593">
        <v>0.97187299999999999</v>
      </c>
      <c r="Y2593">
        <v>1.5921230000000001E-2</v>
      </c>
      <c r="Z2593">
        <v>1.6185639999999999E-4</v>
      </c>
      <c r="AA2593">
        <v>0.99987320000000002</v>
      </c>
      <c r="AB2593">
        <v>28</v>
      </c>
      <c r="AC2593">
        <v>-152.914999999999</v>
      </c>
      <c r="AD2593">
        <v>-1.2104889999999999</v>
      </c>
      <c r="AE2593">
        <v>2.31849999999997</v>
      </c>
      <c r="AF2593">
        <v>2.4381070328104602</v>
      </c>
      <c r="AG2593">
        <v>-1.2104889999999999</v>
      </c>
      <c r="AH2593">
        <v>152.90355787059201</v>
      </c>
      <c r="AI2593">
        <v>90.453525399312696</v>
      </c>
      <c r="AJ2593">
        <v>89.086473804312206</v>
      </c>
      <c r="AK2593">
        <v>152.927785765073</v>
      </c>
      <c r="AL2593">
        <v>78.149987856889695</v>
      </c>
      <c r="AM2593">
        <v>96.765758216308797</v>
      </c>
      <c r="AN2593">
        <v>0.99999997939459895</v>
      </c>
    </row>
    <row r="2594" spans="1:40" x14ac:dyDescent="0.25">
      <c r="A2594" t="str">
        <f>"20190304155108166"</f>
        <v>20190304155108166</v>
      </c>
      <c r="B2594" t="str">
        <f>"1551685868158817"</f>
        <v>1551685868158817</v>
      </c>
      <c r="C2594" t="s">
        <v>40</v>
      </c>
      <c r="D2594">
        <v>5.0569050000000004</v>
      </c>
      <c r="E2594">
        <v>0.54989909999999997</v>
      </c>
      <c r="F2594" t="s">
        <v>52</v>
      </c>
      <c r="G2594">
        <v>-589.98749999999995</v>
      </c>
      <c r="H2594">
        <v>-0.1</v>
      </c>
      <c r="I2594">
        <v>287.94069999999999</v>
      </c>
      <c r="J2594">
        <v>-441.81439999999998</v>
      </c>
      <c r="K2594">
        <v>1.110493</v>
      </c>
      <c r="L2594">
        <v>285.50369999999998</v>
      </c>
      <c r="M2594">
        <v>-0.99991660000000004</v>
      </c>
      <c r="N2594">
        <v>-1.291467E-2</v>
      </c>
      <c r="O2594">
        <v>-6.7951489999999997E-4</v>
      </c>
      <c r="P2594">
        <v>-0.97443210000000002</v>
      </c>
      <c r="Q2594">
        <v>0.19234299999999999</v>
      </c>
      <c r="R2594">
        <v>-0.1161325</v>
      </c>
      <c r="S2594">
        <v>-3.0899350000000001</v>
      </c>
      <c r="T2594">
        <v>-2.519441E-2</v>
      </c>
      <c r="U2594">
        <v>5.0720210000000002E-2</v>
      </c>
      <c r="V2594">
        <v>-0.1154226</v>
      </c>
      <c r="W2594">
        <v>0.20493929999999999</v>
      </c>
      <c r="X2594">
        <v>0.97194519999999995</v>
      </c>
      <c r="Y2594">
        <v>1.709045E-2</v>
      </c>
      <c r="Z2594">
        <v>1.7680939999999999E-4</v>
      </c>
      <c r="AA2594">
        <v>0.99985389999999996</v>
      </c>
      <c r="AB2594">
        <v>28</v>
      </c>
      <c r="AC2594">
        <v>-148.17309999999901</v>
      </c>
      <c r="AD2594">
        <v>-1.210493</v>
      </c>
      <c r="AE2594">
        <v>2.43700000000001</v>
      </c>
      <c r="AF2594">
        <v>2.5375243327215502</v>
      </c>
      <c r="AG2594">
        <v>-1.210493</v>
      </c>
      <c r="AH2594">
        <v>148.161524052434</v>
      </c>
      <c r="AI2594">
        <v>90.468032630688199</v>
      </c>
      <c r="AJ2594">
        <v>89.018805842878905</v>
      </c>
      <c r="AK2594">
        <v>148.18819633352101</v>
      </c>
      <c r="AL2594">
        <v>78.174054038078594</v>
      </c>
      <c r="AM2594">
        <v>96.772398734463593</v>
      </c>
      <c r="AN2594">
        <v>0.99999998253914402</v>
      </c>
    </row>
    <row r="2595" spans="1:40" x14ac:dyDescent="0.25">
      <c r="A2595" t="str">
        <f>"20190304155108189"</f>
        <v>20190304155108189</v>
      </c>
      <c r="B2595" t="str">
        <f>"1551685868179314"</f>
        <v>1551685868179314</v>
      </c>
      <c r="C2595" t="s">
        <v>40</v>
      </c>
      <c r="D2595">
        <v>5.1189260000000001</v>
      </c>
      <c r="E2595">
        <v>0.55014249999999998</v>
      </c>
      <c r="F2595" t="s">
        <v>52</v>
      </c>
      <c r="G2595">
        <v>-585.88149999999996</v>
      </c>
      <c r="H2595">
        <v>-0.1</v>
      </c>
      <c r="I2595">
        <v>287.93389999999999</v>
      </c>
      <c r="J2595">
        <v>-442.09010000000001</v>
      </c>
      <c r="K2595">
        <v>1.11049</v>
      </c>
      <c r="L2595">
        <v>285.50360000000001</v>
      </c>
      <c r="M2595">
        <v>-0.99991660000000004</v>
      </c>
      <c r="N2595">
        <v>-1.291134E-2</v>
      </c>
      <c r="O2595">
        <v>-5.8223900000000002E-4</v>
      </c>
      <c r="P2595">
        <v>-0.97451069999999995</v>
      </c>
      <c r="Q2595">
        <v>0.19179199999999999</v>
      </c>
      <c r="R2595">
        <v>-0.116383</v>
      </c>
      <c r="S2595">
        <v>-3.0900569999999998</v>
      </c>
      <c r="T2595">
        <v>-2.596354E-2</v>
      </c>
      <c r="U2595">
        <v>5.212402E-2</v>
      </c>
      <c r="V2595">
        <v>-0.1157686</v>
      </c>
      <c r="W2595">
        <v>0.20438519999999999</v>
      </c>
      <c r="X2595">
        <v>0.97202069999999996</v>
      </c>
      <c r="Y2595">
        <v>1.744654E-2</v>
      </c>
      <c r="Z2595">
        <v>1.8331010000000001E-4</v>
      </c>
      <c r="AA2595">
        <v>0.99984779999999995</v>
      </c>
      <c r="AB2595">
        <v>28</v>
      </c>
      <c r="AC2595">
        <v>-143.79139999999899</v>
      </c>
      <c r="AD2595">
        <v>-1.2104900000000001</v>
      </c>
      <c r="AE2595">
        <v>2.4302999999999799</v>
      </c>
      <c r="AF2595">
        <v>2.5138494144207799</v>
      </c>
      <c r="AG2595">
        <v>-1.2104900000000001</v>
      </c>
      <c r="AH2595">
        <v>143.77977386441799</v>
      </c>
      <c r="AI2595">
        <v>90.482291285576395</v>
      </c>
      <c r="AJ2595">
        <v>88.998341115288298</v>
      </c>
      <c r="AK2595">
        <v>143.80684301319499</v>
      </c>
      <c r="AL2595">
        <v>78.206487905272994</v>
      </c>
      <c r="AM2595">
        <v>96.791988145244304</v>
      </c>
      <c r="AN2595">
        <v>0.99999995997674396</v>
      </c>
    </row>
    <row r="2596" spans="1:40" x14ac:dyDescent="0.25">
      <c r="A2596" t="str">
        <f>"20190304155108203"</f>
        <v>20190304155108203</v>
      </c>
      <c r="B2596" t="str">
        <f>"1551685868198833"</f>
        <v>1551685868198833</v>
      </c>
      <c r="C2596" t="s">
        <v>40</v>
      </c>
      <c r="D2596">
        <v>5.0959399999999997</v>
      </c>
      <c r="E2596">
        <v>0.55046609999999996</v>
      </c>
      <c r="F2596" t="s">
        <v>52</v>
      </c>
      <c r="G2596">
        <v>-582.94970000000001</v>
      </c>
      <c r="H2596">
        <v>-0.1</v>
      </c>
      <c r="I2596">
        <v>287.93799999999999</v>
      </c>
      <c r="J2596">
        <v>-442.27519999999998</v>
      </c>
      <c r="K2596">
        <v>1.1104860000000001</v>
      </c>
      <c r="L2596">
        <v>285.50349999999997</v>
      </c>
      <c r="M2596">
        <v>-0.99991660000000004</v>
      </c>
      <c r="N2596">
        <v>-1.290928E-2</v>
      </c>
      <c r="O2596">
        <v>-5.1763969999999999E-4</v>
      </c>
      <c r="P2596">
        <v>-0.97455449999999999</v>
      </c>
      <c r="Q2596">
        <v>0.1916938</v>
      </c>
      <c r="R2596">
        <v>-0.116178</v>
      </c>
      <c r="S2596">
        <v>-3.0900880000000002</v>
      </c>
      <c r="T2596">
        <v>-2.6554939999999999E-2</v>
      </c>
      <c r="U2596">
        <v>5.3405759999999997E-2</v>
      </c>
      <c r="V2596">
        <v>-0.1156273</v>
      </c>
      <c r="W2596">
        <v>0.20428540000000001</v>
      </c>
      <c r="X2596">
        <v>0.97205850000000005</v>
      </c>
      <c r="Y2596">
        <v>1.7796300000000001E-2</v>
      </c>
      <c r="Z2596">
        <v>1.8911310000000001E-4</v>
      </c>
      <c r="AA2596">
        <v>0.9998416</v>
      </c>
      <c r="AB2596">
        <v>28</v>
      </c>
      <c r="AC2596">
        <v>-140.67449999999999</v>
      </c>
      <c r="AD2596">
        <v>-1.210486</v>
      </c>
      <c r="AE2596">
        <v>2.4345000000000101</v>
      </c>
      <c r="AF2596">
        <v>2.5071388610457301</v>
      </c>
      <c r="AG2596">
        <v>-1.210486</v>
      </c>
      <c r="AH2596">
        <v>140.662808758653</v>
      </c>
      <c r="AI2596">
        <v>90.4929733334491</v>
      </c>
      <c r="AJ2596">
        <v>88.978882422085505</v>
      </c>
      <c r="AK2596">
        <v>140.69035784124699</v>
      </c>
      <c r="AL2596">
        <v>78.2123292992069</v>
      </c>
      <c r="AM2596">
        <v>96.783514228216603</v>
      </c>
      <c r="AN2596">
        <v>0.99999996229034904</v>
      </c>
    </row>
    <row r="2597" spans="1:40" x14ac:dyDescent="0.25">
      <c r="A2597" t="str">
        <f>"20190304155108222"</f>
        <v>20190304155108222</v>
      </c>
      <c r="B2597" t="str">
        <f>"1551685868219330"</f>
        <v>1551685868219330</v>
      </c>
      <c r="C2597" t="s">
        <v>40</v>
      </c>
      <c r="D2597">
        <v>5.0065739999999996</v>
      </c>
      <c r="E2597">
        <v>0.55098049999999998</v>
      </c>
      <c r="F2597" t="s">
        <v>52</v>
      </c>
      <c r="G2597">
        <v>-583.49789999999996</v>
      </c>
      <c r="H2597">
        <v>-0.1</v>
      </c>
      <c r="I2597">
        <v>288.08909999999997</v>
      </c>
      <c r="J2597">
        <v>-442.50459999999998</v>
      </c>
      <c r="K2597">
        <v>1.110487</v>
      </c>
      <c r="L2597">
        <v>285.50349999999997</v>
      </c>
      <c r="M2597">
        <v>-0.99991660000000004</v>
      </c>
      <c r="N2597">
        <v>-1.2906809999999999E-2</v>
      </c>
      <c r="O2597">
        <v>-4.3956909999999999E-4</v>
      </c>
      <c r="P2597">
        <v>-0.97458069999999997</v>
      </c>
      <c r="Q2597">
        <v>0.19171840000000001</v>
      </c>
      <c r="R2597">
        <v>-0.1159176</v>
      </c>
      <c r="S2597">
        <v>-3.0903019999999999</v>
      </c>
      <c r="T2597">
        <v>-2.6488419999999999E-2</v>
      </c>
      <c r="U2597">
        <v>5.6579589999999999E-2</v>
      </c>
      <c r="V2597">
        <v>-0.1154442</v>
      </c>
      <c r="W2597">
        <v>0.2043073</v>
      </c>
      <c r="X2597">
        <v>0.97207569999999999</v>
      </c>
      <c r="Y2597">
        <v>1.87435E-2</v>
      </c>
      <c r="Z2597">
        <v>1.9939569999999999E-4</v>
      </c>
      <c r="AA2597">
        <v>0.9998243</v>
      </c>
      <c r="AB2597">
        <v>28</v>
      </c>
      <c r="AC2597">
        <v>-140.99329999999901</v>
      </c>
      <c r="AD2597">
        <v>-1.2104870000000001</v>
      </c>
      <c r="AE2597">
        <v>2.5855999999999901</v>
      </c>
      <c r="AF2597">
        <v>2.6473861395788698</v>
      </c>
      <c r="AG2597">
        <v>-1.2104870000000001</v>
      </c>
      <c r="AH2597">
        <v>140.98176153388599</v>
      </c>
      <c r="AI2597">
        <v>90.491849918750404</v>
      </c>
      <c r="AJ2597">
        <v>88.924213844089095</v>
      </c>
      <c r="AK2597">
        <v>141.01181162351901</v>
      </c>
      <c r="AL2597">
        <v>78.211047953944302</v>
      </c>
      <c r="AM2597">
        <v>96.772753428072704</v>
      </c>
      <c r="AN2597">
        <v>1.00000000133871</v>
      </c>
    </row>
    <row r="2598" spans="1:40" x14ac:dyDescent="0.25">
      <c r="A2598" t="str">
        <f>"20190304155108245"</f>
        <v>20190304155108245</v>
      </c>
      <c r="B2598" t="str">
        <f>"1551685868238849"</f>
        <v>1551685868238849</v>
      </c>
      <c r="C2598" t="s">
        <v>40</v>
      </c>
      <c r="D2598">
        <v>5.3445739999999997</v>
      </c>
      <c r="E2598">
        <v>0.55156090000000002</v>
      </c>
      <c r="F2598" t="s">
        <v>52</v>
      </c>
      <c r="G2598">
        <v>-572.31619999999998</v>
      </c>
      <c r="H2598">
        <v>-0.1</v>
      </c>
      <c r="I2598">
        <v>288.08580000000001</v>
      </c>
      <c r="J2598">
        <v>-442.78809999999999</v>
      </c>
      <c r="K2598">
        <v>1.1104940000000001</v>
      </c>
      <c r="L2598">
        <v>285.50349999999997</v>
      </c>
      <c r="M2598">
        <v>-0.9999169</v>
      </c>
      <c r="N2598">
        <v>-1.2903909999999999E-2</v>
      </c>
      <c r="O2598">
        <v>-3.4553390000000001E-4</v>
      </c>
      <c r="P2598">
        <v>-0.97459269999999998</v>
      </c>
      <c r="Q2598">
        <v>0.19178149999999999</v>
      </c>
      <c r="R2598">
        <v>-0.1157118</v>
      </c>
      <c r="S2598">
        <v>-3.0912480000000002</v>
      </c>
      <c r="T2598">
        <v>-2.8825759999999999E-2</v>
      </c>
      <c r="U2598">
        <v>6.149292E-2</v>
      </c>
      <c r="V2598">
        <v>-0.115331</v>
      </c>
      <c r="W2598">
        <v>0.20436699999999999</v>
      </c>
      <c r="X2598">
        <v>0.97207659999999996</v>
      </c>
      <c r="Y2598">
        <v>2.0232050000000001E-2</v>
      </c>
      <c r="Z2598">
        <v>2.236447E-4</v>
      </c>
      <c r="AA2598">
        <v>0.99979530000000005</v>
      </c>
      <c r="AB2598">
        <v>28</v>
      </c>
      <c r="AC2598">
        <v>-129.52809999999999</v>
      </c>
      <c r="AD2598">
        <v>-1.210494</v>
      </c>
      <c r="AE2598">
        <v>2.5823000000000298</v>
      </c>
      <c r="AF2598">
        <v>2.62683058442187</v>
      </c>
      <c r="AG2598">
        <v>-1.210494</v>
      </c>
      <c r="AH2598">
        <v>129.51589290993601</v>
      </c>
      <c r="AI2598">
        <v>90.535377682016701</v>
      </c>
      <c r="AJ2598">
        <v>88.8380910600048</v>
      </c>
      <c r="AK2598">
        <v>129.54818428253401</v>
      </c>
      <c r="AL2598">
        <v>78.207553811071605</v>
      </c>
      <c r="AM2598">
        <v>96.766167729520504</v>
      </c>
      <c r="AN2598">
        <v>1.0000000132587801</v>
      </c>
    </row>
    <row r="2599" spans="1:40" x14ac:dyDescent="0.25">
      <c r="A2599" t="str">
        <f>"20190304155108267"</f>
        <v>20190304155108267</v>
      </c>
      <c r="B2599" t="str">
        <f>"1551685868259353"</f>
        <v>1551685868259353</v>
      </c>
      <c r="C2599" t="s">
        <v>40</v>
      </c>
      <c r="D2599">
        <v>5.52752</v>
      </c>
      <c r="E2599">
        <v>0.58183469999999904</v>
      </c>
      <c r="F2599" t="s">
        <v>52</v>
      </c>
      <c r="G2599">
        <v>-588.58280000000002</v>
      </c>
      <c r="H2599">
        <v>-0.1</v>
      </c>
      <c r="I2599">
        <v>288.65140000000002</v>
      </c>
      <c r="J2599">
        <v>-443.05959999999999</v>
      </c>
      <c r="K2599">
        <v>1.1105</v>
      </c>
      <c r="L2599">
        <v>285.50360000000001</v>
      </c>
      <c r="M2599">
        <v>-0.99991680000000005</v>
      </c>
      <c r="N2599">
        <v>-1.2901299999999999E-2</v>
      </c>
      <c r="O2599">
        <v>-2.5758660000000001E-4</v>
      </c>
      <c r="P2599">
        <v>-0.97461609999999999</v>
      </c>
      <c r="Q2599">
        <v>0.1919014</v>
      </c>
      <c r="R2599">
        <v>-0.11531379999999999</v>
      </c>
      <c r="S2599">
        <v>-3.0911870000000001</v>
      </c>
      <c r="T2599">
        <v>-2.5665279999999999E-2</v>
      </c>
      <c r="U2599">
        <v>6.674194E-2</v>
      </c>
      <c r="V2599">
        <v>-0.11502030000000001</v>
      </c>
      <c r="W2599">
        <v>0.20448369999999999</v>
      </c>
      <c r="X2599">
        <v>0.97208890000000003</v>
      </c>
      <c r="Y2599">
        <v>2.1841639999999999E-2</v>
      </c>
      <c r="Z2599">
        <v>2.303971E-4</v>
      </c>
      <c r="AA2599">
        <v>0.99976140000000002</v>
      </c>
      <c r="AB2599">
        <v>28</v>
      </c>
      <c r="AC2599">
        <v>-145.5232</v>
      </c>
      <c r="AD2599">
        <v>-1.2104999999999999</v>
      </c>
      <c r="AE2599">
        <v>3.1478000000000099</v>
      </c>
      <c r="AF2599">
        <v>3.1850675568060902</v>
      </c>
      <c r="AG2599">
        <v>-1.2104999999999999</v>
      </c>
      <c r="AH2599">
        <v>145.51232047918799</v>
      </c>
      <c r="AI2599">
        <v>90.476511771238293</v>
      </c>
      <c r="AJ2599">
        <v>88.746073242017005</v>
      </c>
      <c r="AK2599">
        <v>145.552208423058</v>
      </c>
      <c r="AL2599">
        <v>78.200723479659899</v>
      </c>
      <c r="AM2599">
        <v>96.748023497615605</v>
      </c>
      <c r="AN2599">
        <v>1.0000000412404899</v>
      </c>
    </row>
    <row r="2600" spans="1:40" x14ac:dyDescent="0.25">
      <c r="A2600" t="str">
        <f>"20190304155108288"</f>
        <v>20190304155108288</v>
      </c>
      <c r="B2600" t="str">
        <f>"1551685868278866"</f>
        <v>1551685868278866</v>
      </c>
      <c r="C2600" t="s">
        <v>40</v>
      </c>
      <c r="D2600">
        <v>5.4366029999999999</v>
      </c>
      <c r="E2600">
        <v>0.59598709999999999</v>
      </c>
      <c r="F2600" t="s">
        <v>76</v>
      </c>
      <c r="G2600">
        <v>-534.50220000000002</v>
      </c>
      <c r="H2600">
        <v>2.738073</v>
      </c>
      <c r="I2600">
        <v>294.55</v>
      </c>
      <c r="J2600">
        <v>-443.33069999999998</v>
      </c>
      <c r="K2600">
        <v>1.1105020000000001</v>
      </c>
      <c r="L2600">
        <v>285.50360000000001</v>
      </c>
      <c r="M2600">
        <v>-0.99991680000000005</v>
      </c>
      <c r="N2600">
        <v>-1.289857E-2</v>
      </c>
      <c r="O2600">
        <v>-1.730852E-4</v>
      </c>
      <c r="P2600">
        <v>-0.97456100000000001</v>
      </c>
      <c r="Q2600">
        <v>0.1921302</v>
      </c>
      <c r="R2600">
        <v>-0.1153996</v>
      </c>
      <c r="S2600">
        <v>-3.103577</v>
      </c>
      <c r="T2600">
        <v>5.5242899999999998E-2</v>
      </c>
      <c r="U2600">
        <v>0.30703740000000002</v>
      </c>
      <c r="V2600">
        <v>-0.1151891</v>
      </c>
      <c r="W2600">
        <v>0.20470869999999999</v>
      </c>
      <c r="X2600">
        <v>0.97202149999999998</v>
      </c>
      <c r="Y2600">
        <v>9.8617549999999998E-2</v>
      </c>
      <c r="Z2600">
        <v>-2.4317690000000001E-4</v>
      </c>
      <c r="AA2600">
        <v>0.99512540000000005</v>
      </c>
      <c r="AB2600">
        <v>28</v>
      </c>
      <c r="AC2600">
        <v>-91.171499999999995</v>
      </c>
      <c r="AD2600">
        <v>1.6275710000000001</v>
      </c>
      <c r="AE2600">
        <v>9.0464000000000002</v>
      </c>
      <c r="AF2600">
        <v>9.0593226911579592</v>
      </c>
      <c r="AG2600">
        <v>1.6275710000000001</v>
      </c>
      <c r="AH2600">
        <v>91.141170552606994</v>
      </c>
      <c r="AI2600">
        <v>88.981954110998402</v>
      </c>
      <c r="AJ2600">
        <v>84.323514241625901</v>
      </c>
      <c r="AK2600">
        <v>91.604766713757598</v>
      </c>
      <c r="AL2600">
        <v>78.187552703106604</v>
      </c>
      <c r="AM2600">
        <v>96.758299405539702</v>
      </c>
      <c r="AN2600">
        <v>0.99999998853837402</v>
      </c>
    </row>
    <row r="2601" spans="1:40" x14ac:dyDescent="0.25">
      <c r="A2601" t="str">
        <f>"20190304155108312"</f>
        <v>20190304155108312</v>
      </c>
      <c r="B2601" t="str">
        <f>"1551685868309122"</f>
        <v>1551685868309122</v>
      </c>
      <c r="C2601" t="s">
        <v>40</v>
      </c>
      <c r="D2601">
        <v>5.3769920000000004</v>
      </c>
      <c r="E2601">
        <v>0.59598830000000003</v>
      </c>
      <c r="F2601" t="s">
        <v>76</v>
      </c>
      <c r="G2601">
        <v>-510.07069999999999</v>
      </c>
      <c r="H2601">
        <v>6.0569610000000003</v>
      </c>
      <c r="I2601">
        <v>294.54129999999998</v>
      </c>
      <c r="J2601">
        <v>-443.61430000000001</v>
      </c>
      <c r="K2601">
        <v>1.1105020000000001</v>
      </c>
      <c r="L2601">
        <v>285.50369999999998</v>
      </c>
      <c r="M2601">
        <v>-0.99991699999999994</v>
      </c>
      <c r="N2601">
        <v>-1.2889879999999999E-2</v>
      </c>
      <c r="O2601" s="1">
        <v>-8.7960429999999994E-5</v>
      </c>
      <c r="P2601">
        <v>-0.97451779999999999</v>
      </c>
      <c r="Q2601">
        <v>0.19228770000000001</v>
      </c>
      <c r="R2601">
        <v>-0.1155026</v>
      </c>
      <c r="S2601">
        <v>-3.082703</v>
      </c>
      <c r="T2601">
        <v>0.22847880000000001</v>
      </c>
      <c r="U2601">
        <v>0.41744999999999999</v>
      </c>
      <c r="V2601">
        <v>-0.1153764</v>
      </c>
      <c r="W2601">
        <v>0.20485619999999999</v>
      </c>
      <c r="X2601">
        <v>0.97196819999999895</v>
      </c>
      <c r="Y2601">
        <v>0.13398180000000001</v>
      </c>
      <c r="Z2601">
        <v>-4.0750780000000002E-3</v>
      </c>
      <c r="AA2601">
        <v>0.99097539999999995</v>
      </c>
      <c r="AB2601">
        <v>28</v>
      </c>
      <c r="AC2601">
        <v>-66.456399999999903</v>
      </c>
      <c r="AD2601">
        <v>4.9464589999999999</v>
      </c>
      <c r="AE2601">
        <v>9.0375999999999905</v>
      </c>
      <c r="AF2601">
        <v>8.9945205464823204</v>
      </c>
      <c r="AG2601">
        <v>4.9464589999999999</v>
      </c>
      <c r="AH2601">
        <v>66.096077005199305</v>
      </c>
      <c r="AI2601">
        <v>85.759053748710599</v>
      </c>
      <c r="AJ2601">
        <v>82.250647467398096</v>
      </c>
      <c r="AK2601">
        <v>66.888416425992702</v>
      </c>
      <c r="AL2601">
        <v>78.178918483964793</v>
      </c>
      <c r="AM2601">
        <v>96.769554414644603</v>
      </c>
      <c r="AN2601">
        <v>0.99999997908331895</v>
      </c>
    </row>
    <row r="2602" spans="1:40" x14ac:dyDescent="0.25">
      <c r="A2602" t="str">
        <f>"20190304155108334"</f>
        <v>20190304155108334</v>
      </c>
      <c r="B2602" t="str">
        <f>"1551685868329618"</f>
        <v>1551685868329618</v>
      </c>
      <c r="C2602" t="s">
        <v>40</v>
      </c>
      <c r="D2602">
        <v>5.3909640000000003</v>
      </c>
      <c r="E2602">
        <v>0.59672199999999997</v>
      </c>
      <c r="F2602" t="s">
        <v>62</v>
      </c>
      <c r="G2602">
        <v>-499.96789999999999</v>
      </c>
      <c r="H2602">
        <v>6.0138089999999998E-2</v>
      </c>
      <c r="I2602">
        <v>293.02390000000003</v>
      </c>
      <c r="J2602">
        <v>-443.8947</v>
      </c>
      <c r="K2602">
        <v>1.110503</v>
      </c>
      <c r="L2602">
        <v>285.50380000000001</v>
      </c>
      <c r="M2602">
        <v>-0.9999171</v>
      </c>
      <c r="N2602">
        <v>-1.2877660000000001E-2</v>
      </c>
      <c r="O2602" s="1">
        <v>-9.6453950000000005E-6</v>
      </c>
      <c r="P2602">
        <v>-0.97446410000000006</v>
      </c>
      <c r="Q2602">
        <v>0.19258819999999999</v>
      </c>
      <c r="R2602">
        <v>-0.115454</v>
      </c>
      <c r="S2602">
        <v>-3.1396480000000002</v>
      </c>
      <c r="T2602">
        <v>-5.851924E-2</v>
      </c>
      <c r="U2602">
        <v>0.41897580000000001</v>
      </c>
      <c r="V2602">
        <v>-0.11540499999999999</v>
      </c>
      <c r="W2602">
        <v>0.2051432</v>
      </c>
      <c r="X2602">
        <v>0.97190430000000005</v>
      </c>
      <c r="Y2602">
        <v>0.13224530000000001</v>
      </c>
      <c r="Z2602">
        <v>2.08238E-3</v>
      </c>
      <c r="AA2602">
        <v>0.99121479999999995</v>
      </c>
      <c r="AB2602">
        <v>28</v>
      </c>
      <c r="AC2602">
        <v>-56.0731999999999</v>
      </c>
      <c r="AD2602">
        <v>-1.0503649100000001</v>
      </c>
      <c r="AE2602">
        <v>7.52010000000001</v>
      </c>
      <c r="AF2602">
        <v>7.5180495009271198</v>
      </c>
      <c r="AG2602">
        <v>-1.0503649100000001</v>
      </c>
      <c r="AH2602">
        <v>56.053806306011303</v>
      </c>
      <c r="AI2602">
        <v>91.063986998049799</v>
      </c>
      <c r="AJ2602">
        <v>82.360962357635103</v>
      </c>
      <c r="AK2602">
        <v>56.565480075169297</v>
      </c>
      <c r="AL2602">
        <v>78.1621181227178</v>
      </c>
      <c r="AM2602">
        <v>96.7716579566505</v>
      </c>
      <c r="AN2602">
        <v>1.0000000074448601</v>
      </c>
    </row>
    <row r="2603" spans="1:40" x14ac:dyDescent="0.25">
      <c r="A2603" t="str">
        <f>"20190304155108356"</f>
        <v>20190304155108356</v>
      </c>
      <c r="B2603" t="str">
        <f>"1551685868349137"</f>
        <v>1551685868349137</v>
      </c>
      <c r="C2603" t="s">
        <v>40</v>
      </c>
      <c r="D2603">
        <v>5.3776529999999996</v>
      </c>
      <c r="E2603">
        <v>0.5974353</v>
      </c>
      <c r="F2603" t="s">
        <v>62</v>
      </c>
      <c r="G2603">
        <v>-500.59550000000002</v>
      </c>
      <c r="H2603">
        <v>8.0003870000000005E-2</v>
      </c>
      <c r="I2603">
        <v>293.16649999999998</v>
      </c>
      <c r="J2603">
        <v>-444.17009999999999</v>
      </c>
      <c r="K2603">
        <v>1.110503</v>
      </c>
      <c r="L2603">
        <v>285.50380000000001</v>
      </c>
      <c r="M2603">
        <v>-0.99991730000000001</v>
      </c>
      <c r="N2603">
        <v>-1.2865669999999999E-2</v>
      </c>
      <c r="O2603" s="1">
        <v>6.1336189999999997E-5</v>
      </c>
      <c r="P2603">
        <v>-0.9744912</v>
      </c>
      <c r="Q2603">
        <v>0.19246759999999999</v>
      </c>
      <c r="R2603">
        <v>-0.115426</v>
      </c>
      <c r="S2603">
        <v>-3.1401979999999998</v>
      </c>
      <c r="T2603">
        <v>-5.7070969999999999E-2</v>
      </c>
      <c r="U2603">
        <v>0.42437740000000002</v>
      </c>
      <c r="V2603">
        <v>-0.1154467</v>
      </c>
      <c r="W2603">
        <v>0.2050111</v>
      </c>
      <c r="X2603">
        <v>0.97192719999999999</v>
      </c>
      <c r="Y2603">
        <v>0.133828</v>
      </c>
      <c r="Z2603">
        <v>2.075136E-3</v>
      </c>
      <c r="AA2603">
        <v>0.99100239999999995</v>
      </c>
      <c r="AB2603">
        <v>28</v>
      </c>
      <c r="AC2603">
        <v>-56.425400000000003</v>
      </c>
      <c r="AD2603">
        <v>-1.0304991299999999</v>
      </c>
      <c r="AE2603">
        <v>7.6626999999999699</v>
      </c>
      <c r="AF2603">
        <v>7.6567312109499497</v>
      </c>
      <c r="AG2603">
        <v>-1.0304991299999999</v>
      </c>
      <c r="AH2603">
        <v>56.407396585771401</v>
      </c>
      <c r="AI2603">
        <v>91.037103692348694</v>
      </c>
      <c r="AJ2603">
        <v>82.269925112823003</v>
      </c>
      <c r="AK2603">
        <v>56.934013128165802</v>
      </c>
      <c r="AL2603">
        <v>78.169851009849907</v>
      </c>
      <c r="AM2603">
        <v>96.773923943438305</v>
      </c>
      <c r="AN2603">
        <v>0.99999998688197</v>
      </c>
    </row>
    <row r="2604" spans="1:40" x14ac:dyDescent="0.25">
      <c r="A2604" t="str">
        <f>"20190304155108378"</f>
        <v>20190304155108378</v>
      </c>
      <c r="B2604" t="str">
        <f>"1551685868369634"</f>
        <v>1551685868369634</v>
      </c>
      <c r="C2604" t="s">
        <v>40</v>
      </c>
      <c r="D2604">
        <v>5.3976850000000001</v>
      </c>
      <c r="E2604">
        <v>0.59752359999999904</v>
      </c>
      <c r="F2604" t="s">
        <v>62</v>
      </c>
      <c r="G2604">
        <v>-503.54570000000001</v>
      </c>
      <c r="H2604">
        <v>8.0004190000000003E-2</v>
      </c>
      <c r="I2604">
        <v>293.63260000000002</v>
      </c>
      <c r="J2604">
        <v>-444.4443</v>
      </c>
      <c r="K2604">
        <v>1.110503</v>
      </c>
      <c r="L2604">
        <v>285.50400000000002</v>
      </c>
      <c r="M2604">
        <v>-0.99991730000000001</v>
      </c>
      <c r="N2604">
        <v>-1.285466E-2</v>
      </c>
      <c r="O2604">
        <v>1.287956E-4</v>
      </c>
      <c r="P2604">
        <v>-0.97446500000000003</v>
      </c>
      <c r="Q2604">
        <v>0.19252050000000001</v>
      </c>
      <c r="R2604">
        <v>-0.1155588</v>
      </c>
      <c r="S2604">
        <v>-3.1401669999999999</v>
      </c>
      <c r="T2604">
        <v>-5.4499510000000001E-2</v>
      </c>
      <c r="U2604">
        <v>0.42990109999999898</v>
      </c>
      <c r="V2604">
        <v>-0.1156483</v>
      </c>
      <c r="W2604">
        <v>0.2050517</v>
      </c>
      <c r="X2604">
        <v>0.9718947</v>
      </c>
      <c r="Y2604">
        <v>0.13547590000000001</v>
      </c>
      <c r="Z2604">
        <v>2.044452E-3</v>
      </c>
      <c r="AA2604">
        <v>0.99077850000000001</v>
      </c>
      <c r="AB2604">
        <v>28</v>
      </c>
      <c r="AC2604">
        <v>-59.101399999999998</v>
      </c>
      <c r="AD2604">
        <v>-1.0304988100000001</v>
      </c>
      <c r="AE2604">
        <v>8.1286000000000005</v>
      </c>
      <c r="AF2604">
        <v>8.1185649342686599</v>
      </c>
      <c r="AG2604">
        <v>-1.0304988100000001</v>
      </c>
      <c r="AH2604">
        <v>59.08481715221</v>
      </c>
      <c r="AI2604">
        <v>90.989895737405504</v>
      </c>
      <c r="AJ2604">
        <v>82.176250779208402</v>
      </c>
      <c r="AK2604">
        <v>59.648877963457402</v>
      </c>
      <c r="AL2604">
        <v>78.1674746877583</v>
      </c>
      <c r="AM2604">
        <v>96.785867567868806</v>
      </c>
      <c r="AN2604">
        <v>1.00000001842693</v>
      </c>
    </row>
    <row r="2605" spans="1:40" x14ac:dyDescent="0.25">
      <c r="A2605" t="str">
        <f>"20190304155108399"</f>
        <v>20190304155108399</v>
      </c>
      <c r="B2605" t="str">
        <f>"1551685868389153"</f>
        <v>1551685868389153</v>
      </c>
      <c r="C2605" t="s">
        <v>40</v>
      </c>
      <c r="D2605">
        <v>5.4073779999999996</v>
      </c>
      <c r="E2605">
        <v>0.59887199999999996</v>
      </c>
      <c r="F2605" t="s">
        <v>62</v>
      </c>
      <c r="G2605">
        <v>-502.51389999999998</v>
      </c>
      <c r="H2605">
        <v>8.0004099999999995E-2</v>
      </c>
      <c r="I2605">
        <v>293.46109999999999</v>
      </c>
      <c r="J2605">
        <v>-444.71170000000001</v>
      </c>
      <c r="K2605">
        <v>1.1105119999999999</v>
      </c>
      <c r="L2605">
        <v>285.50409999999999</v>
      </c>
      <c r="M2605">
        <v>-0.99991750000000001</v>
      </c>
      <c r="N2605">
        <v>-1.284446E-2</v>
      </c>
      <c r="O2605">
        <v>1.8904579999999999E-4</v>
      </c>
      <c r="P2605">
        <v>-0.97453780000000001</v>
      </c>
      <c r="Q2605">
        <v>0.19188359999999999</v>
      </c>
      <c r="R2605">
        <v>-0.11600190000000001</v>
      </c>
      <c r="S2605">
        <v>-3.1406860000000001</v>
      </c>
      <c r="T2605">
        <v>-5.5734400000000003E-2</v>
      </c>
      <c r="U2605">
        <v>0.43035889999999999</v>
      </c>
      <c r="V2605">
        <v>-0.1161542</v>
      </c>
      <c r="W2605">
        <v>0.204403</v>
      </c>
      <c r="X2605">
        <v>0.97197100000000003</v>
      </c>
      <c r="Y2605">
        <v>0.13553479999999901</v>
      </c>
      <c r="Z2605">
        <v>2.0706240000000001E-3</v>
      </c>
      <c r="AA2605">
        <v>0.99077040000000005</v>
      </c>
      <c r="AB2605">
        <v>28</v>
      </c>
      <c r="AC2605">
        <v>-57.8021999999999</v>
      </c>
      <c r="AD2605">
        <v>-1.0305078999999999</v>
      </c>
      <c r="AE2605">
        <v>7.9569999999999901</v>
      </c>
      <c r="AF2605">
        <v>7.9435938259065297</v>
      </c>
      <c r="AG2605">
        <v>-1.0305078999999999</v>
      </c>
      <c r="AH2605">
        <v>57.785678080816503</v>
      </c>
      <c r="AI2605">
        <v>91.012146589845997</v>
      </c>
      <c r="AJ2605">
        <v>82.172808352310497</v>
      </c>
      <c r="AK2605">
        <v>58.338214068162003</v>
      </c>
      <c r="AL2605">
        <v>78.205446580553996</v>
      </c>
      <c r="AM2605">
        <v>96.814743559933504</v>
      </c>
      <c r="AN2605">
        <v>1.00000000471382</v>
      </c>
    </row>
    <row r="2606" spans="1:40" x14ac:dyDescent="0.25">
      <c r="A2606" t="str">
        <f>"20190304155108417"</f>
        <v>20190304155108417</v>
      </c>
      <c r="B2606" t="str">
        <f>"1551685868409650"</f>
        <v>1551685868409650</v>
      </c>
      <c r="C2606" t="s">
        <v>40</v>
      </c>
      <c r="D2606">
        <v>5.4157299999999999</v>
      </c>
      <c r="E2606">
        <v>0.59846549999999998</v>
      </c>
      <c r="F2606" t="s">
        <v>62</v>
      </c>
      <c r="G2606">
        <v>-499.96210000000002</v>
      </c>
      <c r="H2606">
        <v>5.433375E-2</v>
      </c>
      <c r="I2606">
        <v>293.23140000000001</v>
      </c>
      <c r="J2606">
        <v>-444.90879999999999</v>
      </c>
      <c r="K2606">
        <v>1.1105130000000001</v>
      </c>
      <c r="L2606">
        <v>285.50420000000003</v>
      </c>
      <c r="M2606">
        <v>-0.99991770000000002</v>
      </c>
      <c r="N2606">
        <v>-1.283726E-2</v>
      </c>
      <c r="O2606">
        <v>2.2641379999999999E-4</v>
      </c>
      <c r="P2606">
        <v>-0.97448230000000002</v>
      </c>
      <c r="Q2606">
        <v>0.1920606</v>
      </c>
      <c r="R2606">
        <v>-0.1161783</v>
      </c>
      <c r="S2606">
        <v>-3.1425480000000001</v>
      </c>
      <c r="T2606">
        <v>-6.007361E-2</v>
      </c>
      <c r="U2606">
        <v>0.43951420000000002</v>
      </c>
      <c r="V2606">
        <v>-0.11637019999999999</v>
      </c>
      <c r="W2606">
        <v>0.20457059999999999</v>
      </c>
      <c r="X2606">
        <v>0.97190989999999999</v>
      </c>
      <c r="Y2606">
        <v>0.13824510000000001</v>
      </c>
      <c r="Z2606">
        <v>2.2052420000000001E-3</v>
      </c>
      <c r="AA2606">
        <v>0.99039560000000004</v>
      </c>
      <c r="AB2606">
        <v>28</v>
      </c>
      <c r="AC2606">
        <v>-55.0533</v>
      </c>
      <c r="AD2606">
        <v>-1.05617924999999</v>
      </c>
      <c r="AE2606">
        <v>7.7271999999999803</v>
      </c>
      <c r="AF2606">
        <v>7.7119503923140398</v>
      </c>
      <c r="AG2606">
        <v>-1.05617924999999</v>
      </c>
      <c r="AH2606">
        <v>55.035183837098202</v>
      </c>
      <c r="AI2606">
        <v>91.088792279342798</v>
      </c>
      <c r="AJ2606">
        <v>82.023217118549198</v>
      </c>
      <c r="AK2606">
        <v>55.5829214187671</v>
      </c>
      <c r="AL2606">
        <v>78.195636503352702</v>
      </c>
      <c r="AM2606">
        <v>96.827721880562393</v>
      </c>
      <c r="AN2606">
        <v>1.0000000037751999</v>
      </c>
    </row>
    <row r="2607" spans="1:40" x14ac:dyDescent="0.25">
      <c r="A2607" t="str">
        <f>"20190304155108435"</f>
        <v>20190304155108435</v>
      </c>
      <c r="B2607" t="str">
        <f>"1551685868429170"</f>
        <v>1551685868429170</v>
      </c>
      <c r="C2607" t="s">
        <v>40</v>
      </c>
      <c r="D2607">
        <v>6.6206069999999997</v>
      </c>
      <c r="E2607">
        <v>0.60032989999999997</v>
      </c>
      <c r="F2607" t="s">
        <v>76</v>
      </c>
      <c r="G2607">
        <v>-510.95370000000003</v>
      </c>
      <c r="H2607">
        <v>0.27000560000000001</v>
      </c>
      <c r="I2607">
        <v>294.67009999999999</v>
      </c>
      <c r="J2607">
        <v>-445.13749999999999</v>
      </c>
      <c r="K2607">
        <v>1.110525</v>
      </c>
      <c r="L2607">
        <v>285.5043</v>
      </c>
      <c r="M2607">
        <v>-0.99991770000000002</v>
      </c>
      <c r="N2607">
        <v>-1.282756E-2</v>
      </c>
      <c r="O2607">
        <v>2.5990049999999998E-4</v>
      </c>
      <c r="P2607">
        <v>-0.97457859999999996</v>
      </c>
      <c r="Q2607">
        <v>0.19145880000000001</v>
      </c>
      <c r="R2607">
        <v>-0.1163637</v>
      </c>
      <c r="S2607">
        <v>-3.1383359999999998</v>
      </c>
      <c r="T2607">
        <v>-3.9935230000000002E-2</v>
      </c>
      <c r="U2607">
        <v>0.43554690000000001</v>
      </c>
      <c r="V2607">
        <v>-0.1165926</v>
      </c>
      <c r="W2607">
        <v>0.20395820000000001</v>
      </c>
      <c r="X2607">
        <v>0.97201199999999999</v>
      </c>
      <c r="Y2607">
        <v>0.13718569999999999</v>
      </c>
      <c r="Z2607">
        <v>1.7528540000000001E-3</v>
      </c>
      <c r="AA2607">
        <v>0.99054379999999997</v>
      </c>
      <c r="AB2607">
        <v>28</v>
      </c>
      <c r="AC2607">
        <v>-65.816199999999995</v>
      </c>
      <c r="AD2607">
        <v>-0.84051939999999903</v>
      </c>
      <c r="AE2607">
        <v>9.1657999999999902</v>
      </c>
      <c r="AF2607">
        <v>9.1472291720312402</v>
      </c>
      <c r="AG2607">
        <v>-0.84051939999999903</v>
      </c>
      <c r="AH2607">
        <v>65.808051664216606</v>
      </c>
      <c r="AI2607">
        <v>90.724790963204399</v>
      </c>
      <c r="AJ2607">
        <v>82.086668555739806</v>
      </c>
      <c r="AK2607">
        <v>66.446052841592007</v>
      </c>
      <c r="AL2607">
        <v>78.231480786683903</v>
      </c>
      <c r="AM2607">
        <v>96.839935362897506</v>
      </c>
      <c r="AN2607">
        <v>1.0000000549329899</v>
      </c>
    </row>
    <row r="2608" spans="1:40" x14ac:dyDescent="0.25">
      <c r="A2608" t="str">
        <f>"20190304155108457"</f>
        <v>20190304155108457</v>
      </c>
      <c r="B2608" t="str">
        <f>"1551685868449666"</f>
        <v>1551685868449666</v>
      </c>
      <c r="C2608" t="s">
        <v>40</v>
      </c>
      <c r="D2608">
        <v>6.3686339999999904</v>
      </c>
      <c r="E2608">
        <v>0.60116059999999905</v>
      </c>
      <c r="F2608" t="s">
        <v>76</v>
      </c>
      <c r="G2608">
        <v>-510.95400000000001</v>
      </c>
      <c r="H2608">
        <v>1.1405959999999999</v>
      </c>
      <c r="I2608">
        <v>294.94540000000001</v>
      </c>
      <c r="J2608">
        <v>-445.41399999999999</v>
      </c>
      <c r="K2608">
        <v>1.11053</v>
      </c>
      <c r="L2608">
        <v>285.50439999999998</v>
      </c>
      <c r="M2608">
        <v>-0.99991799999999997</v>
      </c>
      <c r="N2608">
        <v>-1.28115E-2</v>
      </c>
      <c r="O2608">
        <v>2.8272209999999999E-4</v>
      </c>
      <c r="P2608">
        <v>-0.97463860000000002</v>
      </c>
      <c r="Q2608">
        <v>0.19106919999999999</v>
      </c>
      <c r="R2608">
        <v>-0.11650000000000001</v>
      </c>
      <c r="S2608">
        <v>-3.1316220000000001</v>
      </c>
      <c r="T2608">
        <v>1.4349219999999999E-3</v>
      </c>
      <c r="U2608">
        <v>0.44921879999999997</v>
      </c>
      <c r="V2608">
        <v>-0.1167565</v>
      </c>
      <c r="W2608">
        <v>0.2035506</v>
      </c>
      <c r="X2608">
        <v>0.97207770000000004</v>
      </c>
      <c r="Y2608">
        <v>0.14171310000000001</v>
      </c>
      <c r="Z2608">
        <v>8.8386839999999905E-4</v>
      </c>
      <c r="AA2608">
        <v>0.98990739999999999</v>
      </c>
      <c r="AB2608">
        <v>28</v>
      </c>
      <c r="AC2608">
        <v>-65.540000000000006</v>
      </c>
      <c r="AD2608">
        <v>3.0065999999999898E-2</v>
      </c>
      <c r="AE2608">
        <v>9.4410000000000291</v>
      </c>
      <c r="AF2608">
        <v>9.4224665547738393</v>
      </c>
      <c r="AG2608">
        <v>3.0065999999999898E-2</v>
      </c>
      <c r="AH2608">
        <v>65.542653265610198</v>
      </c>
      <c r="AI2608">
        <v>89.973984500856304</v>
      </c>
      <c r="AJ2608">
        <v>81.819161893016997</v>
      </c>
      <c r="AK2608">
        <v>66.216487199459607</v>
      </c>
      <c r="AL2608">
        <v>78.255334195002902</v>
      </c>
      <c r="AM2608">
        <v>96.849000777178205</v>
      </c>
      <c r="AN2608">
        <v>0.99999999094494996</v>
      </c>
    </row>
    <row r="2609" spans="1:40" x14ac:dyDescent="0.25">
      <c r="A2609" t="str">
        <f>"20190304155108477"</f>
        <v>20190304155108477</v>
      </c>
      <c r="B2609" t="str">
        <f>"1551685868469186"</f>
        <v>1551685868469186</v>
      </c>
      <c r="C2609" t="s">
        <v>40</v>
      </c>
      <c r="D2609">
        <v>5.4879740000000004</v>
      </c>
      <c r="E2609">
        <v>0.60053630000000002</v>
      </c>
      <c r="F2609" t="s">
        <v>76</v>
      </c>
      <c r="G2609">
        <v>-510.95420000000001</v>
      </c>
      <c r="H2609">
        <v>1.800308</v>
      </c>
      <c r="I2609">
        <v>295.0444</v>
      </c>
      <c r="J2609">
        <v>-445.67320000000001</v>
      </c>
      <c r="K2609">
        <v>1.1105370000000001</v>
      </c>
      <c r="L2609">
        <v>285.50450000000001</v>
      </c>
      <c r="M2609">
        <v>-0.99991799999999997</v>
      </c>
      <c r="N2609">
        <v>-1.2794639999999999E-2</v>
      </c>
      <c r="O2609">
        <v>2.9225879999999999E-4</v>
      </c>
      <c r="P2609">
        <v>-0.97468399999999999</v>
      </c>
      <c r="Q2609">
        <v>0.19069549999999999</v>
      </c>
      <c r="R2609">
        <v>-0.1167319</v>
      </c>
      <c r="S2609">
        <v>-3.126007</v>
      </c>
      <c r="T2609">
        <v>3.2903670000000003E-2</v>
      </c>
      <c r="U2609">
        <v>0.45501710000000001</v>
      </c>
      <c r="V2609">
        <v>-0.1170036</v>
      </c>
      <c r="W2609">
        <v>0.2031579</v>
      </c>
      <c r="X2609">
        <v>0.9721301</v>
      </c>
      <c r="Y2609">
        <v>0.1437533</v>
      </c>
      <c r="Z2609">
        <v>1.786957E-4</v>
      </c>
      <c r="AA2609">
        <v>0.98961350000000003</v>
      </c>
      <c r="AB2609">
        <v>28</v>
      </c>
      <c r="AC2609">
        <v>-65.281000000000006</v>
      </c>
      <c r="AD2609">
        <v>0.68977100000000002</v>
      </c>
      <c r="AE2609">
        <v>9.5398999999999798</v>
      </c>
      <c r="AF2609">
        <v>9.5197784765703197</v>
      </c>
      <c r="AG2609">
        <v>0.68977100000000002</v>
      </c>
      <c r="AH2609">
        <v>65.276650179854002</v>
      </c>
      <c r="AI2609">
        <v>89.400921274064402</v>
      </c>
      <c r="AJ2609">
        <v>81.702625561529899</v>
      </c>
      <c r="AK2609">
        <v>65.9707740213683</v>
      </c>
      <c r="AL2609">
        <v>78.278313963762798</v>
      </c>
      <c r="AM2609">
        <v>96.862991257564104</v>
      </c>
      <c r="AN2609">
        <v>0.99999995303568801</v>
      </c>
    </row>
    <row r="2610" spans="1:40" x14ac:dyDescent="0.25">
      <c r="A2610" t="str">
        <f>"20190304155108501"</f>
        <v>20190304155108501</v>
      </c>
      <c r="B2610" t="str">
        <f>"1551685868489682"</f>
        <v>1551685868489682</v>
      </c>
      <c r="C2610" t="s">
        <v>40</v>
      </c>
      <c r="D2610">
        <v>4.8795080000000004</v>
      </c>
      <c r="E2610">
        <v>0.60153380000000001</v>
      </c>
      <c r="F2610" t="s">
        <v>76</v>
      </c>
      <c r="G2610">
        <v>-510.95409999999998</v>
      </c>
      <c r="H2610">
        <v>1.405373</v>
      </c>
      <c r="I2610">
        <v>294.87729999999999</v>
      </c>
      <c r="J2610">
        <v>-445.95429999999999</v>
      </c>
      <c r="K2610">
        <v>1.110538</v>
      </c>
      <c r="L2610">
        <v>285.50459999999998</v>
      </c>
      <c r="M2610">
        <v>-0.99991830000000004</v>
      </c>
      <c r="N2610">
        <v>-1.277733E-2</v>
      </c>
      <c r="O2610">
        <v>2.956015E-4</v>
      </c>
      <c r="P2610">
        <v>-0.97465369999999996</v>
      </c>
      <c r="Q2610">
        <v>0.19071979999999999</v>
      </c>
      <c r="R2610">
        <v>-0.1169457</v>
      </c>
      <c r="S2610">
        <v>-3.1289980000000002</v>
      </c>
      <c r="T2610">
        <v>1.4135959999999999E-2</v>
      </c>
      <c r="U2610">
        <v>0.44924930000000002</v>
      </c>
      <c r="V2610">
        <v>-0.1172255</v>
      </c>
      <c r="W2610">
        <v>0.20316210000000001</v>
      </c>
      <c r="X2610">
        <v>0.97210249999999998</v>
      </c>
      <c r="Y2610">
        <v>0.1418287</v>
      </c>
      <c r="Z2610">
        <v>5.9709789999999997E-4</v>
      </c>
      <c r="AA2610">
        <v>0.98989110000000002</v>
      </c>
      <c r="AB2610">
        <v>28</v>
      </c>
      <c r="AC2610">
        <v>-64.999799999999993</v>
      </c>
      <c r="AD2610">
        <v>0.29483500000000001</v>
      </c>
      <c r="AE2610">
        <v>9.3727</v>
      </c>
      <c r="AF2610">
        <v>9.3532954613282406</v>
      </c>
      <c r="AG2610">
        <v>0.29483500000000001</v>
      </c>
      <c r="AH2610">
        <v>65.001257828174005</v>
      </c>
      <c r="AI2610">
        <v>89.742766952326704</v>
      </c>
      <c r="AJ2610">
        <v>81.811682870354304</v>
      </c>
      <c r="AK2610">
        <v>65.6714137422736</v>
      </c>
      <c r="AL2610">
        <v>78.278068321915896</v>
      </c>
      <c r="AM2610">
        <v>96.876075938332903</v>
      </c>
      <c r="AN2610">
        <v>0.99999996361645405</v>
      </c>
    </row>
    <row r="2611" spans="1:40" x14ac:dyDescent="0.25">
      <c r="A2611" t="str">
        <f>"20190304155108523"</f>
        <v>20190304155108523</v>
      </c>
      <c r="B2611" t="str">
        <f>"1551685868518962"</f>
        <v>1551685868518962</v>
      </c>
      <c r="C2611" t="s">
        <v>40</v>
      </c>
      <c r="D2611">
        <v>4.899006</v>
      </c>
      <c r="E2611">
        <v>0.60483430000000005</v>
      </c>
      <c r="F2611" t="s">
        <v>76</v>
      </c>
      <c r="G2611">
        <v>-510.95420000000001</v>
      </c>
      <c r="H2611">
        <v>1.8798079999999999</v>
      </c>
      <c r="I2611">
        <v>294.9948</v>
      </c>
      <c r="J2611">
        <v>-446.23099999999999</v>
      </c>
      <c r="K2611">
        <v>1.110544</v>
      </c>
      <c r="L2611">
        <v>285.50470000000001</v>
      </c>
      <c r="M2611">
        <v>-0.99991859999999999</v>
      </c>
      <c r="N2611">
        <v>-1.2761939999999999E-2</v>
      </c>
      <c r="O2611">
        <v>2.9220850000000003E-4</v>
      </c>
      <c r="P2611">
        <v>-0.97459910000000005</v>
      </c>
      <c r="Q2611">
        <v>0.19080710000000001</v>
      </c>
      <c r="R2611">
        <v>-0.1172583</v>
      </c>
      <c r="S2611">
        <v>-3.1254879999999998</v>
      </c>
      <c r="T2611">
        <v>3.6993980000000003E-2</v>
      </c>
      <c r="U2611">
        <v>0.45632929999999999</v>
      </c>
      <c r="V2611">
        <v>-0.11753810000000001</v>
      </c>
      <c r="W2611">
        <v>0.20323169999999999</v>
      </c>
      <c r="X2611">
        <v>0.97205019999999998</v>
      </c>
      <c r="Y2611">
        <v>0.1441827</v>
      </c>
      <c r="Z2611" s="1">
        <v>8.3300629999999995E-5</v>
      </c>
      <c r="AA2611">
        <v>0.98955110000000002</v>
      </c>
      <c r="AB2611">
        <v>28</v>
      </c>
      <c r="AC2611">
        <v>-64.723200000000006</v>
      </c>
      <c r="AD2611">
        <v>0.76926399999999995</v>
      </c>
      <c r="AE2611">
        <v>9.4900999999999804</v>
      </c>
      <c r="AF2611">
        <v>9.4698757914365608</v>
      </c>
      <c r="AG2611">
        <v>0.76926399999999995</v>
      </c>
      <c r="AH2611">
        <v>64.717020790543899</v>
      </c>
      <c r="AI2611">
        <v>89.326156439359906</v>
      </c>
      <c r="AJ2611">
        <v>81.675136467754797</v>
      </c>
      <c r="AK2611">
        <v>65.410726143428704</v>
      </c>
      <c r="AL2611">
        <v>78.273995527244395</v>
      </c>
      <c r="AM2611">
        <v>96.894603183488798</v>
      </c>
      <c r="AN2611">
        <v>0.99999996007826897</v>
      </c>
    </row>
    <row r="2612" spans="1:40" x14ac:dyDescent="0.25">
      <c r="A2612" t="str">
        <f>"20190304155108546"</f>
        <v>20190304155108546</v>
      </c>
      <c r="B2612" t="str">
        <f>"1551685868539461"</f>
        <v>1551685868539461</v>
      </c>
      <c r="C2612" t="s">
        <v>40</v>
      </c>
      <c r="D2612">
        <v>5.6605290000000004</v>
      </c>
      <c r="E2612">
        <v>0.6043347</v>
      </c>
      <c r="F2612" t="s">
        <v>76</v>
      </c>
      <c r="G2612">
        <v>-510.9547</v>
      </c>
      <c r="H2612">
        <v>3.2779150000000001</v>
      </c>
      <c r="I2612">
        <v>295.50060000000002</v>
      </c>
      <c r="J2612">
        <v>-446.51190000000003</v>
      </c>
      <c r="K2612">
        <v>1.1105419999999999</v>
      </c>
      <c r="L2612">
        <v>285.50479999999999</v>
      </c>
      <c r="M2612">
        <v>-0.9999188</v>
      </c>
      <c r="N2612">
        <v>-1.274731E-2</v>
      </c>
      <c r="O2612">
        <v>2.8522850000000001E-4</v>
      </c>
      <c r="P2612">
        <v>-0.97454010000000002</v>
      </c>
      <c r="Q2612">
        <v>0.1907459</v>
      </c>
      <c r="R2612">
        <v>-0.1178469</v>
      </c>
      <c r="S2612">
        <v>-3.1156009999999998</v>
      </c>
      <c r="T2612">
        <v>0.1043345</v>
      </c>
      <c r="U2612">
        <v>0.48117070000000001</v>
      </c>
      <c r="V2612">
        <v>-0.1181208</v>
      </c>
      <c r="W2612">
        <v>0.20315520000000001</v>
      </c>
      <c r="X2612">
        <v>0.97199559999999996</v>
      </c>
      <c r="Y2612">
        <v>0.15229690000000001</v>
      </c>
      <c r="Z2612">
        <v>-1.544601E-3</v>
      </c>
      <c r="AA2612">
        <v>0.98833360000000003</v>
      </c>
      <c r="AB2612">
        <v>28</v>
      </c>
      <c r="AC2612">
        <v>-64.442799999999906</v>
      </c>
      <c r="AD2612">
        <v>2.167373</v>
      </c>
      <c r="AE2612">
        <v>9.9958000000000293</v>
      </c>
      <c r="AF2612">
        <v>9.9664085801390794</v>
      </c>
      <c r="AG2612">
        <v>2.167373</v>
      </c>
      <c r="AH2612">
        <v>64.374542494161403</v>
      </c>
      <c r="AI2612">
        <v>88.094370085587798</v>
      </c>
      <c r="AJ2612">
        <v>81.199389057190004</v>
      </c>
      <c r="AK2612">
        <v>65.177515502203605</v>
      </c>
      <c r="AL2612">
        <v>78.278472545738595</v>
      </c>
      <c r="AM2612">
        <v>96.928837448627306</v>
      </c>
      <c r="AN2612">
        <v>1.0000000025495199</v>
      </c>
    </row>
    <row r="2613" spans="1:40" x14ac:dyDescent="0.25">
      <c r="A2613" t="str">
        <f>"20190304155108568"</f>
        <v>20190304155108568</v>
      </c>
      <c r="B2613" t="str">
        <f>"1551685868558978"</f>
        <v>1551685868558978</v>
      </c>
      <c r="C2613" t="s">
        <v>40</v>
      </c>
      <c r="D2613">
        <v>3.796837</v>
      </c>
      <c r="E2613">
        <v>0.60274300000000003</v>
      </c>
      <c r="F2613" t="s">
        <v>76</v>
      </c>
      <c r="G2613">
        <v>-510.95460000000003</v>
      </c>
      <c r="H2613">
        <v>2.9119540000000002</v>
      </c>
      <c r="I2613">
        <v>295.32850000000002</v>
      </c>
      <c r="J2613">
        <v>-446.78</v>
      </c>
      <c r="K2613">
        <v>1.110544</v>
      </c>
      <c r="L2613">
        <v>285.50479999999999</v>
      </c>
      <c r="M2613">
        <v>-0.99991890000000005</v>
      </c>
      <c r="N2613">
        <v>-1.273435E-2</v>
      </c>
      <c r="O2613">
        <v>2.8489759999999998E-4</v>
      </c>
      <c r="P2613">
        <v>-0.97444209999999998</v>
      </c>
      <c r="Q2613">
        <v>0.19078200000000001</v>
      </c>
      <c r="R2613">
        <v>-0.118595699999999</v>
      </c>
      <c r="S2613">
        <v>-3.118805</v>
      </c>
      <c r="T2613">
        <v>8.7186100000000002E-2</v>
      </c>
      <c r="U2613">
        <v>0.4754333</v>
      </c>
      <c r="V2613">
        <v>-0.1188715</v>
      </c>
      <c r="W2613">
        <v>0.2031762</v>
      </c>
      <c r="X2613">
        <v>0.97189970000000003</v>
      </c>
      <c r="Y2613">
        <v>0.15038770000000001</v>
      </c>
      <c r="Z2613">
        <v>-1.1148639999999999E-3</v>
      </c>
      <c r="AA2613">
        <v>0.98862649999999996</v>
      </c>
      <c r="AB2613">
        <v>28</v>
      </c>
      <c r="AC2613">
        <v>-64.174599999999998</v>
      </c>
      <c r="AD2613">
        <v>1.80141</v>
      </c>
      <c r="AE2613">
        <v>9.8237000000000201</v>
      </c>
      <c r="AF2613">
        <v>9.7978714588257905</v>
      </c>
      <c r="AG2613">
        <v>1.80141</v>
      </c>
      <c r="AH2613">
        <v>64.128023619233005</v>
      </c>
      <c r="AI2613">
        <v>88.4093852042149</v>
      </c>
      <c r="AJ2613">
        <v>81.313178742875706</v>
      </c>
      <c r="AK2613">
        <v>64.897201607008299</v>
      </c>
      <c r="AL2613">
        <v>78.277243845963298</v>
      </c>
      <c r="AM2613">
        <v>96.973121798618607</v>
      </c>
      <c r="AN2613">
        <v>1.0000000143093899</v>
      </c>
    </row>
    <row r="2614" spans="1:40" x14ac:dyDescent="0.25">
      <c r="A2614" t="str">
        <f>"20190304155108590"</f>
        <v>20190304155108590</v>
      </c>
      <c r="B2614" t="str">
        <f>"1551685868579474"</f>
        <v>1551685868579474</v>
      </c>
      <c r="C2614" t="s">
        <v>40</v>
      </c>
      <c r="D2614">
        <v>4.1886679999999998</v>
      </c>
      <c r="E2614">
        <v>0.51344259999999997</v>
      </c>
      <c r="F2614" t="s">
        <v>76</v>
      </c>
      <c r="G2614">
        <v>-510.9547</v>
      </c>
      <c r="H2614">
        <v>3.0979920000000001</v>
      </c>
      <c r="I2614">
        <v>294.9907</v>
      </c>
      <c r="J2614">
        <v>-447.05169999999998</v>
      </c>
      <c r="K2614">
        <v>1.1105370000000001</v>
      </c>
      <c r="L2614">
        <v>285.50490000000002</v>
      </c>
      <c r="M2614">
        <v>-0.99991909999999895</v>
      </c>
      <c r="N2614">
        <v>-1.272248E-2</v>
      </c>
      <c r="O2614">
        <v>2.7307740000000002E-4</v>
      </c>
      <c r="P2614">
        <v>-0.9743676</v>
      </c>
      <c r="Q2614">
        <v>0.19053239999999999</v>
      </c>
      <c r="R2614">
        <v>-0.1196057</v>
      </c>
      <c r="S2614">
        <v>-3.115875</v>
      </c>
      <c r="T2614">
        <v>9.6500639999999999E-2</v>
      </c>
      <c r="U2614">
        <v>0.46057130000000002</v>
      </c>
      <c r="V2614">
        <v>-0.1198665</v>
      </c>
      <c r="W2614">
        <v>0.20291609999999999</v>
      </c>
      <c r="X2614">
        <v>0.97183180000000002</v>
      </c>
      <c r="Y2614">
        <v>0.14591570000000001</v>
      </c>
      <c r="Z2614">
        <v>-1.3015629999999999E-3</v>
      </c>
      <c r="AA2614">
        <v>0.98929610000000001</v>
      </c>
      <c r="AB2614">
        <v>28</v>
      </c>
      <c r="AC2614">
        <v>-63.902999999999999</v>
      </c>
      <c r="AD2614">
        <v>1.98745499999999</v>
      </c>
      <c r="AE2614">
        <v>9.4857999999999798</v>
      </c>
      <c r="AF2614">
        <v>9.4593951555920199</v>
      </c>
      <c r="AG2614">
        <v>1.98745499999999</v>
      </c>
      <c r="AH2614">
        <v>63.845163482605599</v>
      </c>
      <c r="AI2614">
        <v>88.2362399227368</v>
      </c>
      <c r="AJ2614">
        <v>81.572282434465905</v>
      </c>
      <c r="AK2614">
        <v>64.572711219270502</v>
      </c>
      <c r="AL2614">
        <v>78.292463162214304</v>
      </c>
      <c r="AM2614">
        <v>97.031394019172197</v>
      </c>
      <c r="AN2614">
        <v>0.99999998447634897</v>
      </c>
    </row>
    <row r="2615" spans="1:40" x14ac:dyDescent="0.25">
      <c r="A2615" t="str">
        <f>"20190304155108613"</f>
        <v>20190304155108613</v>
      </c>
      <c r="B2615" t="str">
        <f>"1551685868608754"</f>
        <v>1551685868608754</v>
      </c>
      <c r="C2615" t="s">
        <v>40</v>
      </c>
      <c r="D2615">
        <v>4.9677749999999996</v>
      </c>
      <c r="E2615">
        <v>0.49092859999999999</v>
      </c>
      <c r="F2615" t="s">
        <v>75</v>
      </c>
      <c r="G2615">
        <v>-537.39170000000001</v>
      </c>
      <c r="H2615">
        <v>4.4703039999999996</v>
      </c>
      <c r="I2615">
        <v>278.05</v>
      </c>
      <c r="J2615">
        <v>-447.33249999999998</v>
      </c>
      <c r="K2615">
        <v>1.110544</v>
      </c>
      <c r="L2615">
        <v>285.50490000000002</v>
      </c>
      <c r="M2615">
        <v>-0.99991920000000001</v>
      </c>
      <c r="N2615">
        <v>-1.2711510000000001E-2</v>
      </c>
      <c r="O2615">
        <v>2.7382989999999999E-4</v>
      </c>
      <c r="P2615">
        <v>-0.97433170000000002</v>
      </c>
      <c r="Q2615">
        <v>0.1902817</v>
      </c>
      <c r="R2615">
        <v>-0.12029579999999999</v>
      </c>
      <c r="S2615">
        <v>-3.0262449999999999</v>
      </c>
      <c r="T2615">
        <v>0.1125493</v>
      </c>
      <c r="U2615">
        <v>-0.24972530000000001</v>
      </c>
      <c r="V2615">
        <v>-0.1205586</v>
      </c>
      <c r="W2615">
        <v>0.20265369999999999</v>
      </c>
      <c r="X2615">
        <v>0.97180100000000003</v>
      </c>
      <c r="Y2615">
        <v>-8.2475740000000006E-2</v>
      </c>
      <c r="Z2615">
        <v>1.0189649999999999E-3</v>
      </c>
      <c r="AA2615">
        <v>0.99659260000000005</v>
      </c>
      <c r="AB2615">
        <v>28</v>
      </c>
      <c r="AC2615">
        <v>-90.059200000000004</v>
      </c>
      <c r="AD2615">
        <v>3.3597600000000001</v>
      </c>
      <c r="AE2615">
        <v>-7.4549000000000003</v>
      </c>
      <c r="AF2615">
        <v>-7.4692380686592301</v>
      </c>
      <c r="AG2615">
        <v>3.3597600000000001</v>
      </c>
      <c r="AH2615">
        <v>89.932843110920501</v>
      </c>
      <c r="AI2615">
        <v>87.867842354603496</v>
      </c>
      <c r="AJ2615">
        <v>94.747719060055701</v>
      </c>
      <c r="AK2615">
        <v>90.305004150364496</v>
      </c>
      <c r="AL2615">
        <v>78.307817236840705</v>
      </c>
      <c r="AM2615">
        <v>97.071804724958497</v>
      </c>
      <c r="AN2615">
        <v>1.0000000408793199</v>
      </c>
    </row>
    <row r="2616" spans="1:40" x14ac:dyDescent="0.25">
      <c r="A2616" t="str">
        <f>"20190304155108636"</f>
        <v>20190304155108636</v>
      </c>
      <c r="B2616" t="str">
        <f>"1551685868629249"</f>
        <v>1551685868629249</v>
      </c>
      <c r="C2616" t="s">
        <v>40</v>
      </c>
      <c r="D2616">
        <v>4.9362839999999997</v>
      </c>
      <c r="E2616">
        <v>0.48665219999999998</v>
      </c>
      <c r="F2616" t="s">
        <v>75</v>
      </c>
      <c r="G2616">
        <v>-511.95890000000003</v>
      </c>
      <c r="H2616">
        <v>0.84439030000000004</v>
      </c>
      <c r="I2616">
        <v>276.34469999999999</v>
      </c>
      <c r="J2616">
        <v>-447.61250000000001</v>
      </c>
      <c r="K2616">
        <v>1.110541</v>
      </c>
      <c r="L2616">
        <v>285.505</v>
      </c>
      <c r="M2616">
        <v>-0.99991940000000001</v>
      </c>
      <c r="N2616">
        <v>-1.2703600000000001E-2</v>
      </c>
      <c r="O2616">
        <v>2.6596390000000001E-4</v>
      </c>
      <c r="P2616">
        <v>-0.97429469999999996</v>
      </c>
      <c r="Q2616">
        <v>0.19009970000000001</v>
      </c>
      <c r="R2616">
        <v>-0.120882</v>
      </c>
      <c r="S2616">
        <v>-3.0285030000000002</v>
      </c>
      <c r="T2616">
        <v>-1.246858E-2</v>
      </c>
      <c r="U2616">
        <v>-0.42926029999999998</v>
      </c>
      <c r="V2616">
        <v>-0.1211371</v>
      </c>
      <c r="W2616">
        <v>0.20246359999999999</v>
      </c>
      <c r="X2616">
        <v>0.97176859999999998</v>
      </c>
      <c r="Y2616">
        <v>-0.14059579999999999</v>
      </c>
      <c r="Z2616">
        <v>-1.1832380000000001E-3</v>
      </c>
      <c r="AA2616">
        <v>0.99006629999999995</v>
      </c>
      <c r="AB2616">
        <v>28</v>
      </c>
      <c r="AC2616">
        <v>-64.346400000000003</v>
      </c>
      <c r="AD2616">
        <v>-0.26615070000000002</v>
      </c>
      <c r="AE2616">
        <v>-9.1602999999999994</v>
      </c>
      <c r="AF2616">
        <v>-9.1772609857797995</v>
      </c>
      <c r="AG2616">
        <v>-0.26615070000000002</v>
      </c>
      <c r="AH2616">
        <v>64.342882287180998</v>
      </c>
      <c r="AI2616">
        <v>90.234624905257803</v>
      </c>
      <c r="AJ2616">
        <v>98.117379051467594</v>
      </c>
      <c r="AK2616">
        <v>64.994610979820905</v>
      </c>
      <c r="AL2616">
        <v>78.318938763596094</v>
      </c>
      <c r="AM2616">
        <v>97.105627202036302</v>
      </c>
      <c r="AN2616">
        <v>0.99999995913366402</v>
      </c>
    </row>
    <row r="2617" spans="1:40" x14ac:dyDescent="0.25">
      <c r="A2617" t="str">
        <f>"20190304155108657"</f>
        <v>20190304155108657</v>
      </c>
      <c r="B2617" t="str">
        <f>"1551685868648771"</f>
        <v>1551685868648771</v>
      </c>
      <c r="C2617" t="s">
        <v>40</v>
      </c>
      <c r="D2617">
        <v>5.0226769999999998</v>
      </c>
      <c r="E2617">
        <v>0.48527979999999998</v>
      </c>
      <c r="F2617" t="s">
        <v>75</v>
      </c>
      <c r="G2617">
        <v>-511.95870000000002</v>
      </c>
      <c r="H2617">
        <v>0.25570670000000001</v>
      </c>
      <c r="I2617">
        <v>275.6377</v>
      </c>
      <c r="J2617">
        <v>-447.88709999999998</v>
      </c>
      <c r="K2617">
        <v>1.1105480000000001</v>
      </c>
      <c r="L2617">
        <v>285.505</v>
      </c>
      <c r="M2617">
        <v>-0.99991929999999996</v>
      </c>
      <c r="N2617">
        <v>-1.27048E-2</v>
      </c>
      <c r="O2617">
        <v>2.4921289999999999E-4</v>
      </c>
      <c r="P2617">
        <v>-0.97431849999999998</v>
      </c>
      <c r="Q2617">
        <v>0.18942609999999999</v>
      </c>
      <c r="R2617">
        <v>-0.121744</v>
      </c>
      <c r="S2617">
        <v>-3.0293269999999999</v>
      </c>
      <c r="T2617">
        <v>-4.0240529999999997E-2</v>
      </c>
      <c r="U2617">
        <v>-0.46453860000000002</v>
      </c>
      <c r="V2617">
        <v>-0.1219847</v>
      </c>
      <c r="W2617">
        <v>0.2017902</v>
      </c>
      <c r="X2617">
        <v>0.97180270000000002</v>
      </c>
      <c r="Y2617">
        <v>-0.15179579999999901</v>
      </c>
      <c r="Z2617">
        <v>-1.9724349999999998E-3</v>
      </c>
      <c r="AA2617">
        <v>0.98840989999999995</v>
      </c>
      <c r="AB2617">
        <v>28</v>
      </c>
      <c r="AC2617">
        <v>-64.071600000000004</v>
      </c>
      <c r="AD2617">
        <v>-0.85484129999999903</v>
      </c>
      <c r="AE2617">
        <v>-9.8673000000000002</v>
      </c>
      <c r="AF2617">
        <v>-9.8815502067648104</v>
      </c>
      <c r="AG2617">
        <v>-0.85484129999999903</v>
      </c>
      <c r="AH2617">
        <v>64.058000087231207</v>
      </c>
      <c r="AI2617">
        <v>90.755618993214497</v>
      </c>
      <c r="AJ2617">
        <v>98.769291986785106</v>
      </c>
      <c r="AK2617">
        <v>64.821317198223596</v>
      </c>
      <c r="AL2617">
        <v>78.358335622427902</v>
      </c>
      <c r="AM2617">
        <v>97.154583539639304</v>
      </c>
      <c r="AN2617">
        <v>1.0000000197887</v>
      </c>
    </row>
    <row r="2618" spans="1:40" x14ac:dyDescent="0.25">
      <c r="A2618" t="str">
        <f>"20190304155108679"</f>
        <v>20190304155108679</v>
      </c>
      <c r="B2618" t="str">
        <f>"1551685868669266"</f>
        <v>1551685868669266</v>
      </c>
      <c r="C2618" t="s">
        <v>40</v>
      </c>
      <c r="D2618">
        <v>5.031879</v>
      </c>
      <c r="E2618">
        <v>0.48410750000000002</v>
      </c>
      <c r="F2618" t="s">
        <v>62</v>
      </c>
      <c r="G2618">
        <v>-499.81150000000002</v>
      </c>
      <c r="H2618" s="1">
        <v>1.383891E-6</v>
      </c>
      <c r="I2618">
        <v>277.32690000000002</v>
      </c>
      <c r="J2618">
        <v>-448.15100000000001</v>
      </c>
      <c r="K2618">
        <v>1.1105560000000001</v>
      </c>
      <c r="L2618">
        <v>285.50510000000003</v>
      </c>
      <c r="M2618">
        <v>-0.99991909999999895</v>
      </c>
      <c r="N2618">
        <v>-1.271736E-2</v>
      </c>
      <c r="O2618">
        <v>2.240287E-4</v>
      </c>
      <c r="P2618">
        <v>-0.97427799999999998</v>
      </c>
      <c r="Q2618">
        <v>0.18920909999999999</v>
      </c>
      <c r="R2618">
        <v>-0.1224027</v>
      </c>
      <c r="S2618">
        <v>-3.0319820000000002</v>
      </c>
      <c r="T2618">
        <v>-6.4847349999999998E-2</v>
      </c>
      <c r="U2618">
        <v>-0.47753909999999999</v>
      </c>
      <c r="V2618">
        <v>-0.1226231</v>
      </c>
      <c r="W2618">
        <v>0.20158239999999999</v>
      </c>
      <c r="X2618">
        <v>0.97176549999999995</v>
      </c>
      <c r="Y2618">
        <v>-0.1557481</v>
      </c>
      <c r="Z2618">
        <v>-2.6537309999999999E-3</v>
      </c>
      <c r="AA2618">
        <v>0.98779329999999999</v>
      </c>
      <c r="AB2618">
        <v>28</v>
      </c>
      <c r="AC2618">
        <v>-51.660499999999999</v>
      </c>
      <c r="AD2618">
        <v>-1.1105546161090001</v>
      </c>
      <c r="AE2618">
        <v>-8.1782000000000004</v>
      </c>
      <c r="AF2618">
        <v>-8.1860836323840491</v>
      </c>
      <c r="AG2618">
        <v>-1.1105546161090001</v>
      </c>
      <c r="AH2618">
        <v>51.6353876155666</v>
      </c>
      <c r="AI2618">
        <v>91.216913009420495</v>
      </c>
      <c r="AJ2618">
        <v>99.008488150640403</v>
      </c>
      <c r="AK2618">
        <v>52.292050552656299</v>
      </c>
      <c r="AL2618">
        <v>78.370491698702494</v>
      </c>
      <c r="AM2618">
        <v>97.191908036502099</v>
      </c>
      <c r="AN2618">
        <v>1.0000000378167999</v>
      </c>
    </row>
    <row r="2619" spans="1:40" x14ac:dyDescent="0.25">
      <c r="A2619" t="str">
        <f>"20190304155108702"</f>
        <v>20190304155108702</v>
      </c>
      <c r="B2619" t="str">
        <f>"1551685868699522"</f>
        <v>1551685868699522</v>
      </c>
      <c r="C2619" t="s">
        <v>40</v>
      </c>
      <c r="D2619">
        <v>5.0158329999999998</v>
      </c>
      <c r="E2619">
        <v>0.4827282</v>
      </c>
      <c r="F2619" t="s">
        <v>62</v>
      </c>
      <c r="G2619">
        <v>-491.17329999999998</v>
      </c>
      <c r="H2619" s="1">
        <v>3.0603850000000002E-6</v>
      </c>
      <c r="I2619">
        <v>278.57870000000003</v>
      </c>
      <c r="J2619">
        <v>-448.42829999999998</v>
      </c>
      <c r="K2619">
        <v>1.110579</v>
      </c>
      <c r="L2619">
        <v>285.50510000000003</v>
      </c>
      <c r="M2619">
        <v>-0.9999188</v>
      </c>
      <c r="N2619">
        <v>-1.274223E-2</v>
      </c>
      <c r="O2619">
        <v>1.825675E-4</v>
      </c>
      <c r="P2619">
        <v>-0.97433780000000003</v>
      </c>
      <c r="Q2619">
        <v>0.18865670000000001</v>
      </c>
      <c r="R2619">
        <v>-0.122779</v>
      </c>
      <c r="S2619">
        <v>-3.033112</v>
      </c>
      <c r="T2619">
        <v>-7.8294989999999995E-2</v>
      </c>
      <c r="U2619">
        <v>-0.48831180000000002</v>
      </c>
      <c r="V2619">
        <v>-0.1229643</v>
      </c>
      <c r="W2619">
        <v>0.2010518</v>
      </c>
      <c r="X2619">
        <v>0.97183229999999998</v>
      </c>
      <c r="Y2619">
        <v>-0.15904949999999901</v>
      </c>
      <c r="Z2619">
        <v>-3.0618059999999998E-3</v>
      </c>
      <c r="AA2619">
        <v>0.98726590000000003</v>
      </c>
      <c r="AB2619">
        <v>27</v>
      </c>
      <c r="AC2619">
        <v>-42.744999999999997</v>
      </c>
      <c r="AD2619">
        <v>-1.1105759396149999</v>
      </c>
      <c r="AE2619">
        <v>-6.9264000000000001</v>
      </c>
      <c r="AF2619">
        <v>-6.9296462976262196</v>
      </c>
      <c r="AG2619">
        <v>-1.1105759396149999</v>
      </c>
      <c r="AH2619">
        <v>42.715637862457299</v>
      </c>
      <c r="AI2619">
        <v>91.470102996993504</v>
      </c>
      <c r="AJ2619">
        <v>99.214667834126502</v>
      </c>
      <c r="AK2619">
        <v>43.288325154993601</v>
      </c>
      <c r="AL2619">
        <v>78.4015282132398</v>
      </c>
      <c r="AM2619">
        <v>97.211218702944095</v>
      </c>
      <c r="AN2619">
        <v>1.0000000323405001</v>
      </c>
    </row>
    <row r="2620" spans="1:40" x14ac:dyDescent="0.25">
      <c r="A2620" t="str">
        <f>"20190304155108724"</f>
        <v>20190304155108724</v>
      </c>
      <c r="B2620" t="str">
        <f>"1551685868719042"</f>
        <v>1551685868719042</v>
      </c>
      <c r="C2620" t="s">
        <v>40</v>
      </c>
      <c r="D2620">
        <v>4.9934339999999997</v>
      </c>
      <c r="E2620">
        <v>0.48203620000000003</v>
      </c>
      <c r="F2620" t="s">
        <v>62</v>
      </c>
      <c r="G2620">
        <v>-484.31599999999997</v>
      </c>
      <c r="H2620" s="1">
        <v>2.5249589999999999E-6</v>
      </c>
      <c r="I2620">
        <v>279.59010000000001</v>
      </c>
      <c r="J2620">
        <v>-448.70119999999997</v>
      </c>
      <c r="K2620">
        <v>1.110589</v>
      </c>
      <c r="L2620">
        <v>285.505</v>
      </c>
      <c r="M2620">
        <v>-0.99991839999999999</v>
      </c>
      <c r="N2620">
        <v>-1.277736E-2</v>
      </c>
      <c r="O2620">
        <v>1.245114E-4</v>
      </c>
      <c r="P2620">
        <v>-0.97425229999999996</v>
      </c>
      <c r="Q2620">
        <v>0.18843470000000001</v>
      </c>
      <c r="R2620">
        <v>-0.1237948</v>
      </c>
      <c r="S2620">
        <v>-3.0341800000000001</v>
      </c>
      <c r="T2620">
        <v>-9.3895439999999997E-2</v>
      </c>
      <c r="U2620">
        <v>-0.50009159999999997</v>
      </c>
      <c r="V2620">
        <v>-0.1239295</v>
      </c>
      <c r="W2620">
        <v>0.20085929999999999</v>
      </c>
      <c r="X2620">
        <v>0.97174950000000004</v>
      </c>
      <c r="Y2620">
        <v>-0.16264029999999999</v>
      </c>
      <c r="Z2620">
        <v>-3.5477299999999998E-3</v>
      </c>
      <c r="AA2620">
        <v>0.98667910000000003</v>
      </c>
      <c r="AB2620">
        <v>27</v>
      </c>
      <c r="AC2620">
        <v>-35.614800000000002</v>
      </c>
      <c r="AD2620">
        <v>-1.1105864750409999</v>
      </c>
      <c r="AE2620">
        <v>-5.9148999999999798</v>
      </c>
      <c r="AF2620">
        <v>-5.9137386169810302</v>
      </c>
      <c r="AG2620">
        <v>-1.1105864750409999</v>
      </c>
      <c r="AH2620">
        <v>35.580393604645899</v>
      </c>
      <c r="AI2620">
        <v>91.763639163443202</v>
      </c>
      <c r="AJ2620">
        <v>99.436739240953997</v>
      </c>
      <c r="AK2620">
        <v>36.085594297587001</v>
      </c>
      <c r="AL2620">
        <v>78.412787364343302</v>
      </c>
      <c r="AM2620">
        <v>97.267832462747094</v>
      </c>
      <c r="AN2620">
        <v>1.0000000350584899</v>
      </c>
    </row>
    <row r="2621" spans="1:40" x14ac:dyDescent="0.25">
      <c r="A2621" t="str">
        <f>"20190304155108746"</f>
        <v>20190304155108746</v>
      </c>
      <c r="B2621" t="str">
        <f>"1551685868739542"</f>
        <v>1551685868739542</v>
      </c>
      <c r="C2621" t="s">
        <v>40</v>
      </c>
      <c r="D2621">
        <v>5.1072189999999997</v>
      </c>
      <c r="E2621">
        <v>0.48192960000000001</v>
      </c>
      <c r="F2621" t="s">
        <v>62</v>
      </c>
      <c r="G2621">
        <v>-482.33850000000001</v>
      </c>
      <c r="H2621" s="1">
        <v>2.205635E-6</v>
      </c>
      <c r="I2621">
        <v>279.87009999999998</v>
      </c>
      <c r="J2621">
        <v>-448.9751</v>
      </c>
      <c r="K2621">
        <v>1.1106100000000001</v>
      </c>
      <c r="L2621">
        <v>285.505</v>
      </c>
      <c r="M2621">
        <v>-0.99991790000000003</v>
      </c>
      <c r="N2621">
        <v>-1.2817800000000001E-2</v>
      </c>
      <c r="O2621" s="1">
        <v>4.7525190000000003E-5</v>
      </c>
      <c r="P2621">
        <v>-0.97416630000000004</v>
      </c>
      <c r="Q2621">
        <v>0.1880116</v>
      </c>
      <c r="R2621">
        <v>-0.12510669999999999</v>
      </c>
      <c r="S2621">
        <v>-3.0340579999999999</v>
      </c>
      <c r="T2621">
        <v>-0.1001741</v>
      </c>
      <c r="U2621">
        <v>-0.50827029999999995</v>
      </c>
      <c r="V2621">
        <v>-0.12517249999999999</v>
      </c>
      <c r="W2621">
        <v>0.2004707</v>
      </c>
      <c r="X2621">
        <v>0.97167040000000005</v>
      </c>
      <c r="Y2621">
        <v>-0.16514389999999901</v>
      </c>
      <c r="Z2621">
        <v>-3.773757E-3</v>
      </c>
      <c r="AA2621">
        <v>0.98626230000000004</v>
      </c>
      <c r="AB2621">
        <v>27</v>
      </c>
      <c r="AC2621">
        <v>-33.363399999999999</v>
      </c>
      <c r="AD2621">
        <v>-1.1106077943649999</v>
      </c>
      <c r="AE2621">
        <v>-5.6349000000000098</v>
      </c>
      <c r="AF2621">
        <v>-5.6304196675499796</v>
      </c>
      <c r="AG2621">
        <v>-1.1106077943649999</v>
      </c>
      <c r="AH2621">
        <v>33.327226310118903</v>
      </c>
      <c r="AI2621">
        <v>91.881988440537199</v>
      </c>
      <c r="AJ2621">
        <v>99.589204695675207</v>
      </c>
      <c r="AK2621">
        <v>33.8177333485188</v>
      </c>
      <c r="AL2621">
        <v>78.435514502265093</v>
      </c>
      <c r="AM2621">
        <v>97.340528024471197</v>
      </c>
      <c r="AN2621">
        <v>1.0000000112754499</v>
      </c>
    </row>
    <row r="2622" spans="1:40" x14ac:dyDescent="0.25">
      <c r="A2622" t="str">
        <f>"20190304155108768"</f>
        <v>20190304155108768</v>
      </c>
      <c r="B2622" t="str">
        <f>"1551685868759058"</f>
        <v>1551685868759058</v>
      </c>
      <c r="C2622" t="s">
        <v>40</v>
      </c>
      <c r="D2622">
        <v>4.97445</v>
      </c>
      <c r="E2622">
        <v>0.48169970000000001</v>
      </c>
      <c r="F2622" t="s">
        <v>62</v>
      </c>
      <c r="G2622">
        <v>-486.99329999999998</v>
      </c>
      <c r="H2622" s="1">
        <v>2.813598E-6</v>
      </c>
      <c r="I2622">
        <v>279.06319999999999</v>
      </c>
      <c r="J2622">
        <v>-449.24680000000001</v>
      </c>
      <c r="K2622">
        <v>1.1106290000000001</v>
      </c>
      <c r="L2622">
        <v>285.50490000000002</v>
      </c>
      <c r="M2622">
        <v>-0.99991739999999996</v>
      </c>
      <c r="N2622">
        <v>-1.285761E-2</v>
      </c>
      <c r="O2622" s="1">
        <v>-4.7867320000000003E-5</v>
      </c>
      <c r="P2622">
        <v>-0.97385759999999999</v>
      </c>
      <c r="Q2622">
        <v>0.18860859999999999</v>
      </c>
      <c r="R2622">
        <v>-0.1266022</v>
      </c>
      <c r="S2622">
        <v>-3.0307010000000001</v>
      </c>
      <c r="T2622">
        <v>-8.8534589999999996E-2</v>
      </c>
      <c r="U2622">
        <v>-0.51351930000000001</v>
      </c>
      <c r="V2622">
        <v>-0.126581</v>
      </c>
      <c r="W2622">
        <v>0.20109850000000001</v>
      </c>
      <c r="X2622">
        <v>0.9713581</v>
      </c>
      <c r="Y2622">
        <v>-0.16691039999999999</v>
      </c>
      <c r="Z2622">
        <v>-3.5004039999999999E-3</v>
      </c>
      <c r="AA2622">
        <v>0.9859658</v>
      </c>
      <c r="AB2622">
        <v>27</v>
      </c>
      <c r="AC2622">
        <v>-37.746499999999898</v>
      </c>
      <c r="AD2622">
        <v>-1.1106261864019999</v>
      </c>
      <c r="AE2622">
        <v>-6.4417000000000204</v>
      </c>
      <c r="AF2622">
        <v>-6.4344801408533598</v>
      </c>
      <c r="AG2622">
        <v>-1.1106261864019999</v>
      </c>
      <c r="AH2622">
        <v>37.715081265528902</v>
      </c>
      <c r="AI2622">
        <v>91.6627359821493</v>
      </c>
      <c r="AJ2622">
        <v>99.6818779457696</v>
      </c>
      <c r="AK2622">
        <v>38.276146358723302</v>
      </c>
      <c r="AL2622">
        <v>78.398795829669595</v>
      </c>
      <c r="AM2622">
        <v>97.424570851864999</v>
      </c>
      <c r="AN2622">
        <v>0.99999995734942904</v>
      </c>
    </row>
    <row r="2623" spans="1:40" x14ac:dyDescent="0.25">
      <c r="A2623" t="str">
        <f>"20190304155108791"</f>
        <v>20190304155108791</v>
      </c>
      <c r="B2623" t="str">
        <f>"1551685868789314"</f>
        <v>1551685868789314</v>
      </c>
      <c r="C2623" t="s">
        <v>40</v>
      </c>
      <c r="D2623">
        <v>5.0171270000000003</v>
      </c>
      <c r="E2623">
        <v>0.48085440000000002</v>
      </c>
      <c r="F2623" t="s">
        <v>62</v>
      </c>
      <c r="G2623">
        <v>-485.54390000000001</v>
      </c>
      <c r="H2623" s="1">
        <v>2.632448E-6</v>
      </c>
      <c r="I2623">
        <v>279.27800000000002</v>
      </c>
      <c r="J2623">
        <v>-449.51949999999999</v>
      </c>
      <c r="K2623">
        <v>1.110646</v>
      </c>
      <c r="L2623">
        <v>285.50479999999999</v>
      </c>
      <c r="M2623">
        <v>-0.99991680000000005</v>
      </c>
      <c r="N2623">
        <v>-1.290109E-2</v>
      </c>
      <c r="O2623">
        <v>-1.6025889999999999E-4</v>
      </c>
      <c r="P2623">
        <v>-0.97383350000000002</v>
      </c>
      <c r="Q2623">
        <v>0.1882268</v>
      </c>
      <c r="R2623">
        <v>-0.12735369999999999</v>
      </c>
      <c r="S2623">
        <v>-3.0309140000000001</v>
      </c>
      <c r="T2623">
        <v>-9.2740539999999996E-2</v>
      </c>
      <c r="U2623">
        <v>-0.51995849999999999</v>
      </c>
      <c r="V2623">
        <v>-0.12722839999999999</v>
      </c>
      <c r="W2623">
        <v>0.20075560000000001</v>
      </c>
      <c r="X2623">
        <v>0.97134450000000006</v>
      </c>
      <c r="Y2623">
        <v>-0.16881380000000001</v>
      </c>
      <c r="Z2623">
        <v>-3.6578090000000001E-3</v>
      </c>
      <c r="AA2623">
        <v>0.9856412</v>
      </c>
      <c r="AB2623">
        <v>27</v>
      </c>
      <c r="AC2623">
        <v>-36.0244</v>
      </c>
      <c r="AD2623">
        <v>-1.110643367552</v>
      </c>
      <c r="AE2623">
        <v>-6.2267999999999599</v>
      </c>
      <c r="AF2623">
        <v>-6.2152899098376002</v>
      </c>
      <c r="AG2623">
        <v>-1.110643367552</v>
      </c>
      <c r="AH2623">
        <v>35.992179133161997</v>
      </c>
      <c r="AI2623">
        <v>91.741705295694402</v>
      </c>
      <c r="AJ2623">
        <v>99.797466560272994</v>
      </c>
      <c r="AK2623">
        <v>36.541761261696699</v>
      </c>
      <c r="AL2623">
        <v>78.418852151179806</v>
      </c>
      <c r="AM2623">
        <v>97.462220329852997</v>
      </c>
      <c r="AN2623">
        <v>1.00000000718908</v>
      </c>
    </row>
    <row r="2624" spans="1:40" x14ac:dyDescent="0.25">
      <c r="A2624" t="str">
        <f>"20190304155108815"</f>
        <v>20190304155108815</v>
      </c>
      <c r="B2624" t="str">
        <f>"1551685868808834"</f>
        <v>1551685868808834</v>
      </c>
      <c r="C2624" t="s">
        <v>40</v>
      </c>
      <c r="D2624">
        <v>5.0878009999999998</v>
      </c>
      <c r="E2624">
        <v>0.48077370000000003</v>
      </c>
      <c r="F2624" t="s">
        <v>62</v>
      </c>
      <c r="G2624">
        <v>-482.60730000000001</v>
      </c>
      <c r="H2624" s="1">
        <v>2.2408440000000002E-6</v>
      </c>
      <c r="I2624">
        <v>279.72739999999999</v>
      </c>
      <c r="J2624">
        <v>-449.81670000000003</v>
      </c>
      <c r="K2624">
        <v>1.110662</v>
      </c>
      <c r="L2624">
        <v>285.50459999999998</v>
      </c>
      <c r="M2624">
        <v>-0.99991609999999997</v>
      </c>
      <c r="N2624">
        <v>-1.294972E-2</v>
      </c>
      <c r="O2624">
        <v>-2.9532650000000001E-4</v>
      </c>
      <c r="P2624">
        <v>-0.97384079999999995</v>
      </c>
      <c r="Q2624">
        <v>0.18735579999999999</v>
      </c>
      <c r="R2624">
        <v>-0.12857830000000001</v>
      </c>
      <c r="S2624">
        <v>-3.0310359999999998</v>
      </c>
      <c r="T2624">
        <v>-0.1017416</v>
      </c>
      <c r="U2624">
        <v>-0.52923580000000003</v>
      </c>
      <c r="V2624">
        <v>-0.12832679999999999</v>
      </c>
      <c r="W2624">
        <v>0.19992869999999999</v>
      </c>
      <c r="X2624">
        <v>0.97137050000000003</v>
      </c>
      <c r="Y2624">
        <v>-0.1715815</v>
      </c>
      <c r="Z2624">
        <v>-3.971034E-3</v>
      </c>
      <c r="AA2624">
        <v>0.98516190000000003</v>
      </c>
      <c r="AB2624">
        <v>27</v>
      </c>
      <c r="AC2624">
        <v>-32.790599999999898</v>
      </c>
      <c r="AD2624">
        <v>-1.1106597591559999</v>
      </c>
      <c r="AE2624">
        <v>-5.7771999999999899</v>
      </c>
      <c r="AF2624">
        <v>-5.7611044843479098</v>
      </c>
      <c r="AG2624">
        <v>-1.1106597591559999</v>
      </c>
      <c r="AH2624">
        <v>32.755856649922499</v>
      </c>
      <c r="AI2624">
        <v>91.912660767571495</v>
      </c>
      <c r="AJ2624">
        <v>99.975167727859699</v>
      </c>
      <c r="AK2624">
        <v>33.277169874411697</v>
      </c>
      <c r="AL2624">
        <v>78.467209785877003</v>
      </c>
      <c r="AM2624">
        <v>97.525709372125405</v>
      </c>
      <c r="AN2624">
        <v>0.99999995047608803</v>
      </c>
    </row>
    <row r="2625" spans="1:40" x14ac:dyDescent="0.25">
      <c r="A2625" t="str">
        <f>"20190304155108837"</f>
        <v>20190304155108837</v>
      </c>
      <c r="B2625" t="str">
        <f>"1551685868829330"</f>
        <v>1551685868829330</v>
      </c>
      <c r="C2625" t="s">
        <v>40</v>
      </c>
      <c r="D2625">
        <v>5.034586</v>
      </c>
      <c r="E2625">
        <v>0.48077059999999999</v>
      </c>
      <c r="F2625" t="s">
        <v>62</v>
      </c>
      <c r="G2625">
        <v>-480.95150000000001</v>
      </c>
      <c r="H2625" s="1">
        <v>1.9736320000000001E-6</v>
      </c>
      <c r="I2625">
        <v>280.03059999999999</v>
      </c>
      <c r="J2625">
        <v>-450.07569999999998</v>
      </c>
      <c r="K2625">
        <v>1.11067</v>
      </c>
      <c r="L2625">
        <v>285.50439999999998</v>
      </c>
      <c r="M2625">
        <v>-0.99991560000000002</v>
      </c>
      <c r="N2625">
        <v>-1.298945E-2</v>
      </c>
      <c r="O2625">
        <v>-4.2326750000000002E-4</v>
      </c>
      <c r="P2625">
        <v>-0.97376370000000001</v>
      </c>
      <c r="Q2625">
        <v>0.1869471</v>
      </c>
      <c r="R2625">
        <v>-0.12975010000000001</v>
      </c>
      <c r="S2625">
        <v>-3.0310060000000001</v>
      </c>
      <c r="T2625">
        <v>-0.108124</v>
      </c>
      <c r="U2625">
        <v>-0.53289790000000004</v>
      </c>
      <c r="V2625">
        <v>-0.12937760000000001</v>
      </c>
      <c r="W2625">
        <v>0.19955490000000001</v>
      </c>
      <c r="X2625">
        <v>0.97130799999999995</v>
      </c>
      <c r="Y2625">
        <v>-0.17259650000000001</v>
      </c>
      <c r="Z2625">
        <v>-4.1746090000000001E-3</v>
      </c>
      <c r="AA2625">
        <v>0.98498370000000002</v>
      </c>
      <c r="AB2625">
        <v>27</v>
      </c>
      <c r="AC2625">
        <v>-30.875800000000002</v>
      </c>
      <c r="AD2625">
        <v>-1.110668026368</v>
      </c>
      <c r="AE2625">
        <v>-5.4737999999999802</v>
      </c>
      <c r="AF2625">
        <v>-5.4538874402682396</v>
      </c>
      <c r="AG2625">
        <v>-1.110668026368</v>
      </c>
      <c r="AH2625">
        <v>30.839424313842599</v>
      </c>
      <c r="AI2625">
        <v>92.031100361854399</v>
      </c>
      <c r="AJ2625">
        <v>100.028943938316</v>
      </c>
      <c r="AK2625">
        <v>31.3376540871384</v>
      </c>
      <c r="AL2625">
        <v>78.489067711929394</v>
      </c>
      <c r="AM2625">
        <v>97.587100980470296</v>
      </c>
      <c r="AN2625">
        <v>0.99999997617988401</v>
      </c>
    </row>
    <row r="2626" spans="1:40" x14ac:dyDescent="0.25">
      <c r="A2626" t="str">
        <f>"20190304155108859"</f>
        <v>20190304155108859</v>
      </c>
      <c r="B2626" t="str">
        <f>"1551685868848851"</f>
        <v>1551685868848851</v>
      </c>
      <c r="C2626" t="s">
        <v>40</v>
      </c>
      <c r="D2626">
        <v>4.9657349999999996</v>
      </c>
      <c r="E2626">
        <v>0.48063909999999999</v>
      </c>
      <c r="F2626" t="s">
        <v>62</v>
      </c>
      <c r="G2626">
        <v>-479.8057</v>
      </c>
      <c r="H2626" s="1">
        <v>1.8842460000000001E-6</v>
      </c>
      <c r="I2626">
        <v>280.25290000000001</v>
      </c>
      <c r="J2626">
        <v>-450.35050000000001</v>
      </c>
      <c r="K2626">
        <v>1.1106879999999999</v>
      </c>
      <c r="L2626">
        <v>285.50409999999999</v>
      </c>
      <c r="M2626">
        <v>-0.99991509999999995</v>
      </c>
      <c r="N2626">
        <v>-1.3027540000000001E-2</v>
      </c>
      <c r="O2626">
        <v>-5.7016100000000002E-4</v>
      </c>
      <c r="P2626">
        <v>-0.97369620000000001</v>
      </c>
      <c r="Q2626">
        <v>0.18650549999999999</v>
      </c>
      <c r="R2626">
        <v>-0.130888</v>
      </c>
      <c r="S2626">
        <v>-3.0312190000000001</v>
      </c>
      <c r="T2626">
        <v>-0.113242</v>
      </c>
      <c r="U2626">
        <v>-0.53543090000000004</v>
      </c>
      <c r="V2626">
        <v>-0.13037650000000001</v>
      </c>
      <c r="W2626">
        <v>0.19914660000000001</v>
      </c>
      <c r="X2626">
        <v>0.97125830000000002</v>
      </c>
      <c r="Y2626">
        <v>-0.1732254</v>
      </c>
      <c r="Z2626">
        <v>-4.3336049999999999E-3</v>
      </c>
      <c r="AA2626">
        <v>0.98487259999999999</v>
      </c>
      <c r="AB2626">
        <v>27</v>
      </c>
      <c r="AC2626">
        <v>-29.455199999999898</v>
      </c>
      <c r="AD2626">
        <v>-1.110686115754</v>
      </c>
      <c r="AE2626">
        <v>-5.2511999999999803</v>
      </c>
      <c r="AF2626">
        <v>-5.2272000834446901</v>
      </c>
      <c r="AG2626">
        <v>-1.110686115754</v>
      </c>
      <c r="AH2626">
        <v>29.4176499939487</v>
      </c>
      <c r="AI2626">
        <v>92.128903572472495</v>
      </c>
      <c r="AJ2626">
        <v>100.07568088945099</v>
      </c>
      <c r="AK2626">
        <v>29.899086533313401</v>
      </c>
      <c r="AL2626">
        <v>78.512941528701305</v>
      </c>
      <c r="AM2626">
        <v>97.6453759277599</v>
      </c>
      <c r="AN2626">
        <v>1.00000004268134</v>
      </c>
    </row>
    <row r="2627" spans="1:40" x14ac:dyDescent="0.25">
      <c r="A2627" t="str">
        <f>"20190304155108881"</f>
        <v>20190304155108881</v>
      </c>
      <c r="B2627" t="str">
        <f>"1551685868869346"</f>
        <v>1551685868869346</v>
      </c>
      <c r="C2627" t="s">
        <v>40</v>
      </c>
      <c r="D2627">
        <v>4.8820969999999999</v>
      </c>
      <c r="E2627">
        <v>0.48037210000000002</v>
      </c>
      <c r="F2627" t="s">
        <v>62</v>
      </c>
      <c r="G2627">
        <v>-479.03339999999997</v>
      </c>
      <c r="H2627" s="1">
        <v>2.239221E-6</v>
      </c>
      <c r="I2627">
        <v>280.39580000000001</v>
      </c>
      <c r="J2627">
        <v>-450.61610000000002</v>
      </c>
      <c r="K2627">
        <v>1.110698</v>
      </c>
      <c r="L2627">
        <v>285.50380000000001</v>
      </c>
      <c r="M2627">
        <v>-0.99991450000000004</v>
      </c>
      <c r="N2627">
        <v>-1.306073E-2</v>
      </c>
      <c r="O2627">
        <v>-7.2574490000000005E-4</v>
      </c>
      <c r="P2627">
        <v>-0.97368739999999998</v>
      </c>
      <c r="Q2627">
        <v>0.1857733</v>
      </c>
      <c r="R2627">
        <v>-0.1319902</v>
      </c>
      <c r="S2627">
        <v>-3.030945</v>
      </c>
      <c r="T2627">
        <v>-0.11736729999999999</v>
      </c>
      <c r="U2627">
        <v>-0.53979489999999997</v>
      </c>
      <c r="V2627">
        <v>-0.13133149999999999</v>
      </c>
      <c r="W2627">
        <v>0.1984437</v>
      </c>
      <c r="X2627">
        <v>0.97127350000000001</v>
      </c>
      <c r="Y2627">
        <v>-0.17445069999999999</v>
      </c>
      <c r="Z2627">
        <v>-4.480291E-3</v>
      </c>
      <c r="AA2627">
        <v>0.98465570000000002</v>
      </c>
      <c r="AB2627">
        <v>27</v>
      </c>
      <c r="AC2627">
        <v>-28.417299999999901</v>
      </c>
      <c r="AD2627">
        <v>-1.110695760779</v>
      </c>
      <c r="AE2627">
        <v>-5.1079999999999997</v>
      </c>
      <c r="AF2627">
        <v>-5.0798558167611603</v>
      </c>
      <c r="AG2627">
        <v>-1.110695760779</v>
      </c>
      <c r="AH2627">
        <v>28.3790035770655</v>
      </c>
      <c r="AI2627">
        <v>92.206263426845695</v>
      </c>
      <c r="AJ2627">
        <v>100.148494138838</v>
      </c>
      <c r="AK2627">
        <v>28.851454455870801</v>
      </c>
      <c r="AL2627">
        <v>78.554034861598197</v>
      </c>
      <c r="AM2627">
        <v>97.700589192108296</v>
      </c>
      <c r="AN2627">
        <v>1.00000003838209</v>
      </c>
    </row>
    <row r="2628" spans="1:40" x14ac:dyDescent="0.25">
      <c r="A2628" t="str">
        <f>"20190304155108903"</f>
        <v>20190304155108903</v>
      </c>
      <c r="B2628" t="str">
        <f>"1551685868899602"</f>
        <v>1551685868899602</v>
      </c>
      <c r="C2628" t="s">
        <v>40</v>
      </c>
      <c r="D2628">
        <v>4.9050089999999997</v>
      </c>
      <c r="E2628">
        <v>0.47966779999999998</v>
      </c>
      <c r="F2628" t="s">
        <v>62</v>
      </c>
      <c r="G2628">
        <v>-478.38440000000003</v>
      </c>
      <c r="H2628" s="1">
        <v>2.5366610000000002E-6</v>
      </c>
      <c r="I2628">
        <v>280.50639999999999</v>
      </c>
      <c r="J2628">
        <v>-450.88549999999998</v>
      </c>
      <c r="K2628">
        <v>1.1107129999999901</v>
      </c>
      <c r="L2628">
        <v>285.5034</v>
      </c>
      <c r="M2628">
        <v>-0.99991390000000002</v>
      </c>
      <c r="N2628">
        <v>-1.309101E-2</v>
      </c>
      <c r="O2628">
        <v>-9.0066889999999996E-4</v>
      </c>
      <c r="P2628">
        <v>-0.9737053</v>
      </c>
      <c r="Q2628">
        <v>0.1847985</v>
      </c>
      <c r="R2628">
        <v>-0.13322049999999999</v>
      </c>
      <c r="S2628">
        <v>-3.0302730000000002</v>
      </c>
      <c r="T2628">
        <v>-0.121207</v>
      </c>
      <c r="U2628">
        <v>-0.54534910000000003</v>
      </c>
      <c r="V2628">
        <v>-0.1323975</v>
      </c>
      <c r="W2628">
        <v>0.1974949</v>
      </c>
      <c r="X2628">
        <v>0.97132209999999997</v>
      </c>
      <c r="Y2628">
        <v>-0.17605299999999999</v>
      </c>
      <c r="Z2628">
        <v>-4.6296840000000002E-3</v>
      </c>
      <c r="AA2628">
        <v>0.98436979999999996</v>
      </c>
      <c r="AB2628">
        <v>27</v>
      </c>
      <c r="AC2628">
        <v>-27.498899999999999</v>
      </c>
      <c r="AD2628">
        <v>-1.1107104633389999</v>
      </c>
      <c r="AE2628">
        <v>-4.9970000000000097</v>
      </c>
      <c r="AF2628">
        <v>-4.9643882354381397</v>
      </c>
      <c r="AG2628">
        <v>-1.1107104633389999</v>
      </c>
      <c r="AH2628">
        <v>27.46002252209</v>
      </c>
      <c r="AI2628">
        <v>92.279343497016598</v>
      </c>
      <c r="AJ2628">
        <v>100.247590113374</v>
      </c>
      <c r="AK2628">
        <v>27.9272566715605</v>
      </c>
      <c r="AL2628">
        <v>78.609494047230996</v>
      </c>
      <c r="AM2628">
        <v>97.761951167765204</v>
      </c>
      <c r="AN2628">
        <v>0.999999977740334</v>
      </c>
    </row>
    <row r="2629" spans="1:40" x14ac:dyDescent="0.25">
      <c r="A2629" t="str">
        <f>"20190304155108925"</f>
        <v>20190304155108925</v>
      </c>
      <c r="B2629" t="str">
        <f>"1551685868919122"</f>
        <v>1551685868919122</v>
      </c>
      <c r="C2629" t="s">
        <v>40</v>
      </c>
      <c r="D2629">
        <v>5.0499419999999997</v>
      </c>
      <c r="E2629">
        <v>0.47963470000000002</v>
      </c>
      <c r="F2629" t="s">
        <v>62</v>
      </c>
      <c r="G2629">
        <v>-477.69529999999997</v>
      </c>
      <c r="H2629" s="1">
        <v>2.8499509999999999E-6</v>
      </c>
      <c r="I2629">
        <v>280.59429999999998</v>
      </c>
      <c r="J2629">
        <v>-451.161</v>
      </c>
      <c r="K2629">
        <v>1.1107309999999999</v>
      </c>
      <c r="L2629">
        <v>285.50290000000001</v>
      </c>
      <c r="M2629">
        <v>-0.9999133</v>
      </c>
      <c r="N2629">
        <v>-1.312291E-2</v>
      </c>
      <c r="O2629">
        <v>-1.101173E-3</v>
      </c>
      <c r="P2629">
        <v>-0.97362400000000004</v>
      </c>
      <c r="Q2629">
        <v>0.18435799999999999</v>
      </c>
      <c r="R2629">
        <v>-0.13441919999999999</v>
      </c>
      <c r="S2629">
        <v>-3.0289920000000001</v>
      </c>
      <c r="T2629">
        <v>-0.12548879999999901</v>
      </c>
      <c r="U2629">
        <v>-0.55462650000000002</v>
      </c>
      <c r="V2629">
        <v>-0.13340929999999901</v>
      </c>
      <c r="W2629">
        <v>0.1970788</v>
      </c>
      <c r="X2629">
        <v>0.97126820000000003</v>
      </c>
      <c r="Y2629">
        <v>-0.17883180000000001</v>
      </c>
      <c r="Z2629">
        <v>-4.8252260000000002E-3</v>
      </c>
      <c r="AA2629">
        <v>0.98386779999999996</v>
      </c>
      <c r="AB2629">
        <v>27</v>
      </c>
      <c r="AC2629">
        <v>-26.534299999999899</v>
      </c>
      <c r="AD2629">
        <v>-1.1107281500489901</v>
      </c>
      <c r="AE2629">
        <v>-4.9086000000000301</v>
      </c>
      <c r="AF2629">
        <v>-4.8711225787014101</v>
      </c>
      <c r="AG2629">
        <v>-1.1107281500489901</v>
      </c>
      <c r="AH2629">
        <v>26.494799827485899</v>
      </c>
      <c r="AI2629">
        <v>92.361050366448694</v>
      </c>
      <c r="AJ2629">
        <v>100.417607564809</v>
      </c>
      <c r="AK2629">
        <v>26.961750130482798</v>
      </c>
      <c r="AL2629">
        <v>78.633813107190093</v>
      </c>
      <c r="AM2629">
        <v>97.820966412694702</v>
      </c>
      <c r="AN2629">
        <v>1.00000000553358</v>
      </c>
    </row>
    <row r="2630" spans="1:40" x14ac:dyDescent="0.25">
      <c r="A2630" t="str">
        <f>"20190304155108948"</f>
        <v>20190304155108948</v>
      </c>
      <c r="B2630" t="str">
        <f>"1551685868939618"</f>
        <v>1551685868939618</v>
      </c>
      <c r="C2630" t="s">
        <v>40</v>
      </c>
      <c r="D2630">
        <v>4.9586980000000001</v>
      </c>
      <c r="E2630">
        <v>0.47947879999999998</v>
      </c>
      <c r="F2630" t="s">
        <v>62</v>
      </c>
      <c r="G2630">
        <v>-477.11279999999999</v>
      </c>
      <c r="H2630" s="1">
        <v>3.1188469999999999E-6</v>
      </c>
      <c r="I2630">
        <v>280.71539999999999</v>
      </c>
      <c r="J2630">
        <v>-451.4273</v>
      </c>
      <c r="K2630">
        <v>1.110754</v>
      </c>
      <c r="L2630">
        <v>285.50229999999999</v>
      </c>
      <c r="M2630">
        <v>-0.99991269999999999</v>
      </c>
      <c r="N2630">
        <v>-1.315524E-2</v>
      </c>
      <c r="O2630">
        <v>-1.3219929999999901E-3</v>
      </c>
      <c r="P2630">
        <v>-0.97350380000000003</v>
      </c>
      <c r="Q2630">
        <v>0.1842239</v>
      </c>
      <c r="R2630">
        <v>-0.13547029999999999</v>
      </c>
      <c r="S2630">
        <v>-3.0286559999999998</v>
      </c>
      <c r="T2630">
        <v>-0.1296252</v>
      </c>
      <c r="U2630">
        <v>-0.55871579999999998</v>
      </c>
      <c r="V2630">
        <v>-0.13425429999999999</v>
      </c>
      <c r="W2630">
        <v>0.19696849999999999</v>
      </c>
      <c r="X2630">
        <v>0.97117410000000004</v>
      </c>
      <c r="Y2630">
        <v>-0.17990599999999901</v>
      </c>
      <c r="Z2630">
        <v>-4.971194E-3</v>
      </c>
      <c r="AA2630">
        <v>0.98367119999999997</v>
      </c>
      <c r="AB2630">
        <v>27</v>
      </c>
      <c r="AC2630">
        <v>-25.685499999999902</v>
      </c>
      <c r="AD2630">
        <v>-1.110750881153</v>
      </c>
      <c r="AE2630">
        <v>-4.7869000000000002</v>
      </c>
      <c r="AF2630">
        <v>-4.7443623626559202</v>
      </c>
      <c r="AG2630">
        <v>-1.110750881153</v>
      </c>
      <c r="AH2630">
        <v>25.645457411758098</v>
      </c>
      <c r="AI2630">
        <v>92.438704071545402</v>
      </c>
      <c r="AJ2630">
        <v>100.481116055494</v>
      </c>
      <c r="AK2630">
        <v>26.104256886693101</v>
      </c>
      <c r="AL2630">
        <v>78.640258771377802</v>
      </c>
      <c r="AM2630">
        <v>97.870637743741497</v>
      </c>
      <c r="AN2630">
        <v>0.99999996978577399</v>
      </c>
    </row>
    <row r="2631" spans="1:40" x14ac:dyDescent="0.25">
      <c r="A2631" t="str">
        <f>"20190304155108970"</f>
        <v>20190304155108970</v>
      </c>
      <c r="B2631" t="str">
        <f>"1551685868958889"</f>
        <v>1551685868958889</v>
      </c>
      <c r="C2631" t="s">
        <v>40</v>
      </c>
      <c r="D2631">
        <v>5.0962459999999998</v>
      </c>
      <c r="E2631">
        <v>0.47943989999999997</v>
      </c>
      <c r="F2631" t="s">
        <v>62</v>
      </c>
      <c r="G2631">
        <v>-477.31369999999998</v>
      </c>
      <c r="H2631" s="1">
        <v>3.0270110000000001E-6</v>
      </c>
      <c r="I2631">
        <v>280.6841</v>
      </c>
      <c r="J2631">
        <v>-451.70170000000002</v>
      </c>
      <c r="K2631">
        <v>1.1107769999999999</v>
      </c>
      <c r="L2631">
        <v>285.50170000000003</v>
      </c>
      <c r="M2631">
        <v>-0.99991180000000002</v>
      </c>
      <c r="N2631">
        <v>-1.3186170000000001E-2</v>
      </c>
      <c r="O2631">
        <v>-1.58687E-3</v>
      </c>
      <c r="P2631">
        <v>-0.97339209999999998</v>
      </c>
      <c r="Q2631">
        <v>0.18457709999999999</v>
      </c>
      <c r="R2631">
        <v>-0.1357911</v>
      </c>
      <c r="S2631">
        <v>-3.0278019999999999</v>
      </c>
      <c r="T2631">
        <v>-0.129918899999999</v>
      </c>
      <c r="U2631">
        <v>-0.56356809999999902</v>
      </c>
      <c r="V2631">
        <v>-0.1343287</v>
      </c>
      <c r="W2631">
        <v>0.19734299999999999</v>
      </c>
      <c r="X2631">
        <v>0.97108779999999995</v>
      </c>
      <c r="Y2631">
        <v>-0.1812164</v>
      </c>
      <c r="Z2631">
        <v>-5.0120119999999997E-3</v>
      </c>
      <c r="AA2631">
        <v>0.98343040000000004</v>
      </c>
      <c r="AB2631">
        <v>27</v>
      </c>
      <c r="AC2631">
        <v>-25.611999999999899</v>
      </c>
      <c r="AD2631">
        <v>-1.1107739729889901</v>
      </c>
      <c r="AE2631">
        <v>-4.8176000000000201</v>
      </c>
      <c r="AF2631">
        <v>-4.7682853230139699</v>
      </c>
      <c r="AG2631">
        <v>-1.1107739729889901</v>
      </c>
      <c r="AH2631">
        <v>25.573156611758701</v>
      </c>
      <c r="AI2631">
        <v>92.445001699618501</v>
      </c>
      <c r="AJ2631">
        <v>100.56189553474</v>
      </c>
      <c r="AK2631">
        <v>26.0376017104164</v>
      </c>
      <c r="AL2631">
        <v>78.618372111749906</v>
      </c>
      <c r="AM2631">
        <v>97.875635783971504</v>
      </c>
      <c r="AN2631">
        <v>0.999999987300764</v>
      </c>
    </row>
    <row r="2632" spans="1:40" x14ac:dyDescent="0.25">
      <c r="A2632" t="str">
        <f>"20190304155108993"</f>
        <v>20190304155108993</v>
      </c>
      <c r="B2632" t="str">
        <f>"1551685868989145"</f>
        <v>1551685868989145</v>
      </c>
      <c r="C2632" t="s">
        <v>40</v>
      </c>
      <c r="D2632">
        <v>5.0754380000000001</v>
      </c>
      <c r="E2632">
        <v>0.4793656</v>
      </c>
      <c r="F2632" t="s">
        <v>62</v>
      </c>
      <c r="G2632">
        <v>-477.74700000000001</v>
      </c>
      <c r="H2632" s="1">
        <v>2.8308449999999998E-6</v>
      </c>
      <c r="I2632">
        <v>280.63799999999998</v>
      </c>
      <c r="J2632">
        <v>-451.96969999999999</v>
      </c>
      <c r="K2632">
        <v>1.110806</v>
      </c>
      <c r="L2632">
        <v>285.5009</v>
      </c>
      <c r="M2632">
        <v>-0.99991099999999999</v>
      </c>
      <c r="N2632">
        <v>-1.321284E-2</v>
      </c>
      <c r="O2632">
        <v>-1.8755569999999999E-3</v>
      </c>
      <c r="P2632">
        <v>-0.97319100000000003</v>
      </c>
      <c r="Q2632">
        <v>0.18467220000000001</v>
      </c>
      <c r="R2632">
        <v>-0.13709679999999999</v>
      </c>
      <c r="S2632">
        <v>-3.0275569999999998</v>
      </c>
      <c r="T2632">
        <v>-0.1291187</v>
      </c>
      <c r="U2632">
        <v>-0.56536869999999995</v>
      </c>
      <c r="V2632">
        <v>-0.13536509999999999</v>
      </c>
      <c r="W2632">
        <v>0.19745380000000001</v>
      </c>
      <c r="X2632">
        <v>0.97092129999999999</v>
      </c>
      <c r="Y2632">
        <v>-0.18151390000000001</v>
      </c>
      <c r="Z2632">
        <v>-4.991199E-3</v>
      </c>
      <c r="AA2632">
        <v>0.98337569999999996</v>
      </c>
      <c r="AB2632">
        <v>27</v>
      </c>
      <c r="AC2632">
        <v>-25.777299999999901</v>
      </c>
      <c r="AD2632">
        <v>-1.110803169155</v>
      </c>
      <c r="AE2632">
        <v>-4.8629000000000202</v>
      </c>
      <c r="AF2632">
        <v>-4.8059227841781098</v>
      </c>
      <c r="AG2632">
        <v>-1.110803169155</v>
      </c>
      <c r="AH2632">
        <v>25.740220516566801</v>
      </c>
      <c r="AI2632">
        <v>92.429105290268097</v>
      </c>
      <c r="AJ2632">
        <v>100.57584994048599</v>
      </c>
      <c r="AK2632">
        <v>26.208581223133301</v>
      </c>
      <c r="AL2632">
        <v>78.611895795868605</v>
      </c>
      <c r="AM2632">
        <v>97.936971788788199</v>
      </c>
      <c r="AN2632">
        <v>0.99999994211306797</v>
      </c>
    </row>
    <row r="2633" spans="1:40" x14ac:dyDescent="0.25">
      <c r="A2633" t="str">
        <f>"20190304155109007"</f>
        <v>20190304155109007</v>
      </c>
      <c r="B2633" t="str">
        <f>"1551685868998905"</f>
        <v>1551685868998905</v>
      </c>
      <c r="C2633" t="s">
        <v>40</v>
      </c>
      <c r="D2633">
        <v>5.0537169999999998</v>
      </c>
      <c r="E2633">
        <v>0.47927429999999899</v>
      </c>
      <c r="F2633" t="s">
        <v>62</v>
      </c>
      <c r="G2633">
        <v>-478.16</v>
      </c>
      <c r="H2633" s="1">
        <v>2.641643E-6</v>
      </c>
      <c r="I2633">
        <v>280.56889999999999</v>
      </c>
      <c r="J2633">
        <v>-452.1583</v>
      </c>
      <c r="K2633">
        <v>1.110824</v>
      </c>
      <c r="L2633">
        <v>285.50040000000001</v>
      </c>
      <c r="M2633">
        <v>-0.99991039999999998</v>
      </c>
      <c r="N2633">
        <v>-1.322999E-2</v>
      </c>
      <c r="O2633">
        <v>-2.0955240000000001E-3</v>
      </c>
      <c r="P2633">
        <v>-0.97309299999999999</v>
      </c>
      <c r="Q2633">
        <v>0.18451310000000001</v>
      </c>
      <c r="R2633">
        <v>-0.13800470000000001</v>
      </c>
      <c r="S2633">
        <v>-3.0267029999999999</v>
      </c>
      <c r="T2633">
        <v>-0.12837089999999901</v>
      </c>
      <c r="U2633">
        <v>-0.56997679999999995</v>
      </c>
      <c r="V2633">
        <v>-0.13606689999999999</v>
      </c>
      <c r="W2633">
        <v>0.19730420000000001</v>
      </c>
      <c r="X2633">
        <v>0.97085370000000004</v>
      </c>
      <c r="Y2633">
        <v>-0.1827945</v>
      </c>
      <c r="Z2633">
        <v>-5.0008409999999998E-3</v>
      </c>
      <c r="AA2633">
        <v>0.98313839999999997</v>
      </c>
      <c r="AB2633">
        <v>27</v>
      </c>
      <c r="AC2633">
        <v>-26.0017</v>
      </c>
      <c r="AD2633">
        <v>-1.1108213583569999</v>
      </c>
      <c r="AE2633">
        <v>-4.9315000000000202</v>
      </c>
      <c r="AF2633">
        <v>-4.8684204196752301</v>
      </c>
      <c r="AG2633">
        <v>-1.1108213583569999</v>
      </c>
      <c r="AH2633">
        <v>25.9662326066783</v>
      </c>
      <c r="AI2633">
        <v>92.407686676450695</v>
      </c>
      <c r="AJ2633">
        <v>100.619126222224</v>
      </c>
      <c r="AK2633">
        <v>26.442024832773601</v>
      </c>
      <c r="AL2633">
        <v>78.620640239825406</v>
      </c>
      <c r="AM2633">
        <v>97.978140892714407</v>
      </c>
      <c r="AN2633">
        <v>1.00000002770846</v>
      </c>
    </row>
    <row r="2634" spans="1:40" x14ac:dyDescent="0.25">
      <c r="A2634" t="str">
        <f>"20190304155109021"</f>
        <v>20190304155109021</v>
      </c>
      <c r="B2634" t="str">
        <f>"1551685869019401"</f>
        <v>1551685869019401</v>
      </c>
      <c r="C2634" t="s">
        <v>40</v>
      </c>
      <c r="D2634">
        <v>4.9626809999999999</v>
      </c>
      <c r="E2634">
        <v>0.47889720000000002</v>
      </c>
      <c r="F2634" t="s">
        <v>62</v>
      </c>
      <c r="G2634">
        <v>-478.62529999999998</v>
      </c>
      <c r="H2634" s="1">
        <v>2.4275570000000001E-6</v>
      </c>
      <c r="I2634">
        <v>280.4803</v>
      </c>
      <c r="J2634">
        <v>-452.32940000000002</v>
      </c>
      <c r="K2634">
        <v>1.11084</v>
      </c>
      <c r="L2634">
        <v>285.49979999999999</v>
      </c>
      <c r="M2634">
        <v>-0.99990959999999995</v>
      </c>
      <c r="N2634">
        <v>-1.3243980000000001E-2</v>
      </c>
      <c r="O2634">
        <v>-2.3165360000000001E-3</v>
      </c>
      <c r="P2634">
        <v>-0.97293719999999995</v>
      </c>
      <c r="Q2634">
        <v>0.18481629999999999</v>
      </c>
      <c r="R2634">
        <v>-0.13869500000000001</v>
      </c>
      <c r="S2634">
        <v>-3.025665</v>
      </c>
      <c r="T2634">
        <v>-0.12698709999999999</v>
      </c>
      <c r="U2634">
        <v>-0.57388309999999998</v>
      </c>
      <c r="V2634">
        <v>-0.13655030000000001</v>
      </c>
      <c r="W2634">
        <v>0.19761409999999999</v>
      </c>
      <c r="X2634">
        <v>0.97072270000000005</v>
      </c>
      <c r="Y2634">
        <v>-0.18386649999999999</v>
      </c>
      <c r="Z2634">
        <v>-4.9858530000000002E-3</v>
      </c>
      <c r="AA2634">
        <v>0.9829386</v>
      </c>
      <c r="AB2634">
        <v>27</v>
      </c>
      <c r="AC2634">
        <v>-26.2958999999999</v>
      </c>
      <c r="AD2634">
        <v>-1.110837572443</v>
      </c>
      <c r="AE2634">
        <v>-5.0194999999999901</v>
      </c>
      <c r="AF2634">
        <v>-4.9500428156823304</v>
      </c>
      <c r="AG2634">
        <v>-1.110837572443</v>
      </c>
      <c r="AH2634">
        <v>26.262240046213901</v>
      </c>
      <c r="AI2634">
        <v>92.380185781804201</v>
      </c>
      <c r="AJ2634">
        <v>100.674174653097</v>
      </c>
      <c r="AK2634">
        <v>26.747750115372401</v>
      </c>
      <c r="AL2634">
        <v>78.602526632765901</v>
      </c>
      <c r="AM2634">
        <v>98.007184098507494</v>
      </c>
      <c r="AN2634">
        <v>0.99999993862209302</v>
      </c>
    </row>
    <row r="2635" spans="1:40" x14ac:dyDescent="0.25">
      <c r="A2635" t="str">
        <f>"20190304155109037"</f>
        <v>20190304155109037</v>
      </c>
      <c r="B2635" t="str">
        <f>"1551685869029161"</f>
        <v>1551685869029161</v>
      </c>
      <c r="C2635" t="s">
        <v>40</v>
      </c>
      <c r="D2635">
        <v>5.0402849999999999</v>
      </c>
      <c r="E2635">
        <v>0.47871839999999999</v>
      </c>
      <c r="F2635" t="s">
        <v>62</v>
      </c>
      <c r="G2635">
        <v>-478.66079999999999</v>
      </c>
      <c r="H2635" s="1">
        <v>2.4100100000000001E-6</v>
      </c>
      <c r="I2635">
        <v>280.4597</v>
      </c>
      <c r="J2635">
        <v>-452.51740000000001</v>
      </c>
      <c r="K2635">
        <v>1.1108629999999999</v>
      </c>
      <c r="L2635">
        <v>285.49900000000002</v>
      </c>
      <c r="M2635">
        <v>-0.99990889999999999</v>
      </c>
      <c r="N2635">
        <v>-1.325845E-2</v>
      </c>
      <c r="O2635">
        <v>-2.5757459999999999E-3</v>
      </c>
      <c r="P2635">
        <v>-0.97273370000000003</v>
      </c>
      <c r="Q2635">
        <v>0.18486839999999999</v>
      </c>
      <c r="R2635">
        <v>-0.140047</v>
      </c>
      <c r="S2635">
        <v>-3.0251459999999999</v>
      </c>
      <c r="T2635">
        <v>-0.12762119999999999</v>
      </c>
      <c r="U2635">
        <v>-0.57904049999999996</v>
      </c>
      <c r="V2635">
        <v>-0.13765949999999999</v>
      </c>
      <c r="W2635">
        <v>0.1976706</v>
      </c>
      <c r="X2635">
        <v>0.97055460000000005</v>
      </c>
      <c r="Y2635">
        <v>-0.18525620000000001</v>
      </c>
      <c r="Z2635">
        <v>-5.0369639999999997E-3</v>
      </c>
      <c r="AA2635">
        <v>0.98267729999999998</v>
      </c>
      <c r="AB2635">
        <v>27</v>
      </c>
      <c r="AC2635">
        <v>-26.1433999999999</v>
      </c>
      <c r="AD2635">
        <v>-1.1108605899899999</v>
      </c>
      <c r="AE2635">
        <v>-5.0393000000000203</v>
      </c>
      <c r="AF2635">
        <v>-4.9632984516567999</v>
      </c>
      <c r="AG2635">
        <v>-1.1108605899899999</v>
      </c>
      <c r="AH2635">
        <v>26.110840347263299</v>
      </c>
      <c r="AI2635">
        <v>92.393321161748005</v>
      </c>
      <c r="AJ2635">
        <v>100.762708479702</v>
      </c>
      <c r="AK2635">
        <v>26.601585035686899</v>
      </c>
      <c r="AL2635">
        <v>78.599225194389106</v>
      </c>
      <c r="AM2635">
        <v>98.072752383213597</v>
      </c>
      <c r="AN2635">
        <v>1.0000000178128801</v>
      </c>
    </row>
    <row r="2636" spans="1:40" x14ac:dyDescent="0.25">
      <c r="A2636" t="str">
        <f>"20190304155109060"</f>
        <v>20190304155109060</v>
      </c>
      <c r="B2636" t="str">
        <f>"1551685869049188"</f>
        <v>1551685869049188</v>
      </c>
      <c r="C2636" t="s">
        <v>40</v>
      </c>
      <c r="D2636">
        <v>4.9726059999999999</v>
      </c>
      <c r="E2636">
        <v>0.4783075</v>
      </c>
      <c r="F2636" t="s">
        <v>62</v>
      </c>
      <c r="G2636">
        <v>-478.73270000000002</v>
      </c>
      <c r="H2636" s="1">
        <v>2.375394E-6</v>
      </c>
      <c r="I2636">
        <v>280.42840000000001</v>
      </c>
      <c r="J2636">
        <v>-452.78960000000001</v>
      </c>
      <c r="K2636">
        <v>1.1108880000000001</v>
      </c>
      <c r="L2636">
        <v>285.49790000000002</v>
      </c>
      <c r="M2636">
        <v>-0.99990749999999995</v>
      </c>
      <c r="N2636">
        <v>-1.3280439999999999E-2</v>
      </c>
      <c r="O2636">
        <v>-2.9871889999999999E-3</v>
      </c>
      <c r="P2636">
        <v>-0.97259099999999998</v>
      </c>
      <c r="Q2636">
        <v>0.18452299999999999</v>
      </c>
      <c r="R2636">
        <v>-0.14148569999999999</v>
      </c>
      <c r="S2636">
        <v>-3.024292</v>
      </c>
      <c r="T2636">
        <v>-0.12815270000000001</v>
      </c>
      <c r="U2636">
        <v>-0.58496090000000001</v>
      </c>
      <c r="V2636">
        <v>-0.13871259999999999</v>
      </c>
      <c r="W2636">
        <v>0.19733500000000001</v>
      </c>
      <c r="X2636">
        <v>0.97047289999999997</v>
      </c>
      <c r="Y2636">
        <v>-0.1867547</v>
      </c>
      <c r="Z2636">
        <v>-5.0849620000000002E-3</v>
      </c>
      <c r="AA2636">
        <v>0.98239339999999997</v>
      </c>
      <c r="AB2636">
        <v>27</v>
      </c>
      <c r="AC2636">
        <v>-25.943100000000001</v>
      </c>
      <c r="AD2636">
        <v>-1.1108856246059999</v>
      </c>
      <c r="AE2636">
        <v>-5.0694999999999997</v>
      </c>
      <c r="AF2636">
        <v>-4.9831727258065301</v>
      </c>
      <c r="AG2636">
        <v>-1.1108856246059999</v>
      </c>
      <c r="AH2636">
        <v>25.912364748776302</v>
      </c>
      <c r="AI2636">
        <v>92.410698018715394</v>
      </c>
      <c r="AJ2636">
        <v>100.885581766257</v>
      </c>
      <c r="AK2636">
        <v>26.410541913406501</v>
      </c>
      <c r="AL2636">
        <v>78.618839457082899</v>
      </c>
      <c r="AM2636">
        <v>98.134361502683703</v>
      </c>
      <c r="AN2636">
        <v>0.99999996862908402</v>
      </c>
    </row>
    <row r="2637" spans="1:40" x14ac:dyDescent="0.25">
      <c r="A2637" t="str">
        <f>"20190304155109082"</f>
        <v>20190304155109082</v>
      </c>
      <c r="B2637" t="str">
        <f>"1551685869079444"</f>
        <v>1551685869079444</v>
      </c>
      <c r="C2637" t="s">
        <v>40</v>
      </c>
      <c r="D2637">
        <v>5.0927610000000003</v>
      </c>
      <c r="E2637">
        <v>0.47811700000000001</v>
      </c>
      <c r="F2637" t="s">
        <v>62</v>
      </c>
      <c r="G2637">
        <v>-478.62729999999999</v>
      </c>
      <c r="H2637" s="1">
        <v>2.4225889999999998E-6</v>
      </c>
      <c r="I2637">
        <v>280.43329999999997</v>
      </c>
      <c r="J2637">
        <v>-453.05239999999998</v>
      </c>
      <c r="K2637">
        <v>1.110919</v>
      </c>
      <c r="L2637">
        <v>285.4966</v>
      </c>
      <c r="M2637">
        <v>-0.99990570000000001</v>
      </c>
      <c r="N2637">
        <v>-1.3304409999999999E-2</v>
      </c>
      <c r="O2637">
        <v>-3.4266829999999998E-3</v>
      </c>
      <c r="P2637">
        <v>-0.97232540000000001</v>
      </c>
      <c r="Q2637">
        <v>0.1845522</v>
      </c>
      <c r="R2637">
        <v>-0.143262</v>
      </c>
      <c r="S2637">
        <v>-3.0230410000000001</v>
      </c>
      <c r="T2637">
        <v>-0.12997510000000001</v>
      </c>
      <c r="U2637">
        <v>-0.59255979999999997</v>
      </c>
      <c r="V2637">
        <v>-0.14007790000000001</v>
      </c>
      <c r="W2637">
        <v>0.1973734</v>
      </c>
      <c r="X2637">
        <v>0.97026900000000005</v>
      </c>
      <c r="Y2637">
        <v>-0.18876979999999999</v>
      </c>
      <c r="Z2637">
        <v>-5.1856630000000001E-3</v>
      </c>
      <c r="AA2637">
        <v>0.98200770000000004</v>
      </c>
      <c r="AB2637">
        <v>27</v>
      </c>
      <c r="AC2637">
        <v>-25.5749</v>
      </c>
      <c r="AD2637">
        <v>-1.1109165774109999</v>
      </c>
      <c r="AE2637">
        <v>-5.0633000000000203</v>
      </c>
      <c r="AF2637">
        <v>-4.9666077069283396</v>
      </c>
      <c r="AG2637">
        <v>-1.1109165774109999</v>
      </c>
      <c r="AH2637">
        <v>25.5457190077794</v>
      </c>
      <c r="AI2637">
        <v>92.444362852470704</v>
      </c>
      <c r="AJ2637">
        <v>101.002210794628</v>
      </c>
      <c r="AK2637">
        <v>26.047746301377199</v>
      </c>
      <c r="AL2637">
        <v>78.616595575206702</v>
      </c>
      <c r="AM2637">
        <v>98.215040540649596</v>
      </c>
      <c r="AN2637">
        <v>1.0000000047284801</v>
      </c>
    </row>
    <row r="2638" spans="1:40" x14ac:dyDescent="0.25">
      <c r="A2638" t="str">
        <f>"20190304155109104"</f>
        <v>20190304155109104</v>
      </c>
      <c r="B2638" t="str">
        <f>"1551685869098967"</f>
        <v>1551685869098967</v>
      </c>
      <c r="C2638" t="s">
        <v>40</v>
      </c>
      <c r="D2638">
        <v>5.0063000000000004</v>
      </c>
      <c r="E2638">
        <v>0.47774309999999998</v>
      </c>
      <c r="F2638" t="s">
        <v>62</v>
      </c>
      <c r="G2638">
        <v>-480.0335</v>
      </c>
      <c r="H2638" s="1">
        <v>1.820531E-6</v>
      </c>
      <c r="I2638">
        <v>280.14190000000002</v>
      </c>
      <c r="J2638">
        <v>-453.33370000000002</v>
      </c>
      <c r="K2638">
        <v>1.1109560000000001</v>
      </c>
      <c r="L2638">
        <v>285.49509999999998</v>
      </c>
      <c r="M2638">
        <v>-0.99990349999999995</v>
      </c>
      <c r="N2638">
        <v>-1.3329769999999999E-2</v>
      </c>
      <c r="O2638">
        <v>-3.9420459999999899E-3</v>
      </c>
      <c r="P2638">
        <v>-0.97210090000000005</v>
      </c>
      <c r="Q2638">
        <v>0.1843534</v>
      </c>
      <c r="R2638">
        <v>-0.1450311</v>
      </c>
      <c r="S2638">
        <v>-3.0206909999999998</v>
      </c>
      <c r="T2638">
        <v>-0.1243734</v>
      </c>
      <c r="U2638">
        <v>-0.59948729999999995</v>
      </c>
      <c r="V2638">
        <v>-0.14136209999999999</v>
      </c>
      <c r="W2638">
        <v>0.197185</v>
      </c>
      <c r="X2638">
        <v>0.97012100000000001</v>
      </c>
      <c r="Y2638">
        <v>-0.19058939999999999</v>
      </c>
      <c r="Z2638">
        <v>-5.0588050000000004E-3</v>
      </c>
      <c r="AA2638">
        <v>0.9816568</v>
      </c>
      <c r="AB2638">
        <v>27</v>
      </c>
      <c r="AC2638">
        <v>-26.6997999999999</v>
      </c>
      <c r="AD2638">
        <v>-1.1109541794689901</v>
      </c>
      <c r="AE2638">
        <v>-5.3531999999999504</v>
      </c>
      <c r="AF2638">
        <v>-5.2391770866243998</v>
      </c>
      <c r="AG2638">
        <v>-1.1109541794689901</v>
      </c>
      <c r="AH2638">
        <v>26.6762966778596</v>
      </c>
      <c r="AI2638">
        <v>92.3400940149007</v>
      </c>
      <c r="AJ2638">
        <v>101.111365922255</v>
      </c>
      <c r="AK2638">
        <v>27.208601584408498</v>
      </c>
      <c r="AL2638">
        <v>78.627605990933205</v>
      </c>
      <c r="AM2638">
        <v>98.290559165365394</v>
      </c>
      <c r="AN2638">
        <v>0.99999996109120404</v>
      </c>
    </row>
    <row r="2639" spans="1:40" x14ac:dyDescent="0.25">
      <c r="A2639" t="str">
        <f>"20190304155109119"</f>
        <v>20190304155109119</v>
      </c>
      <c r="B2639" t="str">
        <f>"1551685869109700"</f>
        <v>1551685869109700</v>
      </c>
      <c r="C2639" t="s">
        <v>40</v>
      </c>
      <c r="D2639">
        <v>4.9920039999999997</v>
      </c>
      <c r="E2639">
        <v>0.47759750000000001</v>
      </c>
      <c r="F2639" t="s">
        <v>62</v>
      </c>
      <c r="G2639">
        <v>-479.88029999999998</v>
      </c>
      <c r="H2639" s="1">
        <v>1.84284E-6</v>
      </c>
      <c r="I2639">
        <v>280.15809999999999</v>
      </c>
      <c r="J2639">
        <v>-453.50650000000002</v>
      </c>
      <c r="K2639">
        <v>1.1109770000000001</v>
      </c>
      <c r="L2639">
        <v>285.4941</v>
      </c>
      <c r="M2639">
        <v>-0.99990199999999996</v>
      </c>
      <c r="N2639">
        <v>-1.334369E-2</v>
      </c>
      <c r="O2639">
        <v>-4.2844789999999999E-3</v>
      </c>
      <c r="P2639">
        <v>-0.97192449999999997</v>
      </c>
      <c r="Q2639">
        <v>0.1844461</v>
      </c>
      <c r="R2639">
        <v>-0.1460919</v>
      </c>
      <c r="S2639">
        <v>-3.019501</v>
      </c>
      <c r="T2639">
        <v>-0.12636339999999999</v>
      </c>
      <c r="U2639">
        <v>-0.60705569999999998</v>
      </c>
      <c r="V2639">
        <v>-0.14210020000000001</v>
      </c>
      <c r="W2639">
        <v>0.1972817</v>
      </c>
      <c r="X2639">
        <v>0.96999349999999995</v>
      </c>
      <c r="Y2639">
        <v>-0.19268479999999999</v>
      </c>
      <c r="Z2639">
        <v>-5.1684499999999998E-3</v>
      </c>
      <c r="AA2639">
        <v>0.98124710000000004</v>
      </c>
      <c r="AB2639">
        <v>27</v>
      </c>
      <c r="AC2639">
        <v>-26.3737999999999</v>
      </c>
      <c r="AD2639">
        <v>-1.1109751571599999</v>
      </c>
      <c r="AE2639">
        <v>-5.3360000000000101</v>
      </c>
      <c r="AF2639">
        <v>-5.2140547492481204</v>
      </c>
      <c r="AG2639">
        <v>-1.1109751571599999</v>
      </c>
      <c r="AH2639">
        <v>26.351501316607798</v>
      </c>
      <c r="AI2639">
        <v>92.3682900893305</v>
      </c>
      <c r="AJ2639">
        <v>101.19229396522201</v>
      </c>
      <c r="AK2639">
        <v>26.8853539007238</v>
      </c>
      <c r="AL2639">
        <v>78.621954495869801</v>
      </c>
      <c r="AM2639">
        <v>98.334320649740903</v>
      </c>
      <c r="AN2639">
        <v>0.99999996301858896</v>
      </c>
    </row>
    <row r="2640" spans="1:40" x14ac:dyDescent="0.25">
      <c r="A2640" t="str">
        <f>"20190304155109138"</f>
        <v>20190304155109138</v>
      </c>
      <c r="B2640" t="str">
        <f>"1551685869129220"</f>
        <v>1551685869129220</v>
      </c>
      <c r="C2640" t="s">
        <v>40</v>
      </c>
      <c r="D2640">
        <v>5.084009</v>
      </c>
      <c r="E2640">
        <v>0.4772151</v>
      </c>
      <c r="F2640" t="s">
        <v>62</v>
      </c>
      <c r="G2640">
        <v>-480.00170000000003</v>
      </c>
      <c r="H2640" s="1">
        <v>1.813675E-6</v>
      </c>
      <c r="I2640">
        <v>280.12799999999999</v>
      </c>
      <c r="J2640">
        <v>-453.733</v>
      </c>
      <c r="K2640">
        <v>1.1110070000000001</v>
      </c>
      <c r="L2640">
        <v>285.49259999999998</v>
      </c>
      <c r="M2640">
        <v>-0.99989939999999999</v>
      </c>
      <c r="N2640">
        <v>-1.3360459999999999E-2</v>
      </c>
      <c r="O2640">
        <v>-4.7556370000000001E-3</v>
      </c>
      <c r="P2640">
        <v>-0.97173790000000004</v>
      </c>
      <c r="Q2640">
        <v>0.18419569999999999</v>
      </c>
      <c r="R2640">
        <v>-0.14764150000000001</v>
      </c>
      <c r="S2640">
        <v>-3.0187680000000001</v>
      </c>
      <c r="T2640">
        <v>-0.1265802</v>
      </c>
      <c r="U2640">
        <v>-0.61138919999999997</v>
      </c>
      <c r="V2640">
        <v>-0.14320359999999999</v>
      </c>
      <c r="W2640">
        <v>0.1970363</v>
      </c>
      <c r="X2640">
        <v>0.96988110000000005</v>
      </c>
      <c r="Y2640">
        <v>-0.19362009999999999</v>
      </c>
      <c r="Z2640">
        <v>-5.1896499999999996E-3</v>
      </c>
      <c r="AA2640">
        <v>0.98106280000000001</v>
      </c>
      <c r="AB2640">
        <v>27</v>
      </c>
      <c r="AC2640">
        <v>-26.268699999999999</v>
      </c>
      <c r="AD2640">
        <v>-1.1110051863249999</v>
      </c>
      <c r="AE2640">
        <v>-5.3645999999999896</v>
      </c>
      <c r="AF2640">
        <v>-5.2306219717538198</v>
      </c>
      <c r="AG2640">
        <v>-1.1110051863249999</v>
      </c>
      <c r="AH2640">
        <v>26.2488438924428</v>
      </c>
      <c r="AI2640">
        <v>92.376968547957802</v>
      </c>
      <c r="AJ2640">
        <v>101.269740779141</v>
      </c>
      <c r="AK2640">
        <v>26.7879738768214</v>
      </c>
      <c r="AL2640">
        <v>78.6362963710787</v>
      </c>
      <c r="AM2640">
        <v>98.399076100601903</v>
      </c>
      <c r="AN2640">
        <v>0.99999996135392899</v>
      </c>
    </row>
    <row r="2641" spans="1:40" x14ac:dyDescent="0.25">
      <c r="A2641" t="str">
        <f>"20190304155109159"</f>
        <v>20190304155109159</v>
      </c>
      <c r="B2641" t="str">
        <f>"1551685869148740"</f>
        <v>1551685869148740</v>
      </c>
      <c r="C2641" t="s">
        <v>40</v>
      </c>
      <c r="D2641">
        <v>8.1924209999999995</v>
      </c>
      <c r="E2641">
        <v>0.4769835</v>
      </c>
      <c r="F2641" t="s">
        <v>62</v>
      </c>
      <c r="G2641">
        <v>-479.6952</v>
      </c>
      <c r="H2641" s="1">
        <v>1.9257239999999999E-6</v>
      </c>
      <c r="I2641">
        <v>280.16719999999998</v>
      </c>
      <c r="J2641">
        <v>-453.99560000000002</v>
      </c>
      <c r="K2641">
        <v>1.111035</v>
      </c>
      <c r="L2641">
        <v>285.4907</v>
      </c>
      <c r="M2641">
        <v>-0.99989640000000002</v>
      </c>
      <c r="N2641">
        <v>-1.3377969999999999E-2</v>
      </c>
      <c r="O2641">
        <v>-5.3348249999999996E-3</v>
      </c>
      <c r="P2641">
        <v>-0.97141169999999999</v>
      </c>
      <c r="Q2641">
        <v>0.18432109999999999</v>
      </c>
      <c r="R2641">
        <v>-0.1496178</v>
      </c>
      <c r="S2641">
        <v>-3.0176699999999999</v>
      </c>
      <c r="T2641">
        <v>-0.12913569999999999</v>
      </c>
      <c r="U2641">
        <v>-0.61898799999999998</v>
      </c>
      <c r="V2641">
        <v>-0.1446305</v>
      </c>
      <c r="W2641">
        <v>0.19716529999999999</v>
      </c>
      <c r="X2641">
        <v>0.96964320000000004</v>
      </c>
      <c r="Y2641">
        <v>-0.1954832</v>
      </c>
      <c r="Z2641">
        <v>-5.3044390000000002E-3</v>
      </c>
      <c r="AA2641">
        <v>0.98069269999999997</v>
      </c>
      <c r="AB2641">
        <v>27</v>
      </c>
      <c r="AC2641">
        <v>-25.699599999999901</v>
      </c>
      <c r="AD2641">
        <v>-1.111033074276</v>
      </c>
      <c r="AE2641">
        <v>-5.3235000000000197</v>
      </c>
      <c r="AF2641">
        <v>-5.1770315035090801</v>
      </c>
      <c r="AG2641">
        <v>-1.111033074276</v>
      </c>
      <c r="AH2641">
        <v>25.681613438057099</v>
      </c>
      <c r="AI2641">
        <v>92.428385424175005</v>
      </c>
      <c r="AJ2641">
        <v>101.397234184976</v>
      </c>
      <c r="AK2641">
        <v>26.221771840633799</v>
      </c>
      <c r="AL2641">
        <v>78.628758185662207</v>
      </c>
      <c r="AM2641">
        <v>98.4836048936032</v>
      </c>
      <c r="AN2641">
        <v>1.0000000361802801</v>
      </c>
    </row>
    <row r="2642" spans="1:40" x14ac:dyDescent="0.25">
      <c r="A2642" t="str">
        <f>"20190304155109182"</f>
        <v>20190304155109182</v>
      </c>
      <c r="B2642" t="str">
        <f>"1551685869178996"</f>
        <v>1551685869178996</v>
      </c>
      <c r="C2642" t="s">
        <v>40</v>
      </c>
      <c r="D2642">
        <v>5.2269050000000004</v>
      </c>
      <c r="E2642">
        <v>0.4765624</v>
      </c>
      <c r="F2642" t="s">
        <v>62</v>
      </c>
      <c r="G2642">
        <v>-479.92520000000002</v>
      </c>
      <c r="H2642" s="1">
        <v>1.8182569999999999E-6</v>
      </c>
      <c r="I2642">
        <v>280.10449999999997</v>
      </c>
      <c r="J2642">
        <v>-454.2647</v>
      </c>
      <c r="K2642">
        <v>1.1110640000000001</v>
      </c>
      <c r="L2642">
        <v>285.48860000000002</v>
      </c>
      <c r="M2642">
        <v>-0.99989249999999996</v>
      </c>
      <c r="N2642">
        <v>-1.339767E-2</v>
      </c>
      <c r="O2642">
        <v>-5.9610879999999998E-3</v>
      </c>
      <c r="P2642">
        <v>-0.97111610000000004</v>
      </c>
      <c r="Q2642">
        <v>0.18437519999999999</v>
      </c>
      <c r="R2642">
        <v>-0.1514585</v>
      </c>
      <c r="S2642">
        <v>-3.0162960000000001</v>
      </c>
      <c r="T2642">
        <v>-0.1292423</v>
      </c>
      <c r="U2642">
        <v>-0.62655640000000001</v>
      </c>
      <c r="V2642">
        <v>-0.14587600000000001</v>
      </c>
      <c r="W2642">
        <v>0.1972266</v>
      </c>
      <c r="X2642">
        <v>0.96944410000000003</v>
      </c>
      <c r="Y2642">
        <v>-0.1973143</v>
      </c>
      <c r="Z2642">
        <v>-5.3437709999999998E-3</v>
      </c>
      <c r="AA2642">
        <v>0.98032569999999997</v>
      </c>
      <c r="AB2642">
        <v>27</v>
      </c>
      <c r="AC2642">
        <v>-25.660499999999999</v>
      </c>
      <c r="AD2642">
        <v>-1.111062181743</v>
      </c>
      <c r="AE2642">
        <v>-5.3841000000000401</v>
      </c>
      <c r="AF2642">
        <v>-5.2216495371881901</v>
      </c>
      <c r="AG2642">
        <v>-1.111062181743</v>
      </c>
      <c r="AH2642">
        <v>25.646089080515001</v>
      </c>
      <c r="AI2642">
        <v>92.430854616004297</v>
      </c>
      <c r="AJ2642">
        <v>101.508352976233</v>
      </c>
      <c r="AK2642">
        <v>26.195838757074199</v>
      </c>
      <c r="AL2642">
        <v>78.625175202683295</v>
      </c>
      <c r="AM2642">
        <v>98.557316747578994</v>
      </c>
      <c r="AN2642">
        <v>1.0000000010741801</v>
      </c>
    </row>
    <row r="2643" spans="1:40" x14ac:dyDescent="0.25">
      <c r="A2643" t="str">
        <f>"20190304155109198"</f>
        <v>20190304155109198</v>
      </c>
      <c r="B2643" t="str">
        <f>"1551685869188756"</f>
        <v>1551685869188756</v>
      </c>
      <c r="C2643" t="s">
        <v>40</v>
      </c>
      <c r="D2643">
        <v>5.0993120000000003</v>
      </c>
      <c r="E2643">
        <v>0.47650500000000001</v>
      </c>
      <c r="F2643" t="s">
        <v>62</v>
      </c>
      <c r="G2643">
        <v>-479.84739999999999</v>
      </c>
      <c r="H2643" s="1">
        <v>1.852298E-6</v>
      </c>
      <c r="I2643">
        <v>280.09890000000001</v>
      </c>
      <c r="J2643">
        <v>-454.45339999999999</v>
      </c>
      <c r="K2643">
        <v>1.111086</v>
      </c>
      <c r="L2643">
        <v>285.48700000000002</v>
      </c>
      <c r="M2643">
        <v>-0.99988949999999999</v>
      </c>
      <c r="N2643">
        <v>-1.3413660000000001E-2</v>
      </c>
      <c r="O2643">
        <v>-6.4210169999999898E-3</v>
      </c>
      <c r="P2643">
        <v>-0.97097520000000004</v>
      </c>
      <c r="Q2643">
        <v>0.18446190000000001</v>
      </c>
      <c r="R2643">
        <v>-0.1522539</v>
      </c>
      <c r="S2643">
        <v>-3.015015</v>
      </c>
      <c r="T2643">
        <v>-0.130942899999999</v>
      </c>
      <c r="U2643">
        <v>-0.63519289999999995</v>
      </c>
      <c r="V2643">
        <v>-0.14623229999999901</v>
      </c>
      <c r="W2643">
        <v>0.19732150000000001</v>
      </c>
      <c r="X2643">
        <v>0.96937110000000004</v>
      </c>
      <c r="Y2643">
        <v>-0.19962830000000001</v>
      </c>
      <c r="Z2643">
        <v>-5.4497269999999997E-3</v>
      </c>
      <c r="AA2643">
        <v>0.97985659999999997</v>
      </c>
      <c r="AB2643">
        <v>27</v>
      </c>
      <c r="AC2643">
        <v>-25.393999999999998</v>
      </c>
      <c r="AD2643">
        <v>-1.1110841477019999</v>
      </c>
      <c r="AE2643">
        <v>-5.3880999999999997</v>
      </c>
      <c r="AF2643">
        <v>-5.2153648015603098</v>
      </c>
      <c r="AG2643">
        <v>-1.1110841477019999</v>
      </c>
      <c r="AH2643">
        <v>25.381579534423398</v>
      </c>
      <c r="AI2643">
        <v>92.455302452183304</v>
      </c>
      <c r="AJ2643">
        <v>101.611425228944</v>
      </c>
      <c r="AK2643">
        <v>25.935672685683201</v>
      </c>
      <c r="AL2643">
        <v>78.619628764897101</v>
      </c>
      <c r="AM2643">
        <v>98.578543680843893</v>
      </c>
      <c r="AN2643">
        <v>0.99999999472037504</v>
      </c>
    </row>
    <row r="2644" spans="1:40" x14ac:dyDescent="0.25">
      <c r="A2644" t="str">
        <f>"20190304155109216"</f>
        <v>20190304155109216</v>
      </c>
      <c r="B2644" t="str">
        <f>"1551685869209251"</f>
        <v>1551685869209251</v>
      </c>
      <c r="C2644" t="s">
        <v>40</v>
      </c>
      <c r="D2644">
        <v>5.0566589999999998</v>
      </c>
      <c r="E2644">
        <v>0.47634969999999999</v>
      </c>
      <c r="F2644" t="s">
        <v>62</v>
      </c>
      <c r="G2644">
        <v>-479.9067</v>
      </c>
      <c r="H2644" s="1">
        <v>1.825719E-6</v>
      </c>
      <c r="I2644">
        <v>280.09589999999997</v>
      </c>
      <c r="J2644">
        <v>-454.66849999999999</v>
      </c>
      <c r="K2644">
        <v>1.1111059999999999</v>
      </c>
      <c r="L2644">
        <v>285.48500000000001</v>
      </c>
      <c r="M2644">
        <v>-0.99988569999999999</v>
      </c>
      <c r="N2644">
        <v>-1.34322E-2</v>
      </c>
      <c r="O2644">
        <v>-6.9649259999999998E-3</v>
      </c>
      <c r="P2644">
        <v>-0.97084619999999999</v>
      </c>
      <c r="Q2644">
        <v>0.1842579</v>
      </c>
      <c r="R2644">
        <v>-0.15331979999999901</v>
      </c>
      <c r="S2644">
        <v>-3.0145569999999999</v>
      </c>
      <c r="T2644">
        <v>-0.13159109999999999</v>
      </c>
      <c r="U2644">
        <v>-0.63848879999999997</v>
      </c>
      <c r="V2644">
        <v>-0.14677939999999901</v>
      </c>
      <c r="W2644">
        <v>0.19712789999999999</v>
      </c>
      <c r="X2644">
        <v>0.96932779999999996</v>
      </c>
      <c r="Y2644">
        <v>-0.2001483</v>
      </c>
      <c r="Z2644">
        <v>-5.4703649999999996E-3</v>
      </c>
      <c r="AA2644">
        <v>0.97975029999999996</v>
      </c>
      <c r="AB2644">
        <v>27</v>
      </c>
      <c r="AC2644">
        <v>-25.238199999999999</v>
      </c>
      <c r="AD2644">
        <v>-1.1111041742809999</v>
      </c>
      <c r="AE2644">
        <v>-5.38910000000004</v>
      </c>
      <c r="AF2644">
        <v>-5.2035256853777696</v>
      </c>
      <c r="AG2644">
        <v>-1.1111041742809999</v>
      </c>
      <c r="AH2644">
        <v>25.228361062526702</v>
      </c>
      <c r="AI2644">
        <v>92.469860827588903</v>
      </c>
      <c r="AJ2644">
        <v>101.654224457951</v>
      </c>
      <c r="AK2644">
        <v>25.7833557541625</v>
      </c>
      <c r="AL2644">
        <v>78.630943442623703</v>
      </c>
      <c r="AM2644">
        <v>98.610537360239803</v>
      </c>
      <c r="AN2644">
        <v>0.99999999253780403</v>
      </c>
    </row>
    <row r="2645" spans="1:40" x14ac:dyDescent="0.25">
      <c r="A2645" t="str">
        <f>"20190304155109230"</f>
        <v>20190304155109230</v>
      </c>
      <c r="B2645" t="str">
        <f>"1551685869219012"</f>
        <v>1551685869219012</v>
      </c>
      <c r="C2645" t="s">
        <v>40</v>
      </c>
      <c r="D2645">
        <v>5.0313759999999998</v>
      </c>
      <c r="E2645">
        <v>0.47628110000000001</v>
      </c>
      <c r="F2645" t="s">
        <v>62</v>
      </c>
      <c r="G2645">
        <v>-479.69760000000002</v>
      </c>
      <c r="H2645" s="1">
        <v>1.922736E-6</v>
      </c>
      <c r="I2645">
        <v>280.14510000000001</v>
      </c>
      <c r="J2645">
        <v>-454.84739999999999</v>
      </c>
      <c r="K2645">
        <v>1.1111249999999999</v>
      </c>
      <c r="L2645">
        <v>285.48329999999999</v>
      </c>
      <c r="M2645">
        <v>-0.99988189999999999</v>
      </c>
      <c r="N2645">
        <v>-1.344689E-2</v>
      </c>
      <c r="O2645">
        <v>-7.4328269999999899E-3</v>
      </c>
      <c r="P2645">
        <v>-0.9706939</v>
      </c>
      <c r="Q2645">
        <v>0.18424579999999999</v>
      </c>
      <c r="R2645">
        <v>-0.15429419999999999</v>
      </c>
      <c r="S2645">
        <v>-3.013916</v>
      </c>
      <c r="T2645">
        <v>-0.13379489999999999</v>
      </c>
      <c r="U2645">
        <v>-0.64300539999999995</v>
      </c>
      <c r="V2645">
        <v>-0.14730779999999999</v>
      </c>
      <c r="W2645">
        <v>0.1971233</v>
      </c>
      <c r="X2645">
        <v>0.96924860000000002</v>
      </c>
      <c r="Y2645">
        <v>-0.20112859999999999</v>
      </c>
      <c r="Z2645">
        <v>-5.5534969999999897E-3</v>
      </c>
      <c r="AA2645">
        <v>0.97954909999999995</v>
      </c>
      <c r="AB2645">
        <v>27</v>
      </c>
      <c r="AC2645">
        <v>-24.850200000000001</v>
      </c>
      <c r="AD2645">
        <v>-1.1111230772639999</v>
      </c>
      <c r="AE2645">
        <v>-5.3381999999999703</v>
      </c>
      <c r="AF2645">
        <v>-5.1434990687678903</v>
      </c>
      <c r="AG2645">
        <v>-1.1111230772639999</v>
      </c>
      <c r="AH2645">
        <v>24.841721110929299</v>
      </c>
      <c r="AI2645">
        <v>92.507901875657097</v>
      </c>
      <c r="AJ2645">
        <v>101.69784576549399</v>
      </c>
      <c r="AK2645">
        <v>25.392937697644101</v>
      </c>
      <c r="AL2645">
        <v>78.631212548219295</v>
      </c>
      <c r="AM2645">
        <v>98.641763300342902</v>
      </c>
      <c r="AN2645">
        <v>1.0000000159728399</v>
      </c>
    </row>
    <row r="2646" spans="1:40" x14ac:dyDescent="0.25">
      <c r="A2646" t="str">
        <f>"20190304155109250"</f>
        <v>20190304155109250</v>
      </c>
      <c r="B2646" t="str">
        <f>"1551685869239508"</f>
        <v>1551685869239508</v>
      </c>
      <c r="C2646" t="s">
        <v>40</v>
      </c>
      <c r="D2646">
        <v>5.0469109999999997</v>
      </c>
      <c r="E2646">
        <v>0.47621639999999998</v>
      </c>
      <c r="F2646" t="s">
        <v>62</v>
      </c>
      <c r="G2646">
        <v>-479.78559999999999</v>
      </c>
      <c r="H2646" s="1">
        <v>1.882308E-6</v>
      </c>
      <c r="I2646">
        <v>280.12920000000003</v>
      </c>
      <c r="J2646">
        <v>-455.07670000000002</v>
      </c>
      <c r="K2646">
        <v>1.111148</v>
      </c>
      <c r="L2646">
        <v>285.48079999999999</v>
      </c>
      <c r="M2646">
        <v>-0.99987709999999996</v>
      </c>
      <c r="N2646">
        <v>-1.346381E-2</v>
      </c>
      <c r="O2646">
        <v>-8.0556819999999998E-3</v>
      </c>
      <c r="P2646">
        <v>-0.97047249999999996</v>
      </c>
      <c r="Q2646">
        <v>0.18406710000000001</v>
      </c>
      <c r="R2646">
        <v>-0.1558927</v>
      </c>
      <c r="S2646">
        <v>-3.0132140000000001</v>
      </c>
      <c r="T2646">
        <v>-0.1342537</v>
      </c>
      <c r="U2646">
        <v>-0.64691160000000003</v>
      </c>
      <c r="V2646">
        <v>-0.14831220000000001</v>
      </c>
      <c r="W2646">
        <v>0.19695029999999999</v>
      </c>
      <c r="X2646">
        <v>0.96913059999999995</v>
      </c>
      <c r="Y2646">
        <v>-0.20177709999999999</v>
      </c>
      <c r="Z2646">
        <v>-5.5694809999999898E-3</v>
      </c>
      <c r="AA2646">
        <v>0.9794157</v>
      </c>
      <c r="AB2646">
        <v>27</v>
      </c>
      <c r="AC2646">
        <v>-24.7088999999999</v>
      </c>
      <c r="AD2646">
        <v>-1.1111461176919999</v>
      </c>
      <c r="AE2646">
        <v>-5.3515999999999604</v>
      </c>
      <c r="AF2646">
        <v>-5.1424279517901201</v>
      </c>
      <c r="AG2646">
        <v>-1.1111461176919999</v>
      </c>
      <c r="AH2646">
        <v>24.703494518685599</v>
      </c>
      <c r="AI2646">
        <v>92.521409840344106</v>
      </c>
      <c r="AJ2646">
        <v>101.759100638695</v>
      </c>
      <c r="AK2646">
        <v>25.257510811023</v>
      </c>
      <c r="AL2646">
        <v>78.641323019995895</v>
      </c>
      <c r="AM2646">
        <v>98.700830646251305</v>
      </c>
      <c r="AN2646">
        <v>1.0000000245976399</v>
      </c>
    </row>
    <row r="2647" spans="1:40" x14ac:dyDescent="0.25">
      <c r="A2647" t="str">
        <f>"20190304155109272"</f>
        <v>20190304155109272</v>
      </c>
      <c r="B2647" t="str">
        <f>"1551685869268788"</f>
        <v>1551685869268788</v>
      </c>
      <c r="C2647" t="s">
        <v>40</v>
      </c>
      <c r="D2647">
        <v>5.0605729999999998</v>
      </c>
      <c r="E2647">
        <v>0.47603839999999997</v>
      </c>
      <c r="F2647" t="s">
        <v>62</v>
      </c>
      <c r="G2647">
        <v>-479.63889999999998</v>
      </c>
      <c r="H2647" s="1">
        <v>1.9503549999999998E-6</v>
      </c>
      <c r="I2647">
        <v>280.16300000000001</v>
      </c>
      <c r="J2647">
        <v>-455.34030000000001</v>
      </c>
      <c r="K2647">
        <v>1.1111660000000001</v>
      </c>
      <c r="L2647">
        <v>285.47789999999998</v>
      </c>
      <c r="M2647">
        <v>-0.99987040000000005</v>
      </c>
      <c r="N2647">
        <v>-1.3482269999999999E-2</v>
      </c>
      <c r="O2647">
        <v>-8.8035449999999994E-3</v>
      </c>
      <c r="P2647">
        <v>-0.97024730000000003</v>
      </c>
      <c r="Q2647">
        <v>0.18394279999999999</v>
      </c>
      <c r="R2647">
        <v>-0.157434299999999</v>
      </c>
      <c r="S2647">
        <v>-3.0123600000000001</v>
      </c>
      <c r="T2647">
        <v>-0.13627359999999999</v>
      </c>
      <c r="U2647">
        <v>-0.65219119999999997</v>
      </c>
      <c r="V2647">
        <v>-0.1491402</v>
      </c>
      <c r="W2647">
        <v>0.19683300000000001</v>
      </c>
      <c r="X2647">
        <v>0.96902730000000004</v>
      </c>
      <c r="Y2647">
        <v>-0.2027342</v>
      </c>
      <c r="Z2647">
        <v>-5.6380789999999998E-3</v>
      </c>
      <c r="AA2647">
        <v>0.97921760000000002</v>
      </c>
      <c r="AB2647">
        <v>27</v>
      </c>
      <c r="AC2647">
        <v>-24.298599999999901</v>
      </c>
      <c r="AD2647">
        <v>-1.1111640496449999</v>
      </c>
      <c r="AE2647">
        <v>-5.3148999999999598</v>
      </c>
      <c r="AF2647">
        <v>-5.09060138752199</v>
      </c>
      <c r="AG2647">
        <v>-1.1111640496449999</v>
      </c>
      <c r="AH2647">
        <v>24.295964747068599</v>
      </c>
      <c r="AI2647">
        <v>92.562992248426596</v>
      </c>
      <c r="AJ2647">
        <v>101.83368664183</v>
      </c>
      <c r="AK2647">
        <v>24.848396548322</v>
      </c>
      <c r="AL2647">
        <v>78.648177355638595</v>
      </c>
      <c r="AM2647">
        <v>98.749574514653702</v>
      </c>
      <c r="AN2647">
        <v>0.99999996864516405</v>
      </c>
    </row>
    <row r="2648" spans="1:40" x14ac:dyDescent="0.25">
      <c r="A2648" t="str">
        <f>"20190304155109294"</f>
        <v>20190304155109294</v>
      </c>
      <c r="B2648" t="str">
        <f>"1551685869289284"</f>
        <v>1551685869289284</v>
      </c>
      <c r="C2648" t="s">
        <v>40</v>
      </c>
      <c r="D2648">
        <v>5.0664720000000001</v>
      </c>
      <c r="E2648">
        <v>0.47601850000000001</v>
      </c>
      <c r="F2648" t="s">
        <v>62</v>
      </c>
      <c r="G2648">
        <v>-479.66660000000002</v>
      </c>
      <c r="H2648" s="1">
        <v>1.9373890000000002E-6</v>
      </c>
      <c r="I2648">
        <v>280.15530000000001</v>
      </c>
      <c r="J2648">
        <v>-455.60660000000001</v>
      </c>
      <c r="K2648">
        <v>1.1111979999999999</v>
      </c>
      <c r="L2648">
        <v>285.47469999999998</v>
      </c>
      <c r="M2648">
        <v>-0.9998629</v>
      </c>
      <c r="N2648">
        <v>-1.350491E-2</v>
      </c>
      <c r="O2648">
        <v>-9.5934169999999999E-3</v>
      </c>
      <c r="P2648">
        <v>-0.97000319999999995</v>
      </c>
      <c r="Q2648">
        <v>0.18365339999999999</v>
      </c>
      <c r="R2648">
        <v>-0.159266299999999</v>
      </c>
      <c r="S2648">
        <v>-3.0112000000000001</v>
      </c>
      <c r="T2648">
        <v>-0.1375439</v>
      </c>
      <c r="U2648">
        <v>-0.65884399999999999</v>
      </c>
      <c r="V2648">
        <v>-0.15021880000000001</v>
      </c>
      <c r="W2648">
        <v>0.19655339999999999</v>
      </c>
      <c r="X2648">
        <v>0.96891749999999999</v>
      </c>
      <c r="Y2648">
        <v>-0.20409830000000001</v>
      </c>
      <c r="Z2648">
        <v>-5.6950680000000002E-3</v>
      </c>
      <c r="AA2648">
        <v>0.97893379999999997</v>
      </c>
      <c r="AB2648">
        <v>27</v>
      </c>
      <c r="AC2648">
        <v>-24.06</v>
      </c>
      <c r="AD2648">
        <v>-1.111196062611</v>
      </c>
      <c r="AE2648">
        <v>-5.3193999999999697</v>
      </c>
      <c r="AF2648">
        <v>-5.0779899617612099</v>
      </c>
      <c r="AG2648">
        <v>-1.111196062611</v>
      </c>
      <c r="AH2648">
        <v>24.0609981824553</v>
      </c>
      <c r="AI2648">
        <v>92.587269602752301</v>
      </c>
      <c r="AJ2648">
        <v>101.91719565815001</v>
      </c>
      <c r="AK2648">
        <v>24.6160998591862</v>
      </c>
      <c r="AL2648">
        <v>78.664517078745803</v>
      </c>
      <c r="AM2648">
        <v>98.812845772060797</v>
      </c>
      <c r="AN2648">
        <v>1.00000002436562</v>
      </c>
    </row>
    <row r="2649" spans="1:40" x14ac:dyDescent="0.25">
      <c r="A2649" t="str">
        <f>"20190304155109317"</f>
        <v>20190304155109317</v>
      </c>
      <c r="B2649" t="str">
        <f>"1551685869308803"</f>
        <v>1551685869308803</v>
      </c>
      <c r="C2649" t="s">
        <v>40</v>
      </c>
      <c r="D2649">
        <v>5.0915599999999896</v>
      </c>
      <c r="E2649">
        <v>0.47674909999999998</v>
      </c>
      <c r="F2649" t="s">
        <v>62</v>
      </c>
      <c r="G2649">
        <v>-479.64819999999997</v>
      </c>
      <c r="H2649" s="1">
        <v>1.946274E-6</v>
      </c>
      <c r="I2649">
        <v>280.16379999999998</v>
      </c>
      <c r="J2649">
        <v>-455.8784</v>
      </c>
      <c r="K2649">
        <v>1.1112249999999999</v>
      </c>
      <c r="L2649">
        <v>285.47109999999998</v>
      </c>
      <c r="M2649">
        <v>-0.99985400000000002</v>
      </c>
      <c r="N2649">
        <v>-1.352973E-2</v>
      </c>
      <c r="O2649">
        <v>-1.04402E-2</v>
      </c>
      <c r="P2649">
        <v>-0.96979979999999999</v>
      </c>
      <c r="Q2649">
        <v>0.18354799999999999</v>
      </c>
      <c r="R2649">
        <v>-0.16062009999999999</v>
      </c>
      <c r="S2649">
        <v>-3.009979</v>
      </c>
      <c r="T2649">
        <v>-0.1391201</v>
      </c>
      <c r="U2649">
        <v>-0.66491699999999998</v>
      </c>
      <c r="V2649">
        <v>-0.1507645</v>
      </c>
      <c r="W2649">
        <v>0.1964603</v>
      </c>
      <c r="X2649">
        <v>0.96885160000000003</v>
      </c>
      <c r="Y2649">
        <v>-0.20522960000000001</v>
      </c>
      <c r="Z2649">
        <v>-5.7529499999999997E-3</v>
      </c>
      <c r="AA2649">
        <v>0.97869689999999998</v>
      </c>
      <c r="AB2649">
        <v>27</v>
      </c>
      <c r="AC2649">
        <v>-23.769799999999901</v>
      </c>
      <c r="AD2649">
        <v>-1.1112230537259999</v>
      </c>
      <c r="AE2649">
        <v>-5.3072999999999899</v>
      </c>
      <c r="AF2649">
        <v>-5.0483173311937897</v>
      </c>
      <c r="AG2649">
        <v>-1.1112230537259999</v>
      </c>
      <c r="AH2649">
        <v>23.774426899272001</v>
      </c>
      <c r="AI2649">
        <v>92.617789866831401</v>
      </c>
      <c r="AJ2649">
        <v>101.98825581158501</v>
      </c>
      <c r="AK2649">
        <v>24.329893114035499</v>
      </c>
      <c r="AL2649">
        <v>78.669957147462398</v>
      </c>
      <c r="AM2649">
        <v>98.844947027812395</v>
      </c>
      <c r="AN2649">
        <v>1.0000000033794401</v>
      </c>
    </row>
    <row r="2650" spans="1:40" x14ac:dyDescent="0.25">
      <c r="A2650" t="str">
        <f>"20190304155109339"</f>
        <v>20190304155109339</v>
      </c>
      <c r="B2650" t="str">
        <f>"1551685869329301"</f>
        <v>1551685869329301</v>
      </c>
      <c r="C2650" t="s">
        <v>40</v>
      </c>
      <c r="D2650">
        <v>5.0117649999999996</v>
      </c>
      <c r="E2650">
        <v>0.47816589999999998</v>
      </c>
      <c r="F2650" t="s">
        <v>62</v>
      </c>
      <c r="G2650">
        <v>-479.79070000000002</v>
      </c>
      <c r="H2650" s="1">
        <v>1.885891E-6</v>
      </c>
      <c r="I2650">
        <v>280.19600000000003</v>
      </c>
      <c r="J2650">
        <v>-456.14080000000001</v>
      </c>
      <c r="K2650">
        <v>1.1112569999999999</v>
      </c>
      <c r="L2650">
        <v>285.4674</v>
      </c>
      <c r="M2650">
        <v>-0.99984430000000002</v>
      </c>
      <c r="N2650">
        <v>-1.3551850000000001E-2</v>
      </c>
      <c r="O2650">
        <v>-1.130225E-2</v>
      </c>
      <c r="P2650">
        <v>-0.96966169999999996</v>
      </c>
      <c r="Q2650">
        <v>0.18334719999999999</v>
      </c>
      <c r="R2650">
        <v>-0.1616785</v>
      </c>
      <c r="S2650">
        <v>-3.0099179999999999</v>
      </c>
      <c r="T2650">
        <v>-0.13987289999999999</v>
      </c>
      <c r="U2650">
        <v>-0.66400150000000002</v>
      </c>
      <c r="V2650">
        <v>-0.15100050000000001</v>
      </c>
      <c r="W2650">
        <v>0.19627049999999999</v>
      </c>
      <c r="X2650">
        <v>0.96885330000000003</v>
      </c>
      <c r="Y2650">
        <v>-0.20410529999999999</v>
      </c>
      <c r="Z2650">
        <v>-5.7169069999999898E-3</v>
      </c>
      <c r="AA2650">
        <v>0.97893229999999998</v>
      </c>
      <c r="AB2650">
        <v>27</v>
      </c>
      <c r="AC2650">
        <v>-23.649899999999999</v>
      </c>
      <c r="AD2650">
        <v>-1.1112551141089999</v>
      </c>
      <c r="AE2650">
        <v>-5.2714000000000203</v>
      </c>
      <c r="AF2650">
        <v>-4.9932390855340101</v>
      </c>
      <c r="AG2650">
        <v>-1.1112551141089999</v>
      </c>
      <c r="AH2650">
        <v>23.658211808051298</v>
      </c>
      <c r="AI2650">
        <v>92.631390953330197</v>
      </c>
      <c r="AJ2650">
        <v>101.917788709985</v>
      </c>
      <c r="AK2650">
        <v>24.204923268801299</v>
      </c>
      <c r="AL2650">
        <v>78.681047642770196</v>
      </c>
      <c r="AM2650">
        <v>98.858557786999796</v>
      </c>
      <c r="AN2650">
        <v>0.99999998854569405</v>
      </c>
    </row>
    <row r="2651" spans="1:40" x14ac:dyDescent="0.25">
      <c r="A2651" t="str">
        <f>"20190304155109361"</f>
        <v>20190304155109361</v>
      </c>
      <c r="B2651" t="str">
        <f>"1551685869348820"</f>
        <v>1551685869348820</v>
      </c>
      <c r="C2651" t="s">
        <v>40</v>
      </c>
      <c r="D2651">
        <v>4.9558150000000003</v>
      </c>
      <c r="E2651">
        <v>0.47954599999999997</v>
      </c>
      <c r="F2651" t="s">
        <v>62</v>
      </c>
      <c r="G2651">
        <v>-480.32749999999999</v>
      </c>
      <c r="H2651" s="1">
        <v>1.877376E-6</v>
      </c>
      <c r="I2651">
        <v>280.19560000000001</v>
      </c>
      <c r="J2651">
        <v>-456.40530000000001</v>
      </c>
      <c r="K2651">
        <v>1.1112899999999999</v>
      </c>
      <c r="L2651">
        <v>285.46339999999998</v>
      </c>
      <c r="M2651">
        <v>-0.99983319999999998</v>
      </c>
      <c r="N2651">
        <v>-1.3574940000000001E-2</v>
      </c>
      <c r="O2651">
        <v>-1.221911E-2</v>
      </c>
      <c r="P2651">
        <v>-0.96945820000000005</v>
      </c>
      <c r="Q2651">
        <v>0.18342439999999999</v>
      </c>
      <c r="R2651">
        <v>-0.16280849999999999</v>
      </c>
      <c r="S2651">
        <v>-3.0106809999999999</v>
      </c>
      <c r="T2651">
        <v>-0.13832549999999999</v>
      </c>
      <c r="U2651">
        <v>-0.65621949999999996</v>
      </c>
      <c r="V2651">
        <v>-0.1512579</v>
      </c>
      <c r="W2651">
        <v>0.19635659999999999</v>
      </c>
      <c r="X2651">
        <v>0.96879570000000004</v>
      </c>
      <c r="Y2651">
        <v>-0.20074990000000001</v>
      </c>
      <c r="Z2651">
        <v>-5.5447810000000004E-3</v>
      </c>
      <c r="AA2651">
        <v>0.97962680000000002</v>
      </c>
      <c r="AB2651">
        <v>27</v>
      </c>
      <c r="AC2651">
        <v>-23.922199999999901</v>
      </c>
      <c r="AD2651">
        <v>-1.1112881226239999</v>
      </c>
      <c r="AE2651">
        <v>-5.2677999999999603</v>
      </c>
      <c r="AF2651">
        <v>-4.9648530875924202</v>
      </c>
      <c r="AG2651">
        <v>-1.1112881226239999</v>
      </c>
      <c r="AH2651">
        <v>23.9355235041707</v>
      </c>
      <c r="AI2651">
        <v>92.602914938751496</v>
      </c>
      <c r="AJ2651">
        <v>101.718463359914</v>
      </c>
      <c r="AK2651">
        <v>24.470267936652601</v>
      </c>
      <c r="AL2651">
        <v>78.676016565544202</v>
      </c>
      <c r="AM2651">
        <v>98.873937425209604</v>
      </c>
      <c r="AN2651">
        <v>0.99999998750722996</v>
      </c>
    </row>
    <row r="2652" spans="1:40" x14ac:dyDescent="0.25">
      <c r="A2652" t="str">
        <f>"20190304155109383"</f>
        <v>20190304155109383</v>
      </c>
      <c r="B2652" t="str">
        <f>"1551685869379076"</f>
        <v>1551685869379076</v>
      </c>
      <c r="C2652" t="s">
        <v>40</v>
      </c>
      <c r="D2652">
        <v>4.9553279999999997</v>
      </c>
      <c r="E2652">
        <v>0.4817206</v>
      </c>
      <c r="F2652" t="s">
        <v>62</v>
      </c>
      <c r="G2652">
        <v>-481.23289999999997</v>
      </c>
      <c r="H2652" s="1">
        <v>2.0308180000000002E-6</v>
      </c>
      <c r="I2652">
        <v>280.11380000000003</v>
      </c>
      <c r="J2652">
        <v>-456.66860000000003</v>
      </c>
      <c r="K2652">
        <v>1.1113329999999999</v>
      </c>
      <c r="L2652">
        <v>285.45920000000001</v>
      </c>
      <c r="M2652">
        <v>-0.99982059999999995</v>
      </c>
      <c r="N2652">
        <v>-1.3601139999999999E-2</v>
      </c>
      <c r="O2652">
        <v>-1.318425E-2</v>
      </c>
      <c r="P2652">
        <v>-0.96939169999999997</v>
      </c>
      <c r="Q2652">
        <v>0.18297669999999999</v>
      </c>
      <c r="R2652">
        <v>-0.16370560000000001</v>
      </c>
      <c r="S2652">
        <v>-3.0110779999999999</v>
      </c>
      <c r="T2652">
        <v>-0.13477649999999999</v>
      </c>
      <c r="U2652">
        <v>-0.64880369999999998</v>
      </c>
      <c r="V2652">
        <v>-0.15123529999999999</v>
      </c>
      <c r="W2652">
        <v>0.19592219999999999</v>
      </c>
      <c r="X2652">
        <v>0.96888719999999995</v>
      </c>
      <c r="Y2652">
        <v>-0.19748760000000001</v>
      </c>
      <c r="Z2652">
        <v>-5.3210810000000001E-3</v>
      </c>
      <c r="AA2652">
        <v>0.98029089999999997</v>
      </c>
      <c r="AB2652">
        <v>27</v>
      </c>
      <c r="AC2652">
        <v>-24.5642999999999</v>
      </c>
      <c r="AD2652">
        <v>-1.1113309691819999</v>
      </c>
      <c r="AE2652">
        <v>-5.3453999999999802</v>
      </c>
      <c r="AF2652">
        <v>-5.0112501481012304</v>
      </c>
      <c r="AG2652">
        <v>-1.1113309691819999</v>
      </c>
      <c r="AH2652">
        <v>24.584601209715402</v>
      </c>
      <c r="AI2652">
        <v>92.536174596180899</v>
      </c>
      <c r="AJ2652">
        <v>101.52116131841601</v>
      </c>
      <c r="AK2652">
        <v>25.114742706439301</v>
      </c>
      <c r="AL2652">
        <v>78.701399197158693</v>
      </c>
      <c r="AM2652">
        <v>98.871808048735602</v>
      </c>
      <c r="AN2652">
        <v>1.0000000153713799</v>
      </c>
    </row>
    <row r="2653" spans="1:40" x14ac:dyDescent="0.25">
      <c r="A2653" t="str">
        <f>"20190304155109399"</f>
        <v>20190304155109399</v>
      </c>
      <c r="B2653" t="str">
        <f>"1551685869388836"</f>
        <v>1551685869388836</v>
      </c>
      <c r="C2653" t="s">
        <v>40</v>
      </c>
      <c r="D2653">
        <v>5.1050360000000001</v>
      </c>
      <c r="E2653">
        <v>0.48242940000000001</v>
      </c>
      <c r="F2653" t="s">
        <v>62</v>
      </c>
      <c r="G2653">
        <v>-481.83049999999997</v>
      </c>
      <c r="H2653" s="1">
        <v>2.140859E-6</v>
      </c>
      <c r="I2653">
        <v>280.15989999999999</v>
      </c>
      <c r="J2653">
        <v>-456.86009999999999</v>
      </c>
      <c r="K2653">
        <v>1.1113690000000001</v>
      </c>
      <c r="L2653">
        <v>285.45580000000001</v>
      </c>
      <c r="M2653">
        <v>-0.99981030000000004</v>
      </c>
      <c r="N2653">
        <v>-1.362035E-2</v>
      </c>
      <c r="O2653">
        <v>-1.392592E-2</v>
      </c>
      <c r="P2653">
        <v>-0.96930550000000004</v>
      </c>
      <c r="Q2653">
        <v>0.18269949999999999</v>
      </c>
      <c r="R2653">
        <v>-0.16452369999999999</v>
      </c>
      <c r="S2653">
        <v>-3.0126949999999999</v>
      </c>
      <c r="T2653">
        <v>-0.1330624</v>
      </c>
      <c r="U2653">
        <v>-0.63449100000000003</v>
      </c>
      <c r="V2653">
        <v>-0.15134700000000001</v>
      </c>
      <c r="W2653">
        <v>0.19565279999999999</v>
      </c>
      <c r="X2653">
        <v>0.96892420000000001</v>
      </c>
      <c r="Y2653">
        <v>-0.19220619999999999</v>
      </c>
      <c r="Z2653">
        <v>-5.1003690000000004E-3</v>
      </c>
      <c r="AA2653">
        <v>0.98134129999999997</v>
      </c>
      <c r="AB2653">
        <v>27</v>
      </c>
      <c r="AC2653">
        <v>-24.970399999999898</v>
      </c>
      <c r="AD2653">
        <v>-1.111366859141</v>
      </c>
      <c r="AE2653">
        <v>-5.2959000000000103</v>
      </c>
      <c r="AF2653">
        <v>-4.9382571712472298</v>
      </c>
      <c r="AG2653">
        <v>-1.111366859141</v>
      </c>
      <c r="AH2653">
        <v>24.994355020553702</v>
      </c>
      <c r="AI2653">
        <v>92.497742362231406</v>
      </c>
      <c r="AJ2653">
        <v>101.176266488338</v>
      </c>
      <c r="AK2653">
        <v>25.501750980637599</v>
      </c>
      <c r="AL2653">
        <v>78.717139349568797</v>
      </c>
      <c r="AM2653">
        <v>98.877922646182299</v>
      </c>
      <c r="AN2653">
        <v>1.0000000189512399</v>
      </c>
    </row>
    <row r="2654" spans="1:40" x14ac:dyDescent="0.25">
      <c r="A2654" t="str">
        <f>"20190304155109417"</f>
        <v>20190304155109417</v>
      </c>
      <c r="B2654" t="str">
        <f>"1551685869409332"</f>
        <v>1551685869409332</v>
      </c>
      <c r="C2654" t="s">
        <v>40</v>
      </c>
      <c r="D2654">
        <v>4.9275089999999997</v>
      </c>
      <c r="E2654">
        <v>0.48360799999999998</v>
      </c>
      <c r="F2654" t="s">
        <v>62</v>
      </c>
      <c r="G2654">
        <v>-481.99610000000001</v>
      </c>
      <c r="H2654" s="1">
        <v>2.1724780000000002E-6</v>
      </c>
      <c r="I2654">
        <v>280.18549999999999</v>
      </c>
      <c r="J2654">
        <v>-457.07029999999997</v>
      </c>
      <c r="K2654">
        <v>1.1114059999999999</v>
      </c>
      <c r="L2654">
        <v>285.452</v>
      </c>
      <c r="M2654">
        <v>-0.99979779999999996</v>
      </c>
      <c r="N2654">
        <v>-1.36401E-2</v>
      </c>
      <c r="O2654">
        <v>-1.477639E-2</v>
      </c>
      <c r="P2654">
        <v>-0.96917929999999997</v>
      </c>
      <c r="Q2654">
        <v>0.1827617</v>
      </c>
      <c r="R2654">
        <v>-0.16519610000000001</v>
      </c>
      <c r="S2654">
        <v>-3.0129090000000001</v>
      </c>
      <c r="T2654">
        <v>-0.133213</v>
      </c>
      <c r="U2654">
        <v>-0.63171390000000005</v>
      </c>
      <c r="V2654">
        <v>-0.15121189999999901</v>
      </c>
      <c r="W2654">
        <v>0.19572200000000001</v>
      </c>
      <c r="X2654">
        <v>0.96893130000000005</v>
      </c>
      <c r="Y2654">
        <v>-0.19049279999999999</v>
      </c>
      <c r="Z2654">
        <v>-5.0316639999999999E-3</v>
      </c>
      <c r="AA2654">
        <v>0.98167570000000004</v>
      </c>
      <c r="AB2654">
        <v>27</v>
      </c>
      <c r="AC2654">
        <v>-24.925799999999999</v>
      </c>
      <c r="AD2654">
        <v>-1.111403827522</v>
      </c>
      <c r="AE2654">
        <v>-5.2664999999999997</v>
      </c>
      <c r="AF2654">
        <v>-4.8882740852175202</v>
      </c>
      <c r="AG2654">
        <v>-1.111403827522</v>
      </c>
      <c r="AH2654">
        <v>24.953414637422402</v>
      </c>
      <c r="AI2654">
        <v>92.502712954791306</v>
      </c>
      <c r="AJ2654">
        <v>101.083657042064</v>
      </c>
      <c r="AK2654">
        <v>25.451981142283699</v>
      </c>
      <c r="AL2654">
        <v>78.713096121749302</v>
      </c>
      <c r="AM2654">
        <v>98.870059872134604</v>
      </c>
      <c r="AN2654">
        <v>1.00000000205265</v>
      </c>
    </row>
    <row r="2655" spans="1:40" x14ac:dyDescent="0.25">
      <c r="A2655" t="str">
        <f>"20190304155109433"</f>
        <v>20190304155109433</v>
      </c>
      <c r="B2655" t="str">
        <f>"1551685869428853"</f>
        <v>1551685869428853</v>
      </c>
      <c r="C2655" t="s">
        <v>40</v>
      </c>
      <c r="D2655">
        <v>4.9625120000000003</v>
      </c>
      <c r="E2655">
        <v>0.48474460000000003</v>
      </c>
      <c r="F2655" t="s">
        <v>62</v>
      </c>
      <c r="G2655">
        <v>-482.34359999999998</v>
      </c>
      <c r="H2655" s="1">
        <v>2.2369769999999999E-6</v>
      </c>
      <c r="I2655">
        <v>280.2183</v>
      </c>
      <c r="J2655">
        <v>-457.26060000000001</v>
      </c>
      <c r="K2655">
        <v>1.11144</v>
      </c>
      <c r="L2655">
        <v>285.44830000000002</v>
      </c>
      <c r="M2655">
        <v>-0.99978540000000005</v>
      </c>
      <c r="N2655">
        <v>-1.365646E-2</v>
      </c>
      <c r="O2655">
        <v>-1.557912E-2</v>
      </c>
      <c r="P2655">
        <v>-0.96911420000000004</v>
      </c>
      <c r="Q2655">
        <v>0.1824315</v>
      </c>
      <c r="R2655">
        <v>-0.16594200000000001</v>
      </c>
      <c r="S2655">
        <v>-3.0139770000000001</v>
      </c>
      <c r="T2655">
        <v>-0.1325411</v>
      </c>
      <c r="U2655">
        <v>-0.62414550000000002</v>
      </c>
      <c r="V2655">
        <v>-0.1511932</v>
      </c>
      <c r="W2655">
        <v>0.19539699999999999</v>
      </c>
      <c r="X2655">
        <v>0.96899979999999997</v>
      </c>
      <c r="Y2655">
        <v>-0.18727740000000001</v>
      </c>
      <c r="Z2655">
        <v>-4.8989740000000004E-3</v>
      </c>
      <c r="AA2655">
        <v>0.98229489999999997</v>
      </c>
      <c r="AB2655">
        <v>27</v>
      </c>
      <c r="AC2655">
        <v>-25.082999999999899</v>
      </c>
      <c r="AD2655">
        <v>-1.1114377630229999</v>
      </c>
      <c r="AE2655">
        <v>-5.2300000000000102</v>
      </c>
      <c r="AF2655">
        <v>-4.8294704893696103</v>
      </c>
      <c r="AG2655">
        <v>-1.1114377630229999</v>
      </c>
      <c r="AH2655">
        <v>25.114186659196001</v>
      </c>
      <c r="AI2655">
        <v>92.488458422323404</v>
      </c>
      <c r="AJ2655">
        <v>100.88512930467699</v>
      </c>
      <c r="AK2655">
        <v>25.5984657872635</v>
      </c>
      <c r="AL2655">
        <v>78.732083752364701</v>
      </c>
      <c r="AM2655">
        <v>98.868363378533601</v>
      </c>
      <c r="AN2655">
        <v>0.99999999186763899</v>
      </c>
    </row>
    <row r="2656" spans="1:40" x14ac:dyDescent="0.25">
      <c r="A2656" t="str">
        <f>"20190304155109463"</f>
        <v>20190304155109463</v>
      </c>
      <c r="B2656" t="str">
        <f>"1551685869459108"</f>
        <v>1551685869459108</v>
      </c>
      <c r="C2656" t="s">
        <v>40</v>
      </c>
      <c r="D2656">
        <v>5.0219449999999997</v>
      </c>
      <c r="E2656">
        <v>0.48647360000000001</v>
      </c>
      <c r="F2656" t="s">
        <v>62</v>
      </c>
      <c r="G2656">
        <v>-482.85680000000002</v>
      </c>
      <c r="H2656" s="1">
        <v>2.3266019999999999E-6</v>
      </c>
      <c r="I2656">
        <v>280.20229999999998</v>
      </c>
      <c r="J2656">
        <v>-457.60860000000002</v>
      </c>
      <c r="K2656">
        <v>1.111505</v>
      </c>
      <c r="L2656">
        <v>285.44119999999998</v>
      </c>
      <c r="M2656">
        <v>-0.99975970000000003</v>
      </c>
      <c r="N2656">
        <v>-1.368318E-2</v>
      </c>
      <c r="O2656">
        <v>-1.713102E-2</v>
      </c>
      <c r="P2656">
        <v>-0.96859839999999997</v>
      </c>
      <c r="Q2656">
        <v>0.18356069999999999</v>
      </c>
      <c r="R2656">
        <v>-0.16769919999999999</v>
      </c>
      <c r="S2656">
        <v>-3.014465</v>
      </c>
      <c r="T2656">
        <v>-0.13089439999999999</v>
      </c>
      <c r="U2656">
        <v>-0.61782840000000006</v>
      </c>
      <c r="V2656">
        <v>-0.15147939999999999</v>
      </c>
      <c r="W2656">
        <v>0.1965268</v>
      </c>
      <c r="X2656">
        <v>0.96872659999999999</v>
      </c>
      <c r="Y2656">
        <v>-0.18375469999999999</v>
      </c>
      <c r="Z2656">
        <v>-4.7141020000000004E-3</v>
      </c>
      <c r="AA2656">
        <v>0.98296079999999997</v>
      </c>
      <c r="AB2656">
        <v>27</v>
      </c>
      <c r="AC2656">
        <v>-25.248200000000001</v>
      </c>
      <c r="AD2656">
        <v>-1.111502673398</v>
      </c>
      <c r="AE2656">
        <v>-5.2389000000000001</v>
      </c>
      <c r="AF2656">
        <v>-4.7966508536651702</v>
      </c>
      <c r="AG2656">
        <v>-1.111502673398</v>
      </c>
      <c r="AH2656">
        <v>25.287265769190601</v>
      </c>
      <c r="AI2656">
        <v>92.472780850125204</v>
      </c>
      <c r="AJ2656">
        <v>100.740625149395</v>
      </c>
      <c r="AK2656">
        <v>25.762164266354201</v>
      </c>
      <c r="AL2656">
        <v>78.666071282956395</v>
      </c>
      <c r="AM2656">
        <v>98.887348814019205</v>
      </c>
      <c r="AN2656">
        <v>1.00000000864508</v>
      </c>
    </row>
    <row r="2657" spans="1:40" x14ac:dyDescent="0.25">
      <c r="A2657" t="str">
        <f>"20190304155109484"</f>
        <v>20190304155109484</v>
      </c>
      <c r="B2657" t="str">
        <f>"1551685869479608"</f>
        <v>1551685869479608</v>
      </c>
      <c r="C2657" t="s">
        <v>40</v>
      </c>
      <c r="D2657">
        <v>5.0169730000000001</v>
      </c>
      <c r="E2657">
        <v>0.48755490000000001</v>
      </c>
      <c r="F2657" t="s">
        <v>62</v>
      </c>
      <c r="G2657">
        <v>-484.38900000000001</v>
      </c>
      <c r="H2657" s="1">
        <v>2.5829150000000001E-6</v>
      </c>
      <c r="I2657">
        <v>280.02510000000001</v>
      </c>
      <c r="J2657">
        <v>-457.8569</v>
      </c>
      <c r="K2657">
        <v>1.1115469999999901</v>
      </c>
      <c r="L2657">
        <v>285.43560000000002</v>
      </c>
      <c r="M2657">
        <v>-0.99973869999999998</v>
      </c>
      <c r="N2657">
        <v>-1.370028E-2</v>
      </c>
      <c r="O2657">
        <v>-1.830116E-2</v>
      </c>
      <c r="P2657">
        <v>-0.9683503</v>
      </c>
      <c r="Q2657">
        <v>0.18365419999999999</v>
      </c>
      <c r="R2657">
        <v>-0.16902439999999999</v>
      </c>
      <c r="S2657">
        <v>-3.0154109999999998</v>
      </c>
      <c r="T2657">
        <v>-0.12515270000000001</v>
      </c>
      <c r="U2657">
        <v>-0.60983279999999995</v>
      </c>
      <c r="V2657">
        <v>-0.15169079999999999</v>
      </c>
      <c r="W2657">
        <v>0.19662170000000001</v>
      </c>
      <c r="X2657">
        <v>0.96867420000000004</v>
      </c>
      <c r="Y2657">
        <v>-0.18005969999999999</v>
      </c>
      <c r="Z2657">
        <v>-4.4411920000000001E-3</v>
      </c>
      <c r="AA2657">
        <v>0.98364569999999996</v>
      </c>
      <c r="AB2657">
        <v>27</v>
      </c>
      <c r="AC2657">
        <v>-26.5321</v>
      </c>
      <c r="AD2657">
        <v>-1.11154441708499</v>
      </c>
      <c r="AE2657">
        <v>-5.4105000000000096</v>
      </c>
      <c r="AF2657">
        <v>-4.9156966647004801</v>
      </c>
      <c r="AG2657">
        <v>-1.11154441708499</v>
      </c>
      <c r="AH2657">
        <v>26.581891144422499</v>
      </c>
      <c r="AI2657">
        <v>92.354600266896995</v>
      </c>
      <c r="AJ2657">
        <v>100.47714740299701</v>
      </c>
      <c r="AK2657">
        <v>27.055434602024501</v>
      </c>
      <c r="AL2657">
        <v>78.660525025187894</v>
      </c>
      <c r="AM2657">
        <v>98.900027040093406</v>
      </c>
      <c r="AN2657">
        <v>0.99999994873058295</v>
      </c>
    </row>
    <row r="2658" spans="1:40" x14ac:dyDescent="0.25">
      <c r="A2658" t="str">
        <f>"20190304155109505"</f>
        <v>20190304155109505</v>
      </c>
      <c r="B2658" t="str">
        <f>"1551685869499124"</f>
        <v>1551685869499124</v>
      </c>
      <c r="C2658" t="s">
        <v>40</v>
      </c>
      <c r="D2658">
        <v>4.9970530000000002</v>
      </c>
      <c r="E2658">
        <v>0.4886105</v>
      </c>
      <c r="F2658" t="s">
        <v>62</v>
      </c>
      <c r="G2658">
        <v>-485.16829999999999</v>
      </c>
      <c r="H2658" s="1">
        <v>2.7148420000000001E-6</v>
      </c>
      <c r="I2658">
        <v>279.95310000000001</v>
      </c>
      <c r="J2658">
        <v>-458.12299999999999</v>
      </c>
      <c r="K2658">
        <v>1.11159599999999</v>
      </c>
      <c r="L2658">
        <v>285.42930000000001</v>
      </c>
      <c r="M2658">
        <v>-0.99971350000000003</v>
      </c>
      <c r="N2658">
        <v>-1.371645E-2</v>
      </c>
      <c r="O2658">
        <v>-1.9615819999999999E-2</v>
      </c>
      <c r="P2658">
        <v>-0.96809310000000004</v>
      </c>
      <c r="Q2658">
        <v>0.18363599999999999</v>
      </c>
      <c r="R2658">
        <v>-0.1705102</v>
      </c>
      <c r="S2658">
        <v>-3.015717</v>
      </c>
      <c r="T2658">
        <v>-0.1227366</v>
      </c>
      <c r="U2658">
        <v>-0.60537719999999995</v>
      </c>
      <c r="V2658">
        <v>-0.15192369999999999</v>
      </c>
      <c r="W2658">
        <v>0.19660340000000001</v>
      </c>
      <c r="X2658">
        <v>0.96864150000000004</v>
      </c>
      <c r="Y2658">
        <v>-0.17735919999999999</v>
      </c>
      <c r="Z2658">
        <v>-4.2779530000000001E-3</v>
      </c>
      <c r="AA2658">
        <v>0.98413689999999998</v>
      </c>
      <c r="AB2658">
        <v>27</v>
      </c>
      <c r="AC2658">
        <v>-27.045299999999902</v>
      </c>
      <c r="AD2658">
        <v>-1.1115932851579899</v>
      </c>
      <c r="AE2658">
        <v>-5.4762000000000004</v>
      </c>
      <c r="AF2658">
        <v>-4.9365695514404901</v>
      </c>
      <c r="AG2658">
        <v>-1.1115932851579899</v>
      </c>
      <c r="AH2658">
        <v>27.10354262509</v>
      </c>
      <c r="AI2658">
        <v>92.310575831853996</v>
      </c>
      <c r="AJ2658">
        <v>100.322551621964</v>
      </c>
      <c r="AK2658">
        <v>27.571858504603799</v>
      </c>
      <c r="AL2658">
        <v>78.661595362194504</v>
      </c>
      <c r="AM2658">
        <v>98.9137686149583</v>
      </c>
      <c r="AN2658">
        <v>1.00000003151774</v>
      </c>
    </row>
    <row r="2659" spans="1:40" x14ac:dyDescent="0.25">
      <c r="A2659" t="str">
        <f>"20190304155109528"</f>
        <v>20190304155109528</v>
      </c>
      <c r="B2659" t="str">
        <f>"1551685869519620"</f>
        <v>1551685869519620</v>
      </c>
      <c r="C2659" t="s">
        <v>40</v>
      </c>
      <c r="D2659">
        <v>5.0918869999999998</v>
      </c>
      <c r="E2659">
        <v>0.48962600000000001</v>
      </c>
      <c r="F2659" t="s">
        <v>62</v>
      </c>
      <c r="G2659">
        <v>-485.88060000000002</v>
      </c>
      <c r="H2659" s="1">
        <v>2.8355039999999999E-6</v>
      </c>
      <c r="I2659">
        <v>279.88780000000003</v>
      </c>
      <c r="J2659">
        <v>-458.38400000000001</v>
      </c>
      <c r="K2659">
        <v>1.111639</v>
      </c>
      <c r="L2659">
        <v>285.42270000000002</v>
      </c>
      <c r="M2659">
        <v>-0.99968579999999996</v>
      </c>
      <c r="N2659">
        <v>-1.373043E-2</v>
      </c>
      <c r="O2659">
        <v>-2.0971130000000001E-2</v>
      </c>
      <c r="P2659">
        <v>-0.96777959999999996</v>
      </c>
      <c r="Q2659">
        <v>0.18356890000000001</v>
      </c>
      <c r="R2659">
        <v>-0.17235259999999999</v>
      </c>
      <c r="S2659">
        <v>-3.0157470000000002</v>
      </c>
      <c r="T2659">
        <v>-0.1207695</v>
      </c>
      <c r="U2659">
        <v>-0.6020508</v>
      </c>
      <c r="V2659">
        <v>-0.15247459999999999</v>
      </c>
      <c r="W2659">
        <v>0.19653190000000001</v>
      </c>
      <c r="X2659">
        <v>0.96856940000000002</v>
      </c>
      <c r="Y2659">
        <v>-0.1749867</v>
      </c>
      <c r="Z2659">
        <v>-4.1363720000000001E-3</v>
      </c>
      <c r="AA2659">
        <v>0.9845621</v>
      </c>
      <c r="AB2659">
        <v>26</v>
      </c>
      <c r="AC2659">
        <v>-27.496600000000001</v>
      </c>
      <c r="AD2659">
        <v>-1.111636164496</v>
      </c>
      <c r="AE2659">
        <v>-5.5348999999999897</v>
      </c>
      <c r="AF2659">
        <v>-4.9492192443102603</v>
      </c>
      <c r="AG2659">
        <v>-1.111636164496</v>
      </c>
      <c r="AH2659">
        <v>27.563339775384598</v>
      </c>
      <c r="AI2659">
        <v>92.273185805357201</v>
      </c>
      <c r="AJ2659">
        <v>100.179444045735</v>
      </c>
      <c r="AK2659">
        <v>28.026205695094799</v>
      </c>
      <c r="AL2659">
        <v>78.665773013769595</v>
      </c>
      <c r="AM2659">
        <v>98.946224720647706</v>
      </c>
      <c r="AN2659">
        <v>0.99999998698956405</v>
      </c>
    </row>
    <row r="2660" spans="1:40" x14ac:dyDescent="0.25">
      <c r="A2660" t="str">
        <f>"20190304155109550"</f>
        <v>20190304155109550</v>
      </c>
      <c r="B2660" t="str">
        <f>"1551685869539140"</f>
        <v>1551685869539140</v>
      </c>
      <c r="C2660" t="s">
        <v>40</v>
      </c>
      <c r="D2660">
        <v>5.0688800000000001</v>
      </c>
      <c r="E2660">
        <v>0.49060550000000003</v>
      </c>
      <c r="F2660" t="s">
        <v>62</v>
      </c>
      <c r="G2660">
        <v>-486.64420000000001</v>
      </c>
      <c r="H2660" s="1">
        <v>2.9630540000000001E-6</v>
      </c>
      <c r="I2660">
        <v>279.79759999999999</v>
      </c>
      <c r="J2660">
        <v>-458.64440000000002</v>
      </c>
      <c r="K2660">
        <v>1.1116820000000001</v>
      </c>
      <c r="L2660">
        <v>285.41559999999998</v>
      </c>
      <c r="M2660">
        <v>-0.99965490000000001</v>
      </c>
      <c r="N2660">
        <v>-1.37424E-2</v>
      </c>
      <c r="O2660">
        <v>-2.2388709999999999E-2</v>
      </c>
      <c r="P2660">
        <v>-0.96743500000000004</v>
      </c>
      <c r="Q2660">
        <v>0.18338989999999999</v>
      </c>
      <c r="R2660">
        <v>-0.17446420000000001</v>
      </c>
      <c r="S2660">
        <v>-3.0154420000000002</v>
      </c>
      <c r="T2660">
        <v>-0.11861439999999999</v>
      </c>
      <c r="U2660">
        <v>-0.60021969999999902</v>
      </c>
      <c r="V2660">
        <v>-0.15323699999999901</v>
      </c>
      <c r="W2660">
        <v>0.1963453</v>
      </c>
      <c r="X2660">
        <v>0.96848699999999999</v>
      </c>
      <c r="Y2660">
        <v>-0.1730419</v>
      </c>
      <c r="Z2660">
        <v>-4.00381E-3</v>
      </c>
      <c r="AA2660">
        <v>0.98490630000000001</v>
      </c>
      <c r="AB2660">
        <v>26</v>
      </c>
      <c r="AC2660">
        <v>-27.9998</v>
      </c>
      <c r="AD2660">
        <v>-1.1116790369459999</v>
      </c>
      <c r="AE2660">
        <v>-5.6179999999999897</v>
      </c>
      <c r="AF2660">
        <v>-4.9821033959583998</v>
      </c>
      <c r="AG2660">
        <v>-1.1116790369459999</v>
      </c>
      <c r="AH2660">
        <v>28.0760274251959</v>
      </c>
      <c r="AI2660">
        <v>92.232617243906205</v>
      </c>
      <c r="AJ2660">
        <v>100.06241643466601</v>
      </c>
      <c r="AK2660">
        <v>28.536301451126398</v>
      </c>
      <c r="AL2660">
        <v>78.676677717026394</v>
      </c>
      <c r="AM2660">
        <v>98.990980983632596</v>
      </c>
      <c r="AN2660">
        <v>1.00000006208504</v>
      </c>
    </row>
    <row r="2661" spans="1:40" x14ac:dyDescent="0.25">
      <c r="A2661" t="str">
        <f>"20190304155109573"</f>
        <v>20190304155109573</v>
      </c>
      <c r="B2661" t="str">
        <f>"1551685869569400"</f>
        <v>1551685869569400</v>
      </c>
      <c r="C2661" t="s">
        <v>40</v>
      </c>
      <c r="D2661">
        <v>5.0559989999999999</v>
      </c>
      <c r="E2661">
        <v>0.49203229999999998</v>
      </c>
      <c r="F2661" t="s">
        <v>62</v>
      </c>
      <c r="G2661">
        <v>-487.28570000000002</v>
      </c>
      <c r="H2661" s="1">
        <v>3.070905E-6</v>
      </c>
      <c r="I2661">
        <v>279.7296</v>
      </c>
      <c r="J2661">
        <v>-458.91019999999997</v>
      </c>
      <c r="K2661">
        <v>1.1117250000000001</v>
      </c>
      <c r="L2661">
        <v>285.40800000000002</v>
      </c>
      <c r="M2661">
        <v>-0.99962010000000001</v>
      </c>
      <c r="N2661">
        <v>-1.375293E-2</v>
      </c>
      <c r="O2661">
        <v>-2.3888969999999999E-2</v>
      </c>
      <c r="P2661">
        <v>-0.96715810000000002</v>
      </c>
      <c r="Q2661">
        <v>0.1826113</v>
      </c>
      <c r="R2661">
        <v>-0.17680000000000001</v>
      </c>
      <c r="S2661">
        <v>-3.0151979999999998</v>
      </c>
      <c r="T2661">
        <v>-0.1170313</v>
      </c>
      <c r="U2661">
        <v>-0.59860230000000003</v>
      </c>
      <c r="V2661">
        <v>-0.15413949999999901</v>
      </c>
      <c r="W2661">
        <v>0.19555929999999999</v>
      </c>
      <c r="X2661">
        <v>0.9685028</v>
      </c>
      <c r="Y2661">
        <v>-0.1710766</v>
      </c>
      <c r="Z2661">
        <v>-3.8833940000000001E-3</v>
      </c>
      <c r="AA2661">
        <v>0.98525010000000002</v>
      </c>
      <c r="AB2661">
        <v>26</v>
      </c>
      <c r="AC2661">
        <v>-28.375499999999999</v>
      </c>
      <c r="AD2661">
        <v>-1.111721929095</v>
      </c>
      <c r="AE2661">
        <v>-5.6784000000000097</v>
      </c>
      <c r="AF2661">
        <v>-4.9914867929292903</v>
      </c>
      <c r="AG2661">
        <v>-1.111721929095</v>
      </c>
      <c r="AH2661">
        <v>28.4610593023964</v>
      </c>
      <c r="AI2661">
        <v>92.203308159621997</v>
      </c>
      <c r="AJ2661">
        <v>99.947342644792897</v>
      </c>
      <c r="AK2661">
        <v>28.916824906378299</v>
      </c>
      <c r="AL2661">
        <v>78.722602378247899</v>
      </c>
      <c r="AM2661">
        <v>99.042916372269303</v>
      </c>
      <c r="AN2661">
        <v>1.00000004944228</v>
      </c>
    </row>
    <row r="2662" spans="1:40" x14ac:dyDescent="0.25">
      <c r="A2662" t="str">
        <f>"20190304155109595"</f>
        <v>20190304155109595</v>
      </c>
      <c r="B2662" t="str">
        <f>"1551685869589902"</f>
        <v>1551685869589902</v>
      </c>
      <c r="C2662" t="s">
        <v>40</v>
      </c>
      <c r="D2662">
        <v>4.9705469999999998</v>
      </c>
      <c r="E2662">
        <v>0.49290980000000001</v>
      </c>
      <c r="F2662" t="s">
        <v>62</v>
      </c>
      <c r="G2662">
        <v>-487.60939999999999</v>
      </c>
      <c r="H2662" s="1">
        <v>3.1296300000000001E-6</v>
      </c>
      <c r="I2662">
        <v>279.74459999999999</v>
      </c>
      <c r="J2662">
        <v>-459.17509999999999</v>
      </c>
      <c r="K2662">
        <v>1.111761</v>
      </c>
      <c r="L2662">
        <v>285.39999999999998</v>
      </c>
      <c r="M2662">
        <v>-0.99958159999999896</v>
      </c>
      <c r="N2662">
        <v>-1.376205E-2</v>
      </c>
      <c r="O2662">
        <v>-2.5441370000000001E-2</v>
      </c>
      <c r="P2662">
        <v>-0.96673350000000002</v>
      </c>
      <c r="Q2662">
        <v>0.1823275</v>
      </c>
      <c r="R2662">
        <v>-0.1793979</v>
      </c>
      <c r="S2662">
        <v>-3.0151669999999999</v>
      </c>
      <c r="T2662">
        <v>-0.1167985</v>
      </c>
      <c r="U2662">
        <v>-0.59500120000000001</v>
      </c>
      <c r="V2662">
        <v>-0.15525610000000001</v>
      </c>
      <c r="W2662">
        <v>0.1952651</v>
      </c>
      <c r="X2662">
        <v>0.96838369999999996</v>
      </c>
      <c r="Y2662">
        <v>-0.16841900000000001</v>
      </c>
      <c r="Z2662">
        <v>-3.7721790000000001E-3</v>
      </c>
      <c r="AA2662">
        <v>0.98570829999999998</v>
      </c>
      <c r="AB2662">
        <v>26</v>
      </c>
      <c r="AC2662">
        <v>-28.4343</v>
      </c>
      <c r="AD2662">
        <v>-1.11175787037</v>
      </c>
      <c r="AE2662">
        <v>-5.6553999999999798</v>
      </c>
      <c r="AF2662">
        <v>-4.9228536294532601</v>
      </c>
      <c r="AG2662">
        <v>-1.11175787037</v>
      </c>
      <c r="AH2662">
        <v>28.527038207676199</v>
      </c>
      <c r="AI2662">
        <v>92.199331114483599</v>
      </c>
      <c r="AJ2662">
        <v>99.790986565857295</v>
      </c>
      <c r="AK2662">
        <v>28.9700259289074</v>
      </c>
      <c r="AL2662">
        <v>78.739789057003705</v>
      </c>
      <c r="AM2662">
        <v>99.108431362623094</v>
      </c>
      <c r="AN2662">
        <v>0.99999995314545298</v>
      </c>
    </row>
    <row r="2663" spans="1:40" x14ac:dyDescent="0.25">
      <c r="A2663" t="str">
        <f>"20190304155109618"</f>
        <v>20190304155109618</v>
      </c>
      <c r="B2663" t="str">
        <f>"1551685869609412"</f>
        <v>1551685869609412</v>
      </c>
      <c r="C2663" t="s">
        <v>40</v>
      </c>
      <c r="D2663">
        <v>5.0095070000000002</v>
      </c>
      <c r="E2663">
        <v>0.49380829999999998</v>
      </c>
      <c r="F2663" t="s">
        <v>62</v>
      </c>
      <c r="G2663">
        <v>-488.21789999999999</v>
      </c>
      <c r="H2663" s="1">
        <v>3.2295679999999999E-6</v>
      </c>
      <c r="I2663">
        <v>279.65300000000002</v>
      </c>
      <c r="J2663">
        <v>-459.43860000000001</v>
      </c>
      <c r="K2663">
        <v>1.111796</v>
      </c>
      <c r="L2663">
        <v>285.39150000000001</v>
      </c>
      <c r="M2663">
        <v>-0.99953930000000002</v>
      </c>
      <c r="N2663">
        <v>-1.377009E-2</v>
      </c>
      <c r="O2663">
        <v>-2.7050540000000001E-2</v>
      </c>
      <c r="P2663">
        <v>-0.96635510000000002</v>
      </c>
      <c r="Q2663">
        <v>0.18237639999999999</v>
      </c>
      <c r="R2663">
        <v>-0.18137400000000001</v>
      </c>
      <c r="S2663">
        <v>-3.014313</v>
      </c>
      <c r="T2663">
        <v>-0.1153877</v>
      </c>
      <c r="U2663">
        <v>-0.5964661</v>
      </c>
      <c r="V2663">
        <v>-0.15569810000000001</v>
      </c>
      <c r="W2663">
        <v>0.19530439999999999</v>
      </c>
      <c r="X2663">
        <v>0.96830490000000002</v>
      </c>
      <c r="Y2663">
        <v>-0.16735069999999999</v>
      </c>
      <c r="Z2663">
        <v>-3.6798130000000001E-3</v>
      </c>
      <c r="AA2663">
        <v>0.98589059999999995</v>
      </c>
      <c r="AB2663">
        <v>26</v>
      </c>
      <c r="AC2663">
        <v>-28.7792999999999</v>
      </c>
      <c r="AD2663">
        <v>-1.1117927704320001</v>
      </c>
      <c r="AE2663">
        <v>-5.7384999999999797</v>
      </c>
      <c r="AF2663">
        <v>-4.9507243666456198</v>
      </c>
      <c r="AG2663">
        <v>-1.1117927704320001</v>
      </c>
      <c r="AH2663">
        <v>28.882554684171801</v>
      </c>
      <c r="AI2663">
        <v>92.172773972550203</v>
      </c>
      <c r="AJ2663">
        <v>99.726478699712303</v>
      </c>
      <c r="AK2663">
        <v>29.324865217133699</v>
      </c>
      <c r="AL2663">
        <v>78.737494155613206</v>
      </c>
      <c r="AM2663">
        <v>99.134656516646899</v>
      </c>
      <c r="AN2663">
        <v>1.0000000431834799</v>
      </c>
    </row>
    <row r="2664" spans="1:40" x14ac:dyDescent="0.25">
      <c r="A2664" t="str">
        <f>"20190304155109639"</f>
        <v>20190304155109639</v>
      </c>
      <c r="B2664" t="str">
        <f>"1551685869628933"</f>
        <v>1551685869628933</v>
      </c>
      <c r="C2664" t="s">
        <v>40</v>
      </c>
      <c r="D2664">
        <v>5.0438039999999997</v>
      </c>
      <c r="E2664">
        <v>0.49467410000000001</v>
      </c>
      <c r="F2664" t="s">
        <v>62</v>
      </c>
      <c r="G2664">
        <v>-488.98340000000002</v>
      </c>
      <c r="H2664" s="1">
        <v>3.337513E-6</v>
      </c>
      <c r="I2664">
        <v>279.54669999999999</v>
      </c>
      <c r="J2664">
        <v>-459.69540000000001</v>
      </c>
      <c r="K2664">
        <v>1.1118349999999999</v>
      </c>
      <c r="L2664">
        <v>285.3827</v>
      </c>
      <c r="M2664">
        <v>-0.99949339999999998</v>
      </c>
      <c r="N2664">
        <v>-1.377712E-2</v>
      </c>
      <c r="O2664">
        <v>-2.8687799999999999E-2</v>
      </c>
      <c r="P2664">
        <v>-0.96611480000000005</v>
      </c>
      <c r="Q2664">
        <v>0.18182409999999999</v>
      </c>
      <c r="R2664">
        <v>-0.1832</v>
      </c>
      <c r="S2664">
        <v>-3.0139770000000001</v>
      </c>
      <c r="T2664">
        <v>-0.1134183</v>
      </c>
      <c r="U2664">
        <v>-0.59625240000000002</v>
      </c>
      <c r="V2664">
        <v>-0.15595919999999999</v>
      </c>
      <c r="W2664">
        <v>0.19474269999999999</v>
      </c>
      <c r="X2664">
        <v>0.96837600000000001</v>
      </c>
      <c r="Y2664">
        <v>-0.1656955</v>
      </c>
      <c r="Z2664">
        <v>-3.5633349999999999E-3</v>
      </c>
      <c r="AA2664">
        <v>0.98617049999999995</v>
      </c>
      <c r="AB2664">
        <v>26</v>
      </c>
      <c r="AC2664">
        <v>-29.288</v>
      </c>
      <c r="AD2664">
        <v>-1.1118316624869999</v>
      </c>
      <c r="AE2664">
        <v>-5.8360000000000101</v>
      </c>
      <c r="AF2664">
        <v>-4.9863979205700097</v>
      </c>
      <c r="AG2664">
        <v>-1.1118316624869999</v>
      </c>
      <c r="AH2664">
        <v>29.402626877421401</v>
      </c>
      <c r="AI2664">
        <v>92.135095147339996</v>
      </c>
      <c r="AJ2664">
        <v>99.625224506215801</v>
      </c>
      <c r="AK2664">
        <v>29.843170092348299</v>
      </c>
      <c r="AL2664">
        <v>78.770307151928094</v>
      </c>
      <c r="AM2664">
        <v>99.149055676832305</v>
      </c>
      <c r="AN2664">
        <v>1.0000000343219599</v>
      </c>
    </row>
    <row r="2665" spans="1:40" x14ac:dyDescent="0.25">
      <c r="A2665" t="str">
        <f>"20190304155109664"</f>
        <v>20190304155109664</v>
      </c>
      <c r="B2665" t="str">
        <f>"1551685869659188"</f>
        <v>1551685869659188</v>
      </c>
      <c r="C2665" t="s">
        <v>40</v>
      </c>
      <c r="D2665">
        <v>5.0032459999999999</v>
      </c>
      <c r="E2665">
        <v>0.49596420000000002</v>
      </c>
      <c r="F2665" t="s">
        <v>62</v>
      </c>
      <c r="G2665">
        <v>-489.32740000000001</v>
      </c>
      <c r="H2665" s="1">
        <v>3.3911780000000001E-6</v>
      </c>
      <c r="I2665">
        <v>279.5258</v>
      </c>
      <c r="J2665">
        <v>-459.96460000000002</v>
      </c>
      <c r="K2665">
        <v>1.111888</v>
      </c>
      <c r="L2665">
        <v>285.37299999999999</v>
      </c>
      <c r="M2665">
        <v>-0.99944040000000001</v>
      </c>
      <c r="N2665">
        <v>-1.3783709999999999E-2</v>
      </c>
      <c r="O2665">
        <v>-3.0484150000000002E-2</v>
      </c>
      <c r="P2665">
        <v>-0.96582999999999997</v>
      </c>
      <c r="Q2665">
        <v>0.1815533</v>
      </c>
      <c r="R2665">
        <v>-0.1849634</v>
      </c>
      <c r="S2665">
        <v>-3.0135800000000001</v>
      </c>
      <c r="T2665">
        <v>-0.11307349999999999</v>
      </c>
      <c r="U2665">
        <v>-0.59564209999999995</v>
      </c>
      <c r="V2665">
        <v>-0.15600929999999999</v>
      </c>
      <c r="W2665">
        <v>0.19445879999999999</v>
      </c>
      <c r="X2665">
        <v>0.96842490000000003</v>
      </c>
      <c r="Y2665">
        <v>-0.16375819999999999</v>
      </c>
      <c r="Z2665">
        <v>-3.4667000000000001E-3</v>
      </c>
      <c r="AA2665">
        <v>0.98649439999999999</v>
      </c>
      <c r="AB2665">
        <v>26</v>
      </c>
      <c r="AC2665">
        <v>-29.3628</v>
      </c>
      <c r="AD2665">
        <v>-1.111884608822</v>
      </c>
      <c r="AE2665">
        <v>-5.8471999999999804</v>
      </c>
      <c r="AF2665">
        <v>-4.9424803386221399</v>
      </c>
      <c r="AG2665">
        <v>-1.111884608822</v>
      </c>
      <c r="AH2665">
        <v>29.486746022247502</v>
      </c>
      <c r="AI2665">
        <v>92.129799329302401</v>
      </c>
      <c r="AJ2665">
        <v>99.5152933087371</v>
      </c>
      <c r="AK2665">
        <v>29.918766523062601</v>
      </c>
      <c r="AL2665">
        <v>78.786889572940098</v>
      </c>
      <c r="AM2665">
        <v>99.151490669196207</v>
      </c>
      <c r="AN2665">
        <v>0.99999995676196896</v>
      </c>
    </row>
    <row r="2666" spans="1:40" x14ac:dyDescent="0.25">
      <c r="A2666" t="str">
        <f>"20190304155109685"</f>
        <v>20190304155109685</v>
      </c>
      <c r="B2666" t="str">
        <f>"1551685869679685"</f>
        <v>1551685869679685</v>
      </c>
      <c r="C2666" t="s">
        <v>40</v>
      </c>
      <c r="D2666">
        <v>4.9943669999999996</v>
      </c>
      <c r="E2666">
        <v>0.49675380000000002</v>
      </c>
      <c r="F2666" t="s">
        <v>62</v>
      </c>
      <c r="G2666">
        <v>-490.0213</v>
      </c>
      <c r="H2666" s="1">
        <v>3.4803649999999998E-6</v>
      </c>
      <c r="I2666">
        <v>279.4778</v>
      </c>
      <c r="J2666">
        <v>-460.221</v>
      </c>
      <c r="K2666">
        <v>1.1119490000000001</v>
      </c>
      <c r="L2666">
        <v>285.36320000000001</v>
      </c>
      <c r="M2666">
        <v>-0.99938389999999999</v>
      </c>
      <c r="N2666">
        <v>-1.3789300000000001E-2</v>
      </c>
      <c r="O2666">
        <v>-3.2276409999999998E-2</v>
      </c>
      <c r="P2666">
        <v>-0.96550150000000001</v>
      </c>
      <c r="Q2666">
        <v>0.18176539999999999</v>
      </c>
      <c r="R2666">
        <v>-0.18646190000000001</v>
      </c>
      <c r="S2666">
        <v>-3.013855</v>
      </c>
      <c r="T2666">
        <v>-0.1114912</v>
      </c>
      <c r="U2666">
        <v>-0.59112549999999997</v>
      </c>
      <c r="V2666">
        <v>-0.155804</v>
      </c>
      <c r="W2666">
        <v>0.1946553</v>
      </c>
      <c r="X2666">
        <v>0.96841849999999996</v>
      </c>
      <c r="Y2666">
        <v>-0.16055459999999999</v>
      </c>
      <c r="Z2666">
        <v>-3.3186130000000002E-3</v>
      </c>
      <c r="AA2666">
        <v>0.98702140000000005</v>
      </c>
      <c r="AB2666">
        <v>26</v>
      </c>
      <c r="AC2666">
        <v>-29.8003</v>
      </c>
      <c r="AD2666">
        <v>-1.1119455196349901</v>
      </c>
      <c r="AE2666">
        <v>-5.8853999999999997</v>
      </c>
      <c r="AF2666">
        <v>-4.9138103346814201</v>
      </c>
      <c r="AG2666">
        <v>-1.1119455196349901</v>
      </c>
      <c r="AH2666">
        <v>29.934635410566401</v>
      </c>
      <c r="AI2666">
        <v>92.099249425735493</v>
      </c>
      <c r="AJ2666">
        <v>99.322042401547094</v>
      </c>
      <c r="AK2666">
        <v>30.355631306355601</v>
      </c>
      <c r="AL2666">
        <v>78.775411905336895</v>
      </c>
      <c r="AM2666">
        <v>99.139710558583104</v>
      </c>
      <c r="AN2666">
        <v>0.99999998168816895</v>
      </c>
    </row>
    <row r="2667" spans="1:40" x14ac:dyDescent="0.25">
      <c r="A2667" t="str">
        <f>"20190304155109707"</f>
        <v>20190304155109707</v>
      </c>
      <c r="B2667" t="str">
        <f>"1551685869699204"</f>
        <v>1551685869699204</v>
      </c>
      <c r="C2667" t="s">
        <v>40</v>
      </c>
      <c r="D2667">
        <v>5.2613300000000001</v>
      </c>
      <c r="E2667">
        <v>0.49725459999999999</v>
      </c>
      <c r="F2667" t="s">
        <v>62</v>
      </c>
      <c r="G2667">
        <v>-491.0197</v>
      </c>
      <c r="H2667" s="1">
        <v>3.2973659999999999E-6</v>
      </c>
      <c r="I2667">
        <v>279.33670000000001</v>
      </c>
      <c r="J2667">
        <v>-460.47609999999997</v>
      </c>
      <c r="K2667">
        <v>1.1120159999999999</v>
      </c>
      <c r="L2667">
        <v>285.35289999999998</v>
      </c>
      <c r="M2667">
        <v>-0.99932200000000004</v>
      </c>
      <c r="N2667">
        <v>-1.3794280000000001E-2</v>
      </c>
      <c r="O2667">
        <v>-3.4140129999999998E-2</v>
      </c>
      <c r="P2667">
        <v>-0.96502719999999997</v>
      </c>
      <c r="Q2667">
        <v>0.1825341</v>
      </c>
      <c r="R2667">
        <v>-0.18816079999999999</v>
      </c>
      <c r="S2667">
        <v>-3.013763</v>
      </c>
      <c r="T2667">
        <v>-0.10880819999999999</v>
      </c>
      <c r="U2667">
        <v>-0.58972170000000002</v>
      </c>
      <c r="V2667">
        <v>-0.15573689999999901</v>
      </c>
      <c r="W2667">
        <v>0.195405</v>
      </c>
      <c r="X2667">
        <v>0.96827830000000004</v>
      </c>
      <c r="Y2667">
        <v>-0.15828420000000001</v>
      </c>
      <c r="Z2667">
        <v>-3.179557E-3</v>
      </c>
      <c r="AA2667">
        <v>0.9873885</v>
      </c>
      <c r="AB2667">
        <v>26</v>
      </c>
      <c r="AC2667">
        <v>-30.543600000000001</v>
      </c>
      <c r="AD2667">
        <v>-1.1120127026340001</v>
      </c>
      <c r="AE2667">
        <v>-6.0161999999999596</v>
      </c>
      <c r="AF2667">
        <v>-4.9634972921966298</v>
      </c>
      <c r="AG2667">
        <v>-1.1120127026340001</v>
      </c>
      <c r="AH2667">
        <v>30.692041949977298</v>
      </c>
      <c r="AI2667">
        <v>92.048403070536594</v>
      </c>
      <c r="AJ2667">
        <v>99.186304023213495</v>
      </c>
      <c r="AK2667">
        <v>31.110678499184701</v>
      </c>
      <c r="AL2667">
        <v>78.731616254359906</v>
      </c>
      <c r="AM2667">
        <v>99.137141252791295</v>
      </c>
      <c r="AN2667">
        <v>0.999999981148749</v>
      </c>
    </row>
    <row r="2668" spans="1:40" x14ac:dyDescent="0.25">
      <c r="A2668" t="str">
        <f>"20190304155109730"</f>
        <v>20190304155109730</v>
      </c>
      <c r="B2668" t="str">
        <f>"1551685869719700"</f>
        <v>1551685869719700</v>
      </c>
      <c r="C2668" t="s">
        <v>40</v>
      </c>
      <c r="D2668">
        <v>5.0186950000000001</v>
      </c>
      <c r="E2668">
        <v>0.4979343</v>
      </c>
      <c r="F2668" t="s">
        <v>62</v>
      </c>
      <c r="G2668">
        <v>-492.57549999999998</v>
      </c>
      <c r="H2668" s="1">
        <v>2.97083E-6</v>
      </c>
      <c r="I2668">
        <v>279.0496</v>
      </c>
      <c r="J2668">
        <v>-460.7389</v>
      </c>
      <c r="K2668">
        <v>1.11208</v>
      </c>
      <c r="L2668">
        <v>285.3417</v>
      </c>
      <c r="M2668">
        <v>-0.99925120000000001</v>
      </c>
      <c r="N2668">
        <v>-1.379879E-2</v>
      </c>
      <c r="O2668">
        <v>-3.6150450000000001E-2</v>
      </c>
      <c r="P2668">
        <v>-0.96458169999999999</v>
      </c>
      <c r="Q2668">
        <v>0.18306649999999999</v>
      </c>
      <c r="R2668">
        <v>-0.18991839999999999</v>
      </c>
      <c r="S2668">
        <v>-3.0130620000000001</v>
      </c>
      <c r="T2668">
        <v>-0.1043811</v>
      </c>
      <c r="U2668">
        <v>-0.59167479999999995</v>
      </c>
      <c r="V2668">
        <v>-0.15558629999999901</v>
      </c>
      <c r="W2668">
        <v>0.19591890000000001</v>
      </c>
      <c r="X2668">
        <v>0.96819869999999997</v>
      </c>
      <c r="Y2668">
        <v>-0.156967299999999</v>
      </c>
      <c r="Z2668">
        <v>-3.0418329999999999E-3</v>
      </c>
      <c r="AA2668">
        <v>0.98759909999999995</v>
      </c>
      <c r="AB2668">
        <v>26</v>
      </c>
      <c r="AC2668">
        <v>-31.836599999999901</v>
      </c>
      <c r="AD2668">
        <v>-1.11207702917</v>
      </c>
      <c r="AE2668">
        <v>-6.2920999999999996</v>
      </c>
      <c r="AF2668">
        <v>-5.1309443485584696</v>
      </c>
      <c r="AG2668">
        <v>-1.11207702917</v>
      </c>
      <c r="AH2668">
        <v>32.005686235447897</v>
      </c>
      <c r="AI2668">
        <v>91.964942212687006</v>
      </c>
      <c r="AJ2668">
        <v>99.107791276356593</v>
      </c>
      <c r="AK2668">
        <v>32.433428073960201</v>
      </c>
      <c r="AL2668">
        <v>78.701592033244197</v>
      </c>
      <c r="AM2668">
        <v>99.129192183392306</v>
      </c>
      <c r="AN2668">
        <v>1.0000000174032899</v>
      </c>
    </row>
    <row r="2669" spans="1:40" x14ac:dyDescent="0.25">
      <c r="A2669" t="str">
        <f>"20190304155109751"</f>
        <v>20190304155109751</v>
      </c>
      <c r="B2669" t="str">
        <f>"1551685869748981"</f>
        <v>1551685869748981</v>
      </c>
      <c r="C2669" t="s">
        <v>40</v>
      </c>
      <c r="D2669">
        <v>5.0339799999999997</v>
      </c>
      <c r="E2669">
        <v>0.49890849999999998</v>
      </c>
      <c r="F2669" t="s">
        <v>62</v>
      </c>
      <c r="G2669">
        <v>-493.96030000000002</v>
      </c>
      <c r="H2669" s="1">
        <v>2.6844469999999999E-6</v>
      </c>
      <c r="I2669">
        <v>278.81830000000002</v>
      </c>
      <c r="J2669">
        <v>-460.99439999999998</v>
      </c>
      <c r="K2669">
        <v>1.112136</v>
      </c>
      <c r="L2669">
        <v>285.33019999999999</v>
      </c>
      <c r="M2669">
        <v>-0.99917560000000005</v>
      </c>
      <c r="N2669">
        <v>-1.380232E-2</v>
      </c>
      <c r="O2669">
        <v>-3.8180989999999998E-2</v>
      </c>
      <c r="P2669">
        <v>-0.96402560000000004</v>
      </c>
      <c r="Q2669">
        <v>0.1837106</v>
      </c>
      <c r="R2669">
        <v>-0.19210730000000001</v>
      </c>
      <c r="S2669">
        <v>-3.0128780000000002</v>
      </c>
      <c r="T2669">
        <v>-0.1008554</v>
      </c>
      <c r="U2669">
        <v>-0.59161379999999997</v>
      </c>
      <c r="V2669">
        <v>-0.15584799999999999</v>
      </c>
      <c r="W2669">
        <v>0.196544</v>
      </c>
      <c r="X2669">
        <v>0.9680299</v>
      </c>
      <c r="Y2669">
        <v>-0.1549605</v>
      </c>
      <c r="Z2669">
        <v>-2.9066589999999998E-3</v>
      </c>
      <c r="AA2669">
        <v>0.98791640000000003</v>
      </c>
      <c r="AB2669">
        <v>26</v>
      </c>
      <c r="AC2669">
        <v>-32.965899999999998</v>
      </c>
      <c r="AD2669">
        <v>-1.112133315553</v>
      </c>
      <c r="AE2669">
        <v>-6.5118999999999598</v>
      </c>
      <c r="AF2669">
        <v>-5.24261778669654</v>
      </c>
      <c r="AG2669">
        <v>-1.112133315553</v>
      </c>
      <c r="AH2669">
        <v>33.154196425151802</v>
      </c>
      <c r="AI2669">
        <v>91.897663627708994</v>
      </c>
      <c r="AJ2669">
        <v>98.985684616378904</v>
      </c>
      <c r="AK2669">
        <v>33.584559284982397</v>
      </c>
      <c r="AL2669">
        <v>78.665066267922001</v>
      </c>
      <c r="AM2669">
        <v>99.145856082236094</v>
      </c>
      <c r="AN2669">
        <v>1.0000000151670001</v>
      </c>
    </row>
    <row r="2670" spans="1:40" x14ac:dyDescent="0.25">
      <c r="A2670" t="str">
        <f>"20190304155109774"</f>
        <v>20190304155109774</v>
      </c>
      <c r="B2670" t="str">
        <f>"1551685869769480"</f>
        <v>1551685869769480</v>
      </c>
      <c r="C2670" t="s">
        <v>40</v>
      </c>
      <c r="D2670">
        <v>5.2040170000000003</v>
      </c>
      <c r="E2670">
        <v>0.49898900000000002</v>
      </c>
      <c r="F2670" t="s">
        <v>62</v>
      </c>
      <c r="G2670">
        <v>-495.8098</v>
      </c>
      <c r="H2670" s="1">
        <v>2.300973E-6</v>
      </c>
      <c r="I2670">
        <v>278.50369999999998</v>
      </c>
      <c r="J2670">
        <v>-461.2604</v>
      </c>
      <c r="K2670">
        <v>1.112185</v>
      </c>
      <c r="L2670">
        <v>285.31760000000003</v>
      </c>
      <c r="M2670">
        <v>-0.99909009999999998</v>
      </c>
      <c r="N2670">
        <v>-1.380689E-2</v>
      </c>
      <c r="O2670">
        <v>-4.0357369999999997E-2</v>
      </c>
      <c r="P2670">
        <v>-0.96366890000000005</v>
      </c>
      <c r="Q2670">
        <v>0.18363959999999999</v>
      </c>
      <c r="R2670">
        <v>-0.19395680000000001</v>
      </c>
      <c r="S2670">
        <v>-3.0125730000000002</v>
      </c>
      <c r="T2670">
        <v>-9.6232769999999995E-2</v>
      </c>
      <c r="U2670">
        <v>-0.59069819999999995</v>
      </c>
      <c r="V2670">
        <v>-0.15561469999999999</v>
      </c>
      <c r="W2670">
        <v>0.1964641</v>
      </c>
      <c r="X2670">
        <v>0.96808360000000004</v>
      </c>
      <c r="Y2670">
        <v>-0.15254799999999999</v>
      </c>
      <c r="Z2670">
        <v>-2.7537519999999999E-3</v>
      </c>
      <c r="AA2670">
        <v>0.98829219999999895</v>
      </c>
      <c r="AB2670">
        <v>26</v>
      </c>
      <c r="AC2670">
        <v>-34.549399999999899</v>
      </c>
      <c r="AD2670">
        <v>-1.1121826990270001</v>
      </c>
      <c r="AE2670">
        <v>-6.8139000000000403</v>
      </c>
      <c r="AF2670">
        <v>-5.4084973442194002</v>
      </c>
      <c r="AG2670">
        <v>-1.1121826990270001</v>
      </c>
      <c r="AH2670">
        <v>34.761591244850401</v>
      </c>
      <c r="AI2670">
        <v>91.810758246996897</v>
      </c>
      <c r="AJ2670">
        <v>98.843647080337504</v>
      </c>
      <c r="AK2670">
        <v>35.197400752790003</v>
      </c>
      <c r="AL2670">
        <v>78.669734678576503</v>
      </c>
      <c r="AM2670">
        <v>99.131897831966398</v>
      </c>
      <c r="AN2670">
        <v>0.99999996701692895</v>
      </c>
    </row>
    <row r="2671" spans="1:40" x14ac:dyDescent="0.25">
      <c r="A2671" t="str">
        <f>"20190304155109796"</f>
        <v>20190304155109796</v>
      </c>
      <c r="B2671" t="str">
        <f>"1551685869788999"</f>
        <v>1551685869788999</v>
      </c>
      <c r="C2671" t="s">
        <v>40</v>
      </c>
      <c r="D2671">
        <v>5.0983289999999997</v>
      </c>
      <c r="E2671">
        <v>0.49844270000000002</v>
      </c>
      <c r="F2671" t="s">
        <v>62</v>
      </c>
      <c r="G2671">
        <v>-496.5369</v>
      </c>
      <c r="H2671" s="1">
        <v>2.1416360000000001E-6</v>
      </c>
      <c r="I2671">
        <v>278.3313</v>
      </c>
      <c r="J2671">
        <v>-461.52</v>
      </c>
      <c r="K2671">
        <v>1.11222</v>
      </c>
      <c r="L2671">
        <v>285.30459999999999</v>
      </c>
      <c r="M2671">
        <v>-0.99899979999999999</v>
      </c>
      <c r="N2671">
        <v>-1.3816149999999999E-2</v>
      </c>
      <c r="O2671">
        <v>-4.2529610000000002E-2</v>
      </c>
      <c r="P2671">
        <v>-0.96304959999999995</v>
      </c>
      <c r="Q2671">
        <v>0.18419569999999999</v>
      </c>
      <c r="R2671">
        <v>-0.19648840000000001</v>
      </c>
      <c r="S2671">
        <v>-3.0111690000000002</v>
      </c>
      <c r="T2671">
        <v>-9.4935060000000002E-2</v>
      </c>
      <c r="U2671">
        <v>-0.59634399999999999</v>
      </c>
      <c r="V2671">
        <v>-0.1560754</v>
      </c>
      <c r="W2671">
        <v>0.19701340000000001</v>
      </c>
      <c r="X2671">
        <v>0.96789780000000003</v>
      </c>
      <c r="Y2671">
        <v>-0.1522724</v>
      </c>
      <c r="Z2671">
        <v>-2.695865E-3</v>
      </c>
      <c r="AA2671">
        <v>0.98833490000000002</v>
      </c>
      <c r="AB2671">
        <v>26</v>
      </c>
      <c r="AC2671">
        <v>-35.0169</v>
      </c>
      <c r="AD2671">
        <v>-1.1122178583639999</v>
      </c>
      <c r="AE2671">
        <v>-6.9732999999999903</v>
      </c>
      <c r="AF2671">
        <v>-5.47228223181716</v>
      </c>
      <c r="AG2671">
        <v>-1.1122178583639999</v>
      </c>
      <c r="AH2671">
        <v>35.247607932920602</v>
      </c>
      <c r="AI2671">
        <v>91.785953975850006</v>
      </c>
      <c r="AJ2671">
        <v>98.824864942514296</v>
      </c>
      <c r="AK2671">
        <v>35.687207321139802</v>
      </c>
      <c r="AL2671">
        <v>78.6376349006742</v>
      </c>
      <c r="AM2671">
        <v>99.160203749566506</v>
      </c>
      <c r="AN2671">
        <v>0.99999998075477903</v>
      </c>
    </row>
    <row r="2672" spans="1:40" x14ac:dyDescent="0.25">
      <c r="A2672" t="str">
        <f>"20190304155109819"</f>
        <v>20190304155109819</v>
      </c>
      <c r="B2672" t="str">
        <f>"1551685869809492"</f>
        <v>1551685869809492</v>
      </c>
      <c r="C2672" t="s">
        <v>40</v>
      </c>
      <c r="D2672">
        <v>5.1270639999999998</v>
      </c>
      <c r="E2672">
        <v>0.49778749999999999</v>
      </c>
      <c r="F2672" t="s">
        <v>62</v>
      </c>
      <c r="G2672">
        <v>-496.77010000000001</v>
      </c>
      <c r="H2672" s="1">
        <v>2.073202E-6</v>
      </c>
      <c r="I2672">
        <v>278.17759999999998</v>
      </c>
      <c r="J2672">
        <v>-461.77289999999999</v>
      </c>
      <c r="K2672">
        <v>1.11225</v>
      </c>
      <c r="L2672">
        <v>285.29140000000001</v>
      </c>
      <c r="M2672">
        <v>-0.9989055</v>
      </c>
      <c r="N2672">
        <v>-1.3827600000000001E-2</v>
      </c>
      <c r="O2672">
        <v>-4.4686690000000001E-2</v>
      </c>
      <c r="P2672">
        <v>-0.96226339999999999</v>
      </c>
      <c r="Q2672">
        <v>0.18503649999999999</v>
      </c>
      <c r="R2672">
        <v>-0.19952780000000001</v>
      </c>
      <c r="S2672">
        <v>-3.009125</v>
      </c>
      <c r="T2672">
        <v>-9.4944360000000005E-2</v>
      </c>
      <c r="U2672">
        <v>-0.60839840000000001</v>
      </c>
      <c r="V2672">
        <v>-0.15706419999999999</v>
      </c>
      <c r="W2672">
        <v>0.19784869999999999</v>
      </c>
      <c r="X2672">
        <v>0.96756739999999997</v>
      </c>
      <c r="Y2672">
        <v>-0.15407170000000001</v>
      </c>
      <c r="Z2672">
        <v>-2.7009569999999999E-3</v>
      </c>
      <c r="AA2672">
        <v>0.98805600000000005</v>
      </c>
      <c r="AB2672">
        <v>26</v>
      </c>
      <c r="AC2672">
        <v>-34.997199999999999</v>
      </c>
      <c r="AD2672">
        <v>-1.1122479267980001</v>
      </c>
      <c r="AE2672">
        <v>-7.1138000000000199</v>
      </c>
      <c r="AF2672">
        <v>-5.5372630756314098</v>
      </c>
      <c r="AG2672">
        <v>-1.1122479267980001</v>
      </c>
      <c r="AH2672">
        <v>35.245968282277197</v>
      </c>
      <c r="AI2672">
        <v>91.785581657066203</v>
      </c>
      <c r="AJ2672">
        <v>98.928386413621496</v>
      </c>
      <c r="AK2672">
        <v>35.695611186456901</v>
      </c>
      <c r="AL2672">
        <v>78.588814698367003</v>
      </c>
      <c r="AM2672">
        <v>99.220337671608107</v>
      </c>
      <c r="AN2672">
        <v>0.99999997227804405</v>
      </c>
    </row>
    <row r="2673" spans="1:40" x14ac:dyDescent="0.25">
      <c r="A2673" t="str">
        <f>"20190304155109841"</f>
        <v>20190304155109841</v>
      </c>
      <c r="B2673" t="str">
        <f>"1551685869829012"</f>
        <v>1551685869829012</v>
      </c>
      <c r="C2673" t="s">
        <v>40</v>
      </c>
      <c r="D2673">
        <v>5.1171749999999996</v>
      </c>
      <c r="E2673">
        <v>0.49716630000000001</v>
      </c>
      <c r="F2673" t="s">
        <v>62</v>
      </c>
      <c r="G2673">
        <v>-497.65390000000002</v>
      </c>
      <c r="H2673" s="1">
        <v>1.8603579999999999E-6</v>
      </c>
      <c r="I2673">
        <v>277.85919999999999</v>
      </c>
      <c r="J2673">
        <v>-462.0283</v>
      </c>
      <c r="K2673">
        <v>1.11226</v>
      </c>
      <c r="L2673">
        <v>285.27760000000001</v>
      </c>
      <c r="M2673">
        <v>-0.99880409999999997</v>
      </c>
      <c r="N2673">
        <v>-1.383855E-2</v>
      </c>
      <c r="O2673">
        <v>-4.689484E-2</v>
      </c>
      <c r="P2673">
        <v>-0.96157090000000001</v>
      </c>
      <c r="Q2673">
        <v>0.18534690000000001</v>
      </c>
      <c r="R2673">
        <v>-0.2025535</v>
      </c>
      <c r="S2673">
        <v>-3.0064389999999999</v>
      </c>
      <c r="T2673">
        <v>-9.3194479999999996E-2</v>
      </c>
      <c r="U2673">
        <v>-0.62274169999999995</v>
      </c>
      <c r="V2673">
        <v>-0.15798419999999999</v>
      </c>
      <c r="W2673">
        <v>0.19815679999999999</v>
      </c>
      <c r="X2673">
        <v>0.96735459999999995</v>
      </c>
      <c r="Y2673">
        <v>-0.156584</v>
      </c>
      <c r="Z2673">
        <v>-2.7032340000000001E-3</v>
      </c>
      <c r="AA2673">
        <v>0.98766089999999995</v>
      </c>
      <c r="AB2673">
        <v>26</v>
      </c>
      <c r="AC2673">
        <v>-35.625599999999999</v>
      </c>
      <c r="AD2673">
        <v>-1.1122581396419999</v>
      </c>
      <c r="AE2673">
        <v>-7.4184000000000099</v>
      </c>
      <c r="AF2673">
        <v>-5.7340634480594597</v>
      </c>
      <c r="AG2673">
        <v>-1.1122581396419999</v>
      </c>
      <c r="AH2673">
        <v>35.900776828480403</v>
      </c>
      <c r="AI2673">
        <v>91.752342132604795</v>
      </c>
      <c r="AJ2673">
        <v>99.074620438667395</v>
      </c>
      <c r="AK2673">
        <v>36.372824727864199</v>
      </c>
      <c r="AL2673">
        <v>78.570805901747804</v>
      </c>
      <c r="AM2673">
        <v>99.275414511804399</v>
      </c>
      <c r="AN2673">
        <v>1.00000002348851</v>
      </c>
    </row>
    <row r="2674" spans="1:40" x14ac:dyDescent="0.25">
      <c r="A2674" t="str">
        <f>"20190304155109864"</f>
        <v>20190304155109864</v>
      </c>
      <c r="B2674" t="str">
        <f>"1551685869859268"</f>
        <v>1551685869859268</v>
      </c>
      <c r="C2674" t="s">
        <v>40</v>
      </c>
      <c r="D2674">
        <v>5.0673750000000002</v>
      </c>
      <c r="E2674">
        <v>0.49627209999999999</v>
      </c>
      <c r="F2674" t="s">
        <v>62</v>
      </c>
      <c r="G2674">
        <v>-497.88069999999999</v>
      </c>
      <c r="H2674" s="1">
        <v>1.7877709999999999E-6</v>
      </c>
      <c r="I2674">
        <v>277.6755</v>
      </c>
      <c r="J2674">
        <v>-462.29430000000002</v>
      </c>
      <c r="K2674">
        <v>1.112277</v>
      </c>
      <c r="L2674">
        <v>285.26249999999999</v>
      </c>
      <c r="M2674">
        <v>-0.99869209999999997</v>
      </c>
      <c r="N2674">
        <v>-1.384843E-2</v>
      </c>
      <c r="O2674">
        <v>-4.9217619999999997E-2</v>
      </c>
      <c r="P2674">
        <v>-0.96095189999999997</v>
      </c>
      <c r="Q2674">
        <v>0.18502830000000001</v>
      </c>
      <c r="R2674">
        <v>-0.2057573</v>
      </c>
      <c r="S2674">
        <v>-3.0037229999999999</v>
      </c>
      <c r="T2674">
        <v>-9.3185190000000001E-2</v>
      </c>
      <c r="U2674">
        <v>-0.63690190000000002</v>
      </c>
      <c r="V2674">
        <v>-0.1589651</v>
      </c>
      <c r="W2674">
        <v>0.1978366</v>
      </c>
      <c r="X2674">
        <v>0.96725939999999999</v>
      </c>
      <c r="Y2674">
        <v>-0.15892249999999999</v>
      </c>
      <c r="Z2674">
        <v>-2.7181979999999998E-3</v>
      </c>
      <c r="AA2674">
        <v>0.98728729999999998</v>
      </c>
      <c r="AB2674">
        <v>26</v>
      </c>
      <c r="AC2674">
        <v>-35.586399999999898</v>
      </c>
      <c r="AD2674">
        <v>-1.1122752122290001</v>
      </c>
      <c r="AE2674">
        <v>-7.5869999999999802</v>
      </c>
      <c r="AF2674">
        <v>-5.8207184459367296</v>
      </c>
      <c r="AG2674">
        <v>-1.1122752122290001</v>
      </c>
      <c r="AH2674">
        <v>35.8831830007693</v>
      </c>
      <c r="AI2674">
        <v>91.752542395240994</v>
      </c>
      <c r="AJ2674">
        <v>99.213864182705805</v>
      </c>
      <c r="AK2674">
        <v>36.369227949480901</v>
      </c>
      <c r="AL2674">
        <v>78.589522105447898</v>
      </c>
      <c r="AM2674">
        <v>99.332896413498403</v>
      </c>
      <c r="AN2674">
        <v>0.99999998510296395</v>
      </c>
    </row>
    <row r="2675" spans="1:40" x14ac:dyDescent="0.25">
      <c r="A2675" t="str">
        <f>"20190304155109886"</f>
        <v>20190304155109886</v>
      </c>
      <c r="B2675" t="str">
        <f>"1551685869879764"</f>
        <v>1551685869879764</v>
      </c>
      <c r="C2675" t="s">
        <v>40</v>
      </c>
      <c r="D2675">
        <v>5.0599299999999996</v>
      </c>
      <c r="E2675">
        <v>0.49571530000000003</v>
      </c>
      <c r="F2675" t="s">
        <v>62</v>
      </c>
      <c r="G2675">
        <v>-497.01130000000001</v>
      </c>
      <c r="H2675" s="1">
        <v>1.9450719999999999E-6</v>
      </c>
      <c r="I2675">
        <v>277.69299999999998</v>
      </c>
      <c r="J2675">
        <v>-462.55220000000003</v>
      </c>
      <c r="K2675">
        <v>1.112293</v>
      </c>
      <c r="L2675">
        <v>285.2473</v>
      </c>
      <c r="M2675">
        <v>-0.99857759999999995</v>
      </c>
      <c r="N2675">
        <v>-1.385724E-2</v>
      </c>
      <c r="O2675">
        <v>-5.148834E-2</v>
      </c>
      <c r="P2675">
        <v>-0.96022870000000005</v>
      </c>
      <c r="Q2675">
        <v>0.1850175</v>
      </c>
      <c r="R2675">
        <v>-0.20911679999999999</v>
      </c>
      <c r="S2675">
        <v>-3.0003359999999999</v>
      </c>
      <c r="T2675">
        <v>-9.6125600000000005E-2</v>
      </c>
      <c r="U2675">
        <v>-0.65417479999999995</v>
      </c>
      <c r="V2675">
        <v>-0.160157299999999</v>
      </c>
      <c r="W2675">
        <v>0.19782159999999999</v>
      </c>
      <c r="X2675">
        <v>0.96706579999999998</v>
      </c>
      <c r="Y2675">
        <v>-0.1623281</v>
      </c>
      <c r="Z2675">
        <v>-2.786883E-3</v>
      </c>
      <c r="AA2675">
        <v>0.98673290000000002</v>
      </c>
      <c r="AB2675">
        <v>26</v>
      </c>
      <c r="AC2675">
        <v>-34.4590999999999</v>
      </c>
      <c r="AD2675">
        <v>-1.1122910549280001</v>
      </c>
      <c r="AE2675">
        <v>-7.5543000000000102</v>
      </c>
      <c r="AF2675">
        <v>-5.7641357563761204</v>
      </c>
      <c r="AG2675">
        <v>-1.1122910549280001</v>
      </c>
      <c r="AH2675">
        <v>34.767816474456602</v>
      </c>
      <c r="AI2675">
        <v>91.807721560268902</v>
      </c>
      <c r="AJ2675">
        <v>99.413410581231702</v>
      </c>
      <c r="AK2675">
        <v>35.259942070433098</v>
      </c>
      <c r="AL2675">
        <v>78.590399086834694</v>
      </c>
      <c r="AM2675">
        <v>99.403494271088903</v>
      </c>
      <c r="AN2675">
        <v>1.0000000038497401</v>
      </c>
    </row>
    <row r="2676" spans="1:40" x14ac:dyDescent="0.25">
      <c r="A2676" t="str">
        <f>"20190304155109908"</f>
        <v>20190304155109908</v>
      </c>
      <c r="B2676" t="str">
        <f>"1551685869899284"</f>
        <v>1551685869899284</v>
      </c>
      <c r="C2676" t="s">
        <v>40</v>
      </c>
      <c r="D2676">
        <v>5.0773140000000003</v>
      </c>
      <c r="E2676">
        <v>0.49517719999999998</v>
      </c>
      <c r="F2676" t="s">
        <v>62</v>
      </c>
      <c r="G2676">
        <v>-496.73970000000003</v>
      </c>
      <c r="H2676" s="1">
        <v>1.9799540000000001E-6</v>
      </c>
      <c r="I2676">
        <v>277.61750000000001</v>
      </c>
      <c r="J2676">
        <v>-462.80149999999998</v>
      </c>
      <c r="K2676">
        <v>1.112304</v>
      </c>
      <c r="L2676">
        <v>285.2319</v>
      </c>
      <c r="M2676">
        <v>-0.99846089999999998</v>
      </c>
      <c r="N2676">
        <v>-1.3864720000000001E-2</v>
      </c>
      <c r="O2676">
        <v>-5.3701289999999999E-2</v>
      </c>
      <c r="P2676">
        <v>-0.95960650000000003</v>
      </c>
      <c r="Q2676">
        <v>0.1851804</v>
      </c>
      <c r="R2676">
        <v>-0.21181059999999999</v>
      </c>
      <c r="S2676">
        <v>-2.9974059999999998</v>
      </c>
      <c r="T2676">
        <v>-9.7520709999999997E-2</v>
      </c>
      <c r="U2676">
        <v>-0.66894529999999996</v>
      </c>
      <c r="V2676">
        <v>-0.16073709999999999</v>
      </c>
      <c r="W2676">
        <v>0.19798379999999999</v>
      </c>
      <c r="X2676">
        <v>0.96693640000000003</v>
      </c>
      <c r="Y2676">
        <v>-0.16497390000000001</v>
      </c>
      <c r="Z2676">
        <v>-2.8229430000000001E-3</v>
      </c>
      <c r="AA2676">
        <v>0.98629389999999995</v>
      </c>
      <c r="AB2676">
        <v>26</v>
      </c>
      <c r="AC2676">
        <v>-33.938200000000002</v>
      </c>
      <c r="AD2676">
        <v>-1.1123020200460001</v>
      </c>
      <c r="AE2676">
        <v>-7.6143999999999803</v>
      </c>
      <c r="AF2676">
        <v>-5.7748047739181798</v>
      </c>
      <c r="AG2676">
        <v>-1.1123020200460001</v>
      </c>
      <c r="AH2676">
        <v>34.263121508496297</v>
      </c>
      <c r="AI2676">
        <v>91.833528642398406</v>
      </c>
      <c r="AJ2676">
        <v>99.5668833479846</v>
      </c>
      <c r="AK2676">
        <v>34.764163753305603</v>
      </c>
      <c r="AL2676">
        <v>78.580918162373493</v>
      </c>
      <c r="AM2676">
        <v>99.438165627290701</v>
      </c>
      <c r="AN2676">
        <v>1.0000000010118999</v>
      </c>
    </row>
    <row r="2677" spans="1:40" x14ac:dyDescent="0.25">
      <c r="A2677" t="str">
        <f>"20190304155109930"</f>
        <v>20190304155109930</v>
      </c>
      <c r="B2677" t="str">
        <f>"1551685869919780"</f>
        <v>1551685869919780</v>
      </c>
      <c r="C2677" t="s">
        <v>40</v>
      </c>
      <c r="D2677">
        <v>5.0519020000000001</v>
      </c>
      <c r="E2677">
        <v>0.49467</v>
      </c>
      <c r="F2677" t="s">
        <v>62</v>
      </c>
      <c r="G2677">
        <v>-496.70310000000001</v>
      </c>
      <c r="H2677" s="1">
        <v>1.9691579999999998E-6</v>
      </c>
      <c r="I2677">
        <v>277.51929999999999</v>
      </c>
      <c r="J2677">
        <v>-463.05900000000003</v>
      </c>
      <c r="K2677">
        <v>1.1123130000000001</v>
      </c>
      <c r="L2677">
        <v>285.21539999999999</v>
      </c>
      <c r="M2677">
        <v>-0.9983341</v>
      </c>
      <c r="N2677">
        <v>-1.38716E-2</v>
      </c>
      <c r="O2677">
        <v>-5.6005630000000001E-2</v>
      </c>
      <c r="P2677">
        <v>-0.95909080000000002</v>
      </c>
      <c r="Q2677">
        <v>0.18488019999999999</v>
      </c>
      <c r="R2677">
        <v>-0.21439259999999999</v>
      </c>
      <c r="S2677">
        <v>-2.994904</v>
      </c>
      <c r="T2677">
        <v>-9.8261950000000001E-2</v>
      </c>
      <c r="U2677">
        <v>-0.68133540000000004</v>
      </c>
      <c r="V2677">
        <v>-0.1611089</v>
      </c>
      <c r="W2677">
        <v>0.19768559999999999</v>
      </c>
      <c r="X2677">
        <v>0.96693549999999995</v>
      </c>
      <c r="Y2677">
        <v>-0.16675319999999999</v>
      </c>
      <c r="Z2677">
        <v>-2.8302269999999998E-3</v>
      </c>
      <c r="AA2677">
        <v>0.98599460000000005</v>
      </c>
      <c r="AB2677">
        <v>26</v>
      </c>
      <c r="AC2677">
        <v>-33.644099999999902</v>
      </c>
      <c r="AD2677">
        <v>-1.1123110308419999</v>
      </c>
      <c r="AE2677">
        <v>-7.6961000000000004</v>
      </c>
      <c r="AF2677">
        <v>-5.7935602931986603</v>
      </c>
      <c r="AG2677">
        <v>-1.1123110308419999</v>
      </c>
      <c r="AH2677">
        <v>33.987048378091202</v>
      </c>
      <c r="AI2677">
        <v>91.8478423337057</v>
      </c>
      <c r="AJ2677">
        <v>99.673868865281193</v>
      </c>
      <c r="AK2677">
        <v>34.4952465443425</v>
      </c>
      <c r="AL2677">
        <v>78.598347877241693</v>
      </c>
      <c r="AM2677">
        <v>99.459611509847804</v>
      </c>
      <c r="AN2677">
        <v>0.99999996763340904</v>
      </c>
    </row>
    <row r="2678" spans="1:40" x14ac:dyDescent="0.25">
      <c r="A2678" t="str">
        <f>"20190304155109952"</f>
        <v>20190304155109952</v>
      </c>
      <c r="B2678" t="str">
        <f>"1551685869949060"</f>
        <v>1551685869949060</v>
      </c>
      <c r="C2678" t="s">
        <v>40</v>
      </c>
      <c r="D2678">
        <v>5.072997</v>
      </c>
      <c r="E2678">
        <v>0.49397289999999999</v>
      </c>
      <c r="F2678" t="s">
        <v>62</v>
      </c>
      <c r="G2678">
        <v>-496.14890000000003</v>
      </c>
      <c r="H2678" s="1">
        <v>2.0727850000000001E-6</v>
      </c>
      <c r="I2678">
        <v>277.5496</v>
      </c>
      <c r="J2678">
        <v>-463.31229999999999</v>
      </c>
      <c r="K2678">
        <v>1.1123190000000001</v>
      </c>
      <c r="L2678">
        <v>285.19850000000002</v>
      </c>
      <c r="M2678">
        <v>-0.99820339999999996</v>
      </c>
      <c r="N2678">
        <v>-1.387736E-2</v>
      </c>
      <c r="O2678">
        <v>-5.8287129999999999E-2</v>
      </c>
      <c r="P2678">
        <v>-0.95842369999999999</v>
      </c>
      <c r="Q2678">
        <v>0.18459429999999999</v>
      </c>
      <c r="R2678">
        <v>-0.21759880000000001</v>
      </c>
      <c r="S2678">
        <v>-2.9924010000000001</v>
      </c>
      <c r="T2678">
        <v>-0.10058889999999999</v>
      </c>
      <c r="U2678">
        <v>-0.69323729999999995</v>
      </c>
      <c r="V2678">
        <v>-0.16213369999999999</v>
      </c>
      <c r="W2678">
        <v>0.19739670000000001</v>
      </c>
      <c r="X2678">
        <v>0.96682319999999999</v>
      </c>
      <c r="Y2678">
        <v>-0.16839799999999999</v>
      </c>
      <c r="Z2678">
        <v>-2.8475969999999999E-3</v>
      </c>
      <c r="AA2678">
        <v>0.98571500000000001</v>
      </c>
      <c r="AB2678">
        <v>26</v>
      </c>
      <c r="AC2678">
        <v>-32.836599999999997</v>
      </c>
      <c r="AD2678">
        <v>-1.112316927215</v>
      </c>
      <c r="AE2678">
        <v>-7.6489000000000198</v>
      </c>
      <c r="AF2678">
        <v>-5.7155369425943396</v>
      </c>
      <c r="AG2678">
        <v>-1.112316927215</v>
      </c>
      <c r="AH2678">
        <v>33.190512867170703</v>
      </c>
      <c r="AI2678">
        <v>91.891619082823993</v>
      </c>
      <c r="AJ2678">
        <v>99.770729787939203</v>
      </c>
      <c r="AK2678">
        <v>33.697399838482397</v>
      </c>
      <c r="AL2678">
        <v>78.6152331253152</v>
      </c>
      <c r="AM2678">
        <v>99.519771002741393</v>
      </c>
      <c r="AN2678">
        <v>0.99999994695240801</v>
      </c>
    </row>
    <row r="2679" spans="1:40" x14ac:dyDescent="0.25">
      <c r="A2679" t="str">
        <f>"20190304155109975"</f>
        <v>20190304155109975</v>
      </c>
      <c r="B2679" t="str">
        <f>"1551685869969556"</f>
        <v>1551685869969556</v>
      </c>
      <c r="C2679" t="s">
        <v>40</v>
      </c>
      <c r="D2679">
        <v>5.0846660000000004</v>
      </c>
      <c r="E2679">
        <v>0.49351590000000001</v>
      </c>
      <c r="F2679" t="s">
        <v>62</v>
      </c>
      <c r="G2679">
        <v>-495.81970000000001</v>
      </c>
      <c r="H2679" s="1">
        <v>2.1215989999999999E-6</v>
      </c>
      <c r="I2679">
        <v>277.49520000000001</v>
      </c>
      <c r="J2679">
        <v>-463.57319999999999</v>
      </c>
      <c r="K2679">
        <v>1.1123240000000001</v>
      </c>
      <c r="L2679">
        <v>285.18060000000003</v>
      </c>
      <c r="M2679">
        <v>-0.99806249999999996</v>
      </c>
      <c r="N2679">
        <v>-1.38822999999999E-2</v>
      </c>
      <c r="O2679">
        <v>-6.065156E-2</v>
      </c>
      <c r="P2679">
        <v>-0.95783499999999999</v>
      </c>
      <c r="Q2679">
        <v>0.18428729999999999</v>
      </c>
      <c r="R2679">
        <v>-0.2204332</v>
      </c>
      <c r="S2679">
        <v>-2.9890140000000001</v>
      </c>
      <c r="T2679">
        <v>-0.10227609999999999</v>
      </c>
      <c r="U2679">
        <v>-0.70831299999999997</v>
      </c>
      <c r="V2679">
        <v>-0.16270219999999999</v>
      </c>
      <c r="W2679">
        <v>0.19709009999999999</v>
      </c>
      <c r="X2679">
        <v>0.96679029999999999</v>
      </c>
      <c r="Y2679">
        <v>-0.1710158</v>
      </c>
      <c r="Z2679">
        <v>-2.8792959999999999E-3</v>
      </c>
      <c r="AA2679">
        <v>0.98526409999999998</v>
      </c>
      <c r="AB2679">
        <v>26</v>
      </c>
      <c r="AC2679">
        <v>-32.246499999999997</v>
      </c>
      <c r="AD2679">
        <v>-1.1123218784009901</v>
      </c>
      <c r="AE2679">
        <v>-7.6854000000000102</v>
      </c>
      <c r="AF2679">
        <v>-5.70883190690357</v>
      </c>
      <c r="AG2679">
        <v>-1.1123218784009901</v>
      </c>
      <c r="AH2679">
        <v>32.616575948356001</v>
      </c>
      <c r="AI2679">
        <v>91.923973224704994</v>
      </c>
      <c r="AJ2679">
        <v>99.927832537062699</v>
      </c>
      <c r="AK2679">
        <v>33.131088848652801</v>
      </c>
      <c r="AL2679">
        <v>78.633152634546505</v>
      </c>
      <c r="AM2679">
        <v>99.552855790876194</v>
      </c>
      <c r="AN2679">
        <v>0.99999999878846901</v>
      </c>
    </row>
    <row r="2680" spans="1:40" x14ac:dyDescent="0.25">
      <c r="A2680" t="str">
        <f>"20190304155109997"</f>
        <v>20190304155109997</v>
      </c>
      <c r="B2680" t="str">
        <f>"1551685869989076"</f>
        <v>1551685869989076</v>
      </c>
      <c r="C2680" t="s">
        <v>40</v>
      </c>
      <c r="D2680">
        <v>5.0681770000000004</v>
      </c>
      <c r="E2680">
        <v>0.49307600000000001</v>
      </c>
      <c r="F2680" t="s">
        <v>62</v>
      </c>
      <c r="G2680">
        <v>-495.36669999999998</v>
      </c>
      <c r="H2680" s="1">
        <v>2.20354E-6</v>
      </c>
      <c r="I2680">
        <v>277.50420000000003</v>
      </c>
      <c r="J2680">
        <v>-463.82600000000002</v>
      </c>
      <c r="K2680">
        <v>1.112323</v>
      </c>
      <c r="L2680">
        <v>285.1626</v>
      </c>
      <c r="M2680">
        <v>-0.99791969999999997</v>
      </c>
      <c r="N2680">
        <v>-1.3886259999999999E-2</v>
      </c>
      <c r="O2680">
        <v>-6.2958650000000005E-2</v>
      </c>
      <c r="P2680">
        <v>-0.95731790000000005</v>
      </c>
      <c r="Q2680">
        <v>0.183111</v>
      </c>
      <c r="R2680">
        <v>-0.22363669999999999</v>
      </c>
      <c r="S2680">
        <v>-2.9862060000000001</v>
      </c>
      <c r="T2680">
        <v>-0.1044749</v>
      </c>
      <c r="U2680">
        <v>-0.72100830000000005</v>
      </c>
      <c r="V2680">
        <v>-0.1636879</v>
      </c>
      <c r="W2680">
        <v>0.19591330000000001</v>
      </c>
      <c r="X2680">
        <v>0.96686309999999998</v>
      </c>
      <c r="Y2680">
        <v>-0.17290229999999901</v>
      </c>
      <c r="Z2680">
        <v>-2.8970559999999999E-3</v>
      </c>
      <c r="AA2680">
        <v>0.98493470000000005</v>
      </c>
      <c r="AB2680">
        <v>26</v>
      </c>
      <c r="AC2680">
        <v>-31.540700000000001</v>
      </c>
      <c r="AD2680">
        <v>-1.1123207964599999</v>
      </c>
      <c r="AE2680">
        <v>-7.6583999999999701</v>
      </c>
      <c r="AF2680">
        <v>-5.6506163823674704</v>
      </c>
      <c r="AG2680">
        <v>-1.1123207964599999</v>
      </c>
      <c r="AH2680">
        <v>31.922832251587799</v>
      </c>
      <c r="AI2680">
        <v>91.965086548756702</v>
      </c>
      <c r="AJ2680">
        <v>100.037872804568</v>
      </c>
      <c r="AK2680">
        <v>32.438155650682901</v>
      </c>
      <c r="AL2680">
        <v>78.701919053377296</v>
      </c>
      <c r="AM2680">
        <v>99.608943772501604</v>
      </c>
      <c r="AN2680">
        <v>1.00000000193245</v>
      </c>
    </row>
    <row r="2681" spans="1:40" x14ac:dyDescent="0.25">
      <c r="A2681" t="str">
        <f>"20190304155110011"</f>
        <v>20190304155110011</v>
      </c>
      <c r="B2681" t="str">
        <f>"1551685870009573"</f>
        <v>1551685870009573</v>
      </c>
      <c r="C2681" t="s">
        <v>40</v>
      </c>
      <c r="D2681">
        <v>5.0221410000000004</v>
      </c>
      <c r="E2681">
        <v>0.4926315</v>
      </c>
      <c r="F2681" t="s">
        <v>62</v>
      </c>
      <c r="G2681">
        <v>-494.09649999999999</v>
      </c>
      <c r="H2681" s="1">
        <v>2.464973E-6</v>
      </c>
      <c r="I2681">
        <v>277.70929999999998</v>
      </c>
      <c r="J2681">
        <v>-463.98090000000002</v>
      </c>
      <c r="K2681">
        <v>1.1123289999999999</v>
      </c>
      <c r="L2681">
        <v>285.15129999999999</v>
      </c>
      <c r="M2681">
        <v>-0.99782879999999996</v>
      </c>
      <c r="N2681">
        <v>-1.3888380000000001E-2</v>
      </c>
      <c r="O2681">
        <v>-6.4381450000000007E-2</v>
      </c>
      <c r="P2681">
        <v>-0.95698550000000004</v>
      </c>
      <c r="Q2681">
        <v>0.1826873</v>
      </c>
      <c r="R2681">
        <v>-0.22539819999999999</v>
      </c>
      <c r="S2681">
        <v>-2.9831539999999999</v>
      </c>
      <c r="T2681">
        <v>-0.1096191</v>
      </c>
      <c r="U2681">
        <v>-0.73452759999999995</v>
      </c>
      <c r="V2681">
        <v>-0.16408519999999999</v>
      </c>
      <c r="W2681">
        <v>0.1954882</v>
      </c>
      <c r="X2681">
        <v>0.96688180000000001</v>
      </c>
      <c r="Y2681">
        <v>-0.17592749999999999</v>
      </c>
      <c r="Z2681">
        <v>-2.98263E-3</v>
      </c>
      <c r="AA2681">
        <v>0.98439860000000001</v>
      </c>
      <c r="AB2681">
        <v>26</v>
      </c>
      <c r="AC2681">
        <v>-30.115599999999901</v>
      </c>
      <c r="AD2681">
        <v>-1.112326535027</v>
      </c>
      <c r="AE2681">
        <v>-7.4420000000000002</v>
      </c>
      <c r="AF2681">
        <v>-5.4804385243073996</v>
      </c>
      <c r="AG2681">
        <v>-1.112326535027</v>
      </c>
      <c r="AH2681">
        <v>30.4930769914161</v>
      </c>
      <c r="AI2681">
        <v>92.056192718205494</v>
      </c>
      <c r="AJ2681">
        <v>100.188839024725</v>
      </c>
      <c r="AK2681">
        <v>31.001616427916598</v>
      </c>
      <c r="AL2681">
        <v>78.726755742880997</v>
      </c>
      <c r="AM2681">
        <v>99.631647205267498</v>
      </c>
      <c r="AN2681">
        <v>1.0000000021847599</v>
      </c>
    </row>
    <row r="2682" spans="1:40" x14ac:dyDescent="0.25">
      <c r="A2682" t="str">
        <f>"20190304155110026"</f>
        <v>20190304155110026</v>
      </c>
      <c r="B2682" t="str">
        <f>"1551685870019333"</f>
        <v>1551685870019333</v>
      </c>
      <c r="C2682" t="s">
        <v>40</v>
      </c>
      <c r="D2682">
        <v>5.0714240000000004</v>
      </c>
      <c r="E2682">
        <v>0.49245549999999999</v>
      </c>
      <c r="F2682" t="s">
        <v>62</v>
      </c>
      <c r="G2682">
        <v>-493.58690000000001</v>
      </c>
      <c r="H2682" s="1">
        <v>2.5593199999999999E-6</v>
      </c>
      <c r="I2682">
        <v>277.76679999999999</v>
      </c>
      <c r="J2682">
        <v>-464.15570000000002</v>
      </c>
      <c r="K2682">
        <v>1.1123350000000001</v>
      </c>
      <c r="L2682">
        <v>285.13830000000002</v>
      </c>
      <c r="M2682">
        <v>-0.99772329999999998</v>
      </c>
      <c r="N2682">
        <v>-1.389053E-2</v>
      </c>
      <c r="O2682">
        <v>-6.5996100000000002E-2</v>
      </c>
      <c r="P2682">
        <v>-0.95654240000000001</v>
      </c>
      <c r="Q2682">
        <v>0.1822704</v>
      </c>
      <c r="R2682">
        <v>-0.227606</v>
      </c>
      <c r="S2682">
        <v>-2.9811100000000001</v>
      </c>
      <c r="T2682">
        <v>-0.1120033</v>
      </c>
      <c r="U2682">
        <v>-0.74356080000000002</v>
      </c>
      <c r="V2682">
        <v>-0.164749799999999</v>
      </c>
      <c r="W2682">
        <v>0.19506780000000001</v>
      </c>
      <c r="X2682">
        <v>0.96685370000000004</v>
      </c>
      <c r="Y2682">
        <v>-0.1772957</v>
      </c>
      <c r="Z2682">
        <v>-2.9998899999999998E-3</v>
      </c>
      <c r="AA2682">
        <v>0.9841531</v>
      </c>
      <c r="AB2682">
        <v>26</v>
      </c>
      <c r="AC2682">
        <v>-29.431199999999901</v>
      </c>
      <c r="AD2682">
        <v>-1.1123324406799999</v>
      </c>
      <c r="AE2682">
        <v>-7.3715000000000197</v>
      </c>
      <c r="AF2682">
        <v>-5.4056288656852303</v>
      </c>
      <c r="AG2682">
        <v>-1.1123324406799999</v>
      </c>
      <c r="AH2682">
        <v>29.813489153117001</v>
      </c>
      <c r="AI2682">
        <v>92.102449355991496</v>
      </c>
      <c r="AJ2682">
        <v>100.276929077058</v>
      </c>
      <c r="AK2682">
        <v>30.319997400645398</v>
      </c>
      <c r="AL2682">
        <v>78.751315810455793</v>
      </c>
      <c r="AM2682">
        <v>99.670199184854795</v>
      </c>
      <c r="AN2682">
        <v>1.00000001020028</v>
      </c>
    </row>
    <row r="2683" spans="1:40" x14ac:dyDescent="0.25">
      <c r="A2683" t="str">
        <f>"20190304155110042"</f>
        <v>20190304155110042</v>
      </c>
      <c r="B2683" t="str">
        <f>"1551685870039829"</f>
        <v>1551685870039829</v>
      </c>
      <c r="C2683" t="s">
        <v>40</v>
      </c>
      <c r="D2683">
        <v>5.0418620000000001</v>
      </c>
      <c r="E2683">
        <v>0.49204759999999997</v>
      </c>
      <c r="F2683" t="s">
        <v>62</v>
      </c>
      <c r="G2683">
        <v>-493.16640000000001</v>
      </c>
      <c r="H2683" s="1">
        <v>2.6142560000000002E-6</v>
      </c>
      <c r="I2683">
        <v>277.8168</v>
      </c>
      <c r="J2683">
        <v>-464.33179999999999</v>
      </c>
      <c r="K2683">
        <v>1.1123419999999999</v>
      </c>
      <c r="L2683">
        <v>285.12479999999999</v>
      </c>
      <c r="M2683">
        <v>-0.99761310000000003</v>
      </c>
      <c r="N2683">
        <v>-1.3892420000000001E-2</v>
      </c>
      <c r="O2683">
        <v>-6.7639560000000001E-2</v>
      </c>
      <c r="P2683">
        <v>-0.95609509999999998</v>
      </c>
      <c r="Q2683">
        <v>0.1814364</v>
      </c>
      <c r="R2683">
        <v>-0.2301368</v>
      </c>
      <c r="S2683">
        <v>-2.9791560000000001</v>
      </c>
      <c r="T2683">
        <v>-0.1142273</v>
      </c>
      <c r="U2683">
        <v>-0.75186160000000002</v>
      </c>
      <c r="V2683">
        <v>-0.16570960000000001</v>
      </c>
      <c r="W2683">
        <v>0.19422819999999999</v>
      </c>
      <c r="X2683">
        <v>0.96685869999999996</v>
      </c>
      <c r="Y2683">
        <v>-0.17840039999999999</v>
      </c>
      <c r="Z2683">
        <v>-3.006983E-3</v>
      </c>
      <c r="AA2683">
        <v>0.98395339999999998</v>
      </c>
      <c r="AB2683">
        <v>26</v>
      </c>
      <c r="AC2683">
        <v>-28.834599999999998</v>
      </c>
      <c r="AD2683">
        <v>-1.1123393857439901</v>
      </c>
      <c r="AE2683">
        <v>-7.3079999999999901</v>
      </c>
      <c r="AF2683">
        <v>-5.3332546170584498</v>
      </c>
      <c r="AG2683">
        <v>-1.1123393857439901</v>
      </c>
      <c r="AH2683">
        <v>29.222046460234701</v>
      </c>
      <c r="AI2683">
        <v>92.144525988038794</v>
      </c>
      <c r="AJ2683">
        <v>100.343095725517</v>
      </c>
      <c r="AK2683">
        <v>29.725559759970398</v>
      </c>
      <c r="AL2683">
        <v>78.800359343420695</v>
      </c>
      <c r="AM2683">
        <v>99.725413654194995</v>
      </c>
      <c r="AN2683">
        <v>1.0000000054865399</v>
      </c>
    </row>
    <row r="2684" spans="1:40" x14ac:dyDescent="0.25">
      <c r="A2684" t="str">
        <f>"20190304155110066"</f>
        <v>20190304155110066</v>
      </c>
      <c r="B2684" t="str">
        <f>"1551685870059348"</f>
        <v>1551685870059348</v>
      </c>
      <c r="C2684" t="s">
        <v>40</v>
      </c>
      <c r="D2684">
        <v>5.0083580000000003</v>
      </c>
      <c r="E2684">
        <v>0.49169889999999999</v>
      </c>
      <c r="F2684" t="s">
        <v>62</v>
      </c>
      <c r="G2684">
        <v>-492.39690000000002</v>
      </c>
      <c r="H2684" s="1">
        <v>2.7247890000000001E-6</v>
      </c>
      <c r="I2684">
        <v>277.93639999999999</v>
      </c>
      <c r="J2684">
        <v>-464.59559999999999</v>
      </c>
      <c r="K2684">
        <v>1.112358</v>
      </c>
      <c r="L2684">
        <v>285.10410000000002</v>
      </c>
      <c r="M2684">
        <v>-0.99744089999999996</v>
      </c>
      <c r="N2684">
        <v>-1.389487E-2</v>
      </c>
      <c r="O2684">
        <v>-7.013308E-2</v>
      </c>
      <c r="P2684">
        <v>-0.95539689999999999</v>
      </c>
      <c r="Q2684">
        <v>0.18087549999999999</v>
      </c>
      <c r="R2684">
        <v>-0.233455</v>
      </c>
      <c r="S2684">
        <v>-2.9766539999999999</v>
      </c>
      <c r="T2684">
        <v>-0.11797729999999999</v>
      </c>
      <c r="U2684">
        <v>-0.76242069999999995</v>
      </c>
      <c r="V2684">
        <v>-0.16665170000000001</v>
      </c>
      <c r="W2684">
        <v>0.19365660000000001</v>
      </c>
      <c r="X2684">
        <v>0.96681139999999999</v>
      </c>
      <c r="Y2684">
        <v>-0.17940729999999999</v>
      </c>
      <c r="Z2684">
        <v>-2.9992840000000001E-3</v>
      </c>
      <c r="AA2684">
        <v>0.98377029999999999</v>
      </c>
      <c r="AB2684">
        <v>26</v>
      </c>
      <c r="AC2684">
        <v>-27.801300000000001</v>
      </c>
      <c r="AD2684">
        <v>-1.112355275211</v>
      </c>
      <c r="AE2684">
        <v>-7.1677000000000204</v>
      </c>
      <c r="AF2684">
        <v>-5.1922740855652298</v>
      </c>
      <c r="AG2684">
        <v>-1.112355275211</v>
      </c>
      <c r="AH2684">
        <v>28.193250738755101</v>
      </c>
      <c r="AI2684">
        <v>92.222082709840095</v>
      </c>
      <c r="AJ2684">
        <v>100.435078396056</v>
      </c>
      <c r="AK2684">
        <v>28.688960100642198</v>
      </c>
      <c r="AL2684">
        <v>78.833743139524799</v>
      </c>
      <c r="AM2684">
        <v>99.780109508048</v>
      </c>
      <c r="AN2684">
        <v>0.99999997550320396</v>
      </c>
    </row>
    <row r="2685" spans="1:40" x14ac:dyDescent="0.25">
      <c r="A2685" t="str">
        <f>"20190304155110088"</f>
        <v>20190304155110088</v>
      </c>
      <c r="B2685" t="str">
        <f>"1551685870078869"</f>
        <v>1551685870078869</v>
      </c>
      <c r="C2685" t="s">
        <v>40</v>
      </c>
      <c r="D2685">
        <v>5.0008100000000004</v>
      </c>
      <c r="E2685">
        <v>0.49134250000000002</v>
      </c>
      <c r="F2685" t="s">
        <v>62</v>
      </c>
      <c r="G2685">
        <v>-491.94900000000001</v>
      </c>
      <c r="H2685" s="1">
        <v>2.7770080000000001E-6</v>
      </c>
      <c r="I2685">
        <v>277.9717</v>
      </c>
      <c r="J2685">
        <v>-464.85390000000001</v>
      </c>
      <c r="K2685">
        <v>1.1123860000000001</v>
      </c>
      <c r="L2685">
        <v>285.0831</v>
      </c>
      <c r="M2685">
        <v>-0.99726250000000005</v>
      </c>
      <c r="N2685">
        <v>-1.3897329999999999E-2</v>
      </c>
      <c r="O2685">
        <v>-7.2625579999999995E-2</v>
      </c>
      <c r="P2685">
        <v>-0.95487619999999895</v>
      </c>
      <c r="Q2685">
        <v>0.18001449999999999</v>
      </c>
      <c r="R2685">
        <v>-0.2362339</v>
      </c>
      <c r="S2685">
        <v>-2.9734500000000001</v>
      </c>
      <c r="T2685">
        <v>-0.12091880000000001</v>
      </c>
      <c r="U2685">
        <v>-0.77532959999999995</v>
      </c>
      <c r="V2685">
        <v>-0.16704829999999901</v>
      </c>
      <c r="W2685">
        <v>0.19278590000000001</v>
      </c>
      <c r="X2685">
        <v>0.96691700000000003</v>
      </c>
      <c r="Y2685">
        <v>-0.1811992</v>
      </c>
      <c r="Z2685">
        <v>-3.0033590000000002E-3</v>
      </c>
      <c r="AA2685">
        <v>0.98344180000000003</v>
      </c>
      <c r="AB2685">
        <v>26</v>
      </c>
      <c r="AC2685">
        <v>-27.095099999999999</v>
      </c>
      <c r="AD2685">
        <v>-1.1123832229919901</v>
      </c>
      <c r="AE2685">
        <v>-7.1113999999999997</v>
      </c>
      <c r="AF2685">
        <v>-5.1165616639914298</v>
      </c>
      <c r="AG2685">
        <v>-1.1123832229919901</v>
      </c>
      <c r="AH2685">
        <v>27.496696150605601</v>
      </c>
      <c r="AI2685">
        <v>92.277593060458898</v>
      </c>
      <c r="AJ2685">
        <v>100.540990826586</v>
      </c>
      <c r="AK2685">
        <v>27.990800254636401</v>
      </c>
      <c r="AL2685">
        <v>78.884589155988806</v>
      </c>
      <c r="AM2685">
        <v>99.8018834615293</v>
      </c>
      <c r="AN2685">
        <v>1.00000001133035</v>
      </c>
    </row>
    <row r="2686" spans="1:40" x14ac:dyDescent="0.25">
      <c r="A2686" t="str">
        <f>"20190304155110110"</f>
        <v>20190304155110110</v>
      </c>
      <c r="B2686" t="str">
        <f>"1551685870099366"</f>
        <v>1551685870099366</v>
      </c>
      <c r="C2686" t="s">
        <v>40</v>
      </c>
      <c r="D2686">
        <v>4.9834940000000003</v>
      </c>
      <c r="E2686">
        <v>0.49101889999999998</v>
      </c>
      <c r="F2686" t="s">
        <v>62</v>
      </c>
      <c r="G2686">
        <v>-491.31439999999998</v>
      </c>
      <c r="H2686" s="1">
        <v>2.8686290000000001E-6</v>
      </c>
      <c r="I2686">
        <v>278.07170000000002</v>
      </c>
      <c r="J2686">
        <v>-465.09699999999998</v>
      </c>
      <c r="K2686">
        <v>1.112414</v>
      </c>
      <c r="L2686">
        <v>285.06270000000001</v>
      </c>
      <c r="M2686">
        <v>-0.99708450000000004</v>
      </c>
      <c r="N2686">
        <v>-1.389928E-2</v>
      </c>
      <c r="O2686">
        <v>-7.503013E-2</v>
      </c>
      <c r="P2686">
        <v>-0.95425859999999996</v>
      </c>
      <c r="Q2686">
        <v>0.1794597</v>
      </c>
      <c r="R2686">
        <v>-0.2391334</v>
      </c>
      <c r="S2686">
        <v>-2.9705810000000001</v>
      </c>
      <c r="T2686">
        <v>-0.1248816</v>
      </c>
      <c r="U2686">
        <v>-0.7871399</v>
      </c>
      <c r="V2686">
        <v>-0.16766220000000001</v>
      </c>
      <c r="W2686">
        <v>0.19221650000000001</v>
      </c>
      <c r="X2686">
        <v>0.96692409999999995</v>
      </c>
      <c r="Y2686">
        <v>-0.18270710000000001</v>
      </c>
      <c r="Z2686">
        <v>-3.0043510000000002E-3</v>
      </c>
      <c r="AA2686">
        <v>0.9831628</v>
      </c>
      <c r="AB2686">
        <v>26</v>
      </c>
      <c r="AC2686">
        <v>-26.217400000000001</v>
      </c>
      <c r="AD2686">
        <v>-1.1124111313709999</v>
      </c>
      <c r="AE2686">
        <v>-6.9909999999999801</v>
      </c>
      <c r="AF2686">
        <v>-4.9956089827972896</v>
      </c>
      <c r="AG2686">
        <v>-1.1124111313709999</v>
      </c>
      <c r="AH2686">
        <v>26.623323298479701</v>
      </c>
      <c r="AI2686">
        <v>92.351623181876406</v>
      </c>
      <c r="AJ2686">
        <v>100.62742194008401</v>
      </c>
      <c r="AK2686">
        <v>27.110789569645</v>
      </c>
      <c r="AL2686">
        <v>78.917835118594894</v>
      </c>
      <c r="AM2686">
        <v>99.837131924642506</v>
      </c>
      <c r="AN2686">
        <v>1.0000000056709499</v>
      </c>
    </row>
    <row r="2687" spans="1:40" x14ac:dyDescent="0.25">
      <c r="A2687" t="str">
        <f>"20190304155110131"</f>
        <v>20190304155110131</v>
      </c>
      <c r="B2687" t="str">
        <f>"1551685870129621"</f>
        <v>1551685870129621</v>
      </c>
      <c r="C2687" t="s">
        <v>40</v>
      </c>
      <c r="D2687">
        <v>4.9782549999999999</v>
      </c>
      <c r="E2687">
        <v>0.49055660000000001</v>
      </c>
      <c r="F2687" t="s">
        <v>62</v>
      </c>
      <c r="G2687">
        <v>-490.92829999999998</v>
      </c>
      <c r="H2687" s="1">
        <v>2.9168880000000001E-6</v>
      </c>
      <c r="I2687">
        <v>278.11130000000003</v>
      </c>
      <c r="J2687">
        <v>-465.3449</v>
      </c>
      <c r="K2687">
        <v>1.112452</v>
      </c>
      <c r="L2687">
        <v>285.04109999999997</v>
      </c>
      <c r="M2687">
        <v>-0.99689269999999996</v>
      </c>
      <c r="N2687">
        <v>-1.390138E-2</v>
      </c>
      <c r="O2687">
        <v>-7.753699E-2</v>
      </c>
      <c r="P2687">
        <v>-0.95354070000000002</v>
      </c>
      <c r="Q2687">
        <v>0.17890919999999999</v>
      </c>
      <c r="R2687">
        <v>-0.24238870000000001</v>
      </c>
      <c r="S2687">
        <v>-2.9676819999999999</v>
      </c>
      <c r="T2687">
        <v>-0.12780139999999901</v>
      </c>
      <c r="U2687">
        <v>-0.7986145</v>
      </c>
      <c r="V2687">
        <v>-0.16853969999999999</v>
      </c>
      <c r="W2687">
        <v>0.1916484</v>
      </c>
      <c r="X2687">
        <v>0.96688430000000003</v>
      </c>
      <c r="Y2687">
        <v>-0.18401380000000001</v>
      </c>
      <c r="Z2687">
        <v>-2.9873909999999998E-3</v>
      </c>
      <c r="AA2687">
        <v>0.98291910000000005</v>
      </c>
      <c r="AB2687">
        <v>26</v>
      </c>
      <c r="AC2687">
        <v>-25.583399999999902</v>
      </c>
      <c r="AD2687">
        <v>-1.112449083112</v>
      </c>
      <c r="AE2687">
        <v>-6.9297999999999398</v>
      </c>
      <c r="AF2687">
        <v>-4.9164218959852199</v>
      </c>
      <c r="AG2687">
        <v>-1.112449083112</v>
      </c>
      <c r="AH2687">
        <v>25.997936803786001</v>
      </c>
      <c r="AI2687">
        <v>92.407566064324499</v>
      </c>
      <c r="AJ2687">
        <v>100.708640549395</v>
      </c>
      <c r="AK2687">
        <v>26.482097070955199</v>
      </c>
      <c r="AL2687">
        <v>78.951001352175098</v>
      </c>
      <c r="AM2687">
        <v>99.888002322680194</v>
      </c>
      <c r="AN2687">
        <v>0.99999999464256994</v>
      </c>
    </row>
    <row r="2688" spans="1:40" x14ac:dyDescent="0.25">
      <c r="A2688" t="str">
        <f>"20190304155110145"</f>
        <v>20190304155110145</v>
      </c>
      <c r="B2688" t="str">
        <f>"1551685870139381"</f>
        <v>1551685870139381</v>
      </c>
      <c r="C2688" t="s">
        <v>40</v>
      </c>
      <c r="D2688">
        <v>5.1794560000000001</v>
      </c>
      <c r="E2688">
        <v>0.49037190000000003</v>
      </c>
      <c r="F2688" t="s">
        <v>62</v>
      </c>
      <c r="G2688">
        <v>-490.50259999999997</v>
      </c>
      <c r="H2688" s="1">
        <v>2.96718E-6</v>
      </c>
      <c r="I2688">
        <v>278.14679999999998</v>
      </c>
      <c r="J2688">
        <v>-465.50110000000001</v>
      </c>
      <c r="K2688">
        <v>1.1124750000000001</v>
      </c>
      <c r="L2688">
        <v>285.02730000000003</v>
      </c>
      <c r="M2688">
        <v>-0.99676609999999999</v>
      </c>
      <c r="N2688">
        <v>-1.390253E-2</v>
      </c>
      <c r="O2688">
        <v>-7.914525E-2</v>
      </c>
      <c r="P2688">
        <v>-0.95315130000000003</v>
      </c>
      <c r="Q2688">
        <v>0.17854339999999999</v>
      </c>
      <c r="R2688">
        <v>-0.24418219999999999</v>
      </c>
      <c r="S2688">
        <v>-2.9642940000000002</v>
      </c>
      <c r="T2688">
        <v>-0.131078</v>
      </c>
      <c r="U2688">
        <v>-0.81234740000000005</v>
      </c>
      <c r="V2688">
        <v>-0.1688035</v>
      </c>
      <c r="W2688">
        <v>0.19127350000000001</v>
      </c>
      <c r="X2688">
        <v>0.96691249999999995</v>
      </c>
      <c r="Y2688">
        <v>-0.18693940000000001</v>
      </c>
      <c r="Z2688">
        <v>-3.041256E-3</v>
      </c>
      <c r="AA2688">
        <v>0.98236670000000004</v>
      </c>
      <c r="AB2688">
        <v>26</v>
      </c>
      <c r="AC2688">
        <v>-25.001499999999901</v>
      </c>
      <c r="AD2688">
        <v>-1.11247203282</v>
      </c>
      <c r="AE2688">
        <v>-6.8805000000000396</v>
      </c>
      <c r="AF2688">
        <v>-4.8710058569768702</v>
      </c>
      <c r="AG2688">
        <v>-1.11247203282</v>
      </c>
      <c r="AH2688">
        <v>25.420881438369101</v>
      </c>
      <c r="AI2688">
        <v>92.461070220691099</v>
      </c>
      <c r="AJ2688">
        <v>100.847213692531</v>
      </c>
      <c r="AK2688">
        <v>25.907248120673199</v>
      </c>
      <c r="AL2688">
        <v>78.972886223231399</v>
      </c>
      <c r="AM2688">
        <v>99.902889838572605</v>
      </c>
      <c r="AN2688">
        <v>0.99999997803537399</v>
      </c>
    </row>
    <row r="2689" spans="1:40" x14ac:dyDescent="0.25">
      <c r="A2689" t="str">
        <f>"20190304155110159"</f>
        <v>20190304155110159</v>
      </c>
      <c r="B2689" t="str">
        <f>"1551685870149141"</f>
        <v>1551685870149141</v>
      </c>
      <c r="C2689" t="s">
        <v>40</v>
      </c>
      <c r="D2689">
        <v>4.9709629999999896</v>
      </c>
      <c r="E2689">
        <v>0.49021979999999998</v>
      </c>
      <c r="F2689" t="s">
        <v>62</v>
      </c>
      <c r="G2689">
        <v>-490.32330000000002</v>
      </c>
      <c r="H2689" s="1">
        <v>2.988566E-6</v>
      </c>
      <c r="I2689">
        <v>278.16230000000002</v>
      </c>
      <c r="J2689">
        <v>-465.6592</v>
      </c>
      <c r="K2689">
        <v>1.112501</v>
      </c>
      <c r="L2689">
        <v>285.0129</v>
      </c>
      <c r="M2689">
        <v>-0.99663250000000003</v>
      </c>
      <c r="N2689">
        <v>-1.3903550000000001E-2</v>
      </c>
      <c r="O2689">
        <v>-8.0812209999999995E-2</v>
      </c>
      <c r="P2689">
        <v>-0.95259490000000002</v>
      </c>
      <c r="Q2689">
        <v>0.178320799999999</v>
      </c>
      <c r="R2689">
        <v>-0.24650559999999999</v>
      </c>
      <c r="S2689">
        <v>-2.9624329999999999</v>
      </c>
      <c r="T2689">
        <v>-0.132769</v>
      </c>
      <c r="U2689">
        <v>-0.81930539999999996</v>
      </c>
      <c r="V2689">
        <v>-0.16955419999999999</v>
      </c>
      <c r="W2689">
        <v>0.19103619999999999</v>
      </c>
      <c r="X2689">
        <v>0.96682809999999997</v>
      </c>
      <c r="Y2689">
        <v>-0.18759439999999999</v>
      </c>
      <c r="Z2689">
        <v>-3.0192090000000001E-3</v>
      </c>
      <c r="AA2689">
        <v>0.9822419</v>
      </c>
      <c r="AB2689">
        <v>26</v>
      </c>
      <c r="AC2689">
        <v>-24.664100000000001</v>
      </c>
      <c r="AD2689">
        <v>-1.112498011434</v>
      </c>
      <c r="AE2689">
        <v>-6.8505999999999796</v>
      </c>
      <c r="AF2689">
        <v>-4.8257219141052801</v>
      </c>
      <c r="AG2689">
        <v>-1.112498011434</v>
      </c>
      <c r="AH2689">
        <v>25.0896920874026</v>
      </c>
      <c r="AI2689">
        <v>92.493240259726406</v>
      </c>
      <c r="AJ2689">
        <v>100.88724724186601</v>
      </c>
      <c r="AK2689">
        <v>25.573773535761099</v>
      </c>
      <c r="AL2689">
        <v>78.9867383591654</v>
      </c>
      <c r="AM2689">
        <v>99.946903176752002</v>
      </c>
      <c r="AN2689">
        <v>1.00000001569884</v>
      </c>
    </row>
    <row r="2690" spans="1:40" x14ac:dyDescent="0.25">
      <c r="A2690" t="str">
        <f>"20190304155110177"</f>
        <v>20190304155110177</v>
      </c>
      <c r="B2690" t="str">
        <f>"1551685870169637"</f>
        <v>1551685870169637</v>
      </c>
      <c r="C2690" t="s">
        <v>40</v>
      </c>
      <c r="D2690">
        <v>4.959759</v>
      </c>
      <c r="E2690">
        <v>0.4899152</v>
      </c>
      <c r="F2690" t="s">
        <v>62</v>
      </c>
      <c r="G2690">
        <v>-490.25209999999998</v>
      </c>
      <c r="H2690" s="1">
        <v>2.9850490000000001E-6</v>
      </c>
      <c r="I2690">
        <v>278.1345</v>
      </c>
      <c r="J2690">
        <v>-465.85879999999997</v>
      </c>
      <c r="K2690">
        <v>1.112544</v>
      </c>
      <c r="L2690">
        <v>284.99430000000001</v>
      </c>
      <c r="M2690">
        <v>-0.99645530000000004</v>
      </c>
      <c r="N2690">
        <v>-1.39049E-2</v>
      </c>
      <c r="O2690">
        <v>-8.2966929999999994E-2</v>
      </c>
      <c r="P2690">
        <v>-0.95189570000000001</v>
      </c>
      <c r="Q2690">
        <v>0.17752679999999901</v>
      </c>
      <c r="R2690">
        <v>-0.24975820000000001</v>
      </c>
      <c r="S2690">
        <v>-2.9601139999999999</v>
      </c>
      <c r="T2690">
        <v>-0.13390529999999901</v>
      </c>
      <c r="U2690">
        <v>-0.82791139999999996</v>
      </c>
      <c r="V2690">
        <v>-0.17077290000000001</v>
      </c>
      <c r="W2690">
        <v>0.19022030000000001</v>
      </c>
      <c r="X2690">
        <v>0.96677449999999998</v>
      </c>
      <c r="Y2690">
        <v>-0.18831629999999999</v>
      </c>
      <c r="Z2690">
        <v>-2.9808220000000002E-3</v>
      </c>
      <c r="AA2690">
        <v>0.98210390000000003</v>
      </c>
      <c r="AB2690">
        <v>25</v>
      </c>
      <c r="AC2690">
        <v>-24.3933</v>
      </c>
      <c r="AD2690">
        <v>-1.112541014951</v>
      </c>
      <c r="AE2690">
        <v>-6.8597999999999999</v>
      </c>
      <c r="AF2690">
        <v>-4.8028536317201302</v>
      </c>
      <c r="AG2690">
        <v>-1.112541014951</v>
      </c>
      <c r="AH2690">
        <v>24.8305091070015</v>
      </c>
      <c r="AI2690">
        <v>92.518820411011802</v>
      </c>
      <c r="AJ2690">
        <v>100.947275794566</v>
      </c>
      <c r="AK2690">
        <v>25.315199644295902</v>
      </c>
      <c r="AL2690">
        <v>79.034359512357099</v>
      </c>
      <c r="AM2690">
        <v>100.01749941172901</v>
      </c>
      <c r="AN2690">
        <v>1.0000000398783699</v>
      </c>
    </row>
    <row r="2691" spans="1:40" x14ac:dyDescent="0.25">
      <c r="A2691" t="str">
        <f>"20190304155110198"</f>
        <v>20190304155110198</v>
      </c>
      <c r="B2691" t="str">
        <f>"1551685870189156"</f>
        <v>1551685870189156</v>
      </c>
      <c r="C2691" t="s">
        <v>40</v>
      </c>
      <c r="D2691">
        <v>4.9695669999999996</v>
      </c>
      <c r="E2691">
        <v>0.48964000000000002</v>
      </c>
      <c r="F2691" t="s">
        <v>62</v>
      </c>
      <c r="G2691">
        <v>-489.82159999999999</v>
      </c>
      <c r="H2691" s="1">
        <v>3.0049330000000001E-6</v>
      </c>
      <c r="I2691">
        <v>278.18520000000001</v>
      </c>
      <c r="J2691">
        <v>-466.10669999999999</v>
      </c>
      <c r="K2691">
        <v>1.1126069999999999</v>
      </c>
      <c r="L2691">
        <v>284.97059999999999</v>
      </c>
      <c r="M2691">
        <v>-0.99622060000000001</v>
      </c>
      <c r="N2691">
        <v>-1.3907070000000001E-2</v>
      </c>
      <c r="O2691">
        <v>-8.5740170000000004E-2</v>
      </c>
      <c r="P2691">
        <v>-0.95104630000000001</v>
      </c>
      <c r="Q2691">
        <v>0.176617</v>
      </c>
      <c r="R2691">
        <v>-0.25360949999999999</v>
      </c>
      <c r="S2691">
        <v>-2.956696</v>
      </c>
      <c r="T2691">
        <v>-0.13727339999999999</v>
      </c>
      <c r="U2691">
        <v>-0.84014889999999998</v>
      </c>
      <c r="V2691">
        <v>-0.1720102</v>
      </c>
      <c r="W2691">
        <v>0.1892788</v>
      </c>
      <c r="X2691">
        <v>0.96673989999999999</v>
      </c>
      <c r="Y2691">
        <v>-0.189634</v>
      </c>
      <c r="Z2691">
        <v>-2.9469909999999999E-3</v>
      </c>
      <c r="AA2691">
        <v>0.98185040000000001</v>
      </c>
      <c r="AB2691">
        <v>25</v>
      </c>
      <c r="AC2691">
        <v>-23.7149</v>
      </c>
      <c r="AD2691">
        <v>-1.1126039950669999</v>
      </c>
      <c r="AE2691">
        <v>-6.7853999999999797</v>
      </c>
      <c r="AF2691">
        <v>-4.7172947050881602</v>
      </c>
      <c r="AG2691">
        <v>-1.1126039950669999</v>
      </c>
      <c r="AH2691">
        <v>24.160236457090701</v>
      </c>
      <c r="AI2691">
        <v>92.587868808290295</v>
      </c>
      <c r="AJ2691">
        <v>101.048027085721</v>
      </c>
      <c r="AK2691">
        <v>24.641586447447501</v>
      </c>
      <c r="AL2691">
        <v>79.089301248487104</v>
      </c>
      <c r="AM2691">
        <v>100.08894709932601</v>
      </c>
      <c r="AN2691">
        <v>1.0000000036427401</v>
      </c>
    </row>
    <row r="2692" spans="1:40" x14ac:dyDescent="0.25">
      <c r="A2692" t="str">
        <f>"20190304155110220"</f>
        <v>20190304155110220</v>
      </c>
      <c r="B2692" t="str">
        <f>"1551685870209656"</f>
        <v>1551685870209656</v>
      </c>
      <c r="C2692" t="s">
        <v>40</v>
      </c>
      <c r="D2692">
        <v>5.0439720000000001</v>
      </c>
      <c r="E2692">
        <v>0.48934509999999998</v>
      </c>
      <c r="F2692" t="s">
        <v>62</v>
      </c>
      <c r="G2692">
        <v>-489.3997</v>
      </c>
      <c r="H2692" s="1">
        <v>2.9482239999999998E-6</v>
      </c>
      <c r="I2692">
        <v>278.23649999999998</v>
      </c>
      <c r="J2692">
        <v>-466.34969999999998</v>
      </c>
      <c r="K2692">
        <v>1.1126849999999999</v>
      </c>
      <c r="L2692">
        <v>284.94650000000001</v>
      </c>
      <c r="M2692">
        <v>-0.9959732</v>
      </c>
      <c r="N2692">
        <v>-1.390972E-2</v>
      </c>
      <c r="O2692">
        <v>-8.8567190000000004E-2</v>
      </c>
      <c r="P2692">
        <v>-0.95002989999999998</v>
      </c>
      <c r="Q2692">
        <v>0.17631849999999999</v>
      </c>
      <c r="R2692">
        <v>-0.25759470000000001</v>
      </c>
      <c r="S2692">
        <v>-2.9529420000000002</v>
      </c>
      <c r="T2692">
        <v>-0.1410489</v>
      </c>
      <c r="U2692">
        <v>-0.85369869999999903</v>
      </c>
      <c r="V2692">
        <v>-0.17335130000000001</v>
      </c>
      <c r="W2692">
        <v>0.1889431</v>
      </c>
      <c r="X2692">
        <v>0.96656600000000004</v>
      </c>
      <c r="Y2692">
        <v>-0.19132850000000001</v>
      </c>
      <c r="Z2692">
        <v>-2.9193370000000001E-3</v>
      </c>
      <c r="AA2692">
        <v>0.98152169999999905</v>
      </c>
      <c r="AB2692">
        <v>25</v>
      </c>
      <c r="AC2692">
        <v>-23.05</v>
      </c>
      <c r="AD2692">
        <v>-1.1126820517759901</v>
      </c>
      <c r="AE2692">
        <v>-6.7100000000000302</v>
      </c>
      <c r="AF2692">
        <v>-4.6320045202538402</v>
      </c>
      <c r="AG2692">
        <v>-1.1126820517759901</v>
      </c>
      <c r="AH2692">
        <v>23.503254400688</v>
      </c>
      <c r="AI2692">
        <v>92.659373287189993</v>
      </c>
      <c r="AJ2692">
        <v>101.148934035876</v>
      </c>
      <c r="AK2692">
        <v>23.9811695846441</v>
      </c>
      <c r="AL2692">
        <v>79.108888849576999</v>
      </c>
      <c r="AM2692">
        <v>100.16776337709</v>
      </c>
      <c r="AN2692">
        <v>1.0000000003026499</v>
      </c>
    </row>
    <row r="2693" spans="1:40" x14ac:dyDescent="0.25">
      <c r="A2693" t="str">
        <f>"20190304155110243"</f>
        <v>20190304155110243</v>
      </c>
      <c r="B2693" t="str">
        <f>"1551685870238932"</f>
        <v>1551685870238932</v>
      </c>
      <c r="C2693" t="s">
        <v>40</v>
      </c>
      <c r="D2693">
        <v>4.9782529999999996</v>
      </c>
      <c r="E2693">
        <v>0.48898069999999999</v>
      </c>
      <c r="F2693" t="s">
        <v>62</v>
      </c>
      <c r="G2693">
        <v>-489.267</v>
      </c>
      <c r="H2693" s="1">
        <v>2.9096099999999999E-6</v>
      </c>
      <c r="I2693">
        <v>278.19380000000001</v>
      </c>
      <c r="J2693">
        <v>-466.60820000000001</v>
      </c>
      <c r="K2693">
        <v>1.1127670000000001</v>
      </c>
      <c r="L2693">
        <v>284.92</v>
      </c>
      <c r="M2693">
        <v>-0.99569010000000002</v>
      </c>
      <c r="N2693">
        <v>-1.391301E-2</v>
      </c>
      <c r="O2693">
        <v>-9.1694419999999999E-2</v>
      </c>
      <c r="P2693">
        <v>-0.94896429999999998</v>
      </c>
      <c r="Q2693">
        <v>0.17610619999999999</v>
      </c>
      <c r="R2693">
        <v>-0.2616368</v>
      </c>
      <c r="S2693">
        <v>-2.9487920000000001</v>
      </c>
      <c r="T2693">
        <v>-0.14316999999999999</v>
      </c>
      <c r="U2693">
        <v>-0.86886600000000003</v>
      </c>
      <c r="V2693">
        <v>-0.17446879999999901</v>
      </c>
      <c r="W2693">
        <v>0.18868969999999999</v>
      </c>
      <c r="X2693">
        <v>0.96641440000000001</v>
      </c>
      <c r="Y2693">
        <v>-0.19325990000000001</v>
      </c>
      <c r="Z2693">
        <v>-2.8812579999999998E-3</v>
      </c>
      <c r="AA2693">
        <v>0.9811434</v>
      </c>
      <c r="AB2693">
        <v>25</v>
      </c>
      <c r="AC2693">
        <v>-22.6587999999999</v>
      </c>
      <c r="AD2693">
        <v>-1.11276409038999</v>
      </c>
      <c r="AE2693">
        <v>-6.7262000000000004</v>
      </c>
      <c r="AF2693">
        <v>-4.6097546504903102</v>
      </c>
      <c r="AG2693">
        <v>-1.11276409038999</v>
      </c>
      <c r="AH2693">
        <v>23.128875184972401</v>
      </c>
      <c r="AI2693">
        <v>92.701408943296499</v>
      </c>
      <c r="AJ2693">
        <v>101.271767448307</v>
      </c>
      <c r="AK2693">
        <v>23.610017983487701</v>
      </c>
      <c r="AL2693">
        <v>79.123673304371493</v>
      </c>
      <c r="AM2693">
        <v>100.23350007066</v>
      </c>
      <c r="AN2693">
        <v>0.99999997879344404</v>
      </c>
    </row>
    <row r="2694" spans="1:40" x14ac:dyDescent="0.25">
      <c r="A2694" t="str">
        <f>"20190304155110257"</f>
        <v>20190304155110257</v>
      </c>
      <c r="B2694" t="str">
        <f>"1551685870249669"</f>
        <v>1551685870249669</v>
      </c>
      <c r="C2694" t="s">
        <v>40</v>
      </c>
      <c r="D2694">
        <v>5.0885980000000002</v>
      </c>
      <c r="E2694">
        <v>0.48889149999999998</v>
      </c>
      <c r="F2694" t="s">
        <v>62</v>
      </c>
      <c r="G2694">
        <v>-489.20749999999998</v>
      </c>
      <c r="H2694" s="1">
        <v>2.8797539999999999E-6</v>
      </c>
      <c r="I2694">
        <v>278.13929999999999</v>
      </c>
      <c r="J2694">
        <v>-466.75549999999998</v>
      </c>
      <c r="K2694">
        <v>1.1128169999999999</v>
      </c>
      <c r="L2694">
        <v>284.90440000000001</v>
      </c>
      <c r="M2694">
        <v>-0.99551769999999995</v>
      </c>
      <c r="N2694">
        <v>-1.391497E-2</v>
      </c>
      <c r="O2694">
        <v>-9.3546290000000004E-2</v>
      </c>
      <c r="P2694">
        <v>-0.94839600000000002</v>
      </c>
      <c r="Q2694">
        <v>0.17582400000000001</v>
      </c>
      <c r="R2694">
        <v>-0.26387769999999999</v>
      </c>
      <c r="S2694">
        <v>-2.9446409999999998</v>
      </c>
      <c r="T2694">
        <v>-0.1449907</v>
      </c>
      <c r="U2694">
        <v>-0.88351440000000003</v>
      </c>
      <c r="V2694">
        <v>-0.1749723</v>
      </c>
      <c r="W2694">
        <v>0.18838440000000001</v>
      </c>
      <c r="X2694">
        <v>0.96638299999999999</v>
      </c>
      <c r="Y2694">
        <v>-0.19628490000000001</v>
      </c>
      <c r="Z2694">
        <v>-2.916938E-3</v>
      </c>
      <c r="AA2694">
        <v>0.98054249999999998</v>
      </c>
      <c r="AB2694">
        <v>25</v>
      </c>
      <c r="AC2694">
        <v>-22.452000000000002</v>
      </c>
      <c r="AD2694">
        <v>-1.112814120246</v>
      </c>
      <c r="AE2694">
        <v>-6.7651000000000101</v>
      </c>
      <c r="AF2694">
        <v>-4.6245091638594502</v>
      </c>
      <c r="AG2694">
        <v>-1.112814120246</v>
      </c>
      <c r="AH2694">
        <v>22.934786422355199</v>
      </c>
      <c r="AI2694">
        <v>92.723136727861402</v>
      </c>
      <c r="AJ2694">
        <v>101.400108104239</v>
      </c>
      <c r="AK2694">
        <v>23.422827935838299</v>
      </c>
      <c r="AL2694">
        <v>79.141485873483703</v>
      </c>
      <c r="AM2694">
        <v>100.262732595606</v>
      </c>
      <c r="AN2694">
        <v>1.0000000453098199</v>
      </c>
    </row>
    <row r="2695" spans="1:40" x14ac:dyDescent="0.25">
      <c r="A2695" t="str">
        <f>"20190304155110271"</f>
        <v>20190304155110271</v>
      </c>
      <c r="B2695" t="str">
        <f>"1551685870269029"</f>
        <v>1551685870269029</v>
      </c>
      <c r="C2695" t="s">
        <v>40</v>
      </c>
      <c r="D2695">
        <v>4.9507760000000003</v>
      </c>
      <c r="E2695">
        <v>0.48865380000000003</v>
      </c>
      <c r="F2695" t="s">
        <v>62</v>
      </c>
      <c r="G2695">
        <v>-489.12619999999998</v>
      </c>
      <c r="H2695" s="1">
        <v>2.8619539999999999E-6</v>
      </c>
      <c r="I2695">
        <v>278.12970000000001</v>
      </c>
      <c r="J2695">
        <v>-466.91890000000001</v>
      </c>
      <c r="K2695">
        <v>1.112879</v>
      </c>
      <c r="L2695">
        <v>284.88679999999999</v>
      </c>
      <c r="M2695">
        <v>-0.99531820000000004</v>
      </c>
      <c r="N2695">
        <v>-1.391715E-2</v>
      </c>
      <c r="O2695">
        <v>-9.5646869999999995E-2</v>
      </c>
      <c r="P2695">
        <v>-0.94775830000000005</v>
      </c>
      <c r="Q2695">
        <v>0.17545160000000001</v>
      </c>
      <c r="R2695">
        <v>-0.26640419999999998</v>
      </c>
      <c r="S2695">
        <v>-2.9424440000000001</v>
      </c>
      <c r="T2695">
        <v>-0.14636979999999999</v>
      </c>
      <c r="U2695">
        <v>-0.89108279999999995</v>
      </c>
      <c r="V2695">
        <v>-0.17552779999999901</v>
      </c>
      <c r="W2695">
        <v>0.1879863</v>
      </c>
      <c r="X2695">
        <v>0.96635970000000004</v>
      </c>
      <c r="Y2695">
        <v>-0.19672629999999999</v>
      </c>
      <c r="Z2695">
        <v>-2.8616219999999999E-3</v>
      </c>
      <c r="AA2695">
        <v>0.9804543</v>
      </c>
      <c r="AB2695">
        <v>25</v>
      </c>
      <c r="AC2695">
        <v>-22.207299999999901</v>
      </c>
      <c r="AD2695">
        <v>-1.1128761380459999</v>
      </c>
      <c r="AE2695">
        <v>-6.7570999999999799</v>
      </c>
      <c r="AF2695">
        <v>-4.5912976151470897</v>
      </c>
      <c r="AG2695">
        <v>-1.1128761380459999</v>
      </c>
      <c r="AH2695">
        <v>22.699649497534999</v>
      </c>
      <c r="AI2695">
        <v>92.751121165667698</v>
      </c>
      <c r="AJ2695">
        <v>101.434547598335</v>
      </c>
      <c r="AK2695">
        <v>23.186043094940299</v>
      </c>
      <c r="AL2695">
        <v>79.164709364914799</v>
      </c>
      <c r="AM2695">
        <v>100.294861851722</v>
      </c>
      <c r="AN2695">
        <v>0.99999996367230903</v>
      </c>
    </row>
    <row r="2696" spans="1:40" x14ac:dyDescent="0.25">
      <c r="A2696" t="str">
        <f>"20190304155110289"</f>
        <v>20190304155110289</v>
      </c>
      <c r="B2696" t="str">
        <f>"1551685870279765"</f>
        <v>1551685870279765</v>
      </c>
      <c r="C2696" t="s">
        <v>40</v>
      </c>
      <c r="D2696">
        <v>4.9304949999999996</v>
      </c>
      <c r="E2696">
        <v>0.48854150000000002</v>
      </c>
      <c r="F2696" t="s">
        <v>62</v>
      </c>
      <c r="G2696">
        <v>-488.97140000000002</v>
      </c>
      <c r="H2696" s="1">
        <v>2.834404E-6</v>
      </c>
      <c r="I2696">
        <v>278.12950000000001</v>
      </c>
      <c r="J2696">
        <v>-467.11470000000003</v>
      </c>
      <c r="K2696">
        <v>1.112948</v>
      </c>
      <c r="L2696">
        <v>284.86509999999998</v>
      </c>
      <c r="M2696">
        <v>-0.99506499999999998</v>
      </c>
      <c r="N2696">
        <v>-1.391997E-2</v>
      </c>
      <c r="O2696">
        <v>-9.8244960000000006E-2</v>
      </c>
      <c r="P2696">
        <v>-0.94683349999999999</v>
      </c>
      <c r="Q2696">
        <v>0.17558850000000001</v>
      </c>
      <c r="R2696">
        <v>-0.26958339999999997</v>
      </c>
      <c r="S2696">
        <v>-2.9396059999999999</v>
      </c>
      <c r="T2696">
        <v>-0.1483469</v>
      </c>
      <c r="U2696">
        <v>-0.90075680000000002</v>
      </c>
      <c r="V2696">
        <v>-0.176285</v>
      </c>
      <c r="W2696">
        <v>0.1880899</v>
      </c>
      <c r="X2696">
        <v>0.96620170000000005</v>
      </c>
      <c r="Y2696">
        <v>-0.19737730000000001</v>
      </c>
      <c r="Z2696">
        <v>-2.7942879999999998E-3</v>
      </c>
      <c r="AA2696">
        <v>0.98032359999999996</v>
      </c>
      <c r="AB2696">
        <v>25</v>
      </c>
      <c r="AC2696">
        <v>-21.856699999999901</v>
      </c>
      <c r="AD2696">
        <v>-1.1129451655959901</v>
      </c>
      <c r="AE2696">
        <v>-6.7355999999999696</v>
      </c>
      <c r="AF2696">
        <v>-4.544728344118</v>
      </c>
      <c r="AG2696">
        <v>-1.1129451655959901</v>
      </c>
      <c r="AH2696">
        <v>22.359797945991499</v>
      </c>
      <c r="AI2696">
        <v>92.792504885205005</v>
      </c>
      <c r="AJ2696">
        <v>101.48911399813601</v>
      </c>
      <c r="AK2696">
        <v>22.8441188678622</v>
      </c>
      <c r="AL2696">
        <v>79.158665765495599</v>
      </c>
      <c r="AM2696">
        <v>100.339970741857</v>
      </c>
      <c r="AN2696">
        <v>0.99999996839494898</v>
      </c>
    </row>
    <row r="2697" spans="1:40" x14ac:dyDescent="0.25">
      <c r="A2697" t="str">
        <f>"20190304155110311"</f>
        <v>20190304155110311</v>
      </c>
      <c r="B2697" t="str">
        <f>"1551685870299285"</f>
        <v>1551685870299285</v>
      </c>
      <c r="C2697" t="s">
        <v>40</v>
      </c>
      <c r="D2697">
        <v>4.9129649999999998</v>
      </c>
      <c r="E2697">
        <v>0.4883535</v>
      </c>
      <c r="F2697" t="s">
        <v>62</v>
      </c>
      <c r="G2697">
        <v>-489.16090000000003</v>
      </c>
      <c r="H2697" s="1">
        <v>2.829446E-6</v>
      </c>
      <c r="I2697">
        <v>278.0204</v>
      </c>
      <c r="J2697">
        <v>-467.35430000000002</v>
      </c>
      <c r="K2697">
        <v>1.1130340000000001</v>
      </c>
      <c r="L2697">
        <v>284.83780000000002</v>
      </c>
      <c r="M2697">
        <v>-0.9947336</v>
      </c>
      <c r="N2697">
        <v>-1.392384E-2</v>
      </c>
      <c r="O2697">
        <v>-0.1015455</v>
      </c>
      <c r="P2697">
        <v>-0.94580319999999996</v>
      </c>
      <c r="Q2697">
        <v>0.17548039999999901</v>
      </c>
      <c r="R2697">
        <v>-0.27324579999999998</v>
      </c>
      <c r="S2697">
        <v>-2.9363100000000002</v>
      </c>
      <c r="T2697">
        <v>-0.148232</v>
      </c>
      <c r="U2697">
        <v>-0.91165160000000001</v>
      </c>
      <c r="V2697">
        <v>-0.17685519999999999</v>
      </c>
      <c r="W2697">
        <v>0.18794649999999999</v>
      </c>
      <c r="X2697">
        <v>0.96612540000000002</v>
      </c>
      <c r="Y2697">
        <v>-0.19775619999999999</v>
      </c>
      <c r="Z2697">
        <v>-2.6919270000000002E-3</v>
      </c>
      <c r="AA2697">
        <v>0.9802476</v>
      </c>
      <c r="AB2697">
        <v>25</v>
      </c>
      <c r="AC2697">
        <v>-21.8066</v>
      </c>
      <c r="AD2697">
        <v>-1.1130311705539999</v>
      </c>
      <c r="AE2697">
        <v>-6.8174000000000197</v>
      </c>
      <c r="AF2697">
        <v>-4.5567625984407902</v>
      </c>
      <c r="AG2697">
        <v>-1.1130311705539999</v>
      </c>
      <c r="AH2697">
        <v>22.333198975827599</v>
      </c>
      <c r="AI2697">
        <v>92.795614967260704</v>
      </c>
      <c r="AJ2697">
        <v>101.532076161878</v>
      </c>
      <c r="AK2697">
        <v>22.8204886069312</v>
      </c>
      <c r="AL2697">
        <v>79.167031175043604</v>
      </c>
      <c r="AM2697">
        <v>100.373492281398</v>
      </c>
      <c r="AN2697">
        <v>0.99999996857722395</v>
      </c>
    </row>
    <row r="2698" spans="1:40" x14ac:dyDescent="0.25">
      <c r="A2698" t="str">
        <f>"20190304155110333"</f>
        <v>20190304155110333</v>
      </c>
      <c r="B2698" t="str">
        <f>"1551685870329542"</f>
        <v>1551685870329542</v>
      </c>
      <c r="C2698" t="s">
        <v>40</v>
      </c>
      <c r="D2698">
        <v>4.890326</v>
      </c>
      <c r="E2698">
        <v>0.48805759999999998</v>
      </c>
      <c r="F2698" t="s">
        <v>62</v>
      </c>
      <c r="G2698">
        <v>-489.17160000000001</v>
      </c>
      <c r="H2698" s="1">
        <v>2.809072E-6</v>
      </c>
      <c r="I2698">
        <v>277.95740000000001</v>
      </c>
      <c r="J2698">
        <v>-467.60230000000001</v>
      </c>
      <c r="K2698">
        <v>1.113108</v>
      </c>
      <c r="L2698">
        <v>284.80840000000001</v>
      </c>
      <c r="M2698">
        <v>-0.99436670000000005</v>
      </c>
      <c r="N2698">
        <v>-1.392783E-2</v>
      </c>
      <c r="O2698">
        <v>-0.1050764</v>
      </c>
      <c r="P2698">
        <v>-0.94466380000000005</v>
      </c>
      <c r="Q2698">
        <v>0.1754019</v>
      </c>
      <c r="R2698">
        <v>-0.27720939999999999</v>
      </c>
      <c r="S2698">
        <v>-2.9324650000000001</v>
      </c>
      <c r="T2698">
        <v>-0.14960309999999999</v>
      </c>
      <c r="U2698">
        <v>-0.92480469999999904</v>
      </c>
      <c r="V2698">
        <v>-0.1775109</v>
      </c>
      <c r="W2698">
        <v>0.1878341</v>
      </c>
      <c r="X2698">
        <v>0.96602699999999997</v>
      </c>
      <c r="Y2698">
        <v>-0.1986415</v>
      </c>
      <c r="Z2698">
        <v>-2.595314E-3</v>
      </c>
      <c r="AA2698">
        <v>0.98006879999999996</v>
      </c>
      <c r="AB2698">
        <v>25</v>
      </c>
      <c r="AC2698">
        <v>-21.569299999999998</v>
      </c>
      <c r="AD2698">
        <v>-1.1131051909280001</v>
      </c>
      <c r="AE2698">
        <v>-6.8509999999999902</v>
      </c>
      <c r="AF2698">
        <v>-4.5354506714566902</v>
      </c>
      <c r="AG2698">
        <v>-1.1131051909280001</v>
      </c>
      <c r="AH2698">
        <v>22.116318575723898</v>
      </c>
      <c r="AI2698">
        <v>92.822599117118401</v>
      </c>
      <c r="AJ2698">
        <v>101.589117381935</v>
      </c>
      <c r="AK2698">
        <v>22.604001046323599</v>
      </c>
      <c r="AL2698">
        <v>79.173587977574599</v>
      </c>
      <c r="AM2698">
        <v>100.412150328685</v>
      </c>
      <c r="AN2698">
        <v>0.999999966735309</v>
      </c>
    </row>
    <row r="2699" spans="1:40" x14ac:dyDescent="0.25">
      <c r="A2699" t="str">
        <f>"20190304155110355"</f>
        <v>20190304155110355</v>
      </c>
      <c r="B2699" t="str">
        <f>"1551685870349061"</f>
        <v>1551685870349061</v>
      </c>
      <c r="C2699" t="s">
        <v>40</v>
      </c>
      <c r="D2699">
        <v>4.8616029999999997</v>
      </c>
      <c r="E2699">
        <v>0.48788429999999999</v>
      </c>
      <c r="F2699" t="s">
        <v>62</v>
      </c>
      <c r="G2699">
        <v>-489.15539999999999</v>
      </c>
      <c r="H2699" s="1">
        <v>2.7852130000000002E-6</v>
      </c>
      <c r="I2699">
        <v>277.89789999999999</v>
      </c>
      <c r="J2699">
        <v>-467.8528</v>
      </c>
      <c r="K2699">
        <v>1.1131789999999999</v>
      </c>
      <c r="L2699">
        <v>284.77780000000001</v>
      </c>
      <c r="M2699">
        <v>-0.99397100000000005</v>
      </c>
      <c r="N2699">
        <v>-1.393147E-2</v>
      </c>
      <c r="O2699">
        <v>-0.1087544</v>
      </c>
      <c r="P2699">
        <v>-0.94344640000000002</v>
      </c>
      <c r="Q2699">
        <v>0.17501649999999999</v>
      </c>
      <c r="R2699">
        <v>-0.2815645</v>
      </c>
      <c r="S2699">
        <v>-2.9282530000000002</v>
      </c>
      <c r="T2699">
        <v>-0.151228799999999</v>
      </c>
      <c r="U2699">
        <v>-0.93887330000000002</v>
      </c>
      <c r="V2699">
        <v>-0.17841760000000001</v>
      </c>
      <c r="W2699">
        <v>0.1874159</v>
      </c>
      <c r="X2699">
        <v>0.9659413</v>
      </c>
      <c r="Y2699">
        <v>-0.19969219999999999</v>
      </c>
      <c r="Z2699">
        <v>-2.4951869999999998E-3</v>
      </c>
      <c r="AA2699">
        <v>0.97985549999999999</v>
      </c>
      <c r="AB2699">
        <v>25</v>
      </c>
      <c r="AC2699">
        <v>-21.302599999999899</v>
      </c>
      <c r="AD2699">
        <v>-1.1131762147869999</v>
      </c>
      <c r="AE2699">
        <v>-6.8799000000000197</v>
      </c>
      <c r="AF2699">
        <v>-4.5109542584872404</v>
      </c>
      <c r="AG2699">
        <v>-1.1131762147869999</v>
      </c>
      <c r="AH2699">
        <v>21.8704348823765</v>
      </c>
      <c r="AI2699">
        <v>92.853795968163197</v>
      </c>
      <c r="AJ2699">
        <v>101.654285526853</v>
      </c>
      <c r="AK2699">
        <v>22.358528385195701</v>
      </c>
      <c r="AL2699">
        <v>79.197983507557097</v>
      </c>
      <c r="AM2699">
        <v>100.465070083364</v>
      </c>
      <c r="AN2699">
        <v>1.00000007730412</v>
      </c>
    </row>
    <row r="2700" spans="1:40" x14ac:dyDescent="0.25">
      <c r="A2700" t="str">
        <f>"20190304155110377"</f>
        <v>20190304155110377</v>
      </c>
      <c r="B2700" t="str">
        <f>"1551685870369557"</f>
        <v>1551685870369557</v>
      </c>
      <c r="C2700" t="s">
        <v>40</v>
      </c>
      <c r="D2700">
        <v>4.8669359999999999</v>
      </c>
      <c r="E2700">
        <v>0.48772019999999999</v>
      </c>
      <c r="F2700" t="s">
        <v>62</v>
      </c>
      <c r="G2700">
        <v>-489.09059999999999</v>
      </c>
      <c r="H2700" s="1">
        <v>2.758118E-6</v>
      </c>
      <c r="I2700">
        <v>277.85379999999998</v>
      </c>
      <c r="J2700">
        <v>-468.09440000000001</v>
      </c>
      <c r="K2700">
        <v>1.1132439999999999</v>
      </c>
      <c r="L2700">
        <v>284.74720000000002</v>
      </c>
      <c r="M2700">
        <v>-0.99356460000000002</v>
      </c>
      <c r="N2700">
        <v>-1.393488E-2</v>
      </c>
      <c r="O2700">
        <v>-0.1124064</v>
      </c>
      <c r="P2700">
        <v>-0.94221469999999896</v>
      </c>
      <c r="Q2700">
        <v>0.175031399999999</v>
      </c>
      <c r="R2700">
        <v>-0.28564909999999999</v>
      </c>
      <c r="S2700">
        <v>-2.9237669999999998</v>
      </c>
      <c r="T2700">
        <v>-0.15324879999999999</v>
      </c>
      <c r="U2700">
        <v>-0.95321659999999997</v>
      </c>
      <c r="V2700">
        <v>-0.1790841</v>
      </c>
      <c r="W2700">
        <v>0.18740039999999999</v>
      </c>
      <c r="X2700">
        <v>0.96582089999999998</v>
      </c>
      <c r="Y2700">
        <v>-0.20087540000000001</v>
      </c>
      <c r="Z2700">
        <v>-2.3953759999999998E-3</v>
      </c>
      <c r="AA2700">
        <v>0.97961390000000004</v>
      </c>
      <c r="AB2700">
        <v>25</v>
      </c>
      <c r="AC2700">
        <v>-20.996199999999899</v>
      </c>
      <c r="AD2700">
        <v>-1.1132412418819999</v>
      </c>
      <c r="AE2700">
        <v>-6.8934000000000397</v>
      </c>
      <c r="AF2700">
        <v>-4.47800307114698</v>
      </c>
      <c r="AG2700">
        <v>-1.1132412418819999</v>
      </c>
      <c r="AH2700">
        <v>21.583272631384101</v>
      </c>
      <c r="AI2700">
        <v>92.891172706696096</v>
      </c>
      <c r="AJ2700">
        <v>101.721182263687</v>
      </c>
      <c r="AK2700">
        <v>22.071009833002201</v>
      </c>
      <c r="AL2700">
        <v>79.1988869607993</v>
      </c>
      <c r="AM2700">
        <v>100.504575394711</v>
      </c>
      <c r="AN2700">
        <v>1.00000001783488</v>
      </c>
    </row>
    <row r="2701" spans="1:40" x14ac:dyDescent="0.25">
      <c r="A2701" t="str">
        <f>"20190304155110391"</f>
        <v>20190304155110391</v>
      </c>
      <c r="B2701" t="str">
        <f>"1551685870379317"</f>
        <v>1551685870379317</v>
      </c>
      <c r="C2701" t="s">
        <v>40</v>
      </c>
      <c r="D2701">
        <v>4.8322459999999996</v>
      </c>
      <c r="E2701">
        <v>0.48764190000000002</v>
      </c>
      <c r="F2701" t="s">
        <v>62</v>
      </c>
      <c r="G2701">
        <v>-489.22359999999998</v>
      </c>
      <c r="H2701" s="1">
        <v>2.745483E-6</v>
      </c>
      <c r="I2701">
        <v>277.75139999999999</v>
      </c>
      <c r="J2701">
        <v>-468.24149999999997</v>
      </c>
      <c r="K2701">
        <v>1.1132839999999999</v>
      </c>
      <c r="L2701">
        <v>284.72820000000002</v>
      </c>
      <c r="M2701">
        <v>-0.99330560000000001</v>
      </c>
      <c r="N2701">
        <v>-1.393701E-2</v>
      </c>
      <c r="O2701">
        <v>-0.11467330000000001</v>
      </c>
      <c r="P2701">
        <v>-0.94146200000000002</v>
      </c>
      <c r="Q2701">
        <v>0.1750118</v>
      </c>
      <c r="R2701">
        <v>-0.2881321</v>
      </c>
      <c r="S2701">
        <v>-2.919495</v>
      </c>
      <c r="T2701">
        <v>-0.1538206</v>
      </c>
      <c r="U2701">
        <v>-0.96664430000000001</v>
      </c>
      <c r="V2701">
        <v>-0.1794441</v>
      </c>
      <c r="W2701">
        <v>0.18736340000000001</v>
      </c>
      <c r="X2701">
        <v>0.96576119999999999</v>
      </c>
      <c r="Y2701">
        <v>-0.20312440000000001</v>
      </c>
      <c r="Z2701">
        <v>-2.383975E-3</v>
      </c>
      <c r="AA2701">
        <v>0.97915010000000002</v>
      </c>
      <c r="AB2701">
        <v>25</v>
      </c>
      <c r="AC2701">
        <v>-20.982099999999999</v>
      </c>
      <c r="AD2701">
        <v>-1.1132812545170001</v>
      </c>
      <c r="AE2701">
        <v>-6.9768000000000203</v>
      </c>
      <c r="AF2701">
        <v>-4.5130065837110802</v>
      </c>
      <c r="AG2701">
        <v>-1.1132812545170001</v>
      </c>
      <c r="AH2701">
        <v>21.589062822502999</v>
      </c>
      <c r="AI2701">
        <v>92.889600659768405</v>
      </c>
      <c r="AJ2701">
        <v>101.80716169885</v>
      </c>
      <c r="AK2701">
        <v>22.0838007854233</v>
      </c>
      <c r="AL2701">
        <v>79.201044522387207</v>
      </c>
      <c r="AM2701">
        <v>100.525856677145</v>
      </c>
      <c r="AN2701">
        <v>0.99999996205490405</v>
      </c>
    </row>
    <row r="2702" spans="1:40" x14ac:dyDescent="0.25">
      <c r="A2702" t="str">
        <f>"20190304155110404"</f>
        <v>20190304155110404</v>
      </c>
      <c r="B2702" t="str">
        <f>"1551685870399813"</f>
        <v>1551685870399813</v>
      </c>
      <c r="C2702" t="s">
        <v>40</v>
      </c>
      <c r="D2702">
        <v>4.8046559999999996</v>
      </c>
      <c r="E2702">
        <v>0.4874889</v>
      </c>
      <c r="F2702" t="s">
        <v>62</v>
      </c>
      <c r="G2702">
        <v>-489.3</v>
      </c>
      <c r="H2702" s="1">
        <v>2.738167E-6</v>
      </c>
      <c r="I2702">
        <v>277.69229999999999</v>
      </c>
      <c r="J2702">
        <v>-468.4042</v>
      </c>
      <c r="K2702">
        <v>1.113327</v>
      </c>
      <c r="L2702">
        <v>284.70670000000001</v>
      </c>
      <c r="M2702">
        <v>-0.99300739999999998</v>
      </c>
      <c r="N2702">
        <v>-1.3939399999999999E-2</v>
      </c>
      <c r="O2702">
        <v>-0.1172275</v>
      </c>
      <c r="P2702">
        <v>-0.94060710000000003</v>
      </c>
      <c r="Q2702">
        <v>0.17505809999999999</v>
      </c>
      <c r="R2702">
        <v>-0.29088389999999997</v>
      </c>
      <c r="S2702">
        <v>-2.9169309999999999</v>
      </c>
      <c r="T2702">
        <v>-0.1542065</v>
      </c>
      <c r="U2702">
        <v>-0.97457890000000003</v>
      </c>
      <c r="V2702">
        <v>-0.17980560000000001</v>
      </c>
      <c r="W2702">
        <v>0.1873901</v>
      </c>
      <c r="X2702">
        <v>0.96568880000000001</v>
      </c>
      <c r="Y2702">
        <v>-0.20326140000000001</v>
      </c>
      <c r="Z2702">
        <v>-2.2930509999999999E-3</v>
      </c>
      <c r="AA2702">
        <v>0.97912180000000004</v>
      </c>
      <c r="AB2702">
        <v>25</v>
      </c>
      <c r="AC2702">
        <v>-20.895800000000001</v>
      </c>
      <c r="AD2702">
        <v>-1.1133242618329999</v>
      </c>
      <c r="AE2702">
        <v>-7.0144000000000197</v>
      </c>
      <c r="AF2702">
        <v>-4.5047341316956802</v>
      </c>
      <c r="AG2702">
        <v>-1.1133242618329999</v>
      </c>
      <c r="AH2702">
        <v>21.519156771881899</v>
      </c>
      <c r="AI2702">
        <v>92.898912575918601</v>
      </c>
      <c r="AJ2702">
        <v>101.823336575957</v>
      </c>
      <c r="AK2702">
        <v>22.013773612946999</v>
      </c>
      <c r="AL2702">
        <v>79.199487346924798</v>
      </c>
      <c r="AM2702">
        <v>100.547359264034</v>
      </c>
      <c r="AN2702">
        <v>0.99999998090740405</v>
      </c>
    </row>
    <row r="2703" spans="1:40" x14ac:dyDescent="0.25">
      <c r="A2703" t="str">
        <f>"20190304155110422"</f>
        <v>20190304155110422</v>
      </c>
      <c r="B2703" t="str">
        <f>"1551685870419333"</f>
        <v>1551685870419333</v>
      </c>
      <c r="C2703" t="s">
        <v>40</v>
      </c>
      <c r="D2703">
        <v>4.7796130000000003</v>
      </c>
      <c r="E2703">
        <v>0.48734490000000003</v>
      </c>
      <c r="F2703" t="s">
        <v>62</v>
      </c>
      <c r="G2703">
        <v>-489.38170000000002</v>
      </c>
      <c r="H2703" s="1">
        <v>2.7271239999999999E-6</v>
      </c>
      <c r="I2703">
        <v>277.62009999999998</v>
      </c>
      <c r="J2703">
        <v>-468.58510000000001</v>
      </c>
      <c r="K2703">
        <v>1.1133759999999999</v>
      </c>
      <c r="L2703">
        <v>284.68209999999999</v>
      </c>
      <c r="M2703">
        <v>-0.99266149999999997</v>
      </c>
      <c r="N2703">
        <v>-1.394228E-2</v>
      </c>
      <c r="O2703">
        <v>-0.1201195</v>
      </c>
      <c r="P2703">
        <v>-0.93959809999999999</v>
      </c>
      <c r="Q2703">
        <v>0.17521010000000001</v>
      </c>
      <c r="R2703">
        <v>-0.2940354</v>
      </c>
      <c r="S2703">
        <v>-2.913818</v>
      </c>
      <c r="T2703">
        <v>-0.15464269999999999</v>
      </c>
      <c r="U2703">
        <v>-0.98434449999999996</v>
      </c>
      <c r="V2703">
        <v>-0.18025640000000001</v>
      </c>
      <c r="W2703">
        <v>0.18752079999999999</v>
      </c>
      <c r="X2703">
        <v>0.96557939999999998</v>
      </c>
      <c r="Y2703">
        <v>-0.2036723</v>
      </c>
      <c r="Z2703">
        <v>-2.1977820000000001E-3</v>
      </c>
      <c r="AA2703">
        <v>0.97903660000000003</v>
      </c>
      <c r="AB2703">
        <v>25</v>
      </c>
      <c r="AC2703">
        <v>-20.796600000000002</v>
      </c>
      <c r="AD2703">
        <v>-1.113373272876</v>
      </c>
      <c r="AE2703">
        <v>-7.06200000000001</v>
      </c>
      <c r="AF2703">
        <v>-4.5009704405685804</v>
      </c>
      <c r="AG2703">
        <v>-1.113373272876</v>
      </c>
      <c r="AH2703">
        <v>21.439263152712801</v>
      </c>
      <c r="AI2703">
        <v>92.909472119583</v>
      </c>
      <c r="AJ2703">
        <v>101.85651605948</v>
      </c>
      <c r="AK2703">
        <v>21.934911430933401</v>
      </c>
      <c r="AL2703">
        <v>79.191863841041894</v>
      </c>
      <c r="AM2703">
        <v>100.574378473959</v>
      </c>
      <c r="AN2703">
        <v>0.99999999893897995</v>
      </c>
    </row>
    <row r="2704" spans="1:40" x14ac:dyDescent="0.25">
      <c r="A2704" t="str">
        <f>"20190304155110436"</f>
        <v>20190304155110436</v>
      </c>
      <c r="B2704" t="str">
        <f>"1551685870429094"</f>
        <v>1551685870429094</v>
      </c>
      <c r="C2704" t="s">
        <v>40</v>
      </c>
      <c r="D2704">
        <v>4.7955639999999997</v>
      </c>
      <c r="E2704">
        <v>0.48727860000000001</v>
      </c>
      <c r="F2704" t="s">
        <v>62</v>
      </c>
      <c r="G2704">
        <v>-489.50069999999999</v>
      </c>
      <c r="H2704" s="1">
        <v>2.7172999999999998E-6</v>
      </c>
      <c r="I2704">
        <v>277.5326</v>
      </c>
      <c r="J2704">
        <v>-468.74579999999997</v>
      </c>
      <c r="K2704">
        <v>1.1134120000000001</v>
      </c>
      <c r="L2704">
        <v>284.65980000000002</v>
      </c>
      <c r="M2704">
        <v>-0.9923421</v>
      </c>
      <c r="N2704">
        <v>-1.3944730000000001E-2</v>
      </c>
      <c r="O2704">
        <v>-0.1227308</v>
      </c>
      <c r="P2704">
        <v>-0.93851949999999995</v>
      </c>
      <c r="Q2704">
        <v>0.17562920000000001</v>
      </c>
      <c r="R2704">
        <v>-0.29721320000000001</v>
      </c>
      <c r="S2704">
        <v>-2.9104610000000002</v>
      </c>
      <c r="T2704">
        <v>-0.15492899999999901</v>
      </c>
      <c r="U2704">
        <v>-0.99487300000000001</v>
      </c>
      <c r="V2704">
        <v>-0.18101590000000001</v>
      </c>
      <c r="W2704">
        <v>0.18791659999999999</v>
      </c>
      <c r="X2704">
        <v>0.96536029999999995</v>
      </c>
      <c r="Y2704">
        <v>-0.20461289999999999</v>
      </c>
      <c r="Z2704">
        <v>-2.1305360000000001E-3</v>
      </c>
      <c r="AA2704">
        <v>0.97884059999999995</v>
      </c>
      <c r="AB2704">
        <v>25</v>
      </c>
      <c r="AC2704">
        <v>-20.754899999999999</v>
      </c>
      <c r="AD2704">
        <v>-1.1134092826999999</v>
      </c>
      <c r="AE2704">
        <v>-7.12720000000001</v>
      </c>
      <c r="AF2704">
        <v>-4.5141740805541204</v>
      </c>
      <c r="AG2704">
        <v>-1.1134092826999999</v>
      </c>
      <c r="AH2704">
        <v>21.417639152700801</v>
      </c>
      <c r="AI2704">
        <v>92.912013432963207</v>
      </c>
      <c r="AJ2704">
        <v>101.901971261873</v>
      </c>
      <c r="AK2704">
        <v>21.916494125102499</v>
      </c>
      <c r="AL2704">
        <v>79.168775267169295</v>
      </c>
      <c r="AM2704">
        <v>100.620277011993</v>
      </c>
      <c r="AN2704">
        <v>0.99999995671222897</v>
      </c>
    </row>
    <row r="2705" spans="1:40" x14ac:dyDescent="0.25">
      <c r="A2705" t="str">
        <f>"20190304155110449"</f>
        <v>20190304155110449</v>
      </c>
      <c r="B2705" t="str">
        <f>"1551685870439831"</f>
        <v>1551685870439831</v>
      </c>
      <c r="C2705" t="s">
        <v>40</v>
      </c>
      <c r="D2705">
        <v>4.7925709999999997</v>
      </c>
      <c r="E2705">
        <v>0.48721209999999998</v>
      </c>
      <c r="F2705" t="s">
        <v>62</v>
      </c>
      <c r="G2705">
        <v>-489.76569999999998</v>
      </c>
      <c r="H2705" s="1">
        <v>2.7144440000000002E-6</v>
      </c>
      <c r="I2705">
        <v>277.39150000000001</v>
      </c>
      <c r="J2705">
        <v>-468.8954</v>
      </c>
      <c r="K2705">
        <v>1.113451</v>
      </c>
      <c r="L2705">
        <v>284.6386</v>
      </c>
      <c r="M2705">
        <v>-0.99203459999999999</v>
      </c>
      <c r="N2705">
        <v>-1.394689E-2</v>
      </c>
      <c r="O2705">
        <v>-0.12519130000000001</v>
      </c>
      <c r="P2705">
        <v>-0.93763640000000004</v>
      </c>
      <c r="Q2705">
        <v>0.17583699999999999</v>
      </c>
      <c r="R2705">
        <v>-0.29986649999999998</v>
      </c>
      <c r="S2705">
        <v>-2.9070130000000001</v>
      </c>
      <c r="T2705">
        <v>-0.1539819</v>
      </c>
      <c r="U2705">
        <v>-1.005188</v>
      </c>
      <c r="V2705">
        <v>-0.18137610000000001</v>
      </c>
      <c r="W2705">
        <v>0.1881063</v>
      </c>
      <c r="X2705">
        <v>0.9652558</v>
      </c>
      <c r="Y2705">
        <v>-0.20564859999999999</v>
      </c>
      <c r="Z2705">
        <v>-2.0803520000000002E-3</v>
      </c>
      <c r="AA2705">
        <v>0.97862369999999999</v>
      </c>
      <c r="AB2705">
        <v>25</v>
      </c>
      <c r="AC2705">
        <v>-20.870299999999901</v>
      </c>
      <c r="AD2705">
        <v>-1.113448285556</v>
      </c>
      <c r="AE2705">
        <v>-7.2470999999999801</v>
      </c>
      <c r="AF2705">
        <v>-4.5654426787837004</v>
      </c>
      <c r="AG2705">
        <v>-1.113448285556</v>
      </c>
      <c r="AH2705">
        <v>21.5586756261199</v>
      </c>
      <c r="AI2705">
        <v>92.8925131180157</v>
      </c>
      <c r="AJ2705">
        <v>101.95677774899301</v>
      </c>
      <c r="AK2705">
        <v>22.064893579850398</v>
      </c>
      <c r="AL2705">
        <v>79.157709544268201</v>
      </c>
      <c r="AM2705">
        <v>100.64205364434299</v>
      </c>
      <c r="AN2705">
        <v>1.0000000145922701</v>
      </c>
    </row>
    <row r="2706" spans="1:40" x14ac:dyDescent="0.25">
      <c r="A2706" t="str">
        <f>"20190304155110467"</f>
        <v>20190304155110467</v>
      </c>
      <c r="B2706" t="str">
        <f>"1551685870459355"</f>
        <v>1551685870459355</v>
      </c>
      <c r="C2706" t="s">
        <v>40</v>
      </c>
      <c r="D2706">
        <v>4.7756369999999997</v>
      </c>
      <c r="E2706">
        <v>0.48712050000000001</v>
      </c>
      <c r="F2706" t="s">
        <v>62</v>
      </c>
      <c r="G2706">
        <v>-489.9502</v>
      </c>
      <c r="H2706" s="1">
        <v>2.7119799999999999E-6</v>
      </c>
      <c r="I2706">
        <v>277.29199999999997</v>
      </c>
      <c r="J2706">
        <v>-469.08330000000001</v>
      </c>
      <c r="K2706">
        <v>1.113499</v>
      </c>
      <c r="L2706">
        <v>284.61149999999998</v>
      </c>
      <c r="M2706">
        <v>-0.9916334</v>
      </c>
      <c r="N2706">
        <v>-1.3949619999999999E-2</v>
      </c>
      <c r="O2706">
        <v>-0.12833059999999999</v>
      </c>
      <c r="P2706">
        <v>-0.93636229999999998</v>
      </c>
      <c r="Q2706">
        <v>0.1769145</v>
      </c>
      <c r="R2706">
        <v>-0.30319489999999999</v>
      </c>
      <c r="S2706">
        <v>-2.9042050000000001</v>
      </c>
      <c r="T2706">
        <v>-0.15358450000000001</v>
      </c>
      <c r="U2706">
        <v>-1.0133669999999999</v>
      </c>
      <c r="V2706">
        <v>-0.18180389999999999</v>
      </c>
      <c r="W2706">
        <v>0.18916079999999999</v>
      </c>
      <c r="X2706">
        <v>0.96496919999999997</v>
      </c>
      <c r="Y2706">
        <v>-0.20530570000000001</v>
      </c>
      <c r="Z2706">
        <v>-1.9570730000000001E-3</v>
      </c>
      <c r="AA2706">
        <v>0.97869589999999995</v>
      </c>
      <c r="AB2706">
        <v>25</v>
      </c>
      <c r="AC2706">
        <v>-20.866899999999902</v>
      </c>
      <c r="AD2706">
        <v>-1.1134962880199999</v>
      </c>
      <c r="AE2706">
        <v>-7.3194999999999402</v>
      </c>
      <c r="AF2706">
        <v>-4.5692588550203403</v>
      </c>
      <c r="AG2706">
        <v>-1.1134962880199999</v>
      </c>
      <c r="AH2706">
        <v>21.579020385259199</v>
      </c>
      <c r="AI2706">
        <v>92.889928382089096</v>
      </c>
      <c r="AJ2706">
        <v>101.955526971336</v>
      </c>
      <c r="AK2706">
        <v>22.0855636390618</v>
      </c>
      <c r="AL2706">
        <v>79.096186622979403</v>
      </c>
      <c r="AM2706">
        <v>100.669674356378</v>
      </c>
      <c r="AN2706">
        <v>1.0000000116302401</v>
      </c>
    </row>
    <row r="2707" spans="1:40" x14ac:dyDescent="0.25">
      <c r="A2707" t="str">
        <f>"20190304155110490"</f>
        <v>20190304155110490</v>
      </c>
      <c r="B2707" t="str">
        <f>"1551685870478869"</f>
        <v>1551685870478869</v>
      </c>
      <c r="C2707" t="s">
        <v>40</v>
      </c>
      <c r="D2707">
        <v>4.7219870000000004</v>
      </c>
      <c r="E2707">
        <v>0.48701739999999999</v>
      </c>
      <c r="F2707" t="s">
        <v>62</v>
      </c>
      <c r="G2707">
        <v>-490.52530000000002</v>
      </c>
      <c r="H2707" s="1">
        <v>2.5712009999999999E-6</v>
      </c>
      <c r="I2707">
        <v>277.03230000000002</v>
      </c>
      <c r="J2707">
        <v>-469.33089999999999</v>
      </c>
      <c r="K2707">
        <v>1.11355</v>
      </c>
      <c r="L2707">
        <v>284.57459999999998</v>
      </c>
      <c r="M2707">
        <v>-0.99107889999999998</v>
      </c>
      <c r="N2707">
        <v>-1.395296E-2</v>
      </c>
      <c r="O2707">
        <v>-0.13254479999999999</v>
      </c>
      <c r="P2707">
        <v>-0.93480819999999998</v>
      </c>
      <c r="Q2707">
        <v>0.17750629999999901</v>
      </c>
      <c r="R2707">
        <v>-0.30761230000000001</v>
      </c>
      <c r="S2707">
        <v>-2.9003909999999999</v>
      </c>
      <c r="T2707">
        <v>-0.150619</v>
      </c>
      <c r="U2707">
        <v>-1.0252079999999999</v>
      </c>
      <c r="V2707">
        <v>-0.1823012</v>
      </c>
      <c r="W2707">
        <v>0.18972729999999999</v>
      </c>
      <c r="X2707">
        <v>0.96476410000000001</v>
      </c>
      <c r="Y2707">
        <v>-0.20511180000000001</v>
      </c>
      <c r="Z2707">
        <v>-1.8251509999999999E-3</v>
      </c>
      <c r="AA2707">
        <v>0.97873690000000002</v>
      </c>
      <c r="AB2707">
        <v>25</v>
      </c>
      <c r="AC2707">
        <v>-21.194400000000002</v>
      </c>
      <c r="AD2707">
        <v>-1.1135474287989999</v>
      </c>
      <c r="AE2707">
        <v>-7.5422999999999503</v>
      </c>
      <c r="AF2707">
        <v>-4.6548556296365797</v>
      </c>
      <c r="AG2707">
        <v>-1.1135474287989999</v>
      </c>
      <c r="AH2707">
        <v>21.953366682734799</v>
      </c>
      <c r="AI2707">
        <v>92.8406954781004</v>
      </c>
      <c r="AJ2707">
        <v>101.971339335949</v>
      </c>
      <c r="AK2707">
        <v>22.469044873237301</v>
      </c>
      <c r="AL2707">
        <v>79.063129521920104</v>
      </c>
      <c r="AM2707">
        <v>100.700408889839</v>
      </c>
      <c r="AN2707">
        <v>0.99999997226776904</v>
      </c>
    </row>
    <row r="2708" spans="1:40" x14ac:dyDescent="0.25">
      <c r="A2708" t="str">
        <f>"20190304155110512"</f>
        <v>20190304155110512</v>
      </c>
      <c r="B2708" t="str">
        <f>"1551685870509125"</f>
        <v>1551685870509125</v>
      </c>
      <c r="C2708" t="s">
        <v>40</v>
      </c>
      <c r="D2708">
        <v>4.7111369999999999</v>
      </c>
      <c r="E2708">
        <v>0.4868538</v>
      </c>
      <c r="F2708" t="s">
        <v>62</v>
      </c>
      <c r="G2708">
        <v>-490.92039999999997</v>
      </c>
      <c r="H2708" s="1">
        <v>2.461229E-6</v>
      </c>
      <c r="I2708">
        <v>276.82040000000001</v>
      </c>
      <c r="J2708">
        <v>-469.56889999999999</v>
      </c>
      <c r="K2708">
        <v>1.1135969999999999</v>
      </c>
      <c r="L2708">
        <v>284.53800000000001</v>
      </c>
      <c r="M2708">
        <v>-0.99051800000000001</v>
      </c>
      <c r="N2708">
        <v>-1.39559E-2</v>
      </c>
      <c r="O2708">
        <v>-0.13667279999999901</v>
      </c>
      <c r="P2708">
        <v>-0.93326960000000003</v>
      </c>
      <c r="Q2708">
        <v>0.17743610000000001</v>
      </c>
      <c r="R2708">
        <v>-0.3122897</v>
      </c>
      <c r="S2708">
        <v>-2.8953859999999998</v>
      </c>
      <c r="T2708">
        <v>-0.1493382</v>
      </c>
      <c r="U2708">
        <v>-1.039917</v>
      </c>
      <c r="V2708">
        <v>-0.18313170000000001</v>
      </c>
      <c r="W2708">
        <v>0.18963369999999999</v>
      </c>
      <c r="X2708">
        <v>0.96462519999999996</v>
      </c>
      <c r="Y2708">
        <v>-0.20598069999999999</v>
      </c>
      <c r="Z2708">
        <v>-1.7197929999999901E-3</v>
      </c>
      <c r="AA2708">
        <v>0.97855449999999999</v>
      </c>
      <c r="AB2708">
        <v>25</v>
      </c>
      <c r="AC2708">
        <v>-21.351499999999898</v>
      </c>
      <c r="AD2708">
        <v>-1.113594538771</v>
      </c>
      <c r="AE2708">
        <v>-7.7176</v>
      </c>
      <c r="AF2708">
        <v>-4.7153679570146902</v>
      </c>
      <c r="AG2708">
        <v>-1.113594538771</v>
      </c>
      <c r="AH2708">
        <v>22.152696072277902</v>
      </c>
      <c r="AI2708">
        <v>92.814824590124701</v>
      </c>
      <c r="AJ2708">
        <v>102.01649726048601</v>
      </c>
      <c r="AK2708">
        <v>22.6763473918869</v>
      </c>
      <c r="AL2708">
        <v>79.068591519559703</v>
      </c>
      <c r="AM2708">
        <v>100.749534677916</v>
      </c>
      <c r="AN2708">
        <v>0.999999968097809</v>
      </c>
    </row>
    <row r="2709" spans="1:40" x14ac:dyDescent="0.25">
      <c r="A2709" t="str">
        <f>"20190304155110534"</f>
        <v>20190304155110534</v>
      </c>
      <c r="B2709" t="str">
        <f>"1551685870529621"</f>
        <v>1551685870529621</v>
      </c>
      <c r="C2709" t="s">
        <v>40</v>
      </c>
      <c r="D2709">
        <v>4.7180479999999996</v>
      </c>
      <c r="E2709">
        <v>0.48676930000000002</v>
      </c>
      <c r="F2709" t="s">
        <v>62</v>
      </c>
      <c r="G2709">
        <v>-490.9359</v>
      </c>
      <c r="H2709" s="1">
        <v>2.4289339999999998E-6</v>
      </c>
      <c r="I2709">
        <v>276.73289999999997</v>
      </c>
      <c r="J2709">
        <v>-469.81459999999998</v>
      </c>
      <c r="K2709">
        <v>1.1136299999999999</v>
      </c>
      <c r="L2709">
        <v>284.4991</v>
      </c>
      <c r="M2709">
        <v>-0.98991189999999996</v>
      </c>
      <c r="N2709">
        <v>-1.395859E-2</v>
      </c>
      <c r="O2709">
        <v>-0.14099510000000001</v>
      </c>
      <c r="P2709">
        <v>-0.93158010000000002</v>
      </c>
      <c r="Q2709">
        <v>0.17732020000000001</v>
      </c>
      <c r="R2709">
        <v>-0.31735780000000002</v>
      </c>
      <c r="S2709">
        <v>-2.8898619999999999</v>
      </c>
      <c r="T2709">
        <v>-0.15061250000000001</v>
      </c>
      <c r="U2709">
        <v>-1.055634</v>
      </c>
      <c r="V2709">
        <v>-0.18417890000000001</v>
      </c>
      <c r="W2709">
        <v>0.18949559999999999</v>
      </c>
      <c r="X2709">
        <v>0.964453</v>
      </c>
      <c r="Y2709">
        <v>-0.20700589999999999</v>
      </c>
      <c r="Z2709">
        <v>-1.584504E-3</v>
      </c>
      <c r="AA2709">
        <v>0.97833840000000005</v>
      </c>
      <c r="AB2709">
        <v>25</v>
      </c>
      <c r="AC2709">
        <v>-21.121300000000002</v>
      </c>
      <c r="AD2709">
        <v>-1.113627571066</v>
      </c>
      <c r="AE2709">
        <v>-7.76620000000002</v>
      </c>
      <c r="AF2709">
        <v>-4.6988060449967604</v>
      </c>
      <c r="AG2709">
        <v>-1.113627571066</v>
      </c>
      <c r="AH2709">
        <v>21.9516092011811</v>
      </c>
      <c r="AI2709">
        <v>92.839959737356807</v>
      </c>
      <c r="AJ2709">
        <v>102.08200390731901</v>
      </c>
      <c r="AK2709">
        <v>22.476478619590601</v>
      </c>
      <c r="AL2709">
        <v>79.076650752218498</v>
      </c>
      <c r="AM2709">
        <v>100.811443868013</v>
      </c>
      <c r="AN2709">
        <v>1.00000001941678</v>
      </c>
    </row>
    <row r="2710" spans="1:40" x14ac:dyDescent="0.25">
      <c r="A2710" t="str">
        <f>"20190304155110557"</f>
        <v>20190304155110557</v>
      </c>
      <c r="B2710" t="str">
        <f>"1551685870549141"</f>
        <v>1551685870549141</v>
      </c>
      <c r="C2710" t="s">
        <v>40</v>
      </c>
      <c r="D2710">
        <v>4.6938300000000002</v>
      </c>
      <c r="E2710">
        <v>0.48670920000000001</v>
      </c>
      <c r="F2710" t="s">
        <v>62</v>
      </c>
      <c r="G2710">
        <v>-491.03129999999999</v>
      </c>
      <c r="H2710" s="1">
        <v>2.3788E-6</v>
      </c>
      <c r="I2710">
        <v>276.61500000000001</v>
      </c>
      <c r="J2710">
        <v>-470.06139999999999</v>
      </c>
      <c r="K2710">
        <v>1.113658</v>
      </c>
      <c r="L2710">
        <v>284.4588</v>
      </c>
      <c r="M2710">
        <v>-0.98927529999999997</v>
      </c>
      <c r="N2710">
        <v>-1.3960820000000001E-2</v>
      </c>
      <c r="O2710">
        <v>-0.1453943</v>
      </c>
      <c r="P2710">
        <v>-0.92983640000000001</v>
      </c>
      <c r="Q2710">
        <v>0.17707679999999901</v>
      </c>
      <c r="R2710">
        <v>-0.32256499999999999</v>
      </c>
      <c r="S2710">
        <v>-2.884064</v>
      </c>
      <c r="T2710">
        <v>-0.15137990000000001</v>
      </c>
      <c r="U2710">
        <v>-1.0717159999999999</v>
      </c>
      <c r="V2710">
        <v>-0.18529490000000001</v>
      </c>
      <c r="W2710">
        <v>0.1892315</v>
      </c>
      <c r="X2710">
        <v>0.96429100000000001</v>
      </c>
      <c r="Y2710">
        <v>-0.20809240000000001</v>
      </c>
      <c r="Z2710">
        <v>-1.4517460000000001E-3</v>
      </c>
      <c r="AA2710">
        <v>0.97810810000000004</v>
      </c>
      <c r="AB2710">
        <v>25</v>
      </c>
      <c r="AC2710">
        <v>-20.969899999999999</v>
      </c>
      <c r="AD2710">
        <v>-1.1136556211999999</v>
      </c>
      <c r="AE2710">
        <v>-7.8437999999999803</v>
      </c>
      <c r="AF2710">
        <v>-4.69960492279895</v>
      </c>
      <c r="AG2710">
        <v>-1.1136556211999999</v>
      </c>
      <c r="AH2710">
        <v>21.833559852449199</v>
      </c>
      <c r="AI2710">
        <v>92.854662957714993</v>
      </c>
      <c r="AJ2710">
        <v>102.147397902248</v>
      </c>
      <c r="AK2710">
        <v>22.361369616003099</v>
      </c>
      <c r="AL2710">
        <v>79.092060587524998</v>
      </c>
      <c r="AM2710">
        <v>100.877179752755</v>
      </c>
      <c r="AN2710">
        <v>0.99999994661962799</v>
      </c>
    </row>
    <row r="2711" spans="1:40" x14ac:dyDescent="0.25">
      <c r="A2711" t="str">
        <f>"20190304155110578"</f>
        <v>20190304155110578</v>
      </c>
      <c r="B2711" t="str">
        <f>"1551685870568991"</f>
        <v>1551685870568991</v>
      </c>
      <c r="C2711" t="s">
        <v>40</v>
      </c>
      <c r="D2711">
        <v>4.696294</v>
      </c>
      <c r="E2711">
        <v>0.4866336</v>
      </c>
      <c r="F2711" t="s">
        <v>62</v>
      </c>
      <c r="G2711">
        <v>-491.05889999999999</v>
      </c>
      <c r="H2711" s="1">
        <v>2.3424249999999999E-6</v>
      </c>
      <c r="I2711">
        <v>276.51900000000001</v>
      </c>
      <c r="J2711">
        <v>-470.2987</v>
      </c>
      <c r="K2711">
        <v>1.1136699999999999</v>
      </c>
      <c r="L2711">
        <v>284.41910000000001</v>
      </c>
      <c r="M2711">
        <v>-0.98863630000000002</v>
      </c>
      <c r="N2711">
        <v>-1.3962789999999999E-2</v>
      </c>
      <c r="O2711">
        <v>-0.14967739999999999</v>
      </c>
      <c r="P2711">
        <v>-0.92806999999999995</v>
      </c>
      <c r="Q2711">
        <v>0.1768942</v>
      </c>
      <c r="R2711">
        <v>-0.32771139999999999</v>
      </c>
      <c r="S2711">
        <v>-2.8779910000000002</v>
      </c>
      <c r="T2711">
        <v>-0.15264150000000001</v>
      </c>
      <c r="U2711">
        <v>-1.088257</v>
      </c>
      <c r="V2711">
        <v>-0.1864691</v>
      </c>
      <c r="W2711">
        <v>0.18902830000000001</v>
      </c>
      <c r="X2711">
        <v>0.96410450000000003</v>
      </c>
      <c r="Y2711">
        <v>-0.20945520000000001</v>
      </c>
      <c r="Z2711">
        <v>-1.3228329999999901E-3</v>
      </c>
      <c r="AA2711">
        <v>0.97781739999999995</v>
      </c>
      <c r="AB2711">
        <v>25</v>
      </c>
      <c r="AC2711">
        <v>-20.760200000000001</v>
      </c>
      <c r="AD2711">
        <v>-1.113667657575</v>
      </c>
      <c r="AE2711">
        <v>-7.9001000000000001</v>
      </c>
      <c r="AF2711">
        <v>-4.6916579039376796</v>
      </c>
      <c r="AG2711">
        <v>-1.113667657575</v>
      </c>
      <c r="AH2711">
        <v>21.654436970751501</v>
      </c>
      <c r="AI2711">
        <v>92.877429983662196</v>
      </c>
      <c r="AJ2711">
        <v>102.224777012472</v>
      </c>
      <c r="AK2711">
        <v>22.1848270234266</v>
      </c>
      <c r="AL2711">
        <v>79.103917170080194</v>
      </c>
      <c r="AM2711">
        <v>100.94651419729</v>
      </c>
      <c r="AN2711">
        <v>0.99999995518797402</v>
      </c>
    </row>
    <row r="2712" spans="1:40" x14ac:dyDescent="0.25">
      <c r="A2712" t="str">
        <f>"20190304155110600"</f>
        <v>20190304155110600</v>
      </c>
      <c r="B2712" t="str">
        <f>"1551685870589499"</f>
        <v>1551685870589499</v>
      </c>
      <c r="C2712" t="s">
        <v>40</v>
      </c>
      <c r="D2712">
        <v>4.656549</v>
      </c>
      <c r="E2712">
        <v>0.48662109999999897</v>
      </c>
      <c r="F2712" t="s">
        <v>62</v>
      </c>
      <c r="G2712">
        <v>-491.11660000000001</v>
      </c>
      <c r="H2712" s="1">
        <v>2.2993190000000001E-6</v>
      </c>
      <c r="I2712">
        <v>276.41160000000002</v>
      </c>
      <c r="J2712">
        <v>-470.53699999999998</v>
      </c>
      <c r="K2712">
        <v>1.113696</v>
      </c>
      <c r="L2712">
        <v>284.37799999999999</v>
      </c>
      <c r="M2712">
        <v>-0.98796709999999999</v>
      </c>
      <c r="N2712">
        <v>-1.3964809999999999E-2</v>
      </c>
      <c r="O2712">
        <v>-0.15403259999999999</v>
      </c>
      <c r="P2712">
        <v>-0.92626799999999998</v>
      </c>
      <c r="Q2712">
        <v>0.176622</v>
      </c>
      <c r="R2712">
        <v>-0.3329144</v>
      </c>
      <c r="S2712">
        <v>-2.8717649999999999</v>
      </c>
      <c r="T2712">
        <v>-0.1536274</v>
      </c>
      <c r="U2712">
        <v>-1.104614</v>
      </c>
      <c r="V2712">
        <v>-0.187636</v>
      </c>
      <c r="W2712">
        <v>0.18873519999999999</v>
      </c>
      <c r="X2712">
        <v>0.9639356</v>
      </c>
      <c r="Y2712">
        <v>-0.2107069</v>
      </c>
      <c r="Z2712">
        <v>-1.188768E-3</v>
      </c>
      <c r="AA2712">
        <v>0.97754859999999999</v>
      </c>
      <c r="AB2712">
        <v>25</v>
      </c>
      <c r="AC2712">
        <v>-20.579599999999999</v>
      </c>
      <c r="AD2712">
        <v>-1.1136937006809999</v>
      </c>
      <c r="AE2712">
        <v>-7.9663999999999602</v>
      </c>
      <c r="AF2712">
        <v>-4.6891272235559098</v>
      </c>
      <c r="AG2712">
        <v>-1.1136937006809999</v>
      </c>
      <c r="AH2712">
        <v>21.506379718246301</v>
      </c>
      <c r="AI2712">
        <v>92.896448585489097</v>
      </c>
      <c r="AJ2712">
        <v>102.299944356133</v>
      </c>
      <c r="AK2712">
        <v>22.0397957423164</v>
      </c>
      <c r="AL2712">
        <v>79.121019350927199</v>
      </c>
      <c r="AM2712">
        <v>101.01522873362001</v>
      </c>
      <c r="AN2712">
        <v>1.0000000425811899</v>
      </c>
    </row>
    <row r="2713" spans="1:40" x14ac:dyDescent="0.25">
      <c r="A2713" t="str">
        <f>"20190304155110623"</f>
        <v>20190304155110623</v>
      </c>
      <c r="B2713" t="str">
        <f>"1551685870619742"</f>
        <v>1551685870619742</v>
      </c>
      <c r="C2713" t="s">
        <v>40</v>
      </c>
      <c r="D2713">
        <v>4.6161000000000003</v>
      </c>
      <c r="E2713">
        <v>0.48656969999999999</v>
      </c>
      <c r="F2713" t="s">
        <v>62</v>
      </c>
      <c r="G2713">
        <v>-491.18959999999998</v>
      </c>
      <c r="H2713" s="1">
        <v>2.2537410000000002E-6</v>
      </c>
      <c r="I2713">
        <v>276.30090000000001</v>
      </c>
      <c r="J2713">
        <v>-470.77929999999998</v>
      </c>
      <c r="K2713">
        <v>1.1137280000000001</v>
      </c>
      <c r="L2713">
        <v>284.33499999999998</v>
      </c>
      <c r="M2713">
        <v>-0.98725799999999997</v>
      </c>
      <c r="N2713">
        <v>-1.3966900000000001E-2</v>
      </c>
      <c r="O2713">
        <v>-0.15851390000000001</v>
      </c>
      <c r="P2713">
        <v>-0.92448019999999997</v>
      </c>
      <c r="Q2713">
        <v>0.17628959999999999</v>
      </c>
      <c r="R2713">
        <v>-0.33802100000000002</v>
      </c>
      <c r="S2713">
        <v>-2.8654790000000001</v>
      </c>
      <c r="T2713">
        <v>-0.15452160000000001</v>
      </c>
      <c r="U2713">
        <v>-1.1206670000000001</v>
      </c>
      <c r="V2713">
        <v>-0.18858610000000001</v>
      </c>
      <c r="W2713">
        <v>0.1883821</v>
      </c>
      <c r="X2713">
        <v>0.96381919999999999</v>
      </c>
      <c r="Y2713">
        <v>-0.21174780000000001</v>
      </c>
      <c r="Z2713">
        <v>-1.042039E-3</v>
      </c>
      <c r="AA2713">
        <v>0.97732379999999996</v>
      </c>
      <c r="AB2713">
        <v>25</v>
      </c>
      <c r="AC2713">
        <v>-20.410299999999999</v>
      </c>
      <c r="AD2713">
        <v>-1.113725746259</v>
      </c>
      <c r="AE2713">
        <v>-8.0340999999999596</v>
      </c>
      <c r="AF2713">
        <v>-4.68479339599065</v>
      </c>
      <c r="AG2713">
        <v>-1.113725746259</v>
      </c>
      <c r="AH2713">
        <v>21.370741920494801</v>
      </c>
      <c r="AI2713">
        <v>92.914167175531205</v>
      </c>
      <c r="AJ2713">
        <v>102.364526553922</v>
      </c>
      <c r="AK2713">
        <v>21.906535199190898</v>
      </c>
      <c r="AL2713">
        <v>79.141619464860995</v>
      </c>
      <c r="AM2713">
        <v>101.07093419416699</v>
      </c>
      <c r="AN2713">
        <v>0.99999999150112995</v>
      </c>
    </row>
    <row r="2714" spans="1:40" x14ac:dyDescent="0.25">
      <c r="A2714" t="str">
        <f>"20190304155110646"</f>
        <v>20190304155110646</v>
      </c>
      <c r="B2714" t="str">
        <f>"1551685870639262"</f>
        <v>1551685870639262</v>
      </c>
      <c r="C2714" t="s">
        <v>40</v>
      </c>
      <c r="D2714">
        <v>4.578424</v>
      </c>
      <c r="E2714">
        <v>0.48652790000000001</v>
      </c>
      <c r="F2714" t="s">
        <v>62</v>
      </c>
      <c r="G2714">
        <v>-491.16860000000003</v>
      </c>
      <c r="H2714" s="1">
        <v>2.227676E-6</v>
      </c>
      <c r="I2714">
        <v>276.22199999999998</v>
      </c>
      <c r="J2714">
        <v>-471.02789999999999</v>
      </c>
      <c r="K2714">
        <v>1.113766</v>
      </c>
      <c r="L2714">
        <v>284.28980000000001</v>
      </c>
      <c r="M2714">
        <v>-0.98649880000000001</v>
      </c>
      <c r="N2714">
        <v>-1.3969270000000001E-2</v>
      </c>
      <c r="O2714">
        <v>-0.16317200000000001</v>
      </c>
      <c r="P2714">
        <v>-0.92260580000000003</v>
      </c>
      <c r="Q2714">
        <v>0.1761693</v>
      </c>
      <c r="R2714">
        <v>-0.34316659999999999</v>
      </c>
      <c r="S2714">
        <v>-2.8588870000000002</v>
      </c>
      <c r="T2714">
        <v>-0.15616079999999999</v>
      </c>
      <c r="U2714">
        <v>-1.1375729999999999</v>
      </c>
      <c r="V2714">
        <v>-0.1894199</v>
      </c>
      <c r="W2714">
        <v>0.1882402</v>
      </c>
      <c r="X2714">
        <v>0.96368339999999997</v>
      </c>
      <c r="Y2714">
        <v>-0.21289649999999999</v>
      </c>
      <c r="Z2714">
        <v>-8.7612819999999996E-4</v>
      </c>
      <c r="AA2714">
        <v>0.97707440000000001</v>
      </c>
      <c r="AB2714">
        <v>25</v>
      </c>
      <c r="AC2714">
        <v>-20.140699999999999</v>
      </c>
      <c r="AD2714">
        <v>-1.1137637723239999</v>
      </c>
      <c r="AE2714">
        <v>-8.0678000000000303</v>
      </c>
      <c r="AF2714">
        <v>-4.66065080920459</v>
      </c>
      <c r="AG2714">
        <v>-1.1137637723239999</v>
      </c>
      <c r="AH2714">
        <v>21.131596249807298</v>
      </c>
      <c r="AI2714">
        <v>92.946363611523793</v>
      </c>
      <c r="AJ2714">
        <v>102.437672687912</v>
      </c>
      <c r="AK2714">
        <v>21.668098573034801</v>
      </c>
      <c r="AL2714">
        <v>79.149897752310295</v>
      </c>
      <c r="AM2714">
        <v>101.120193066884</v>
      </c>
      <c r="AN2714">
        <v>0.99999998342380403</v>
      </c>
    </row>
    <row r="2715" spans="1:40" x14ac:dyDescent="0.25">
      <c r="A2715" t="str">
        <f>"20190304155110668"</f>
        <v>20190304155110668</v>
      </c>
      <c r="B2715" t="str">
        <f>"1551685870659775"</f>
        <v>1551685870659775</v>
      </c>
      <c r="C2715" t="s">
        <v>40</v>
      </c>
      <c r="D2715">
        <v>4.5412869999999996</v>
      </c>
      <c r="E2715">
        <v>0.4865158</v>
      </c>
      <c r="F2715" t="s">
        <v>62</v>
      </c>
      <c r="G2715">
        <v>-491.22379999999998</v>
      </c>
      <c r="H2715" s="1">
        <v>2.1873589999999999E-6</v>
      </c>
      <c r="I2715">
        <v>276.12169999999998</v>
      </c>
      <c r="J2715">
        <v>-471.2627</v>
      </c>
      <c r="K2715">
        <v>1.113807</v>
      </c>
      <c r="L2715">
        <v>284.24579999999997</v>
      </c>
      <c r="M2715">
        <v>-0.9857496</v>
      </c>
      <c r="N2715">
        <v>-1.3971509999999999E-2</v>
      </c>
      <c r="O2715">
        <v>-0.16763800000000001</v>
      </c>
      <c r="P2715">
        <v>-0.92066579999999998</v>
      </c>
      <c r="Q2715">
        <v>0.17675179999999999</v>
      </c>
      <c r="R2715">
        <v>-0.34804200000000002</v>
      </c>
      <c r="S2715">
        <v>-2.8526310000000001</v>
      </c>
      <c r="T2715">
        <v>-0.1573167</v>
      </c>
      <c r="U2715">
        <v>-1.1537170000000001</v>
      </c>
      <c r="V2715">
        <v>-0.19019359999999999</v>
      </c>
      <c r="W2715">
        <v>0.18879979999999999</v>
      </c>
      <c r="X2715">
        <v>0.96342150000000004</v>
      </c>
      <c r="Y2715">
        <v>-0.21396780000000001</v>
      </c>
      <c r="Z2715">
        <v>-7.2010119999999997E-4</v>
      </c>
      <c r="AA2715">
        <v>0.97684040000000005</v>
      </c>
      <c r="AB2715">
        <v>25</v>
      </c>
      <c r="AC2715">
        <v>-19.961099999999899</v>
      </c>
      <c r="AD2715">
        <v>-1.1138048126410001</v>
      </c>
      <c r="AE2715">
        <v>-8.1240999999999897</v>
      </c>
      <c r="AF2715">
        <v>-4.65012386683805</v>
      </c>
      <c r="AG2715">
        <v>-1.1138048126410001</v>
      </c>
      <c r="AH2715">
        <v>20.984557304108002</v>
      </c>
      <c r="AI2715">
        <v>92.966429657519697</v>
      </c>
      <c r="AJ2715">
        <v>102.494689587434</v>
      </c>
      <c r="AK2715">
        <v>21.522450101858499</v>
      </c>
      <c r="AL2715">
        <v>79.117249574736206</v>
      </c>
      <c r="AM2715">
        <v>101.167434248981</v>
      </c>
      <c r="AN2715">
        <v>0.99999997831162402</v>
      </c>
    </row>
    <row r="2716" spans="1:40" x14ac:dyDescent="0.25">
      <c r="A2716" t="str">
        <f>"20190304155110690"</f>
        <v>20190304155110690</v>
      </c>
      <c r="B2716" t="str">
        <f>"1551685870679278"</f>
        <v>1551685870679278</v>
      </c>
      <c r="C2716" t="s">
        <v>40</v>
      </c>
      <c r="D2716">
        <v>4.5428629999999997</v>
      </c>
      <c r="E2716">
        <v>0.48659999999999998</v>
      </c>
      <c r="F2716" t="s">
        <v>62</v>
      </c>
      <c r="G2716">
        <v>-491.5324</v>
      </c>
      <c r="H2716" s="1">
        <v>2.0870780000000001E-6</v>
      </c>
      <c r="I2716">
        <v>275.91550000000001</v>
      </c>
      <c r="J2716">
        <v>-471.5016</v>
      </c>
      <c r="K2716">
        <v>1.1138520000000001</v>
      </c>
      <c r="L2716">
        <v>284.19970000000001</v>
      </c>
      <c r="M2716">
        <v>-0.98495319999999997</v>
      </c>
      <c r="N2716">
        <v>-1.397403E-2</v>
      </c>
      <c r="O2716">
        <v>-0.17225589999999999</v>
      </c>
      <c r="P2716">
        <v>-0.91884259999999995</v>
      </c>
      <c r="Q2716">
        <v>0.17710919999999999</v>
      </c>
      <c r="R2716">
        <v>-0.35264839999999997</v>
      </c>
      <c r="S2716">
        <v>-2.8463440000000002</v>
      </c>
      <c r="T2716">
        <v>-0.1564044</v>
      </c>
      <c r="U2716">
        <v>-1.1697690000000001</v>
      </c>
      <c r="V2716">
        <v>-0.1905365</v>
      </c>
      <c r="W2716">
        <v>0.1891379</v>
      </c>
      <c r="X2716">
        <v>0.96328749999999996</v>
      </c>
      <c r="Y2716">
        <v>-0.21486520000000001</v>
      </c>
      <c r="Z2716">
        <v>-5.9309320000000001E-4</v>
      </c>
      <c r="AA2716">
        <v>0.9766435</v>
      </c>
      <c r="AB2716">
        <v>25</v>
      </c>
      <c r="AC2716">
        <v>-20.030799999999999</v>
      </c>
      <c r="AD2716">
        <v>-1.1138499129220001</v>
      </c>
      <c r="AE2716">
        <v>-8.2841999999999896</v>
      </c>
      <c r="AF2716">
        <v>-4.69718240826385</v>
      </c>
      <c r="AG2716">
        <v>-1.1138499129220001</v>
      </c>
      <c r="AH2716">
        <v>21.1027454567514</v>
      </c>
      <c r="AI2716">
        <v>92.949348238262502</v>
      </c>
      <c r="AJ2716">
        <v>102.548685619032</v>
      </c>
      <c r="AK2716">
        <v>21.6478647911858</v>
      </c>
      <c r="AL2716">
        <v>79.097523299362905</v>
      </c>
      <c r="AM2716">
        <v>101.188577573212</v>
      </c>
      <c r="AN2716">
        <v>1.00000005535245</v>
      </c>
    </row>
    <row r="2717" spans="1:40" x14ac:dyDescent="0.25">
      <c r="A2717" t="str">
        <f>"20190304155110712"</f>
        <v>20190304155110712</v>
      </c>
      <c r="B2717" t="str">
        <f>"1551685870709534"</f>
        <v>1551685870709534</v>
      </c>
      <c r="C2717" t="s">
        <v>40</v>
      </c>
      <c r="D2717">
        <v>4.4760730000000004</v>
      </c>
      <c r="E2717">
        <v>0.48668709999999998</v>
      </c>
      <c r="F2717" t="s">
        <v>62</v>
      </c>
      <c r="G2717">
        <v>-492.02300000000002</v>
      </c>
      <c r="H2717" s="1">
        <v>1.949777E-6</v>
      </c>
      <c r="I2717">
        <v>275.65010000000001</v>
      </c>
      <c r="J2717">
        <v>-471.74110000000002</v>
      </c>
      <c r="K2717">
        <v>1.1138870000000001</v>
      </c>
      <c r="L2717">
        <v>284.15230000000003</v>
      </c>
      <c r="M2717">
        <v>-0.98412080000000002</v>
      </c>
      <c r="N2717">
        <v>-1.397673E-2</v>
      </c>
      <c r="O2717">
        <v>-0.1769492</v>
      </c>
      <c r="P2717">
        <v>-0.9170275</v>
      </c>
      <c r="Q2717">
        <v>0.1775437</v>
      </c>
      <c r="R2717">
        <v>-0.35712640000000001</v>
      </c>
      <c r="S2717">
        <v>-2.8405149999999999</v>
      </c>
      <c r="T2717">
        <v>-0.15417620000000001</v>
      </c>
      <c r="U2717">
        <v>-1.183411</v>
      </c>
      <c r="V2717">
        <v>-0.1906784</v>
      </c>
      <c r="W2717">
        <v>0.18955549999999999</v>
      </c>
      <c r="X2717">
        <v>0.96317730000000001</v>
      </c>
      <c r="Y2717">
        <v>-0.21492459999999999</v>
      </c>
      <c r="Z2717">
        <v>-4.6748269999999999E-4</v>
      </c>
      <c r="AA2717">
        <v>0.97663049999999996</v>
      </c>
      <c r="AB2717">
        <v>25</v>
      </c>
      <c r="AC2717">
        <v>-20.2819</v>
      </c>
      <c r="AD2717">
        <v>-1.113885050223</v>
      </c>
      <c r="AE2717">
        <v>-8.5022000000000109</v>
      </c>
      <c r="AF2717">
        <v>-4.7665642264473798</v>
      </c>
      <c r="AG2717">
        <v>-1.113885050223</v>
      </c>
      <c r="AH2717">
        <v>21.411463624847102</v>
      </c>
      <c r="AI2717">
        <v>92.906969360869695</v>
      </c>
      <c r="AJ2717">
        <v>102.550382068198</v>
      </c>
      <c r="AK2717">
        <v>21.963871448087399</v>
      </c>
      <c r="AL2717">
        <v>79.073155451831198</v>
      </c>
      <c r="AM2717">
        <v>101.197948371435</v>
      </c>
      <c r="AN2717">
        <v>1.0000000255210399</v>
      </c>
    </row>
    <row r="2718" spans="1:40" x14ac:dyDescent="0.25">
      <c r="A2718" t="str">
        <f>"20190304155110734"</f>
        <v>20190304155110734</v>
      </c>
      <c r="B2718" t="str">
        <f>"1551685870729054"</f>
        <v>1551685870729054</v>
      </c>
      <c r="C2718" t="s">
        <v>40</v>
      </c>
      <c r="D2718">
        <v>4.4836289999999996</v>
      </c>
      <c r="E2718">
        <v>0.48674990000000001</v>
      </c>
      <c r="F2718" t="s">
        <v>62</v>
      </c>
      <c r="G2718">
        <v>-492.38380000000001</v>
      </c>
      <c r="H2718" s="1">
        <v>1.8413719999999999E-6</v>
      </c>
      <c r="I2718">
        <v>275.43400000000003</v>
      </c>
      <c r="J2718">
        <v>-471.98180000000002</v>
      </c>
      <c r="K2718">
        <v>1.11392</v>
      </c>
      <c r="L2718">
        <v>284.10340000000002</v>
      </c>
      <c r="M2718">
        <v>-0.98324880000000003</v>
      </c>
      <c r="N2718">
        <v>-1.397905E-2</v>
      </c>
      <c r="O2718">
        <v>-0.1817317</v>
      </c>
      <c r="P2718">
        <v>-0.91524150000000004</v>
      </c>
      <c r="Q2718">
        <v>0.17736179999999999</v>
      </c>
      <c r="R2718">
        <v>-0.36176789999999998</v>
      </c>
      <c r="S2718">
        <v>-2.8348080000000002</v>
      </c>
      <c r="T2718">
        <v>-0.15296760000000001</v>
      </c>
      <c r="U2718">
        <v>-1.1972659999999999</v>
      </c>
      <c r="V2718">
        <v>-0.19088369999999999</v>
      </c>
      <c r="W2718">
        <v>0.18935879999999999</v>
      </c>
      <c r="X2718">
        <v>0.96317529999999996</v>
      </c>
      <c r="Y2718">
        <v>-0.2149373</v>
      </c>
      <c r="Z2718">
        <v>-3.192879E-4</v>
      </c>
      <c r="AA2718">
        <v>0.97662780000000005</v>
      </c>
      <c r="AB2718">
        <v>25</v>
      </c>
      <c r="AC2718">
        <v>-20.401999999999902</v>
      </c>
      <c r="AD2718">
        <v>-1.113918158628</v>
      </c>
      <c r="AE2718">
        <v>-8.6693999999999907</v>
      </c>
      <c r="AF2718">
        <v>-4.8048251492887299</v>
      </c>
      <c r="AG2718">
        <v>-1.113918158628</v>
      </c>
      <c r="AH2718">
        <v>21.583361558142901</v>
      </c>
      <c r="AI2718">
        <v>92.883942171181801</v>
      </c>
      <c r="AJ2718">
        <v>102.550365508892</v>
      </c>
      <c r="AK2718">
        <v>22.139752810925401</v>
      </c>
      <c r="AL2718">
        <v>79.0846331300652</v>
      </c>
      <c r="AM2718">
        <v>101.209722527786</v>
      </c>
      <c r="AN2718">
        <v>1.0000000002966001</v>
      </c>
    </row>
    <row r="2719" spans="1:40" x14ac:dyDescent="0.25">
      <c r="A2719" t="str">
        <f>"20190304155110757"</f>
        <v>20190304155110757</v>
      </c>
      <c r="B2719" t="str">
        <f>"1551685870749553"</f>
        <v>1551685870749553</v>
      </c>
      <c r="C2719" t="s">
        <v>40</v>
      </c>
      <c r="D2719">
        <v>4.4588219999999996</v>
      </c>
      <c r="E2719">
        <v>0.48684820000000001</v>
      </c>
      <c r="F2719" t="s">
        <v>62</v>
      </c>
      <c r="G2719">
        <v>-492.48500000000001</v>
      </c>
      <c r="H2719" s="1">
        <v>1.79293E-6</v>
      </c>
      <c r="I2719">
        <v>275.32240000000002</v>
      </c>
      <c r="J2719">
        <v>-472.21539999999999</v>
      </c>
      <c r="K2719">
        <v>1.113953</v>
      </c>
      <c r="L2719">
        <v>284.05470000000003</v>
      </c>
      <c r="M2719">
        <v>-0.98236630000000003</v>
      </c>
      <c r="N2719">
        <v>-1.3981220000000001E-2</v>
      </c>
      <c r="O2719">
        <v>-0.18644340000000001</v>
      </c>
      <c r="P2719">
        <v>-0.91370989999999996</v>
      </c>
      <c r="Q2719">
        <v>0.17622589999999999</v>
      </c>
      <c r="R2719">
        <v>-0.36616779999999999</v>
      </c>
      <c r="S2719">
        <v>-2.828735</v>
      </c>
      <c r="T2719">
        <v>-0.15368280000000001</v>
      </c>
      <c r="U2719">
        <v>-1.211487</v>
      </c>
      <c r="V2719">
        <v>-0.19086639999999999</v>
      </c>
      <c r="W2719">
        <v>0.1882125</v>
      </c>
      <c r="X2719">
        <v>0.96340340000000002</v>
      </c>
      <c r="Y2719">
        <v>-0.21516450000000001</v>
      </c>
      <c r="Z2719">
        <v>-1.3446439999999999E-4</v>
      </c>
      <c r="AA2719">
        <v>0.97657780000000005</v>
      </c>
      <c r="AB2719">
        <v>25</v>
      </c>
      <c r="AC2719">
        <v>-20.269600000000001</v>
      </c>
      <c r="AD2719">
        <v>-1.1139512070699999</v>
      </c>
      <c r="AE2719">
        <v>-8.7323000000000093</v>
      </c>
      <c r="AF2719">
        <v>-4.7874570336150404</v>
      </c>
      <c r="AG2719">
        <v>-1.1139512070699999</v>
      </c>
      <c r="AH2719">
        <v>21.487616880445799</v>
      </c>
      <c r="AI2719">
        <v>92.896743728036697</v>
      </c>
      <c r="AJ2719">
        <v>102.560390855751</v>
      </c>
      <c r="AK2719">
        <v>22.042647557434201</v>
      </c>
      <c r="AL2719">
        <v>79.151514125709696</v>
      </c>
      <c r="AM2719">
        <v>101.206145639487</v>
      </c>
      <c r="AN2719">
        <v>1.00000001946838</v>
      </c>
    </row>
    <row r="2720" spans="1:40" x14ac:dyDescent="0.25">
      <c r="A2720" t="str">
        <f>"20190304155110779"</f>
        <v>20190304155110779</v>
      </c>
      <c r="B2720" t="str">
        <f>"1551685870769070"</f>
        <v>1551685870769070</v>
      </c>
      <c r="C2720" t="s">
        <v>40</v>
      </c>
      <c r="D2720">
        <v>4.4218460000000004</v>
      </c>
      <c r="E2720">
        <v>0.48694749999999998</v>
      </c>
      <c r="F2720" t="s">
        <v>62</v>
      </c>
      <c r="G2720">
        <v>-492.23899999999998</v>
      </c>
      <c r="H2720" s="1">
        <v>1.8301150000000001E-6</v>
      </c>
      <c r="I2720">
        <v>275.36579999999998</v>
      </c>
      <c r="J2720">
        <v>-472.45159999999998</v>
      </c>
      <c r="K2720">
        <v>1.113991</v>
      </c>
      <c r="L2720">
        <v>284.0043</v>
      </c>
      <c r="M2720">
        <v>-0.9814351</v>
      </c>
      <c r="N2720">
        <v>-1.3983809999999999E-2</v>
      </c>
      <c r="O2720">
        <v>-0.19128410000000001</v>
      </c>
      <c r="P2720">
        <v>-0.91214589999999995</v>
      </c>
      <c r="Q2720">
        <v>0.17507130000000001</v>
      </c>
      <c r="R2720">
        <v>-0.3705947</v>
      </c>
      <c r="S2720">
        <v>-2.8227540000000002</v>
      </c>
      <c r="T2720">
        <v>-0.15703520000000001</v>
      </c>
      <c r="U2720">
        <v>-1.2248840000000001</v>
      </c>
      <c r="V2720">
        <v>-0.1907557</v>
      </c>
      <c r="W2720">
        <v>0.18704580000000001</v>
      </c>
      <c r="X2720">
        <v>0.96365250000000002</v>
      </c>
      <c r="Y2720">
        <v>-0.21500359999999999</v>
      </c>
      <c r="Z2720">
        <v>1.426055E-4</v>
      </c>
      <c r="AA2720">
        <v>0.97661330000000002</v>
      </c>
      <c r="AB2720">
        <v>25</v>
      </c>
      <c r="AC2720">
        <v>-19.787400000000002</v>
      </c>
      <c r="AD2720">
        <v>-1.113989169885</v>
      </c>
      <c r="AE2720">
        <v>-8.6385000000000201</v>
      </c>
      <c r="AF2720">
        <v>-4.6811094934373401</v>
      </c>
      <c r="AG2720">
        <v>-1.113989169885</v>
      </c>
      <c r="AH2720">
        <v>21.018563862612201</v>
      </c>
      <c r="AI2720">
        <v>92.961429758472903</v>
      </c>
      <c r="AJ2720">
        <v>102.555606549347</v>
      </c>
      <c r="AK2720">
        <v>21.562323270159901</v>
      </c>
      <c r="AL2720">
        <v>79.219569624676197</v>
      </c>
      <c r="AM2720">
        <v>101.196988625237</v>
      </c>
      <c r="AN2720">
        <v>1.0000000045681801</v>
      </c>
    </row>
    <row r="2721" spans="1:40" x14ac:dyDescent="0.25">
      <c r="A2721" t="str">
        <f>"20190304155110802"</f>
        <v>20190304155110802</v>
      </c>
      <c r="B2721" t="str">
        <f>"1551685870799326"</f>
        <v>1551685870799326</v>
      </c>
      <c r="C2721" t="s">
        <v>40</v>
      </c>
      <c r="D2721">
        <v>4.3935829999999996</v>
      </c>
      <c r="E2721">
        <v>0.48714459999999998</v>
      </c>
      <c r="F2721" t="s">
        <v>62</v>
      </c>
      <c r="G2721">
        <v>-491.9973</v>
      </c>
      <c r="H2721" s="1">
        <v>1.868839E-6</v>
      </c>
      <c r="I2721">
        <v>275.41469999999998</v>
      </c>
      <c r="J2721">
        <v>-472.68860000000001</v>
      </c>
      <c r="K2721">
        <v>1.1140380000000001</v>
      </c>
      <c r="L2721">
        <v>283.95229999999998</v>
      </c>
      <c r="M2721">
        <v>-0.98045939999999998</v>
      </c>
      <c r="N2721">
        <v>-1.3987070000000001E-2</v>
      </c>
      <c r="O2721">
        <v>-0.19622400000000001</v>
      </c>
      <c r="P2721">
        <v>-0.9103774</v>
      </c>
      <c r="Q2721">
        <v>0.17488299999999901</v>
      </c>
      <c r="R2721">
        <v>-0.37500600000000001</v>
      </c>
      <c r="S2721">
        <v>-2.8168329999999999</v>
      </c>
      <c r="T2721">
        <v>-0.16054309999999999</v>
      </c>
      <c r="U2721">
        <v>-1.2378849999999999</v>
      </c>
      <c r="V2721">
        <v>-0.19058</v>
      </c>
      <c r="W2721">
        <v>0.1868417</v>
      </c>
      <c r="X2721">
        <v>0.96372690000000005</v>
      </c>
      <c r="Y2721">
        <v>-0.21461730000000001</v>
      </c>
      <c r="Z2721">
        <v>4.4664599999999998E-4</v>
      </c>
      <c r="AA2721">
        <v>0.97669810000000001</v>
      </c>
      <c r="AB2721">
        <v>25</v>
      </c>
      <c r="AC2721">
        <v>-19.308699999999899</v>
      </c>
      <c r="AD2721">
        <v>-1.1140361311610001</v>
      </c>
      <c r="AE2721">
        <v>-8.5375999999999905</v>
      </c>
      <c r="AF2721">
        <v>-4.5696637781973397</v>
      </c>
      <c r="AG2721">
        <v>-1.1140361311610001</v>
      </c>
      <c r="AH2721">
        <v>20.551468516913399</v>
      </c>
      <c r="AI2721">
        <v>93.028972236602996</v>
      </c>
      <c r="AJ2721">
        <v>102.535903015031</v>
      </c>
      <c r="AK2721">
        <v>21.0828309709342</v>
      </c>
      <c r="AL2721">
        <v>79.231474020172598</v>
      </c>
      <c r="AM2721">
        <v>101.186093754552</v>
      </c>
      <c r="AN2721">
        <v>1.0000000475212401</v>
      </c>
    </row>
    <row r="2722" spans="1:40" x14ac:dyDescent="0.25">
      <c r="A2722" t="str">
        <f>"20190304155110824"</f>
        <v>20190304155110824</v>
      </c>
      <c r="B2722" t="str">
        <f>"1551685870818846"</f>
        <v>1551685870818846</v>
      </c>
      <c r="C2722" t="s">
        <v>40</v>
      </c>
      <c r="D2722">
        <v>4.360042</v>
      </c>
      <c r="E2722">
        <v>0.4872821</v>
      </c>
      <c r="F2722" t="s">
        <v>62</v>
      </c>
      <c r="G2722">
        <v>-492.17250000000001</v>
      </c>
      <c r="H2722" s="1">
        <v>1.808786E-6</v>
      </c>
      <c r="I2722">
        <v>275.28879999999998</v>
      </c>
      <c r="J2722">
        <v>-472.92779999999999</v>
      </c>
      <c r="K2722">
        <v>1.114085</v>
      </c>
      <c r="L2722">
        <v>283.89850000000001</v>
      </c>
      <c r="M2722">
        <v>-0.97943060000000004</v>
      </c>
      <c r="N2722">
        <v>-1.3990870000000001E-2</v>
      </c>
      <c r="O2722">
        <v>-0.2012967</v>
      </c>
      <c r="P2722">
        <v>-0.90868720000000003</v>
      </c>
      <c r="Q2722">
        <v>0.17449809999999999</v>
      </c>
      <c r="R2722">
        <v>-0.3792605</v>
      </c>
      <c r="S2722">
        <v>-2.81134</v>
      </c>
      <c r="T2722">
        <v>-0.16074469999999999</v>
      </c>
      <c r="U2722">
        <v>-1.2500610000000001</v>
      </c>
      <c r="V2722">
        <v>-0.19010379999999999</v>
      </c>
      <c r="W2722">
        <v>0.186443</v>
      </c>
      <c r="X2722">
        <v>0.96389809999999998</v>
      </c>
      <c r="Y2722">
        <v>-0.21380650000000001</v>
      </c>
      <c r="Z2722">
        <v>6.8005500000000005E-4</v>
      </c>
      <c r="AA2722">
        <v>0.97687579999999996</v>
      </c>
      <c r="AB2722">
        <v>24</v>
      </c>
      <c r="AC2722">
        <v>-19.244700000000002</v>
      </c>
      <c r="AD2722">
        <v>-1.1140831912139999</v>
      </c>
      <c r="AE2722">
        <v>-8.6097000000000303</v>
      </c>
      <c r="AF2722">
        <v>-4.5464588103589501</v>
      </c>
      <c r="AG2722">
        <v>-1.1140831912139999</v>
      </c>
      <c r="AH2722">
        <v>20.5266441680307</v>
      </c>
      <c r="AI2722">
        <v>93.033308093653602</v>
      </c>
      <c r="AJ2722">
        <v>102.488855519157</v>
      </c>
      <c r="AK2722">
        <v>21.0536122760961</v>
      </c>
      <c r="AL2722">
        <v>79.254725891515704</v>
      </c>
      <c r="AM2722">
        <v>101.15691326822299</v>
      </c>
      <c r="AN2722">
        <v>0.99999999710352505</v>
      </c>
    </row>
    <row r="2723" spans="1:40" x14ac:dyDescent="0.25">
      <c r="A2723" t="str">
        <f>"20190304155110847"</f>
        <v>20190304155110847</v>
      </c>
      <c r="B2723" t="str">
        <f>"1551685870839352"</f>
        <v>1551685870839352</v>
      </c>
      <c r="C2723" t="s">
        <v>40</v>
      </c>
      <c r="D2723">
        <v>4.3293839999999904</v>
      </c>
      <c r="E2723">
        <v>0.48742940000000001</v>
      </c>
      <c r="F2723" t="s">
        <v>62</v>
      </c>
      <c r="G2723">
        <v>-492.26850000000002</v>
      </c>
      <c r="H2723" s="1">
        <v>1.768235E-6</v>
      </c>
      <c r="I2723">
        <v>275.19819999999999</v>
      </c>
      <c r="J2723">
        <v>-473.16559999999998</v>
      </c>
      <c r="K2723">
        <v>1.1141369999999999</v>
      </c>
      <c r="L2723">
        <v>283.84370000000001</v>
      </c>
      <c r="M2723">
        <v>-0.97836179999999995</v>
      </c>
      <c r="N2723">
        <v>-1.399509E-2</v>
      </c>
      <c r="O2723">
        <v>-0.2064281</v>
      </c>
      <c r="P2723">
        <v>-0.90683020000000003</v>
      </c>
      <c r="Q2723">
        <v>0.17429</v>
      </c>
      <c r="R2723">
        <v>-0.3837738</v>
      </c>
      <c r="S2723">
        <v>-2.8057249999999998</v>
      </c>
      <c r="T2723">
        <v>-0.1616186</v>
      </c>
      <c r="U2723">
        <v>-1.262146</v>
      </c>
      <c r="V2723">
        <v>-0.18985740000000001</v>
      </c>
      <c r="W2723">
        <v>0.18621760000000001</v>
      </c>
      <c r="X2723">
        <v>0.96399020000000002</v>
      </c>
      <c r="Y2723">
        <v>-0.21292030000000001</v>
      </c>
      <c r="Z2723">
        <v>9.4125090000000001E-4</v>
      </c>
      <c r="AA2723">
        <v>0.97706910000000002</v>
      </c>
      <c r="AB2723">
        <v>24</v>
      </c>
      <c r="AC2723">
        <v>-19.102900000000002</v>
      </c>
      <c r="AD2723">
        <v>-1.114135231765</v>
      </c>
      <c r="AE2723">
        <v>-8.6455000000000197</v>
      </c>
      <c r="AF2723">
        <v>-4.5027806935642998</v>
      </c>
      <c r="AG2723">
        <v>-1.114135231765</v>
      </c>
      <c r="AH2723">
        <v>20.418577428325001</v>
      </c>
      <c r="AI2723">
        <v>93.050094218537893</v>
      </c>
      <c r="AJ2723">
        <v>102.436037149581</v>
      </c>
      <c r="AK2723">
        <v>20.938830805121299</v>
      </c>
      <c r="AL2723">
        <v>79.267870226165201</v>
      </c>
      <c r="AM2723">
        <v>101.141776564788</v>
      </c>
      <c r="AN2723">
        <v>0.99999996629027899</v>
      </c>
    </row>
    <row r="2724" spans="1:40" x14ac:dyDescent="0.25">
      <c r="A2724" t="str">
        <f>"20190304155110868"</f>
        <v>20190304155110868</v>
      </c>
      <c r="B2724" t="str">
        <f>"1551685870858862"</f>
        <v>1551685870858862</v>
      </c>
      <c r="C2724" t="s">
        <v>40</v>
      </c>
      <c r="D2724">
        <v>4.307677</v>
      </c>
      <c r="E2724">
        <v>0.48758400000000002</v>
      </c>
      <c r="F2724" t="s">
        <v>62</v>
      </c>
      <c r="G2724">
        <v>-492.43130000000002</v>
      </c>
      <c r="H2724" s="1">
        <v>1.708805E-6</v>
      </c>
      <c r="I2724">
        <v>275.07089999999999</v>
      </c>
      <c r="J2724">
        <v>-473.39499999999998</v>
      </c>
      <c r="K2724">
        <v>1.1141920000000001</v>
      </c>
      <c r="L2724">
        <v>283.78930000000003</v>
      </c>
      <c r="M2724">
        <v>-0.97728289999999995</v>
      </c>
      <c r="N2724">
        <v>-1.399914E-2</v>
      </c>
      <c r="O2724">
        <v>-0.21147659999999999</v>
      </c>
      <c r="P2724">
        <v>-0.90498909999999999</v>
      </c>
      <c r="Q2724">
        <v>0.17396429999999999</v>
      </c>
      <c r="R2724">
        <v>-0.38824199999999998</v>
      </c>
      <c r="S2724">
        <v>-2.7998050000000001</v>
      </c>
      <c r="T2724">
        <v>-0.161912</v>
      </c>
      <c r="U2724">
        <v>-1.274902</v>
      </c>
      <c r="V2724">
        <v>-0.1896429</v>
      </c>
      <c r="W2724">
        <v>0.1858747</v>
      </c>
      <c r="X2724">
        <v>0.96409860000000003</v>
      </c>
      <c r="Y2724">
        <v>-0.21234629999999999</v>
      </c>
      <c r="Z2724">
        <v>1.1717940000000001E-3</v>
      </c>
      <c r="AA2724">
        <v>0.9771938</v>
      </c>
      <c r="AB2724">
        <v>24</v>
      </c>
      <c r="AC2724">
        <v>-19.036300000000001</v>
      </c>
      <c r="AD2724">
        <v>-1.1141902911949999</v>
      </c>
      <c r="AE2724">
        <v>-8.7184000000000292</v>
      </c>
      <c r="AF2724">
        <v>-4.4823583029979801</v>
      </c>
      <c r="AG2724">
        <v>-1.1141902911949999</v>
      </c>
      <c r="AH2724">
        <v>20.3918451059821</v>
      </c>
      <c r="AI2724">
        <v>93.054691837953996</v>
      </c>
      <c r="AJ2724">
        <v>102.397106394603</v>
      </c>
      <c r="AK2724">
        <v>20.9083787699529</v>
      </c>
      <c r="AL2724">
        <v>79.287866119486097</v>
      </c>
      <c r="AM2724">
        <v>101.128282941888</v>
      </c>
      <c r="AN2724">
        <v>0.99999997207122904</v>
      </c>
    </row>
    <row r="2725" spans="1:40" x14ac:dyDescent="0.25">
      <c r="A2725" t="str">
        <f>"20190304155110892"</f>
        <v>20190304155110892</v>
      </c>
      <c r="B2725" t="str">
        <f>"1551685870889118"</f>
        <v>1551685870889118</v>
      </c>
      <c r="C2725" t="s">
        <v>40</v>
      </c>
      <c r="D2725">
        <v>4.2869719999999996</v>
      </c>
      <c r="E2725">
        <v>0.48782759999999997</v>
      </c>
      <c r="F2725" t="s">
        <v>62</v>
      </c>
      <c r="G2725">
        <v>-492.54809999999998</v>
      </c>
      <c r="H2725" s="1">
        <v>1.6601129999999999E-6</v>
      </c>
      <c r="I2725">
        <v>274.96249999999998</v>
      </c>
      <c r="J2725">
        <v>-473.63229999999999</v>
      </c>
      <c r="K2725">
        <v>1.1142459999999901</v>
      </c>
      <c r="L2725">
        <v>283.73160000000001</v>
      </c>
      <c r="M2725">
        <v>-0.97611619999999999</v>
      </c>
      <c r="N2725">
        <v>-1.4003699999999999E-2</v>
      </c>
      <c r="O2725">
        <v>-0.21679809999999999</v>
      </c>
      <c r="P2725">
        <v>-0.90292110000000003</v>
      </c>
      <c r="Q2725">
        <v>0.1736113</v>
      </c>
      <c r="R2725">
        <v>-0.39318310000000001</v>
      </c>
      <c r="S2725">
        <v>-2.7938540000000001</v>
      </c>
      <c r="T2725">
        <v>-0.16252610000000001</v>
      </c>
      <c r="U2725">
        <v>-1.2875669999999999</v>
      </c>
      <c r="V2725">
        <v>-0.1896661</v>
      </c>
      <c r="W2725">
        <v>0.18550259999999999</v>
      </c>
      <c r="X2725">
        <v>0.96416570000000001</v>
      </c>
      <c r="Y2725">
        <v>-0.2114713</v>
      </c>
      <c r="Z2725">
        <v>1.4361930000000001E-3</v>
      </c>
      <c r="AA2725">
        <v>0.97738309999999995</v>
      </c>
      <c r="AB2725">
        <v>24</v>
      </c>
      <c r="AC2725">
        <v>-18.915799999999901</v>
      </c>
      <c r="AD2725">
        <v>-1.1142443398869999</v>
      </c>
      <c r="AE2725">
        <v>-8.7691000000000301</v>
      </c>
      <c r="AF2725">
        <v>-4.4464881126240501</v>
      </c>
      <c r="AG2725">
        <v>-1.1142443398869999</v>
      </c>
      <c r="AH2725">
        <v>20.309132536282299</v>
      </c>
      <c r="AI2725">
        <v>93.067815556059202</v>
      </c>
      <c r="AJ2725">
        <v>102.349493793934</v>
      </c>
      <c r="AK2725">
        <v>20.820030292027901</v>
      </c>
      <c r="AL2725">
        <v>79.309563205908603</v>
      </c>
      <c r="AM2725">
        <v>101.128855119492</v>
      </c>
      <c r="AN2725">
        <v>0.99999997057622902</v>
      </c>
    </row>
    <row r="2726" spans="1:40" x14ac:dyDescent="0.25">
      <c r="A2726" t="str">
        <f>"20190304155110914"</f>
        <v>20190304155110914</v>
      </c>
      <c r="B2726" t="str">
        <f>"1551685870909614"</f>
        <v>1551685870909614</v>
      </c>
      <c r="C2726" t="s">
        <v>40</v>
      </c>
      <c r="D2726">
        <v>4.2588549999999996</v>
      </c>
      <c r="E2726">
        <v>0.48799490000000001</v>
      </c>
      <c r="F2726" t="s">
        <v>62</v>
      </c>
      <c r="G2726">
        <v>-492.68810000000002</v>
      </c>
      <c r="H2726" s="1">
        <v>1.6031799999999901E-6</v>
      </c>
      <c r="I2726">
        <v>274.8365</v>
      </c>
      <c r="J2726">
        <v>-473.87139999999999</v>
      </c>
      <c r="K2726">
        <v>1.114293</v>
      </c>
      <c r="L2726">
        <v>283.67189999999999</v>
      </c>
      <c r="M2726">
        <v>-0.97489170000000003</v>
      </c>
      <c r="N2726">
        <v>-1.4008059999999999E-2</v>
      </c>
      <c r="O2726">
        <v>-0.22223879999999999</v>
      </c>
      <c r="P2726">
        <v>-0.90064319999999898</v>
      </c>
      <c r="Q2726">
        <v>0.17335149999999999</v>
      </c>
      <c r="R2726">
        <v>-0.39848610000000001</v>
      </c>
      <c r="S2726">
        <v>-2.7873230000000002</v>
      </c>
      <c r="T2726">
        <v>-0.16298209999999999</v>
      </c>
      <c r="U2726">
        <v>-1.301086</v>
      </c>
      <c r="V2726">
        <v>-0.18996679999999999</v>
      </c>
      <c r="W2726">
        <v>0.18522340000000001</v>
      </c>
      <c r="X2726">
        <v>0.96416020000000002</v>
      </c>
      <c r="Y2726">
        <v>-0.2107946</v>
      </c>
      <c r="Z2726">
        <v>1.695394E-3</v>
      </c>
      <c r="AA2726">
        <v>0.97752890000000003</v>
      </c>
      <c r="AB2726">
        <v>24</v>
      </c>
      <c r="AC2726">
        <v>-18.816700000000001</v>
      </c>
      <c r="AD2726">
        <v>-1.1142913968199999</v>
      </c>
      <c r="AE2726">
        <v>-8.8353999999999893</v>
      </c>
      <c r="AF2726">
        <v>-4.4194933513602104</v>
      </c>
      <c r="AG2726">
        <v>-1.1142913968199999</v>
      </c>
      <c r="AH2726">
        <v>20.251615785580601</v>
      </c>
      <c r="AI2726">
        <v>93.077097047933606</v>
      </c>
      <c r="AJ2726">
        <v>102.31060569703099</v>
      </c>
      <c r="AK2726">
        <v>20.758167277640901</v>
      </c>
      <c r="AL2726">
        <v>79.325842535790102</v>
      </c>
      <c r="AM2726">
        <v>101.146119543019</v>
      </c>
      <c r="AN2726">
        <v>0.99999999213691904</v>
      </c>
    </row>
    <row r="2727" spans="1:40" x14ac:dyDescent="0.25">
      <c r="A2727" t="str">
        <f>"20190304155110935"</f>
        <v>20190304155110935</v>
      </c>
      <c r="B2727" t="str">
        <f>"1551685870929134"</f>
        <v>1551685870929134</v>
      </c>
      <c r="C2727" t="s">
        <v>40</v>
      </c>
      <c r="D2727">
        <v>4.2463519999999999</v>
      </c>
      <c r="E2727">
        <v>0.48816969999999998</v>
      </c>
      <c r="F2727" t="s">
        <v>62</v>
      </c>
      <c r="G2727">
        <v>-492.82150000000001</v>
      </c>
      <c r="H2727" s="1">
        <v>1.544831E-6</v>
      </c>
      <c r="I2727">
        <v>274.70499999999998</v>
      </c>
      <c r="J2727">
        <v>-474.09519999999998</v>
      </c>
      <c r="K2727">
        <v>1.1143270000000001</v>
      </c>
      <c r="L2727">
        <v>283.6148</v>
      </c>
      <c r="M2727">
        <v>-0.9737015</v>
      </c>
      <c r="N2727">
        <v>-1.4011600000000001E-2</v>
      </c>
      <c r="O2727">
        <v>-0.2273964</v>
      </c>
      <c r="P2727">
        <v>-0.89822369999999996</v>
      </c>
      <c r="Q2727">
        <v>0.17379020000000001</v>
      </c>
      <c r="R2727">
        <v>-0.40372190000000002</v>
      </c>
      <c r="S2727">
        <v>-2.7803040000000001</v>
      </c>
      <c r="T2727">
        <v>-0.16348599999999999</v>
      </c>
      <c r="U2727">
        <v>-1.3156129999999999</v>
      </c>
      <c r="V2727">
        <v>-0.19051509999999999</v>
      </c>
      <c r="W2727">
        <v>0.18564230000000001</v>
      </c>
      <c r="X2727">
        <v>0.96397140000000003</v>
      </c>
      <c r="Y2727">
        <v>-0.2107501</v>
      </c>
      <c r="Z2727">
        <v>1.925665E-3</v>
      </c>
      <c r="AA2727">
        <v>0.97753800000000002</v>
      </c>
      <c r="AB2727">
        <v>24</v>
      </c>
      <c r="AC2727">
        <v>-18.726299999999998</v>
      </c>
      <c r="AD2727">
        <v>-1.1143254551690001</v>
      </c>
      <c r="AE2727">
        <v>-8.9098000000000095</v>
      </c>
      <c r="AF2727">
        <v>-4.4049075402883799</v>
      </c>
      <c r="AG2727">
        <v>-1.1143254551690001</v>
      </c>
      <c r="AH2727">
        <v>20.2035370508423</v>
      </c>
      <c r="AI2727">
        <v>93.084629528975796</v>
      </c>
      <c r="AJ2727">
        <v>102.299523737539</v>
      </c>
      <c r="AK2727">
        <v>20.708158803314301</v>
      </c>
      <c r="AL2727">
        <v>79.301417421929102</v>
      </c>
      <c r="AM2727">
        <v>101.17961563630701</v>
      </c>
      <c r="AN2727">
        <v>0.99999996344762898</v>
      </c>
    </row>
    <row r="2728" spans="1:40" x14ac:dyDescent="0.25">
      <c r="A2728" t="str">
        <f>"20190304155110958"</f>
        <v>20190304155110958</v>
      </c>
      <c r="B2728" t="str">
        <f>"1551685870949630"</f>
        <v>1551685870949630</v>
      </c>
      <c r="C2728" t="s">
        <v>40</v>
      </c>
      <c r="D2728">
        <v>4.2463050000000004</v>
      </c>
      <c r="E2728">
        <v>0.48834050000000001</v>
      </c>
      <c r="F2728" t="s">
        <v>62</v>
      </c>
      <c r="G2728">
        <v>-493.21629999999999</v>
      </c>
      <c r="H2728" s="1">
        <v>1.4472399999999999E-6</v>
      </c>
      <c r="I2728">
        <v>274.43889999999999</v>
      </c>
      <c r="J2728">
        <v>-474.32769999999999</v>
      </c>
      <c r="K2728">
        <v>1.114363</v>
      </c>
      <c r="L2728">
        <v>283.55399999999997</v>
      </c>
      <c r="M2728">
        <v>-0.97241670000000002</v>
      </c>
      <c r="N2728">
        <v>-1.4015039999999999E-2</v>
      </c>
      <c r="O2728">
        <v>-0.23282929999999999</v>
      </c>
      <c r="P2728">
        <v>-0.89614609999999995</v>
      </c>
      <c r="Q2728">
        <v>0.17335529999999999</v>
      </c>
      <c r="R2728">
        <v>-0.40849780000000002</v>
      </c>
      <c r="S2728">
        <v>-2.7730709999999998</v>
      </c>
      <c r="T2728">
        <v>-0.1616069</v>
      </c>
      <c r="U2728">
        <v>-1.3307500000000001</v>
      </c>
      <c r="V2728">
        <v>-0.19025600000000001</v>
      </c>
      <c r="W2728">
        <v>0.185199</v>
      </c>
      <c r="X2728">
        <v>0.96410790000000002</v>
      </c>
      <c r="Y2728">
        <v>-0.21063019999999999</v>
      </c>
      <c r="Z2728">
        <v>2.0714499999999999E-3</v>
      </c>
      <c r="AA2728">
        <v>0.97756359999999998</v>
      </c>
      <c r="AB2728">
        <v>24</v>
      </c>
      <c r="AC2728">
        <v>-18.8886</v>
      </c>
      <c r="AD2728">
        <v>-1.1143615527599999</v>
      </c>
      <c r="AE2728">
        <v>-9.1151000000000302</v>
      </c>
      <c r="AF2728">
        <v>-4.4537207761715996</v>
      </c>
      <c r="AG2728">
        <v>-1.1143615527599999</v>
      </c>
      <c r="AH2728">
        <v>20.434174898803999</v>
      </c>
      <c r="AI2728">
        <v>93.050024069548002</v>
      </c>
      <c r="AJ2728">
        <v>102.295583765934</v>
      </c>
      <c r="AK2728">
        <v>20.9435654609544</v>
      </c>
      <c r="AL2728">
        <v>79.327265564053604</v>
      </c>
      <c r="AM2728">
        <v>101.16325258569501</v>
      </c>
      <c r="AN2728">
        <v>1.0000000289897</v>
      </c>
    </row>
    <row r="2729" spans="1:40" x14ac:dyDescent="0.25">
      <c r="A2729" t="str">
        <f>"20190304155110979"</f>
        <v>20190304155110979</v>
      </c>
      <c r="B2729" t="str">
        <f>"1551685870969150"</f>
        <v>1551685870969150</v>
      </c>
      <c r="C2729" t="s">
        <v>40</v>
      </c>
      <c r="D2729">
        <v>4.2437459999999998</v>
      </c>
      <c r="E2729">
        <v>0.48850749999999998</v>
      </c>
      <c r="F2729" t="s">
        <v>62</v>
      </c>
      <c r="G2729">
        <v>-493.30540000000002</v>
      </c>
      <c r="H2729" s="1">
        <v>1.4196590000000001E-6</v>
      </c>
      <c r="I2729">
        <v>274.3272</v>
      </c>
      <c r="J2729">
        <v>-474.55709999999999</v>
      </c>
      <c r="K2729">
        <v>1.1143940000000001</v>
      </c>
      <c r="L2729">
        <v>283.49259999999998</v>
      </c>
      <c r="M2729">
        <v>-0.97110050000000003</v>
      </c>
      <c r="N2729">
        <v>-1.401869E-2</v>
      </c>
      <c r="O2729">
        <v>-0.23825940000000001</v>
      </c>
      <c r="P2729">
        <v>-0.89385720000000002</v>
      </c>
      <c r="Q2729">
        <v>0.17260490000000001</v>
      </c>
      <c r="R2729">
        <v>-0.41379569999999999</v>
      </c>
      <c r="S2729">
        <v>-2.7660830000000001</v>
      </c>
      <c r="T2729">
        <v>-0.16242290000000001</v>
      </c>
      <c r="U2729">
        <v>-1.344849</v>
      </c>
      <c r="V2729">
        <v>-0.19055140000000001</v>
      </c>
      <c r="W2729">
        <v>0.18443470000000001</v>
      </c>
      <c r="X2729">
        <v>0.96419600000000005</v>
      </c>
      <c r="Y2729">
        <v>-0.21017269999999999</v>
      </c>
      <c r="Z2729">
        <v>2.339987E-3</v>
      </c>
      <c r="AA2729">
        <v>0.97766149999999996</v>
      </c>
      <c r="AB2729">
        <v>24</v>
      </c>
      <c r="AC2729">
        <v>-18.7483</v>
      </c>
      <c r="AD2729">
        <v>-1.114392580341</v>
      </c>
      <c r="AE2729">
        <v>-9.1653999999999698</v>
      </c>
      <c r="AF2729">
        <v>-4.4213930430521398</v>
      </c>
      <c r="AG2729">
        <v>-1.114392580341</v>
      </c>
      <c r="AH2729">
        <v>20.334242931087701</v>
      </c>
      <c r="AI2729">
        <v>93.065399801992001</v>
      </c>
      <c r="AJ2729">
        <v>102.267209859085</v>
      </c>
      <c r="AK2729">
        <v>20.839194390493098</v>
      </c>
      <c r="AL2729">
        <v>79.371823606913907</v>
      </c>
      <c r="AM2729">
        <v>101.17915303130501</v>
      </c>
      <c r="AN2729">
        <v>0.99999996051102402</v>
      </c>
    </row>
    <row r="2730" spans="1:40" x14ac:dyDescent="0.25">
      <c r="A2730" t="str">
        <f>"20190304155110992"</f>
        <v>20190304155110992</v>
      </c>
      <c r="B2730" t="str">
        <f>"1551685870989647"</f>
        <v>1551685870989647</v>
      </c>
      <c r="C2730" t="s">
        <v>40</v>
      </c>
      <c r="D2730">
        <v>4.1838629999999997</v>
      </c>
      <c r="E2730">
        <v>0.48869879999999999</v>
      </c>
      <c r="F2730" t="s">
        <v>62</v>
      </c>
      <c r="G2730">
        <v>-493.26889999999997</v>
      </c>
      <c r="H2730" s="1">
        <v>1.4132089999999999E-6</v>
      </c>
      <c r="I2730">
        <v>274.2722</v>
      </c>
      <c r="J2730">
        <v>-474.67899999999997</v>
      </c>
      <c r="K2730">
        <v>1.1144130000000001</v>
      </c>
      <c r="L2730">
        <v>283.45940000000002</v>
      </c>
      <c r="M2730">
        <v>-0.97038049999999998</v>
      </c>
      <c r="N2730">
        <v>-1.402078E-2</v>
      </c>
      <c r="O2730">
        <v>-0.24117469999999999</v>
      </c>
      <c r="P2730">
        <v>-0.89246049999999999</v>
      </c>
      <c r="Q2730">
        <v>0.17257159999999999</v>
      </c>
      <c r="R2730">
        <v>-0.41681319999999999</v>
      </c>
      <c r="S2730">
        <v>-2.7586979999999999</v>
      </c>
      <c r="T2730">
        <v>-0.16429569999999999</v>
      </c>
      <c r="U2730">
        <v>-1.359375</v>
      </c>
      <c r="V2730">
        <v>-0.1909217</v>
      </c>
      <c r="W2730">
        <v>0.1843902</v>
      </c>
      <c r="X2730">
        <v>0.96413130000000002</v>
      </c>
      <c r="Y2730">
        <v>-0.21241189999999999</v>
      </c>
      <c r="Z2730">
        <v>2.46606E-3</v>
      </c>
      <c r="AA2730">
        <v>0.97717710000000002</v>
      </c>
      <c r="AB2730">
        <v>24</v>
      </c>
      <c r="AC2730">
        <v>-18.589899999999901</v>
      </c>
      <c r="AD2730">
        <v>-1.1144115867909901</v>
      </c>
      <c r="AE2730">
        <v>-9.1872000000000096</v>
      </c>
      <c r="AF2730">
        <v>-4.4193374127109397</v>
      </c>
      <c r="AG2730">
        <v>-1.1144115867909901</v>
      </c>
      <c r="AH2730">
        <v>20.198647872241398</v>
      </c>
      <c r="AI2730">
        <v>93.0851202720402</v>
      </c>
      <c r="AJ2730">
        <v>102.341478121397</v>
      </c>
      <c r="AK2730">
        <v>20.7064683666473</v>
      </c>
      <c r="AL2730">
        <v>79.374418213185095</v>
      </c>
      <c r="AM2730">
        <v>101.201061461595</v>
      </c>
      <c r="AN2730">
        <v>1.00000000251331</v>
      </c>
    </row>
    <row r="2731" spans="1:40" x14ac:dyDescent="0.25">
      <c r="A2731" t="str">
        <f>"20190304155111004"</f>
        <v>20190304155111004</v>
      </c>
      <c r="B2731" t="str">
        <f>"1551685870999406"</f>
        <v>1551685870999406</v>
      </c>
      <c r="C2731" t="s">
        <v>40</v>
      </c>
      <c r="D2731">
        <v>4.1712850000000001</v>
      </c>
      <c r="E2731">
        <v>0.48880030000000002</v>
      </c>
      <c r="F2731" t="s">
        <v>62</v>
      </c>
      <c r="G2731">
        <v>-493.40980000000002</v>
      </c>
      <c r="H2731" s="1">
        <v>1.381653E-6</v>
      </c>
      <c r="I2731">
        <v>274.16390000000001</v>
      </c>
      <c r="J2731">
        <v>-474.80309999999997</v>
      </c>
      <c r="K2731">
        <v>1.114436</v>
      </c>
      <c r="L2731">
        <v>283.42509999999999</v>
      </c>
      <c r="M2731">
        <v>-0.96963200000000005</v>
      </c>
      <c r="N2731">
        <v>-1.4023040000000001E-2</v>
      </c>
      <c r="O2731">
        <v>-0.2441663</v>
      </c>
      <c r="P2731">
        <v>-0.89117219999999997</v>
      </c>
      <c r="Q2731">
        <v>0.17224039999999999</v>
      </c>
      <c r="R2731">
        <v>-0.41969669999999998</v>
      </c>
      <c r="S2731">
        <v>-2.7547000000000001</v>
      </c>
      <c r="T2731">
        <v>-0.16389429999999999</v>
      </c>
      <c r="U2731">
        <v>-1.367065</v>
      </c>
      <c r="V2731">
        <v>-0.1910569</v>
      </c>
      <c r="W2731">
        <v>0.1840504</v>
      </c>
      <c r="X2731">
        <v>0.96416939999999995</v>
      </c>
      <c r="Y2731">
        <v>-0.2121548</v>
      </c>
      <c r="Z2731">
        <v>2.5793410000000002E-3</v>
      </c>
      <c r="AA2731">
        <v>0.97723269999999995</v>
      </c>
      <c r="AB2731">
        <v>24</v>
      </c>
      <c r="AC2731">
        <v>-18.6067</v>
      </c>
      <c r="AD2731">
        <v>-1.114434618347</v>
      </c>
      <c r="AE2731">
        <v>-9.2611999999999703</v>
      </c>
      <c r="AF2731">
        <v>-4.4245421836736503</v>
      </c>
      <c r="AG2731">
        <v>-1.114434618347</v>
      </c>
      <c r="AH2731">
        <v>20.246710325302001</v>
      </c>
      <c r="AI2731">
        <v>93.0780424400632</v>
      </c>
      <c r="AJ2731">
        <v>102.327134463812</v>
      </c>
      <c r="AK2731">
        <v>20.7544649907043</v>
      </c>
      <c r="AL2731">
        <v>79.394225883067804</v>
      </c>
      <c r="AM2731">
        <v>101.208360945859</v>
      </c>
      <c r="AN2731">
        <v>0.99999996033706395</v>
      </c>
    </row>
    <row r="2732" spans="1:40" x14ac:dyDescent="0.25">
      <c r="A2732" t="str">
        <f>"20190304155111016"</f>
        <v>20190304155111016</v>
      </c>
      <c r="B2732" t="str">
        <f>"1551685871009167"</f>
        <v>1551685871009167</v>
      </c>
      <c r="C2732" t="s">
        <v>40</v>
      </c>
      <c r="D2732">
        <v>4.1586800000000004</v>
      </c>
      <c r="E2732">
        <v>0.48890610000000001</v>
      </c>
      <c r="F2732" t="s">
        <v>62</v>
      </c>
      <c r="G2732">
        <v>-493.41629999999998</v>
      </c>
      <c r="H2732" s="1">
        <v>1.373123E-6</v>
      </c>
      <c r="I2732">
        <v>274.11880000000002</v>
      </c>
      <c r="J2732">
        <v>-474.93209999999999</v>
      </c>
      <c r="K2732">
        <v>1.1144579999999999</v>
      </c>
      <c r="L2732">
        <v>283.38900000000001</v>
      </c>
      <c r="M2732">
        <v>-0.96883649999999999</v>
      </c>
      <c r="N2732">
        <v>-1.4025579999999999E-2</v>
      </c>
      <c r="O2732">
        <v>-0.2473041</v>
      </c>
      <c r="P2732">
        <v>-0.88978829999999998</v>
      </c>
      <c r="Q2732">
        <v>0.17222419999999999</v>
      </c>
      <c r="R2732">
        <v>-0.42262939999999999</v>
      </c>
      <c r="S2732">
        <v>-2.7504879999999998</v>
      </c>
      <c r="T2732">
        <v>-0.164681299999999</v>
      </c>
      <c r="U2732">
        <v>-1.3752139999999999</v>
      </c>
      <c r="V2732">
        <v>-0.19112129999999999</v>
      </c>
      <c r="W2732">
        <v>0.1840241</v>
      </c>
      <c r="X2732">
        <v>0.96416170000000001</v>
      </c>
      <c r="Y2732">
        <v>-0.2119076</v>
      </c>
      <c r="Z2732">
        <v>2.752642E-3</v>
      </c>
      <c r="AA2732">
        <v>0.97728590000000004</v>
      </c>
      <c r="AB2732">
        <v>24</v>
      </c>
      <c r="AC2732">
        <v>-18.484199999999898</v>
      </c>
      <c r="AD2732">
        <v>-1.114456626877</v>
      </c>
      <c r="AE2732">
        <v>-9.2701999999999796</v>
      </c>
      <c r="AF2732">
        <v>-4.3977493694327396</v>
      </c>
      <c r="AG2732">
        <v>-1.114456626877</v>
      </c>
      <c r="AH2732">
        <v>20.144200453562</v>
      </c>
      <c r="AI2732">
        <v>93.093876945566294</v>
      </c>
      <c r="AJ2732">
        <v>102.315213423656</v>
      </c>
      <c r="AK2732">
        <v>20.648753594414</v>
      </c>
      <c r="AL2732">
        <v>79.395759397285502</v>
      </c>
      <c r="AM2732">
        <v>101.212130550136</v>
      </c>
      <c r="AN2732">
        <v>1.0000000022206901</v>
      </c>
    </row>
    <row r="2733" spans="1:40" x14ac:dyDescent="0.25">
      <c r="A2733" t="str">
        <f>"20190304155111037"</f>
        <v>20190304155111037</v>
      </c>
      <c r="B2733" t="str">
        <f>"1551685871029666"</f>
        <v>1551685871029666</v>
      </c>
      <c r="C2733" t="s">
        <v>40</v>
      </c>
      <c r="D2733">
        <v>4.1508529999999997</v>
      </c>
      <c r="E2733">
        <v>0.48901650000000002</v>
      </c>
      <c r="F2733" t="s">
        <v>62</v>
      </c>
      <c r="G2733">
        <v>-493.53949999999998</v>
      </c>
      <c r="H2733" s="1">
        <v>1.3439650000000001E-6</v>
      </c>
      <c r="I2733">
        <v>274.01530000000002</v>
      </c>
      <c r="J2733">
        <v>-475.13650000000001</v>
      </c>
      <c r="K2733">
        <v>1.1145</v>
      </c>
      <c r="L2733">
        <v>283.33080000000001</v>
      </c>
      <c r="M2733">
        <v>-0.96754059999999997</v>
      </c>
      <c r="N2733">
        <v>-1.402979E-2</v>
      </c>
      <c r="O2733">
        <v>-0.2523261</v>
      </c>
      <c r="P2733">
        <v>-0.88750799999999996</v>
      </c>
      <c r="Q2733">
        <v>0.1721615</v>
      </c>
      <c r="R2733">
        <v>-0.42742259999999999</v>
      </c>
      <c r="S2733">
        <v>-2.7463069999999998</v>
      </c>
      <c r="T2733">
        <v>-0.16448499999999999</v>
      </c>
      <c r="U2733">
        <v>-1.3834839999999999</v>
      </c>
      <c r="V2733">
        <v>-0.19133710000000001</v>
      </c>
      <c r="W2733">
        <v>0.183943</v>
      </c>
      <c r="X2733">
        <v>0.96413439999999995</v>
      </c>
      <c r="Y2733">
        <v>-0.2097908</v>
      </c>
      <c r="Z2733">
        <v>3.020979E-3</v>
      </c>
      <c r="AA2733">
        <v>0.97774170000000005</v>
      </c>
      <c r="AB2733">
        <v>24</v>
      </c>
      <c r="AC2733">
        <v>-18.402999999999899</v>
      </c>
      <c r="AD2733">
        <v>-1.1144986560349901</v>
      </c>
      <c r="AE2733">
        <v>-9.3154999999999806</v>
      </c>
      <c r="AF2733">
        <v>-4.3572759497115703</v>
      </c>
      <c r="AG2733">
        <v>-1.1144986560349901</v>
      </c>
      <c r="AH2733">
        <v>20.099495464318601</v>
      </c>
      <c r="AI2733">
        <v>93.101844077666897</v>
      </c>
      <c r="AJ2733">
        <v>102.231617089417</v>
      </c>
      <c r="AK2733">
        <v>20.5965453141153</v>
      </c>
      <c r="AL2733">
        <v>79.400487052256196</v>
      </c>
      <c r="AM2733">
        <v>101.224778953891</v>
      </c>
      <c r="AN2733">
        <v>1.0000000271743801</v>
      </c>
    </row>
    <row r="2734" spans="1:40" x14ac:dyDescent="0.25">
      <c r="A2734" t="str">
        <f>"20190304155111048"</f>
        <v>20190304155111048</v>
      </c>
      <c r="B2734" t="str">
        <f>"1551685871039422"</f>
        <v>1551685871039422</v>
      </c>
      <c r="C2734" t="s">
        <v>40</v>
      </c>
      <c r="D2734">
        <v>4.1638109999999999</v>
      </c>
      <c r="E2734">
        <v>0.51314369999999998</v>
      </c>
      <c r="F2734" t="s">
        <v>62</v>
      </c>
      <c r="G2734">
        <v>-493.7122</v>
      </c>
      <c r="H2734" s="1">
        <v>1.300374E-6</v>
      </c>
      <c r="I2734">
        <v>273.85469999999998</v>
      </c>
      <c r="J2734">
        <v>-475.25709999999998</v>
      </c>
      <c r="K2734">
        <v>1.1145259999999999</v>
      </c>
      <c r="L2734">
        <v>283.29610000000002</v>
      </c>
      <c r="M2734">
        <v>-0.96675599999999995</v>
      </c>
      <c r="N2734">
        <v>-1.4032299999999999E-2</v>
      </c>
      <c r="O2734">
        <v>-0.25531510000000002</v>
      </c>
      <c r="P2734">
        <v>-0.88590419999999903</v>
      </c>
      <c r="Q2734">
        <v>0.1723575</v>
      </c>
      <c r="R2734">
        <v>-0.4306586</v>
      </c>
      <c r="S2734">
        <v>-2.739166</v>
      </c>
      <c r="T2734">
        <v>-0.16434319999999999</v>
      </c>
      <c r="U2734">
        <v>-1.3973390000000001</v>
      </c>
      <c r="V2734">
        <v>-0.19190109999999999</v>
      </c>
      <c r="W2734">
        <v>0.1841216</v>
      </c>
      <c r="X2734">
        <v>0.96398819999999996</v>
      </c>
      <c r="Y2734">
        <v>-0.21172350000000001</v>
      </c>
      <c r="Z2734">
        <v>3.0715920000000002E-3</v>
      </c>
      <c r="AA2734">
        <v>0.97732479999999999</v>
      </c>
      <c r="AB2734">
        <v>24</v>
      </c>
      <c r="AC2734">
        <v>-18.455100000000002</v>
      </c>
      <c r="AD2734">
        <v>-1.1145246996259901</v>
      </c>
      <c r="AE2734">
        <v>-9.4414000000000406</v>
      </c>
      <c r="AF2734">
        <v>-4.4033712461284598</v>
      </c>
      <c r="AG2734">
        <v>-1.1145246996259901</v>
      </c>
      <c r="AH2734">
        <v>20.195729037232201</v>
      </c>
      <c r="AI2734">
        <v>93.086365209647994</v>
      </c>
      <c r="AJ2734">
        <v>102.29997347488499</v>
      </c>
      <c r="AK2734">
        <v>20.7002249983572</v>
      </c>
      <c r="AL2734">
        <v>79.3900761637382</v>
      </c>
      <c r="AM2734">
        <v>101.258685902957</v>
      </c>
      <c r="AN2734">
        <v>1.0000000227535</v>
      </c>
    </row>
    <row r="2735" spans="1:40" x14ac:dyDescent="0.25">
      <c r="A2735" t="str">
        <f>"20190304155111059"</f>
        <v>20190304155111059</v>
      </c>
      <c r="B2735" t="str">
        <f>"1551685871049183"</f>
        <v>1551685871049183</v>
      </c>
      <c r="C2735" t="s">
        <v>40</v>
      </c>
      <c r="D2735">
        <v>4.1433849999999897</v>
      </c>
      <c r="E2735">
        <v>0.51373959999999996</v>
      </c>
      <c r="F2735" t="s">
        <v>62</v>
      </c>
      <c r="G2735">
        <v>-504.78019999999998</v>
      </c>
      <c r="H2735">
        <v>7.9999929999999997E-2</v>
      </c>
      <c r="I2735">
        <v>270.35239999999999</v>
      </c>
      <c r="J2735">
        <v>-475.37959999999998</v>
      </c>
      <c r="K2735">
        <v>1.1145529999999999</v>
      </c>
      <c r="L2735">
        <v>283.26010000000002</v>
      </c>
      <c r="M2735">
        <v>-0.96593830000000003</v>
      </c>
      <c r="N2735">
        <v>-1.403509E-2</v>
      </c>
      <c r="O2735">
        <v>-0.25839220000000002</v>
      </c>
      <c r="P2735">
        <v>-0.88456199999999996</v>
      </c>
      <c r="Q2735">
        <v>0.17218739999999999</v>
      </c>
      <c r="R2735">
        <v>-0.43347629999999998</v>
      </c>
      <c r="S2735">
        <v>-2.8071899999999999</v>
      </c>
      <c r="T2735">
        <v>-9.8367330000000003E-2</v>
      </c>
      <c r="U2735">
        <v>-1.2307429999999999</v>
      </c>
      <c r="V2735">
        <v>-0.19190209999999999</v>
      </c>
      <c r="W2735">
        <v>0.18394160000000001</v>
      </c>
      <c r="X2735">
        <v>0.9640223</v>
      </c>
      <c r="Y2735">
        <v>-0.15115219999999999</v>
      </c>
      <c r="Z2735">
        <v>1.277079E-3</v>
      </c>
      <c r="AA2735">
        <v>0.98850970000000005</v>
      </c>
      <c r="AB2735">
        <v>24</v>
      </c>
      <c r="AC2735">
        <v>-29.400600000000001</v>
      </c>
      <c r="AD2735">
        <v>-1.0345530700000001</v>
      </c>
      <c r="AE2735">
        <v>-12.9077</v>
      </c>
      <c r="AF2735">
        <v>-4.8665830894426998</v>
      </c>
      <c r="AG2735">
        <v>-1.0345530700000001</v>
      </c>
      <c r="AH2735">
        <v>31.704622647936201</v>
      </c>
      <c r="AI2735">
        <v>91.847333550870701</v>
      </c>
      <c r="AJ2735">
        <v>98.7266516274222</v>
      </c>
      <c r="AK2735">
        <v>32.092631993482897</v>
      </c>
      <c r="AL2735">
        <v>79.400567955126306</v>
      </c>
      <c r="AM2735">
        <v>101.25835499462499</v>
      </c>
      <c r="AN2735">
        <v>0.99999996154612902</v>
      </c>
    </row>
    <row r="2736" spans="1:40" x14ac:dyDescent="0.25">
      <c r="A2736" t="str">
        <f>"20190304155111073"</f>
        <v>20190304155111073</v>
      </c>
      <c r="B2736" t="str">
        <f>"1551685871069679"</f>
        <v>1551685871069679</v>
      </c>
      <c r="C2736" t="s">
        <v>40</v>
      </c>
      <c r="D2736">
        <v>4.2243510000000004</v>
      </c>
      <c r="E2736">
        <v>0.51371009999999995</v>
      </c>
      <c r="F2736" t="s">
        <v>42</v>
      </c>
      <c r="G2736">
        <v>-509.57780000000002</v>
      </c>
      <c r="H2736">
        <v>-0.05</v>
      </c>
      <c r="I2736">
        <v>268.1995</v>
      </c>
      <c r="J2736">
        <v>-475.5068</v>
      </c>
      <c r="K2736">
        <v>1.1145799999999999</v>
      </c>
      <c r="L2736">
        <v>283.22230000000002</v>
      </c>
      <c r="M2736">
        <v>-0.96507319999999996</v>
      </c>
      <c r="N2736">
        <v>-1.403799E-2</v>
      </c>
      <c r="O2736">
        <v>-0.26160450000000002</v>
      </c>
      <c r="P2736">
        <v>-0.88293709999999903</v>
      </c>
      <c r="Q2736">
        <v>0.17222570000000001</v>
      </c>
      <c r="R2736">
        <v>-0.43676189999999998</v>
      </c>
      <c r="S2736">
        <v>-2.8047789999999999</v>
      </c>
      <c r="T2736">
        <v>-9.5511079999999998E-2</v>
      </c>
      <c r="U2736">
        <v>-1.2351989999999999</v>
      </c>
      <c r="V2736">
        <v>-0.1922943</v>
      </c>
      <c r="W2736">
        <v>0.18396460000000001</v>
      </c>
      <c r="X2736">
        <v>0.96393980000000001</v>
      </c>
      <c r="Y2736">
        <v>-0.1494944</v>
      </c>
      <c r="Z2736">
        <v>1.1993990000000001E-3</v>
      </c>
      <c r="AA2736">
        <v>0.98876180000000002</v>
      </c>
      <c r="AB2736">
        <v>24</v>
      </c>
      <c r="AC2736">
        <v>-34.070999999999998</v>
      </c>
      <c r="AD2736">
        <v>-1.1645799999999999</v>
      </c>
      <c r="AE2736">
        <v>-15.0228</v>
      </c>
      <c r="AF2736">
        <v>-5.5800661638818099</v>
      </c>
      <c r="AG2736">
        <v>-1.1645799999999999</v>
      </c>
      <c r="AH2736">
        <v>36.7786881769727</v>
      </c>
      <c r="AI2736">
        <v>91.793131156036495</v>
      </c>
      <c r="AJ2736">
        <v>98.627126865337999</v>
      </c>
      <c r="AK2736">
        <v>37.217808761246097</v>
      </c>
      <c r="AL2736">
        <v>79.399227738823598</v>
      </c>
      <c r="AM2736">
        <v>101.28171552466</v>
      </c>
      <c r="AN2736">
        <v>1.0000000049448401</v>
      </c>
    </row>
    <row r="2737" spans="1:40" x14ac:dyDescent="0.25">
      <c r="A2737" t="str">
        <f>"20190304155111086"</f>
        <v>20190304155111086</v>
      </c>
      <c r="B2737" t="str">
        <f>"1551685871079440"</f>
        <v>1551685871079440</v>
      </c>
      <c r="C2737" t="s">
        <v>40</v>
      </c>
      <c r="D2737">
        <v>4.3264269999999998</v>
      </c>
      <c r="E2737">
        <v>0.5152677</v>
      </c>
      <c r="F2737" t="s">
        <v>42</v>
      </c>
      <c r="G2737">
        <v>-509.05930000000001</v>
      </c>
      <c r="H2737">
        <v>-0.05</v>
      </c>
      <c r="I2737">
        <v>268.29599999999999</v>
      </c>
      <c r="J2737">
        <v>-475.64120000000003</v>
      </c>
      <c r="K2737">
        <v>1.1146069999999999</v>
      </c>
      <c r="L2737">
        <v>283.18200000000002</v>
      </c>
      <c r="M2737">
        <v>-0.96413919999999997</v>
      </c>
      <c r="N2737">
        <v>-1.4041130000000001E-2</v>
      </c>
      <c r="O2737">
        <v>-0.26502579999999998</v>
      </c>
      <c r="P2737">
        <v>-0.88119689999999995</v>
      </c>
      <c r="Q2737">
        <v>0.1723452</v>
      </c>
      <c r="R2737">
        <v>-0.44021569999999999</v>
      </c>
      <c r="S2737">
        <v>-2.800446</v>
      </c>
      <c r="T2737">
        <v>-9.7201350000000006E-2</v>
      </c>
      <c r="U2737">
        <v>-1.245819</v>
      </c>
      <c r="V2737">
        <v>-0.1926715</v>
      </c>
      <c r="W2737">
        <v>0.1840687</v>
      </c>
      <c r="X2737">
        <v>0.96384460000000005</v>
      </c>
      <c r="Y2737">
        <v>-0.14968600000000001</v>
      </c>
      <c r="Z2737">
        <v>1.3612470000000001E-3</v>
      </c>
      <c r="AA2737">
        <v>0.98873259999999996</v>
      </c>
      <c r="AB2737">
        <v>24</v>
      </c>
      <c r="AC2737">
        <v>-33.418099999999903</v>
      </c>
      <c r="AD2737">
        <v>-1.1646069999999999</v>
      </c>
      <c r="AE2737">
        <v>-14.885999999999999</v>
      </c>
      <c r="AF2737">
        <v>-5.4904945152739204</v>
      </c>
      <c r="AG2737">
        <v>-1.1646069999999999</v>
      </c>
      <c r="AH2737">
        <v>36.131819392133401</v>
      </c>
      <c r="AI2737">
        <v>91.825190169172302</v>
      </c>
      <c r="AJ2737">
        <v>98.640412517538095</v>
      </c>
      <c r="AK2737">
        <v>36.565150239981897</v>
      </c>
      <c r="AL2737">
        <v>79.393159603874295</v>
      </c>
      <c r="AM2737">
        <v>101.304363966121</v>
      </c>
      <c r="AN2737">
        <v>1.00000000309055</v>
      </c>
    </row>
    <row r="2738" spans="1:40" x14ac:dyDescent="0.25">
      <c r="A2738" t="str">
        <f>"20190304155111103"</f>
        <v>20190304155111103</v>
      </c>
      <c r="B2738" t="str">
        <f>"1551685871098958"</f>
        <v>1551685871098958</v>
      </c>
      <c r="C2738" t="s">
        <v>40</v>
      </c>
      <c r="D2738">
        <v>4.1228210000000001</v>
      </c>
      <c r="E2738">
        <v>0.51586849999999995</v>
      </c>
      <c r="F2738" t="s">
        <v>42</v>
      </c>
      <c r="G2738">
        <v>-509.79939999999999</v>
      </c>
      <c r="H2738">
        <v>-0.05</v>
      </c>
      <c r="I2738">
        <v>267.9889</v>
      </c>
      <c r="J2738">
        <v>-475.8184</v>
      </c>
      <c r="K2738">
        <v>1.1146400000000001</v>
      </c>
      <c r="L2738">
        <v>283.1277</v>
      </c>
      <c r="M2738">
        <v>-0.96287040000000002</v>
      </c>
      <c r="N2738">
        <v>-1.4045409999999999E-2</v>
      </c>
      <c r="O2738">
        <v>-0.26959899999999998</v>
      </c>
      <c r="P2738">
        <v>-0.87882039999999995</v>
      </c>
      <c r="Q2738">
        <v>0.1721087</v>
      </c>
      <c r="R2738">
        <v>-0.44503219999999999</v>
      </c>
      <c r="S2738">
        <v>-2.8008120000000001</v>
      </c>
      <c r="T2738">
        <v>-9.5492240000000006E-2</v>
      </c>
      <c r="U2738">
        <v>-1.2457579999999999</v>
      </c>
      <c r="V2738">
        <v>-0.1933763</v>
      </c>
      <c r="W2738">
        <v>0.1838108</v>
      </c>
      <c r="X2738">
        <v>0.96375259999999996</v>
      </c>
      <c r="Y2738">
        <v>-0.1449299</v>
      </c>
      <c r="Z2738">
        <v>1.4396789999999999E-3</v>
      </c>
      <c r="AA2738">
        <v>0.98944089999999996</v>
      </c>
      <c r="AB2738">
        <v>24</v>
      </c>
      <c r="AC2738">
        <v>-33.980999999999902</v>
      </c>
      <c r="AD2738">
        <v>-1.1646399999999999</v>
      </c>
      <c r="AE2738">
        <v>-15.1388</v>
      </c>
      <c r="AF2738">
        <v>-5.4106890683453397</v>
      </c>
      <c r="AG2738">
        <v>-1.1646399999999999</v>
      </c>
      <c r="AH2738">
        <v>36.768291783328401</v>
      </c>
      <c r="AI2738">
        <v>91.7949263888259</v>
      </c>
      <c r="AJ2738">
        <v>98.371357833260205</v>
      </c>
      <c r="AK2738">
        <v>37.182512330232399</v>
      </c>
      <c r="AL2738">
        <v>79.408191998300495</v>
      </c>
      <c r="AM2738">
        <v>101.345700183275</v>
      </c>
      <c r="AN2738">
        <v>0.99999993880254301</v>
      </c>
    </row>
    <row r="2739" spans="1:40" x14ac:dyDescent="0.25">
      <c r="A2739" t="str">
        <f>"20190304155111120"</f>
        <v>20190304155111120</v>
      </c>
      <c r="B2739" t="str">
        <f>"1551685871109695"</f>
        <v>1551685871109695</v>
      </c>
      <c r="C2739" t="s">
        <v>40</v>
      </c>
      <c r="D2739">
        <v>4.103389</v>
      </c>
      <c r="E2739">
        <v>0.51642579999999905</v>
      </c>
      <c r="F2739" t="s">
        <v>42</v>
      </c>
      <c r="G2739">
        <v>-511.20519999999999</v>
      </c>
      <c r="H2739">
        <v>-0.05</v>
      </c>
      <c r="I2739">
        <v>267.22890000000001</v>
      </c>
      <c r="J2739">
        <v>-475.97629999999998</v>
      </c>
      <c r="K2739">
        <v>1.1146780000000001</v>
      </c>
      <c r="L2739">
        <v>283.07859999999999</v>
      </c>
      <c r="M2739">
        <v>-0.96170560000000005</v>
      </c>
      <c r="N2739">
        <v>-1.404939E-2</v>
      </c>
      <c r="O2739">
        <v>-0.2737252</v>
      </c>
      <c r="P2739">
        <v>-0.87691070000000004</v>
      </c>
      <c r="Q2739">
        <v>0.1719977</v>
      </c>
      <c r="R2739">
        <v>-0.44882620000000001</v>
      </c>
      <c r="S2739">
        <v>-2.7956240000000001</v>
      </c>
      <c r="T2739">
        <v>-9.200883E-2</v>
      </c>
      <c r="U2739">
        <v>-1.2560420000000001</v>
      </c>
      <c r="V2739">
        <v>-0.19341810000000001</v>
      </c>
      <c r="W2739">
        <v>0.18368660000000001</v>
      </c>
      <c r="X2739">
        <v>0.96376790000000001</v>
      </c>
      <c r="Y2739">
        <v>-0.14440359999999999</v>
      </c>
      <c r="Z2739">
        <v>1.2938089999999999E-3</v>
      </c>
      <c r="AA2739">
        <v>0.98951800000000001</v>
      </c>
      <c r="AB2739">
        <v>24</v>
      </c>
      <c r="AC2739">
        <v>-35.228900000000003</v>
      </c>
      <c r="AD2739">
        <v>-1.1646780000000001</v>
      </c>
      <c r="AE2739">
        <v>-15.849699999999901</v>
      </c>
      <c r="AF2739">
        <v>-5.5951728385701998</v>
      </c>
      <c r="AG2739">
        <v>-1.1646780000000001</v>
      </c>
      <c r="AH2739">
        <v>38.187343074717901</v>
      </c>
      <c r="AI2739">
        <v>91.728482304786198</v>
      </c>
      <c r="AJ2739">
        <v>98.3356111283275</v>
      </c>
      <c r="AK2739">
        <v>38.612635303011402</v>
      </c>
      <c r="AL2739">
        <v>79.4154314830799</v>
      </c>
      <c r="AM2739">
        <v>101.347913548481</v>
      </c>
      <c r="AN2739">
        <v>0.999999946748788</v>
      </c>
    </row>
    <row r="2740" spans="1:40" x14ac:dyDescent="0.25">
      <c r="A2740" t="str">
        <f>"20190304155111135"</f>
        <v>20190304155111135</v>
      </c>
      <c r="B2740" t="str">
        <f>"1551685871129214"</f>
        <v>1551685871129214</v>
      </c>
      <c r="C2740" t="s">
        <v>40</v>
      </c>
      <c r="D2740">
        <v>4.131856</v>
      </c>
      <c r="E2740">
        <v>0.51685579999999998</v>
      </c>
      <c r="F2740" t="s">
        <v>42</v>
      </c>
      <c r="G2740">
        <v>-511.78629999999998</v>
      </c>
      <c r="H2740">
        <v>-0.05</v>
      </c>
      <c r="I2740">
        <v>266.86489999999998</v>
      </c>
      <c r="J2740">
        <v>-476.13040000000001</v>
      </c>
      <c r="K2740">
        <v>1.1147129999999901</v>
      </c>
      <c r="L2740">
        <v>283.0299</v>
      </c>
      <c r="M2740">
        <v>-0.960538</v>
      </c>
      <c r="N2740">
        <v>-1.405343E-2</v>
      </c>
      <c r="O2740">
        <v>-0.27779399999999999</v>
      </c>
      <c r="P2740">
        <v>-0.87486260000000005</v>
      </c>
      <c r="Q2740">
        <v>0.17200979999999999</v>
      </c>
      <c r="R2740">
        <v>-0.4528008</v>
      </c>
      <c r="S2740">
        <v>-2.7919309999999999</v>
      </c>
      <c r="T2740">
        <v>-9.0804220000000005E-2</v>
      </c>
      <c r="U2740">
        <v>-1.2640990000000001</v>
      </c>
      <c r="V2740">
        <v>-0.1937285</v>
      </c>
      <c r="W2740">
        <v>0.1836824</v>
      </c>
      <c r="X2740">
        <v>0.96370639999999996</v>
      </c>
      <c r="Y2740">
        <v>-0.14307739999999999</v>
      </c>
      <c r="Z2740">
        <v>1.307737E-3</v>
      </c>
      <c r="AA2740">
        <v>0.9897106</v>
      </c>
      <c r="AB2740">
        <v>24</v>
      </c>
      <c r="AC2740">
        <v>-35.655899999999903</v>
      </c>
      <c r="AD2740">
        <v>-1.1647130000000001</v>
      </c>
      <c r="AE2740">
        <v>-16.164999999999999</v>
      </c>
      <c r="AF2740">
        <v>-5.6176839911805798</v>
      </c>
      <c r="AG2740">
        <v>-1.1647130000000001</v>
      </c>
      <c r="AH2740">
        <v>38.708946530204301</v>
      </c>
      <c r="AI2740">
        <v>91.705595007472795</v>
      </c>
      <c r="AJ2740">
        <v>98.257471362312501</v>
      </c>
      <c r="AK2740">
        <v>39.131796167251899</v>
      </c>
      <c r="AL2740">
        <v>79.415676760104304</v>
      </c>
      <c r="AM2740">
        <v>101.366357635047</v>
      </c>
      <c r="AN2740">
        <v>0.99999999059148403</v>
      </c>
    </row>
    <row r="2741" spans="1:40" x14ac:dyDescent="0.25">
      <c r="A2741" t="str">
        <f>"20190304155111148"</f>
        <v>20190304155111148</v>
      </c>
      <c r="B2741" t="str">
        <f>"1551685871138975"</f>
        <v>1551685871138975</v>
      </c>
      <c r="C2741" t="s">
        <v>40</v>
      </c>
      <c r="D2741">
        <v>4.0640589999999897</v>
      </c>
      <c r="E2741">
        <v>0.51720869999999997</v>
      </c>
      <c r="F2741" t="s">
        <v>42</v>
      </c>
      <c r="G2741">
        <v>-510.74220000000003</v>
      </c>
      <c r="H2741">
        <v>-0.05</v>
      </c>
      <c r="I2741">
        <v>267.21620000000001</v>
      </c>
      <c r="J2741">
        <v>-476.27330000000001</v>
      </c>
      <c r="K2741">
        <v>1.114751</v>
      </c>
      <c r="L2741">
        <v>282.98419999999999</v>
      </c>
      <c r="M2741">
        <v>-0.95942799999999995</v>
      </c>
      <c r="N2741">
        <v>-1.405726E-2</v>
      </c>
      <c r="O2741">
        <v>-0.28160350000000001</v>
      </c>
      <c r="P2741">
        <v>-0.87298399999999998</v>
      </c>
      <c r="Q2741">
        <v>0.1714791</v>
      </c>
      <c r="R2741">
        <v>-0.45661180000000001</v>
      </c>
      <c r="S2741">
        <v>-2.7882690000000001</v>
      </c>
      <c r="T2741">
        <v>-9.3827129999999995E-2</v>
      </c>
      <c r="U2741">
        <v>-1.2739259999999999</v>
      </c>
      <c r="V2741">
        <v>-0.1940886</v>
      </c>
      <c r="W2741">
        <v>0.1831363</v>
      </c>
      <c r="X2741">
        <v>0.96373790000000004</v>
      </c>
      <c r="Y2741">
        <v>-0.14252779999999901</v>
      </c>
      <c r="Z2741">
        <v>1.589172E-3</v>
      </c>
      <c r="AA2741">
        <v>0.98978949999999999</v>
      </c>
      <c r="AB2741">
        <v>24</v>
      </c>
      <c r="AC2741">
        <v>-34.468899999999998</v>
      </c>
      <c r="AD2741">
        <v>-1.1647510000000001</v>
      </c>
      <c r="AE2741">
        <v>-15.767999999999899</v>
      </c>
      <c r="AF2741">
        <v>-5.4171178302134004</v>
      </c>
      <c r="AG2741">
        <v>-1.1647510000000001</v>
      </c>
      <c r="AH2741">
        <v>37.479064476921501</v>
      </c>
      <c r="AI2741">
        <v>91.761734257196096</v>
      </c>
      <c r="AJ2741">
        <v>98.224413257024807</v>
      </c>
      <c r="AK2741">
        <v>37.886436683114702</v>
      </c>
      <c r="AL2741">
        <v>79.447506170663303</v>
      </c>
      <c r="AM2741">
        <v>101.386571354583</v>
      </c>
      <c r="AN2741">
        <v>1.00000001446203</v>
      </c>
    </row>
    <row r="2742" spans="1:40" x14ac:dyDescent="0.25">
      <c r="A2742" t="str">
        <f>"20190304155111162"</f>
        <v>20190304155111162</v>
      </c>
      <c r="B2742" t="str">
        <f>"1551685871159471"</f>
        <v>1551685871159471</v>
      </c>
      <c r="C2742" t="s">
        <v>40</v>
      </c>
      <c r="D2742">
        <v>4.1152639999999998</v>
      </c>
      <c r="E2742">
        <v>0.51825759999999998</v>
      </c>
      <c r="F2742" t="s">
        <v>42</v>
      </c>
      <c r="G2742">
        <v>-510.13510000000002</v>
      </c>
      <c r="H2742">
        <v>-0.05</v>
      </c>
      <c r="I2742">
        <v>267.37520000000001</v>
      </c>
      <c r="J2742">
        <v>-476.40730000000002</v>
      </c>
      <c r="K2742">
        <v>1.1147860000000001</v>
      </c>
      <c r="L2742">
        <v>282.94049999999999</v>
      </c>
      <c r="M2742">
        <v>-0.95835820000000005</v>
      </c>
      <c r="N2742">
        <v>-1.4061199999999999E-2</v>
      </c>
      <c r="O2742">
        <v>-0.28522239999999999</v>
      </c>
      <c r="P2742">
        <v>-0.87121859999999995</v>
      </c>
      <c r="Q2742">
        <v>0.171404799999999</v>
      </c>
      <c r="R2742">
        <v>-0.45999830000000003</v>
      </c>
      <c r="S2742">
        <v>-2.7840880000000001</v>
      </c>
      <c r="T2742">
        <v>-9.5764639999999998E-2</v>
      </c>
      <c r="U2742">
        <v>-1.2833559999999999</v>
      </c>
      <c r="V2742">
        <v>-0.19420299999999999</v>
      </c>
      <c r="W2742">
        <v>0.1830505</v>
      </c>
      <c r="X2742">
        <v>0.96373120000000001</v>
      </c>
      <c r="Y2742">
        <v>-0.14212279999999999</v>
      </c>
      <c r="Z2742">
        <v>1.796506E-3</v>
      </c>
      <c r="AA2742">
        <v>0.98984740000000004</v>
      </c>
      <c r="AB2742">
        <v>24</v>
      </c>
      <c r="AC2742">
        <v>-33.727800000000002</v>
      </c>
      <c r="AD2742">
        <v>-1.1647860000000001</v>
      </c>
      <c r="AE2742">
        <v>-15.565299999999899</v>
      </c>
      <c r="AF2742">
        <v>-5.2925287859030599</v>
      </c>
      <c r="AG2742">
        <v>-1.1647860000000001</v>
      </c>
      <c r="AH2742">
        <v>36.730406203578099</v>
      </c>
      <c r="AI2742">
        <v>91.797786762449704</v>
      </c>
      <c r="AJ2742">
        <v>98.199383224462096</v>
      </c>
      <c r="AK2742">
        <v>37.128026169663997</v>
      </c>
      <c r="AL2742">
        <v>79.452507147204102</v>
      </c>
      <c r="AM2742">
        <v>101.393184507464</v>
      </c>
      <c r="AN2742">
        <v>1.00000005830634</v>
      </c>
    </row>
    <row r="2743" spans="1:40" x14ac:dyDescent="0.25">
      <c r="A2743" t="str">
        <f>"20190304155111175"</f>
        <v>20190304155111175</v>
      </c>
      <c r="B2743" t="str">
        <f>"1551685871169231"</f>
        <v>1551685871169231</v>
      </c>
      <c r="C2743" t="s">
        <v>40</v>
      </c>
      <c r="D2743">
        <v>4.0844740000000002</v>
      </c>
      <c r="E2743">
        <v>0.51875550000000004</v>
      </c>
      <c r="F2743" t="s">
        <v>42</v>
      </c>
      <c r="G2743">
        <v>-511.26310000000001</v>
      </c>
      <c r="H2743">
        <v>-0.05</v>
      </c>
      <c r="I2743">
        <v>266.83139999999997</v>
      </c>
      <c r="J2743">
        <v>-476.53410000000002</v>
      </c>
      <c r="K2743">
        <v>1.1148149999999999</v>
      </c>
      <c r="L2743">
        <v>282.89870000000002</v>
      </c>
      <c r="M2743">
        <v>-0.95732600000000001</v>
      </c>
      <c r="N2743">
        <v>-1.406486E-2</v>
      </c>
      <c r="O2743">
        <v>-0.28866839999999999</v>
      </c>
      <c r="P2743">
        <v>-0.86931599999999998</v>
      </c>
      <c r="Q2743">
        <v>0.17164509999999999</v>
      </c>
      <c r="R2743">
        <v>-0.4634954</v>
      </c>
      <c r="S2743">
        <v>-2.7827760000000001</v>
      </c>
      <c r="T2743">
        <v>-9.2992900000000003E-2</v>
      </c>
      <c r="U2743">
        <v>-1.2861020000000001</v>
      </c>
      <c r="V2743">
        <v>-0.19463759999999999</v>
      </c>
      <c r="W2743">
        <v>0.1832751</v>
      </c>
      <c r="X2743">
        <v>0.96360080000000004</v>
      </c>
      <c r="Y2743">
        <v>-0.139546799999999</v>
      </c>
      <c r="Z2743">
        <v>1.7143200000000001E-3</v>
      </c>
      <c r="AA2743">
        <v>0.99021400000000004</v>
      </c>
      <c r="AB2743">
        <v>24</v>
      </c>
      <c r="AC2743">
        <v>-34.7289999999999</v>
      </c>
      <c r="AD2743">
        <v>-1.1648149999999999</v>
      </c>
      <c r="AE2743">
        <v>-16.067299999999999</v>
      </c>
      <c r="AF2743">
        <v>-5.3520489233252899</v>
      </c>
      <c r="AG2743">
        <v>-1.1648149999999999</v>
      </c>
      <c r="AH2743">
        <v>37.853762318044801</v>
      </c>
      <c r="AI2743">
        <v>91.745171668199106</v>
      </c>
      <c r="AJ2743">
        <v>98.047565336481398</v>
      </c>
      <c r="AK2743">
        <v>38.247987441078799</v>
      </c>
      <c r="AL2743">
        <v>79.439416759956103</v>
      </c>
      <c r="AM2743">
        <v>101.419516496056</v>
      </c>
      <c r="AN2743">
        <v>1.0000000296872</v>
      </c>
    </row>
    <row r="2744" spans="1:40" x14ac:dyDescent="0.25">
      <c r="A2744" t="str">
        <f>"20190304155111193"</f>
        <v>20190304155111193</v>
      </c>
      <c r="B2744" t="str">
        <f>"1551685871189727"</f>
        <v>1551685871189727</v>
      </c>
      <c r="C2744" t="s">
        <v>40</v>
      </c>
      <c r="D2744">
        <v>3.9765890000000002</v>
      </c>
      <c r="E2744">
        <v>0.51991960000000004</v>
      </c>
      <c r="F2744" t="s">
        <v>42</v>
      </c>
      <c r="G2744">
        <v>-512.19579999999996</v>
      </c>
      <c r="H2744">
        <v>-0.05</v>
      </c>
      <c r="I2744">
        <v>266.29649999999998</v>
      </c>
      <c r="J2744">
        <v>-476.71910000000003</v>
      </c>
      <c r="K2744">
        <v>1.114859</v>
      </c>
      <c r="L2744">
        <v>282.83670000000001</v>
      </c>
      <c r="M2744">
        <v>-0.95577909999999999</v>
      </c>
      <c r="N2744">
        <v>-1.407007E-2</v>
      </c>
      <c r="O2744">
        <v>-0.29374909999999999</v>
      </c>
      <c r="P2744">
        <v>-0.8665775</v>
      </c>
      <c r="Q2744">
        <v>0.17220170000000001</v>
      </c>
      <c r="R2744">
        <v>-0.46839140000000001</v>
      </c>
      <c r="S2744">
        <v>-2.779083</v>
      </c>
      <c r="T2744">
        <v>-9.0772749999999999E-2</v>
      </c>
      <c r="U2744">
        <v>-1.293793</v>
      </c>
      <c r="V2744">
        <v>-0.1950115</v>
      </c>
      <c r="W2744">
        <v>0.1838118</v>
      </c>
      <c r="X2744">
        <v>0.96342289999999997</v>
      </c>
      <c r="Y2744">
        <v>-0.13704479999999999</v>
      </c>
      <c r="Z2744">
        <v>1.6890220000000001E-3</v>
      </c>
      <c r="AA2744">
        <v>0.99056339999999998</v>
      </c>
      <c r="AB2744">
        <v>24</v>
      </c>
      <c r="AC2744">
        <v>-35.476699999999902</v>
      </c>
      <c r="AD2744">
        <v>-1.1648590000000001</v>
      </c>
      <c r="AE2744">
        <v>-16.540199999999999</v>
      </c>
      <c r="AF2744">
        <v>-5.3832941657907201</v>
      </c>
      <c r="AG2744">
        <v>-1.1648590000000001</v>
      </c>
      <c r="AH2744">
        <v>38.736086671638603</v>
      </c>
      <c r="AI2744">
        <v>91.706074306881405</v>
      </c>
      <c r="AJ2744">
        <v>97.911925472635005</v>
      </c>
      <c r="AK2744">
        <v>39.125709746891701</v>
      </c>
      <c r="AL2744">
        <v>79.4081340821689</v>
      </c>
      <c r="AM2744">
        <v>101.442932378452</v>
      </c>
      <c r="AN2744">
        <v>0.99999997359794901</v>
      </c>
    </row>
    <row r="2745" spans="1:40" x14ac:dyDescent="0.25">
      <c r="A2745" t="str">
        <f>"20190304155111206"</f>
        <v>20190304155111206</v>
      </c>
      <c r="B2745" t="str">
        <f>"1551685871199487"</f>
        <v>1551685871199487</v>
      </c>
      <c r="C2745" t="s">
        <v>40</v>
      </c>
      <c r="D2745">
        <v>4.1182369999999997</v>
      </c>
      <c r="E2745">
        <v>0.51976560000000005</v>
      </c>
      <c r="F2745" t="s">
        <v>75</v>
      </c>
      <c r="G2745">
        <v>-512.82510000000002</v>
      </c>
      <c r="H2745">
        <v>-3.336418E-2</v>
      </c>
      <c r="I2745">
        <v>265.92059999999998</v>
      </c>
      <c r="J2745">
        <v>-476.8501</v>
      </c>
      <c r="K2745">
        <v>1.114887</v>
      </c>
      <c r="L2745">
        <v>282.79219999999998</v>
      </c>
      <c r="M2745">
        <v>-0.95465540000000004</v>
      </c>
      <c r="N2745">
        <v>-1.4073530000000001E-2</v>
      </c>
      <c r="O2745">
        <v>-0.2973807</v>
      </c>
      <c r="P2745">
        <v>-0.86470440000000004</v>
      </c>
      <c r="Q2745">
        <v>0.1722571</v>
      </c>
      <c r="R2745">
        <v>-0.47181990000000001</v>
      </c>
      <c r="S2745">
        <v>-2.776367</v>
      </c>
      <c r="T2745">
        <v>-8.8285920000000004E-2</v>
      </c>
      <c r="U2745">
        <v>-1.300751</v>
      </c>
      <c r="V2745">
        <v>-0.1951813</v>
      </c>
      <c r="W2745">
        <v>0.1838544</v>
      </c>
      <c r="X2745">
        <v>0.96338040000000003</v>
      </c>
      <c r="Y2745">
        <v>-0.13568859999999999</v>
      </c>
      <c r="Z2745">
        <v>1.586833E-3</v>
      </c>
      <c r="AA2745">
        <v>0.99075029999999997</v>
      </c>
      <c r="AB2745">
        <v>24</v>
      </c>
      <c r="AC2745">
        <v>-35.975000000000001</v>
      </c>
      <c r="AD2745">
        <v>-1.1482511799999999</v>
      </c>
      <c r="AE2745">
        <v>-16.871600000000001</v>
      </c>
      <c r="AF2745">
        <v>-5.4043152056614101</v>
      </c>
      <c r="AG2745">
        <v>-1.1482511799999999</v>
      </c>
      <c r="AH2745">
        <v>39.332063595030597</v>
      </c>
      <c r="AI2745">
        <v>91.656648465673499</v>
      </c>
      <c r="AJ2745">
        <v>97.823581371437399</v>
      </c>
      <c r="AK2745">
        <v>39.718211569229098</v>
      </c>
      <c r="AL2745">
        <v>79.405651114255704</v>
      </c>
      <c r="AM2745">
        <v>101.453124661099</v>
      </c>
      <c r="AN2745">
        <v>0.99999998768660503</v>
      </c>
    </row>
    <row r="2746" spans="1:40" x14ac:dyDescent="0.25">
      <c r="A2746" t="str">
        <f>"20190304155111219"</f>
        <v>20190304155111219</v>
      </c>
      <c r="B2746" t="str">
        <f>"1551685871209246"</f>
        <v>1551685871209246</v>
      </c>
      <c r="C2746" t="s">
        <v>40</v>
      </c>
      <c r="D2746">
        <v>4.1232519999999999</v>
      </c>
      <c r="E2746">
        <v>0.51976560000000005</v>
      </c>
      <c r="F2746" t="s">
        <v>75</v>
      </c>
      <c r="G2746">
        <v>-512.82510000000002</v>
      </c>
      <c r="H2746">
        <v>-2.8133330000000002E-2</v>
      </c>
      <c r="I2746">
        <v>265.74419999999998</v>
      </c>
      <c r="J2746">
        <v>-476.97329999999999</v>
      </c>
      <c r="K2746">
        <v>1.1149129999999901</v>
      </c>
      <c r="L2746">
        <v>282.74959999999999</v>
      </c>
      <c r="M2746">
        <v>-0.95357259999999999</v>
      </c>
      <c r="N2746">
        <v>-1.4076979999999999E-2</v>
      </c>
      <c r="O2746">
        <v>-0.30083399999999999</v>
      </c>
      <c r="P2746">
        <v>-0.86304820000000004</v>
      </c>
      <c r="Q2746">
        <v>0.17192499999999999</v>
      </c>
      <c r="R2746">
        <v>-0.47496270000000002</v>
      </c>
      <c r="S2746">
        <v>-2.770508</v>
      </c>
      <c r="T2746">
        <v>-8.8019970000000003E-2</v>
      </c>
      <c r="U2746">
        <v>-1.312897</v>
      </c>
      <c r="V2746">
        <v>-0.1951879</v>
      </c>
      <c r="W2746">
        <v>0.1835146</v>
      </c>
      <c r="X2746">
        <v>0.96344390000000002</v>
      </c>
      <c r="Y2746">
        <v>-0.1364602</v>
      </c>
      <c r="Z2746">
        <v>1.6034160000000001E-3</v>
      </c>
      <c r="AA2746">
        <v>0.99064430000000003</v>
      </c>
      <c r="AB2746">
        <v>24</v>
      </c>
      <c r="AC2746">
        <v>-35.851799999999997</v>
      </c>
      <c r="AD2746">
        <v>-1.14304632999999</v>
      </c>
      <c r="AE2746">
        <v>-17.005400000000002</v>
      </c>
      <c r="AF2746">
        <v>-5.4264784192777</v>
      </c>
      <c r="AG2746">
        <v>-1.14304632999999</v>
      </c>
      <c r="AH2746">
        <v>39.274402140540801</v>
      </c>
      <c r="AI2746">
        <v>91.651392193205595</v>
      </c>
      <c r="AJ2746">
        <v>97.866654874930902</v>
      </c>
      <c r="AK2746">
        <v>39.663987273650697</v>
      </c>
      <c r="AL2746">
        <v>79.425457739350307</v>
      </c>
      <c r="AM2746">
        <v>101.452766765454</v>
      </c>
      <c r="AN2746">
        <v>1.0000000365833801</v>
      </c>
    </row>
    <row r="2747" spans="1:40" x14ac:dyDescent="0.25">
      <c r="A2747" t="str">
        <f>"20190304155111232"</f>
        <v>20190304155111232</v>
      </c>
      <c r="B2747" t="str">
        <f>"1551685871229743"</f>
        <v>1551685871229743</v>
      </c>
      <c r="C2747" t="s">
        <v>40</v>
      </c>
      <c r="D2747">
        <v>4.0261610000000001</v>
      </c>
      <c r="E2747">
        <v>0.48242220000000002</v>
      </c>
      <c r="F2747" t="s">
        <v>75</v>
      </c>
      <c r="G2747">
        <v>-512.82510000000002</v>
      </c>
      <c r="H2747">
        <v>-4.0041269999999997E-2</v>
      </c>
      <c r="I2747">
        <v>265.59879999999998</v>
      </c>
      <c r="J2747">
        <v>-477.11009999999999</v>
      </c>
      <c r="K2747">
        <v>1.1149370000000001</v>
      </c>
      <c r="L2747">
        <v>282.70190000000002</v>
      </c>
      <c r="M2747">
        <v>-0.95234730000000001</v>
      </c>
      <c r="N2747">
        <v>-1.4080799999999999E-2</v>
      </c>
      <c r="O2747">
        <v>-0.3046914</v>
      </c>
      <c r="P2747">
        <v>-0.86089319999999903</v>
      </c>
      <c r="Q2747">
        <v>0.17192689999999999</v>
      </c>
      <c r="R2747">
        <v>-0.4788577</v>
      </c>
      <c r="S2747">
        <v>-2.765717</v>
      </c>
      <c r="T2747">
        <v>-8.909011E-2</v>
      </c>
      <c r="U2747">
        <v>-1.323059</v>
      </c>
      <c r="V2747">
        <v>-0.19565469999999999</v>
      </c>
      <c r="W2747">
        <v>0.183501</v>
      </c>
      <c r="X2747">
        <v>0.96335170000000003</v>
      </c>
      <c r="Y2747">
        <v>-0.13608110000000001</v>
      </c>
      <c r="Z2747">
        <v>1.753344E-3</v>
      </c>
      <c r="AA2747">
        <v>0.99069609999999997</v>
      </c>
      <c r="AB2747">
        <v>24</v>
      </c>
      <c r="AC2747">
        <v>-35.715000000000003</v>
      </c>
      <c r="AD2747">
        <v>-1.15497827</v>
      </c>
      <c r="AE2747">
        <v>-17.103100000000001</v>
      </c>
      <c r="AF2747">
        <v>-5.4019769122240104</v>
      </c>
      <c r="AG2747">
        <v>-1.15497827</v>
      </c>
      <c r="AH2747">
        <v>39.194787294363003</v>
      </c>
      <c r="AI2747">
        <v>91.672086351741399</v>
      </c>
      <c r="AJ2747">
        <v>97.847287264374302</v>
      </c>
      <c r="AK2747">
        <v>39.582151033195899</v>
      </c>
      <c r="AL2747">
        <v>79.426249371495302</v>
      </c>
      <c r="AM2747">
        <v>101.480499744314</v>
      </c>
      <c r="AN2747">
        <v>0.99999993826298805</v>
      </c>
    </row>
    <row r="2748" spans="1:40" x14ac:dyDescent="0.25">
      <c r="A2748" t="str">
        <f>"20190304155111244"</f>
        <v>20190304155111244</v>
      </c>
      <c r="B2748" t="str">
        <f>"1551685871239503"</f>
        <v>1551685871239503</v>
      </c>
      <c r="C2748" t="s">
        <v>40</v>
      </c>
      <c r="D2748">
        <v>4.0491929999999998</v>
      </c>
      <c r="E2748">
        <v>0.4795702</v>
      </c>
      <c r="F2748" t="s">
        <v>41</v>
      </c>
      <c r="G2748">
        <v>-502.38670000000002</v>
      </c>
      <c r="H2748">
        <v>7.9986139999999997E-2</v>
      </c>
      <c r="I2748">
        <v>267.2876</v>
      </c>
      <c r="J2748">
        <v>-477.23329999999999</v>
      </c>
      <c r="K2748">
        <v>1.1149629999999999</v>
      </c>
      <c r="L2748">
        <v>282.6583</v>
      </c>
      <c r="M2748">
        <v>-0.95121909999999998</v>
      </c>
      <c r="N2748">
        <v>-1.4084309999999999E-2</v>
      </c>
      <c r="O2748">
        <v>-0.30819469999999999</v>
      </c>
      <c r="P2748">
        <v>-0.85897730000000005</v>
      </c>
      <c r="Q2748">
        <v>0.17195199999999999</v>
      </c>
      <c r="R2748">
        <v>-0.4822765</v>
      </c>
      <c r="S2748">
        <v>-2.6181030000000001</v>
      </c>
      <c r="T2748">
        <v>-0.10719819999999999</v>
      </c>
      <c r="U2748">
        <v>-1.5965879999999999</v>
      </c>
      <c r="V2748">
        <v>-0.19595280000000001</v>
      </c>
      <c r="W2748">
        <v>0.1835137</v>
      </c>
      <c r="X2748">
        <v>0.96328879999999995</v>
      </c>
      <c r="Y2748">
        <v>-0.23202130000000001</v>
      </c>
      <c r="Z2748">
        <v>9.4357410000000001E-4</v>
      </c>
      <c r="AA2748">
        <v>0.97271030000000003</v>
      </c>
      <c r="AB2748">
        <v>24</v>
      </c>
      <c r="AC2748">
        <v>-25.153400000000001</v>
      </c>
      <c r="AD2748">
        <v>-1.03497686</v>
      </c>
      <c r="AE2748">
        <v>-15.370699999999999</v>
      </c>
      <c r="AF2748">
        <v>-6.86098213188487</v>
      </c>
      <c r="AG2748">
        <v>-1.03497686</v>
      </c>
      <c r="AH2748">
        <v>28.6311102636197</v>
      </c>
      <c r="AI2748">
        <v>92.013314525818004</v>
      </c>
      <c r="AJ2748">
        <v>103.475893365506</v>
      </c>
      <c r="AK2748">
        <v>29.4598833643708</v>
      </c>
      <c r="AL2748">
        <v>79.425510287097595</v>
      </c>
      <c r="AM2748">
        <v>101.498256755779</v>
      </c>
      <c r="AN2748">
        <v>1.00000004506048</v>
      </c>
    </row>
    <row r="2749" spans="1:40" x14ac:dyDescent="0.25">
      <c r="A2749" t="str">
        <f>"20190304155111257"</f>
        <v>20190304155111257</v>
      </c>
      <c r="B2749" t="str">
        <f>"1551685871249264"</f>
        <v>1551685871249264</v>
      </c>
      <c r="C2749" t="s">
        <v>40</v>
      </c>
      <c r="D2749">
        <v>4.0419450000000001</v>
      </c>
      <c r="E2749">
        <v>0.4782534</v>
      </c>
      <c r="F2749" t="s">
        <v>41</v>
      </c>
      <c r="G2749">
        <v>-501.584</v>
      </c>
      <c r="H2749">
        <v>7.9986070000000006E-2</v>
      </c>
      <c r="I2749">
        <v>267.42540000000002</v>
      </c>
      <c r="J2749">
        <v>-477.35140000000001</v>
      </c>
      <c r="K2749">
        <v>1.114989</v>
      </c>
      <c r="L2749">
        <v>282.61590000000001</v>
      </c>
      <c r="M2749">
        <v>-0.95011310000000004</v>
      </c>
      <c r="N2749">
        <v>-1.408792E-2</v>
      </c>
      <c r="O2749">
        <v>-0.31158760000000002</v>
      </c>
      <c r="P2749">
        <v>-0.85707860000000002</v>
      </c>
      <c r="Q2749">
        <v>0.1719186</v>
      </c>
      <c r="R2749">
        <v>-0.4856548</v>
      </c>
      <c r="S2749">
        <v>-2.6010740000000001</v>
      </c>
      <c r="T2749">
        <v>-0.11055329999999999</v>
      </c>
      <c r="U2749">
        <v>-1.6271359999999999</v>
      </c>
      <c r="V2749">
        <v>-0.19631699999999999</v>
      </c>
      <c r="W2749">
        <v>0.1834673</v>
      </c>
      <c r="X2749">
        <v>0.96322350000000001</v>
      </c>
      <c r="Y2749">
        <v>-0.23961299999999999</v>
      </c>
      <c r="Z2749">
        <v>1.045338E-3</v>
      </c>
      <c r="AA2749">
        <v>0.97086790000000001</v>
      </c>
      <c r="AB2749">
        <v>24</v>
      </c>
      <c r="AC2749">
        <v>-24.232599999999898</v>
      </c>
      <c r="AD2749">
        <v>-1.0350029300000001</v>
      </c>
      <c r="AE2749">
        <v>-15.190499999999901</v>
      </c>
      <c r="AF2749">
        <v>-6.8737956434858596</v>
      </c>
      <c r="AG2749">
        <v>-1.0350029300000001</v>
      </c>
      <c r="AH2749">
        <v>27.723327103990599</v>
      </c>
      <c r="AI2749">
        <v>92.075266548994094</v>
      </c>
      <c r="AJ2749">
        <v>103.92524725686501</v>
      </c>
      <c r="AK2749">
        <v>28.581517862569399</v>
      </c>
      <c r="AL2749">
        <v>79.428214918300199</v>
      </c>
      <c r="AM2749">
        <v>101.519816862498</v>
      </c>
      <c r="AN2749">
        <v>1.0000000628052601</v>
      </c>
    </row>
    <row r="2750" spans="1:40" x14ac:dyDescent="0.25">
      <c r="A2750" t="str">
        <f>"20190304155111268"</f>
        <v>20190304155111268</v>
      </c>
      <c r="B2750" t="str">
        <f>"1551685871259023"</f>
        <v>1551685871259023</v>
      </c>
      <c r="C2750" t="s">
        <v>40</v>
      </c>
      <c r="D2750">
        <v>4.0176369999999997</v>
      </c>
      <c r="E2750">
        <v>0.4769545</v>
      </c>
      <c r="F2750" t="s">
        <v>41</v>
      </c>
      <c r="G2750">
        <v>-501.31139999999999</v>
      </c>
      <c r="H2750">
        <v>7.9986070000000006E-2</v>
      </c>
      <c r="I2750">
        <v>267.38229999999999</v>
      </c>
      <c r="J2750">
        <v>-477.47250000000003</v>
      </c>
      <c r="K2750">
        <v>1.1150119999999999</v>
      </c>
      <c r="L2750">
        <v>282.57209999999998</v>
      </c>
      <c r="M2750">
        <v>-0.94896100000000005</v>
      </c>
      <c r="N2750">
        <v>-1.409155E-2</v>
      </c>
      <c r="O2750">
        <v>-0.31507839999999998</v>
      </c>
      <c r="P2750">
        <v>-0.85517909999999997</v>
      </c>
      <c r="Q2750">
        <v>0.1719215</v>
      </c>
      <c r="R2750">
        <v>-0.48899039999999999</v>
      </c>
      <c r="S2750">
        <v>-2.5896910000000002</v>
      </c>
      <c r="T2750">
        <v>-0.11186740000000001</v>
      </c>
      <c r="U2750">
        <v>-1.646515</v>
      </c>
      <c r="V2750">
        <v>-0.19654099999999999</v>
      </c>
      <c r="W2750">
        <v>0.18345929999999999</v>
      </c>
      <c r="X2750">
        <v>0.96317929999999996</v>
      </c>
      <c r="Y2750">
        <v>-0.2431461</v>
      </c>
      <c r="Z2750">
        <v>1.1225320000000001E-3</v>
      </c>
      <c r="AA2750">
        <v>0.96998910000000005</v>
      </c>
      <c r="AB2750">
        <v>24</v>
      </c>
      <c r="AC2750">
        <v>-23.838899999999899</v>
      </c>
      <c r="AD2750">
        <v>-1.03502593</v>
      </c>
      <c r="AE2750">
        <v>-15.1897999999999</v>
      </c>
      <c r="AF2750">
        <v>-6.8948468500275597</v>
      </c>
      <c r="AG2750">
        <v>-1.03502593</v>
      </c>
      <c r="AH2750">
        <v>27.374185065988801</v>
      </c>
      <c r="AI2750">
        <v>92.099817540075804</v>
      </c>
      <c r="AJ2750">
        <v>104.137257774899</v>
      </c>
      <c r="AK2750">
        <v>28.2481185176661</v>
      </c>
      <c r="AL2750">
        <v>79.428680759281505</v>
      </c>
      <c r="AM2750">
        <v>101.53312419327899</v>
      </c>
      <c r="AN2750">
        <v>1.0000000216929801</v>
      </c>
    </row>
    <row r="2751" spans="1:40" x14ac:dyDescent="0.25">
      <c r="A2751" t="str">
        <f>"20190304155111281"</f>
        <v>20190304155111281</v>
      </c>
      <c r="B2751" t="str">
        <f>"1551685871279519"</f>
        <v>1551685871279519</v>
      </c>
      <c r="C2751" t="s">
        <v>40</v>
      </c>
      <c r="D2751">
        <v>4.0042429999999998</v>
      </c>
      <c r="E2751">
        <v>0.47580899999999998</v>
      </c>
      <c r="F2751" t="s">
        <v>41</v>
      </c>
      <c r="G2751">
        <v>-500.33260000000001</v>
      </c>
      <c r="H2751">
        <v>7.9985890000000004E-2</v>
      </c>
      <c r="I2751">
        <v>267.80619999999999</v>
      </c>
      <c r="J2751">
        <v>-477.59980000000002</v>
      </c>
      <c r="K2751">
        <v>1.1150340000000001</v>
      </c>
      <c r="L2751">
        <v>282.52530000000002</v>
      </c>
      <c r="M2751">
        <v>-0.94772109999999998</v>
      </c>
      <c r="N2751">
        <v>-1.409534E-2</v>
      </c>
      <c r="O2751">
        <v>-0.31878879999999998</v>
      </c>
      <c r="P2751">
        <v>-0.85306309999999996</v>
      </c>
      <c r="Q2751">
        <v>0.17161370000000001</v>
      </c>
      <c r="R2751">
        <v>-0.49278060000000001</v>
      </c>
      <c r="S2751">
        <v>-2.5789789999999999</v>
      </c>
      <c r="T2751">
        <v>-0.1167676</v>
      </c>
      <c r="U2751">
        <v>-1.6658329999999999</v>
      </c>
      <c r="V2751">
        <v>-0.19703609999999999</v>
      </c>
      <c r="W2751">
        <v>0.18313679999999999</v>
      </c>
      <c r="X2751">
        <v>0.96313950000000004</v>
      </c>
      <c r="Y2751">
        <v>-0.24630850000000001</v>
      </c>
      <c r="Z2751">
        <v>1.44819E-3</v>
      </c>
      <c r="AA2751">
        <v>0.96919040000000001</v>
      </c>
      <c r="AB2751">
        <v>24</v>
      </c>
      <c r="AC2751">
        <v>-22.732800000000001</v>
      </c>
      <c r="AD2751">
        <v>-1.03504811</v>
      </c>
      <c r="AE2751">
        <v>-14.719099999999999</v>
      </c>
      <c r="AF2751">
        <v>-6.6935274317598399</v>
      </c>
      <c r="AG2751">
        <v>-1.03504811</v>
      </c>
      <c r="AH2751">
        <v>26.200969972817699</v>
      </c>
      <c r="AI2751">
        <v>92.191922433690095</v>
      </c>
      <c r="AJ2751">
        <v>104.33076331860499</v>
      </c>
      <c r="AK2751">
        <v>27.062251598605599</v>
      </c>
      <c r="AL2751">
        <v>79.447476921881304</v>
      </c>
      <c r="AM2751">
        <v>101.561860511411</v>
      </c>
      <c r="AN2751">
        <v>1.0000000043388499</v>
      </c>
    </row>
    <row r="2752" spans="1:40" x14ac:dyDescent="0.25">
      <c r="A2752" t="str">
        <f>"20190304155111293"</f>
        <v>20190304155111293</v>
      </c>
      <c r="B2752" t="str">
        <f>"1551685871289279"</f>
        <v>1551685871289279</v>
      </c>
      <c r="C2752" t="s">
        <v>40</v>
      </c>
      <c r="D2752">
        <v>4.007517</v>
      </c>
      <c r="E2752">
        <v>0.47566809999999998</v>
      </c>
      <c r="F2752" t="s">
        <v>41</v>
      </c>
      <c r="G2752">
        <v>-499.95780000000002</v>
      </c>
      <c r="H2752">
        <v>1.6894260000000001E-2</v>
      </c>
      <c r="I2752">
        <v>267.86250000000001</v>
      </c>
      <c r="J2752">
        <v>-477.70769999999999</v>
      </c>
      <c r="K2752">
        <v>1.115057</v>
      </c>
      <c r="L2752">
        <v>282.48520000000002</v>
      </c>
      <c r="M2752">
        <v>-0.94665200000000005</v>
      </c>
      <c r="N2752">
        <v>-1.409849E-2</v>
      </c>
      <c r="O2752">
        <v>-0.32194970000000001</v>
      </c>
      <c r="P2752">
        <v>-0.85124140000000004</v>
      </c>
      <c r="Q2752">
        <v>0.17135880000000001</v>
      </c>
      <c r="R2752">
        <v>-0.49600870000000002</v>
      </c>
      <c r="S2752">
        <v>-2.5689389999999999</v>
      </c>
      <c r="T2752">
        <v>-0.1261767</v>
      </c>
      <c r="U2752">
        <v>-1.6847529999999999</v>
      </c>
      <c r="V2752">
        <v>-0.19746259999999999</v>
      </c>
      <c r="W2752">
        <v>0.18286959999999999</v>
      </c>
      <c r="X2752">
        <v>0.96310289999999998</v>
      </c>
      <c r="Y2752">
        <v>-0.24979309999999999</v>
      </c>
      <c r="Z2752">
        <v>2.0519230000000002E-3</v>
      </c>
      <c r="AA2752">
        <v>0.96829710000000002</v>
      </c>
      <c r="AB2752">
        <v>24</v>
      </c>
      <c r="AC2752">
        <v>-22.2501</v>
      </c>
      <c r="AD2752">
        <v>-1.09816274</v>
      </c>
      <c r="AE2752">
        <v>-14.6227</v>
      </c>
      <c r="AF2752">
        <v>-6.6685133449040297</v>
      </c>
      <c r="AG2752">
        <v>-1.09816274</v>
      </c>
      <c r="AH2752">
        <v>25.7296609589261</v>
      </c>
      <c r="AI2752">
        <v>92.365871110298599</v>
      </c>
      <c r="AJ2752">
        <v>104.529990745173</v>
      </c>
      <c r="AK2752">
        <v>26.602452606779998</v>
      </c>
      <c r="AL2752">
        <v>79.463049103347601</v>
      </c>
      <c r="AM2752">
        <v>101.58663945663299</v>
      </c>
      <c r="AN2752">
        <v>0.99999998249566402</v>
      </c>
    </row>
    <row r="2753" spans="1:40" x14ac:dyDescent="0.25">
      <c r="A2753" t="str">
        <f>"20190304155111305"</f>
        <v>20190304155111305</v>
      </c>
      <c r="B2753" t="str">
        <f>"1551685871299039"</f>
        <v>1551685871299039</v>
      </c>
      <c r="C2753" t="s">
        <v>40</v>
      </c>
      <c r="D2753">
        <v>4.0025180000000002</v>
      </c>
      <c r="E2753">
        <v>0.4755393</v>
      </c>
      <c r="F2753" t="s">
        <v>41</v>
      </c>
      <c r="G2753">
        <v>-499.88310000000001</v>
      </c>
      <c r="H2753" s="1">
        <v>-5.436969E-6</v>
      </c>
      <c r="I2753">
        <v>267.81200000000001</v>
      </c>
      <c r="J2753">
        <v>-477.83280000000002</v>
      </c>
      <c r="K2753">
        <v>1.115078</v>
      </c>
      <c r="L2753">
        <v>282.43830000000003</v>
      </c>
      <c r="M2753">
        <v>-0.94539090000000003</v>
      </c>
      <c r="N2753">
        <v>-1.4102079999999999E-2</v>
      </c>
      <c r="O2753">
        <v>-0.32563340000000002</v>
      </c>
      <c r="P2753">
        <v>-0.84931290000000004</v>
      </c>
      <c r="Q2753">
        <v>0.17117199999999999</v>
      </c>
      <c r="R2753">
        <v>-0.49936710000000001</v>
      </c>
      <c r="S2753">
        <v>-2.5622859999999998</v>
      </c>
      <c r="T2753">
        <v>-0.12884119999999999</v>
      </c>
      <c r="U2753">
        <v>-1.69543499999999</v>
      </c>
      <c r="V2753">
        <v>-0.1975131</v>
      </c>
      <c r="W2753">
        <v>0.182675</v>
      </c>
      <c r="X2753">
        <v>0.96312949999999997</v>
      </c>
      <c r="Y2753">
        <v>-0.24998570000000001</v>
      </c>
      <c r="Z2753">
        <v>2.3303629999999998E-3</v>
      </c>
      <c r="AA2753">
        <v>0.96824670000000002</v>
      </c>
      <c r="AB2753">
        <v>24</v>
      </c>
      <c r="AC2753">
        <v>-22.0503</v>
      </c>
      <c r="AD2753">
        <v>-1.1150834369689999</v>
      </c>
      <c r="AE2753">
        <v>-14.626300000000001</v>
      </c>
      <c r="AF2753">
        <v>-6.6361327034959903</v>
      </c>
      <c r="AG2753">
        <v>-1.1150834369689999</v>
      </c>
      <c r="AH2753">
        <v>25.566108647572801</v>
      </c>
      <c r="AI2753">
        <v>92.417402574213298</v>
      </c>
      <c r="AJ2753">
        <v>104.55100618929301</v>
      </c>
      <c r="AK2753">
        <v>26.436860246809001</v>
      </c>
      <c r="AL2753">
        <v>79.474390156045203</v>
      </c>
      <c r="AM2753">
        <v>101.589211095165</v>
      </c>
      <c r="AN2753">
        <v>1.0000000070334201</v>
      </c>
    </row>
    <row r="2754" spans="1:40" x14ac:dyDescent="0.25">
      <c r="A2754" t="str">
        <f>"20190304155111329"</f>
        <v>20190304155111329</v>
      </c>
      <c r="B2754" t="str">
        <f>"1551685871319534"</f>
        <v>1551685871319534</v>
      </c>
      <c r="C2754" t="s">
        <v>40</v>
      </c>
      <c r="D2754">
        <v>4.0090399999999997</v>
      </c>
      <c r="E2754">
        <v>0.47547850000000003</v>
      </c>
      <c r="F2754" t="s">
        <v>41</v>
      </c>
      <c r="G2754">
        <v>-499.63650000000001</v>
      </c>
      <c r="H2754" s="1">
        <v>-5.4168340000000001E-6</v>
      </c>
      <c r="I2754">
        <v>267.88139999999999</v>
      </c>
      <c r="J2754">
        <v>-478.04669999999999</v>
      </c>
      <c r="K2754">
        <v>1.1151180000000001</v>
      </c>
      <c r="L2754">
        <v>282.35660000000001</v>
      </c>
      <c r="M2754">
        <v>-0.94317549999999994</v>
      </c>
      <c r="N2754">
        <v>-1.4107939999999999E-2</v>
      </c>
      <c r="O2754">
        <v>-0.33199600000000001</v>
      </c>
      <c r="P2754">
        <v>-0.84591280000000002</v>
      </c>
      <c r="Q2754">
        <v>0.17034839999999901</v>
      </c>
      <c r="R2754">
        <v>-0.50538450000000001</v>
      </c>
      <c r="S2754">
        <v>-2.5555110000000001</v>
      </c>
      <c r="T2754">
        <v>-0.1306938</v>
      </c>
      <c r="U2754">
        <v>-1.7061459999999999</v>
      </c>
      <c r="V2754">
        <v>-0.1978153</v>
      </c>
      <c r="W2754">
        <v>0.1818372</v>
      </c>
      <c r="X2754">
        <v>0.96322600000000003</v>
      </c>
      <c r="Y2754">
        <v>-0.2474575</v>
      </c>
      <c r="Z2754">
        <v>2.7182529999999999E-3</v>
      </c>
      <c r="AA2754">
        <v>0.9688949</v>
      </c>
      <c r="AB2754">
        <v>24</v>
      </c>
      <c r="AC2754">
        <v>-21.5898</v>
      </c>
      <c r="AD2754">
        <v>-1.1151234168340001</v>
      </c>
      <c r="AE2754">
        <v>-14.475199999999999</v>
      </c>
      <c r="AF2754">
        <v>-6.4736564829308803</v>
      </c>
      <c r="AG2754">
        <v>-1.1151234168340001</v>
      </c>
      <c r="AH2754">
        <v>25.124937797616798</v>
      </c>
      <c r="AI2754">
        <v>92.461023478464199</v>
      </c>
      <c r="AJ2754">
        <v>104.448487235717</v>
      </c>
      <c r="AK2754">
        <v>25.969486476014001</v>
      </c>
      <c r="AL2754">
        <v>79.523210102609795</v>
      </c>
      <c r="AM2754">
        <v>101.605330875161</v>
      </c>
      <c r="AN2754">
        <v>0.99999999364696501</v>
      </c>
    </row>
    <row r="2755" spans="1:40" x14ac:dyDescent="0.25">
      <c r="A2755" t="str">
        <f>"20190304155111349"</f>
        <v>20190304155111349</v>
      </c>
      <c r="B2755" t="str">
        <f>"1551685871339055"</f>
        <v>1551685871339055</v>
      </c>
      <c r="C2755" t="s">
        <v>40</v>
      </c>
      <c r="D2755">
        <v>3.9901840000000002</v>
      </c>
      <c r="E2755">
        <v>0.47559309999999999</v>
      </c>
      <c r="F2755" t="s">
        <v>41</v>
      </c>
      <c r="G2755">
        <v>-498.56939999999997</v>
      </c>
      <c r="H2755" s="1">
        <v>-5.4175000000000002E-6</v>
      </c>
      <c r="I2755">
        <v>268.43959999999998</v>
      </c>
      <c r="J2755">
        <v>-478.26159999999999</v>
      </c>
      <c r="K2755">
        <v>1.1151519999999999</v>
      </c>
      <c r="L2755">
        <v>282.27260000000001</v>
      </c>
      <c r="M2755">
        <v>-0.94087100000000001</v>
      </c>
      <c r="N2755">
        <v>-1.411372E-2</v>
      </c>
      <c r="O2755">
        <v>-0.33847149999999998</v>
      </c>
      <c r="P2755">
        <v>-0.84248749999999994</v>
      </c>
      <c r="Q2755">
        <v>0.16964580000000001</v>
      </c>
      <c r="R2755">
        <v>-0.51130790000000004</v>
      </c>
      <c r="S2755">
        <v>-2.5437319999999999</v>
      </c>
      <c r="T2755">
        <v>-0.13821649999999999</v>
      </c>
      <c r="U2755">
        <v>-1.7249759999999901</v>
      </c>
      <c r="V2755">
        <v>-0.19791339999999999</v>
      </c>
      <c r="W2755">
        <v>0.18112300000000001</v>
      </c>
      <c r="X2755">
        <v>0.96334039999999999</v>
      </c>
      <c r="Y2755">
        <v>-0.24779229999999999</v>
      </c>
      <c r="Z2755">
        <v>3.4422900000000002E-3</v>
      </c>
      <c r="AA2755">
        <v>0.96880699999999997</v>
      </c>
      <c r="AB2755">
        <v>24</v>
      </c>
      <c r="AC2755">
        <v>-20.307799999999901</v>
      </c>
      <c r="AD2755">
        <v>-1.1151574175000001</v>
      </c>
      <c r="AE2755">
        <v>-13.833</v>
      </c>
      <c r="AF2755">
        <v>-6.1294426233401698</v>
      </c>
      <c r="AG2755">
        <v>-1.1151574175000001</v>
      </c>
      <c r="AH2755">
        <v>23.742558287943901</v>
      </c>
      <c r="AI2755">
        <v>92.603883824474593</v>
      </c>
      <c r="AJ2755">
        <v>104.475567499362</v>
      </c>
      <c r="AK2755">
        <v>24.546338158573501</v>
      </c>
      <c r="AL2755">
        <v>79.564821694918294</v>
      </c>
      <c r="AM2755">
        <v>101.60958851348499</v>
      </c>
      <c r="AN2755">
        <v>0.99999999065035905</v>
      </c>
    </row>
    <row r="2756" spans="1:40" x14ac:dyDescent="0.25">
      <c r="A2756" t="str">
        <f>"20190304155111363"</f>
        <v>20190304155111363</v>
      </c>
      <c r="B2756" t="str">
        <f>"1551685871359551"</f>
        <v>1551685871359551</v>
      </c>
      <c r="C2756" t="s">
        <v>40</v>
      </c>
      <c r="D2756">
        <v>4.0209580000000003</v>
      </c>
      <c r="E2756">
        <v>0.47618519999999998</v>
      </c>
      <c r="F2756" t="s">
        <v>41</v>
      </c>
      <c r="G2756">
        <v>-498.16930000000002</v>
      </c>
      <c r="H2756" s="1">
        <v>-5.394034E-6</v>
      </c>
      <c r="I2756">
        <v>268.57920000000001</v>
      </c>
      <c r="J2756">
        <v>-478.399</v>
      </c>
      <c r="K2756">
        <v>1.115175</v>
      </c>
      <c r="L2756">
        <v>282.21800000000002</v>
      </c>
      <c r="M2756">
        <v>-0.9393591</v>
      </c>
      <c r="N2756">
        <v>-1.411724E-2</v>
      </c>
      <c r="O2756">
        <v>-0.34264440000000002</v>
      </c>
      <c r="P2756">
        <v>-0.84029019999999999</v>
      </c>
      <c r="Q2756">
        <v>0.16918139999999901</v>
      </c>
      <c r="R2756">
        <v>-0.5150633</v>
      </c>
      <c r="S2756">
        <v>-2.5323180000000001</v>
      </c>
      <c r="T2756">
        <v>-0.14185139999999999</v>
      </c>
      <c r="U2756">
        <v>-1.741852</v>
      </c>
      <c r="V2756">
        <v>-0.19790920000000001</v>
      </c>
      <c r="W2756">
        <v>0.18065410000000001</v>
      </c>
      <c r="X2756">
        <v>0.96342930000000004</v>
      </c>
      <c r="Y2756">
        <v>-0.24990970000000001</v>
      </c>
      <c r="Z2756">
        <v>3.7824529999999999E-3</v>
      </c>
      <c r="AA2756">
        <v>0.96826179999999995</v>
      </c>
      <c r="AB2756">
        <v>24</v>
      </c>
      <c r="AC2756">
        <v>-19.770299999999999</v>
      </c>
      <c r="AD2756">
        <v>-1.1151803940339999</v>
      </c>
      <c r="AE2756">
        <v>-13.6388</v>
      </c>
      <c r="AF2756">
        <v>-6.02516113741118</v>
      </c>
      <c r="AG2756">
        <v>-1.1151803940339999</v>
      </c>
      <c r="AH2756">
        <v>23.196978813276299</v>
      </c>
      <c r="AI2756">
        <v>92.664075348553695</v>
      </c>
      <c r="AJ2756">
        <v>104.560210450003</v>
      </c>
      <c r="AK2756">
        <v>23.9926242855298</v>
      </c>
      <c r="AL2756">
        <v>79.592138260151501</v>
      </c>
      <c r="AM2756">
        <v>101.608306659161</v>
      </c>
      <c r="AN2756">
        <v>0.99999998569496995</v>
      </c>
    </row>
    <row r="2757" spans="1:40" x14ac:dyDescent="0.25">
      <c r="A2757" t="str">
        <f>"20190304155111378"</f>
        <v>20190304155111378</v>
      </c>
      <c r="B2757" t="str">
        <f>"1551685871369312"</f>
        <v>1551685871369312</v>
      </c>
      <c r="C2757" t="s">
        <v>40</v>
      </c>
      <c r="D2757">
        <v>4.0304570000000002</v>
      </c>
      <c r="E2757">
        <v>0.47672690000000001</v>
      </c>
      <c r="F2757" t="s">
        <v>41</v>
      </c>
      <c r="G2757">
        <v>-498.15750000000003</v>
      </c>
      <c r="H2757" s="1">
        <v>-5.3792019999999997E-6</v>
      </c>
      <c r="I2757">
        <v>268.54169999999999</v>
      </c>
      <c r="J2757">
        <v>-478.5283</v>
      </c>
      <c r="K2757">
        <v>1.115191</v>
      </c>
      <c r="L2757">
        <v>282.16590000000002</v>
      </c>
      <c r="M2757">
        <v>-0.9379092</v>
      </c>
      <c r="N2757">
        <v>-1.412041E-2</v>
      </c>
      <c r="O2757">
        <v>-0.3465935</v>
      </c>
      <c r="P2757">
        <v>-0.8381419</v>
      </c>
      <c r="Q2757">
        <v>0.16906189999999999</v>
      </c>
      <c r="R2757">
        <v>-0.51859109999999997</v>
      </c>
      <c r="S2757">
        <v>-2.5268250000000001</v>
      </c>
      <c r="T2757">
        <v>-0.14261559999999901</v>
      </c>
      <c r="U2757">
        <v>-1.748993</v>
      </c>
      <c r="V2757">
        <v>-0.1979032</v>
      </c>
      <c r="W2757">
        <v>0.18053069999999999</v>
      </c>
      <c r="X2757">
        <v>0.96345369999999997</v>
      </c>
      <c r="Y2757">
        <v>-0.24867349999999999</v>
      </c>
      <c r="Z2757">
        <v>4.013371E-3</v>
      </c>
      <c r="AA2757">
        <v>0.96857910000000003</v>
      </c>
      <c r="AB2757">
        <v>24</v>
      </c>
      <c r="AC2757">
        <v>-19.629200000000001</v>
      </c>
      <c r="AD2757">
        <v>-1.1151963792020001</v>
      </c>
      <c r="AE2757">
        <v>-13.6242</v>
      </c>
      <c r="AF2757">
        <v>-5.96251647329803</v>
      </c>
      <c r="AG2757">
        <v>-1.1151963792020001</v>
      </c>
      <c r="AH2757">
        <v>23.084485990598701</v>
      </c>
      <c r="AI2757">
        <v>92.678016814951505</v>
      </c>
      <c r="AJ2757">
        <v>104.48246325431001</v>
      </c>
      <c r="AK2757">
        <v>23.868153659399098</v>
      </c>
      <c r="AL2757">
        <v>79.599327125108402</v>
      </c>
      <c r="AM2757">
        <v>101.60767828250199</v>
      </c>
      <c r="AN2757">
        <v>1.0000000211282001</v>
      </c>
    </row>
    <row r="2758" spans="1:40" x14ac:dyDescent="0.25">
      <c r="A2758" t="str">
        <f>"20190304155111392"</f>
        <v>20190304155111392</v>
      </c>
      <c r="B2758" t="str">
        <f>"1551685871388831"</f>
        <v>1551685871388831</v>
      </c>
      <c r="C2758" t="s">
        <v>40</v>
      </c>
      <c r="D2758">
        <v>4.0151469999999998</v>
      </c>
      <c r="E2758">
        <v>0.47737079999999998</v>
      </c>
      <c r="F2758" t="s">
        <v>41</v>
      </c>
      <c r="G2758">
        <v>-498.39170000000001</v>
      </c>
      <c r="H2758" s="1">
        <v>-5.3515619999999999E-6</v>
      </c>
      <c r="I2758">
        <v>268.33839999999998</v>
      </c>
      <c r="J2758">
        <v>-478.66719999999998</v>
      </c>
      <c r="K2758">
        <v>1.1152070000000001</v>
      </c>
      <c r="L2758">
        <v>282.10919999999999</v>
      </c>
      <c r="M2758">
        <v>-0.93632219999999999</v>
      </c>
      <c r="N2758">
        <v>-1.412366E-2</v>
      </c>
      <c r="O2758">
        <v>-0.35085840000000001</v>
      </c>
      <c r="P2758">
        <v>-0.83596499999999996</v>
      </c>
      <c r="Q2758">
        <v>0.16894410000000001</v>
      </c>
      <c r="R2758">
        <v>-0.52213039999999999</v>
      </c>
      <c r="S2758">
        <v>-2.5217589999999999</v>
      </c>
      <c r="T2758">
        <v>-0.14157999999999901</v>
      </c>
      <c r="U2758">
        <v>-1.755463</v>
      </c>
      <c r="V2758">
        <v>-0.19758919999999999</v>
      </c>
      <c r="W2758">
        <v>0.18041209999999999</v>
      </c>
      <c r="X2758">
        <v>0.96354030000000002</v>
      </c>
      <c r="Y2758">
        <v>-0.24685609999999999</v>
      </c>
      <c r="Z2758">
        <v>4.1386679999999999E-3</v>
      </c>
      <c r="AA2758">
        <v>0.96904330000000005</v>
      </c>
      <c r="AB2758">
        <v>24</v>
      </c>
      <c r="AC2758">
        <v>-19.724499999999999</v>
      </c>
      <c r="AD2758">
        <v>-1.115212351562</v>
      </c>
      <c r="AE2758">
        <v>-13.770799999999999</v>
      </c>
      <c r="AF2758">
        <v>-5.96118251539525</v>
      </c>
      <c r="AG2758">
        <v>-1.115212351562</v>
      </c>
      <c r="AH2758">
        <v>23.252435023701601</v>
      </c>
      <c r="AI2758">
        <v>92.659972205906698</v>
      </c>
      <c r="AJ2758">
        <v>104.37912802305701</v>
      </c>
      <c r="AK2758">
        <v>24.0302960885295</v>
      </c>
      <c r="AL2758">
        <v>79.606235241004995</v>
      </c>
      <c r="AM2758">
        <v>101.588746335878</v>
      </c>
      <c r="AN2758">
        <v>0.99999996375356903</v>
      </c>
    </row>
    <row r="2759" spans="1:40" x14ac:dyDescent="0.25">
      <c r="A2759" t="str">
        <f>"20190304155111405"</f>
        <v>20190304155111405</v>
      </c>
      <c r="B2759" t="str">
        <f>"1551685871399566"</f>
        <v>1551685871399566</v>
      </c>
      <c r="C2759" t="s">
        <v>40</v>
      </c>
      <c r="D2759">
        <v>4.0100550000000004</v>
      </c>
      <c r="E2759">
        <v>0.47762919999999998</v>
      </c>
      <c r="F2759" t="s">
        <v>41</v>
      </c>
      <c r="G2759">
        <v>-498.63290000000001</v>
      </c>
      <c r="H2759" s="1">
        <v>-5.324056E-6</v>
      </c>
      <c r="I2759">
        <v>268.13189999999997</v>
      </c>
      <c r="J2759">
        <v>-478.7989</v>
      </c>
      <c r="K2759">
        <v>1.1152219999999999</v>
      </c>
      <c r="L2759">
        <v>282.05489999999998</v>
      </c>
      <c r="M2759">
        <v>-0.93478629999999996</v>
      </c>
      <c r="N2759">
        <v>-1.412657E-2</v>
      </c>
      <c r="O2759">
        <v>-0.35492950000000001</v>
      </c>
      <c r="P2759">
        <v>-0.83384009999999997</v>
      </c>
      <c r="Q2759">
        <v>0.16882549999999999</v>
      </c>
      <c r="R2759">
        <v>-0.52555560000000001</v>
      </c>
      <c r="S2759">
        <v>-2.516632</v>
      </c>
      <c r="T2759">
        <v>-0.14057020000000001</v>
      </c>
      <c r="U2759">
        <v>-1.7618100000000001</v>
      </c>
      <c r="V2759">
        <v>-0.19734640000000001</v>
      </c>
      <c r="W2759">
        <v>0.18029149999999999</v>
      </c>
      <c r="X2759">
        <v>0.96361269999999999</v>
      </c>
      <c r="Y2759">
        <v>-0.24521080000000001</v>
      </c>
      <c r="Z2759">
        <v>4.2511240000000002E-3</v>
      </c>
      <c r="AA2759">
        <v>0.96946049999999995</v>
      </c>
      <c r="AB2759">
        <v>24</v>
      </c>
      <c r="AC2759">
        <v>-19.834</v>
      </c>
      <c r="AD2759">
        <v>-1.115227324056</v>
      </c>
      <c r="AE2759">
        <v>-13.923</v>
      </c>
      <c r="AF2759">
        <v>-5.9633245062465798</v>
      </c>
      <c r="AG2759">
        <v>-1.115227324056</v>
      </c>
      <c r="AH2759">
        <v>23.4349453177417</v>
      </c>
      <c r="AI2759">
        <v>92.640525495008603</v>
      </c>
      <c r="AJ2759">
        <v>104.27665427172499</v>
      </c>
      <c r="AK2759">
        <v>24.207470607163099</v>
      </c>
      <c r="AL2759">
        <v>79.613261015235395</v>
      </c>
      <c r="AM2759">
        <v>101.574044273346</v>
      </c>
      <c r="AN2759">
        <v>1.00000003108324</v>
      </c>
    </row>
    <row r="2760" spans="1:40" x14ac:dyDescent="0.25">
      <c r="A2760" t="str">
        <f>"20190304155111419"</f>
        <v>20190304155111419</v>
      </c>
      <c r="B2760" t="str">
        <f>"1551685871409327"</f>
        <v>1551685871409327</v>
      </c>
      <c r="C2760" t="s">
        <v>40</v>
      </c>
      <c r="D2760">
        <v>4.0139809999999896</v>
      </c>
      <c r="E2760">
        <v>0.47812860000000001</v>
      </c>
      <c r="F2760" t="s">
        <v>41</v>
      </c>
      <c r="G2760">
        <v>-498.6232</v>
      </c>
      <c r="H2760" s="1">
        <v>-5.3041409999999901E-6</v>
      </c>
      <c r="I2760">
        <v>268.07839999999999</v>
      </c>
      <c r="J2760">
        <v>-478.92110000000002</v>
      </c>
      <c r="K2760">
        <v>1.1152409999999999</v>
      </c>
      <c r="L2760">
        <v>282.00360000000001</v>
      </c>
      <c r="M2760">
        <v>-0.93332990000000005</v>
      </c>
      <c r="N2760">
        <v>-1.4129630000000001E-2</v>
      </c>
      <c r="O2760">
        <v>-0.3587417</v>
      </c>
      <c r="P2760">
        <v>-0.83180589999999999</v>
      </c>
      <c r="Q2760">
        <v>0.16875589999999999</v>
      </c>
      <c r="R2760">
        <v>-0.52879180000000003</v>
      </c>
      <c r="S2760">
        <v>-2.510742</v>
      </c>
      <c r="T2760">
        <v>-0.14124300000000001</v>
      </c>
      <c r="U2760">
        <v>-1.770111</v>
      </c>
      <c r="V2760">
        <v>-0.1971598</v>
      </c>
      <c r="W2760">
        <v>0.1802193</v>
      </c>
      <c r="X2760">
        <v>0.96366439999999998</v>
      </c>
      <c r="Y2760">
        <v>-0.24446850000000001</v>
      </c>
      <c r="Z2760">
        <v>4.4560470000000003E-3</v>
      </c>
      <c r="AA2760">
        <v>0.96964700000000004</v>
      </c>
      <c r="AB2760">
        <v>24</v>
      </c>
      <c r="AC2760">
        <v>-19.702099999999898</v>
      </c>
      <c r="AD2760">
        <v>-1.1152463041409999</v>
      </c>
      <c r="AE2760">
        <v>-13.9252</v>
      </c>
      <c r="AF2760">
        <v>-5.9167899643707402</v>
      </c>
      <c r="AG2760">
        <v>-1.1152463041409999</v>
      </c>
      <c r="AH2760">
        <v>23.336579389896499</v>
      </c>
      <c r="AI2760">
        <v>92.652267035847004</v>
      </c>
      <c r="AJ2760">
        <v>104.22705751787301</v>
      </c>
      <c r="AK2760">
        <v>24.1007907634235</v>
      </c>
      <c r="AL2760">
        <v>79.617466641081293</v>
      </c>
      <c r="AM2760">
        <v>101.562791716313</v>
      </c>
      <c r="AN2760">
        <v>1.0000000293279401</v>
      </c>
    </row>
    <row r="2761" spans="1:40" x14ac:dyDescent="0.25">
      <c r="A2761" t="str">
        <f>"20190304155111431"</f>
        <v>20190304155111431</v>
      </c>
      <c r="B2761" t="str">
        <f>"1551685871428847"</f>
        <v>1551685871428847</v>
      </c>
      <c r="C2761" t="s">
        <v>40</v>
      </c>
      <c r="D2761">
        <v>3.926444</v>
      </c>
      <c r="E2761">
        <v>0.47895209999999999</v>
      </c>
      <c r="F2761" t="s">
        <v>41</v>
      </c>
      <c r="G2761">
        <v>-498.87470000000002</v>
      </c>
      <c r="H2761" s="1">
        <v>-5.2736949999999997E-6</v>
      </c>
      <c r="I2761">
        <v>267.85789999999997</v>
      </c>
      <c r="J2761">
        <v>-479.04349999999999</v>
      </c>
      <c r="K2761">
        <v>1.1152550000000001</v>
      </c>
      <c r="L2761">
        <v>281.95179999999999</v>
      </c>
      <c r="M2761">
        <v>-0.93184889999999998</v>
      </c>
      <c r="N2761">
        <v>-1.4132779999999999E-2</v>
      </c>
      <c r="O2761">
        <v>-0.36257119999999998</v>
      </c>
      <c r="P2761">
        <v>-0.82960040000000002</v>
      </c>
      <c r="Q2761">
        <v>0.1689312</v>
      </c>
      <c r="R2761">
        <v>-0.53218940000000003</v>
      </c>
      <c r="S2761">
        <v>-2.5057369999999999</v>
      </c>
      <c r="T2761">
        <v>-0.140050799999999</v>
      </c>
      <c r="U2761">
        <v>-1.7763979999999999</v>
      </c>
      <c r="V2761">
        <v>-0.19716739999999999</v>
      </c>
      <c r="W2761">
        <v>0.1803882</v>
      </c>
      <c r="X2761">
        <v>0.96363120000000002</v>
      </c>
      <c r="Y2761">
        <v>-0.24302319999999999</v>
      </c>
      <c r="Z2761">
        <v>4.5355500000000002E-3</v>
      </c>
      <c r="AA2761">
        <v>0.97000989999999998</v>
      </c>
      <c r="AB2761">
        <v>24</v>
      </c>
      <c r="AC2761">
        <v>-19.831199999999999</v>
      </c>
      <c r="AD2761">
        <v>-1.1152602736949999</v>
      </c>
      <c r="AE2761">
        <v>-14.0939</v>
      </c>
      <c r="AF2761">
        <v>-5.9312933179304403</v>
      </c>
      <c r="AG2761">
        <v>-1.1152602736949999</v>
      </c>
      <c r="AH2761">
        <v>23.542609844339399</v>
      </c>
      <c r="AI2761">
        <v>92.630121488950095</v>
      </c>
      <c r="AJ2761">
        <v>104.140738185484</v>
      </c>
      <c r="AK2761">
        <v>24.3038787888723</v>
      </c>
      <c r="AL2761">
        <v>79.607627706205605</v>
      </c>
      <c r="AM2761">
        <v>101.563613085513</v>
      </c>
      <c r="AN2761">
        <v>0.99999998796771905</v>
      </c>
    </row>
    <row r="2762" spans="1:40" x14ac:dyDescent="0.25">
      <c r="A2762" t="str">
        <f>"20190304155111443"</f>
        <v>20190304155111443</v>
      </c>
      <c r="B2762" t="str">
        <f>"1551685871439583"</f>
        <v>1551685871439583</v>
      </c>
      <c r="C2762" t="s">
        <v>40</v>
      </c>
      <c r="D2762">
        <v>4.0204069999999996</v>
      </c>
      <c r="E2762">
        <v>0.47935689999999997</v>
      </c>
      <c r="F2762" t="s">
        <v>41</v>
      </c>
      <c r="G2762">
        <v>-498.96890000000002</v>
      </c>
      <c r="H2762" s="1">
        <v>-5.26141E-6</v>
      </c>
      <c r="I2762">
        <v>267.77260000000001</v>
      </c>
      <c r="J2762">
        <v>-479.16030000000001</v>
      </c>
      <c r="K2762">
        <v>1.115275</v>
      </c>
      <c r="L2762">
        <v>281.90179999999998</v>
      </c>
      <c r="M2762">
        <v>-0.93040610000000001</v>
      </c>
      <c r="N2762">
        <v>-1.4136050000000001E-2</v>
      </c>
      <c r="O2762">
        <v>-0.36625799999999997</v>
      </c>
      <c r="P2762">
        <v>-0.82736589999999999</v>
      </c>
      <c r="Q2762">
        <v>0.16921520000000001</v>
      </c>
      <c r="R2762">
        <v>-0.53556729999999997</v>
      </c>
      <c r="S2762">
        <v>-2.5023499999999999</v>
      </c>
      <c r="T2762">
        <v>-0.1400604</v>
      </c>
      <c r="U2762">
        <v>-1.7807010000000001</v>
      </c>
      <c r="V2762">
        <v>-0.1973144</v>
      </c>
      <c r="W2762">
        <v>0.18066299999999999</v>
      </c>
      <c r="X2762">
        <v>0.96354969999999995</v>
      </c>
      <c r="Y2762">
        <v>-0.24091389999999999</v>
      </c>
      <c r="Z2762">
        <v>4.7236329999999997E-3</v>
      </c>
      <c r="AA2762">
        <v>0.97053500000000004</v>
      </c>
      <c r="AB2762">
        <v>23</v>
      </c>
      <c r="AC2762">
        <v>-19.808599999999998</v>
      </c>
      <c r="AD2762">
        <v>-1.1152802614099999</v>
      </c>
      <c r="AE2762">
        <v>-14.1291999999999</v>
      </c>
      <c r="AF2762">
        <v>-5.8790713500353604</v>
      </c>
      <c r="AG2762">
        <v>-1.1152802614099999</v>
      </c>
      <c r="AH2762">
        <v>23.557834467277001</v>
      </c>
      <c r="AI2762">
        <v>92.629945065873599</v>
      </c>
      <c r="AJ2762">
        <v>104.012463862274</v>
      </c>
      <c r="AK2762">
        <v>24.3059436103172</v>
      </c>
      <c r="AL2762">
        <v>79.5916205598473</v>
      </c>
      <c r="AM2762">
        <v>101.572954371262</v>
      </c>
      <c r="AN2762">
        <v>1.00000005819322</v>
      </c>
    </row>
    <row r="2763" spans="1:40" x14ac:dyDescent="0.25">
      <c r="A2763" t="str">
        <f>"20190304155111455"</f>
        <v>20190304155111455</v>
      </c>
      <c r="B2763" t="str">
        <f>"1551685871449343"</f>
        <v>1551685871449343</v>
      </c>
      <c r="C2763" t="s">
        <v>40</v>
      </c>
      <c r="D2763">
        <v>4.035609</v>
      </c>
      <c r="E2763">
        <v>0.47978609999999999</v>
      </c>
      <c r="F2763" t="s">
        <v>41</v>
      </c>
      <c r="G2763">
        <v>-499.15410000000003</v>
      </c>
      <c r="H2763" s="1">
        <v>-5.2292330000000001E-6</v>
      </c>
      <c r="I2763">
        <v>267.58150000000001</v>
      </c>
      <c r="J2763">
        <v>-479.2731</v>
      </c>
      <c r="K2763">
        <v>1.115292</v>
      </c>
      <c r="L2763">
        <v>281.8528</v>
      </c>
      <c r="M2763">
        <v>-0.92898939999999997</v>
      </c>
      <c r="N2763">
        <v>-1.4139240000000001E-2</v>
      </c>
      <c r="O2763">
        <v>-0.36983660000000002</v>
      </c>
      <c r="P2763">
        <v>-0.82531060000000001</v>
      </c>
      <c r="Q2763">
        <v>0.16942570000000001</v>
      </c>
      <c r="R2763">
        <v>-0.5386628</v>
      </c>
      <c r="S2763">
        <v>-2.4968569999999999</v>
      </c>
      <c r="T2763">
        <v>-0.13927779999999901</v>
      </c>
      <c r="U2763">
        <v>-1.78833</v>
      </c>
      <c r="V2763">
        <v>-0.19724159999999999</v>
      </c>
      <c r="W2763">
        <v>0.1808679</v>
      </c>
      <c r="X2763">
        <v>0.96352610000000005</v>
      </c>
      <c r="Y2763">
        <v>-0.2401518</v>
      </c>
      <c r="Z2763">
        <v>4.8019179999999996E-3</v>
      </c>
      <c r="AA2763">
        <v>0.97072349999999996</v>
      </c>
      <c r="AB2763">
        <v>23</v>
      </c>
      <c r="AC2763">
        <v>-19.881</v>
      </c>
      <c r="AD2763">
        <v>-1.1152972292329999</v>
      </c>
      <c r="AE2763">
        <v>-14.271299999999901</v>
      </c>
      <c r="AF2763">
        <v>-5.8935142902570004</v>
      </c>
      <c r="AG2763">
        <v>-1.1152972292329999</v>
      </c>
      <c r="AH2763">
        <v>23.7004347419564</v>
      </c>
      <c r="AI2763">
        <v>92.614729341141</v>
      </c>
      <c r="AJ2763">
        <v>103.964334435711</v>
      </c>
      <c r="AK2763">
        <v>24.447658488222</v>
      </c>
      <c r="AL2763">
        <v>79.579683356999894</v>
      </c>
      <c r="AM2763">
        <v>101.569075330263</v>
      </c>
      <c r="AN2763">
        <v>0.99999999570108999</v>
      </c>
    </row>
    <row r="2764" spans="1:40" x14ac:dyDescent="0.25">
      <c r="A2764" t="str">
        <f>"20190304155111466"</f>
        <v>20190304155111466</v>
      </c>
      <c r="B2764" t="str">
        <f>"1551685871459102"</f>
        <v>1551685871459102</v>
      </c>
      <c r="C2764" t="s">
        <v>40</v>
      </c>
      <c r="D2764">
        <v>3.9259409999999999</v>
      </c>
      <c r="E2764">
        <v>0.47996100000000003</v>
      </c>
      <c r="F2764" t="s">
        <v>41</v>
      </c>
      <c r="G2764">
        <v>-499.51850000000002</v>
      </c>
      <c r="H2764" s="1">
        <v>-5.1891790000000003E-6</v>
      </c>
      <c r="I2764">
        <v>267.27390000000003</v>
      </c>
      <c r="J2764">
        <v>-479.3845</v>
      </c>
      <c r="K2764">
        <v>1.115318</v>
      </c>
      <c r="L2764">
        <v>281.80419999999998</v>
      </c>
      <c r="M2764">
        <v>-0.92757040000000002</v>
      </c>
      <c r="N2764">
        <v>-1.414233E-2</v>
      </c>
      <c r="O2764">
        <v>-0.37338080000000001</v>
      </c>
      <c r="P2764">
        <v>-0.8233838</v>
      </c>
      <c r="Q2764">
        <v>0.1691935</v>
      </c>
      <c r="R2764">
        <v>-0.54167589999999999</v>
      </c>
      <c r="S2764">
        <v>-2.4919739999999999</v>
      </c>
      <c r="T2764">
        <v>-0.13728000000000001</v>
      </c>
      <c r="U2764">
        <v>-1.794495</v>
      </c>
      <c r="V2764">
        <v>-0.19707240000000001</v>
      </c>
      <c r="W2764">
        <v>0.18063199999999999</v>
      </c>
      <c r="X2764">
        <v>0.96360500000000004</v>
      </c>
      <c r="Y2764">
        <v>-0.23893200000000001</v>
      </c>
      <c r="Z2764">
        <v>4.7883040000000002E-3</v>
      </c>
      <c r="AA2764">
        <v>0.97102449999999996</v>
      </c>
      <c r="AB2764">
        <v>23</v>
      </c>
      <c r="AC2764">
        <v>-20.134</v>
      </c>
      <c r="AD2764">
        <v>-1.1153231891789901</v>
      </c>
      <c r="AE2764">
        <v>-14.530299999999899</v>
      </c>
      <c r="AF2764">
        <v>-5.9488199506939097</v>
      </c>
      <c r="AG2764">
        <v>-1.1153231891789901</v>
      </c>
      <c r="AH2764">
        <v>24.054910793542401</v>
      </c>
      <c r="AI2764">
        <v>92.577131285017401</v>
      </c>
      <c r="AJ2764">
        <v>103.89064347037601</v>
      </c>
      <c r="AK2764">
        <v>24.804659600715599</v>
      </c>
      <c r="AL2764">
        <v>79.593426070615905</v>
      </c>
      <c r="AM2764">
        <v>101.558497228587</v>
      </c>
      <c r="AN2764">
        <v>1.0000000231453701</v>
      </c>
    </row>
    <row r="2765" spans="1:40" x14ac:dyDescent="0.25">
      <c r="A2765" t="str">
        <f>"20190304155111479"</f>
        <v>20190304155111479</v>
      </c>
      <c r="B2765" t="str">
        <f>"1551685871468863"</f>
        <v>1551685871468863</v>
      </c>
      <c r="C2765" t="s">
        <v>40</v>
      </c>
      <c r="D2765">
        <v>4.0524149999999999</v>
      </c>
      <c r="E2765">
        <v>0.48021269999999999</v>
      </c>
      <c r="F2765" t="s">
        <v>41</v>
      </c>
      <c r="G2765">
        <v>-499.14940000000001</v>
      </c>
      <c r="H2765" s="1">
        <v>-5.1928630000000003E-6</v>
      </c>
      <c r="I2765">
        <v>267.47710000000001</v>
      </c>
      <c r="J2765">
        <v>-479.49709999999999</v>
      </c>
      <c r="K2765">
        <v>1.115337</v>
      </c>
      <c r="L2765">
        <v>281.75409999999999</v>
      </c>
      <c r="M2765">
        <v>-0.92610610000000004</v>
      </c>
      <c r="N2765">
        <v>-1.414544E-2</v>
      </c>
      <c r="O2765">
        <v>-0.37699830000000001</v>
      </c>
      <c r="P2765">
        <v>-0.82106179999999995</v>
      </c>
      <c r="Q2765">
        <v>0.16970569999999999</v>
      </c>
      <c r="R2765">
        <v>-0.54503000000000001</v>
      </c>
      <c r="S2765">
        <v>-2.486542</v>
      </c>
      <c r="T2765">
        <v>-0.1403142</v>
      </c>
      <c r="U2765">
        <v>-1.8024290000000001</v>
      </c>
      <c r="V2765">
        <v>-0.197297</v>
      </c>
      <c r="W2765">
        <v>0.1811343</v>
      </c>
      <c r="X2765">
        <v>0.96346469999999995</v>
      </c>
      <c r="Y2765">
        <v>-0.23818339999999999</v>
      </c>
      <c r="Z2765">
        <v>5.1896240000000003E-3</v>
      </c>
      <c r="AA2765">
        <v>0.97120640000000003</v>
      </c>
      <c r="AB2765">
        <v>23</v>
      </c>
      <c r="AC2765">
        <v>-19.6523</v>
      </c>
      <c r="AD2765">
        <v>-1.1153421928630001</v>
      </c>
      <c r="AE2765">
        <v>-14.2769999999999</v>
      </c>
      <c r="AF2765">
        <v>-5.8014826233057502</v>
      </c>
      <c r="AG2765">
        <v>-1.1153421928630001</v>
      </c>
      <c r="AH2765">
        <v>23.535256388175998</v>
      </c>
      <c r="AI2765">
        <v>92.634489115969401</v>
      </c>
      <c r="AJ2765">
        <v>103.847445768963</v>
      </c>
      <c r="AK2765">
        <v>24.265396804768699</v>
      </c>
      <c r="AL2765">
        <v>79.564163298464507</v>
      </c>
      <c r="AM2765">
        <v>101.572954724252</v>
      </c>
      <c r="AN2765">
        <v>0.99999998449578897</v>
      </c>
    </row>
    <row r="2766" spans="1:40" x14ac:dyDescent="0.25">
      <c r="A2766" t="str">
        <f>"20190304155111491"</f>
        <v>20190304155111491</v>
      </c>
      <c r="B2766" t="str">
        <f>"1551685871479599"</f>
        <v>1551685871479599</v>
      </c>
      <c r="C2766" t="s">
        <v>40</v>
      </c>
      <c r="D2766">
        <v>4.0367829999999998</v>
      </c>
      <c r="E2766">
        <v>0.48050710000000002</v>
      </c>
      <c r="F2766" t="s">
        <v>41</v>
      </c>
      <c r="G2766">
        <v>-499.49119999999999</v>
      </c>
      <c r="H2766" s="1">
        <v>-5.1446809999999997E-6</v>
      </c>
      <c r="I2766">
        <v>267.1574</v>
      </c>
      <c r="J2766">
        <v>-479.60860000000002</v>
      </c>
      <c r="K2766">
        <v>1.1153580000000001</v>
      </c>
      <c r="L2766">
        <v>281.70420000000001</v>
      </c>
      <c r="M2766">
        <v>-0.92463470000000003</v>
      </c>
      <c r="N2766">
        <v>-1.414838E-2</v>
      </c>
      <c r="O2766">
        <v>-0.3805926</v>
      </c>
      <c r="P2766">
        <v>-0.8190212</v>
      </c>
      <c r="Q2766">
        <v>0.16961080000000001</v>
      </c>
      <c r="R2766">
        <v>-0.54812079999999996</v>
      </c>
      <c r="S2766">
        <v>-2.4804080000000002</v>
      </c>
      <c r="T2766">
        <v>-0.1383655</v>
      </c>
      <c r="U2766">
        <v>-1.8108219999999999</v>
      </c>
      <c r="V2766">
        <v>-0.19718540000000001</v>
      </c>
      <c r="W2766">
        <v>0.18103440000000001</v>
      </c>
      <c r="X2766">
        <v>0.96350630000000004</v>
      </c>
      <c r="Y2766">
        <v>-0.237701</v>
      </c>
      <c r="Z2766">
        <v>5.1556279999999998E-3</v>
      </c>
      <c r="AA2766">
        <v>0.97132470000000004</v>
      </c>
      <c r="AB2766">
        <v>23</v>
      </c>
      <c r="AC2766">
        <v>-19.882599999999901</v>
      </c>
      <c r="AD2766">
        <v>-1.115363144681</v>
      </c>
      <c r="AE2766">
        <v>-14.546799999999999</v>
      </c>
      <c r="AF2766">
        <v>-5.8718581747930996</v>
      </c>
      <c r="AG2766">
        <v>-1.115363144681</v>
      </c>
      <c r="AH2766">
        <v>23.874002882392499</v>
      </c>
      <c r="AI2766">
        <v>92.597539884025494</v>
      </c>
      <c r="AJ2766">
        <v>103.817744917262</v>
      </c>
      <c r="AK2766">
        <v>24.610785582705098</v>
      </c>
      <c r="AL2766">
        <v>79.569983140610006</v>
      </c>
      <c r="AM2766">
        <v>101.566099063241</v>
      </c>
      <c r="AN2766">
        <v>0.99999996304810401</v>
      </c>
    </row>
    <row r="2767" spans="1:40" x14ac:dyDescent="0.25">
      <c r="A2767" t="str">
        <f>"20190304155111503"</f>
        <v>20190304155111503</v>
      </c>
      <c r="B2767" t="str">
        <f>"1551685871499119"</f>
        <v>1551685871499119</v>
      </c>
      <c r="C2767" t="s">
        <v>40</v>
      </c>
      <c r="D2767">
        <v>4.0599559999999997</v>
      </c>
      <c r="E2767">
        <v>0.48099599999999998</v>
      </c>
      <c r="F2767" t="s">
        <v>41</v>
      </c>
      <c r="G2767">
        <v>-499.56270000000001</v>
      </c>
      <c r="H2767" s="1">
        <v>-5.1191419999999997E-6</v>
      </c>
      <c r="I2767">
        <v>267.04509999999999</v>
      </c>
      <c r="J2767">
        <v>-479.72410000000002</v>
      </c>
      <c r="K2767">
        <v>1.1153740000000001</v>
      </c>
      <c r="L2767">
        <v>281.65190000000001</v>
      </c>
      <c r="M2767">
        <v>-0.92308420000000002</v>
      </c>
      <c r="N2767">
        <v>-1.41513E-2</v>
      </c>
      <c r="O2767">
        <v>-0.3843375</v>
      </c>
      <c r="P2767">
        <v>-0.81673070000000003</v>
      </c>
      <c r="Q2767">
        <v>0.16967679999999999</v>
      </c>
      <c r="R2767">
        <v>-0.55150769999999905</v>
      </c>
      <c r="S2767">
        <v>-2.4748230000000002</v>
      </c>
      <c r="T2767">
        <v>-0.13833399999999901</v>
      </c>
      <c r="U2767">
        <v>-1.8181149999999999</v>
      </c>
      <c r="V2767">
        <v>-0.19728380000000001</v>
      </c>
      <c r="W2767">
        <v>0.18109249999999999</v>
      </c>
      <c r="X2767">
        <v>0.96347530000000003</v>
      </c>
      <c r="Y2767">
        <v>-0.2366713</v>
      </c>
      <c r="Z2767">
        <v>5.3082650000000004E-3</v>
      </c>
      <c r="AA2767">
        <v>0.97157530000000003</v>
      </c>
      <c r="AB2767">
        <v>23</v>
      </c>
      <c r="AC2767">
        <v>-19.8385999999999</v>
      </c>
      <c r="AD2767">
        <v>-1.1153791191419999</v>
      </c>
      <c r="AE2767">
        <v>-14.6068</v>
      </c>
      <c r="AF2767">
        <v>-5.8471895763350403</v>
      </c>
      <c r="AG2767">
        <v>-1.1153791191419999</v>
      </c>
      <c r="AH2767">
        <v>23.8800862322529</v>
      </c>
      <c r="AI2767">
        <v>92.597574004989298</v>
      </c>
      <c r="AJ2767">
        <v>103.758533289263</v>
      </c>
      <c r="AK2767">
        <v>24.610815000337801</v>
      </c>
      <c r="AL2767">
        <v>79.566598936504505</v>
      </c>
      <c r="AM2767">
        <v>101.572077449939</v>
      </c>
      <c r="AN2767">
        <v>1.0000000225043799</v>
      </c>
    </row>
    <row r="2768" spans="1:40" x14ac:dyDescent="0.25">
      <c r="A2768" t="str">
        <f>"20190304155111517"</f>
        <v>20190304155111517</v>
      </c>
      <c r="B2768" t="str">
        <f>"1551685871508879"</f>
        <v>1551685871508879</v>
      </c>
      <c r="C2768" t="s">
        <v>40</v>
      </c>
      <c r="D2768">
        <v>4.04793</v>
      </c>
      <c r="E2768">
        <v>0.4813114</v>
      </c>
      <c r="F2768" t="s">
        <v>41</v>
      </c>
      <c r="G2768">
        <v>-499.74009999999998</v>
      </c>
      <c r="H2768" s="1">
        <v>-5.087801E-6</v>
      </c>
      <c r="I2768">
        <v>266.8605</v>
      </c>
      <c r="J2768">
        <v>-479.8596</v>
      </c>
      <c r="K2768">
        <v>1.115397</v>
      </c>
      <c r="L2768">
        <v>281.58969999999999</v>
      </c>
      <c r="M2768">
        <v>-0.92122969999999904</v>
      </c>
      <c r="N2768">
        <v>-1.4154770000000001E-2</v>
      </c>
      <c r="O2768">
        <v>-0.38876159999999998</v>
      </c>
      <c r="P2768">
        <v>-0.81395550000000005</v>
      </c>
      <c r="Q2768">
        <v>0.16952149999999999</v>
      </c>
      <c r="R2768">
        <v>-0.55564340000000001</v>
      </c>
      <c r="S2768">
        <v>-2.4694820000000002</v>
      </c>
      <c r="T2768">
        <v>-0.1376097</v>
      </c>
      <c r="U2768">
        <v>-1.8248899999999999</v>
      </c>
      <c r="V2768">
        <v>-0.197544</v>
      </c>
      <c r="W2768">
        <v>0.18092749999999999</v>
      </c>
      <c r="X2768">
        <v>0.96345289999999995</v>
      </c>
      <c r="Y2768">
        <v>-0.23474229999999999</v>
      </c>
      <c r="Z2768">
        <v>5.4465950000000003E-3</v>
      </c>
      <c r="AA2768">
        <v>0.97204239999999997</v>
      </c>
      <c r="AB2768">
        <v>23</v>
      </c>
      <c r="AC2768">
        <v>-19.880499999999898</v>
      </c>
      <c r="AD2768">
        <v>-1.115402087801</v>
      </c>
      <c r="AE2768">
        <v>-14.729199999999899</v>
      </c>
      <c r="AF2768">
        <v>-5.8289403951783303</v>
      </c>
      <c r="AG2768">
        <v>-1.115402087801</v>
      </c>
      <c r="AH2768">
        <v>23.994299068611301</v>
      </c>
      <c r="AI2768">
        <v>92.586424501972104</v>
      </c>
      <c r="AJ2768">
        <v>103.654372984346</v>
      </c>
      <c r="AK2768">
        <v>24.717343217707999</v>
      </c>
      <c r="AL2768">
        <v>79.576210672518698</v>
      </c>
      <c r="AM2768">
        <v>101.58718963314401</v>
      </c>
      <c r="AN2768">
        <v>0.99999994135532799</v>
      </c>
    </row>
    <row r="2769" spans="1:40" x14ac:dyDescent="0.25">
      <c r="A2769" t="str">
        <f>"20190304155111532"</f>
        <v>20190304155111532</v>
      </c>
      <c r="B2769" t="str">
        <f>"1551685871529375"</f>
        <v>1551685871529375</v>
      </c>
      <c r="C2769" t="s">
        <v>40</v>
      </c>
      <c r="D2769">
        <v>4.070049</v>
      </c>
      <c r="E2769">
        <v>0.48211500000000002</v>
      </c>
      <c r="F2769" t="s">
        <v>41</v>
      </c>
      <c r="G2769">
        <v>-499.76100000000002</v>
      </c>
      <c r="H2769" s="1">
        <v>-5.0556579999999998E-6</v>
      </c>
      <c r="I2769">
        <v>266.7552</v>
      </c>
      <c r="J2769">
        <v>-479.99259999999998</v>
      </c>
      <c r="K2769">
        <v>1.1154139999999999</v>
      </c>
      <c r="L2769">
        <v>281.52800000000002</v>
      </c>
      <c r="M2769">
        <v>-0.91937460000000004</v>
      </c>
      <c r="N2769">
        <v>-1.415815E-2</v>
      </c>
      <c r="O2769">
        <v>-0.3931289</v>
      </c>
      <c r="P2769">
        <v>-0.81127510000000003</v>
      </c>
      <c r="Q2769">
        <v>0.1695055</v>
      </c>
      <c r="R2769">
        <v>-0.55955429999999995</v>
      </c>
      <c r="S2769">
        <v>-2.461792</v>
      </c>
      <c r="T2769">
        <v>-0.1379744</v>
      </c>
      <c r="U2769">
        <v>-1.8350219999999999</v>
      </c>
      <c r="V2769">
        <v>-0.19761600000000001</v>
      </c>
      <c r="W2769">
        <v>0.18090500000000001</v>
      </c>
      <c r="X2769">
        <v>0.96344240000000003</v>
      </c>
      <c r="Y2769">
        <v>-0.23415849999999999</v>
      </c>
      <c r="Z2769">
        <v>5.6424810000000004E-3</v>
      </c>
      <c r="AA2769">
        <v>0.97218210000000005</v>
      </c>
      <c r="AB2769">
        <v>23</v>
      </c>
      <c r="AC2769">
        <v>-19.7683999999999</v>
      </c>
      <c r="AD2769">
        <v>-1.1154190556579999</v>
      </c>
      <c r="AE2769">
        <v>-14.7728</v>
      </c>
      <c r="AF2769">
        <v>-5.7989424016815896</v>
      </c>
      <c r="AG2769">
        <v>-1.1154190556579999</v>
      </c>
      <c r="AH2769">
        <v>23.935680695087701</v>
      </c>
      <c r="AI2769">
        <v>92.593179981556702</v>
      </c>
      <c r="AJ2769">
        <v>103.61874950426601</v>
      </c>
      <c r="AK2769">
        <v>24.653371026797501</v>
      </c>
      <c r="AL2769">
        <v>79.577521867978405</v>
      </c>
      <c r="AM2769">
        <v>101.591421518101</v>
      </c>
      <c r="AN2769">
        <v>0.99999998029937898</v>
      </c>
    </row>
    <row r="2770" spans="1:40" x14ac:dyDescent="0.25">
      <c r="A2770" t="str">
        <f>"20190304155111545"</f>
        <v>20190304155111545</v>
      </c>
      <c r="B2770" t="str">
        <f>"1551685871539135"</f>
        <v>1551685871539135</v>
      </c>
      <c r="C2770" t="s">
        <v>40</v>
      </c>
      <c r="D2770">
        <v>4.0880539999999996</v>
      </c>
      <c r="E2770">
        <v>0.48247800000000002</v>
      </c>
      <c r="F2770" t="s">
        <v>41</v>
      </c>
      <c r="G2770">
        <v>-499.95780000000002</v>
      </c>
      <c r="H2770">
        <v>6.1415910000000001E-3</v>
      </c>
      <c r="I2770">
        <v>266.56169999999997</v>
      </c>
      <c r="J2770">
        <v>-480.1277</v>
      </c>
      <c r="K2770">
        <v>1.1154329999999999</v>
      </c>
      <c r="L2770">
        <v>281.46449999999999</v>
      </c>
      <c r="M2770">
        <v>-0.91745319999999997</v>
      </c>
      <c r="N2770">
        <v>-1.416156E-2</v>
      </c>
      <c r="O2770">
        <v>-0.39759169999999999</v>
      </c>
      <c r="P2770">
        <v>-0.80840710000000005</v>
      </c>
      <c r="Q2770">
        <v>0.16915820000000001</v>
      </c>
      <c r="R2770">
        <v>-0.56379380000000001</v>
      </c>
      <c r="S2770">
        <v>-2.4563600000000001</v>
      </c>
      <c r="T2770">
        <v>-0.1364764</v>
      </c>
      <c r="U2770">
        <v>-1.8413390000000001</v>
      </c>
      <c r="V2770">
        <v>-0.19795399999999999</v>
      </c>
      <c r="W2770">
        <v>0.1805486</v>
      </c>
      <c r="X2770">
        <v>0.96343990000000002</v>
      </c>
      <c r="Y2770">
        <v>-0.23207040000000001</v>
      </c>
      <c r="Z2770">
        <v>5.7117579999999999E-3</v>
      </c>
      <c r="AA2770">
        <v>0.97268220000000005</v>
      </c>
      <c r="AB2770">
        <v>23</v>
      </c>
      <c r="AC2770">
        <v>-19.830100000000002</v>
      </c>
      <c r="AD2770">
        <v>-1.1092914089999999</v>
      </c>
      <c r="AE2770">
        <v>-14.902799999999999</v>
      </c>
      <c r="AF2770">
        <v>-5.7773650935752503</v>
      </c>
      <c r="AG2770">
        <v>-1.1092914089999999</v>
      </c>
      <c r="AH2770">
        <v>24.072695618552999</v>
      </c>
      <c r="AI2770">
        <v>92.565622554395105</v>
      </c>
      <c r="AJ2770">
        <v>103.495549067334</v>
      </c>
      <c r="AK2770">
        <v>24.781104680744999</v>
      </c>
      <c r="AL2770">
        <v>79.598284300192802</v>
      </c>
      <c r="AM2770">
        <v>101.610738769085</v>
      </c>
      <c r="AN2770">
        <v>1.0000000119949799</v>
      </c>
    </row>
    <row r="2771" spans="1:40" x14ac:dyDescent="0.25">
      <c r="A2771" t="str">
        <f>"20190304155111560"</f>
        <v>20190304155111560</v>
      </c>
      <c r="B2771" t="str">
        <f>"1551685871548895"</f>
        <v>1551685871548895</v>
      </c>
      <c r="C2771" t="s">
        <v>40</v>
      </c>
      <c r="D2771">
        <v>4.0831429999999997</v>
      </c>
      <c r="E2771">
        <v>0.4828653</v>
      </c>
      <c r="F2771" t="s">
        <v>41</v>
      </c>
      <c r="G2771">
        <v>-499.95780000000002</v>
      </c>
      <c r="H2771">
        <v>8.7428139999999998E-3</v>
      </c>
      <c r="I2771">
        <v>266.46879999999999</v>
      </c>
      <c r="J2771">
        <v>-480.2534</v>
      </c>
      <c r="K2771">
        <v>1.115445</v>
      </c>
      <c r="L2771">
        <v>281.40440000000001</v>
      </c>
      <c r="M2771">
        <v>-0.91562699999999997</v>
      </c>
      <c r="N2771">
        <v>-1.416471E-2</v>
      </c>
      <c r="O2771">
        <v>-0.40177940000000001</v>
      </c>
      <c r="P2771">
        <v>-0.80571899999999996</v>
      </c>
      <c r="Q2771">
        <v>0.16927779999999901</v>
      </c>
      <c r="R2771">
        <v>-0.56759329999999997</v>
      </c>
      <c r="S2771">
        <v>-2.4483640000000002</v>
      </c>
      <c r="T2771">
        <v>-0.13664000000000001</v>
      </c>
      <c r="U2771">
        <v>-1.8514710000000001</v>
      </c>
      <c r="V2771">
        <v>-0.19810649999999999</v>
      </c>
      <c r="W2771">
        <v>0.18066109999999999</v>
      </c>
      <c r="X2771">
        <v>0.9633874</v>
      </c>
      <c r="Y2771">
        <v>-0.2317169</v>
      </c>
      <c r="Z2771">
        <v>5.8763110000000004E-3</v>
      </c>
      <c r="AA2771">
        <v>0.97276549999999995</v>
      </c>
      <c r="AB2771">
        <v>23</v>
      </c>
      <c r="AC2771">
        <v>-19.7044</v>
      </c>
      <c r="AD2771">
        <v>-1.1067021859999999</v>
      </c>
      <c r="AE2771">
        <v>-14.935600000000001</v>
      </c>
      <c r="AF2771">
        <v>-5.7476787535796499</v>
      </c>
      <c r="AG2771">
        <v>-1.1067021859999999</v>
      </c>
      <c r="AH2771">
        <v>23.997030609340399</v>
      </c>
      <c r="AI2771">
        <v>92.567981349622102</v>
      </c>
      <c r="AJ2771">
        <v>103.469523046384</v>
      </c>
      <c r="AK2771">
        <v>24.700568391202498</v>
      </c>
      <c r="AL2771">
        <v>79.591730109032099</v>
      </c>
      <c r="AM2771">
        <v>101.620056299631</v>
      </c>
      <c r="AN2771">
        <v>0.99999995043710799</v>
      </c>
    </row>
    <row r="2772" spans="1:40" x14ac:dyDescent="0.25">
      <c r="A2772" t="str">
        <f>"20190304155111573"</f>
        <v>20190304155111573</v>
      </c>
      <c r="B2772" t="str">
        <f>"1551685871569390"</f>
        <v>1551685871569390</v>
      </c>
      <c r="C2772" t="s">
        <v>40</v>
      </c>
      <c r="D2772">
        <v>4.081048</v>
      </c>
      <c r="E2772">
        <v>0.48325299999999999</v>
      </c>
      <c r="F2772" t="s">
        <v>41</v>
      </c>
      <c r="G2772">
        <v>-499.95780000000002</v>
      </c>
      <c r="H2772">
        <v>2.4786559999999999E-2</v>
      </c>
      <c r="I2772">
        <v>266.38850000000002</v>
      </c>
      <c r="J2772">
        <v>-480.36770000000001</v>
      </c>
      <c r="K2772">
        <v>1.1154630000000001</v>
      </c>
      <c r="L2772">
        <v>281.34930000000003</v>
      </c>
      <c r="M2772">
        <v>-0.91394129999999996</v>
      </c>
      <c r="N2772">
        <v>-1.416749E-2</v>
      </c>
      <c r="O2772">
        <v>-0.4055994</v>
      </c>
      <c r="P2772">
        <v>-0.80314249999999998</v>
      </c>
      <c r="Q2772">
        <v>0.16902200000000001</v>
      </c>
      <c r="R2772">
        <v>-0.5713087</v>
      </c>
      <c r="S2772">
        <v>-2.4412539999999998</v>
      </c>
      <c r="T2772">
        <v>-0.1351262</v>
      </c>
      <c r="U2772">
        <v>-1.860382</v>
      </c>
      <c r="V2772">
        <v>-0.198516</v>
      </c>
      <c r="W2772">
        <v>0.1803961</v>
      </c>
      <c r="X2772">
        <v>0.96335280000000001</v>
      </c>
      <c r="Y2772">
        <v>-0.2312689</v>
      </c>
      <c r="Z2772">
        <v>5.8690649999999997E-3</v>
      </c>
      <c r="AA2772">
        <v>0.97287219999999996</v>
      </c>
      <c r="AB2772">
        <v>23</v>
      </c>
      <c r="AC2772">
        <v>-19.5901</v>
      </c>
      <c r="AD2772">
        <v>-1.09067644</v>
      </c>
      <c r="AE2772">
        <v>-14.960800000000001</v>
      </c>
      <c r="AF2772">
        <v>-5.7169414380725696</v>
      </c>
      <c r="AG2772">
        <v>-1.09067644</v>
      </c>
      <c r="AH2772">
        <v>23.9278489176717</v>
      </c>
      <c r="AI2772">
        <v>92.538491459182495</v>
      </c>
      <c r="AJ2772">
        <v>103.43743566326501</v>
      </c>
      <c r="AK2772">
        <v>24.625493869769301</v>
      </c>
      <c r="AL2772">
        <v>79.607167501607094</v>
      </c>
      <c r="AM2772">
        <v>101.643827341353</v>
      </c>
      <c r="AN2772">
        <v>0.99999998620952402</v>
      </c>
    </row>
    <row r="2773" spans="1:40" x14ac:dyDescent="0.25">
      <c r="A2773" t="str">
        <f>"20190304155111585"</f>
        <v>20190304155111585</v>
      </c>
      <c r="B2773" t="str">
        <f>"1551685871579151"</f>
        <v>1551685871579151</v>
      </c>
      <c r="C2773" t="s">
        <v>40</v>
      </c>
      <c r="D2773">
        <v>4.0937029999999996</v>
      </c>
      <c r="E2773">
        <v>0.49954910000000002</v>
      </c>
      <c r="F2773" t="s">
        <v>41</v>
      </c>
      <c r="G2773">
        <v>-499.95780000000002</v>
      </c>
      <c r="H2773">
        <v>3.004563E-2</v>
      </c>
      <c r="I2773">
        <v>266.30849999999998</v>
      </c>
      <c r="J2773">
        <v>-480.49720000000002</v>
      </c>
      <c r="K2773">
        <v>1.115483</v>
      </c>
      <c r="L2773">
        <v>281.28629999999998</v>
      </c>
      <c r="M2773">
        <v>-0.9119988</v>
      </c>
      <c r="N2773">
        <v>-1.417057E-2</v>
      </c>
      <c r="O2773">
        <v>-0.40994819999999998</v>
      </c>
      <c r="P2773">
        <v>-0.80024039999999996</v>
      </c>
      <c r="Q2773">
        <v>0.16898239999999901</v>
      </c>
      <c r="R2773">
        <v>-0.57537819999999995</v>
      </c>
      <c r="S2773">
        <v>-2.4342350000000001</v>
      </c>
      <c r="T2773">
        <v>-0.13487279999999999</v>
      </c>
      <c r="U2773">
        <v>-1.8689579999999999</v>
      </c>
      <c r="V2773">
        <v>-0.19882230000000001</v>
      </c>
      <c r="W2773">
        <v>0.1803469</v>
      </c>
      <c r="X2773">
        <v>0.96329889999999996</v>
      </c>
      <c r="Y2773">
        <v>-0.23014850000000001</v>
      </c>
      <c r="Z2773">
        <v>6.0179919999999998E-3</v>
      </c>
      <c r="AA2773">
        <v>0.97313689999999997</v>
      </c>
      <c r="AB2773">
        <v>23</v>
      </c>
      <c r="AC2773">
        <v>-19.460599999999999</v>
      </c>
      <c r="AD2773">
        <v>-1.08543737</v>
      </c>
      <c r="AE2773">
        <v>-14.9778</v>
      </c>
      <c r="AF2773">
        <v>-5.6713876843477102</v>
      </c>
      <c r="AG2773">
        <v>-1.08543737</v>
      </c>
      <c r="AH2773">
        <v>23.8439792358269</v>
      </c>
      <c r="AI2773">
        <v>92.535799433160705</v>
      </c>
      <c r="AJ2773">
        <v>103.379420838813</v>
      </c>
      <c r="AK2773">
        <v>24.533205219638699</v>
      </c>
      <c r="AL2773">
        <v>79.610034035748996</v>
      </c>
      <c r="AM2773">
        <v>101.66193610502199</v>
      </c>
      <c r="AN2773">
        <v>1.0000000410290499</v>
      </c>
    </row>
    <row r="2774" spans="1:40" x14ac:dyDescent="0.25">
      <c r="A2774" t="str">
        <f>"20190304155111599"</f>
        <v>20190304155111599</v>
      </c>
      <c r="B2774" t="str">
        <f>"1551685871588911"</f>
        <v>1551685871588911</v>
      </c>
      <c r="C2774" t="s">
        <v>40</v>
      </c>
      <c r="D2774">
        <v>4.0967710000000004</v>
      </c>
      <c r="E2774">
        <v>0.49954949999999998</v>
      </c>
      <c r="F2774" t="s">
        <v>42</v>
      </c>
      <c r="G2774">
        <v>-510.36799999999999</v>
      </c>
      <c r="H2774">
        <v>-0.05</v>
      </c>
      <c r="I2774">
        <v>260.05810000000002</v>
      </c>
      <c r="J2774">
        <v>-480.61489999999998</v>
      </c>
      <c r="K2774">
        <v>1.115502</v>
      </c>
      <c r="L2774">
        <v>281.22789999999998</v>
      </c>
      <c r="M2774">
        <v>-0.91019550000000005</v>
      </c>
      <c r="N2774">
        <v>-1.4173649999999999E-2</v>
      </c>
      <c r="O2774">
        <v>-0.41393609999999997</v>
      </c>
      <c r="P2774">
        <v>-0.79755339999999997</v>
      </c>
      <c r="Q2774">
        <v>0.16913800000000001</v>
      </c>
      <c r="R2774">
        <v>-0.5790516</v>
      </c>
      <c r="S2774">
        <v>-2.4946899999999999</v>
      </c>
      <c r="T2774">
        <v>-9.7336409999999998E-2</v>
      </c>
      <c r="U2774">
        <v>-1.772888</v>
      </c>
      <c r="V2774">
        <v>-0.1990575</v>
      </c>
      <c r="W2774">
        <v>0.18049419999999999</v>
      </c>
      <c r="X2774">
        <v>0.96322269999999999</v>
      </c>
      <c r="Y2774">
        <v>-0.18979689999999999</v>
      </c>
      <c r="Z2774">
        <v>3.2870759999999999E-3</v>
      </c>
      <c r="AA2774">
        <v>0.98181790000000002</v>
      </c>
      <c r="AB2774">
        <v>23</v>
      </c>
      <c r="AC2774">
        <v>-29.7531</v>
      </c>
      <c r="AD2774">
        <v>-1.165502</v>
      </c>
      <c r="AE2774">
        <v>-21.169799999999899</v>
      </c>
      <c r="AF2774">
        <v>-6.94639700633443</v>
      </c>
      <c r="AG2774">
        <v>-1.165502</v>
      </c>
      <c r="AH2774">
        <v>35.811203782845404</v>
      </c>
      <c r="AI2774">
        <v>91.829990019617199</v>
      </c>
      <c r="AJ2774">
        <v>100.977496008459</v>
      </c>
      <c r="AK2774">
        <v>36.497303224458904</v>
      </c>
      <c r="AL2774">
        <v>79.601453202350598</v>
      </c>
      <c r="AM2774">
        <v>101.676251524436</v>
      </c>
      <c r="AN2774">
        <v>1.0000000071675801</v>
      </c>
    </row>
    <row r="2775" spans="1:40" x14ac:dyDescent="0.25">
      <c r="A2775" t="str">
        <f>"20190304155111610"</f>
        <v>20190304155111610</v>
      </c>
      <c r="B2775" t="str">
        <f>"1551685871599647"</f>
        <v>1551685871599647</v>
      </c>
      <c r="C2775" t="s">
        <v>40</v>
      </c>
      <c r="D2775">
        <v>4.1014059999999999</v>
      </c>
      <c r="E2775">
        <v>0.49934010000000001</v>
      </c>
      <c r="F2775" t="s">
        <v>42</v>
      </c>
      <c r="G2775">
        <v>-510.79230000000001</v>
      </c>
      <c r="H2775">
        <v>-0.05</v>
      </c>
      <c r="I2775">
        <v>259.57130000000001</v>
      </c>
      <c r="J2775">
        <v>-480.7167</v>
      </c>
      <c r="K2775">
        <v>1.1155170000000001</v>
      </c>
      <c r="L2775">
        <v>281.17720000000003</v>
      </c>
      <c r="M2775">
        <v>-0.90861630000000004</v>
      </c>
      <c r="N2775">
        <v>-1.4176309999999999E-2</v>
      </c>
      <c r="O2775">
        <v>-0.41739159999999997</v>
      </c>
      <c r="P2775">
        <v>-0.79529499999999997</v>
      </c>
      <c r="Q2775">
        <v>0.1691435</v>
      </c>
      <c r="R2775">
        <v>-0.58214880000000002</v>
      </c>
      <c r="S2775">
        <v>-2.4864199999999999</v>
      </c>
      <c r="T2775">
        <v>-9.6029760000000006E-2</v>
      </c>
      <c r="U2775">
        <v>-1.7843629999999999</v>
      </c>
      <c r="V2775">
        <v>-0.1991503</v>
      </c>
      <c r="W2775">
        <v>0.18049419999999999</v>
      </c>
      <c r="X2775">
        <v>0.96320349999999999</v>
      </c>
      <c r="Y2775">
        <v>-0.19060389999999999</v>
      </c>
      <c r="Z2775">
        <v>3.1956659999999998E-3</v>
      </c>
      <c r="AA2775">
        <v>0.98166180000000003</v>
      </c>
      <c r="AB2775">
        <v>23</v>
      </c>
      <c r="AC2775">
        <v>-30.075600000000001</v>
      </c>
      <c r="AD2775">
        <v>-1.1655169999999999</v>
      </c>
      <c r="AE2775">
        <v>-21.605899999999998</v>
      </c>
      <c r="AF2775">
        <v>-7.0718751981374801</v>
      </c>
      <c r="AG2775">
        <v>-1.1655169999999999</v>
      </c>
      <c r="AH2775">
        <v>36.312978164110199</v>
      </c>
      <c r="AI2775">
        <v>91.804481378281096</v>
      </c>
      <c r="AJ2775">
        <v>101.020291617647</v>
      </c>
      <c r="AK2775">
        <v>37.013541195655201</v>
      </c>
      <c r="AL2775">
        <v>79.601453025189798</v>
      </c>
      <c r="AM2775">
        <v>101.68177184701599</v>
      </c>
      <c r="AN2775">
        <v>0.99999999031799003</v>
      </c>
    </row>
    <row r="2776" spans="1:40" x14ac:dyDescent="0.25">
      <c r="A2776" t="str">
        <f>"20190304155111622"</f>
        <v>20190304155111622</v>
      </c>
      <c r="B2776" t="str">
        <f>"1551685871619167"</f>
        <v>1551685871619167</v>
      </c>
      <c r="C2776" t="s">
        <v>40</v>
      </c>
      <c r="D2776">
        <v>4.1020430000000001</v>
      </c>
      <c r="E2776">
        <v>0.4990156</v>
      </c>
      <c r="F2776" t="s">
        <v>42</v>
      </c>
      <c r="G2776">
        <v>-510.9205</v>
      </c>
      <c r="H2776">
        <v>-0.05</v>
      </c>
      <c r="I2776">
        <v>259.30489999999998</v>
      </c>
      <c r="J2776">
        <v>-480.82780000000002</v>
      </c>
      <c r="K2776">
        <v>1.1155349999999999</v>
      </c>
      <c r="L2776">
        <v>281.12110000000001</v>
      </c>
      <c r="M2776">
        <v>-0.90686180000000005</v>
      </c>
      <c r="N2776">
        <v>-1.417937E-2</v>
      </c>
      <c r="O2776">
        <v>-0.4211896</v>
      </c>
      <c r="P2776">
        <v>-0.79251930000000004</v>
      </c>
      <c r="Q2776">
        <v>0.16917380000000001</v>
      </c>
      <c r="R2776">
        <v>-0.58591260000000001</v>
      </c>
      <c r="S2776">
        <v>-2.4786380000000001</v>
      </c>
      <c r="T2776">
        <v>-9.5646620000000002E-2</v>
      </c>
      <c r="U2776">
        <v>-1.7949219999999999</v>
      </c>
      <c r="V2776">
        <v>-0.1996985</v>
      </c>
      <c r="W2776">
        <v>0.18051110000000001</v>
      </c>
      <c r="X2776">
        <v>0.96308680000000002</v>
      </c>
      <c r="Y2776">
        <v>-0.19070429999999999</v>
      </c>
      <c r="Z2776">
        <v>3.2236589999999998E-3</v>
      </c>
      <c r="AA2776">
        <v>0.98164220000000002</v>
      </c>
      <c r="AB2776">
        <v>23</v>
      </c>
      <c r="AC2776">
        <v>-30.092699999999901</v>
      </c>
      <c r="AD2776">
        <v>-1.165535</v>
      </c>
      <c r="AE2776">
        <v>-21.816199999999998</v>
      </c>
      <c r="AF2776">
        <v>-7.1032759451914904</v>
      </c>
      <c r="AG2776">
        <v>-1.165535</v>
      </c>
      <c r="AH2776">
        <v>36.446504703319803</v>
      </c>
      <c r="AI2776">
        <v>91.797852583579697</v>
      </c>
      <c r="AJ2776">
        <v>101.028465329011</v>
      </c>
      <c r="AK2776">
        <v>37.150541127672298</v>
      </c>
      <c r="AL2776">
        <v>79.600468302814505</v>
      </c>
      <c r="AM2776">
        <v>101.714420985476</v>
      </c>
      <c r="AN2776">
        <v>0.99999996622984899</v>
      </c>
    </row>
    <row r="2777" spans="1:40" x14ac:dyDescent="0.25">
      <c r="A2777" t="str">
        <f>"20190304155111634"</f>
        <v>20190304155111634</v>
      </c>
      <c r="B2777" t="str">
        <f>"1551685871628927"</f>
        <v>1551685871628927</v>
      </c>
      <c r="C2777" t="s">
        <v>40</v>
      </c>
      <c r="D2777">
        <v>4.0800450000000001</v>
      </c>
      <c r="E2777">
        <v>0.49936619999999998</v>
      </c>
      <c r="F2777" t="s">
        <v>42</v>
      </c>
      <c r="G2777">
        <v>-510.06319999999999</v>
      </c>
      <c r="H2777">
        <v>-0.05</v>
      </c>
      <c r="I2777">
        <v>259.69749999999999</v>
      </c>
      <c r="J2777">
        <v>-480.92970000000003</v>
      </c>
      <c r="K2777">
        <v>1.11555</v>
      </c>
      <c r="L2777">
        <v>281.06909999999999</v>
      </c>
      <c r="M2777">
        <v>-0.90522670000000005</v>
      </c>
      <c r="N2777">
        <v>-1.4182200000000001E-2</v>
      </c>
      <c r="O2777">
        <v>-0.42469249999999997</v>
      </c>
      <c r="P2777">
        <v>-0.79013140000000004</v>
      </c>
      <c r="Q2777">
        <v>0.16886329999999999</v>
      </c>
      <c r="R2777">
        <v>-0.58921789999999996</v>
      </c>
      <c r="S2777">
        <v>-2.4688720000000002</v>
      </c>
      <c r="T2777">
        <v>-9.8426819999999998E-2</v>
      </c>
      <c r="U2777">
        <v>-1.8091740000000001</v>
      </c>
      <c r="V2777">
        <v>-0.1999735</v>
      </c>
      <c r="W2777">
        <v>0.18019250000000001</v>
      </c>
      <c r="X2777">
        <v>0.96308939999999998</v>
      </c>
      <c r="Y2777">
        <v>-0.19244710000000001</v>
      </c>
      <c r="Z2777">
        <v>3.5562649999999999E-3</v>
      </c>
      <c r="AA2777">
        <v>0.98130090000000003</v>
      </c>
      <c r="AB2777">
        <v>23</v>
      </c>
      <c r="AC2777">
        <v>-29.133499999999898</v>
      </c>
      <c r="AD2777">
        <v>-1.1655500000000001</v>
      </c>
      <c r="AE2777">
        <v>-21.371600000000001</v>
      </c>
      <c r="AF2777">
        <v>-6.9668149277159097</v>
      </c>
      <c r="AG2777">
        <v>-1.1655500000000001</v>
      </c>
      <c r="AH2777">
        <v>35.415488420590997</v>
      </c>
      <c r="AI2777">
        <v>91.849544949275895</v>
      </c>
      <c r="AJ2777">
        <v>101.128930113069</v>
      </c>
      <c r="AK2777">
        <v>36.113042479256201</v>
      </c>
      <c r="AL2777">
        <v>79.619027050163893</v>
      </c>
      <c r="AM2777">
        <v>101.73007513983799</v>
      </c>
      <c r="AN2777">
        <v>0.99999996507542899</v>
      </c>
    </row>
    <row r="2778" spans="1:40" x14ac:dyDescent="0.25">
      <c r="A2778" t="str">
        <f>"20190304155111645"</f>
        <v>20190304155111645</v>
      </c>
      <c r="B2778" t="str">
        <f>"1551685871639663"</f>
        <v>1551685871639663</v>
      </c>
      <c r="C2778" t="s">
        <v>40</v>
      </c>
      <c r="D2778">
        <v>4.0462319999999998</v>
      </c>
      <c r="E2778">
        <v>0.49979580000000001</v>
      </c>
      <c r="F2778" t="s">
        <v>42</v>
      </c>
      <c r="G2778">
        <v>-510.21440000000001</v>
      </c>
      <c r="H2778">
        <v>-0.05</v>
      </c>
      <c r="I2778">
        <v>259.46390000000002</v>
      </c>
      <c r="J2778">
        <v>-481.03620000000001</v>
      </c>
      <c r="K2778">
        <v>1.115564</v>
      </c>
      <c r="L2778">
        <v>281.01440000000002</v>
      </c>
      <c r="M2778">
        <v>-0.90349669999999904</v>
      </c>
      <c r="N2778">
        <v>-1.4185120000000001E-2</v>
      </c>
      <c r="O2778">
        <v>-0.42836030000000003</v>
      </c>
      <c r="P2778">
        <v>-0.78748399999999996</v>
      </c>
      <c r="Q2778">
        <v>0.1689408</v>
      </c>
      <c r="R2778">
        <v>-0.59272950000000002</v>
      </c>
      <c r="S2778">
        <v>-2.4628299999999999</v>
      </c>
      <c r="T2778">
        <v>-9.8022219999999993E-2</v>
      </c>
      <c r="U2778">
        <v>-1.816986</v>
      </c>
      <c r="V2778">
        <v>-0.20037060000000001</v>
      </c>
      <c r="W2778">
        <v>0.18025920000000001</v>
      </c>
      <c r="X2778">
        <v>0.96299449999999998</v>
      </c>
      <c r="Y2778">
        <v>-0.1916339</v>
      </c>
      <c r="Z2778">
        <v>3.6017689999999999E-3</v>
      </c>
      <c r="AA2778">
        <v>0.98145990000000005</v>
      </c>
      <c r="AB2778">
        <v>23</v>
      </c>
      <c r="AC2778">
        <v>-29.1782</v>
      </c>
      <c r="AD2778">
        <v>-1.165564</v>
      </c>
      <c r="AE2778">
        <v>-21.5505</v>
      </c>
      <c r="AF2778">
        <v>-6.9655326702832703</v>
      </c>
      <c r="AG2778">
        <v>-1.165564</v>
      </c>
      <c r="AH2778">
        <v>35.560650774084003</v>
      </c>
      <c r="AI2778">
        <v>91.842314193295095</v>
      </c>
      <c r="AJ2778">
        <v>101.08263831772</v>
      </c>
      <c r="AK2778">
        <v>36.255166091127599</v>
      </c>
      <c r="AL2778">
        <v>79.615143026982906</v>
      </c>
      <c r="AM2778">
        <v>101.75384696886999</v>
      </c>
      <c r="AN2778">
        <v>1.00000008177962</v>
      </c>
    </row>
    <row r="2779" spans="1:40" x14ac:dyDescent="0.25">
      <c r="A2779" t="str">
        <f>"20190304155111663"</f>
        <v>20190304155111663</v>
      </c>
      <c r="B2779" t="str">
        <f>"1551685871659183"</f>
        <v>1551685871659183</v>
      </c>
      <c r="C2779" t="s">
        <v>40</v>
      </c>
      <c r="D2779">
        <v>4.1076309999999996</v>
      </c>
      <c r="E2779">
        <v>0.50079050000000003</v>
      </c>
      <c r="F2779" t="s">
        <v>42</v>
      </c>
      <c r="G2779">
        <v>-510.86840000000001</v>
      </c>
      <c r="H2779">
        <v>-0.05</v>
      </c>
      <c r="I2779">
        <v>258.85910000000001</v>
      </c>
      <c r="J2779">
        <v>-481.19209999999998</v>
      </c>
      <c r="K2779">
        <v>1.11558</v>
      </c>
      <c r="L2779">
        <v>280.93299999999999</v>
      </c>
      <c r="M2779">
        <v>-0.90090780000000004</v>
      </c>
      <c r="N2779">
        <v>-1.4189439999999999E-2</v>
      </c>
      <c r="O2779">
        <v>-0.43377909999999997</v>
      </c>
      <c r="P2779">
        <v>-0.78359160000000005</v>
      </c>
      <c r="Q2779">
        <v>0.16862009999999999</v>
      </c>
      <c r="R2779">
        <v>-0.59795619999999905</v>
      </c>
      <c r="S2779">
        <v>-2.4568180000000002</v>
      </c>
      <c r="T2779">
        <v>-9.5989350000000001E-2</v>
      </c>
      <c r="U2779">
        <v>-1.8245849999999999</v>
      </c>
      <c r="V2779">
        <v>-0.20097309999999999</v>
      </c>
      <c r="W2779">
        <v>0.17992330000000001</v>
      </c>
      <c r="X2779">
        <v>0.96293169999999995</v>
      </c>
      <c r="Y2779">
        <v>-0.18884670000000001</v>
      </c>
      <c r="Z2779">
        <v>3.537536E-3</v>
      </c>
      <c r="AA2779">
        <v>0.98200019999999999</v>
      </c>
      <c r="AB2779">
        <v>23</v>
      </c>
      <c r="AC2779">
        <v>-29.676300000000001</v>
      </c>
      <c r="AD2779">
        <v>-1.1655799999999901</v>
      </c>
      <c r="AE2779">
        <v>-22.073899999999899</v>
      </c>
      <c r="AF2779">
        <v>-7.0073349788357699</v>
      </c>
      <c r="AG2779">
        <v>-1.1655799999999901</v>
      </c>
      <c r="AH2779">
        <v>36.278423179642402</v>
      </c>
      <c r="AI2779">
        <v>91.806834314776907</v>
      </c>
      <c r="AJ2779">
        <v>100.93229917721401</v>
      </c>
      <c r="AK2779">
        <v>36.967354634098797</v>
      </c>
      <c r="AL2779">
        <v>79.634707927163504</v>
      </c>
      <c r="AM2779">
        <v>101.788949668987</v>
      </c>
      <c r="AN2779">
        <v>1.00000001983569</v>
      </c>
    </row>
    <row r="2780" spans="1:40" x14ac:dyDescent="0.25">
      <c r="A2780" t="str">
        <f>"20190304155111673"</f>
        <v>20190304155111673</v>
      </c>
      <c r="B2780" t="str">
        <f>"1551685871668943"</f>
        <v>1551685871668943</v>
      </c>
      <c r="C2780" t="s">
        <v>40</v>
      </c>
      <c r="D2780">
        <v>4.0689970000000004</v>
      </c>
      <c r="E2780">
        <v>0.50127670000000002</v>
      </c>
      <c r="F2780" t="s">
        <v>42</v>
      </c>
      <c r="G2780">
        <v>-511.60890000000001</v>
      </c>
      <c r="H2780">
        <v>-0.05</v>
      </c>
      <c r="I2780">
        <v>258.1551</v>
      </c>
      <c r="J2780">
        <v>-481.2937</v>
      </c>
      <c r="K2780">
        <v>1.1155969999999999</v>
      </c>
      <c r="L2780">
        <v>280.87920000000003</v>
      </c>
      <c r="M2780">
        <v>-0.89918739999999997</v>
      </c>
      <c r="N2780">
        <v>-1.419228E-2</v>
      </c>
      <c r="O2780">
        <v>-0.437334</v>
      </c>
      <c r="P2780">
        <v>-0.78089069999999905</v>
      </c>
      <c r="Q2780">
        <v>0.1685314</v>
      </c>
      <c r="R2780">
        <v>-0.60150419999999905</v>
      </c>
      <c r="S2780">
        <v>-2.4491269999999998</v>
      </c>
      <c r="T2780">
        <v>-9.3851210000000004E-2</v>
      </c>
      <c r="U2780">
        <v>-1.8340449999999999</v>
      </c>
      <c r="V2780">
        <v>-0.2015362</v>
      </c>
      <c r="W2780">
        <v>0.17982110000000001</v>
      </c>
      <c r="X2780">
        <v>0.9628331</v>
      </c>
      <c r="Y2780">
        <v>-0.18887770000000001</v>
      </c>
      <c r="Z2780">
        <v>3.360165E-3</v>
      </c>
      <c r="AA2780">
        <v>0.9819949</v>
      </c>
      <c r="AB2780">
        <v>23</v>
      </c>
      <c r="AC2780">
        <v>-30.315200000000001</v>
      </c>
      <c r="AD2780">
        <v>-1.165597</v>
      </c>
      <c r="AE2780">
        <v>-22.7241</v>
      </c>
      <c r="AF2780">
        <v>-7.1692921185199596</v>
      </c>
      <c r="AG2780">
        <v>-1.165597</v>
      </c>
      <c r="AH2780">
        <v>37.165628510823097</v>
      </c>
      <c r="AI2780">
        <v>91.763838515849699</v>
      </c>
      <c r="AJ2780">
        <v>100.91831287925901</v>
      </c>
      <c r="AK2780">
        <v>37.868737877721699</v>
      </c>
      <c r="AL2780">
        <v>79.640660679694307</v>
      </c>
      <c r="AM2780">
        <v>101.822229071168</v>
      </c>
      <c r="AN2780">
        <v>1.0000000231856201</v>
      </c>
    </row>
    <row r="2781" spans="1:40" x14ac:dyDescent="0.25">
      <c r="A2781" t="str">
        <f>"20190304155111685"</f>
        <v>20190304155111685</v>
      </c>
      <c r="B2781" t="str">
        <f>"1551685871679679"</f>
        <v>1551685871679679</v>
      </c>
      <c r="C2781" t="s">
        <v>40</v>
      </c>
      <c r="D2781">
        <v>4.0739080000000003</v>
      </c>
      <c r="E2781">
        <v>0.50170459999999995</v>
      </c>
      <c r="F2781" t="s">
        <v>42</v>
      </c>
      <c r="G2781">
        <v>-511.95589999999999</v>
      </c>
      <c r="H2781">
        <v>-0.05</v>
      </c>
      <c r="I2781">
        <v>257.77170000000001</v>
      </c>
      <c r="J2781">
        <v>-481.3981</v>
      </c>
      <c r="K2781">
        <v>1.11561</v>
      </c>
      <c r="L2781">
        <v>280.82369999999997</v>
      </c>
      <c r="M2781">
        <v>-0.89739619999999998</v>
      </c>
      <c r="N2781">
        <v>-1.419517E-2</v>
      </c>
      <c r="O2781">
        <v>-0.44099719999999998</v>
      </c>
      <c r="P2781">
        <v>-0.77807249999999994</v>
      </c>
      <c r="Q2781">
        <v>0.16886370000000001</v>
      </c>
      <c r="R2781">
        <v>-0.60505259999999905</v>
      </c>
      <c r="S2781">
        <v>-2.4434200000000001</v>
      </c>
      <c r="T2781">
        <v>-9.2884540000000002E-2</v>
      </c>
      <c r="U2781">
        <v>-1.8413999999999999</v>
      </c>
      <c r="V2781">
        <v>-0.20203699999999999</v>
      </c>
      <c r="W2781">
        <v>0.18013959999999901</v>
      </c>
      <c r="X2781">
        <v>0.96266850000000004</v>
      </c>
      <c r="Y2781">
        <v>-0.18786149999999999</v>
      </c>
      <c r="Z2781">
        <v>3.3357970000000002E-3</v>
      </c>
      <c r="AA2781">
        <v>0.98218989999999995</v>
      </c>
      <c r="AB2781">
        <v>23</v>
      </c>
      <c r="AC2781">
        <v>-30.557799999999901</v>
      </c>
      <c r="AD2781">
        <v>-1.16561</v>
      </c>
      <c r="AE2781">
        <v>-23.0519999999999</v>
      </c>
      <c r="AF2781">
        <v>-7.2049186004467103</v>
      </c>
      <c r="AG2781">
        <v>-1.16561</v>
      </c>
      <c r="AH2781">
        <v>37.557282574530397</v>
      </c>
      <c r="AI2781">
        <v>91.745819804883396</v>
      </c>
      <c r="AJ2781">
        <v>100.85957996533099</v>
      </c>
      <c r="AK2781">
        <v>38.259887259299298</v>
      </c>
      <c r="AL2781">
        <v>79.622108082017107</v>
      </c>
      <c r="AM2781">
        <v>101.85274552632499</v>
      </c>
      <c r="AN2781">
        <v>0.99999993287470201</v>
      </c>
    </row>
    <row r="2782" spans="1:40" x14ac:dyDescent="0.25">
      <c r="A2782" t="str">
        <f>"20190304155111697"</f>
        <v>20190304155111697</v>
      </c>
      <c r="B2782" t="str">
        <f>"1551685871689439"</f>
        <v>1551685871689439</v>
      </c>
      <c r="C2782" t="s">
        <v>40</v>
      </c>
      <c r="D2782">
        <v>4.0619459999999998</v>
      </c>
      <c r="E2782">
        <v>0.50218119999999999</v>
      </c>
      <c r="F2782" t="s">
        <v>75</v>
      </c>
      <c r="G2782">
        <v>-512.82510000000002</v>
      </c>
      <c r="H2782">
        <v>-4.8039499999999999E-2</v>
      </c>
      <c r="I2782">
        <v>256.96010000000001</v>
      </c>
      <c r="J2782">
        <v>-481.49779999999998</v>
      </c>
      <c r="K2782">
        <v>1.115632</v>
      </c>
      <c r="L2782">
        <v>280.76979999999998</v>
      </c>
      <c r="M2782">
        <v>-0.89565439999999996</v>
      </c>
      <c r="N2782">
        <v>-1.4198219999999999E-2</v>
      </c>
      <c r="O2782">
        <v>-0.44452390000000003</v>
      </c>
      <c r="P2782">
        <v>-0.77548859999999997</v>
      </c>
      <c r="Q2782">
        <v>0.1688789</v>
      </c>
      <c r="R2782">
        <v>-0.60835669999999897</v>
      </c>
      <c r="S2782">
        <v>-2.4365230000000002</v>
      </c>
      <c r="T2782">
        <v>-9.0211029999999998E-2</v>
      </c>
      <c r="U2782">
        <v>-1.850128</v>
      </c>
      <c r="V2782">
        <v>-0.2023549</v>
      </c>
      <c r="W2782">
        <v>0.18014469999999999</v>
      </c>
      <c r="X2782">
        <v>0.96260080000000003</v>
      </c>
      <c r="Y2782">
        <v>-0.18756880000000001</v>
      </c>
      <c r="Z2782">
        <v>3.0911430000000002E-3</v>
      </c>
      <c r="AA2782">
        <v>0.98224659999999997</v>
      </c>
      <c r="AB2782">
        <v>23</v>
      </c>
      <c r="AC2782">
        <v>-31.327300000000001</v>
      </c>
      <c r="AD2782">
        <v>-1.1636715</v>
      </c>
      <c r="AE2782">
        <v>-23.8096999999999</v>
      </c>
      <c r="AF2782">
        <v>-7.3938087812604296</v>
      </c>
      <c r="AG2782">
        <v>-1.1636715</v>
      </c>
      <c r="AH2782">
        <v>38.612542226108502</v>
      </c>
      <c r="AI2782">
        <v>91.695423264808795</v>
      </c>
      <c r="AJ2782">
        <v>100.840187675723</v>
      </c>
      <c r="AK2782">
        <v>39.331297420969598</v>
      </c>
      <c r="AL2782">
        <v>79.621811291220197</v>
      </c>
      <c r="AM2782">
        <v>101.871677954951</v>
      </c>
      <c r="AN2782">
        <v>0.99999995932636898</v>
      </c>
    </row>
    <row r="2783" spans="1:40" x14ac:dyDescent="0.25">
      <c r="A2783" t="str">
        <f>"20190304155111708"</f>
        <v>20190304155111708</v>
      </c>
      <c r="B2783" t="str">
        <f>"1551685871699199"</f>
        <v>1551685871699199</v>
      </c>
      <c r="C2783" t="s">
        <v>40</v>
      </c>
      <c r="D2783">
        <v>4.0858860000000004</v>
      </c>
      <c r="E2783">
        <v>0.50218119999999999</v>
      </c>
      <c r="F2783" t="s">
        <v>75</v>
      </c>
      <c r="G2783">
        <v>-512.82510000000002</v>
      </c>
      <c r="H2783">
        <v>-2.761984E-2</v>
      </c>
      <c r="I2783">
        <v>256.82810000000001</v>
      </c>
      <c r="J2783">
        <v>-481.60309999999998</v>
      </c>
      <c r="K2783">
        <v>1.1156539999999999</v>
      </c>
      <c r="L2783">
        <v>280.71260000000001</v>
      </c>
      <c r="M2783">
        <v>-0.89379129999999996</v>
      </c>
      <c r="N2783">
        <v>-1.4201419999999999E-2</v>
      </c>
      <c r="O2783">
        <v>-0.44825799999999999</v>
      </c>
      <c r="P2783">
        <v>-0.77292159999999999</v>
      </c>
      <c r="Q2783">
        <v>0.16868900000000001</v>
      </c>
      <c r="R2783">
        <v>-0.61166690000000001</v>
      </c>
      <c r="S2783">
        <v>-2.4305729999999999</v>
      </c>
      <c r="T2783">
        <v>-8.8694449999999994E-2</v>
      </c>
      <c r="U2783">
        <v>-1.8575440000000001</v>
      </c>
      <c r="V2783">
        <v>-0.2024408</v>
      </c>
      <c r="W2783">
        <v>0.1799482</v>
      </c>
      <c r="X2783">
        <v>0.96261949999999996</v>
      </c>
      <c r="Y2783">
        <v>-0.1865223</v>
      </c>
      <c r="Z2783">
        <v>2.9955979999999999E-3</v>
      </c>
      <c r="AA2783">
        <v>0.98244609999999999</v>
      </c>
      <c r="AB2783">
        <v>23</v>
      </c>
      <c r="AC2783">
        <v>-31.222000000000001</v>
      </c>
      <c r="AD2783">
        <v>-1.14327384</v>
      </c>
      <c r="AE2783">
        <v>-23.884499999999999</v>
      </c>
      <c r="AF2783">
        <v>-7.3467750087676196</v>
      </c>
      <c r="AG2783">
        <v>-1.14327384</v>
      </c>
      <c r="AH2783">
        <v>38.583632334191698</v>
      </c>
      <c r="AI2783">
        <v>91.667299111563395</v>
      </c>
      <c r="AJ2783">
        <v>100.78073213658701</v>
      </c>
      <c r="AK2783">
        <v>39.293496436468502</v>
      </c>
      <c r="AL2783">
        <v>79.633257036458403</v>
      </c>
      <c r="AM2783">
        <v>101.87635024592601</v>
      </c>
      <c r="AN2783">
        <v>0.99999996698406401</v>
      </c>
    </row>
    <row r="2784" spans="1:40" x14ac:dyDescent="0.25">
      <c r="A2784" t="str">
        <f>"20190304155111721"</f>
        <v>20190304155111721</v>
      </c>
      <c r="B2784" t="str">
        <f>"1551685871708959"</f>
        <v>1551685871708959</v>
      </c>
      <c r="C2784" t="s">
        <v>40</v>
      </c>
      <c r="D2784">
        <v>4.0652220000000003</v>
      </c>
      <c r="E2784">
        <v>0.51103029999999905</v>
      </c>
      <c r="F2784" t="s">
        <v>75</v>
      </c>
      <c r="G2784">
        <v>-512.82510000000002</v>
      </c>
      <c r="H2784">
        <v>-3.5389240000000002E-2</v>
      </c>
      <c r="I2784">
        <v>256.6379</v>
      </c>
      <c r="J2784">
        <v>-481.72089999999997</v>
      </c>
      <c r="K2784">
        <v>1.1156740000000001</v>
      </c>
      <c r="L2784">
        <v>280.64760000000001</v>
      </c>
      <c r="M2784">
        <v>-0.89166339999999999</v>
      </c>
      <c r="N2784">
        <v>-1.4205300000000001E-2</v>
      </c>
      <c r="O2784">
        <v>-0.45247609999999999</v>
      </c>
      <c r="P2784">
        <v>-0.76990029999999998</v>
      </c>
      <c r="Q2784">
        <v>0.1687854</v>
      </c>
      <c r="R2784">
        <v>-0.61543859999999995</v>
      </c>
      <c r="S2784">
        <v>-2.4226070000000002</v>
      </c>
      <c r="T2784">
        <v>-8.9306469999999999E-2</v>
      </c>
      <c r="U2784">
        <v>-1.8680110000000001</v>
      </c>
      <c r="V2784">
        <v>-0.20261979999999999</v>
      </c>
      <c r="W2784">
        <v>0.18003449999999999</v>
      </c>
      <c r="X2784">
        <v>0.96256569999999997</v>
      </c>
      <c r="Y2784">
        <v>-0.1861051</v>
      </c>
      <c r="Z2784">
        <v>3.1463260000000001E-3</v>
      </c>
      <c r="AA2784">
        <v>0.98252479999999998</v>
      </c>
      <c r="AB2784">
        <v>23</v>
      </c>
      <c r="AC2784">
        <v>-31.104199999999999</v>
      </c>
      <c r="AD2784">
        <v>-1.15106324</v>
      </c>
      <c r="AE2784">
        <v>-24.009699999999999</v>
      </c>
      <c r="AF2784">
        <v>-7.3291140979400797</v>
      </c>
      <c r="AG2784">
        <v>-1.15106324</v>
      </c>
      <c r="AH2784">
        <v>38.569088040273201</v>
      </c>
      <c r="AI2784">
        <v>91.679403958725601</v>
      </c>
      <c r="AJ2784">
        <v>100.759382750485</v>
      </c>
      <c r="AK2784">
        <v>39.276143042583101</v>
      </c>
      <c r="AL2784">
        <v>79.6282303013909</v>
      </c>
      <c r="AM2784">
        <v>101.88719828811099</v>
      </c>
      <c r="AN2784">
        <v>0.99999996567938898</v>
      </c>
    </row>
    <row r="2785" spans="1:40" x14ac:dyDescent="0.25">
      <c r="A2785" t="str">
        <f>"20190304155111735"</f>
        <v>20190304155111735</v>
      </c>
      <c r="B2785" t="str">
        <f>"1551685871729455"</f>
        <v>1551685871729455</v>
      </c>
      <c r="C2785" t="s">
        <v>40</v>
      </c>
      <c r="D2785">
        <v>4.0586120000000001</v>
      </c>
      <c r="E2785">
        <v>0.51210579999999895</v>
      </c>
      <c r="F2785" t="s">
        <v>75</v>
      </c>
      <c r="G2785">
        <v>-512.8252</v>
      </c>
      <c r="H2785">
        <v>0.18267040000000001</v>
      </c>
      <c r="I2785">
        <v>257.54199999999997</v>
      </c>
      <c r="J2785">
        <v>-481.83730000000003</v>
      </c>
      <c r="K2785">
        <v>1.1156919999999999</v>
      </c>
      <c r="L2785">
        <v>280.58280000000002</v>
      </c>
      <c r="M2785">
        <v>-0.88952540000000002</v>
      </c>
      <c r="N2785">
        <v>-1.420922E-2</v>
      </c>
      <c r="O2785">
        <v>-0.45666489999999998</v>
      </c>
      <c r="P2785">
        <v>-0.7669551</v>
      </c>
      <c r="Q2785">
        <v>0.1683848</v>
      </c>
      <c r="R2785">
        <v>-0.61921470000000001</v>
      </c>
      <c r="S2785">
        <v>-2.4549560000000001</v>
      </c>
      <c r="T2785">
        <v>-7.363248E-2</v>
      </c>
      <c r="U2785">
        <v>-1.823639</v>
      </c>
      <c r="V2785">
        <v>-0.20278750000000001</v>
      </c>
      <c r="W2785">
        <v>0.17962590000000001</v>
      </c>
      <c r="X2785">
        <v>0.96260670000000004</v>
      </c>
      <c r="Y2785">
        <v>-0.1638145</v>
      </c>
      <c r="Z2785">
        <v>1.696066E-3</v>
      </c>
      <c r="AA2785">
        <v>0.98648970000000002</v>
      </c>
      <c r="AB2785">
        <v>23</v>
      </c>
      <c r="AC2785">
        <v>-30.9878999999999</v>
      </c>
      <c r="AD2785">
        <v>-0.93302160000000001</v>
      </c>
      <c r="AE2785">
        <v>-23.040799999999901</v>
      </c>
      <c r="AF2785">
        <v>-6.3412285556775396</v>
      </c>
      <c r="AG2785">
        <v>-0.93302160000000001</v>
      </c>
      <c r="AH2785">
        <v>38.068066621731198</v>
      </c>
      <c r="AI2785">
        <v>91.384923184562993</v>
      </c>
      <c r="AJ2785">
        <v>99.457271070587595</v>
      </c>
      <c r="AK2785">
        <v>38.603878111116899</v>
      </c>
      <c r="AL2785">
        <v>79.652029137045602</v>
      </c>
      <c r="AM2785">
        <v>101.896264309551</v>
      </c>
      <c r="AN2785">
        <v>0.99999994649597301</v>
      </c>
    </row>
    <row r="2786" spans="1:40" x14ac:dyDescent="0.25">
      <c r="A2786" t="str">
        <f>"20190304155111748"</f>
        <v>20190304155111748</v>
      </c>
      <c r="B2786" t="str">
        <f>"1551685871739215"</f>
        <v>1551685871739215</v>
      </c>
      <c r="C2786" t="s">
        <v>40</v>
      </c>
      <c r="D2786">
        <v>4.0683579999999999</v>
      </c>
      <c r="E2786">
        <v>0.51248320000000003</v>
      </c>
      <c r="F2786" t="s">
        <v>75</v>
      </c>
      <c r="G2786">
        <v>-512.8252</v>
      </c>
      <c r="H2786">
        <v>0.18813530000000001</v>
      </c>
      <c r="I2786">
        <v>257.46420000000001</v>
      </c>
      <c r="J2786">
        <v>-481.95769999999999</v>
      </c>
      <c r="K2786">
        <v>1.115718</v>
      </c>
      <c r="L2786">
        <v>280.51499999999999</v>
      </c>
      <c r="M2786">
        <v>-0.88727710000000004</v>
      </c>
      <c r="N2786">
        <v>-1.421332E-2</v>
      </c>
      <c r="O2786">
        <v>-0.46101779999999998</v>
      </c>
      <c r="P2786">
        <v>-0.76383669999999904</v>
      </c>
      <c r="Q2786">
        <v>0.16800979999999999</v>
      </c>
      <c r="R2786">
        <v>-0.6231584</v>
      </c>
      <c r="S2786">
        <v>-2.4512330000000002</v>
      </c>
      <c r="T2786">
        <v>-7.3366050000000002E-2</v>
      </c>
      <c r="U2786">
        <v>-1.828735</v>
      </c>
      <c r="V2786">
        <v>-0.2029994</v>
      </c>
      <c r="W2786">
        <v>0.17924129999999899</v>
      </c>
      <c r="X2786">
        <v>0.96263379999999998</v>
      </c>
      <c r="Y2786">
        <v>-0.16101770000000001</v>
      </c>
      <c r="Z2786">
        <v>1.7583259999999999E-3</v>
      </c>
      <c r="AA2786">
        <v>0.98694999999999999</v>
      </c>
      <c r="AB2786">
        <v>23</v>
      </c>
      <c r="AC2786">
        <v>-30.8675</v>
      </c>
      <c r="AD2786">
        <v>-0.92758269999999998</v>
      </c>
      <c r="AE2786">
        <v>-23.050799999999899</v>
      </c>
      <c r="AF2786">
        <v>-6.2190029745370303</v>
      </c>
      <c r="AG2786">
        <v>-0.92758269999999998</v>
      </c>
      <c r="AH2786">
        <v>37.9966658384133</v>
      </c>
      <c r="AI2786">
        <v>91.3800831566938</v>
      </c>
      <c r="AJ2786">
        <v>99.295315780362898</v>
      </c>
      <c r="AK2786">
        <v>38.513413539943301</v>
      </c>
      <c r="AL2786">
        <v>79.674429367553799</v>
      </c>
      <c r="AM2786">
        <v>101.908014745682</v>
      </c>
      <c r="AN2786">
        <v>1.00000001646424</v>
      </c>
    </row>
    <row r="2787" spans="1:40" x14ac:dyDescent="0.25">
      <c r="A2787" t="str">
        <f>"20190304155111762"</f>
        <v>20190304155111762</v>
      </c>
      <c r="B2787" t="str">
        <f>"1551685871759711"</f>
        <v>1551685871759711</v>
      </c>
      <c r="C2787" t="s">
        <v>40</v>
      </c>
      <c r="D2787">
        <v>4.0756170000000003</v>
      </c>
      <c r="E2787">
        <v>0.51342559999999904</v>
      </c>
      <c r="F2787" t="s">
        <v>75</v>
      </c>
      <c r="G2787">
        <v>-512.8252</v>
      </c>
      <c r="H2787">
        <v>0.17170550000000001</v>
      </c>
      <c r="I2787">
        <v>257.28469999999999</v>
      </c>
      <c r="J2787">
        <v>-482.08199999999999</v>
      </c>
      <c r="K2787">
        <v>1.1157440000000001</v>
      </c>
      <c r="L2787">
        <v>280.44400000000002</v>
      </c>
      <c r="M2787">
        <v>-0.884903199999999</v>
      </c>
      <c r="N2787">
        <v>-1.421766E-2</v>
      </c>
      <c r="O2787">
        <v>-0.46555800000000003</v>
      </c>
      <c r="P2787">
        <v>-0.76053249999999994</v>
      </c>
      <c r="Q2787">
        <v>0.16783329999999999</v>
      </c>
      <c r="R2787">
        <v>-0.62723379999999995</v>
      </c>
      <c r="S2787">
        <v>-2.4436650000000002</v>
      </c>
      <c r="T2787">
        <v>-7.4727539999999995E-2</v>
      </c>
      <c r="U2787">
        <v>-1.8390500000000001</v>
      </c>
      <c r="V2787">
        <v>-0.2032052</v>
      </c>
      <c r="W2787">
        <v>0.17905460000000001</v>
      </c>
      <c r="X2787">
        <v>0.96262510000000001</v>
      </c>
      <c r="Y2787">
        <v>-0.1600896</v>
      </c>
      <c r="Z2787">
        <v>1.998765E-3</v>
      </c>
      <c r="AA2787">
        <v>0.98710050000000005</v>
      </c>
      <c r="AB2787">
        <v>23</v>
      </c>
      <c r="AC2787">
        <v>-30.743200000000002</v>
      </c>
      <c r="AD2787">
        <v>-0.9440385</v>
      </c>
      <c r="AE2787">
        <v>-23.159300000000002</v>
      </c>
      <c r="AF2787">
        <v>-6.1779042059773399</v>
      </c>
      <c r="AG2787">
        <v>-0.9440385</v>
      </c>
      <c r="AH2787">
        <v>37.967752264632601</v>
      </c>
      <c r="AI2787">
        <v>91.405839955979701</v>
      </c>
      <c r="AJ2787">
        <v>99.241860158303496</v>
      </c>
      <c r="AK2787">
        <v>38.478668390372199</v>
      </c>
      <c r="AL2787">
        <v>79.685302148203405</v>
      </c>
      <c r="AM2787">
        <v>101.919846533745</v>
      </c>
      <c r="AN2787">
        <v>0.99999999311910404</v>
      </c>
    </row>
    <row r="2788" spans="1:40" x14ac:dyDescent="0.25">
      <c r="A2788" t="str">
        <f>"20190304155111775"</f>
        <v>20190304155111775</v>
      </c>
      <c r="B2788" t="str">
        <f>"1551685871769472"</f>
        <v>1551685871769472</v>
      </c>
      <c r="C2788" t="s">
        <v>40</v>
      </c>
      <c r="D2788">
        <v>4.0543779999999998</v>
      </c>
      <c r="E2788">
        <v>0.51342559999999904</v>
      </c>
      <c r="F2788" t="s">
        <v>75</v>
      </c>
      <c r="G2788">
        <v>-512.8252</v>
      </c>
      <c r="H2788">
        <v>0.20691509999999999</v>
      </c>
      <c r="I2788">
        <v>257.16680000000002</v>
      </c>
      <c r="J2788">
        <v>-482.1918</v>
      </c>
      <c r="K2788">
        <v>1.115764</v>
      </c>
      <c r="L2788">
        <v>280.38060000000002</v>
      </c>
      <c r="M2788">
        <v>-0.88276889999999997</v>
      </c>
      <c r="N2788">
        <v>-1.4221599999999999E-2</v>
      </c>
      <c r="O2788">
        <v>-0.46959240000000002</v>
      </c>
      <c r="P2788">
        <v>-0.75771820000000001</v>
      </c>
      <c r="Q2788">
        <v>0.16786400000000001</v>
      </c>
      <c r="R2788">
        <v>-0.63062259999999903</v>
      </c>
      <c r="S2788">
        <v>-2.4380799999999998</v>
      </c>
      <c r="T2788">
        <v>-7.2067980000000004E-2</v>
      </c>
      <c r="U2788">
        <v>-1.8459779999999999</v>
      </c>
      <c r="V2788">
        <v>-0.2031212</v>
      </c>
      <c r="W2788">
        <v>0.17907989999999999</v>
      </c>
      <c r="X2788">
        <v>0.96263810000000005</v>
      </c>
      <c r="Y2788">
        <v>-0.1584554</v>
      </c>
      <c r="Z2788">
        <v>1.726754E-3</v>
      </c>
      <c r="AA2788">
        <v>0.98736460000000004</v>
      </c>
      <c r="AB2788">
        <v>23</v>
      </c>
      <c r="AC2788">
        <v>-30.633399999999899</v>
      </c>
      <c r="AD2788">
        <v>-0.90884889999999996</v>
      </c>
      <c r="AE2788">
        <v>-23.2137999999999</v>
      </c>
      <c r="AF2788">
        <v>-6.1044127218725501</v>
      </c>
      <c r="AG2788">
        <v>-0.90884889999999996</v>
      </c>
      <c r="AH2788">
        <v>37.925864831232097</v>
      </c>
      <c r="AI2788">
        <v>91.355326152869097</v>
      </c>
      <c r="AJ2788">
        <v>99.143701834561895</v>
      </c>
      <c r="AK2788">
        <v>38.424745727185702</v>
      </c>
      <c r="AL2788">
        <v>79.683828530179298</v>
      </c>
      <c r="AM2788">
        <v>101.914903719569</v>
      </c>
      <c r="AN2788">
        <v>0.99999997202252899</v>
      </c>
    </row>
    <row r="2789" spans="1:40" x14ac:dyDescent="0.25">
      <c r="A2789" t="str">
        <f>"20190304155111788"</f>
        <v>20190304155111788</v>
      </c>
      <c r="B2789" t="str">
        <f>"1551685871779232"</f>
        <v>1551685871779232</v>
      </c>
      <c r="C2789" t="s">
        <v>40</v>
      </c>
      <c r="D2789">
        <v>4.0641990000000003</v>
      </c>
      <c r="E2789">
        <v>0.51869909999999997</v>
      </c>
      <c r="F2789" t="s">
        <v>75</v>
      </c>
      <c r="G2789">
        <v>-512.8252</v>
      </c>
      <c r="H2789">
        <v>0.2086045</v>
      </c>
      <c r="I2789">
        <v>256.97359999999998</v>
      </c>
      <c r="J2789">
        <v>-482.30180000000001</v>
      </c>
      <c r="K2789">
        <v>1.115785</v>
      </c>
      <c r="L2789">
        <v>280.31659999999999</v>
      </c>
      <c r="M2789">
        <v>-0.88060130000000003</v>
      </c>
      <c r="N2789">
        <v>-1.422556E-2</v>
      </c>
      <c r="O2789">
        <v>-0.47364450000000002</v>
      </c>
      <c r="P2789">
        <v>-0.75478489999999998</v>
      </c>
      <c r="Q2789">
        <v>0.1678539</v>
      </c>
      <c r="R2789">
        <v>-0.63413350000000002</v>
      </c>
      <c r="S2789">
        <v>-2.4299620000000002</v>
      </c>
      <c r="T2789">
        <v>-7.1953180000000005E-2</v>
      </c>
      <c r="U2789">
        <v>-1.8567199999999999</v>
      </c>
      <c r="V2789">
        <v>-0.2031741</v>
      </c>
      <c r="W2789">
        <v>0.1790621</v>
      </c>
      <c r="X2789">
        <v>0.96263030000000005</v>
      </c>
      <c r="Y2789">
        <v>-0.15826499999999999</v>
      </c>
      <c r="Z2789">
        <v>1.756943E-3</v>
      </c>
      <c r="AA2789">
        <v>0.98739509999999997</v>
      </c>
      <c r="AB2789">
        <v>23</v>
      </c>
      <c r="AC2789">
        <v>-30.523399999999899</v>
      </c>
      <c r="AD2789">
        <v>-0.90718049999999995</v>
      </c>
      <c r="AE2789">
        <v>-23.343</v>
      </c>
      <c r="AF2789">
        <v>-6.0958548378615802</v>
      </c>
      <c r="AG2789">
        <v>-0.90718049999999995</v>
      </c>
      <c r="AH2789">
        <v>37.9179320702764</v>
      </c>
      <c r="AI2789">
        <v>91.353162715043197</v>
      </c>
      <c r="AJ2789">
        <v>99.132977326246007</v>
      </c>
      <c r="AK2789">
        <v>38.415517634804203</v>
      </c>
      <c r="AL2789">
        <v>79.684865677479095</v>
      </c>
      <c r="AM2789">
        <v>101.918011867896</v>
      </c>
      <c r="AN2789">
        <v>1.00000002252265</v>
      </c>
    </row>
    <row r="2790" spans="1:40" x14ac:dyDescent="0.25">
      <c r="A2790" t="str">
        <f>"20190304155111800"</f>
        <v>20190304155111800</v>
      </c>
      <c r="B2790" t="str">
        <f>"1551685871788992"</f>
        <v>1551685871788992</v>
      </c>
      <c r="C2790" t="s">
        <v>40</v>
      </c>
      <c r="D2790">
        <v>4.0495549999999998</v>
      </c>
      <c r="E2790">
        <v>0.51927630000000002</v>
      </c>
      <c r="F2790" t="s">
        <v>75</v>
      </c>
      <c r="G2790">
        <v>-512.82529999999997</v>
      </c>
      <c r="H2790">
        <v>0.34026919999999999</v>
      </c>
      <c r="I2790">
        <v>257.41809999999998</v>
      </c>
      <c r="J2790">
        <v>-482.41289999999998</v>
      </c>
      <c r="K2790">
        <v>1.1158079999999999</v>
      </c>
      <c r="L2790">
        <v>280.25069999999999</v>
      </c>
      <c r="M2790">
        <v>-0.87835719999999995</v>
      </c>
      <c r="N2790">
        <v>-1.4230049999999999E-2</v>
      </c>
      <c r="O2790">
        <v>-0.47779319999999997</v>
      </c>
      <c r="P2790">
        <v>-0.75194819999999996</v>
      </c>
      <c r="Q2790">
        <v>0.16750470000000001</v>
      </c>
      <c r="R2790">
        <v>-0.63758619999999899</v>
      </c>
      <c r="S2790">
        <v>-2.4465330000000001</v>
      </c>
      <c r="T2790">
        <v>-6.2153100000000003E-2</v>
      </c>
      <c r="U2790">
        <v>-1.835358</v>
      </c>
      <c r="V2790">
        <v>-0.20301430000000001</v>
      </c>
      <c r="W2790">
        <v>0.1787088</v>
      </c>
      <c r="X2790">
        <v>0.96272959999999996</v>
      </c>
      <c r="Y2790">
        <v>-0.144872</v>
      </c>
      <c r="Z2790">
        <v>6.9918689999999995E-4</v>
      </c>
      <c r="AA2790">
        <v>0.98945019999999995</v>
      </c>
      <c r="AB2790">
        <v>23</v>
      </c>
      <c r="AC2790">
        <v>-30.412399999999899</v>
      </c>
      <c r="AD2790">
        <v>-0.77553879999999897</v>
      </c>
      <c r="AE2790">
        <v>-22.832599999999999</v>
      </c>
      <c r="AF2790">
        <v>-5.5226027953959198</v>
      </c>
      <c r="AG2790">
        <v>-0.77553879999999897</v>
      </c>
      <c r="AH2790">
        <v>37.610376015279002</v>
      </c>
      <c r="AI2790">
        <v>91.168761927008504</v>
      </c>
      <c r="AJ2790">
        <v>98.353457165674698</v>
      </c>
      <c r="AK2790">
        <v>38.021585791188301</v>
      </c>
      <c r="AL2790">
        <v>79.705439513796904</v>
      </c>
      <c r="AM2790">
        <v>101.907712624769</v>
      </c>
      <c r="AN2790">
        <v>0.99999996195904395</v>
      </c>
    </row>
    <row r="2791" spans="1:40" x14ac:dyDescent="0.25">
      <c r="A2791" t="str">
        <f>"20190304155111819"</f>
        <v>20190304155111819</v>
      </c>
      <c r="B2791" t="str">
        <f>"1551685871809487"</f>
        <v>1551685871809487</v>
      </c>
      <c r="C2791" t="s">
        <v>40</v>
      </c>
      <c r="D2791">
        <v>4.0376580000000004</v>
      </c>
      <c r="E2791">
        <v>0.52000659999999999</v>
      </c>
      <c r="F2791" t="s">
        <v>75</v>
      </c>
      <c r="G2791">
        <v>-512.82529999999997</v>
      </c>
      <c r="H2791">
        <v>0.35731770000000002</v>
      </c>
      <c r="I2791">
        <v>257.29219999999998</v>
      </c>
      <c r="J2791">
        <v>-482.57279999999997</v>
      </c>
      <c r="K2791">
        <v>1.115839</v>
      </c>
      <c r="L2791">
        <v>280.15499999999997</v>
      </c>
      <c r="M2791">
        <v>-0.87506459999999997</v>
      </c>
      <c r="N2791">
        <v>-1.4236830000000001E-2</v>
      </c>
      <c r="O2791">
        <v>-0.48379680000000003</v>
      </c>
      <c r="P2791">
        <v>-0.74768250000000003</v>
      </c>
      <c r="Q2791">
        <v>0.16708000000000001</v>
      </c>
      <c r="R2791">
        <v>-0.64269419999999899</v>
      </c>
      <c r="S2791">
        <v>-2.4408259999999999</v>
      </c>
      <c r="T2791">
        <v>-6.086838E-2</v>
      </c>
      <c r="U2791">
        <v>-1.84259</v>
      </c>
      <c r="V2791">
        <v>-0.20294429999999999</v>
      </c>
      <c r="W2791">
        <v>0.17827479999999901</v>
      </c>
      <c r="X2791">
        <v>0.96282489999999998</v>
      </c>
      <c r="Y2791">
        <v>-0.14107690000000001</v>
      </c>
      <c r="Z2791">
        <v>6.2205949999999996E-4</v>
      </c>
      <c r="AA2791">
        <v>0.9899985</v>
      </c>
      <c r="AB2791">
        <v>23</v>
      </c>
      <c r="AC2791">
        <v>-30.252500000000001</v>
      </c>
      <c r="AD2791">
        <v>-0.75852129999999995</v>
      </c>
      <c r="AE2791">
        <v>-22.8628</v>
      </c>
      <c r="AF2791">
        <v>-5.3687601526267503</v>
      </c>
      <c r="AG2791">
        <v>-0.75852129999999995</v>
      </c>
      <c r="AH2791">
        <v>37.522630180584798</v>
      </c>
      <c r="AI2791">
        <v>91.146406449770694</v>
      </c>
      <c r="AJ2791">
        <v>98.142648619877505</v>
      </c>
      <c r="AK2791">
        <v>37.912355714303999</v>
      </c>
      <c r="AL2791">
        <v>79.730712536313703</v>
      </c>
      <c r="AM2791">
        <v>101.902579341071</v>
      </c>
      <c r="AN2791">
        <v>1.0000000406387599</v>
      </c>
    </row>
    <row r="2792" spans="1:40" x14ac:dyDescent="0.25">
      <c r="A2792" t="str">
        <f>"20190304155111831"</f>
        <v>20190304155111831</v>
      </c>
      <c r="B2792" t="str">
        <f>"1551685871829983"</f>
        <v>1551685871829983</v>
      </c>
      <c r="C2792" t="s">
        <v>40</v>
      </c>
      <c r="D2792">
        <v>4.0670080000000004</v>
      </c>
      <c r="E2792">
        <v>0.52044000000000001</v>
      </c>
      <c r="F2792" t="s">
        <v>75</v>
      </c>
      <c r="G2792">
        <v>-512.82529999999997</v>
      </c>
      <c r="H2792">
        <v>0.33281329999999998</v>
      </c>
      <c r="I2792">
        <v>257.08339999999998</v>
      </c>
      <c r="J2792">
        <v>-482.67939999999999</v>
      </c>
      <c r="K2792">
        <v>1.1158680000000001</v>
      </c>
      <c r="L2792">
        <v>280.09030000000001</v>
      </c>
      <c r="M2792">
        <v>-0.87282059999999995</v>
      </c>
      <c r="N2792">
        <v>-1.424156E-2</v>
      </c>
      <c r="O2792">
        <v>-0.48783369999999998</v>
      </c>
      <c r="P2792">
        <v>-0.74474839999999998</v>
      </c>
      <c r="Q2792">
        <v>0.1668531</v>
      </c>
      <c r="R2792">
        <v>-0.64615049999999996</v>
      </c>
      <c r="S2792">
        <v>-2.4320979999999999</v>
      </c>
      <c r="T2792">
        <v>-6.2943700000000005E-2</v>
      </c>
      <c r="U2792">
        <v>-1.854797</v>
      </c>
      <c r="V2792">
        <v>-0.2029406</v>
      </c>
      <c r="W2792">
        <v>0.17804120000000001</v>
      </c>
      <c r="X2792">
        <v>0.96286890000000003</v>
      </c>
      <c r="Y2792">
        <v>-0.14135899999999901</v>
      </c>
      <c r="Z2792">
        <v>9.3116900000000003E-4</v>
      </c>
      <c r="AA2792">
        <v>0.989958</v>
      </c>
      <c r="AB2792">
        <v>23</v>
      </c>
      <c r="AC2792">
        <v>-30.145899999999902</v>
      </c>
      <c r="AD2792">
        <v>-0.78305469999999999</v>
      </c>
      <c r="AE2792">
        <v>-23.006900000000002</v>
      </c>
      <c r="AF2792">
        <v>-5.3729636205048799</v>
      </c>
      <c r="AG2792">
        <v>-0.78305469999999999</v>
      </c>
      <c r="AH2792">
        <v>37.523305170491</v>
      </c>
      <c r="AI2792">
        <v>91.183435672208006</v>
      </c>
      <c r="AJ2792">
        <v>98.148793689767203</v>
      </c>
      <c r="AK2792">
        <v>37.914117999081199</v>
      </c>
      <c r="AL2792">
        <v>79.744314399947697</v>
      </c>
      <c r="AM2792">
        <v>101.901840139711</v>
      </c>
      <c r="AN2792">
        <v>1.0000000373064999</v>
      </c>
    </row>
    <row r="2793" spans="1:40" x14ac:dyDescent="0.25">
      <c r="A2793" t="str">
        <f>"20190304155111842"</f>
        <v>20190304155111842</v>
      </c>
      <c r="B2793" t="str">
        <f>"1551685871839743"</f>
        <v>1551685871839743</v>
      </c>
      <c r="C2793" t="s">
        <v>40</v>
      </c>
      <c r="D2793">
        <v>4.0543820000000004</v>
      </c>
      <c r="E2793">
        <v>0.52044000000000001</v>
      </c>
      <c r="F2793" t="s">
        <v>75</v>
      </c>
      <c r="G2793">
        <v>-512.82529999999997</v>
      </c>
      <c r="H2793">
        <v>0.34489589999999998</v>
      </c>
      <c r="I2793">
        <v>256.93209999999999</v>
      </c>
      <c r="J2793">
        <v>-482.77949999999998</v>
      </c>
      <c r="K2793">
        <v>1.115893</v>
      </c>
      <c r="L2793">
        <v>280.029</v>
      </c>
      <c r="M2793">
        <v>-0.87067669999999997</v>
      </c>
      <c r="N2793">
        <v>-1.4246170000000001E-2</v>
      </c>
      <c r="O2793">
        <v>-0.49164950000000002</v>
      </c>
      <c r="P2793">
        <v>-0.741863099999999</v>
      </c>
      <c r="Q2793">
        <v>0.166825799999999</v>
      </c>
      <c r="R2793">
        <v>-0.64946809999999999</v>
      </c>
      <c r="S2793">
        <v>-2.4255070000000001</v>
      </c>
      <c r="T2793">
        <v>-6.2025429999999999E-2</v>
      </c>
      <c r="U2793">
        <v>-1.863281</v>
      </c>
      <c r="V2793">
        <v>-0.20303060000000001</v>
      </c>
      <c r="W2793">
        <v>0.17800460000000001</v>
      </c>
      <c r="X2793">
        <v>0.96285670000000001</v>
      </c>
      <c r="Y2793">
        <v>-0.1405035</v>
      </c>
      <c r="Z2793">
        <v>8.423676E-4</v>
      </c>
      <c r="AA2793">
        <v>0.99007979999999995</v>
      </c>
      <c r="AB2793">
        <v>23</v>
      </c>
      <c r="AC2793">
        <v>-30.0457999999999</v>
      </c>
      <c r="AD2793">
        <v>-0.77099709999999999</v>
      </c>
      <c r="AE2793">
        <v>-23.096900000000002</v>
      </c>
      <c r="AF2793">
        <v>-5.33626298712338</v>
      </c>
      <c r="AG2793">
        <v>-0.77099709999999999</v>
      </c>
      <c r="AH2793">
        <v>37.504040438513101</v>
      </c>
      <c r="AI2793">
        <v>91.165963942374901</v>
      </c>
      <c r="AJ2793">
        <v>98.097974928928494</v>
      </c>
      <c r="AK2793">
        <v>37.8896184780155</v>
      </c>
      <c r="AL2793">
        <v>79.746445529951401</v>
      </c>
      <c r="AM2793">
        <v>101.90711429501501</v>
      </c>
      <c r="AN2793">
        <v>1.0000000434462</v>
      </c>
    </row>
    <row r="2794" spans="1:40" x14ac:dyDescent="0.25">
      <c r="A2794" t="str">
        <f>"20190304155111854"</f>
        <v>20190304155111854</v>
      </c>
      <c r="B2794" t="str">
        <f>"1551685871849502"</f>
        <v>1551685871849502</v>
      </c>
      <c r="C2794" t="s">
        <v>40</v>
      </c>
      <c r="D2794">
        <v>4.046748</v>
      </c>
      <c r="E2794">
        <v>0.52549699999999999</v>
      </c>
      <c r="F2794" t="s">
        <v>75</v>
      </c>
      <c r="G2794">
        <v>-512.82529999999997</v>
      </c>
      <c r="H2794">
        <v>0.34379609999999999</v>
      </c>
      <c r="I2794">
        <v>256.73680000000002</v>
      </c>
      <c r="J2794">
        <v>-482.86720000000003</v>
      </c>
      <c r="K2794">
        <v>1.1159159999999999</v>
      </c>
      <c r="L2794">
        <v>279.97460000000001</v>
      </c>
      <c r="M2794">
        <v>-0.86876390000000003</v>
      </c>
      <c r="N2794">
        <v>-1.425033E-2</v>
      </c>
      <c r="O2794">
        <v>-0.49502160000000001</v>
      </c>
      <c r="P2794">
        <v>-0.73942719999999995</v>
      </c>
      <c r="Q2794">
        <v>0.16677879999999901</v>
      </c>
      <c r="R2794">
        <v>-0.65225180000000005</v>
      </c>
      <c r="S2794">
        <v>-2.417297</v>
      </c>
      <c r="T2794">
        <v>-6.2111739999999999E-2</v>
      </c>
      <c r="U2794">
        <v>-1.8739319999999999</v>
      </c>
      <c r="V2794">
        <v>-0.2029205</v>
      </c>
      <c r="W2794">
        <v>0.177952</v>
      </c>
      <c r="X2794">
        <v>0.96288960000000001</v>
      </c>
      <c r="Y2794">
        <v>-0.14101749999999999</v>
      </c>
      <c r="Z2794">
        <v>8.6942839999999905E-4</v>
      </c>
      <c r="AA2794">
        <v>0.99000670000000002</v>
      </c>
      <c r="AB2794">
        <v>23</v>
      </c>
      <c r="AC2794">
        <v>-29.958099999999899</v>
      </c>
      <c r="AD2794">
        <v>-0.77211989999999897</v>
      </c>
      <c r="AE2794">
        <v>-23.2378</v>
      </c>
      <c r="AF2794">
        <v>-5.3565773025352899</v>
      </c>
      <c r="AG2794">
        <v>-0.77211989999999897</v>
      </c>
      <c r="AH2794">
        <v>37.517976852596099</v>
      </c>
      <c r="AI2794">
        <v>91.167148199400401</v>
      </c>
      <c r="AJ2794">
        <v>98.125412400812195</v>
      </c>
      <c r="AK2794">
        <v>37.906301278942401</v>
      </c>
      <c r="AL2794">
        <v>79.749507866399497</v>
      </c>
      <c r="AM2794">
        <v>101.90044640697499</v>
      </c>
      <c r="AN2794">
        <v>1.0000000127062001</v>
      </c>
    </row>
    <row r="2795" spans="1:40" x14ac:dyDescent="0.25">
      <c r="A2795" t="str">
        <f>"20190304155111865"</f>
        <v>20190304155111865</v>
      </c>
      <c r="B2795" t="str">
        <f>"1551685871859263"</f>
        <v>1551685871859263</v>
      </c>
      <c r="C2795" t="s">
        <v>40</v>
      </c>
      <c r="D2795">
        <v>4.0465839999999904</v>
      </c>
      <c r="E2795">
        <v>0.52549699999999999</v>
      </c>
      <c r="F2795" t="s">
        <v>75</v>
      </c>
      <c r="G2795">
        <v>-512.82529999999997</v>
      </c>
      <c r="H2795">
        <v>0.57579639999999999</v>
      </c>
      <c r="I2795">
        <v>257.1832</v>
      </c>
      <c r="J2795">
        <v>-482.96850000000001</v>
      </c>
      <c r="K2795">
        <v>1.115945</v>
      </c>
      <c r="L2795">
        <v>279.91140000000001</v>
      </c>
      <c r="M2795">
        <v>-0.86652739999999995</v>
      </c>
      <c r="N2795">
        <v>-1.4255149999999999E-2</v>
      </c>
      <c r="O2795">
        <v>-0.49892629999999999</v>
      </c>
      <c r="P2795">
        <v>-0.73649290000000001</v>
      </c>
      <c r="Q2795">
        <v>0.16666819999999999</v>
      </c>
      <c r="R2795">
        <v>-0.65559179999999995</v>
      </c>
      <c r="S2795">
        <v>-2.4338380000000002</v>
      </c>
      <c r="T2795">
        <v>-4.3873790000000003E-2</v>
      </c>
      <c r="U2795">
        <v>-1.851593</v>
      </c>
      <c r="V2795">
        <v>-0.20294280000000001</v>
      </c>
      <c r="W2795">
        <v>0.17783280000000001</v>
      </c>
      <c r="X2795">
        <v>0.96290690000000001</v>
      </c>
      <c r="Y2795">
        <v>-0.1275654</v>
      </c>
      <c r="Z2795">
        <v>-1.542557E-3</v>
      </c>
      <c r="AA2795">
        <v>0.99182899999999996</v>
      </c>
      <c r="AB2795">
        <v>23</v>
      </c>
      <c r="AC2795">
        <v>-29.8567999999999</v>
      </c>
      <c r="AD2795">
        <v>-0.54014859999999998</v>
      </c>
      <c r="AE2795">
        <v>-22.728200000000001</v>
      </c>
      <c r="AF2795">
        <v>-4.7977577725055802</v>
      </c>
      <c r="AG2795">
        <v>-0.54014859999999998</v>
      </c>
      <c r="AH2795">
        <v>37.207496047688103</v>
      </c>
      <c r="AI2795">
        <v>90.824887268309396</v>
      </c>
      <c r="AJ2795">
        <v>97.347518001281202</v>
      </c>
      <c r="AK2795">
        <v>37.519434994312498</v>
      </c>
      <c r="AL2795">
        <v>79.756448002178004</v>
      </c>
      <c r="AM2795">
        <v>101.901509181042</v>
      </c>
      <c r="AN2795">
        <v>0.99999999144764495</v>
      </c>
    </row>
    <row r="2796" spans="1:40" x14ac:dyDescent="0.25">
      <c r="A2796" t="str">
        <f>"20190304155111875"</f>
        <v>20190304155111875</v>
      </c>
      <c r="B2796" t="str">
        <f>"1551685871869999"</f>
        <v>1551685871869999</v>
      </c>
      <c r="C2796" t="s">
        <v>40</v>
      </c>
      <c r="D2796">
        <v>4.0500109999999996</v>
      </c>
      <c r="E2796">
        <v>0.525599699999999</v>
      </c>
      <c r="F2796" t="s">
        <v>75</v>
      </c>
      <c r="G2796">
        <v>-512.82529999999997</v>
      </c>
      <c r="H2796">
        <v>0.57115899999999997</v>
      </c>
      <c r="I2796">
        <v>256.98719999999997</v>
      </c>
      <c r="J2796">
        <v>-483.05130000000003</v>
      </c>
      <c r="K2796">
        <v>1.1159669999999999</v>
      </c>
      <c r="L2796">
        <v>279.85890000000001</v>
      </c>
      <c r="M2796">
        <v>-0.86465939999999997</v>
      </c>
      <c r="N2796">
        <v>-1.425945E-2</v>
      </c>
      <c r="O2796">
        <v>-0.50215619999999905</v>
      </c>
      <c r="P2796">
        <v>-0.73400619999999905</v>
      </c>
      <c r="Q2796">
        <v>0.16664889999999999</v>
      </c>
      <c r="R2796">
        <v>-0.6583793</v>
      </c>
      <c r="S2796">
        <v>-2.4255979999999999</v>
      </c>
      <c r="T2796">
        <v>-4.4252510000000002E-2</v>
      </c>
      <c r="U2796">
        <v>-1.862366</v>
      </c>
      <c r="V2796">
        <v>-0.2030082</v>
      </c>
      <c r="W2796">
        <v>0.17780560000000001</v>
      </c>
      <c r="X2796">
        <v>0.96289809999999998</v>
      </c>
      <c r="Y2796">
        <v>-0.12826270000000001</v>
      </c>
      <c r="Z2796">
        <v>-1.494675E-3</v>
      </c>
      <c r="AA2796">
        <v>0.99173909999999998</v>
      </c>
      <c r="AB2796">
        <v>23</v>
      </c>
      <c r="AC2796">
        <v>-29.773999999999901</v>
      </c>
      <c r="AD2796">
        <v>-0.54480799999999996</v>
      </c>
      <c r="AE2796">
        <v>-22.871700000000001</v>
      </c>
      <c r="AF2796">
        <v>-4.82450629435131</v>
      </c>
      <c r="AG2796">
        <v>-0.54480799999999996</v>
      </c>
      <c r="AH2796">
        <v>37.225480948374297</v>
      </c>
      <c r="AI2796">
        <v>90.831530579185497</v>
      </c>
      <c r="AJ2796">
        <v>97.384500645822698</v>
      </c>
      <c r="AK2796">
        <v>37.540765956209199</v>
      </c>
      <c r="AL2796">
        <v>79.758031317468607</v>
      </c>
      <c r="AM2796">
        <v>101.905340811256</v>
      </c>
      <c r="AN2796">
        <v>0.99999995582110401</v>
      </c>
    </row>
    <row r="2797" spans="1:40" x14ac:dyDescent="0.25">
      <c r="A2797" t="str">
        <f>"20190304155111886"</f>
        <v>20190304155111886</v>
      </c>
      <c r="B2797" t="str">
        <f>"1551685871879759"</f>
        <v>1551685871879759</v>
      </c>
      <c r="C2797" t="s">
        <v>40</v>
      </c>
      <c r="D2797">
        <v>4.0973350000000002</v>
      </c>
      <c r="E2797">
        <v>0.52425169999999999</v>
      </c>
      <c r="F2797" t="s">
        <v>75</v>
      </c>
      <c r="G2797">
        <v>-512.82529999999997</v>
      </c>
      <c r="H2797">
        <v>0.44900010000000001</v>
      </c>
      <c r="I2797">
        <v>256.83659999999998</v>
      </c>
      <c r="J2797">
        <v>-483.15010000000001</v>
      </c>
      <c r="K2797">
        <v>1.1159939999999999</v>
      </c>
      <c r="L2797">
        <v>279.79610000000002</v>
      </c>
      <c r="M2797">
        <v>-0.86240899999999998</v>
      </c>
      <c r="N2797">
        <v>-1.4264499999999999E-2</v>
      </c>
      <c r="O2797">
        <v>-0.50601119999999999</v>
      </c>
      <c r="P2797">
        <v>-0.73095980000000005</v>
      </c>
      <c r="Q2797">
        <v>0.16649229999999901</v>
      </c>
      <c r="R2797">
        <v>-0.66179940000000004</v>
      </c>
      <c r="S2797">
        <v>-2.4206240000000001</v>
      </c>
      <c r="T2797">
        <v>-5.4218049999999997E-2</v>
      </c>
      <c r="U2797">
        <v>-1.871704</v>
      </c>
      <c r="V2797">
        <v>-0.20319760000000001</v>
      </c>
      <c r="W2797">
        <v>0.1776385</v>
      </c>
      <c r="X2797">
        <v>0.96288899999999999</v>
      </c>
      <c r="Y2797">
        <v>-0.12721269999999901</v>
      </c>
      <c r="Z2797" s="1">
        <v>-1.470526E-5</v>
      </c>
      <c r="AA2797">
        <v>0.99187550000000002</v>
      </c>
      <c r="AB2797">
        <v>23</v>
      </c>
      <c r="AC2797">
        <v>-29.675199999999901</v>
      </c>
      <c r="AD2797">
        <v>-0.66699390000000003</v>
      </c>
      <c r="AE2797">
        <v>-22.959499999999998</v>
      </c>
      <c r="AF2797">
        <v>-4.7834708096653902</v>
      </c>
      <c r="AG2797">
        <v>-0.66699390000000003</v>
      </c>
      <c r="AH2797">
        <v>37.201951590952604</v>
      </c>
      <c r="AI2797">
        <v>91.018760817676593</v>
      </c>
      <c r="AJ2797">
        <v>97.326956252804607</v>
      </c>
      <c r="AK2797">
        <v>37.514153009566101</v>
      </c>
      <c r="AL2797">
        <v>79.767760404139594</v>
      </c>
      <c r="AM2797">
        <v>101.916240112331</v>
      </c>
      <c r="AN2797">
        <v>0.99999996382450396</v>
      </c>
    </row>
    <row r="2798" spans="1:40" x14ac:dyDescent="0.25">
      <c r="A2798" t="str">
        <f>"20190304155111899"</f>
        <v>20190304155111899</v>
      </c>
      <c r="B2798" t="str">
        <f>"1551685871889520"</f>
        <v>1551685871889520</v>
      </c>
      <c r="C2798" t="s">
        <v>40</v>
      </c>
      <c r="D2798">
        <v>4.2242369999999996</v>
      </c>
      <c r="E2798">
        <v>0.52027909999999999</v>
      </c>
      <c r="F2798" t="s">
        <v>75</v>
      </c>
      <c r="G2798">
        <v>-512.82529999999997</v>
      </c>
      <c r="H2798">
        <v>0.3161042</v>
      </c>
      <c r="I2798">
        <v>256.46120000000002</v>
      </c>
      <c r="J2798">
        <v>-483.25049999999999</v>
      </c>
      <c r="K2798">
        <v>1.116023</v>
      </c>
      <c r="L2798">
        <v>279.73110000000003</v>
      </c>
      <c r="M2798">
        <v>-0.86006649999999996</v>
      </c>
      <c r="N2798">
        <v>-1.427003E-2</v>
      </c>
      <c r="O2798">
        <v>-0.5099823</v>
      </c>
      <c r="P2798">
        <v>-0.72775979999999996</v>
      </c>
      <c r="Q2798">
        <v>0.16654150000000001</v>
      </c>
      <c r="R2798">
        <v>-0.66530440000000002</v>
      </c>
      <c r="S2798">
        <v>-2.4060060000000001</v>
      </c>
      <c r="T2798">
        <v>-6.4847109999999999E-2</v>
      </c>
      <c r="U2798">
        <v>-1.891937</v>
      </c>
      <c r="V2798">
        <v>-0.20340369999999999</v>
      </c>
      <c r="W2798">
        <v>0.17767559999999999</v>
      </c>
      <c r="X2798">
        <v>0.96283859999999999</v>
      </c>
      <c r="Y2798">
        <v>-0.1307198</v>
      </c>
      <c r="Z2798">
        <v>1.5239989999999901E-3</v>
      </c>
      <c r="AA2798">
        <v>0.99141820000000003</v>
      </c>
      <c r="AB2798">
        <v>23</v>
      </c>
      <c r="AC2798">
        <v>-29.5747999999999</v>
      </c>
      <c r="AD2798">
        <v>-0.79991879999999904</v>
      </c>
      <c r="AE2798">
        <v>-23.2699</v>
      </c>
      <c r="AF2798">
        <v>-4.9293119110316397</v>
      </c>
      <c r="AG2798">
        <v>-0.79991879999999904</v>
      </c>
      <c r="AH2798">
        <v>37.290482053554598</v>
      </c>
      <c r="AI2798">
        <v>91.218270021472406</v>
      </c>
      <c r="AJ2798">
        <v>97.530093280211204</v>
      </c>
      <c r="AK2798">
        <v>37.623370898808503</v>
      </c>
      <c r="AL2798">
        <v>79.765599987110093</v>
      </c>
      <c r="AM2798">
        <v>101.928587011096</v>
      </c>
      <c r="AN2798">
        <v>0.99999992682950201</v>
      </c>
    </row>
    <row r="2799" spans="1:40" x14ac:dyDescent="0.25">
      <c r="A2799" t="str">
        <f>"20190304155111910"</f>
        <v>20190304155111910</v>
      </c>
      <c r="B2799" t="str">
        <f>"1551685871899280"</f>
        <v>1551685871899280</v>
      </c>
      <c r="C2799" t="s">
        <v>40</v>
      </c>
      <c r="D2799">
        <v>4.0637879999999997</v>
      </c>
      <c r="E2799">
        <v>0.52027909999999999</v>
      </c>
      <c r="F2799" t="s">
        <v>75</v>
      </c>
      <c r="G2799">
        <v>-512.82529999999997</v>
      </c>
      <c r="H2799">
        <v>0.35482350000000001</v>
      </c>
      <c r="I2799">
        <v>255.73949999999999</v>
      </c>
      <c r="J2799">
        <v>-483.34829999999999</v>
      </c>
      <c r="K2799">
        <v>1.1160509999999999</v>
      </c>
      <c r="L2799">
        <v>279.66759999999999</v>
      </c>
      <c r="M2799">
        <v>-0.85775599999999996</v>
      </c>
      <c r="N2799">
        <v>-1.4275360000000001E-2</v>
      </c>
      <c r="O2799">
        <v>-0.51385890000000001</v>
      </c>
      <c r="P2799">
        <v>-0.72467910000000002</v>
      </c>
      <c r="Q2799">
        <v>0.16646129999999901</v>
      </c>
      <c r="R2799">
        <v>-0.66867849999999995</v>
      </c>
      <c r="S2799">
        <v>-2.375</v>
      </c>
      <c r="T2799">
        <v>-6.112182E-2</v>
      </c>
      <c r="U2799">
        <v>-1.926636</v>
      </c>
      <c r="V2799">
        <v>-0.20353379999999999</v>
      </c>
      <c r="W2799">
        <v>0.17758550000000001</v>
      </c>
      <c r="X2799">
        <v>0.96282780000000001</v>
      </c>
      <c r="Y2799">
        <v>-0.14129059999999999</v>
      </c>
      <c r="Z2799">
        <v>8.4653759999999995E-4</v>
      </c>
      <c r="AA2799">
        <v>0.98996779999999995</v>
      </c>
      <c r="AB2799">
        <v>23</v>
      </c>
      <c r="AC2799">
        <v>-29.476999999999901</v>
      </c>
      <c r="AD2799">
        <v>-0.76122749999999995</v>
      </c>
      <c r="AE2799">
        <v>-23.928100000000001</v>
      </c>
      <c r="AF2799">
        <v>-5.37583915172159</v>
      </c>
      <c r="AG2799">
        <v>-0.76122749999999995</v>
      </c>
      <c r="AH2799">
        <v>37.568465711032196</v>
      </c>
      <c r="AI2799">
        <v>91.149089900056595</v>
      </c>
      <c r="AJ2799">
        <v>98.143426994033902</v>
      </c>
      <c r="AK2799">
        <v>37.958776715970998</v>
      </c>
      <c r="AL2799">
        <v>79.770846464328201</v>
      </c>
      <c r="AM2799">
        <v>101.93612798741501</v>
      </c>
      <c r="AN2799">
        <v>0.99999999500276404</v>
      </c>
    </row>
    <row r="2800" spans="1:40" x14ac:dyDescent="0.25">
      <c r="A2800" t="str">
        <f>"20190304155111922"</f>
        <v>20190304155111922</v>
      </c>
      <c r="B2800" t="str">
        <f>"1551685871919775"</f>
        <v>1551685871919775</v>
      </c>
      <c r="C2800" t="s">
        <v>40</v>
      </c>
      <c r="D2800">
        <v>4.0419419999999997</v>
      </c>
      <c r="E2800">
        <v>0.44559399999999899</v>
      </c>
      <c r="F2800" t="s">
        <v>75</v>
      </c>
      <c r="G2800">
        <v>-512.82529999999997</v>
      </c>
      <c r="H2800">
        <v>0.35047149999999999</v>
      </c>
      <c r="I2800">
        <v>255.52260000000001</v>
      </c>
      <c r="J2800">
        <v>-483.44929999999999</v>
      </c>
      <c r="K2800">
        <v>1.1160810000000001</v>
      </c>
      <c r="L2800">
        <v>279.601</v>
      </c>
      <c r="M2800">
        <v>-0.85532019999999997</v>
      </c>
      <c r="N2800">
        <v>-1.4281200000000001E-2</v>
      </c>
      <c r="O2800">
        <v>-0.517903</v>
      </c>
      <c r="P2800">
        <v>-0.72124370000000004</v>
      </c>
      <c r="Q2800">
        <v>0.1660182</v>
      </c>
      <c r="R2800">
        <v>-0.67249209999999904</v>
      </c>
      <c r="S2800">
        <v>-2.3657530000000002</v>
      </c>
      <c r="T2800">
        <v>-6.1437369999999998E-2</v>
      </c>
      <c r="U2800">
        <v>-1.937805</v>
      </c>
      <c r="V2800">
        <v>-0.20402239999999999</v>
      </c>
      <c r="W2800">
        <v>0.17712700000000001</v>
      </c>
      <c r="X2800">
        <v>0.96280880000000002</v>
      </c>
      <c r="Y2800">
        <v>-0.1413104</v>
      </c>
      <c r="Z2800">
        <v>9.193672E-4</v>
      </c>
      <c r="AA2800">
        <v>0.98996490000000004</v>
      </c>
      <c r="AB2800">
        <v>23</v>
      </c>
      <c r="AC2800">
        <v>-29.375999999999902</v>
      </c>
      <c r="AD2800">
        <v>-0.76560949999999905</v>
      </c>
      <c r="AE2800">
        <v>-24.078399999999899</v>
      </c>
      <c r="AF2800">
        <v>-5.3791863741794597</v>
      </c>
      <c r="AG2800">
        <v>-0.76560949999999905</v>
      </c>
      <c r="AH2800">
        <v>37.584723954781097</v>
      </c>
      <c r="AI2800">
        <v>91.155198645751</v>
      </c>
      <c r="AJ2800">
        <v>98.144951852607406</v>
      </c>
      <c r="AK2800">
        <v>37.975429934521401</v>
      </c>
      <c r="AL2800">
        <v>79.797539287697703</v>
      </c>
      <c r="AM2800">
        <v>101.96418623403601</v>
      </c>
      <c r="AN2800">
        <v>0.99999994959409799</v>
      </c>
    </row>
    <row r="2801" spans="1:40" x14ac:dyDescent="0.25">
      <c r="A2801" t="str">
        <f>"20190304155111937"</f>
        <v>20190304155111937</v>
      </c>
      <c r="B2801" t="str">
        <f>"1551685871929535"</f>
        <v>1551685871929535</v>
      </c>
      <c r="C2801" t="s">
        <v>40</v>
      </c>
      <c r="D2801">
        <v>4.0640960000000002</v>
      </c>
      <c r="E2801">
        <v>0.44134889999999999</v>
      </c>
      <c r="F2801" t="s">
        <v>41</v>
      </c>
      <c r="G2801">
        <v>-501.12799999999999</v>
      </c>
      <c r="H2801">
        <v>7.9985870000000001E-2</v>
      </c>
      <c r="I2801">
        <v>258.00099999999998</v>
      </c>
      <c r="J2801">
        <v>-483.56529999999998</v>
      </c>
      <c r="K2801">
        <v>1.1161160000000001</v>
      </c>
      <c r="L2801">
        <v>279.52359999999999</v>
      </c>
      <c r="M2801">
        <v>-0.85247109999999904</v>
      </c>
      <c r="N2801">
        <v>-1.428798E-2</v>
      </c>
      <c r="O2801">
        <v>-0.52257940000000003</v>
      </c>
      <c r="P2801">
        <v>-0.71747240000000001</v>
      </c>
      <c r="Q2801">
        <v>0.165930299999999</v>
      </c>
      <c r="R2801">
        <v>-0.67653599999999903</v>
      </c>
      <c r="S2801">
        <v>-1.956726</v>
      </c>
      <c r="T2801">
        <v>-0.11467810000000001</v>
      </c>
      <c r="U2801">
        <v>-2.3907470000000002</v>
      </c>
      <c r="V2801">
        <v>-0.20416380000000001</v>
      </c>
      <c r="W2801">
        <v>0.17702850000000001</v>
      </c>
      <c r="X2801">
        <v>0.96279700000000001</v>
      </c>
      <c r="Y2801">
        <v>-0.32857350000000002</v>
      </c>
      <c r="Z2801">
        <v>4.5208260000000004E-3</v>
      </c>
      <c r="AA2801">
        <v>0.94446759999999996</v>
      </c>
      <c r="AB2801">
        <v>23</v>
      </c>
      <c r="AC2801">
        <v>-17.5627</v>
      </c>
      <c r="AD2801">
        <v>-1.0361301300000001</v>
      </c>
      <c r="AE2801">
        <v>-21.522600000000001</v>
      </c>
      <c r="AF2801">
        <v>-9.1576833818713297</v>
      </c>
      <c r="AG2801">
        <v>-1.0361301300000001</v>
      </c>
      <c r="AH2801">
        <v>26.185204185637399</v>
      </c>
      <c r="AI2801">
        <v>92.139059473304201</v>
      </c>
      <c r="AJ2801">
        <v>109.27613071889699</v>
      </c>
      <c r="AK2801">
        <v>27.759712693261399</v>
      </c>
      <c r="AL2801">
        <v>79.803274113755094</v>
      </c>
      <c r="AM2801">
        <v>101.972381459979</v>
      </c>
      <c r="AN2801">
        <v>1.00000000512584</v>
      </c>
    </row>
    <row r="2802" spans="1:40" x14ac:dyDescent="0.25">
      <c r="A2802" t="str">
        <f>"20190304155111950"</f>
        <v>20190304155111950</v>
      </c>
      <c r="B2802" t="str">
        <f>"1551685871939296"</f>
        <v>1551685871939296</v>
      </c>
      <c r="C2802" t="s">
        <v>40</v>
      </c>
      <c r="D2802">
        <v>4.0341509999999996</v>
      </c>
      <c r="E2802">
        <v>0.43875199999999998</v>
      </c>
      <c r="F2802" t="s">
        <v>41</v>
      </c>
      <c r="G2802">
        <v>-500.77640000000002</v>
      </c>
      <c r="H2802">
        <v>7.9985920000000002E-2</v>
      </c>
      <c r="I2802">
        <v>257.77890000000002</v>
      </c>
      <c r="J2802">
        <v>-483.67860000000002</v>
      </c>
      <c r="K2802">
        <v>1.1161479999999999</v>
      </c>
      <c r="L2802">
        <v>279.44740000000002</v>
      </c>
      <c r="M2802">
        <v>-0.84963739999999999</v>
      </c>
      <c r="N2802">
        <v>-1.429456E-2</v>
      </c>
      <c r="O2802">
        <v>-0.52717380000000003</v>
      </c>
      <c r="P2802">
        <v>-0.71343889999999999</v>
      </c>
      <c r="Q2802">
        <v>0.1656512</v>
      </c>
      <c r="R2802">
        <v>-0.68085600000000002</v>
      </c>
      <c r="S2802">
        <v>-1.9203190000000001</v>
      </c>
      <c r="T2802">
        <v>-0.1156055</v>
      </c>
      <c r="U2802">
        <v>-2.4261469999999998</v>
      </c>
      <c r="V2802">
        <v>-0.20475699999999999</v>
      </c>
      <c r="W2802">
        <v>0.1767319</v>
      </c>
      <c r="X2802">
        <v>0.96272550000000001</v>
      </c>
      <c r="Y2802">
        <v>-0.33889069999999999</v>
      </c>
      <c r="Z2802">
        <v>4.4916590000000003E-3</v>
      </c>
      <c r="AA2802">
        <v>0.94081499999999996</v>
      </c>
      <c r="AB2802">
        <v>23</v>
      </c>
      <c r="AC2802">
        <v>-17.097799999999999</v>
      </c>
      <c r="AD2802">
        <v>-1.03616208</v>
      </c>
      <c r="AE2802">
        <v>-21.668499999999899</v>
      </c>
      <c r="AF2802">
        <v>-9.3845897557699391</v>
      </c>
      <c r="AG2802">
        <v>-1.03616208</v>
      </c>
      <c r="AH2802">
        <v>25.9161223749526</v>
      </c>
      <c r="AI2802">
        <v>92.152882142899898</v>
      </c>
      <c r="AJ2802">
        <v>109.906028815577</v>
      </c>
      <c r="AK2802">
        <v>27.582413884459999</v>
      </c>
      <c r="AL2802">
        <v>79.820540142309497</v>
      </c>
      <c r="AM2802">
        <v>102.007025139551</v>
      </c>
      <c r="AN2802">
        <v>0.99999999093842995</v>
      </c>
    </row>
    <row r="2803" spans="1:40" x14ac:dyDescent="0.25">
      <c r="A2803" t="str">
        <f>"20190304155111964"</f>
        <v>20190304155111964</v>
      </c>
      <c r="B2803" t="str">
        <f>"1551685871959792"</f>
        <v>1551685871959792</v>
      </c>
      <c r="C2803" t="s">
        <v>40</v>
      </c>
      <c r="D2803">
        <v>4.0356160000000001</v>
      </c>
      <c r="E2803">
        <v>0.43632700000000002</v>
      </c>
      <c r="F2803" t="s">
        <v>41</v>
      </c>
      <c r="G2803">
        <v>-500.19040000000001</v>
      </c>
      <c r="H2803">
        <v>7.9985810000000004E-2</v>
      </c>
      <c r="I2803">
        <v>258.03320000000002</v>
      </c>
      <c r="J2803">
        <v>-483.79719999999998</v>
      </c>
      <c r="K2803">
        <v>1.1161810000000001</v>
      </c>
      <c r="L2803">
        <v>279.36630000000002</v>
      </c>
      <c r="M2803">
        <v>-0.846603199999999</v>
      </c>
      <c r="N2803">
        <v>-1.430144E-2</v>
      </c>
      <c r="O2803">
        <v>-0.53203239999999996</v>
      </c>
      <c r="P2803">
        <v>-0.70895969999999997</v>
      </c>
      <c r="Q2803">
        <v>0.16609779999999999</v>
      </c>
      <c r="R2803">
        <v>-0.68541059999999998</v>
      </c>
      <c r="S2803">
        <v>-1.8914789999999999</v>
      </c>
      <c r="T2803">
        <v>-0.1186957</v>
      </c>
      <c r="U2803">
        <v>-2.4530639999999999</v>
      </c>
      <c r="V2803">
        <v>-0.20548240000000001</v>
      </c>
      <c r="W2803">
        <v>0.1771576</v>
      </c>
      <c r="X2803">
        <v>0.96249269999999998</v>
      </c>
      <c r="Y2803">
        <v>-0.3454275</v>
      </c>
      <c r="Z2803">
        <v>4.8335230000000002E-3</v>
      </c>
      <c r="AA2803">
        <v>0.93843299999999996</v>
      </c>
      <c r="AB2803">
        <v>23</v>
      </c>
      <c r="AC2803">
        <v>-16.3932</v>
      </c>
      <c r="AD2803">
        <v>-1.0361951899999999</v>
      </c>
      <c r="AE2803">
        <v>-21.333100000000002</v>
      </c>
      <c r="AF2803">
        <v>-9.3260786849682802</v>
      </c>
      <c r="AG2803">
        <v>-1.0361951899999999</v>
      </c>
      <c r="AH2803">
        <v>25.193645743221801</v>
      </c>
      <c r="AI2803">
        <v>92.208879181876299</v>
      </c>
      <c r="AJ2803">
        <v>110.313334341724</v>
      </c>
      <c r="AK2803">
        <v>26.884367761674401</v>
      </c>
      <c r="AL2803">
        <v>79.795758535972595</v>
      </c>
      <c r="AM2803">
        <v>102.05115098626899</v>
      </c>
      <c r="AN2803">
        <v>1.0000000147504</v>
      </c>
    </row>
    <row r="2804" spans="1:40" x14ac:dyDescent="0.25">
      <c r="A2804" t="str">
        <f>"20190304155111976"</f>
        <v>20190304155111976</v>
      </c>
      <c r="B2804" t="str">
        <f>"1551685871969551"</f>
        <v>1551685871969551</v>
      </c>
      <c r="C2804" t="s">
        <v>40</v>
      </c>
      <c r="D2804">
        <v>4.0227380000000004</v>
      </c>
      <c r="E2804">
        <v>0.4356486</v>
      </c>
      <c r="F2804" t="s">
        <v>41</v>
      </c>
      <c r="G2804">
        <v>-499.97609999999997</v>
      </c>
      <c r="H2804">
        <v>6.8355319999999997E-2</v>
      </c>
      <c r="I2804">
        <v>257.82729999999998</v>
      </c>
      <c r="J2804">
        <v>-483.8922</v>
      </c>
      <c r="K2804">
        <v>1.116206</v>
      </c>
      <c r="L2804">
        <v>279.3005</v>
      </c>
      <c r="M2804">
        <v>-0.84412609999999999</v>
      </c>
      <c r="N2804">
        <v>-1.430681E-2</v>
      </c>
      <c r="O2804">
        <v>-0.53595380000000004</v>
      </c>
      <c r="P2804">
        <v>-0.70550900000000005</v>
      </c>
      <c r="Q2804">
        <v>0.16599059999999999</v>
      </c>
      <c r="R2804">
        <v>-0.68898800000000004</v>
      </c>
      <c r="S2804">
        <v>-1.862549</v>
      </c>
      <c r="T2804">
        <v>-0.120628</v>
      </c>
      <c r="U2804">
        <v>-2.4796140000000002</v>
      </c>
      <c r="V2804">
        <v>-0.20588200000000001</v>
      </c>
      <c r="W2804">
        <v>0.1770379</v>
      </c>
      <c r="X2804">
        <v>0.96242930000000004</v>
      </c>
      <c r="Y2804">
        <v>-0.35289470000000001</v>
      </c>
      <c r="Z2804">
        <v>4.98527E-3</v>
      </c>
      <c r="AA2804">
        <v>0.93564979999999998</v>
      </c>
      <c r="AB2804">
        <v>23</v>
      </c>
      <c r="AC2804">
        <v>-16.0838999999999</v>
      </c>
      <c r="AD2804">
        <v>-1.04785068</v>
      </c>
      <c r="AE2804">
        <v>-21.473199999999999</v>
      </c>
      <c r="AF2804">
        <v>-9.49235414851114</v>
      </c>
      <c r="AG2804">
        <v>-1.04785068</v>
      </c>
      <c r="AH2804">
        <v>25.0498383748523</v>
      </c>
      <c r="AI2804">
        <v>92.240060281639401</v>
      </c>
      <c r="AJ2804">
        <v>110.75363893845601</v>
      </c>
      <c r="AK2804">
        <v>26.8085281381607</v>
      </c>
      <c r="AL2804">
        <v>79.802726700365994</v>
      </c>
      <c r="AM2804">
        <v>102.074671758039</v>
      </c>
      <c r="AN2804">
        <v>0.99999998672945001</v>
      </c>
    </row>
    <row r="2805" spans="1:40" x14ac:dyDescent="0.25">
      <c r="A2805" t="str">
        <f>"20190304155111988"</f>
        <v>20190304155111988</v>
      </c>
      <c r="B2805" t="str">
        <f>"1551685871979311"</f>
        <v>1551685871979311</v>
      </c>
      <c r="C2805" t="s">
        <v>40</v>
      </c>
      <c r="D2805">
        <v>4.0483219999999998</v>
      </c>
      <c r="E2805">
        <v>0.43536659999999999</v>
      </c>
      <c r="F2805" t="s">
        <v>41</v>
      </c>
      <c r="G2805">
        <v>-499.96710000000002</v>
      </c>
      <c r="H2805">
        <v>5.9319009999999998E-2</v>
      </c>
      <c r="I2805">
        <v>257.59359999999998</v>
      </c>
      <c r="J2805">
        <v>-483.98739999999998</v>
      </c>
      <c r="K2805">
        <v>1.1162289999999999</v>
      </c>
      <c r="L2805">
        <v>279.23430000000002</v>
      </c>
      <c r="M2805">
        <v>-0.84161319999999995</v>
      </c>
      <c r="N2805">
        <v>-1.431203E-2</v>
      </c>
      <c r="O2805">
        <v>-0.5398908</v>
      </c>
      <c r="P2805">
        <v>-0.70212450000000004</v>
      </c>
      <c r="Q2805">
        <v>0.16593759999999999</v>
      </c>
      <c r="R2805">
        <v>-0.69244919999999899</v>
      </c>
      <c r="S2805">
        <v>-1.8461609999999999</v>
      </c>
      <c r="T2805">
        <v>-0.12138069999999999</v>
      </c>
      <c r="U2805">
        <v>-2.4929809999999999</v>
      </c>
      <c r="V2805">
        <v>-0.20612249999999999</v>
      </c>
      <c r="W2805">
        <v>0.17697499999999999</v>
      </c>
      <c r="X2805">
        <v>0.96238939999999995</v>
      </c>
      <c r="Y2805">
        <v>-0.35489540000000003</v>
      </c>
      <c r="Z2805">
        <v>5.1423040000000003E-3</v>
      </c>
      <c r="AA2805">
        <v>0.9348919</v>
      </c>
      <c r="AB2805">
        <v>23</v>
      </c>
      <c r="AC2805">
        <v>-15.979699999999999</v>
      </c>
      <c r="AD2805">
        <v>-1.0569099900000001</v>
      </c>
      <c r="AE2805">
        <v>-21.640699999999999</v>
      </c>
      <c r="AF2805">
        <v>-9.57201378631982</v>
      </c>
      <c r="AG2805">
        <v>-1.0569099900000001</v>
      </c>
      <c r="AH2805">
        <v>25.096181093007601</v>
      </c>
      <c r="AI2805">
        <v>92.253388114652694</v>
      </c>
      <c r="AJ2805">
        <v>110.877509471971</v>
      </c>
      <c r="AK2805">
        <v>26.880454090388699</v>
      </c>
      <c r="AL2805">
        <v>79.806388524663603</v>
      </c>
      <c r="AM2805">
        <v>102.088848526391</v>
      </c>
      <c r="AN2805">
        <v>0.99999999643180404</v>
      </c>
    </row>
    <row r="2806" spans="1:40" x14ac:dyDescent="0.25">
      <c r="A2806" t="str">
        <f>"20190304155111998"</f>
        <v>20190304155111998</v>
      </c>
      <c r="B2806" t="str">
        <f>"1551685871990047"</f>
        <v>1551685871990047</v>
      </c>
      <c r="C2806" t="s">
        <v>40</v>
      </c>
      <c r="D2806">
        <v>4.029509</v>
      </c>
      <c r="E2806">
        <v>0.43531009999999998</v>
      </c>
      <c r="F2806" t="s">
        <v>41</v>
      </c>
      <c r="G2806">
        <v>-499.95780000000002</v>
      </c>
      <c r="H2806">
        <v>3.9247249999999997E-2</v>
      </c>
      <c r="I2806">
        <v>257.41919999999999</v>
      </c>
      <c r="J2806">
        <v>-484.08120000000002</v>
      </c>
      <c r="K2806">
        <v>1.11625</v>
      </c>
      <c r="L2806">
        <v>279.1678</v>
      </c>
      <c r="M2806">
        <v>-0.83907980000000004</v>
      </c>
      <c r="N2806">
        <v>-1.431751E-2</v>
      </c>
      <c r="O2806">
        <v>-0.54381999999999997</v>
      </c>
      <c r="P2806">
        <v>-0.69863129999999996</v>
      </c>
      <c r="Q2806">
        <v>0.16588530000000001</v>
      </c>
      <c r="R2806">
        <v>-0.69598599999999999</v>
      </c>
      <c r="S2806">
        <v>-1.8328549999999999</v>
      </c>
      <c r="T2806">
        <v>-0.12360119999999999</v>
      </c>
      <c r="U2806">
        <v>-2.5036320000000001</v>
      </c>
      <c r="V2806">
        <v>-0.20648559999999999</v>
      </c>
      <c r="W2806">
        <v>0.17691119999999999</v>
      </c>
      <c r="X2806">
        <v>0.96232329999999999</v>
      </c>
      <c r="Y2806">
        <v>-0.35565409999999997</v>
      </c>
      <c r="Z2806">
        <v>5.5170540000000004E-3</v>
      </c>
      <c r="AA2806">
        <v>0.93460140000000003</v>
      </c>
      <c r="AB2806">
        <v>23</v>
      </c>
      <c r="AC2806">
        <v>-15.8765999999999</v>
      </c>
      <c r="AD2806">
        <v>-1.0770027499999999</v>
      </c>
      <c r="AE2806">
        <v>-21.7486</v>
      </c>
      <c r="AF2806">
        <v>-9.6004251212170502</v>
      </c>
      <c r="AG2806">
        <v>-1.0770027499999999</v>
      </c>
      <c r="AH2806">
        <v>25.111462565277598</v>
      </c>
      <c r="AI2806">
        <v>92.294098755174801</v>
      </c>
      <c r="AJ2806">
        <v>110.922478336515</v>
      </c>
      <c r="AK2806">
        <v>26.9056434526094</v>
      </c>
      <c r="AL2806">
        <v>79.810102684723304</v>
      </c>
      <c r="AM2806">
        <v>102.11032315358599</v>
      </c>
      <c r="AN2806">
        <v>1.0000000047078399</v>
      </c>
    </row>
    <row r="2807" spans="1:40" x14ac:dyDescent="0.25">
      <c r="A2807" t="str">
        <f>"20190304155112010"</f>
        <v>20190304155112010</v>
      </c>
      <c r="B2807" t="str">
        <f>"1551685871999807"</f>
        <v>1551685871999807</v>
      </c>
      <c r="C2807" t="s">
        <v>40</v>
      </c>
      <c r="D2807">
        <v>4.0203939999999996</v>
      </c>
      <c r="E2807">
        <v>0.43538949999999998</v>
      </c>
      <c r="F2807" t="s">
        <v>41</v>
      </c>
      <c r="G2807">
        <v>-499.95780000000002</v>
      </c>
      <c r="H2807">
        <v>2.3608239999999999E-2</v>
      </c>
      <c r="I2807">
        <v>257.24299999999999</v>
      </c>
      <c r="J2807">
        <v>-484.16460000000001</v>
      </c>
      <c r="K2807">
        <v>1.1162700000000001</v>
      </c>
      <c r="L2807">
        <v>279.10860000000002</v>
      </c>
      <c r="M2807">
        <v>-0.83680529999999997</v>
      </c>
      <c r="N2807">
        <v>-1.432231E-2</v>
      </c>
      <c r="O2807">
        <v>-0.54731319999999894</v>
      </c>
      <c r="P2807">
        <v>-0.69544050000000002</v>
      </c>
      <c r="Q2807">
        <v>0.16600179999999901</v>
      </c>
      <c r="R2807">
        <v>-0.69914659999999995</v>
      </c>
      <c r="S2807">
        <v>-1.819977</v>
      </c>
      <c r="T2807">
        <v>-0.12525310000000001</v>
      </c>
      <c r="U2807">
        <v>-2.513306</v>
      </c>
      <c r="V2807">
        <v>-0.2068634</v>
      </c>
      <c r="W2807">
        <v>0.1770158</v>
      </c>
      <c r="X2807">
        <v>0.96222289999999999</v>
      </c>
      <c r="Y2807">
        <v>-0.35660730000000002</v>
      </c>
      <c r="Z2807">
        <v>5.8093009999999898E-3</v>
      </c>
      <c r="AA2807">
        <v>0.93423630000000002</v>
      </c>
      <c r="AB2807">
        <v>23</v>
      </c>
      <c r="AC2807">
        <v>-15.793200000000001</v>
      </c>
      <c r="AD2807">
        <v>-1.0926617599999999</v>
      </c>
      <c r="AE2807">
        <v>-21.865600000000001</v>
      </c>
      <c r="AF2807">
        <v>-9.6385961131537794</v>
      </c>
      <c r="AG2807">
        <v>-1.0926617599999999</v>
      </c>
      <c r="AH2807">
        <v>25.1444852815149</v>
      </c>
      <c r="AI2807">
        <v>92.323576475957395</v>
      </c>
      <c r="AJ2807">
        <v>110.97324856761701</v>
      </c>
      <c r="AK2807">
        <v>26.950725126174</v>
      </c>
      <c r="AL2807">
        <v>79.804013233949306</v>
      </c>
      <c r="AM2807">
        <v>102.133053572373</v>
      </c>
      <c r="AN2807">
        <v>0.99999998449680405</v>
      </c>
    </row>
    <row r="2808" spans="1:40" x14ac:dyDescent="0.25">
      <c r="A2808" t="str">
        <f>"20190304155112022"</f>
        <v>20190304155112022</v>
      </c>
      <c r="B2808" t="str">
        <f>"1551685872019327"</f>
        <v>1551685872019327</v>
      </c>
      <c r="C2808" t="s">
        <v>40</v>
      </c>
      <c r="D2808">
        <v>4.0319560000000001</v>
      </c>
      <c r="E2808">
        <v>0.43555149999999998</v>
      </c>
      <c r="F2808" t="s">
        <v>41</v>
      </c>
      <c r="G2808">
        <v>-499.95780000000002</v>
      </c>
      <c r="H2808">
        <v>1.3799280000000001E-2</v>
      </c>
      <c r="I2808">
        <v>257.09969999999998</v>
      </c>
      <c r="J2808">
        <v>-484.26519999999999</v>
      </c>
      <c r="K2808">
        <v>1.116296</v>
      </c>
      <c r="L2808">
        <v>279.03590000000003</v>
      </c>
      <c r="M2808">
        <v>-0.83400300000000005</v>
      </c>
      <c r="N2808">
        <v>-1.432844E-2</v>
      </c>
      <c r="O2808">
        <v>-0.5515738</v>
      </c>
      <c r="P2808">
        <v>-0.6914496</v>
      </c>
      <c r="Q2808">
        <v>0.16587489999999999</v>
      </c>
      <c r="R2808">
        <v>-0.70312359999999996</v>
      </c>
      <c r="S2808">
        <v>-1.809204</v>
      </c>
      <c r="T2808">
        <v>-0.1262945</v>
      </c>
      <c r="U2808">
        <v>-2.5212400000000001</v>
      </c>
      <c r="V2808">
        <v>-0.2074685</v>
      </c>
      <c r="W2808">
        <v>0.17687269999999999</v>
      </c>
      <c r="X2808">
        <v>0.96211899999999995</v>
      </c>
      <c r="Y2808">
        <v>-0.3558714</v>
      </c>
      <c r="Z2808">
        <v>6.0954199999999998E-3</v>
      </c>
      <c r="AA2808">
        <v>0.93451510000000004</v>
      </c>
      <c r="AB2808">
        <v>23</v>
      </c>
      <c r="AC2808">
        <v>-15.692600000000001</v>
      </c>
      <c r="AD2808">
        <v>-1.10249672</v>
      </c>
      <c r="AE2808">
        <v>-21.936199999999999</v>
      </c>
      <c r="AF2808">
        <v>-9.6241384934352308</v>
      </c>
      <c r="AG2808">
        <v>-1.10249672</v>
      </c>
      <c r="AH2808">
        <v>25.147675932099698</v>
      </c>
      <c r="AI2808">
        <v>92.344658175075594</v>
      </c>
      <c r="AJ2808">
        <v>110.942092734269</v>
      </c>
      <c r="AK2808">
        <v>26.948935888905499</v>
      </c>
      <c r="AL2808">
        <v>79.8123443855538</v>
      </c>
      <c r="AM2808">
        <v>102.168763031262</v>
      </c>
      <c r="AN2808">
        <v>1.0000000503292601</v>
      </c>
    </row>
    <row r="2809" spans="1:40" x14ac:dyDescent="0.25">
      <c r="A2809" t="str">
        <f>"20190304155112033"</f>
        <v>20190304155112033</v>
      </c>
      <c r="B2809" t="str">
        <f>"1551685872029087"</f>
        <v>1551685872029087</v>
      </c>
      <c r="C2809" t="s">
        <v>40</v>
      </c>
      <c r="D2809">
        <v>4.0090909999999997</v>
      </c>
      <c r="E2809">
        <v>0.43572379999999999</v>
      </c>
      <c r="F2809" t="s">
        <v>41</v>
      </c>
      <c r="G2809">
        <v>-499.89780000000002</v>
      </c>
      <c r="H2809" s="1">
        <v>-5.1648659999999998E-6</v>
      </c>
      <c r="I2809">
        <v>257.00470000000001</v>
      </c>
      <c r="J2809">
        <v>-484.35930000000002</v>
      </c>
      <c r="K2809">
        <v>1.1163209999999999</v>
      </c>
      <c r="L2809">
        <v>278.9674</v>
      </c>
      <c r="M2809">
        <v>-0.83133979999999996</v>
      </c>
      <c r="N2809">
        <v>-1.4334339999999999E-2</v>
      </c>
      <c r="O2809">
        <v>-0.55557990000000002</v>
      </c>
      <c r="P2809">
        <v>-0.68768280000000004</v>
      </c>
      <c r="Q2809">
        <v>0.16570779999999999</v>
      </c>
      <c r="R2809">
        <v>-0.70684799999999903</v>
      </c>
      <c r="S2809">
        <v>-1.795898</v>
      </c>
      <c r="T2809">
        <v>-0.1282423</v>
      </c>
      <c r="U2809">
        <v>-2.5309750000000002</v>
      </c>
      <c r="V2809">
        <v>-0.20802319999999999</v>
      </c>
      <c r="W2809">
        <v>0.17668970000000001</v>
      </c>
      <c r="X2809">
        <v>0.96203280000000002</v>
      </c>
      <c r="Y2809">
        <v>-0.35633900000000002</v>
      </c>
      <c r="Z2809">
        <v>6.4631699999999999E-3</v>
      </c>
      <c r="AA2809">
        <v>0.93433440000000001</v>
      </c>
      <c r="AB2809">
        <v>23</v>
      </c>
      <c r="AC2809">
        <v>-15.538500000000001</v>
      </c>
      <c r="AD2809">
        <v>-1.1163261648659999</v>
      </c>
      <c r="AE2809">
        <v>-21.962699999999899</v>
      </c>
      <c r="AF2809">
        <v>-9.6100299567519993</v>
      </c>
      <c r="AG2809">
        <v>-1.1163261648659999</v>
      </c>
      <c r="AH2809">
        <v>25.0792055600607</v>
      </c>
      <c r="AI2809">
        <v>92.380126647921699</v>
      </c>
      <c r="AJ2809">
        <v>110.96619175718099</v>
      </c>
      <c r="AK2809">
        <v>26.8805768427654</v>
      </c>
      <c r="AL2809">
        <v>79.822996828406005</v>
      </c>
      <c r="AM2809">
        <v>102.20138522859401</v>
      </c>
      <c r="AN2809">
        <v>1.0000000050500799</v>
      </c>
    </row>
    <row r="2810" spans="1:40" x14ac:dyDescent="0.25">
      <c r="A2810" t="str">
        <f>"20190304155112046"</f>
        <v>20190304155112046</v>
      </c>
      <c r="B2810" t="str">
        <f>"1551685872039824"</f>
        <v>1551685872039824</v>
      </c>
      <c r="C2810" t="s">
        <v>40</v>
      </c>
      <c r="D2810">
        <v>4.0254190000000003</v>
      </c>
      <c r="E2810">
        <v>0.43588759999999999</v>
      </c>
      <c r="F2810" t="s">
        <v>41</v>
      </c>
      <c r="G2810">
        <v>-499.68700000000001</v>
      </c>
      <c r="H2810" s="1">
        <v>-5.1761659999999898E-6</v>
      </c>
      <c r="I2810">
        <v>257.14789999999999</v>
      </c>
      <c r="J2810">
        <v>-484.45890000000003</v>
      </c>
      <c r="K2810">
        <v>1.1163510000000001</v>
      </c>
      <c r="L2810">
        <v>278.89429999999999</v>
      </c>
      <c r="M2810">
        <v>-0.82847709999999997</v>
      </c>
      <c r="N2810">
        <v>-1.434067E-2</v>
      </c>
      <c r="O2810">
        <v>-0.55983959999999999</v>
      </c>
      <c r="P2810">
        <v>-0.68365159999999903</v>
      </c>
      <c r="Q2810">
        <v>0.16546859999999999</v>
      </c>
      <c r="R2810">
        <v>-0.71080339999999997</v>
      </c>
      <c r="S2810">
        <v>-1.7837829999999999</v>
      </c>
      <c r="T2810">
        <v>-0.1299138</v>
      </c>
      <c r="U2810">
        <v>-2.5392760000000001</v>
      </c>
      <c r="V2810">
        <v>-0.2086123</v>
      </c>
      <c r="W2810">
        <v>0.1764338</v>
      </c>
      <c r="X2810">
        <v>0.96195220000000004</v>
      </c>
      <c r="Y2810">
        <v>-0.35596499999999998</v>
      </c>
      <c r="Z2810">
        <v>6.8327219999999899E-3</v>
      </c>
      <c r="AA2810">
        <v>0.93447429999999998</v>
      </c>
      <c r="AB2810">
        <v>23</v>
      </c>
      <c r="AC2810">
        <v>-15.2280999999999</v>
      </c>
      <c r="AD2810">
        <v>-1.1163561761659999</v>
      </c>
      <c r="AE2810">
        <v>-21.746399999999898</v>
      </c>
      <c r="AF2810">
        <v>-9.4753209277790305</v>
      </c>
      <c r="AG2810">
        <v>-1.1163561761659999</v>
      </c>
      <c r="AH2810">
        <v>24.749410681677201</v>
      </c>
      <c r="AI2810">
        <v>92.412141286967596</v>
      </c>
      <c r="AJ2810">
        <v>110.949362802838</v>
      </c>
      <c r="AK2810">
        <v>26.524729723161901</v>
      </c>
      <c r="AL2810">
        <v>79.837892853914298</v>
      </c>
      <c r="AM2810">
        <v>102.235893078693</v>
      </c>
      <c r="AN2810">
        <v>1.00000000628928</v>
      </c>
    </row>
    <row r="2811" spans="1:40" x14ac:dyDescent="0.25">
      <c r="A2811" t="str">
        <f>"20190304155112057"</f>
        <v>20190304155112057</v>
      </c>
      <c r="B2811" t="str">
        <f>"1551685872049584"</f>
        <v>1551685872049584</v>
      </c>
      <c r="C2811" t="s">
        <v>40</v>
      </c>
      <c r="D2811">
        <v>4.0645769999999999</v>
      </c>
      <c r="E2811">
        <v>0.43605929999999998</v>
      </c>
      <c r="F2811" t="s">
        <v>41</v>
      </c>
      <c r="G2811">
        <v>-499.44139999999999</v>
      </c>
      <c r="H2811" s="1">
        <v>-5.1899609999999901E-6</v>
      </c>
      <c r="I2811">
        <v>257.31639999999999</v>
      </c>
      <c r="J2811">
        <v>-484.54559999999998</v>
      </c>
      <c r="K2811">
        <v>1.1163749999999999</v>
      </c>
      <c r="L2811">
        <v>278.8295</v>
      </c>
      <c r="M2811">
        <v>-0.82592619999999894</v>
      </c>
      <c r="N2811">
        <v>-1.434676E-2</v>
      </c>
      <c r="O2811">
        <v>-0.56359609999999905</v>
      </c>
      <c r="P2811">
        <v>-0.67989909999999998</v>
      </c>
      <c r="Q2811">
        <v>0.16553329999999999</v>
      </c>
      <c r="R2811">
        <v>-0.71437850000000003</v>
      </c>
      <c r="S2811">
        <v>-1.7698970000000001</v>
      </c>
      <c r="T2811">
        <v>-0.1318762</v>
      </c>
      <c r="U2811">
        <v>-2.5490110000000001</v>
      </c>
      <c r="V2811">
        <v>-0.20931179999999999</v>
      </c>
      <c r="W2811">
        <v>0.17647939999999901</v>
      </c>
      <c r="X2811">
        <v>0.96179190000000003</v>
      </c>
      <c r="Y2811">
        <v>-0.3568267</v>
      </c>
      <c r="Z2811">
        <v>7.1954669999999997E-3</v>
      </c>
      <c r="AA2811">
        <v>0.9341429</v>
      </c>
      <c r="AB2811">
        <v>23</v>
      </c>
      <c r="AC2811">
        <v>-14.895799999999999</v>
      </c>
      <c r="AD2811">
        <v>-1.116380189961</v>
      </c>
      <c r="AE2811">
        <v>-21.513100000000001</v>
      </c>
      <c r="AF2811">
        <v>-9.3569489129672299</v>
      </c>
      <c r="AG2811">
        <v>-1.116380189961</v>
      </c>
      <c r="AH2811">
        <v>24.3856518472837</v>
      </c>
      <c r="AI2811">
        <v>92.447432140891095</v>
      </c>
      <c r="AJ2811">
        <v>110.992165035491</v>
      </c>
      <c r="AK2811">
        <v>26.143045226318701</v>
      </c>
      <c r="AL2811">
        <v>79.835238795922805</v>
      </c>
      <c r="AM2811">
        <v>102.277663178772</v>
      </c>
      <c r="AN2811">
        <v>1.0000000335746</v>
      </c>
    </row>
    <row r="2812" spans="1:40" x14ac:dyDescent="0.25">
      <c r="A2812" t="str">
        <f>"20190304155112070"</f>
        <v>20190304155112070</v>
      </c>
      <c r="B2812" t="str">
        <f>"1551685872059343"</f>
        <v>1551685872059343</v>
      </c>
      <c r="C2812" t="s">
        <v>40</v>
      </c>
      <c r="D2812">
        <v>4.0518239999999999</v>
      </c>
      <c r="E2812">
        <v>0.43636799999999998</v>
      </c>
      <c r="F2812" t="s">
        <v>41</v>
      </c>
      <c r="G2812">
        <v>-499.36919999999998</v>
      </c>
      <c r="H2812" s="1">
        <v>-5.1600809999999996E-6</v>
      </c>
      <c r="I2812">
        <v>257.26620000000003</v>
      </c>
      <c r="J2812">
        <v>-484.64269999999999</v>
      </c>
      <c r="K2812">
        <v>1.1163970000000001</v>
      </c>
      <c r="L2812">
        <v>278.75659999999999</v>
      </c>
      <c r="M2812">
        <v>-0.82303199999999999</v>
      </c>
      <c r="N2812">
        <v>-1.4353609999999999E-2</v>
      </c>
      <c r="O2812">
        <v>-0.56781380000000004</v>
      </c>
      <c r="P2812">
        <v>-0.67576029999999998</v>
      </c>
      <c r="Q2812">
        <v>0.16480510000000001</v>
      </c>
      <c r="R2812">
        <v>-0.71846199999999905</v>
      </c>
      <c r="S2812">
        <v>-1.7578739999999999</v>
      </c>
      <c r="T2812">
        <v>-0.1323867</v>
      </c>
      <c r="U2812">
        <v>-2.5570979999999999</v>
      </c>
      <c r="V2812">
        <v>-0.21009069999999999</v>
      </c>
      <c r="W2812">
        <v>0.17573069999999999</v>
      </c>
      <c r="X2812">
        <v>0.96175920000000004</v>
      </c>
      <c r="Y2812">
        <v>-0.35641129999999999</v>
      </c>
      <c r="Z2812">
        <v>7.41967199999999E-3</v>
      </c>
      <c r="AA2812">
        <v>0.93429969999999996</v>
      </c>
      <c r="AB2812">
        <v>23</v>
      </c>
      <c r="AC2812">
        <v>-14.7264999999999</v>
      </c>
      <c r="AD2812">
        <v>-1.1164021600809999</v>
      </c>
      <c r="AE2812">
        <v>-21.490399999999902</v>
      </c>
      <c r="AF2812">
        <v>-9.3092416057224199</v>
      </c>
      <c r="AG2812">
        <v>-1.1164021600809999</v>
      </c>
      <c r="AH2812">
        <v>24.2808413585111</v>
      </c>
      <c r="AI2812">
        <v>92.458285346520896</v>
      </c>
      <c r="AJ2812">
        <v>110.97675585885</v>
      </c>
      <c r="AK2812">
        <v>26.028207585885198</v>
      </c>
      <c r="AL2812">
        <v>79.878817588528605</v>
      </c>
      <c r="AM2812">
        <v>102.32236420195299</v>
      </c>
      <c r="AN2812">
        <v>1.0000000699667999</v>
      </c>
    </row>
    <row r="2813" spans="1:40" x14ac:dyDescent="0.25">
      <c r="A2813" t="str">
        <f>"20190304155112081"</f>
        <v>20190304155112081</v>
      </c>
      <c r="B2813" t="str">
        <f>"1551685872079107"</f>
        <v>1551685872079107</v>
      </c>
      <c r="C2813" t="s">
        <v>40</v>
      </c>
      <c r="D2813">
        <v>4.0485939999999996</v>
      </c>
      <c r="E2813">
        <v>0.43687009999999998</v>
      </c>
      <c r="F2813" t="s">
        <v>41</v>
      </c>
      <c r="G2813">
        <v>-498.92469999999997</v>
      </c>
      <c r="H2813" s="1">
        <v>-5.2476119999999999E-6</v>
      </c>
      <c r="I2813">
        <v>257.75510000000003</v>
      </c>
      <c r="J2813">
        <v>-484.738</v>
      </c>
      <c r="K2813">
        <v>1.1164339999999999</v>
      </c>
      <c r="L2813">
        <v>278.68400000000003</v>
      </c>
      <c r="M2813">
        <v>-0.82012479999999999</v>
      </c>
      <c r="N2813">
        <v>-1.436116E-2</v>
      </c>
      <c r="O2813">
        <v>-0.57200459999999997</v>
      </c>
      <c r="P2813">
        <v>-0.67192269999999998</v>
      </c>
      <c r="Q2813">
        <v>0.16448859999999901</v>
      </c>
      <c r="R2813">
        <v>-0.72212460000000001</v>
      </c>
      <c r="S2813">
        <v>-1.7448429999999999</v>
      </c>
      <c r="T2813">
        <v>-0.13639179999999901</v>
      </c>
      <c r="U2813">
        <v>-2.5657649999999999</v>
      </c>
      <c r="V2813">
        <v>-0.21037980000000001</v>
      </c>
      <c r="W2813">
        <v>0.17539929999999901</v>
      </c>
      <c r="X2813">
        <v>0.96175639999999996</v>
      </c>
      <c r="Y2813">
        <v>-0.35635620000000001</v>
      </c>
      <c r="Z2813">
        <v>8.1084399999999997E-3</v>
      </c>
      <c r="AA2813">
        <v>0.93431500000000001</v>
      </c>
      <c r="AB2813">
        <v>22</v>
      </c>
      <c r="AC2813">
        <v>-14.186699999999901</v>
      </c>
      <c r="AD2813">
        <v>-1.116439247612</v>
      </c>
      <c r="AE2813">
        <v>-20.928899999999999</v>
      </c>
      <c r="AF2813">
        <v>-9.0327731127667601</v>
      </c>
      <c r="AG2813">
        <v>-1.116439247612</v>
      </c>
      <c r="AH2813">
        <v>23.5627825310481</v>
      </c>
      <c r="AI2813">
        <v>92.533229557357004</v>
      </c>
      <c r="AJ2813">
        <v>110.97428451175</v>
      </c>
      <c r="AK2813">
        <v>25.259496180759399</v>
      </c>
      <c r="AL2813">
        <v>79.898104001953996</v>
      </c>
      <c r="AM2813">
        <v>102.338836411684</v>
      </c>
      <c r="AN2813">
        <v>0.99999997381474404</v>
      </c>
    </row>
    <row r="2814" spans="1:40" x14ac:dyDescent="0.25">
      <c r="A2814" t="str">
        <f>"20190304155112092"</f>
        <v>20190304155112092</v>
      </c>
      <c r="B2814" t="str">
        <f>"1551685872089843"</f>
        <v>1551685872089843</v>
      </c>
      <c r="C2814" t="s">
        <v>40</v>
      </c>
      <c r="D2814">
        <v>4.0547129999999996</v>
      </c>
      <c r="E2814">
        <v>0.4371891</v>
      </c>
      <c r="F2814" t="s">
        <v>41</v>
      </c>
      <c r="G2814">
        <v>-498.64699999999999</v>
      </c>
      <c r="H2814" s="1">
        <v>-5.2984550000000004E-6</v>
      </c>
      <c r="I2814">
        <v>258.04930000000002</v>
      </c>
      <c r="J2814">
        <v>-484.82279999999997</v>
      </c>
      <c r="K2814">
        <v>1.116465</v>
      </c>
      <c r="L2814">
        <v>278.61869999999999</v>
      </c>
      <c r="M2814">
        <v>-0.81749589999999905</v>
      </c>
      <c r="N2814">
        <v>-1.4368189999999999E-2</v>
      </c>
      <c r="O2814">
        <v>-0.57575529999999997</v>
      </c>
      <c r="P2814">
        <v>-0.66809830000000003</v>
      </c>
      <c r="Q2814">
        <v>0.16385369999999999</v>
      </c>
      <c r="R2814">
        <v>-0.7258076</v>
      </c>
      <c r="S2814">
        <v>-1.7341310000000001</v>
      </c>
      <c r="T2814">
        <v>-0.13919400000000001</v>
      </c>
      <c r="U2814">
        <v>-2.5726619999999998</v>
      </c>
      <c r="V2814">
        <v>-0.21117939999999999</v>
      </c>
      <c r="W2814">
        <v>0.1747425</v>
      </c>
      <c r="X2814">
        <v>0.96170069999999996</v>
      </c>
      <c r="Y2814">
        <v>-0.35591200000000001</v>
      </c>
      <c r="Z2814">
        <v>8.6395889999999996E-3</v>
      </c>
      <c r="AA2814">
        <v>0.93447950000000002</v>
      </c>
      <c r="AB2814">
        <v>22</v>
      </c>
      <c r="AC2814">
        <v>-13.824199999999999</v>
      </c>
      <c r="AD2814">
        <v>-1.1164702984549999</v>
      </c>
      <c r="AE2814">
        <v>-20.569399999999899</v>
      </c>
      <c r="AF2814">
        <v>-8.83901898873658</v>
      </c>
      <c r="AG2814">
        <v>-1.1164702984549999</v>
      </c>
      <c r="AH2814">
        <v>23.099675801683201</v>
      </c>
      <c r="AI2814">
        <v>92.584625209964202</v>
      </c>
      <c r="AJ2814">
        <v>110.939193925334</v>
      </c>
      <c r="AK2814">
        <v>24.7582266076035</v>
      </c>
      <c r="AL2814">
        <v>79.936326024206394</v>
      </c>
      <c r="AM2814">
        <v>102.38498386105699</v>
      </c>
      <c r="AN2814">
        <v>0.999999958335549</v>
      </c>
    </row>
    <row r="2815" spans="1:40" x14ac:dyDescent="0.25">
      <c r="A2815" t="str">
        <f>"20190304155112104"</f>
        <v>20190304155112104</v>
      </c>
      <c r="B2815" t="str">
        <f>"1551685872099603"</f>
        <v>1551685872099603</v>
      </c>
      <c r="C2815" t="s">
        <v>40</v>
      </c>
      <c r="D2815">
        <v>4.0870749999999996</v>
      </c>
      <c r="E2815">
        <v>0.43749529999999998</v>
      </c>
      <c r="F2815" t="s">
        <v>41</v>
      </c>
      <c r="G2815">
        <v>-498.31200000000001</v>
      </c>
      <c r="H2815" s="1">
        <v>-5.3648949999999997E-6</v>
      </c>
      <c r="I2815">
        <v>258.41919999999999</v>
      </c>
      <c r="J2815">
        <v>-484.9153</v>
      </c>
      <c r="K2815">
        <v>1.1164970000000001</v>
      </c>
      <c r="L2815">
        <v>278.54689999999999</v>
      </c>
      <c r="M2815">
        <v>-0.81457969999999902</v>
      </c>
      <c r="N2815">
        <v>-1.437627E-2</v>
      </c>
      <c r="O2815">
        <v>-0.57987339999999998</v>
      </c>
      <c r="P2815">
        <v>-0.66382339999999995</v>
      </c>
      <c r="Q2815">
        <v>0.16340450000000001</v>
      </c>
      <c r="R2815">
        <v>-0.72982009999999997</v>
      </c>
      <c r="S2815">
        <v>-1.7227169999999901</v>
      </c>
      <c r="T2815">
        <v>-0.14258579999999901</v>
      </c>
      <c r="U2815">
        <v>-2.5797119999999998</v>
      </c>
      <c r="V2815">
        <v>-0.21206820000000001</v>
      </c>
      <c r="W2815">
        <v>0.17426829999999999</v>
      </c>
      <c r="X2815">
        <v>0.96159119999999998</v>
      </c>
      <c r="Y2815">
        <v>-0.35523470000000001</v>
      </c>
      <c r="Z2815">
        <v>9.2819110000000003E-3</v>
      </c>
      <c r="AA2815">
        <v>0.93473110000000004</v>
      </c>
      <c r="AB2815">
        <v>22</v>
      </c>
      <c r="AC2815">
        <v>-13.3966999999999</v>
      </c>
      <c r="AD2815">
        <v>-1.1165023648950001</v>
      </c>
      <c r="AE2815">
        <v>-20.127700000000001</v>
      </c>
      <c r="AF2815">
        <v>-8.60975860524848</v>
      </c>
      <c r="AG2815">
        <v>-1.1165023648950001</v>
      </c>
      <c r="AH2815">
        <v>22.538472259155999</v>
      </c>
      <c r="AI2815">
        <v>92.649535692765099</v>
      </c>
      <c r="AJ2815">
        <v>110.906994882303</v>
      </c>
      <c r="AK2815">
        <v>24.1527897466983</v>
      </c>
      <c r="AL2815">
        <v>79.963919477043603</v>
      </c>
      <c r="AM2815">
        <v>102.436862727917</v>
      </c>
      <c r="AN2815">
        <v>0.99999999887678404</v>
      </c>
    </row>
    <row r="2816" spans="1:40" x14ac:dyDescent="0.25">
      <c r="A2816" t="str">
        <f>"20190304155112115"</f>
        <v>20190304155112115</v>
      </c>
      <c r="B2816" t="str">
        <f>"1551685872109363"</f>
        <v>1551685872109363</v>
      </c>
      <c r="C2816" t="s">
        <v>40</v>
      </c>
      <c r="D2816">
        <v>4.0634779999999999</v>
      </c>
      <c r="E2816">
        <v>0.43784899999999999</v>
      </c>
      <c r="F2816" t="s">
        <v>41</v>
      </c>
      <c r="G2816">
        <v>-498.06900000000002</v>
      </c>
      <c r="H2816" s="1">
        <v>-5.3926569999999999E-6</v>
      </c>
      <c r="I2816">
        <v>258.62740000000002</v>
      </c>
      <c r="J2816">
        <v>-484.99579999999997</v>
      </c>
      <c r="K2816">
        <v>1.116528</v>
      </c>
      <c r="L2816">
        <v>278.48349999999999</v>
      </c>
      <c r="M2816">
        <v>-0.81198380000000003</v>
      </c>
      <c r="N2816">
        <v>-1.4383709999999999E-2</v>
      </c>
      <c r="O2816">
        <v>-0.58350279999999999</v>
      </c>
      <c r="P2816">
        <v>-0.6602983</v>
      </c>
      <c r="Q2816">
        <v>0.1626745</v>
      </c>
      <c r="R2816">
        <v>-0.73317349999999903</v>
      </c>
      <c r="S2816">
        <v>-1.7092590000000001</v>
      </c>
      <c r="T2816">
        <v>-0.14508379999999901</v>
      </c>
      <c r="U2816">
        <v>-2.5884399999999999</v>
      </c>
      <c r="V2816">
        <v>-0.21254780000000001</v>
      </c>
      <c r="W2816">
        <v>0.1735216</v>
      </c>
      <c r="X2816">
        <v>0.96162029999999998</v>
      </c>
      <c r="Y2816">
        <v>-0.3558962</v>
      </c>
      <c r="Z2816">
        <v>9.7519939999999999E-3</v>
      </c>
      <c r="AA2816">
        <v>0.93447460000000004</v>
      </c>
      <c r="AB2816">
        <v>22</v>
      </c>
      <c r="AC2816">
        <v>-13.0732</v>
      </c>
      <c r="AD2816">
        <v>-1.116533392657</v>
      </c>
      <c r="AE2816">
        <v>-19.856099999999898</v>
      </c>
      <c r="AF2816">
        <v>-8.4767633048557798</v>
      </c>
      <c r="AG2816">
        <v>-1.116533392657</v>
      </c>
      <c r="AH2816">
        <v>22.154743983469601</v>
      </c>
      <c r="AI2816">
        <v>92.694883678112205</v>
      </c>
      <c r="AJ2816">
        <v>110.93765886913801</v>
      </c>
      <c r="AK2816">
        <v>23.7473123514336</v>
      </c>
      <c r="AL2816">
        <v>80.007363729644794</v>
      </c>
      <c r="AM2816">
        <v>102.463745695756</v>
      </c>
      <c r="AN2816">
        <v>0.99999995716174395</v>
      </c>
    </row>
    <row r="2817" spans="1:40" x14ac:dyDescent="0.25">
      <c r="A2817" t="str">
        <f>"20190304155112125"</f>
        <v>20190304155112125</v>
      </c>
      <c r="B2817" t="str">
        <f>"1551685872119123"</f>
        <v>1551685872119123</v>
      </c>
      <c r="C2817" t="s">
        <v>40</v>
      </c>
      <c r="D2817">
        <v>4.0525849999999997</v>
      </c>
      <c r="E2817">
        <v>0.43820330000000002</v>
      </c>
      <c r="F2817" t="s">
        <v>41</v>
      </c>
      <c r="G2817">
        <v>-497.76740000000001</v>
      </c>
      <c r="H2817" s="1">
        <v>-5.4589439999999999E-6</v>
      </c>
      <c r="I2817">
        <v>258.9794</v>
      </c>
      <c r="J2817">
        <v>-485.0856</v>
      </c>
      <c r="K2817">
        <v>1.1165620000000001</v>
      </c>
      <c r="L2817">
        <v>278.41250000000002</v>
      </c>
      <c r="M2817">
        <v>-0.80905530000000003</v>
      </c>
      <c r="N2817">
        <v>-1.4391920000000001E-2</v>
      </c>
      <c r="O2817">
        <v>-0.58755639999999998</v>
      </c>
      <c r="P2817">
        <v>-0.65624450000000001</v>
      </c>
      <c r="Q2817">
        <v>0.1622024</v>
      </c>
      <c r="R2817">
        <v>-0.73690829999999996</v>
      </c>
      <c r="S2817">
        <v>-1.6990050000000001</v>
      </c>
      <c r="T2817">
        <v>-0.14853239999999901</v>
      </c>
      <c r="U2817">
        <v>-2.5946349999999998</v>
      </c>
      <c r="V2817">
        <v>-0.21313699999999999</v>
      </c>
      <c r="W2817">
        <v>0.17302899999999999</v>
      </c>
      <c r="X2817">
        <v>0.96157870000000001</v>
      </c>
      <c r="Y2817">
        <v>-0.3548308</v>
      </c>
      <c r="Z2817">
        <v>1.042973E-2</v>
      </c>
      <c r="AA2817">
        <v>0.93487240000000005</v>
      </c>
      <c r="AB2817">
        <v>22</v>
      </c>
      <c r="AC2817">
        <v>-12.681800000000001</v>
      </c>
      <c r="AD2817">
        <v>-1.116567458944</v>
      </c>
      <c r="AE2817">
        <v>-19.4331</v>
      </c>
      <c r="AF2817">
        <v>-8.2529280568713208</v>
      </c>
      <c r="AG2817">
        <v>-1.116567458944</v>
      </c>
      <c r="AH2817">
        <v>21.630482946116601</v>
      </c>
      <c r="AI2817">
        <v>92.761171800749594</v>
      </c>
      <c r="AJ2817">
        <v>110.88393121137599</v>
      </c>
      <c r="AK2817">
        <v>23.1783376643906</v>
      </c>
      <c r="AL2817">
        <v>80.036021611370003</v>
      </c>
      <c r="AM2817">
        <v>102.497735867408</v>
      </c>
      <c r="AN2817">
        <v>1.0000000059518399</v>
      </c>
    </row>
    <row r="2818" spans="1:40" x14ac:dyDescent="0.25">
      <c r="A2818" t="str">
        <f>"20190304155112139"</f>
        <v>20190304155112139</v>
      </c>
      <c r="B2818" t="str">
        <f>"1551685872129859"</f>
        <v>1551685872129859</v>
      </c>
      <c r="C2818" t="s">
        <v>40</v>
      </c>
      <c r="D2818">
        <v>4.070424</v>
      </c>
      <c r="E2818">
        <v>0.43855070000000002</v>
      </c>
      <c r="F2818" t="s">
        <v>41</v>
      </c>
      <c r="G2818">
        <v>-497.57859999999999</v>
      </c>
      <c r="H2818" s="1">
        <v>-5.4794039999999997E-6</v>
      </c>
      <c r="I2818">
        <v>259.1379</v>
      </c>
      <c r="J2818">
        <v>-485.1807</v>
      </c>
      <c r="K2818">
        <v>1.116608</v>
      </c>
      <c r="L2818">
        <v>278.33589999999998</v>
      </c>
      <c r="M2818">
        <v>-0.80586599999999997</v>
      </c>
      <c r="N2818">
        <v>-1.44014E-2</v>
      </c>
      <c r="O2818">
        <v>-0.59192290000000003</v>
      </c>
      <c r="P2818">
        <v>-0.6520302</v>
      </c>
      <c r="Q2818">
        <v>0.16115579999999999</v>
      </c>
      <c r="R2818">
        <v>-0.74086790000000002</v>
      </c>
      <c r="S2818">
        <v>-1.6866759999999901</v>
      </c>
      <c r="T2818">
        <v>-0.1507484</v>
      </c>
      <c r="U2818">
        <v>-2.6022639999999999</v>
      </c>
      <c r="V2818">
        <v>-0.21360979999999999</v>
      </c>
      <c r="W2818">
        <v>0.17196420000000001</v>
      </c>
      <c r="X2818">
        <v>0.96166479999999999</v>
      </c>
      <c r="Y2818">
        <v>-0.35414649999999998</v>
      </c>
      <c r="Z2818">
        <v>1.094358E-2</v>
      </c>
      <c r="AA2818">
        <v>0.93512589999999995</v>
      </c>
      <c r="AB2818">
        <v>22</v>
      </c>
      <c r="AC2818">
        <v>-12.3978999999999</v>
      </c>
      <c r="AD2818">
        <v>-1.1166134794039999</v>
      </c>
      <c r="AE2818">
        <v>-19.197999999999901</v>
      </c>
      <c r="AF2818">
        <v>-8.1138870781795003</v>
      </c>
      <c r="AG2818">
        <v>-1.1166134794039999</v>
      </c>
      <c r="AH2818">
        <v>21.306130923396498</v>
      </c>
      <c r="AI2818">
        <v>92.803923500861899</v>
      </c>
      <c r="AJ2818">
        <v>110.84803681002001</v>
      </c>
      <c r="AK2818">
        <v>22.826151758558598</v>
      </c>
      <c r="AL2818">
        <v>80.097958630518093</v>
      </c>
      <c r="AM2818">
        <v>102.523499672125</v>
      </c>
      <c r="AN2818">
        <v>1.0000000101483599</v>
      </c>
    </row>
    <row r="2819" spans="1:40" x14ac:dyDescent="0.25">
      <c r="A2819" t="str">
        <f>"20190304155112154"</f>
        <v>20190304155112154</v>
      </c>
      <c r="B2819" t="str">
        <f>"1551685872149379"</f>
        <v>1551685872149379</v>
      </c>
      <c r="C2819" t="s">
        <v>40</v>
      </c>
      <c r="D2819">
        <v>4.080495</v>
      </c>
      <c r="E2819">
        <v>0.44903369999999998</v>
      </c>
      <c r="F2819" t="s">
        <v>41</v>
      </c>
      <c r="G2819">
        <v>-497.24239999999998</v>
      </c>
      <c r="H2819" s="1">
        <v>-5.5491279999999999E-6</v>
      </c>
      <c r="I2819">
        <v>259.5181</v>
      </c>
      <c r="J2819">
        <v>-485.29509999999999</v>
      </c>
      <c r="K2819">
        <v>1.116654</v>
      </c>
      <c r="L2819">
        <v>278.24279999999999</v>
      </c>
      <c r="M2819">
        <v>-0.80195550000000004</v>
      </c>
      <c r="N2819">
        <v>-1.441308E-2</v>
      </c>
      <c r="O2819">
        <v>-0.59720989999999996</v>
      </c>
      <c r="P2819">
        <v>-0.6462386</v>
      </c>
      <c r="Q2819">
        <v>0.16004570000000001</v>
      </c>
      <c r="R2819">
        <v>-0.74616400000000005</v>
      </c>
      <c r="S2819">
        <v>-1.6732180000000001</v>
      </c>
      <c r="T2819">
        <v>-0.154898799999999</v>
      </c>
      <c r="U2819">
        <v>-2.6104430000000001</v>
      </c>
      <c r="V2819">
        <v>-0.21497740000000001</v>
      </c>
      <c r="W2819">
        <v>0.170817</v>
      </c>
      <c r="X2819">
        <v>0.96156450000000004</v>
      </c>
      <c r="Y2819">
        <v>-0.35274709999999998</v>
      </c>
      <c r="Z2819">
        <v>1.180526E-2</v>
      </c>
      <c r="AA2819">
        <v>0.93564429999999998</v>
      </c>
      <c r="AB2819">
        <v>22</v>
      </c>
      <c r="AC2819">
        <v>-11.947299999999901</v>
      </c>
      <c r="AD2819">
        <v>-1.116659549128</v>
      </c>
      <c r="AE2819">
        <v>-18.724699999999899</v>
      </c>
      <c r="AF2819">
        <v>-7.8622773667105097</v>
      </c>
      <c r="AG2819">
        <v>-1.116659549128</v>
      </c>
      <c r="AH2819">
        <v>20.713583171860002</v>
      </c>
      <c r="AI2819">
        <v>92.885318434557604</v>
      </c>
      <c r="AJ2819">
        <v>110.785314112438</v>
      </c>
      <c r="AK2819">
        <v>22.183662045688202</v>
      </c>
      <c r="AL2819">
        <v>80.164675538798093</v>
      </c>
      <c r="AM2819">
        <v>102.60239877824699</v>
      </c>
      <c r="AN2819">
        <v>1.0000000088300001</v>
      </c>
    </row>
    <row r="2820" spans="1:40" x14ac:dyDescent="0.25">
      <c r="A2820" t="str">
        <f>"20190304155112177"</f>
        <v>20190304155112177</v>
      </c>
      <c r="B2820" t="str">
        <f>"1551685872169875"</f>
        <v>1551685872169875</v>
      </c>
      <c r="C2820" t="s">
        <v>40</v>
      </c>
      <c r="D2820">
        <v>4.1024640000000003</v>
      </c>
      <c r="E2820">
        <v>0.45022299999999899</v>
      </c>
      <c r="F2820" t="s">
        <v>41</v>
      </c>
      <c r="G2820">
        <v>-495.23309999999998</v>
      </c>
      <c r="H2820" s="1">
        <v>-3.020172E-6</v>
      </c>
      <c r="I2820">
        <v>263.38350000000003</v>
      </c>
      <c r="J2820">
        <v>-485.46530000000001</v>
      </c>
      <c r="K2820">
        <v>1.11673</v>
      </c>
      <c r="L2820">
        <v>278.1019</v>
      </c>
      <c r="M2820">
        <v>-0.79594759999999998</v>
      </c>
      <c r="N2820">
        <v>-1.443156E-2</v>
      </c>
      <c r="O2820">
        <v>-0.6051936</v>
      </c>
      <c r="P2820">
        <v>-0.63768349999999996</v>
      </c>
      <c r="Q2820">
        <v>0.1589132</v>
      </c>
      <c r="R2820">
        <v>-0.75372859999999997</v>
      </c>
      <c r="S2820">
        <v>-1.720215</v>
      </c>
      <c r="T2820">
        <v>-0.1932886</v>
      </c>
      <c r="U2820">
        <v>-2.5720830000000001</v>
      </c>
      <c r="V2820">
        <v>-0.2165492</v>
      </c>
      <c r="W2820">
        <v>0.1696367</v>
      </c>
      <c r="X2820">
        <v>0.96142070000000002</v>
      </c>
      <c r="Y2820">
        <v>-0.32508979999999998</v>
      </c>
      <c r="Z2820">
        <v>1.8812490000000001E-2</v>
      </c>
      <c r="AA2820">
        <v>0.945496</v>
      </c>
      <c r="AB2820">
        <v>22</v>
      </c>
      <c r="AC2820">
        <v>-9.7677999999999603</v>
      </c>
      <c r="AD2820">
        <v>-1.1167330201719901</v>
      </c>
      <c r="AE2820">
        <v>-14.7183999999999</v>
      </c>
      <c r="AF2820">
        <v>-5.7811643542932902</v>
      </c>
      <c r="AG2820">
        <v>-1.1167330201719901</v>
      </c>
      <c r="AH2820">
        <v>16.617461954440401</v>
      </c>
      <c r="AI2820">
        <v>93.631750928111998</v>
      </c>
      <c r="AJ2820">
        <v>109.18262997677699</v>
      </c>
      <c r="AK2820">
        <v>17.629775827757101</v>
      </c>
      <c r="AL2820">
        <v>80.233302941101499</v>
      </c>
      <c r="AM2820">
        <v>102.693403232299</v>
      </c>
      <c r="AN2820">
        <v>0.99999996419800896</v>
      </c>
    </row>
    <row r="2821" spans="1:40" x14ac:dyDescent="0.25">
      <c r="A2821" t="str">
        <f>"20190304155112188"</f>
        <v>20190304155112188</v>
      </c>
      <c r="B2821" t="str">
        <f>"1551685872179635"</f>
        <v>1551685872179635</v>
      </c>
      <c r="C2821" t="s">
        <v>40</v>
      </c>
      <c r="D2821">
        <v>4.0928129999999996</v>
      </c>
      <c r="E2821">
        <v>0.4504573</v>
      </c>
      <c r="F2821" t="s">
        <v>41</v>
      </c>
      <c r="G2821">
        <v>-495.32380000000001</v>
      </c>
      <c r="H2821" s="1">
        <v>-2.9173500000000001E-6</v>
      </c>
      <c r="I2821">
        <v>263.08760000000001</v>
      </c>
      <c r="J2821">
        <v>-485.548</v>
      </c>
      <c r="K2821">
        <v>1.1167640000000001</v>
      </c>
      <c r="L2821">
        <v>278.0324</v>
      </c>
      <c r="M2821">
        <v>-0.79295490000000002</v>
      </c>
      <c r="N2821">
        <v>-1.444057E-2</v>
      </c>
      <c r="O2821">
        <v>-0.60910949999999997</v>
      </c>
      <c r="P2821">
        <v>-0.63318409999999903</v>
      </c>
      <c r="Q2821">
        <v>0.15818689999999999</v>
      </c>
      <c r="R2821">
        <v>-0.75766460000000002</v>
      </c>
      <c r="S2821">
        <v>-1.6972050000000001</v>
      </c>
      <c r="T2821">
        <v>-0.19225320000000001</v>
      </c>
      <c r="U2821">
        <v>-2.5848080000000002</v>
      </c>
      <c r="V2821">
        <v>-0.21766240000000001</v>
      </c>
      <c r="W2821">
        <v>0.16888149999999999</v>
      </c>
      <c r="X2821">
        <v>0.96130230000000005</v>
      </c>
      <c r="Y2821">
        <v>-0.32843440000000002</v>
      </c>
      <c r="Z2821">
        <v>1.8782690000000001E-2</v>
      </c>
      <c r="AA2821">
        <v>0.94433999999999996</v>
      </c>
      <c r="AB2821">
        <v>22</v>
      </c>
      <c r="AC2821">
        <v>-9.7758000000000003</v>
      </c>
      <c r="AD2821">
        <v>-1.1167669173500001</v>
      </c>
      <c r="AE2821">
        <v>-14.944799999999899</v>
      </c>
      <c r="AF2821">
        <v>-5.8736634184895804</v>
      </c>
      <c r="AG2821">
        <v>-1.1167669173500001</v>
      </c>
      <c r="AH2821">
        <v>16.790878772185899</v>
      </c>
      <c r="AI2821">
        <v>93.592314320956802</v>
      </c>
      <c r="AJ2821">
        <v>109.280487675873</v>
      </c>
      <c r="AK2821">
        <v>17.8235995310609</v>
      </c>
      <c r="AL2821">
        <v>80.277206489457697</v>
      </c>
      <c r="AM2821">
        <v>102.758045203405</v>
      </c>
      <c r="AN2821">
        <v>0.99999999670064998</v>
      </c>
    </row>
    <row r="2822" spans="1:40" x14ac:dyDescent="0.25">
      <c r="A2822" t="str">
        <f>"20190304155112198"</f>
        <v>20190304155112198</v>
      </c>
      <c r="B2822" t="str">
        <f>"1551685872189395"</f>
        <v>1551685872189395</v>
      </c>
      <c r="C2822" t="s">
        <v>40</v>
      </c>
      <c r="D2822">
        <v>4.1466459999999996</v>
      </c>
      <c r="E2822">
        <v>0.45085500000000001</v>
      </c>
      <c r="F2822" t="s">
        <v>41</v>
      </c>
      <c r="G2822">
        <v>-495.26190000000003</v>
      </c>
      <c r="H2822" s="1">
        <v>-2.8916540000000002E-6</v>
      </c>
      <c r="I2822">
        <v>263.06610000000001</v>
      </c>
      <c r="J2822">
        <v>-485.63159999999999</v>
      </c>
      <c r="K2822">
        <v>1.116798</v>
      </c>
      <c r="L2822">
        <v>277.96089999999998</v>
      </c>
      <c r="M2822">
        <v>-0.78985109999999903</v>
      </c>
      <c r="N2822">
        <v>-1.445018E-2</v>
      </c>
      <c r="O2822">
        <v>-0.61312829999999996</v>
      </c>
      <c r="P2822">
        <v>-0.62855729999999999</v>
      </c>
      <c r="Q2822">
        <v>0.15736</v>
      </c>
      <c r="R2822">
        <v>-0.76167810000000002</v>
      </c>
      <c r="S2822">
        <v>-1.6831670000000001</v>
      </c>
      <c r="T2822">
        <v>-0.19350790000000001</v>
      </c>
      <c r="U2822">
        <v>-2.5932919999999999</v>
      </c>
      <c r="V2822">
        <v>-0.218776</v>
      </c>
      <c r="W2822">
        <v>0.16802739999999999</v>
      </c>
      <c r="X2822">
        <v>0.96119920000000003</v>
      </c>
      <c r="Y2822">
        <v>-0.32864880000000002</v>
      </c>
      <c r="Z2822">
        <v>1.9199560000000001E-2</v>
      </c>
      <c r="AA2822">
        <v>0.94425700000000001</v>
      </c>
      <c r="AB2822">
        <v>22</v>
      </c>
      <c r="AC2822">
        <v>-9.6303000000000303</v>
      </c>
      <c r="AD2822">
        <v>-1.116800891654</v>
      </c>
      <c r="AE2822">
        <v>-14.894799999999901</v>
      </c>
      <c r="AF2822">
        <v>-5.83753365667397</v>
      </c>
      <c r="AG2822">
        <v>-1.116800891654</v>
      </c>
      <c r="AH2822">
        <v>16.6745678744504</v>
      </c>
      <c r="AI2822">
        <v>93.617108008286394</v>
      </c>
      <c r="AJ2822">
        <v>109.294438517854</v>
      </c>
      <c r="AK2822">
        <v>17.702125782629999</v>
      </c>
      <c r="AL2822">
        <v>80.326852546520499</v>
      </c>
      <c r="AM2822">
        <v>102.82249538807299</v>
      </c>
      <c r="AN2822">
        <v>1.0000000237036999</v>
      </c>
    </row>
    <row r="2823" spans="1:40" x14ac:dyDescent="0.25">
      <c r="A2823" t="str">
        <f>"20190304155112209"</f>
        <v>20190304155112209</v>
      </c>
      <c r="B2823" t="str">
        <f>"1551685872199155"</f>
        <v>1551685872199155</v>
      </c>
      <c r="C2823" t="s">
        <v>40</v>
      </c>
      <c r="D2823">
        <v>4.1465579999999997</v>
      </c>
      <c r="E2823">
        <v>0.45129970000000003</v>
      </c>
      <c r="F2823" t="s">
        <v>41</v>
      </c>
      <c r="G2823">
        <v>-495.14089999999999</v>
      </c>
      <c r="H2823" s="1">
        <v>-2.8918439999999999E-6</v>
      </c>
      <c r="I2823">
        <v>263.14150000000001</v>
      </c>
      <c r="J2823">
        <v>-485.71170000000001</v>
      </c>
      <c r="K2823">
        <v>1.116825</v>
      </c>
      <c r="L2823">
        <v>277.8922</v>
      </c>
      <c r="M2823">
        <v>-0.78684500000000002</v>
      </c>
      <c r="N2823">
        <v>-1.4459100000000001E-2</v>
      </c>
      <c r="O2823">
        <v>-0.61698149999999996</v>
      </c>
      <c r="P2823">
        <v>-0.62412639999999997</v>
      </c>
      <c r="Q2823">
        <v>0.1563079</v>
      </c>
      <c r="R2823">
        <v>-0.76552889999999996</v>
      </c>
      <c r="S2823">
        <v>-1.669373</v>
      </c>
      <c r="T2823">
        <v>-0.1960558</v>
      </c>
      <c r="U2823">
        <v>-2.6015630000000001</v>
      </c>
      <c r="V2823">
        <v>-0.21982550000000001</v>
      </c>
      <c r="W2823">
        <v>0.1669495</v>
      </c>
      <c r="X2823">
        <v>0.96114750000000004</v>
      </c>
      <c r="Y2823">
        <v>-0.32894800000000002</v>
      </c>
      <c r="Z2823">
        <v>1.9809920000000002E-2</v>
      </c>
      <c r="AA2823">
        <v>0.94414030000000004</v>
      </c>
      <c r="AB2823">
        <v>22</v>
      </c>
      <c r="AC2823">
        <v>-9.4291999999999803</v>
      </c>
      <c r="AD2823">
        <v>-1.116827891844</v>
      </c>
      <c r="AE2823">
        <v>-14.750699999999901</v>
      </c>
      <c r="AF2823">
        <v>-5.7660115858376599</v>
      </c>
      <c r="AG2823">
        <v>-1.116827891844</v>
      </c>
      <c r="AH2823">
        <v>16.454987399924502</v>
      </c>
      <c r="AI2823">
        <v>93.664962729762294</v>
      </c>
      <c r="AJ2823">
        <v>109.311031498822</v>
      </c>
      <c r="AK2823">
        <v>17.4717144115765</v>
      </c>
      <c r="AL2823">
        <v>80.389495874591901</v>
      </c>
      <c r="AM2823">
        <v>102.882629123679</v>
      </c>
      <c r="AN2823">
        <v>0.99999995137837305</v>
      </c>
    </row>
    <row r="2824" spans="1:40" x14ac:dyDescent="0.25">
      <c r="A2824" t="str">
        <f>"20190304155112220"</f>
        <v>20190304155112220</v>
      </c>
      <c r="B2824" t="str">
        <f>"1551685872209893"</f>
        <v>1551685872209893</v>
      </c>
      <c r="C2824" t="s">
        <v>40</v>
      </c>
      <c r="D2824">
        <v>4.1157560000000002</v>
      </c>
      <c r="E2824">
        <v>0.45129970000000003</v>
      </c>
      <c r="F2824" t="s">
        <v>41</v>
      </c>
      <c r="G2824">
        <v>-495.0333</v>
      </c>
      <c r="H2824" s="1">
        <v>-2.893594E-6</v>
      </c>
      <c r="I2824">
        <v>263.2124</v>
      </c>
      <c r="J2824">
        <v>-485.79430000000002</v>
      </c>
      <c r="K2824">
        <v>1.1168549999999999</v>
      </c>
      <c r="L2824">
        <v>277.8202</v>
      </c>
      <c r="M2824">
        <v>-0.78367129999999996</v>
      </c>
      <c r="N2824">
        <v>-1.4468379999999999E-2</v>
      </c>
      <c r="O2824">
        <v>-0.62100710000000003</v>
      </c>
      <c r="P2824">
        <v>-0.61979450000000003</v>
      </c>
      <c r="Q2824">
        <v>0.1550984</v>
      </c>
      <c r="R2824">
        <v>-0.76928479999999999</v>
      </c>
      <c r="S2824">
        <v>-1.656555</v>
      </c>
      <c r="T2824">
        <v>-0.1984744</v>
      </c>
      <c r="U2824">
        <v>-2.6087950000000002</v>
      </c>
      <c r="V2824">
        <v>-0.22051290000000001</v>
      </c>
      <c r="W2824">
        <v>0.16572229999999999</v>
      </c>
      <c r="X2824">
        <v>0.96120240000000001</v>
      </c>
      <c r="Y2824">
        <v>-0.32860279999999997</v>
      </c>
      <c r="Z2824">
        <v>2.044195E-2</v>
      </c>
      <c r="AA2824">
        <v>0.94424699999999995</v>
      </c>
      <c r="AB2824">
        <v>22</v>
      </c>
      <c r="AC2824">
        <v>-9.2389999999999706</v>
      </c>
      <c r="AD2824">
        <v>-1.1168578935939999</v>
      </c>
      <c r="AE2824">
        <v>-14.6077999999999</v>
      </c>
      <c r="AF2824">
        <v>-5.6870816611372002</v>
      </c>
      <c r="AG2824">
        <v>-1.1168578935939999</v>
      </c>
      <c r="AH2824">
        <v>16.2457637246724</v>
      </c>
      <c r="AI2824">
        <v>93.712530057117704</v>
      </c>
      <c r="AJ2824">
        <v>109.29339028490401</v>
      </c>
      <c r="AK2824">
        <v>17.248626274947402</v>
      </c>
      <c r="AL2824">
        <v>80.460802486727005</v>
      </c>
      <c r="AM2824">
        <v>102.920850067904</v>
      </c>
      <c r="AN2824">
        <v>0.99999993677472798</v>
      </c>
    </row>
    <row r="2825" spans="1:40" x14ac:dyDescent="0.25">
      <c r="A2825" t="str">
        <f>"20190304155112233"</f>
        <v>20190304155112233</v>
      </c>
      <c r="B2825" t="str">
        <f>"1551685872229412"</f>
        <v>1551685872229412</v>
      </c>
      <c r="C2825" t="s">
        <v>40</v>
      </c>
      <c r="D2825">
        <v>4.1424729999999998</v>
      </c>
      <c r="E2825">
        <v>0.4564262</v>
      </c>
      <c r="F2825" t="s">
        <v>41</v>
      </c>
      <c r="G2825">
        <v>-494.86110000000002</v>
      </c>
      <c r="H2825" s="1">
        <v>-2.9083639999999998E-6</v>
      </c>
      <c r="I2825">
        <v>263.35359999999997</v>
      </c>
      <c r="J2825">
        <v>-485.87979999999999</v>
      </c>
      <c r="K2825">
        <v>1.1168819999999999</v>
      </c>
      <c r="L2825">
        <v>277.745</v>
      </c>
      <c r="M2825">
        <v>-0.78033299999999906</v>
      </c>
      <c r="N2825">
        <v>-1.447798E-2</v>
      </c>
      <c r="O2825">
        <v>-0.6251968</v>
      </c>
      <c r="P2825">
        <v>-0.61478920000000004</v>
      </c>
      <c r="Q2825">
        <v>0.15384129999999999</v>
      </c>
      <c r="R2825">
        <v>-0.7735419</v>
      </c>
      <c r="S2825">
        <v>-1.641052</v>
      </c>
      <c r="T2825">
        <v>-0.20214779999999999</v>
      </c>
      <c r="U2825">
        <v>-2.6184080000000001</v>
      </c>
      <c r="V2825">
        <v>-0.22179370000000001</v>
      </c>
      <c r="W2825">
        <v>0.1644351</v>
      </c>
      <c r="X2825">
        <v>0.96112880000000001</v>
      </c>
      <c r="Y2825">
        <v>-0.32912360000000002</v>
      </c>
      <c r="Z2825">
        <v>2.1255179999999999E-2</v>
      </c>
      <c r="AA2825">
        <v>0.94404759999999999</v>
      </c>
      <c r="AB2825">
        <v>22</v>
      </c>
      <c r="AC2825">
        <v>-8.9813000000000294</v>
      </c>
      <c r="AD2825">
        <v>-1.116884908364</v>
      </c>
      <c r="AE2825">
        <v>-14.391400000000001</v>
      </c>
      <c r="AF2825">
        <v>-5.5913552010448999</v>
      </c>
      <c r="AG2825">
        <v>-1.116884908364</v>
      </c>
      <c r="AH2825">
        <v>15.938448966548799</v>
      </c>
      <c r="AI2825">
        <v>93.783122196031101</v>
      </c>
      <c r="AJ2825">
        <v>109.33134194155301</v>
      </c>
      <c r="AK2825">
        <v>16.9276354031526</v>
      </c>
      <c r="AL2825">
        <v>80.535579746628997</v>
      </c>
      <c r="AM2825">
        <v>102.994319429816</v>
      </c>
      <c r="AN2825">
        <v>0.99999995883056902</v>
      </c>
    </row>
    <row r="2826" spans="1:40" x14ac:dyDescent="0.25">
      <c r="A2826" t="str">
        <f>"20190304155112243"</f>
        <v>20190304155112243</v>
      </c>
      <c r="B2826" t="str">
        <f>"1551685872239170"</f>
        <v>1551685872239170</v>
      </c>
      <c r="C2826" t="s">
        <v>40</v>
      </c>
      <c r="D2826">
        <v>4.1581289999999997</v>
      </c>
      <c r="E2826">
        <v>0.45740049999999999</v>
      </c>
      <c r="F2826" t="s">
        <v>41</v>
      </c>
      <c r="G2826">
        <v>-494.45670000000001</v>
      </c>
      <c r="H2826" s="1">
        <v>-3.1896100000000002E-6</v>
      </c>
      <c r="I2826">
        <v>264.26</v>
      </c>
      <c r="J2826">
        <v>-485.95830000000001</v>
      </c>
      <c r="K2826">
        <v>1.1169100000000001</v>
      </c>
      <c r="L2826">
        <v>277.67520000000002</v>
      </c>
      <c r="M2826">
        <v>-0.7772076</v>
      </c>
      <c r="N2826">
        <v>-1.448692E-2</v>
      </c>
      <c r="O2826">
        <v>-0.62907760000000001</v>
      </c>
      <c r="P2826">
        <v>-0.61005679999999995</v>
      </c>
      <c r="Q2826">
        <v>0.15293180000000001</v>
      </c>
      <c r="R2826">
        <v>-0.77745909999999996</v>
      </c>
      <c r="S2826">
        <v>-1.656555</v>
      </c>
      <c r="T2826">
        <v>-0.21571760000000001</v>
      </c>
      <c r="U2826">
        <v>-2.6045229999999999</v>
      </c>
      <c r="V2826">
        <v>-0.22301119999999999</v>
      </c>
      <c r="W2826">
        <v>0.16349669999999999</v>
      </c>
      <c r="X2826">
        <v>0.96100719999999995</v>
      </c>
      <c r="Y2826">
        <v>-0.3181697</v>
      </c>
      <c r="Z2826">
        <v>2.409215E-2</v>
      </c>
      <c r="AA2826">
        <v>0.9477276</v>
      </c>
      <c r="AB2826">
        <v>22</v>
      </c>
      <c r="AC2826">
        <v>-8.4984000000000002</v>
      </c>
      <c r="AD2826">
        <v>-1.11691318961</v>
      </c>
      <c r="AE2826">
        <v>-13.4152</v>
      </c>
      <c r="AF2826">
        <v>-5.0557660625575398</v>
      </c>
      <c r="AG2826">
        <v>-1.11691318961</v>
      </c>
      <c r="AH2826">
        <v>14.9717408590574</v>
      </c>
      <c r="AI2826">
        <v>94.042957201262695</v>
      </c>
      <c r="AJ2826">
        <v>108.65916996981299</v>
      </c>
      <c r="AK2826">
        <v>15.8417577908262</v>
      </c>
      <c r="AL2826">
        <v>80.590084180794094</v>
      </c>
      <c r="AM2826">
        <v>103.06480580260499</v>
      </c>
      <c r="AN2826">
        <v>1.00000000234408</v>
      </c>
    </row>
    <row r="2827" spans="1:40" x14ac:dyDescent="0.25">
      <c r="A2827" t="str">
        <f>"20190304155112266"</f>
        <v>20190304155112266</v>
      </c>
      <c r="B2827" t="str">
        <f>"1551685872259670"</f>
        <v>1551685872259670</v>
      </c>
      <c r="C2827" t="s">
        <v>40</v>
      </c>
      <c r="D2827">
        <v>4.1856530000000003</v>
      </c>
      <c r="E2827">
        <v>0.45836250000000001</v>
      </c>
      <c r="F2827" t="s">
        <v>41</v>
      </c>
      <c r="G2827">
        <v>-494.47390000000001</v>
      </c>
      <c r="H2827" s="1">
        <v>-3.1551449999999998E-6</v>
      </c>
      <c r="I2827">
        <v>264.16899999999998</v>
      </c>
      <c r="J2827">
        <v>-486.12240000000003</v>
      </c>
      <c r="K2827">
        <v>1.1169750000000001</v>
      </c>
      <c r="L2827">
        <v>277.52690000000001</v>
      </c>
      <c r="M2827">
        <v>-0.7704936</v>
      </c>
      <c r="N2827">
        <v>-1.450683E-2</v>
      </c>
      <c r="O2827">
        <v>-0.63728280000000004</v>
      </c>
      <c r="P2827">
        <v>-0.60017589999999998</v>
      </c>
      <c r="Q2827">
        <v>0.1515485</v>
      </c>
      <c r="R2827">
        <v>-0.78538039999999998</v>
      </c>
      <c r="S2827">
        <v>-1.6455379999999999</v>
      </c>
      <c r="T2827">
        <v>-0.2158313</v>
      </c>
      <c r="U2827">
        <v>-2.6099239999999999</v>
      </c>
      <c r="V2827">
        <v>-0.2251929</v>
      </c>
      <c r="W2827">
        <v>0.1620566</v>
      </c>
      <c r="X2827">
        <v>0.9607424</v>
      </c>
      <c r="Y2827">
        <v>-0.3118785</v>
      </c>
      <c r="Z2827">
        <v>2.4877960000000001E-2</v>
      </c>
      <c r="AA2827">
        <v>0.94979630000000004</v>
      </c>
      <c r="AB2827">
        <v>22</v>
      </c>
      <c r="AC2827">
        <v>-8.3514999999999802</v>
      </c>
      <c r="AD2827">
        <v>-1.116978155145</v>
      </c>
      <c r="AE2827">
        <v>-13.3578999999999</v>
      </c>
      <c r="AF2827">
        <v>-4.9455696295669398</v>
      </c>
      <c r="AG2827">
        <v>-1.116978155145</v>
      </c>
      <c r="AH2827">
        <v>14.874333468854299</v>
      </c>
      <c r="AI2827">
        <v>94.075935668937106</v>
      </c>
      <c r="AJ2827">
        <v>108.39145898181501</v>
      </c>
      <c r="AK2827">
        <v>15.7147095201484</v>
      </c>
      <c r="AL2827">
        <v>80.673711829260995</v>
      </c>
      <c r="AM2827">
        <v>103.191679154971</v>
      </c>
      <c r="AN2827">
        <v>1.0000000714858599</v>
      </c>
    </row>
    <row r="2828" spans="1:40" x14ac:dyDescent="0.25">
      <c r="A2828" t="str">
        <f>"20190304155112277"</f>
        <v>20190304155112277</v>
      </c>
      <c r="B2828" t="str">
        <f>"1551685872269427"</f>
        <v>1551685872269427</v>
      </c>
      <c r="C2828" t="s">
        <v>40</v>
      </c>
      <c r="D2828">
        <v>4.1810090000000004</v>
      </c>
      <c r="E2828">
        <v>0.45873999999999998</v>
      </c>
      <c r="F2828" t="s">
        <v>41</v>
      </c>
      <c r="G2828">
        <v>-494.47179999999997</v>
      </c>
      <c r="H2828" s="1">
        <v>-3.071142E-6</v>
      </c>
      <c r="I2828">
        <v>263.97449999999998</v>
      </c>
      <c r="J2828">
        <v>-486.20249999999999</v>
      </c>
      <c r="K2828">
        <v>1.117014</v>
      </c>
      <c r="L2828">
        <v>277.45299999999997</v>
      </c>
      <c r="M2828">
        <v>-0.76710619999999996</v>
      </c>
      <c r="N2828">
        <v>-1.451761E-2</v>
      </c>
      <c r="O2828">
        <v>-0.64135580000000003</v>
      </c>
      <c r="P2828">
        <v>-0.59514239999999996</v>
      </c>
      <c r="Q2828">
        <v>0.15107950000000001</v>
      </c>
      <c r="R2828">
        <v>-0.78929150000000003</v>
      </c>
      <c r="S2828">
        <v>-1.6174930000000001</v>
      </c>
      <c r="T2828">
        <v>-0.2163892</v>
      </c>
      <c r="U2828">
        <v>-2.6254580000000001</v>
      </c>
      <c r="V2828">
        <v>-0.22632389999999999</v>
      </c>
      <c r="W2828">
        <v>0.16155729999999999</v>
      </c>
      <c r="X2828">
        <v>0.96056059999999999</v>
      </c>
      <c r="Y2828">
        <v>-0.31669530000000001</v>
      </c>
      <c r="Z2828">
        <v>2.5084639999999998E-2</v>
      </c>
      <c r="AA2828">
        <v>0.94819560000000003</v>
      </c>
      <c r="AB2828">
        <v>22</v>
      </c>
      <c r="AC2828">
        <v>-8.2692999999999799</v>
      </c>
      <c r="AD2828">
        <v>-1.117017071142</v>
      </c>
      <c r="AE2828">
        <v>-13.478499999999899</v>
      </c>
      <c r="AF2828">
        <v>-5.0114019855424399</v>
      </c>
      <c r="AG2828">
        <v>-1.117017071142</v>
      </c>
      <c r="AH2828">
        <v>14.9151009098654</v>
      </c>
      <c r="AI2828">
        <v>94.060706400354306</v>
      </c>
      <c r="AJ2828">
        <v>108.57210025814901</v>
      </c>
      <c r="AK2828">
        <v>15.774096238751399</v>
      </c>
      <c r="AL2828">
        <v>80.702700650648396</v>
      </c>
      <c r="AM2828">
        <v>103.25801932295001</v>
      </c>
      <c r="AN2828">
        <v>0.99999996758342902</v>
      </c>
    </row>
    <row r="2829" spans="1:40" x14ac:dyDescent="0.25">
      <c r="A2829" t="str">
        <f>"20190304155112287"</f>
        <v>20190304155112287</v>
      </c>
      <c r="B2829" t="str">
        <f>"1551685872279187"</f>
        <v>1551685872279187</v>
      </c>
      <c r="C2829" t="s">
        <v>40</v>
      </c>
      <c r="D2829">
        <v>4.1589299999999998</v>
      </c>
      <c r="E2829">
        <v>0.45873999999999998</v>
      </c>
      <c r="F2829" t="s">
        <v>41</v>
      </c>
      <c r="G2829">
        <v>-494.47680000000003</v>
      </c>
      <c r="H2829" s="1">
        <v>-3.0195419999999999E-6</v>
      </c>
      <c r="I2829">
        <v>263.85109999999997</v>
      </c>
      <c r="J2829">
        <v>-486.2783</v>
      </c>
      <c r="K2829">
        <v>1.117049</v>
      </c>
      <c r="L2829">
        <v>277.3827</v>
      </c>
      <c r="M2829">
        <v>-0.76386580000000004</v>
      </c>
      <c r="N2829">
        <v>-1.452764E-2</v>
      </c>
      <c r="O2829">
        <v>-0.6452118</v>
      </c>
      <c r="P2829">
        <v>-0.59008319999999903</v>
      </c>
      <c r="Q2829">
        <v>0.15057619999999999</v>
      </c>
      <c r="R2829">
        <v>-0.7931764</v>
      </c>
      <c r="S2829">
        <v>-1.6023860000000001</v>
      </c>
      <c r="T2829">
        <v>-0.21631790000000001</v>
      </c>
      <c r="U2829">
        <v>-2.6340940000000002</v>
      </c>
      <c r="V2829">
        <v>-0.2277102</v>
      </c>
      <c r="W2829">
        <v>0.16101889999999999</v>
      </c>
      <c r="X2829">
        <v>0.96032329999999999</v>
      </c>
      <c r="Y2829">
        <v>-0.31726860000000001</v>
      </c>
      <c r="Z2829">
        <v>2.5309669999999999E-2</v>
      </c>
      <c r="AA2829">
        <v>0.94799789999999995</v>
      </c>
      <c r="AB2829">
        <v>22</v>
      </c>
      <c r="AC2829">
        <v>-8.1985000000000205</v>
      </c>
      <c r="AD2829">
        <v>-1.117052019542</v>
      </c>
      <c r="AE2829">
        <v>-13.531599999999999</v>
      </c>
      <c r="AF2829">
        <v>-5.0220552562613801</v>
      </c>
      <c r="AG2829">
        <v>-1.117052019542</v>
      </c>
      <c r="AH2829">
        <v>14.9205056377426</v>
      </c>
      <c r="AI2829">
        <v>94.058643053259999</v>
      </c>
      <c r="AJ2829">
        <v>108.602588198189</v>
      </c>
      <c r="AK2829">
        <v>15.782595879550801</v>
      </c>
      <c r="AL2829">
        <v>80.733957597426894</v>
      </c>
      <c r="AM2829">
        <v>103.33951299504599</v>
      </c>
      <c r="AN2829">
        <v>0.99999993093206696</v>
      </c>
    </row>
    <row r="2830" spans="1:40" x14ac:dyDescent="0.25">
      <c r="A2830" t="str">
        <f>"20190304155112298"</f>
        <v>20190304155112298</v>
      </c>
      <c r="B2830" t="str">
        <f>"1551685872289923"</f>
        <v>1551685872289923</v>
      </c>
      <c r="C2830" t="s">
        <v>40</v>
      </c>
      <c r="D2830">
        <v>4.1959839999999904</v>
      </c>
      <c r="E2830">
        <v>0.46479730000000002</v>
      </c>
      <c r="F2830" t="s">
        <v>41</v>
      </c>
      <c r="G2830">
        <v>-494.4117</v>
      </c>
      <c r="H2830" s="1">
        <v>-2.9874469999999998E-6</v>
      </c>
      <c r="I2830">
        <v>263.81670000000003</v>
      </c>
      <c r="J2830">
        <v>-486.35660000000001</v>
      </c>
      <c r="K2830">
        <v>1.117094</v>
      </c>
      <c r="L2830">
        <v>277.30869999999999</v>
      </c>
      <c r="M2830">
        <v>-0.76041840000000005</v>
      </c>
      <c r="N2830">
        <v>-1.4539089999999999E-2</v>
      </c>
      <c r="O2830">
        <v>-0.64927089999999998</v>
      </c>
      <c r="P2830">
        <v>-0.58481850000000002</v>
      </c>
      <c r="Q2830">
        <v>0.15070410000000001</v>
      </c>
      <c r="R2830">
        <v>-0.79704209999999998</v>
      </c>
      <c r="S2830">
        <v>-1.5853269999999999</v>
      </c>
      <c r="T2830">
        <v>-0.21773049999999999</v>
      </c>
      <c r="U2830">
        <v>-2.6442260000000002</v>
      </c>
      <c r="V2830">
        <v>-0.2289562</v>
      </c>
      <c r="W2830">
        <v>0.16111159999999999</v>
      </c>
      <c r="X2830">
        <v>0.96001150000000002</v>
      </c>
      <c r="Y2830">
        <v>-0.31832280000000002</v>
      </c>
      <c r="Z2830">
        <v>2.577807E-2</v>
      </c>
      <c r="AA2830">
        <v>0.94763180000000002</v>
      </c>
      <c r="AB2830">
        <v>22</v>
      </c>
      <c r="AC2830">
        <v>-8.0550999999999799</v>
      </c>
      <c r="AD2830">
        <v>-1.117096987447</v>
      </c>
      <c r="AE2830">
        <v>-13.4919999999999</v>
      </c>
      <c r="AF2830">
        <v>-5.0048599981861397</v>
      </c>
      <c r="AG2830">
        <v>-1.117096987447</v>
      </c>
      <c r="AH2830">
        <v>14.811922858804699</v>
      </c>
      <c r="AI2830">
        <v>94.086847835757794</v>
      </c>
      <c r="AJ2830">
        <v>108.669802906931</v>
      </c>
      <c r="AK2830">
        <v>15.6744884463892</v>
      </c>
      <c r="AL2830">
        <v>80.728576517515194</v>
      </c>
      <c r="AM2830">
        <v>103.41407326856501</v>
      </c>
      <c r="AN2830">
        <v>0.99999998465262396</v>
      </c>
    </row>
    <row r="2831" spans="1:40" x14ac:dyDescent="0.25">
      <c r="A2831" t="str">
        <f>"20190304155112311"</f>
        <v>20190304155112311</v>
      </c>
      <c r="B2831" t="str">
        <f>"1551685872299683"</f>
        <v>1551685872299683</v>
      </c>
      <c r="C2831" t="s">
        <v>40</v>
      </c>
      <c r="D2831">
        <v>4.2222980000000003</v>
      </c>
      <c r="E2831">
        <v>0.46479730000000002</v>
      </c>
      <c r="F2831" t="s">
        <v>41</v>
      </c>
      <c r="G2831">
        <v>-493.65620000000001</v>
      </c>
      <c r="H2831" s="1">
        <v>-3.4617779999999999E-6</v>
      </c>
      <c r="I2831">
        <v>265.39089999999999</v>
      </c>
      <c r="J2831">
        <v>-486.43669999999997</v>
      </c>
      <c r="K2831">
        <v>1.1171329999999999</v>
      </c>
      <c r="L2831">
        <v>277.23259999999999</v>
      </c>
      <c r="M2831">
        <v>-0.75685100000000005</v>
      </c>
      <c r="N2831">
        <v>-1.455062E-2</v>
      </c>
      <c r="O2831">
        <v>-0.65342549999999999</v>
      </c>
      <c r="P2831">
        <v>-0.579596</v>
      </c>
      <c r="Q2831">
        <v>0.15081700000000001</v>
      </c>
      <c r="R2831">
        <v>-0.80082629999999999</v>
      </c>
      <c r="S2831">
        <v>-1.61026</v>
      </c>
      <c r="T2831">
        <v>-0.2464269</v>
      </c>
      <c r="U2831">
        <v>-2.6289980000000002</v>
      </c>
      <c r="V2831">
        <v>-0.22997790000000001</v>
      </c>
      <c r="W2831">
        <v>0.16119310000000001</v>
      </c>
      <c r="X2831">
        <v>0.95975359999999998</v>
      </c>
      <c r="Y2831">
        <v>-0.3042224</v>
      </c>
      <c r="Z2831">
        <v>3.1500550000000002E-2</v>
      </c>
      <c r="AA2831">
        <v>0.95208009999999998</v>
      </c>
      <c r="AB2831">
        <v>22</v>
      </c>
      <c r="AC2831">
        <v>-7.2195000000000302</v>
      </c>
      <c r="AD2831">
        <v>-1.117136461778</v>
      </c>
      <c r="AE2831">
        <v>-11.841699999999999</v>
      </c>
      <c r="AF2831">
        <v>-4.21807854217636</v>
      </c>
      <c r="AG2831">
        <v>-1.117136461778</v>
      </c>
      <c r="AH2831">
        <v>13.1180390379018</v>
      </c>
      <c r="AI2831">
        <v>94.634960248755803</v>
      </c>
      <c r="AJ2831">
        <v>107.82508801584</v>
      </c>
      <c r="AK2831">
        <v>13.8247288820475</v>
      </c>
      <c r="AL2831">
        <v>80.723845318995799</v>
      </c>
      <c r="AM2831">
        <v>103.475243267156</v>
      </c>
      <c r="AN2831">
        <v>1.00000001134449</v>
      </c>
    </row>
    <row r="2832" spans="1:40" x14ac:dyDescent="0.25">
      <c r="A2832" t="str">
        <f>"20190304155112323"</f>
        <v>20190304155112323</v>
      </c>
      <c r="B2832" t="str">
        <f>"1551685872319203"</f>
        <v>1551685872319203</v>
      </c>
      <c r="C2832" t="s">
        <v>40</v>
      </c>
      <c r="D2832">
        <v>4.265015</v>
      </c>
      <c r="E2832">
        <v>0.46795819999999999</v>
      </c>
      <c r="F2832" t="s">
        <v>41</v>
      </c>
      <c r="G2832">
        <v>-493.6678</v>
      </c>
      <c r="H2832" s="1">
        <v>-3.40276E-6</v>
      </c>
      <c r="I2832">
        <v>265.24619999999999</v>
      </c>
      <c r="J2832">
        <v>-486.52859999999998</v>
      </c>
      <c r="K2832">
        <v>1.117181</v>
      </c>
      <c r="L2832">
        <v>277.14389999999997</v>
      </c>
      <c r="M2832">
        <v>-0.7526602</v>
      </c>
      <c r="N2832">
        <v>-1.456442E-2</v>
      </c>
      <c r="O2832">
        <v>-0.65824830000000001</v>
      </c>
      <c r="P2832">
        <v>-0.57351609999999997</v>
      </c>
      <c r="Q2832">
        <v>0.15061720000000001</v>
      </c>
      <c r="R2832">
        <v>-0.80522939999999998</v>
      </c>
      <c r="S2832">
        <v>-1.59256</v>
      </c>
      <c r="T2832">
        <v>-0.24603620000000001</v>
      </c>
      <c r="U2832">
        <v>-2.6398619999999999</v>
      </c>
      <c r="V2832">
        <v>-0.2311578</v>
      </c>
      <c r="W2832">
        <v>0.16095770000000001</v>
      </c>
      <c r="X2832">
        <v>0.95950959999999996</v>
      </c>
      <c r="Y2832">
        <v>-0.30455369999999998</v>
      </c>
      <c r="Z2832">
        <v>3.1783680000000002E-2</v>
      </c>
      <c r="AA2832">
        <v>0.9519647</v>
      </c>
      <c r="AB2832">
        <v>22</v>
      </c>
      <c r="AC2832">
        <v>-7.1392000000000104</v>
      </c>
      <c r="AD2832">
        <v>-1.11718440276</v>
      </c>
      <c r="AE2832">
        <v>-11.897699999999899</v>
      </c>
      <c r="AF2832">
        <v>-4.2285963664872002</v>
      </c>
      <c r="AG2832">
        <v>-1.11718440276</v>
      </c>
      <c r="AH2832">
        <v>13.121367243983901</v>
      </c>
      <c r="AI2832">
        <v>94.633018832776102</v>
      </c>
      <c r="AJ2832">
        <v>107.86246857036799</v>
      </c>
      <c r="AK2832">
        <v>13.831102868966401</v>
      </c>
      <c r="AL2832">
        <v>80.737511003691296</v>
      </c>
      <c r="AM2832">
        <v>103.54515479064</v>
      </c>
      <c r="AN2832">
        <v>0.99999999109114501</v>
      </c>
    </row>
    <row r="2833" spans="1:40" x14ac:dyDescent="0.25">
      <c r="A2833" t="str">
        <f>"20190304155112335"</f>
        <v>20190304155112335</v>
      </c>
      <c r="B2833" t="str">
        <f>"1551685872329940"</f>
        <v>1551685872329940</v>
      </c>
      <c r="C2833" t="s">
        <v>40</v>
      </c>
      <c r="D2833">
        <v>4.2430250000000003</v>
      </c>
      <c r="E2833">
        <v>0.46805770000000002</v>
      </c>
      <c r="F2833" t="s">
        <v>41</v>
      </c>
      <c r="G2833">
        <v>-494.91809999999998</v>
      </c>
      <c r="H2833" s="1">
        <v>-2.8756309999999998E-6</v>
      </c>
      <c r="I2833">
        <v>263.24189999999999</v>
      </c>
      <c r="J2833">
        <v>-486.61009999999999</v>
      </c>
      <c r="K2833">
        <v>1.1172260000000001</v>
      </c>
      <c r="L2833">
        <v>277.0641</v>
      </c>
      <c r="M2833">
        <v>-0.74885619999999997</v>
      </c>
      <c r="N2833">
        <v>-1.457667E-2</v>
      </c>
      <c r="O2833">
        <v>-0.6625721</v>
      </c>
      <c r="P2833">
        <v>-0.56788059999999996</v>
      </c>
      <c r="Q2833">
        <v>0.1504654</v>
      </c>
      <c r="R2833">
        <v>-0.80924160000000001</v>
      </c>
      <c r="S2833">
        <v>-1.589172</v>
      </c>
      <c r="T2833">
        <v>-0.2116208</v>
      </c>
      <c r="U2833">
        <v>-2.633362</v>
      </c>
      <c r="V2833">
        <v>-0.23236760000000001</v>
      </c>
      <c r="W2833">
        <v>0.16077139999999901</v>
      </c>
      <c r="X2833">
        <v>0.95924860000000001</v>
      </c>
      <c r="Y2833">
        <v>-0.29885129999999999</v>
      </c>
      <c r="Z2833">
        <v>2.6329660000000001E-2</v>
      </c>
      <c r="AA2833">
        <v>0.95393640000000002</v>
      </c>
      <c r="AB2833">
        <v>22</v>
      </c>
      <c r="AC2833">
        <v>-8.3079999999999892</v>
      </c>
      <c r="AD2833">
        <v>-1.117228875631</v>
      </c>
      <c r="AE2833">
        <v>-13.8222</v>
      </c>
      <c r="AF2833">
        <v>-4.8235563888527802</v>
      </c>
      <c r="AG2833">
        <v>-1.117228875631</v>
      </c>
      <c r="AH2833">
        <v>15.307868475948601</v>
      </c>
      <c r="AI2833">
        <v>93.981932906969405</v>
      </c>
      <c r="AJ2833">
        <v>107.489799689892</v>
      </c>
      <c r="AK2833">
        <v>16.088683410208802</v>
      </c>
      <c r="AL2833">
        <v>80.748326239490893</v>
      </c>
      <c r="AM2833">
        <v>103.61698002355899</v>
      </c>
      <c r="AN2833">
        <v>1.0000000105948399</v>
      </c>
    </row>
    <row r="2834" spans="1:40" x14ac:dyDescent="0.25">
      <c r="A2834" t="str">
        <f>"20190304155112353"</f>
        <v>20190304155112353</v>
      </c>
      <c r="B2834" t="str">
        <f>"1551685872349459"</f>
        <v>1551685872349459</v>
      </c>
      <c r="C2834" t="s">
        <v>40</v>
      </c>
      <c r="D2834">
        <v>4.2859280000000002</v>
      </c>
      <c r="E2834">
        <v>0.47166010000000003</v>
      </c>
      <c r="F2834" t="s">
        <v>41</v>
      </c>
      <c r="G2834">
        <v>-494.93920000000003</v>
      </c>
      <c r="H2834" s="1">
        <v>-2.7979450000000001E-6</v>
      </c>
      <c r="I2834">
        <v>263.0478</v>
      </c>
      <c r="J2834">
        <v>-486.7321</v>
      </c>
      <c r="K2834">
        <v>1.117283</v>
      </c>
      <c r="L2834">
        <v>276.94319999999999</v>
      </c>
      <c r="M2834">
        <v>-0.74303730000000001</v>
      </c>
      <c r="N2834">
        <v>-1.459478E-2</v>
      </c>
      <c r="O2834">
        <v>-0.66909090000000004</v>
      </c>
      <c r="P2834">
        <v>-0.56013579999999996</v>
      </c>
      <c r="Q2834">
        <v>0.1503091</v>
      </c>
      <c r="R2834">
        <v>-0.81465050000000006</v>
      </c>
      <c r="S2834">
        <v>-1.571075</v>
      </c>
      <c r="T2834">
        <v>-0.21073749999999999</v>
      </c>
      <c r="U2834">
        <v>-2.6438290000000002</v>
      </c>
      <c r="V2834">
        <v>-0.23317889999999999</v>
      </c>
      <c r="W2834">
        <v>0.16058410000000001</v>
      </c>
      <c r="X2834">
        <v>0.95908309999999997</v>
      </c>
      <c r="Y2834">
        <v>-0.2970025</v>
      </c>
      <c r="Z2834">
        <v>2.6648379999999999E-2</v>
      </c>
      <c r="AA2834">
        <v>0.95450480000000004</v>
      </c>
      <c r="AB2834">
        <v>22</v>
      </c>
      <c r="AC2834">
        <v>-8.20710000000002</v>
      </c>
      <c r="AD2834">
        <v>-1.1172857979449999</v>
      </c>
      <c r="AE2834">
        <v>-13.895399999999899</v>
      </c>
      <c r="AF2834">
        <v>-4.8109595106986403</v>
      </c>
      <c r="AG2834">
        <v>-1.1172857979449999</v>
      </c>
      <c r="AH2834">
        <v>15.3236575713546</v>
      </c>
      <c r="AI2834">
        <v>93.979346880165707</v>
      </c>
      <c r="AJ2834">
        <v>107.430011762723</v>
      </c>
      <c r="AK2834">
        <v>16.099942246231901</v>
      </c>
      <c r="AL2834">
        <v>80.759199121963206</v>
      </c>
      <c r="AM2834">
        <v>103.665013309177</v>
      </c>
      <c r="AN2834">
        <v>1.00000002264181</v>
      </c>
    </row>
    <row r="2835" spans="1:40" x14ac:dyDescent="0.25">
      <c r="A2835" t="str">
        <f>"20190304155112367"</f>
        <v>20190304155112367</v>
      </c>
      <c r="B2835" t="str">
        <f>"1551685872359219"</f>
        <v>1551685872359219</v>
      </c>
      <c r="C2835" t="s">
        <v>40</v>
      </c>
      <c r="D2835">
        <v>4.2954689999999998</v>
      </c>
      <c r="E2835">
        <v>0.47214610000000001</v>
      </c>
      <c r="F2835" t="s">
        <v>41</v>
      </c>
      <c r="G2835">
        <v>-495.27809999999999</v>
      </c>
      <c r="H2835" s="1">
        <v>-2.6754560000000001E-6</v>
      </c>
      <c r="I2835">
        <v>262.55200000000002</v>
      </c>
      <c r="J2835">
        <v>-486.82530000000003</v>
      </c>
      <c r="K2835">
        <v>1.117321</v>
      </c>
      <c r="L2835">
        <v>276.8494</v>
      </c>
      <c r="M2835">
        <v>-0.73847600000000002</v>
      </c>
      <c r="N2835">
        <v>-1.460849E-2</v>
      </c>
      <c r="O2835">
        <v>-0.67412169999999905</v>
      </c>
      <c r="P2835">
        <v>-0.55355339999999997</v>
      </c>
      <c r="Q2835">
        <v>0.1487618</v>
      </c>
      <c r="R2835">
        <v>-0.81941980000000003</v>
      </c>
      <c r="S2835">
        <v>-1.5687869999999999</v>
      </c>
      <c r="T2835">
        <v>-0.2050979</v>
      </c>
      <c r="U2835">
        <v>-2.6417540000000002</v>
      </c>
      <c r="V2835">
        <v>-0.2345979</v>
      </c>
      <c r="W2835">
        <v>0.15899969999999999</v>
      </c>
      <c r="X2835">
        <v>0.95900099999999999</v>
      </c>
      <c r="Y2835">
        <v>-0.29079650000000001</v>
      </c>
      <c r="Z2835">
        <v>2.617473E-2</v>
      </c>
      <c r="AA2835">
        <v>0.95642689999999997</v>
      </c>
      <c r="AB2835">
        <v>22</v>
      </c>
      <c r="AC2835">
        <v>-8.4527999999999608</v>
      </c>
      <c r="AD2835">
        <v>-1.1173236754559901</v>
      </c>
      <c r="AE2835">
        <v>-14.2973999999999</v>
      </c>
      <c r="AF2835">
        <v>-4.83869165462092</v>
      </c>
      <c r="AG2835">
        <v>-1.1173236754559901</v>
      </c>
      <c r="AH2835">
        <v>15.8105205614733</v>
      </c>
      <c r="AI2835">
        <v>93.8659313252804</v>
      </c>
      <c r="AJ2835">
        <v>107.01633864135501</v>
      </c>
      <c r="AK2835">
        <v>16.572082233352699</v>
      </c>
      <c r="AL2835">
        <v>80.851159975356495</v>
      </c>
      <c r="AM2835">
        <v>103.746158223111</v>
      </c>
      <c r="AN2835">
        <v>0.99999999864275002</v>
      </c>
    </row>
    <row r="2836" spans="1:40" x14ac:dyDescent="0.25">
      <c r="A2836" t="str">
        <f>"20190304155112381"</f>
        <v>20190304155112381</v>
      </c>
      <c r="B2836" t="str">
        <f>"1551685872369955"</f>
        <v>1551685872369955</v>
      </c>
      <c r="C2836" t="s">
        <v>40</v>
      </c>
      <c r="D2836">
        <v>4.3312109999999997</v>
      </c>
      <c r="E2836">
        <v>0.47214610000000001</v>
      </c>
      <c r="F2836" t="s">
        <v>41</v>
      </c>
      <c r="G2836">
        <v>-495.17059999999998</v>
      </c>
      <c r="H2836" s="1">
        <v>-2.6540790000000002E-6</v>
      </c>
      <c r="I2836">
        <v>262.56889999999999</v>
      </c>
      <c r="J2836">
        <v>-486.92320000000001</v>
      </c>
      <c r="K2836">
        <v>1.1173679999999999</v>
      </c>
      <c r="L2836">
        <v>276.74880000000002</v>
      </c>
      <c r="M2836">
        <v>-0.73353669999999904</v>
      </c>
      <c r="N2836">
        <v>-1.4623479999999999E-2</v>
      </c>
      <c r="O2836">
        <v>-0.67949269999999995</v>
      </c>
      <c r="P2836">
        <v>-0.54725190000000001</v>
      </c>
      <c r="Q2836">
        <v>0.14766279999999901</v>
      </c>
      <c r="R2836">
        <v>-0.8238394</v>
      </c>
      <c r="S2836">
        <v>-1.5497129999999999</v>
      </c>
      <c r="T2836">
        <v>-0.20748510000000001</v>
      </c>
      <c r="U2836">
        <v>-2.6518549999999999</v>
      </c>
      <c r="V2836">
        <v>-0.23510010000000001</v>
      </c>
      <c r="W2836">
        <v>0.15788189999999999</v>
      </c>
      <c r="X2836">
        <v>0.95906270000000005</v>
      </c>
      <c r="Y2836">
        <v>-0.29053810000000002</v>
      </c>
      <c r="Z2836">
        <v>2.6963870000000001E-2</v>
      </c>
      <c r="AA2836">
        <v>0.95648339999999998</v>
      </c>
      <c r="AB2836">
        <v>22</v>
      </c>
      <c r="AC2836">
        <v>-8.2473999999999705</v>
      </c>
      <c r="AD2836">
        <v>-1.117370654079</v>
      </c>
      <c r="AE2836">
        <v>-14.1799</v>
      </c>
      <c r="AF2836">
        <v>-4.7757827310249601</v>
      </c>
      <c r="AG2836">
        <v>-1.117370654079</v>
      </c>
      <c r="AH2836">
        <v>15.6141380613861</v>
      </c>
      <c r="AI2836">
        <v>93.914764165230295</v>
      </c>
      <c r="AJ2836">
        <v>107.006918285754</v>
      </c>
      <c r="AK2836">
        <v>16.366365670868401</v>
      </c>
      <c r="AL2836">
        <v>80.9160246156856</v>
      </c>
      <c r="AM2836">
        <v>103.773612325724</v>
      </c>
      <c r="AN2836">
        <v>1.0000000069494499</v>
      </c>
    </row>
    <row r="2837" spans="1:40" x14ac:dyDescent="0.25">
      <c r="A2837" t="str">
        <f>"20190304155112400"</f>
        <v>20190304155112400</v>
      </c>
      <c r="B2837" t="str">
        <f>"1551685872389476"</f>
        <v>1551685872389476</v>
      </c>
      <c r="C2837" t="s">
        <v>40</v>
      </c>
      <c r="D2837">
        <v>4.3545939999999996</v>
      </c>
      <c r="E2837">
        <v>0.48017700000000002</v>
      </c>
      <c r="F2837" t="s">
        <v>41</v>
      </c>
      <c r="G2837">
        <v>-495.02690000000001</v>
      </c>
      <c r="H2837" s="1">
        <v>-2.6422159999999999E-6</v>
      </c>
      <c r="I2837">
        <v>262.63029999999998</v>
      </c>
      <c r="J2837">
        <v>-487.04610000000002</v>
      </c>
      <c r="K2837">
        <v>1.117424</v>
      </c>
      <c r="L2837">
        <v>276.62049999999999</v>
      </c>
      <c r="M2837">
        <v>-0.72716840000000005</v>
      </c>
      <c r="N2837">
        <v>-1.464291E-2</v>
      </c>
      <c r="O2837">
        <v>-0.68630279999999999</v>
      </c>
      <c r="P2837">
        <v>-0.53845319999999997</v>
      </c>
      <c r="Q2837">
        <v>0.1466239</v>
      </c>
      <c r="R2837">
        <v>-0.82980109999999996</v>
      </c>
      <c r="S2837">
        <v>-1.5288999999999999</v>
      </c>
      <c r="T2837">
        <v>-0.21080969999999999</v>
      </c>
      <c r="U2837">
        <v>-2.6636660000000001</v>
      </c>
      <c r="V2837">
        <v>-0.2365061</v>
      </c>
      <c r="W2837">
        <v>0.1568031</v>
      </c>
      <c r="X2837">
        <v>0.95889400000000002</v>
      </c>
      <c r="Y2837">
        <v>-0.28908430000000002</v>
      </c>
      <c r="Z2837">
        <v>2.8058550000000002E-2</v>
      </c>
      <c r="AA2837">
        <v>0.95689239999999998</v>
      </c>
      <c r="AB2837">
        <v>22</v>
      </c>
      <c r="AC2837">
        <v>-7.9807999999999799</v>
      </c>
      <c r="AD2837">
        <v>-1.117426642216</v>
      </c>
      <c r="AE2837">
        <v>-13.9902</v>
      </c>
      <c r="AF2837">
        <v>-4.6739928917412703</v>
      </c>
      <c r="AG2837">
        <v>-1.117426642216</v>
      </c>
      <c r="AH2837">
        <v>15.332752052751401</v>
      </c>
      <c r="AI2837">
        <v>93.987715700390297</v>
      </c>
      <c r="AJ2837">
        <v>106.953170543092</v>
      </c>
      <c r="AK2837">
        <v>16.068233797276299</v>
      </c>
      <c r="AL2837">
        <v>80.978615092069901</v>
      </c>
      <c r="AM2837">
        <v>103.85516379152</v>
      </c>
      <c r="AN2837">
        <v>1.0000000253714001</v>
      </c>
    </row>
    <row r="2838" spans="1:40" x14ac:dyDescent="0.25">
      <c r="A2838" t="str">
        <f>"20190304155112412"</f>
        <v>20190304155112412</v>
      </c>
      <c r="B2838" t="str">
        <f>"1551685872409972"</f>
        <v>1551685872409972</v>
      </c>
      <c r="C2838" t="s">
        <v>40</v>
      </c>
      <c r="D2838">
        <v>4.3647640000000001</v>
      </c>
      <c r="E2838">
        <v>0.4841512</v>
      </c>
      <c r="F2838" t="s">
        <v>41</v>
      </c>
      <c r="G2838">
        <v>-496.5018</v>
      </c>
      <c r="H2838" s="1">
        <v>-2.1243129999999999E-6</v>
      </c>
      <c r="I2838">
        <v>260.50830000000002</v>
      </c>
      <c r="J2838">
        <v>-487.12939999999998</v>
      </c>
      <c r="K2838">
        <v>1.117464</v>
      </c>
      <c r="L2838">
        <v>276.53230000000002</v>
      </c>
      <c r="M2838">
        <v>-0.72274300000000002</v>
      </c>
      <c r="N2838">
        <v>-1.4656550000000001E-2</v>
      </c>
      <c r="O2838">
        <v>-0.69096159999999995</v>
      </c>
      <c r="P2838">
        <v>-0.53235449999999995</v>
      </c>
      <c r="Q2838">
        <v>0.1461547</v>
      </c>
      <c r="R2838">
        <v>-0.83380940000000003</v>
      </c>
      <c r="S2838">
        <v>-1.5503229999999999</v>
      </c>
      <c r="T2838">
        <v>-0.18320939999999999</v>
      </c>
      <c r="U2838">
        <v>-2.6416930000000001</v>
      </c>
      <c r="V2838">
        <v>-0.23744399999999999</v>
      </c>
      <c r="W2838">
        <v>0.15630669999999999</v>
      </c>
      <c r="X2838">
        <v>0.95874320000000002</v>
      </c>
      <c r="Y2838">
        <v>-0.27363749999999998</v>
      </c>
      <c r="Z2838">
        <v>2.3658129999999999E-2</v>
      </c>
      <c r="AA2838">
        <v>0.96154189999999995</v>
      </c>
      <c r="AB2838">
        <v>22</v>
      </c>
      <c r="AC2838">
        <v>-9.3724000000000203</v>
      </c>
      <c r="AD2838">
        <v>-1.117466124313</v>
      </c>
      <c r="AE2838">
        <v>-16.024000000000001</v>
      </c>
      <c r="AF2838">
        <v>-5.08737864823535</v>
      </c>
      <c r="AG2838">
        <v>-1.117466124313</v>
      </c>
      <c r="AH2838">
        <v>17.783281040978601</v>
      </c>
      <c r="AI2838">
        <v>93.457292254282393</v>
      </c>
      <c r="AJ2838">
        <v>105.96458067570801</v>
      </c>
      <c r="AK2838">
        <v>18.530386845177699</v>
      </c>
      <c r="AL2838">
        <v>81.007411395204898</v>
      </c>
      <c r="AM2838">
        <v>103.91008204857199</v>
      </c>
      <c r="AN2838">
        <v>0.99999998057356398</v>
      </c>
    </row>
    <row r="2839" spans="1:40" x14ac:dyDescent="0.25">
      <c r="A2839" t="str">
        <f>"20190304155112424"</f>
        <v>20190304155112424</v>
      </c>
      <c r="B2839" t="str">
        <f>"1551685872419731"</f>
        <v>1551685872419731</v>
      </c>
      <c r="C2839" t="s">
        <v>40</v>
      </c>
      <c r="D2839">
        <v>4.3550509999999996</v>
      </c>
      <c r="E2839">
        <v>0.4841512</v>
      </c>
      <c r="F2839" t="s">
        <v>41</v>
      </c>
      <c r="G2839">
        <v>-496.62909999999999</v>
      </c>
      <c r="H2839" s="1">
        <v>-2.1358759999999999E-6</v>
      </c>
      <c r="I2839">
        <v>260.45639999999997</v>
      </c>
      <c r="J2839">
        <v>-487.20699999999999</v>
      </c>
      <c r="K2839">
        <v>1.117499</v>
      </c>
      <c r="L2839">
        <v>276.44900000000001</v>
      </c>
      <c r="M2839">
        <v>-0.71852939999999998</v>
      </c>
      <c r="N2839">
        <v>-1.4669659999999999E-2</v>
      </c>
      <c r="O2839">
        <v>-0.69534219999999902</v>
      </c>
      <c r="P2839">
        <v>-0.52656029999999998</v>
      </c>
      <c r="Q2839">
        <v>0.1462724</v>
      </c>
      <c r="R2839">
        <v>-0.83745979999999998</v>
      </c>
      <c r="S2839">
        <v>-1.5574950000000001</v>
      </c>
      <c r="T2839">
        <v>-0.18321129999999999</v>
      </c>
      <c r="U2839">
        <v>-2.6356809999999999</v>
      </c>
      <c r="V2839">
        <v>-0.23826700000000001</v>
      </c>
      <c r="W2839">
        <v>0.15639810000000001</v>
      </c>
      <c r="X2839">
        <v>0.95852409999999999</v>
      </c>
      <c r="Y2839">
        <v>-0.26489699999999999</v>
      </c>
      <c r="Z2839">
        <v>2.4154350000000002E-2</v>
      </c>
      <c r="AA2839">
        <v>0.96397409999999994</v>
      </c>
      <c r="AB2839">
        <v>22</v>
      </c>
      <c r="AC2839">
        <v>-9.4221000000000004</v>
      </c>
      <c r="AD2839">
        <v>-1.1175011358759901</v>
      </c>
      <c r="AE2839">
        <v>-15.992599999999999</v>
      </c>
      <c r="AF2839">
        <v>-4.9222588488321204</v>
      </c>
      <c r="AG2839">
        <v>-1.1175011358759901</v>
      </c>
      <c r="AH2839">
        <v>17.8276887817165</v>
      </c>
      <c r="AI2839">
        <v>93.457760196887406</v>
      </c>
      <c r="AJ2839">
        <v>105.43493038803101</v>
      </c>
      <c r="AK2839">
        <v>18.528462652398598</v>
      </c>
      <c r="AL2839">
        <v>81.002109434942994</v>
      </c>
      <c r="AM2839">
        <v>103.959479366875</v>
      </c>
      <c r="AN2839">
        <v>0.99999998962671</v>
      </c>
    </row>
    <row r="2840" spans="1:40" x14ac:dyDescent="0.25">
      <c r="A2840" t="str">
        <f>"20190304155112436"</f>
        <v>20190304155112436</v>
      </c>
      <c r="B2840" t="str">
        <f>"1551685872429491"</f>
        <v>1551685872429491</v>
      </c>
      <c r="C2840" t="s">
        <v>40</v>
      </c>
      <c r="D2840">
        <v>4.3781140000000001</v>
      </c>
      <c r="E2840">
        <v>0.48202689999999998</v>
      </c>
      <c r="F2840" t="s">
        <v>41</v>
      </c>
      <c r="G2840">
        <v>-496.6146</v>
      </c>
      <c r="H2840" s="1">
        <v>-2.0581939999999999E-6</v>
      </c>
      <c r="I2840">
        <v>260.2842</v>
      </c>
      <c r="J2840">
        <v>-487.2833</v>
      </c>
      <c r="K2840">
        <v>1.1175360000000001</v>
      </c>
      <c r="L2840">
        <v>276.3657</v>
      </c>
      <c r="M2840">
        <v>-0.71428559999999996</v>
      </c>
      <c r="N2840">
        <v>-1.468298E-2</v>
      </c>
      <c r="O2840">
        <v>-0.6997004</v>
      </c>
      <c r="P2840">
        <v>-0.52102139999999997</v>
      </c>
      <c r="Q2840">
        <v>0.1458979</v>
      </c>
      <c r="R2840">
        <v>-0.84098209999999995</v>
      </c>
      <c r="S2840">
        <v>-1.539917</v>
      </c>
      <c r="T2840">
        <v>-0.18292120000000001</v>
      </c>
      <c r="U2840">
        <v>-2.645966</v>
      </c>
      <c r="V2840">
        <v>-0.23881810000000001</v>
      </c>
      <c r="W2840">
        <v>0.156004799999999</v>
      </c>
      <c r="X2840">
        <v>0.95845100000000005</v>
      </c>
      <c r="Y2840">
        <v>-0.26544440000000002</v>
      </c>
      <c r="Z2840">
        <v>2.4310740000000001E-2</v>
      </c>
      <c r="AA2840">
        <v>0.9638196</v>
      </c>
      <c r="AB2840">
        <v>22</v>
      </c>
      <c r="AC2840">
        <v>-9.3313000000000006</v>
      </c>
      <c r="AD2840">
        <v>-1.117538058194</v>
      </c>
      <c r="AE2840">
        <v>-16.081499999999998</v>
      </c>
      <c r="AF2840">
        <v>-4.9403552616074</v>
      </c>
      <c r="AG2840">
        <v>-1.117538058194</v>
      </c>
      <c r="AH2840">
        <v>17.854869928854001</v>
      </c>
      <c r="AI2840">
        <v>93.452098246965207</v>
      </c>
      <c r="AJ2840">
        <v>105.46650639944301</v>
      </c>
      <c r="AK2840">
        <v>18.559428374783</v>
      </c>
      <c r="AL2840">
        <v>81.024923558159898</v>
      </c>
      <c r="AM2840">
        <v>103.99152526837101</v>
      </c>
      <c r="AN2840">
        <v>0.99999995095582295</v>
      </c>
    </row>
    <row r="2841" spans="1:40" x14ac:dyDescent="0.25">
      <c r="A2841" t="str">
        <f>"20190304155112447"</f>
        <v>20190304155112447</v>
      </c>
      <c r="B2841" t="str">
        <f>"1551685872439251"</f>
        <v>1551685872439251</v>
      </c>
      <c r="C2841" t="s">
        <v>40</v>
      </c>
      <c r="D2841">
        <v>4.4023339999999997</v>
      </c>
      <c r="E2841">
        <v>0.48202689999999998</v>
      </c>
      <c r="F2841" t="s">
        <v>41</v>
      </c>
      <c r="G2841">
        <v>-495.3913</v>
      </c>
      <c r="H2841" s="1">
        <v>-2.4895649999999999E-6</v>
      </c>
      <c r="I2841">
        <v>262.04849999999999</v>
      </c>
      <c r="J2841">
        <v>-487.35419999999999</v>
      </c>
      <c r="K2841">
        <v>1.1175729999999999</v>
      </c>
      <c r="L2841">
        <v>276.2878</v>
      </c>
      <c r="M2841">
        <v>-0.71029129999999996</v>
      </c>
      <c r="N2841">
        <v>-1.46952E-2</v>
      </c>
      <c r="O2841">
        <v>-0.70375459999999901</v>
      </c>
      <c r="P2841">
        <v>-0.51584770000000002</v>
      </c>
      <c r="Q2841">
        <v>0.14581740000000001</v>
      </c>
      <c r="R2841">
        <v>-0.84417919999999902</v>
      </c>
      <c r="S2841">
        <v>-1.5106200000000001</v>
      </c>
      <c r="T2841">
        <v>-0.20821000000000001</v>
      </c>
      <c r="U2841">
        <v>-2.6674500000000001</v>
      </c>
      <c r="V2841">
        <v>-0.2392706</v>
      </c>
      <c r="W2841">
        <v>0.15590689999999999</v>
      </c>
      <c r="X2841">
        <v>0.95835409999999999</v>
      </c>
      <c r="Y2841">
        <v>-0.27136969999999999</v>
      </c>
      <c r="Z2841">
        <v>2.9286599999999999E-2</v>
      </c>
      <c r="AA2841">
        <v>0.96202949999999998</v>
      </c>
      <c r="AB2841">
        <v>22</v>
      </c>
      <c r="AC2841">
        <v>-8.0371000000000095</v>
      </c>
      <c r="AD2841">
        <v>-1.1175754895650001</v>
      </c>
      <c r="AE2841">
        <v>-14.2393</v>
      </c>
      <c r="AF2841">
        <v>-4.4376546272709296</v>
      </c>
      <c r="AG2841">
        <v>-1.1175754895650001</v>
      </c>
      <c r="AH2841">
        <v>15.6582025865298</v>
      </c>
      <c r="AI2841">
        <v>93.928259527167697</v>
      </c>
      <c r="AJ2841">
        <v>105.82313625413801</v>
      </c>
      <c r="AK2841">
        <v>16.313217395922301</v>
      </c>
      <c r="AL2841">
        <v>81.0306025740595</v>
      </c>
      <c r="AM2841">
        <v>104.018352812337</v>
      </c>
      <c r="AN2841">
        <v>0.99999998123938905</v>
      </c>
    </row>
    <row r="2842" spans="1:40" x14ac:dyDescent="0.25">
      <c r="A2842" t="str">
        <f>"20190304155112458"</f>
        <v>20190304155112458</v>
      </c>
      <c r="B2842" t="str">
        <f>"1551685872449012"</f>
        <v>1551685872449012</v>
      </c>
      <c r="C2842" t="s">
        <v>40</v>
      </c>
      <c r="D2842">
        <v>4.4004539999999999</v>
      </c>
      <c r="E2842">
        <v>0.49003200000000002</v>
      </c>
      <c r="F2842" t="s">
        <v>41</v>
      </c>
      <c r="G2842">
        <v>-495.36790000000002</v>
      </c>
      <c r="H2842" s="1">
        <v>-2.4343210000000001E-6</v>
      </c>
      <c r="I2842">
        <v>261.93430000000001</v>
      </c>
      <c r="J2842">
        <v>-487.42450000000002</v>
      </c>
      <c r="K2842">
        <v>1.1176090000000001</v>
      </c>
      <c r="L2842">
        <v>276.20890000000003</v>
      </c>
      <c r="M2842">
        <v>-0.70621040000000002</v>
      </c>
      <c r="N2842">
        <v>-1.4707980000000001E-2</v>
      </c>
      <c r="O2842">
        <v>-0.70784939999999996</v>
      </c>
      <c r="P2842">
        <v>-0.51060249999999996</v>
      </c>
      <c r="Q2842">
        <v>0.1457434</v>
      </c>
      <c r="R2842">
        <v>-0.84737530000000005</v>
      </c>
      <c r="S2842">
        <v>-1.494354</v>
      </c>
      <c r="T2842">
        <v>-0.2083991</v>
      </c>
      <c r="U2842">
        <v>-2.6765750000000001</v>
      </c>
      <c r="V2842">
        <v>-0.2396954</v>
      </c>
      <c r="W2842">
        <v>0.15581600000000001</v>
      </c>
      <c r="X2842">
        <v>0.95826270000000002</v>
      </c>
      <c r="Y2842">
        <v>-0.2716616</v>
      </c>
      <c r="Z2842">
        <v>2.956895E-2</v>
      </c>
      <c r="AA2842">
        <v>0.96193850000000003</v>
      </c>
      <c r="AB2842">
        <v>22</v>
      </c>
      <c r="AC2842">
        <v>-7.9433999999999898</v>
      </c>
      <c r="AD2842">
        <v>-1.117611434321</v>
      </c>
      <c r="AE2842">
        <v>-14.2746</v>
      </c>
      <c r="AF2842">
        <v>-4.4378503253711701</v>
      </c>
      <c r="AG2842">
        <v>-1.117611434321</v>
      </c>
      <c r="AH2842">
        <v>15.642461842285099</v>
      </c>
      <c r="AI2842">
        <v>93.932019882843207</v>
      </c>
      <c r="AJ2842">
        <v>105.838923767911</v>
      </c>
      <c r="AK2842">
        <v>16.298165029102702</v>
      </c>
      <c r="AL2842">
        <v>81.035874973358403</v>
      </c>
      <c r="AM2842">
        <v>104.043543402262</v>
      </c>
      <c r="AN2842">
        <v>0.99999995642422401</v>
      </c>
    </row>
    <row r="2843" spans="1:40" x14ac:dyDescent="0.25">
      <c r="A2843" t="str">
        <f>"20190304155112470"</f>
        <v>20190304155112470</v>
      </c>
      <c r="B2843" t="str">
        <f>"1551685872459747"</f>
        <v>1551685872459747</v>
      </c>
      <c r="C2843" t="s">
        <v>40</v>
      </c>
      <c r="D2843">
        <v>4.4125529999999999</v>
      </c>
      <c r="E2843">
        <v>0.4906278</v>
      </c>
      <c r="F2843" t="s">
        <v>41</v>
      </c>
      <c r="G2843">
        <v>-496.98039999999997</v>
      </c>
      <c r="H2843" s="1">
        <v>-1.8796989999999999E-6</v>
      </c>
      <c r="I2843">
        <v>259.6413</v>
      </c>
      <c r="J2843">
        <v>-487.50040000000001</v>
      </c>
      <c r="K2843">
        <v>1.1176459999999999</v>
      </c>
      <c r="L2843">
        <v>276.12329999999997</v>
      </c>
      <c r="M2843">
        <v>-0.70174959999999997</v>
      </c>
      <c r="N2843">
        <v>-1.472152E-2</v>
      </c>
      <c r="O2843">
        <v>-0.71227180000000001</v>
      </c>
      <c r="P2843">
        <v>-0.5049593</v>
      </c>
      <c r="Q2843">
        <v>0.14566989999999999</v>
      </c>
      <c r="R2843">
        <v>-0.85076249999999998</v>
      </c>
      <c r="S2843">
        <v>-1.5285029999999999</v>
      </c>
      <c r="T2843">
        <v>-0.17876629999999999</v>
      </c>
      <c r="U2843">
        <v>-2.650055</v>
      </c>
      <c r="V2843">
        <v>-0.240068</v>
      </c>
      <c r="W2843">
        <v>0.15572549999999999</v>
      </c>
      <c r="X2843">
        <v>0.95818419999999904</v>
      </c>
      <c r="Y2843">
        <v>-0.25207279999999999</v>
      </c>
      <c r="Z2843">
        <v>2.4522579999999999E-2</v>
      </c>
      <c r="AA2843">
        <v>0.96739750000000002</v>
      </c>
      <c r="AB2843">
        <v>22</v>
      </c>
      <c r="AC2843">
        <v>-9.4799999999999596</v>
      </c>
      <c r="AD2843">
        <v>-1.1176478796989999</v>
      </c>
      <c r="AE2843">
        <v>-16.4819999999999</v>
      </c>
      <c r="AF2843">
        <v>-4.7978437755884098</v>
      </c>
      <c r="AG2843">
        <v>-1.1176478796989999</v>
      </c>
      <c r="AH2843">
        <v>18.330903799068501</v>
      </c>
      <c r="AI2843">
        <v>93.375611917578993</v>
      </c>
      <c r="AJ2843">
        <v>104.667304140859</v>
      </c>
      <c r="AK2843">
        <v>18.9813191261475</v>
      </c>
      <c r="AL2843">
        <v>81.041124880348505</v>
      </c>
      <c r="AM2843">
        <v>104.065614411014</v>
      </c>
      <c r="AN2843">
        <v>1.00000001855194</v>
      </c>
    </row>
    <row r="2844" spans="1:40" x14ac:dyDescent="0.25">
      <c r="A2844" t="str">
        <f>"20190304155112481"</f>
        <v>20190304155112481</v>
      </c>
      <c r="B2844" t="str">
        <f>"1551685872479268"</f>
        <v>1551685872479268</v>
      </c>
      <c r="C2844" t="s">
        <v>40</v>
      </c>
      <c r="D2844">
        <v>4.5010059999999896</v>
      </c>
      <c r="E2844">
        <v>0.46052579999999999</v>
      </c>
      <c r="F2844" t="s">
        <v>41</v>
      </c>
      <c r="G2844">
        <v>-496.97370000000001</v>
      </c>
      <c r="H2844" s="1">
        <v>-5.4946610000000001E-6</v>
      </c>
      <c r="I2844">
        <v>259.49810000000002</v>
      </c>
      <c r="J2844">
        <v>-487.57369999999997</v>
      </c>
      <c r="K2844">
        <v>1.1176809999999999</v>
      </c>
      <c r="L2844">
        <v>276.03910000000002</v>
      </c>
      <c r="M2844">
        <v>-0.69733210000000001</v>
      </c>
      <c r="N2844">
        <v>-1.473491E-2</v>
      </c>
      <c r="O2844">
        <v>-0.71659680000000003</v>
      </c>
      <c r="P2844">
        <v>-0.49920779999999998</v>
      </c>
      <c r="Q2844">
        <v>0.14575869999999999</v>
      </c>
      <c r="R2844">
        <v>-0.85413490000000003</v>
      </c>
      <c r="S2844">
        <v>-1.5144959999999901</v>
      </c>
      <c r="T2844">
        <v>-0.178678799999999</v>
      </c>
      <c r="U2844">
        <v>-2.657867</v>
      </c>
      <c r="V2844">
        <v>-0.24061550000000001</v>
      </c>
      <c r="W2844">
        <v>0.1557933</v>
      </c>
      <c r="X2844">
        <v>0.95803579999999999</v>
      </c>
      <c r="Y2844">
        <v>-0.25116460000000002</v>
      </c>
      <c r="Z2844">
        <v>2.4750520000000002E-2</v>
      </c>
      <c r="AA2844">
        <v>0.96762789999999999</v>
      </c>
      <c r="AB2844">
        <v>22</v>
      </c>
      <c r="AC2844">
        <v>-9.4000000000000306</v>
      </c>
      <c r="AD2844">
        <v>-1.1176864946609999</v>
      </c>
      <c r="AE2844">
        <v>-16.540999999999901</v>
      </c>
      <c r="AF2844">
        <v>-4.7825752355201701</v>
      </c>
      <c r="AG2844">
        <v>-1.1176864946609999</v>
      </c>
      <c r="AH2844">
        <v>18.346827620045499</v>
      </c>
      <c r="AI2844">
        <v>93.373676933674403</v>
      </c>
      <c r="AJ2844">
        <v>104.61048265567</v>
      </c>
      <c r="AK2844">
        <v>18.992849515105</v>
      </c>
      <c r="AL2844">
        <v>81.037191903977302</v>
      </c>
      <c r="AM2844">
        <v>104.098511453367</v>
      </c>
      <c r="AN2844">
        <v>0.99999998262338896</v>
      </c>
    </row>
    <row r="2845" spans="1:40" x14ac:dyDescent="0.25">
      <c r="A2845" t="str">
        <f>"20190304155112491"</f>
        <v>20190304155112491</v>
      </c>
      <c r="B2845" t="str">
        <f>"1551685872489027"</f>
        <v>1551685872489027</v>
      </c>
      <c r="C2845" t="s">
        <v>40</v>
      </c>
      <c r="D2845">
        <v>4.5026489999999999</v>
      </c>
      <c r="E2845">
        <v>0.46052579999999999</v>
      </c>
      <c r="F2845" t="s">
        <v>41</v>
      </c>
      <c r="G2845">
        <v>-495.50619999999998</v>
      </c>
      <c r="H2845" s="1">
        <v>-5.021411E-6</v>
      </c>
      <c r="I2845">
        <v>258.8723</v>
      </c>
      <c r="J2845">
        <v>-487.63549999999998</v>
      </c>
      <c r="K2845">
        <v>1.11771</v>
      </c>
      <c r="L2845">
        <v>275.96730000000002</v>
      </c>
      <c r="M2845">
        <v>-0.6935422</v>
      </c>
      <c r="N2845">
        <v>-1.4746199999999999E-2</v>
      </c>
      <c r="O2845">
        <v>-0.72026509999999999</v>
      </c>
      <c r="P2845">
        <v>-0.49410530000000003</v>
      </c>
      <c r="Q2845">
        <v>0.14557610000000001</v>
      </c>
      <c r="R2845">
        <v>-0.85712749999999904</v>
      </c>
      <c r="S2845">
        <v>-1.2891539999999999</v>
      </c>
      <c r="T2845">
        <v>-0.18164050000000001</v>
      </c>
      <c r="U2845">
        <v>-2.7898559999999999</v>
      </c>
      <c r="V2845">
        <v>-0.24130670000000001</v>
      </c>
      <c r="W2845">
        <v>0.1555889</v>
      </c>
      <c r="X2845">
        <v>0.95789519999999995</v>
      </c>
      <c r="Y2845">
        <v>-0.32739889999999999</v>
      </c>
      <c r="Z2845">
        <v>2.3290390000000001E-2</v>
      </c>
      <c r="AA2845">
        <v>0.94459919999999997</v>
      </c>
      <c r="AB2845">
        <v>22</v>
      </c>
      <c r="AC2845">
        <v>-7.8706999999999896</v>
      </c>
      <c r="AD2845">
        <v>-1.1177150214110001</v>
      </c>
      <c r="AE2845">
        <v>-17.094999999999999</v>
      </c>
      <c r="AF2845">
        <v>-6.1660372196599598</v>
      </c>
      <c r="AG2845">
        <v>-1.1177150214110001</v>
      </c>
      <c r="AH2845">
        <v>17.7110562163992</v>
      </c>
      <c r="AI2845">
        <v>93.410775700841498</v>
      </c>
      <c r="AJ2845">
        <v>109.195368911385</v>
      </c>
      <c r="AK2845">
        <v>18.786985233500602</v>
      </c>
      <c r="AL2845">
        <v>81.049048086883303</v>
      </c>
      <c r="AM2845">
        <v>104.13938142185999</v>
      </c>
      <c r="AN2845">
        <v>1.00000002172556</v>
      </c>
    </row>
    <row r="2846" spans="1:40" x14ac:dyDescent="0.25">
      <c r="A2846" t="str">
        <f>"20190304155112503"</f>
        <v>20190304155112503</v>
      </c>
      <c r="B2846" t="str">
        <f>"1551685872499764"</f>
        <v>1551685872499764</v>
      </c>
      <c r="C2846" t="s">
        <v>40</v>
      </c>
      <c r="D2846">
        <v>4.3647349999999996</v>
      </c>
      <c r="E2846">
        <v>0.41499269999999999</v>
      </c>
      <c r="F2846" t="s">
        <v>41</v>
      </c>
      <c r="G2846">
        <v>-495.44049999999999</v>
      </c>
      <c r="H2846" s="1">
        <v>-4.988271E-6</v>
      </c>
      <c r="I2846">
        <v>258.80919999999998</v>
      </c>
      <c r="J2846">
        <v>-487.70699999999999</v>
      </c>
      <c r="K2846">
        <v>1.11774</v>
      </c>
      <c r="L2846">
        <v>275.88339999999999</v>
      </c>
      <c r="M2846">
        <v>-0.68907969999999996</v>
      </c>
      <c r="N2846">
        <v>-1.4759370000000001E-2</v>
      </c>
      <c r="O2846">
        <v>-0.72453519999999905</v>
      </c>
      <c r="P2846">
        <v>-0.48774580000000001</v>
      </c>
      <c r="Q2846">
        <v>0.14527960000000001</v>
      </c>
      <c r="R2846">
        <v>-0.86081219999999903</v>
      </c>
      <c r="S2846">
        <v>-1.2725219999999999</v>
      </c>
      <c r="T2846">
        <v>-0.1822319</v>
      </c>
      <c r="U2846">
        <v>-2.7974549999999998</v>
      </c>
      <c r="V2846">
        <v>-0.24252689999999999</v>
      </c>
      <c r="W2846">
        <v>0.1552596</v>
      </c>
      <c r="X2846">
        <v>0.95764039999999995</v>
      </c>
      <c r="Y2846">
        <v>-0.32718619999999998</v>
      </c>
      <c r="Z2846">
        <v>2.3646690000000001E-2</v>
      </c>
      <c r="AA2846">
        <v>0.94466399999999995</v>
      </c>
      <c r="AB2846">
        <v>22</v>
      </c>
      <c r="AC2846">
        <v>-7.7334999999999896</v>
      </c>
      <c r="AD2846">
        <v>-1.117744988271</v>
      </c>
      <c r="AE2846">
        <v>-17.074200000000001</v>
      </c>
      <c r="AF2846">
        <v>-6.1411252335930397</v>
      </c>
      <c r="AG2846">
        <v>-1.117744988271</v>
      </c>
      <c r="AH2846">
        <v>17.639060810848001</v>
      </c>
      <c r="AI2846">
        <v>93.424746421252493</v>
      </c>
      <c r="AJ2846">
        <v>109.19581199682101</v>
      </c>
      <c r="AK2846">
        <v>18.7109390272715</v>
      </c>
      <c r="AL2846">
        <v>81.068147386455607</v>
      </c>
      <c r="AM2846">
        <v>104.211617931692</v>
      </c>
      <c r="AN2846">
        <v>0.99999998816396396</v>
      </c>
    </row>
    <row r="2847" spans="1:40" x14ac:dyDescent="0.25">
      <c r="A2847" t="str">
        <f>"20190304155112515"</f>
        <v>20190304155112515</v>
      </c>
      <c r="B2847" t="str">
        <f>"1551685872509524"</f>
        <v>1551685872509524</v>
      </c>
      <c r="C2847" t="s">
        <v>40</v>
      </c>
      <c r="D2847">
        <v>4.3480489999999996</v>
      </c>
      <c r="E2847">
        <v>0.4132555</v>
      </c>
      <c r="F2847" t="s">
        <v>41</v>
      </c>
      <c r="G2847">
        <v>-496.0265</v>
      </c>
      <c r="H2847" s="1">
        <v>-5.2359860000000004E-6</v>
      </c>
      <c r="I2847">
        <v>249.23169999999999</v>
      </c>
      <c r="J2847">
        <v>-487.77980000000002</v>
      </c>
      <c r="K2847">
        <v>1.117772</v>
      </c>
      <c r="L2847">
        <v>275.79640000000001</v>
      </c>
      <c r="M2847">
        <v>-0.68442169999999902</v>
      </c>
      <c r="N2847">
        <v>-1.477292E-2</v>
      </c>
      <c r="O2847">
        <v>-0.72893669999999899</v>
      </c>
      <c r="P2847">
        <v>-0.48171829999999999</v>
      </c>
      <c r="Q2847">
        <v>0.14491599999999999</v>
      </c>
      <c r="R2847">
        <v>-0.86426080000000005</v>
      </c>
      <c r="S2847">
        <v>-0.92999270000000001</v>
      </c>
      <c r="T2847">
        <v>-0.1249465</v>
      </c>
      <c r="U2847">
        <v>-2.9792480000000001</v>
      </c>
      <c r="V2847">
        <v>-0.2431316</v>
      </c>
      <c r="W2847">
        <v>0.15487709999999999</v>
      </c>
      <c r="X2847">
        <v>0.95754899999999998</v>
      </c>
      <c r="Y2847">
        <v>-0.43595780000000001</v>
      </c>
      <c r="Z2847">
        <v>9.7966849999999994E-3</v>
      </c>
      <c r="AA2847">
        <v>0.89991379999999999</v>
      </c>
      <c r="AB2847">
        <v>22</v>
      </c>
      <c r="AC2847">
        <v>-8.2466999999999704</v>
      </c>
      <c r="AD2847">
        <v>-1.1177772359860001</v>
      </c>
      <c r="AE2847">
        <v>-26.564699999999998</v>
      </c>
      <c r="AF2847">
        <v>-12.1518390989394</v>
      </c>
      <c r="AG2847">
        <v>-1.1177772359860001</v>
      </c>
      <c r="AH2847">
        <v>24.970609556876099</v>
      </c>
      <c r="AI2847">
        <v>92.304944246457495</v>
      </c>
      <c r="AJ2847">
        <v>115.949670266007</v>
      </c>
      <c r="AK2847">
        <v>27.792948045821898</v>
      </c>
      <c r="AL2847">
        <v>81.090331375043405</v>
      </c>
      <c r="AM2847">
        <v>104.246915926673</v>
      </c>
      <c r="AN2847">
        <v>0.99999998921198396</v>
      </c>
    </row>
    <row r="2848" spans="1:40" x14ac:dyDescent="0.25">
      <c r="A2848" t="str">
        <f>"20190304155112527"</f>
        <v>20190304155112527</v>
      </c>
      <c r="B2848" t="str">
        <f>"1551685872519284"</f>
        <v>1551685872519284</v>
      </c>
      <c r="C2848" t="s">
        <v>40</v>
      </c>
      <c r="D2848">
        <v>4.4048239999999996</v>
      </c>
      <c r="E2848">
        <v>0.41247289999999998</v>
      </c>
      <c r="F2848" t="s">
        <v>51</v>
      </c>
      <c r="G2848">
        <v>-488.06450000000001</v>
      </c>
      <c r="H2848">
        <v>1.077231</v>
      </c>
      <c r="I2848">
        <v>274.84699999999998</v>
      </c>
      <c r="J2848">
        <v>-487.84859999999998</v>
      </c>
      <c r="K2848">
        <v>1.117801</v>
      </c>
      <c r="L2848">
        <v>275.71379999999999</v>
      </c>
      <c r="M2848">
        <v>-0.67997089999999905</v>
      </c>
      <c r="N2848">
        <v>-1.478551E-2</v>
      </c>
      <c r="O2848">
        <v>-0.73309009999999997</v>
      </c>
      <c r="P2848">
        <v>-0.4757152</v>
      </c>
      <c r="Q2848">
        <v>0.14465839999999999</v>
      </c>
      <c r="R2848">
        <v>-0.86762289999999997</v>
      </c>
      <c r="S2848">
        <v>-0.89688109999999999</v>
      </c>
      <c r="T2848">
        <v>-0.1277577</v>
      </c>
      <c r="U2848">
        <v>-2.9926759999999999</v>
      </c>
      <c r="V2848">
        <v>-0.2439789</v>
      </c>
      <c r="W2848">
        <v>0.15459500000000001</v>
      </c>
      <c r="X2848">
        <v>0.95737899999999998</v>
      </c>
      <c r="Y2848">
        <v>-0.44072349999999999</v>
      </c>
      <c r="Z2848">
        <v>1.033589E-2</v>
      </c>
      <c r="AA2848">
        <v>0.89758340000000003</v>
      </c>
      <c r="AB2848">
        <v>22</v>
      </c>
      <c r="AC2848">
        <v>-0.21590000000003301</v>
      </c>
      <c r="AD2848">
        <v>-4.0570000000000002E-2</v>
      </c>
      <c r="AE2848">
        <v>-0.86680000000001201</v>
      </c>
      <c r="AF2848">
        <v>-0.43028418935594598</v>
      </c>
      <c r="AG2848">
        <v>-4.0570000000000002E-2</v>
      </c>
      <c r="AH2848">
        <v>0.78072330162092096</v>
      </c>
      <c r="AI2848">
        <v>92.605755997428005</v>
      </c>
      <c r="AJ2848">
        <v>118.860711635416</v>
      </c>
      <c r="AK2848">
        <v>0.89236723505716797</v>
      </c>
      <c r="AL2848">
        <v>81.106691061163303</v>
      </c>
      <c r="AM2848">
        <v>104.296968383947</v>
      </c>
      <c r="AN2848">
        <v>0.99999993365560202</v>
      </c>
    </row>
    <row r="2849" spans="1:40" x14ac:dyDescent="0.25">
      <c r="A2849" t="str">
        <f>"20190304155112537"</f>
        <v>20190304155112537</v>
      </c>
      <c r="B2849" t="str">
        <f>"1551685872529044"</f>
        <v>1551685872529044</v>
      </c>
      <c r="C2849" t="s">
        <v>40</v>
      </c>
      <c r="D2849">
        <v>4.3555359999999999</v>
      </c>
      <c r="E2849">
        <v>0.4121843</v>
      </c>
      <c r="F2849" t="s">
        <v>41</v>
      </c>
      <c r="G2849">
        <v>-495.4495</v>
      </c>
      <c r="H2849" s="1">
        <v>-5.2250750000000001E-6</v>
      </c>
      <c r="I2849">
        <v>249.50040000000001</v>
      </c>
      <c r="J2849">
        <v>-487.91230000000002</v>
      </c>
      <c r="K2849">
        <v>1.1178330000000001</v>
      </c>
      <c r="L2849">
        <v>275.63549999999998</v>
      </c>
      <c r="M2849">
        <v>-0.67572369999999904</v>
      </c>
      <c r="N2849">
        <v>-1.479743E-2</v>
      </c>
      <c r="O2849">
        <v>-0.73700659999999996</v>
      </c>
      <c r="P2849">
        <v>-0.47013179999999999</v>
      </c>
      <c r="Q2849">
        <v>0.14459459999999999</v>
      </c>
      <c r="R2849">
        <v>-0.87067150000000004</v>
      </c>
      <c r="S2849">
        <v>-0.87042240000000004</v>
      </c>
      <c r="T2849">
        <v>-0.1280056</v>
      </c>
      <c r="U2849">
        <v>-3.0018310000000001</v>
      </c>
      <c r="V2849">
        <v>-0.24461569999999999</v>
      </c>
      <c r="W2849">
        <v>0.1545125</v>
      </c>
      <c r="X2849">
        <v>0.95722989999999997</v>
      </c>
      <c r="Y2849">
        <v>-0.44356669999999998</v>
      </c>
      <c r="Z2849">
        <v>1.045549E-2</v>
      </c>
      <c r="AA2849">
        <v>0.89618039999999999</v>
      </c>
      <c r="AB2849">
        <v>22</v>
      </c>
      <c r="AC2849">
        <v>-7.5371999999999799</v>
      </c>
      <c r="AD2849">
        <v>-1.1178382250749901</v>
      </c>
      <c r="AE2849">
        <v>-26.135099999999898</v>
      </c>
      <c r="AF2849">
        <v>-12.0860520212861</v>
      </c>
      <c r="AG2849">
        <v>-1.1178382250749901</v>
      </c>
      <c r="AH2849">
        <v>24.3164013548386</v>
      </c>
      <c r="AI2849">
        <v>92.357309728443497</v>
      </c>
      <c r="AJ2849">
        <v>116.42888900043</v>
      </c>
      <c r="AK2849">
        <v>27.177372768688901</v>
      </c>
      <c r="AL2849">
        <v>81.1114762010736</v>
      </c>
      <c r="AM2849">
        <v>104.33488934916301</v>
      </c>
      <c r="AN2849">
        <v>1.0000000173983701</v>
      </c>
    </row>
    <row r="2850" spans="1:40" x14ac:dyDescent="0.25">
      <c r="A2850" t="str">
        <f>"20190304155112549"</f>
        <v>20190304155112549</v>
      </c>
      <c r="B2850" t="str">
        <f>"1551685872539779"</f>
        <v>1551685872539779</v>
      </c>
      <c r="C2850" t="s">
        <v>40</v>
      </c>
      <c r="D2850">
        <v>4.4252510000000003</v>
      </c>
      <c r="E2850">
        <v>0.4114332</v>
      </c>
      <c r="F2850" t="s">
        <v>51</v>
      </c>
      <c r="G2850">
        <v>-488.17899999999997</v>
      </c>
      <c r="H2850">
        <v>1.0769010000000001</v>
      </c>
      <c r="I2850">
        <v>274.6902</v>
      </c>
      <c r="J2850">
        <v>-487.97989999999999</v>
      </c>
      <c r="K2850">
        <v>1.117864</v>
      </c>
      <c r="L2850">
        <v>275.55200000000002</v>
      </c>
      <c r="M2850">
        <v>-0.67116759999999998</v>
      </c>
      <c r="N2850">
        <v>-1.480982E-2</v>
      </c>
      <c r="O2850">
        <v>-0.74115769999999903</v>
      </c>
      <c r="P2850">
        <v>-0.46433069999999999</v>
      </c>
      <c r="Q2850">
        <v>0.14435379999999901</v>
      </c>
      <c r="R2850">
        <v>-0.8738186</v>
      </c>
      <c r="S2850">
        <v>-0.84902949999999999</v>
      </c>
      <c r="T2850">
        <v>-0.13029169999999901</v>
      </c>
      <c r="U2850">
        <v>-3.0088499999999998</v>
      </c>
      <c r="V2850">
        <v>-0.24511630000000001</v>
      </c>
      <c r="W2850">
        <v>0.15425529999999901</v>
      </c>
      <c r="X2850">
        <v>0.95714330000000003</v>
      </c>
      <c r="Y2850">
        <v>-0.44448969999999999</v>
      </c>
      <c r="Z2850">
        <v>1.101162E-2</v>
      </c>
      <c r="AA2850">
        <v>0.89571619999999996</v>
      </c>
      <c r="AB2850">
        <v>22</v>
      </c>
      <c r="AC2850">
        <v>-0.19910000000004399</v>
      </c>
      <c r="AD2850">
        <v>-4.0962999999999798E-2</v>
      </c>
      <c r="AE2850">
        <v>-0.861800000000016</v>
      </c>
      <c r="AF2850">
        <v>-0.42997278531465599</v>
      </c>
      <c r="AG2850">
        <v>-4.0962999999999798E-2</v>
      </c>
      <c r="AH2850">
        <v>0.77079068825409802</v>
      </c>
      <c r="AI2850">
        <v>92.657269182548603</v>
      </c>
      <c r="AJ2850">
        <v>119.154237375126</v>
      </c>
      <c r="AK2850">
        <v>0.88355693001609703</v>
      </c>
      <c r="AL2850">
        <v>81.126391317038198</v>
      </c>
      <c r="AM2850">
        <v>104.36425861039299</v>
      </c>
      <c r="AN2850">
        <v>0.99999999741933498</v>
      </c>
    </row>
    <row r="2851" spans="1:40" x14ac:dyDescent="0.25">
      <c r="A2851" t="str">
        <f>"20190304155112562"</f>
        <v>20190304155112562</v>
      </c>
      <c r="B2851" t="str">
        <f>"1551685872559300"</f>
        <v>1551685872559300</v>
      </c>
      <c r="C2851" t="s">
        <v>40</v>
      </c>
      <c r="D2851">
        <v>4.4119780000000004</v>
      </c>
      <c r="E2851">
        <v>0.41159950000000001</v>
      </c>
      <c r="F2851" t="s">
        <v>51</v>
      </c>
      <c r="G2851">
        <v>-488.24639999999999</v>
      </c>
      <c r="H2851">
        <v>1.0760670000000001</v>
      </c>
      <c r="I2851">
        <v>274.57530000000003</v>
      </c>
      <c r="J2851">
        <v>-488.06009999999998</v>
      </c>
      <c r="K2851">
        <v>1.1178980000000001</v>
      </c>
      <c r="L2851">
        <v>275.45100000000002</v>
      </c>
      <c r="M2851">
        <v>-0.66561389999999998</v>
      </c>
      <c r="N2851">
        <v>-1.482501E-2</v>
      </c>
      <c r="O2851">
        <v>-0.74614919999999996</v>
      </c>
      <c r="P2851">
        <v>-0.45754610000000001</v>
      </c>
      <c r="Q2851">
        <v>0.14455079999999901</v>
      </c>
      <c r="R2851">
        <v>-0.87735799999999997</v>
      </c>
      <c r="S2851">
        <v>-0.82263180000000002</v>
      </c>
      <c r="T2851">
        <v>-0.1290925</v>
      </c>
      <c r="U2851">
        <v>-3.0173649999999999</v>
      </c>
      <c r="V2851">
        <v>-0.24538070000000001</v>
      </c>
      <c r="W2851">
        <v>0.15443999999999999</v>
      </c>
      <c r="X2851">
        <v>0.95704579999999995</v>
      </c>
      <c r="Y2851">
        <v>-0.44573970000000002</v>
      </c>
      <c r="Z2851">
        <v>1.094297E-2</v>
      </c>
      <c r="AA2851">
        <v>0.89509570000000005</v>
      </c>
      <c r="AB2851">
        <v>22</v>
      </c>
      <c r="AC2851">
        <v>-0.18630000000001601</v>
      </c>
      <c r="AD2851">
        <v>-4.1830999999999903E-2</v>
      </c>
      <c r="AE2851">
        <v>-0.87569999999993797</v>
      </c>
      <c r="AF2851">
        <v>-0.442952238837309</v>
      </c>
      <c r="AG2851">
        <v>-4.1830999999999903E-2</v>
      </c>
      <c r="AH2851">
        <v>0.77579846324809199</v>
      </c>
      <c r="AI2851">
        <v>92.680916545225202</v>
      </c>
      <c r="AJ2851">
        <v>119.724769370507</v>
      </c>
      <c r="AK2851">
        <v>0.89432643594500005</v>
      </c>
      <c r="AL2851">
        <v>81.115680747153604</v>
      </c>
      <c r="AM2851">
        <v>104.380514958863</v>
      </c>
      <c r="AN2851">
        <v>1.00000003241506</v>
      </c>
    </row>
    <row r="2852" spans="1:40" x14ac:dyDescent="0.25">
      <c r="A2852" t="str">
        <f>"20190304155112575"</f>
        <v>20190304155112575</v>
      </c>
      <c r="B2852" t="str">
        <f>"1551685872569060"</f>
        <v>1551685872569060</v>
      </c>
      <c r="C2852" t="s">
        <v>40</v>
      </c>
      <c r="D2852">
        <v>4.4159579999999998</v>
      </c>
      <c r="E2852">
        <v>0.41167989999999999</v>
      </c>
      <c r="F2852" t="s">
        <v>41</v>
      </c>
      <c r="G2852">
        <v>-494.90989999999999</v>
      </c>
      <c r="H2852" s="1">
        <v>-5.1541210000000003E-6</v>
      </c>
      <c r="I2852">
        <v>249.57310000000001</v>
      </c>
      <c r="J2852">
        <v>-488.1354</v>
      </c>
      <c r="K2852">
        <v>1.1179330000000001</v>
      </c>
      <c r="L2852">
        <v>275.3546</v>
      </c>
      <c r="M2852">
        <v>-0.66027630000000004</v>
      </c>
      <c r="N2852">
        <v>-1.4839140000000001E-2</v>
      </c>
      <c r="O2852">
        <v>-0.75087619999999999</v>
      </c>
      <c r="P2852">
        <v>-0.4510846</v>
      </c>
      <c r="Q2852">
        <v>0.144734</v>
      </c>
      <c r="R2852">
        <v>-0.88066730000000004</v>
      </c>
      <c r="S2852">
        <v>-0.80032349999999997</v>
      </c>
      <c r="T2852">
        <v>-0.13061400000000001</v>
      </c>
      <c r="U2852">
        <v>-3.0235289999999999</v>
      </c>
      <c r="V2852">
        <v>-0.2455871</v>
      </c>
      <c r="W2852">
        <v>0.15461329999999901</v>
      </c>
      <c r="X2852">
        <v>0.95696490000000001</v>
      </c>
      <c r="Y2852">
        <v>-0.44597969999999998</v>
      </c>
      <c r="Z2852">
        <v>1.140826E-2</v>
      </c>
      <c r="AA2852">
        <v>0.89497039999999894</v>
      </c>
      <c r="AB2852">
        <v>22</v>
      </c>
      <c r="AC2852">
        <v>-6.7744999999999802</v>
      </c>
      <c r="AD2852">
        <v>-1.1179381541210001</v>
      </c>
      <c r="AE2852">
        <v>-25.781499999999902</v>
      </c>
      <c r="AF2852">
        <v>-11.9164576617971</v>
      </c>
      <c r="AG2852">
        <v>-1.1179381541210001</v>
      </c>
      <c r="AH2852">
        <v>23.792533217314599</v>
      </c>
      <c r="AI2852">
        <v>92.405702422938603</v>
      </c>
      <c r="AJ2852">
        <v>116.60393629703999</v>
      </c>
      <c r="AK2852">
        <v>26.633369779636698</v>
      </c>
      <c r="AL2852">
        <v>81.105630903289594</v>
      </c>
      <c r="AM2852">
        <v>104.39327492112901</v>
      </c>
      <c r="AN2852">
        <v>1.00000005802765</v>
      </c>
    </row>
    <row r="2853" spans="1:40" x14ac:dyDescent="0.25">
      <c r="A2853" t="str">
        <f>"20190304155112591"</f>
        <v>20190304155112591</v>
      </c>
      <c r="B2853" t="str">
        <f>"1551685872579795"</f>
        <v>1551685872579795</v>
      </c>
      <c r="C2853" t="s">
        <v>40</v>
      </c>
      <c r="D2853">
        <v>4.4125259999999997</v>
      </c>
      <c r="E2853">
        <v>0.41176160000000001</v>
      </c>
      <c r="F2853" t="s">
        <v>51</v>
      </c>
      <c r="G2853">
        <v>-488.37540000000001</v>
      </c>
      <c r="H2853">
        <v>1.077877</v>
      </c>
      <c r="I2853">
        <v>274.42039999999997</v>
      </c>
      <c r="J2853">
        <v>-488.22590000000002</v>
      </c>
      <c r="K2853">
        <v>1.1179680000000001</v>
      </c>
      <c r="L2853">
        <v>275.23719999999997</v>
      </c>
      <c r="M2853">
        <v>-0.6537328</v>
      </c>
      <c r="N2853">
        <v>-1.48559E-2</v>
      </c>
      <c r="O2853">
        <v>-0.75657959999999902</v>
      </c>
      <c r="P2853">
        <v>-0.44297310000000001</v>
      </c>
      <c r="Q2853">
        <v>0.1449347</v>
      </c>
      <c r="R2853">
        <v>-0.88474259999999905</v>
      </c>
      <c r="S2853">
        <v>-0.77813719999999997</v>
      </c>
      <c r="T2853">
        <v>-0.12988079999999999</v>
      </c>
      <c r="U2853">
        <v>-3.0293269999999999</v>
      </c>
      <c r="V2853">
        <v>-0.24607039999999999</v>
      </c>
      <c r="W2853">
        <v>0.15479799999999999</v>
      </c>
      <c r="X2853">
        <v>0.95681079999999996</v>
      </c>
      <c r="Y2853">
        <v>-0.44477440000000001</v>
      </c>
      <c r="Z2853">
        <v>1.1518499999999999E-2</v>
      </c>
      <c r="AA2853">
        <v>0.89556849999999999</v>
      </c>
      <c r="AB2853">
        <v>22</v>
      </c>
      <c r="AC2853">
        <v>-0.149499999999989</v>
      </c>
      <c r="AD2853">
        <v>-4.0091000000000099E-2</v>
      </c>
      <c r="AE2853">
        <v>-0.81679999999999997</v>
      </c>
      <c r="AF2853">
        <v>-0.41992788483235499</v>
      </c>
      <c r="AG2853">
        <v>-4.0091000000000099E-2</v>
      </c>
      <c r="AH2853">
        <v>0.71412162140240998</v>
      </c>
      <c r="AI2853">
        <v>92.770581636186705</v>
      </c>
      <c r="AJ2853">
        <v>120.456981165643</v>
      </c>
      <c r="AK2853">
        <v>0.82940726238391604</v>
      </c>
      <c r="AL2853">
        <v>81.094918756002699</v>
      </c>
      <c r="AM2853">
        <v>104.42264559463599</v>
      </c>
      <c r="AN2853">
        <v>0.99999998477839902</v>
      </c>
    </row>
    <row r="2854" spans="1:40" x14ac:dyDescent="0.25">
      <c r="A2854" t="str">
        <f>"20190304155112602"</f>
        <v>20190304155112602</v>
      </c>
      <c r="B2854" t="str">
        <f>"1551685872599316"</f>
        <v>1551685872599316</v>
      </c>
      <c r="C2854" t="s">
        <v>40</v>
      </c>
      <c r="D2854">
        <v>4.3382319999999996</v>
      </c>
      <c r="E2854">
        <v>0.40147830000000001</v>
      </c>
      <c r="F2854" t="s">
        <v>51</v>
      </c>
      <c r="G2854">
        <v>-488.46379999999999</v>
      </c>
      <c r="H2854">
        <v>1.07708</v>
      </c>
      <c r="I2854">
        <v>274.27530000000002</v>
      </c>
      <c r="J2854">
        <v>-488.29270000000002</v>
      </c>
      <c r="K2854">
        <v>1.117996</v>
      </c>
      <c r="L2854">
        <v>275.14879999999999</v>
      </c>
      <c r="M2854">
        <v>-0.64876780000000001</v>
      </c>
      <c r="N2854">
        <v>-1.4868320000000001E-2</v>
      </c>
      <c r="O2854">
        <v>-0.7608414</v>
      </c>
      <c r="P2854">
        <v>-0.43701770000000001</v>
      </c>
      <c r="Q2854">
        <v>0.14521129999999999</v>
      </c>
      <c r="R2854">
        <v>-0.887654099999999</v>
      </c>
      <c r="S2854">
        <v>-0.75009159999999997</v>
      </c>
      <c r="T2854">
        <v>-0.12901399999999999</v>
      </c>
      <c r="U2854">
        <v>-3.036346</v>
      </c>
      <c r="V2854">
        <v>-0.24622459999999999</v>
      </c>
      <c r="W2854">
        <v>0.15506789999999901</v>
      </c>
      <c r="X2854">
        <v>0.95672740000000001</v>
      </c>
      <c r="Y2854">
        <v>-0.44718999999999998</v>
      </c>
      <c r="Z2854">
        <v>1.1466499999999999E-2</v>
      </c>
      <c r="AA2854">
        <v>0.89436550000000004</v>
      </c>
      <c r="AB2854">
        <v>22</v>
      </c>
      <c r="AC2854">
        <v>-0.171099999999967</v>
      </c>
      <c r="AD2854">
        <v>-4.0915999999999897E-2</v>
      </c>
      <c r="AE2854">
        <v>-0.87349999999997796</v>
      </c>
      <c r="AF2854">
        <v>-0.43564634786650802</v>
      </c>
      <c r="AG2854">
        <v>-4.0915999999999897E-2</v>
      </c>
      <c r="AH2854">
        <v>0.77404913547631704</v>
      </c>
      <c r="AI2854">
        <v>92.637466556762405</v>
      </c>
      <c r="AJ2854">
        <v>119.371455341699</v>
      </c>
      <c r="AK2854">
        <v>0.88916473366697402</v>
      </c>
      <c r="AL2854">
        <v>81.079265413308207</v>
      </c>
      <c r="AM2854">
        <v>104.43251169518599</v>
      </c>
      <c r="AN2854">
        <v>0.99999996258316404</v>
      </c>
    </row>
    <row r="2855" spans="1:40" x14ac:dyDescent="0.25">
      <c r="A2855" t="str">
        <f>"20190304155112623"</f>
        <v>20190304155112623</v>
      </c>
      <c r="B2855" t="str">
        <f>"1551685872619812"</f>
        <v>1551685872619812</v>
      </c>
      <c r="C2855" t="s">
        <v>40</v>
      </c>
      <c r="D2855">
        <v>4.3807739999999997</v>
      </c>
      <c r="E2855">
        <v>0.40293030000000002</v>
      </c>
      <c r="F2855" t="s">
        <v>62</v>
      </c>
      <c r="G2855">
        <v>-499.73849999999999</v>
      </c>
      <c r="H2855" s="1">
        <v>2.134675E-6</v>
      </c>
      <c r="I2855">
        <v>221.08590000000001</v>
      </c>
      <c r="J2855">
        <v>-488.40940000000001</v>
      </c>
      <c r="K2855">
        <v>1.118036</v>
      </c>
      <c r="L2855">
        <v>274.99149999999997</v>
      </c>
      <c r="M2855">
        <v>-0.63987019999999994</v>
      </c>
      <c r="N2855">
        <v>-1.488921E-2</v>
      </c>
      <c r="O2855">
        <v>-0.76833879999999999</v>
      </c>
      <c r="P2855">
        <v>-0.42695850000000002</v>
      </c>
      <c r="Q2855">
        <v>0.14617669999999999</v>
      </c>
      <c r="R2855">
        <v>-0.89237840000000002</v>
      </c>
      <c r="S2855">
        <v>-0.64996339999999997</v>
      </c>
      <c r="T2855">
        <v>-6.3486810000000005E-2</v>
      </c>
      <c r="U2855">
        <v>-3.0700379999999998</v>
      </c>
      <c r="V2855">
        <v>-0.24583440000000001</v>
      </c>
      <c r="W2855">
        <v>0.15603689999999901</v>
      </c>
      <c r="X2855">
        <v>0.95667020000000003</v>
      </c>
      <c r="Y2855">
        <v>-0.4667654</v>
      </c>
      <c r="Z2855">
        <v>-1.464464E-3</v>
      </c>
      <c r="AA2855">
        <v>0.88437999999999894</v>
      </c>
      <c r="AB2855">
        <v>22</v>
      </c>
      <c r="AC2855">
        <v>-11.329099999999899</v>
      </c>
      <c r="AD2855">
        <v>-1.1180338653249999</v>
      </c>
      <c r="AE2855">
        <v>-53.9055999999999</v>
      </c>
      <c r="AF2855">
        <v>-25.780237120678098</v>
      </c>
      <c r="AG2855">
        <v>-1.1180338653249999</v>
      </c>
      <c r="AH2855">
        <v>48.6522675399844</v>
      </c>
      <c r="AI2855">
        <v>91.163261612364195</v>
      </c>
      <c r="AJ2855">
        <v>117.918565261041</v>
      </c>
      <c r="AK2855">
        <v>55.0718963038738</v>
      </c>
      <c r="AL2855">
        <v>81.023061724192999</v>
      </c>
      <c r="AM2855">
        <v>104.411418895851</v>
      </c>
      <c r="AN2855">
        <v>0.99999996897650401</v>
      </c>
    </row>
    <row r="2856" spans="1:40" x14ac:dyDescent="0.25">
      <c r="A2856" t="str">
        <f>"20190304155112636"</f>
        <v>20190304155112636</v>
      </c>
      <c r="B2856" t="str">
        <f>"1551685872629571"</f>
        <v>1551685872629571</v>
      </c>
      <c r="C2856" t="s">
        <v>40</v>
      </c>
      <c r="D2856">
        <v>4.3903650000000001</v>
      </c>
      <c r="E2856">
        <v>0.40371050000000003</v>
      </c>
      <c r="F2856" t="s">
        <v>62</v>
      </c>
      <c r="G2856">
        <v>-498.47859999999997</v>
      </c>
      <c r="H2856" s="1">
        <v>3.4664209999999999E-6</v>
      </c>
      <c r="I2856">
        <v>225.54910000000001</v>
      </c>
      <c r="J2856">
        <v>-488.47859999999997</v>
      </c>
      <c r="K2856">
        <v>1.118063</v>
      </c>
      <c r="L2856">
        <v>274.89609999999999</v>
      </c>
      <c r="M2856">
        <v>-0.6344379</v>
      </c>
      <c r="N2856">
        <v>-1.490111E-2</v>
      </c>
      <c r="O2856">
        <v>-0.77283009999999996</v>
      </c>
      <c r="P2856">
        <v>-0.420989</v>
      </c>
      <c r="Q2856">
        <v>0.146427799999999</v>
      </c>
      <c r="R2856">
        <v>-0.89516879999999999</v>
      </c>
      <c r="S2856">
        <v>-0.62597659999999999</v>
      </c>
      <c r="T2856">
        <v>-6.9505689999999995E-2</v>
      </c>
      <c r="U2856">
        <v>-3.0737299999999999</v>
      </c>
      <c r="V2856">
        <v>-0.2454662</v>
      </c>
      <c r="W2856">
        <v>0.15629399999999999</v>
      </c>
      <c r="X2856">
        <v>0.95672279999999998</v>
      </c>
      <c r="Y2856">
        <v>-0.46735310000000002</v>
      </c>
      <c r="Z2856">
        <v>-2.264841E-4</v>
      </c>
      <c r="AA2856">
        <v>0.88407069999999999</v>
      </c>
      <c r="AB2856">
        <v>22</v>
      </c>
      <c r="AC2856">
        <v>-10</v>
      </c>
      <c r="AD2856">
        <v>-1.118059533579</v>
      </c>
      <c r="AE2856">
        <v>-49.346999999999902</v>
      </c>
      <c r="AF2856">
        <v>-23.570303613117002</v>
      </c>
      <c r="AG2856">
        <v>-1.118059533579</v>
      </c>
      <c r="AH2856">
        <v>44.4642432783739</v>
      </c>
      <c r="AI2856">
        <v>91.272712792632404</v>
      </c>
      <c r="AJ2856">
        <v>117.92786973472199</v>
      </c>
      <c r="AK2856">
        <v>50.337641977486001</v>
      </c>
      <c r="AL2856">
        <v>81.008148217950193</v>
      </c>
      <c r="AM2856">
        <v>104.38997278119599</v>
      </c>
      <c r="AN2856">
        <v>0.99999999290913899</v>
      </c>
    </row>
    <row r="2857" spans="1:40" x14ac:dyDescent="0.25">
      <c r="A2857" t="str">
        <f>"20190304155112646"</f>
        <v>20190304155112646</v>
      </c>
      <c r="B2857" t="str">
        <f>"1551685872639331"</f>
        <v>1551685872639331</v>
      </c>
      <c r="C2857" t="s">
        <v>40</v>
      </c>
      <c r="D2857">
        <v>4.4110990000000001</v>
      </c>
      <c r="E2857">
        <v>0.40444799999999997</v>
      </c>
      <c r="F2857" t="s">
        <v>62</v>
      </c>
      <c r="G2857">
        <v>-498.04860000000002</v>
      </c>
      <c r="H2857" s="1">
        <v>3.845936E-6</v>
      </c>
      <c r="I2857">
        <v>226.7482</v>
      </c>
      <c r="J2857">
        <v>-488.5385</v>
      </c>
      <c r="K2857">
        <v>1.1180870000000001</v>
      </c>
      <c r="L2857">
        <v>274.81279999999998</v>
      </c>
      <c r="M2857">
        <v>-0.62966820000000001</v>
      </c>
      <c r="N2857">
        <v>-1.491113E-2</v>
      </c>
      <c r="O2857">
        <v>-0.77672099999999999</v>
      </c>
      <c r="P2857">
        <v>-0.4154196</v>
      </c>
      <c r="Q2857">
        <v>0.1469588</v>
      </c>
      <c r="R2857">
        <v>-0.89768019999999904</v>
      </c>
      <c r="S2857">
        <v>-0.6112976</v>
      </c>
      <c r="T2857">
        <v>-7.1417209999999995E-2</v>
      </c>
      <c r="U2857">
        <v>-3.0754999999999999</v>
      </c>
      <c r="V2857">
        <v>-0.2454818</v>
      </c>
      <c r="W2857">
        <v>0.15682289999999999</v>
      </c>
      <c r="X2857">
        <v>0.95663229999999999</v>
      </c>
      <c r="Y2857">
        <v>-0.4660629</v>
      </c>
      <c r="Z2857">
        <v>2.378763E-4</v>
      </c>
      <c r="AA2857">
        <v>0.88475159999999997</v>
      </c>
      <c r="AB2857">
        <v>22</v>
      </c>
      <c r="AC2857">
        <v>-9.5101000000000209</v>
      </c>
      <c r="AD2857">
        <v>-1.1180831540639999</v>
      </c>
      <c r="AE2857">
        <v>-48.064599999999899</v>
      </c>
      <c r="AF2857">
        <v>-22.868692164463098</v>
      </c>
      <c r="AG2857">
        <v>-1.1180831540639999</v>
      </c>
      <c r="AH2857">
        <v>43.303261142373501</v>
      </c>
      <c r="AI2857">
        <v>91.307925969694594</v>
      </c>
      <c r="AJ2857">
        <v>117.838782499845</v>
      </c>
      <c r="AK2857">
        <v>48.9836668371915</v>
      </c>
      <c r="AL2857">
        <v>80.9774666192056</v>
      </c>
      <c r="AM2857">
        <v>104.392154189206</v>
      </c>
      <c r="AN2857">
        <v>1.0000000467494601</v>
      </c>
    </row>
    <row r="2858" spans="1:40" x14ac:dyDescent="0.25">
      <c r="A2858" t="str">
        <f>"20190304155112657"</f>
        <v>20190304155112657</v>
      </c>
      <c r="B2858" t="str">
        <f>"1551685872649091"</f>
        <v>1551685872649091</v>
      </c>
      <c r="C2858" t="s">
        <v>40</v>
      </c>
      <c r="D2858">
        <v>4.4605540000000001</v>
      </c>
      <c r="E2858">
        <v>0.40517629999999999</v>
      </c>
      <c r="F2858" t="s">
        <v>62</v>
      </c>
      <c r="G2858">
        <v>-498.01069999999999</v>
      </c>
      <c r="H2858" s="1">
        <v>3.6917019999999998E-6</v>
      </c>
      <c r="I2858">
        <v>226.00489999999999</v>
      </c>
      <c r="J2858">
        <v>-488.59649999999999</v>
      </c>
      <c r="K2858">
        <v>1.1181049999999999</v>
      </c>
      <c r="L2858">
        <v>274.7303</v>
      </c>
      <c r="M2858">
        <v>-0.6249266</v>
      </c>
      <c r="N2858">
        <v>-1.492069E-2</v>
      </c>
      <c r="O2858">
        <v>-0.78054089999999998</v>
      </c>
      <c r="P2858">
        <v>-0.4105183</v>
      </c>
      <c r="Q2858">
        <v>0.14748349999999999</v>
      </c>
      <c r="R2858">
        <v>-0.89984649999999999</v>
      </c>
      <c r="S2858">
        <v>-0.59716800000000003</v>
      </c>
      <c r="T2858">
        <v>-7.0489289999999996E-2</v>
      </c>
      <c r="U2858">
        <v>-3.0770870000000001</v>
      </c>
      <c r="V2858">
        <v>-0.2448333</v>
      </c>
      <c r="W2858">
        <v>0.15736069999999999</v>
      </c>
      <c r="X2858">
        <v>0.95671010000000001</v>
      </c>
      <c r="Y2858">
        <v>-0.46467589999999998</v>
      </c>
      <c r="Z2858">
        <v>1.4262459999999901E-4</v>
      </c>
      <c r="AA2858">
        <v>0.88548079999999996</v>
      </c>
      <c r="AB2858">
        <v>22</v>
      </c>
      <c r="AC2858">
        <v>-9.4141999999999904</v>
      </c>
      <c r="AD2858">
        <v>-1.11810130829799</v>
      </c>
      <c r="AE2858">
        <v>-48.7254</v>
      </c>
      <c r="AF2858">
        <v>-23.0924805166315</v>
      </c>
      <c r="AG2858">
        <v>-1.11810130829799</v>
      </c>
      <c r="AH2858">
        <v>43.897957945857698</v>
      </c>
      <c r="AI2858">
        <v>91.291328680405996</v>
      </c>
      <c r="AJ2858">
        <v>117.746572908137</v>
      </c>
      <c r="AK2858">
        <v>49.613944801465998</v>
      </c>
      <c r="AL2858">
        <v>80.946264903375905</v>
      </c>
      <c r="AM2858">
        <v>104.35458793916899</v>
      </c>
      <c r="AN2858">
        <v>0.999999975067694</v>
      </c>
    </row>
    <row r="2859" spans="1:40" x14ac:dyDescent="0.25">
      <c r="A2859" t="str">
        <f>"20190304155112669"</f>
        <v>20190304155112669</v>
      </c>
      <c r="B2859" t="str">
        <f>"1551685872659827"</f>
        <v>1551685872659827</v>
      </c>
      <c r="C2859" t="s">
        <v>40</v>
      </c>
      <c r="D2859">
        <v>4.4326530000000002</v>
      </c>
      <c r="E2859">
        <v>0.40517629999999999</v>
      </c>
      <c r="F2859" t="s">
        <v>62</v>
      </c>
      <c r="G2859">
        <v>-497.88080000000002</v>
      </c>
      <c r="H2859" s="1">
        <v>3.7093159999999998E-6</v>
      </c>
      <c r="I2859">
        <v>225.92830000000001</v>
      </c>
      <c r="J2859">
        <v>-488.65969999999999</v>
      </c>
      <c r="K2859">
        <v>1.118117</v>
      </c>
      <c r="L2859">
        <v>274.63990000000001</v>
      </c>
      <c r="M2859">
        <v>-0.61970119999999995</v>
      </c>
      <c r="N2859">
        <v>-1.493093E-2</v>
      </c>
      <c r="O2859">
        <v>-0.78469580000000005</v>
      </c>
      <c r="P2859">
        <v>-0.40453650000000002</v>
      </c>
      <c r="Q2859">
        <v>0.14796210000000001</v>
      </c>
      <c r="R2859">
        <v>-0.90247330000000003</v>
      </c>
      <c r="S2859">
        <v>-0.58563229999999999</v>
      </c>
      <c r="T2859">
        <v>-7.052696E-2</v>
      </c>
      <c r="U2859">
        <v>-3.0783079999999998</v>
      </c>
      <c r="V2859">
        <v>-0.2447628</v>
      </c>
      <c r="W2859">
        <v>0.15784010000000001</v>
      </c>
      <c r="X2859">
        <v>0.95664919999999998</v>
      </c>
      <c r="Y2859">
        <v>-0.46202900000000002</v>
      </c>
      <c r="Z2859">
        <v>2.6140179999999997E-4</v>
      </c>
      <c r="AA2859">
        <v>0.88686480000000001</v>
      </c>
      <c r="AB2859">
        <v>22</v>
      </c>
      <c r="AC2859">
        <v>-9.2211000000000301</v>
      </c>
      <c r="AD2859">
        <v>-1.1181132906839999</v>
      </c>
      <c r="AE2859">
        <v>-48.711599999999997</v>
      </c>
      <c r="AF2859">
        <v>-22.941767851984999</v>
      </c>
      <c r="AG2859">
        <v>-1.1181132906839999</v>
      </c>
      <c r="AH2859">
        <v>43.920672801516403</v>
      </c>
      <c r="AI2859">
        <v>91.292641297747807</v>
      </c>
      <c r="AJ2859">
        <v>117.580115569116</v>
      </c>
      <c r="AK2859">
        <v>49.564103833752903</v>
      </c>
      <c r="AL2859">
        <v>80.918450005730307</v>
      </c>
      <c r="AM2859">
        <v>104.35150107855701</v>
      </c>
      <c r="AN2859">
        <v>1.0000000086462399</v>
      </c>
    </row>
    <row r="2860" spans="1:40" x14ac:dyDescent="0.25">
      <c r="A2860" t="str">
        <f>"20190304155112680"</f>
        <v>20190304155112680</v>
      </c>
      <c r="B2860" t="str">
        <f>"1551685872669588"</f>
        <v>1551685872669588</v>
      </c>
      <c r="C2860" t="s">
        <v>40</v>
      </c>
      <c r="D2860">
        <v>4.4702710000000003</v>
      </c>
      <c r="E2860">
        <v>0.41143220000000003</v>
      </c>
      <c r="F2860" t="s">
        <v>62</v>
      </c>
      <c r="G2860">
        <v>-497.89249999999998</v>
      </c>
      <c r="H2860" s="1">
        <v>3.2483049999999998E-6</v>
      </c>
      <c r="I2860">
        <v>224.2715</v>
      </c>
      <c r="J2860">
        <v>-488.72030000000001</v>
      </c>
      <c r="K2860">
        <v>1.118136</v>
      </c>
      <c r="L2860">
        <v>274.55130000000003</v>
      </c>
      <c r="M2860">
        <v>-0.61455669999999996</v>
      </c>
      <c r="N2860">
        <v>-1.494086E-2</v>
      </c>
      <c r="O2860">
        <v>-0.78873119999999997</v>
      </c>
      <c r="P2860">
        <v>-0.39894180000000001</v>
      </c>
      <c r="Q2860">
        <v>0.14822650000000001</v>
      </c>
      <c r="R2860">
        <v>-0.90491690000000002</v>
      </c>
      <c r="S2860">
        <v>-0.56497189999999997</v>
      </c>
      <c r="T2860">
        <v>-6.8419099999999997E-2</v>
      </c>
      <c r="U2860">
        <v>-3.0821230000000002</v>
      </c>
      <c r="V2860">
        <v>-0.24441260000000001</v>
      </c>
      <c r="W2860">
        <v>0.15811269999999999</v>
      </c>
      <c r="X2860">
        <v>0.95669369999999998</v>
      </c>
      <c r="Y2860">
        <v>-0.46217940000000002</v>
      </c>
      <c r="Z2860">
        <v>-1.012504E-4</v>
      </c>
      <c r="AA2860">
        <v>0.88678650000000003</v>
      </c>
      <c r="AB2860">
        <v>21</v>
      </c>
      <c r="AC2860">
        <v>-9.1721999999999699</v>
      </c>
      <c r="AD2860">
        <v>-1.1181327516949999</v>
      </c>
      <c r="AE2860">
        <v>-50.279800000000002</v>
      </c>
      <c r="AF2860">
        <v>-23.6567062859027</v>
      </c>
      <c r="AG2860">
        <v>-1.1181327516949999</v>
      </c>
      <c r="AH2860">
        <v>45.277468357274401</v>
      </c>
      <c r="AI2860">
        <v>91.2538693735588</v>
      </c>
      <c r="AJ2860">
        <v>117.586301323718</v>
      </c>
      <c r="AK2860">
        <v>51.097349383229997</v>
      </c>
      <c r="AL2860">
        <v>80.9026323863133</v>
      </c>
      <c r="AM2860">
        <v>104.331174587351</v>
      </c>
      <c r="AN2860">
        <v>0.99999999027986897</v>
      </c>
    </row>
    <row r="2861" spans="1:40" x14ac:dyDescent="0.25">
      <c r="A2861" t="str">
        <f>"20190304155112692"</f>
        <v>20190304155112692</v>
      </c>
      <c r="B2861" t="str">
        <f>"1551685872689108"</f>
        <v>1551685872689108</v>
      </c>
      <c r="C2861" t="s">
        <v>40</v>
      </c>
      <c r="D2861">
        <v>4.4530719999999997</v>
      </c>
      <c r="E2861">
        <v>0.412136</v>
      </c>
      <c r="F2861" t="s">
        <v>41</v>
      </c>
      <c r="G2861">
        <v>-496.5376</v>
      </c>
      <c r="H2861" s="1">
        <v>-3.580934E-6</v>
      </c>
      <c r="I2861">
        <v>234.1018</v>
      </c>
      <c r="J2861">
        <v>-488.77609999999999</v>
      </c>
      <c r="K2861">
        <v>1.118152</v>
      </c>
      <c r="L2861">
        <v>274.46899999999999</v>
      </c>
      <c r="M2861">
        <v>-0.60976300000000005</v>
      </c>
      <c r="N2861">
        <v>-1.494972E-2</v>
      </c>
      <c r="O2861">
        <v>-0.79244309999999996</v>
      </c>
      <c r="P2861">
        <v>-0.39365159999999899</v>
      </c>
      <c r="Q2861">
        <v>0.14869280000000001</v>
      </c>
      <c r="R2861">
        <v>-0.90715440000000003</v>
      </c>
      <c r="S2861">
        <v>-0.59286499999999998</v>
      </c>
      <c r="T2861">
        <v>-8.4800600000000004E-2</v>
      </c>
      <c r="U2861">
        <v>-3.0677189999999999</v>
      </c>
      <c r="V2861">
        <v>-0.24416350000000001</v>
      </c>
      <c r="W2861">
        <v>0.1585849</v>
      </c>
      <c r="X2861">
        <v>0.95667919999999995</v>
      </c>
      <c r="Y2861">
        <v>-0.44820490000000002</v>
      </c>
      <c r="Z2861">
        <v>3.583031E-3</v>
      </c>
      <c r="AA2861">
        <v>0.89392359999999904</v>
      </c>
      <c r="AB2861">
        <v>21</v>
      </c>
      <c r="AC2861">
        <v>-7.7615000000000096</v>
      </c>
      <c r="AD2861">
        <v>-1.118155580934</v>
      </c>
      <c r="AE2861">
        <v>-40.367199999999997</v>
      </c>
      <c r="AF2861">
        <v>-18.452283963957999</v>
      </c>
      <c r="AG2861">
        <v>-1.118155580934</v>
      </c>
      <c r="AH2861">
        <v>36.698326437929502</v>
      </c>
      <c r="AI2861">
        <v>91.559291832547004</v>
      </c>
      <c r="AJ2861">
        <v>116.69370532902801</v>
      </c>
      <c r="AK2861">
        <v>41.0914129561707</v>
      </c>
      <c r="AL2861">
        <v>80.875232053123995</v>
      </c>
      <c r="AM2861">
        <v>104.317377391687</v>
      </c>
      <c r="AN2861">
        <v>1.00000003847644</v>
      </c>
    </row>
    <row r="2862" spans="1:40" x14ac:dyDescent="0.25">
      <c r="A2862" t="str">
        <f>"20190304155112702"</f>
        <v>20190304155112702</v>
      </c>
      <c r="B2862" t="str">
        <f>"1551685872699844"</f>
        <v>1551685872699844</v>
      </c>
      <c r="C2862" t="s">
        <v>40</v>
      </c>
      <c r="D2862">
        <v>4.5465809999999998</v>
      </c>
      <c r="E2862">
        <v>0.41199639999999998</v>
      </c>
      <c r="F2862" t="s">
        <v>41</v>
      </c>
      <c r="G2862">
        <v>-496.10809999999998</v>
      </c>
      <c r="H2862" s="1">
        <v>-4.0408770000000001E-6</v>
      </c>
      <c r="I2862">
        <v>235.6772</v>
      </c>
      <c r="J2862">
        <v>-488.83620000000002</v>
      </c>
      <c r="K2862">
        <v>1.118166</v>
      </c>
      <c r="L2862">
        <v>274.37880000000001</v>
      </c>
      <c r="M2862">
        <v>-0.60449350000000002</v>
      </c>
      <c r="N2862">
        <v>-1.495893E-2</v>
      </c>
      <c r="O2862">
        <v>-0.7964696</v>
      </c>
      <c r="P2862">
        <v>-0.3876925</v>
      </c>
      <c r="Q2862">
        <v>0.14950050000000001</v>
      </c>
      <c r="R2862">
        <v>-0.90958439999999996</v>
      </c>
      <c r="S2862">
        <v>-0.58023069999999999</v>
      </c>
      <c r="T2862">
        <v>-8.8486430000000005E-2</v>
      </c>
      <c r="U2862">
        <v>-3.0698240000000001</v>
      </c>
      <c r="V2862">
        <v>-0.2440331</v>
      </c>
      <c r="W2862">
        <v>0.1593956</v>
      </c>
      <c r="X2862">
        <v>0.95657769999999998</v>
      </c>
      <c r="Y2862">
        <v>-0.44593480000000002</v>
      </c>
      <c r="Z2862">
        <v>4.4831699999999999E-3</v>
      </c>
      <c r="AA2862">
        <v>0.89505419999999902</v>
      </c>
      <c r="AB2862">
        <v>21</v>
      </c>
      <c r="AC2862">
        <v>-7.2718999999999596</v>
      </c>
      <c r="AD2862">
        <v>-1.1181700408769999</v>
      </c>
      <c r="AE2862">
        <v>-38.701599999999999</v>
      </c>
      <c r="AF2862">
        <v>-17.590805097285699</v>
      </c>
      <c r="AG2862">
        <v>-1.1181700408769999</v>
      </c>
      <c r="AH2862">
        <v>35.196027627868503</v>
      </c>
      <c r="AI2862">
        <v>91.627798089709898</v>
      </c>
      <c r="AJ2862">
        <v>116.555662324878</v>
      </c>
      <c r="AK2862">
        <v>39.3630167669183</v>
      </c>
      <c r="AL2862">
        <v>80.828183598013695</v>
      </c>
      <c r="AM2862">
        <v>104.31150108437799</v>
      </c>
      <c r="AN2862">
        <v>1.0000000036661201</v>
      </c>
    </row>
    <row r="2863" spans="1:40" x14ac:dyDescent="0.25">
      <c r="A2863" t="str">
        <f>"20190304155112714"</f>
        <v>20190304155112714</v>
      </c>
      <c r="B2863" t="str">
        <f>"1551685872709604"</f>
        <v>1551685872709604</v>
      </c>
      <c r="C2863" t="s">
        <v>40</v>
      </c>
      <c r="D2863">
        <v>4.5022849999999996</v>
      </c>
      <c r="E2863">
        <v>0.41212149999999997</v>
      </c>
      <c r="F2863" t="s">
        <v>41</v>
      </c>
      <c r="G2863">
        <v>-496.49009999999998</v>
      </c>
      <c r="H2863" s="1">
        <v>-2.8939360000000001E-6</v>
      </c>
      <c r="I2863">
        <v>232.30959999999999</v>
      </c>
      <c r="J2863">
        <v>-488.8938</v>
      </c>
      <c r="K2863">
        <v>1.1181779999999999</v>
      </c>
      <c r="L2863">
        <v>274.291</v>
      </c>
      <c r="M2863">
        <v>-0.59934149999999997</v>
      </c>
      <c r="N2863">
        <v>-1.496717E-2</v>
      </c>
      <c r="O2863">
        <v>-0.8003536</v>
      </c>
      <c r="P2863">
        <v>-0.38219789999999998</v>
      </c>
      <c r="Q2863">
        <v>0.15018500000000001</v>
      </c>
      <c r="R2863">
        <v>-0.91179469999999996</v>
      </c>
      <c r="S2863">
        <v>-0.5591431</v>
      </c>
      <c r="T2863">
        <v>-8.1685300000000002E-2</v>
      </c>
      <c r="U2863">
        <v>-3.0732729999999999</v>
      </c>
      <c r="V2863">
        <v>-0.24357889999999999</v>
      </c>
      <c r="W2863">
        <v>0.1600917</v>
      </c>
      <c r="X2863">
        <v>0.95657720000000002</v>
      </c>
      <c r="Y2863">
        <v>-0.4462892</v>
      </c>
      <c r="Z2863">
        <v>3.14256E-3</v>
      </c>
      <c r="AA2863">
        <v>0.89488330000000005</v>
      </c>
      <c r="AB2863">
        <v>21</v>
      </c>
      <c r="AC2863">
        <v>-7.5962999999999798</v>
      </c>
      <c r="AD2863">
        <v>-1.1181808939360001</v>
      </c>
      <c r="AE2863">
        <v>-41.981400000000001</v>
      </c>
      <c r="AF2863">
        <v>-19.070505251000601</v>
      </c>
      <c r="AG2863">
        <v>-1.1181808939360001</v>
      </c>
      <c r="AH2863">
        <v>38.130820427091997</v>
      </c>
      <c r="AI2863">
        <v>91.502383404603293</v>
      </c>
      <c r="AJ2863">
        <v>116.57117553603599</v>
      </c>
      <c r="AK2863">
        <v>42.648493120896397</v>
      </c>
      <c r="AL2863">
        <v>80.787781016892296</v>
      </c>
      <c r="AM2863">
        <v>104.28596264812001</v>
      </c>
      <c r="AN2863">
        <v>0.99999998624696895</v>
      </c>
    </row>
    <row r="2864" spans="1:40" x14ac:dyDescent="0.25">
      <c r="A2864" t="str">
        <f>"20190304155112725"</f>
        <v>20190304155112725</v>
      </c>
      <c r="B2864" t="str">
        <f>"1551685872719364"</f>
        <v>1551685872719364</v>
      </c>
      <c r="C2864" t="s">
        <v>40</v>
      </c>
      <c r="D2864">
        <v>4.4906550000000003</v>
      </c>
      <c r="E2864">
        <v>0.41253980000000001</v>
      </c>
      <c r="F2864" t="s">
        <v>41</v>
      </c>
      <c r="G2864">
        <v>-496.68279999999999</v>
      </c>
      <c r="H2864" s="1">
        <v>-1.9672270000000001E-6</v>
      </c>
      <c r="I2864">
        <v>230.0299</v>
      </c>
      <c r="J2864">
        <v>-488.9495</v>
      </c>
      <c r="K2864">
        <v>1.1181909999999999</v>
      </c>
      <c r="L2864">
        <v>274.20530000000002</v>
      </c>
      <c r="M2864">
        <v>-0.59429519999999902</v>
      </c>
      <c r="N2864">
        <v>-1.497471E-2</v>
      </c>
      <c r="O2864">
        <v>-0.80410769999999998</v>
      </c>
      <c r="P2864">
        <v>-0.37690040000000002</v>
      </c>
      <c r="Q2864">
        <v>0.1511227</v>
      </c>
      <c r="R2864">
        <v>-0.91384259999999995</v>
      </c>
      <c r="S2864">
        <v>-0.54132080000000005</v>
      </c>
      <c r="T2864">
        <v>-7.7711820000000001E-2</v>
      </c>
      <c r="U2864">
        <v>-3.0760800000000001</v>
      </c>
      <c r="V2864">
        <v>-0.24304029999999999</v>
      </c>
      <c r="W2864">
        <v>0.16104289999999999</v>
      </c>
      <c r="X2864">
        <v>0.95655449999999997</v>
      </c>
      <c r="Y2864">
        <v>-0.44583390000000001</v>
      </c>
      <c r="Z2864">
        <v>2.3901669999999999E-3</v>
      </c>
      <c r="AA2864">
        <v>0.89511260000000004</v>
      </c>
      <c r="AB2864">
        <v>21</v>
      </c>
      <c r="AC2864">
        <v>-7.7332999999999803</v>
      </c>
      <c r="AD2864">
        <v>-1.1181929672269999</v>
      </c>
      <c r="AE2864">
        <v>-44.175400000000003</v>
      </c>
      <c r="AF2864">
        <v>-20.024617802517199</v>
      </c>
      <c r="AG2864">
        <v>-1.1181929672269999</v>
      </c>
      <c r="AH2864">
        <v>40.0972093156211</v>
      </c>
      <c r="AI2864">
        <v>91.429170470304499</v>
      </c>
      <c r="AJ2864">
        <v>116.53762434249499</v>
      </c>
      <c r="AK2864">
        <v>44.8332674311117</v>
      </c>
      <c r="AL2864">
        <v>80.732564561617806</v>
      </c>
      <c r="AM2864">
        <v>104.255987114533</v>
      </c>
      <c r="AN2864">
        <v>0.99999995726737401</v>
      </c>
    </row>
    <row r="2865" spans="1:40" x14ac:dyDescent="0.25">
      <c r="A2865" t="str">
        <f>"20190304155112736"</f>
        <v>20190304155112736</v>
      </c>
      <c r="B2865" t="str">
        <f>"1551685872729124"</f>
        <v>1551685872729124</v>
      </c>
      <c r="C2865" t="s">
        <v>40</v>
      </c>
      <c r="D2865">
        <v>4.4983320000000004</v>
      </c>
      <c r="E2865">
        <v>0.41253980000000001</v>
      </c>
      <c r="F2865" t="s">
        <v>62</v>
      </c>
      <c r="G2865">
        <v>-496.7645</v>
      </c>
      <c r="H2865" s="1">
        <v>4.5757070000000001E-6</v>
      </c>
      <c r="I2865">
        <v>228.5035</v>
      </c>
      <c r="J2865">
        <v>-489.00479999999999</v>
      </c>
      <c r="K2865">
        <v>1.1182000000000001</v>
      </c>
      <c r="L2865">
        <v>274.11849999999998</v>
      </c>
      <c r="M2865">
        <v>-0.58917710000000001</v>
      </c>
      <c r="N2865">
        <v>-1.498146E-2</v>
      </c>
      <c r="O2865">
        <v>-0.80786530000000001</v>
      </c>
      <c r="P2865">
        <v>-0.37138379999999999</v>
      </c>
      <c r="Q2865">
        <v>0.151729</v>
      </c>
      <c r="R2865">
        <v>-0.91599830000000004</v>
      </c>
      <c r="S2865">
        <v>-0.52636719999999904</v>
      </c>
      <c r="T2865">
        <v>-7.5314039999999999E-2</v>
      </c>
      <c r="U2865">
        <v>-3.0781860000000001</v>
      </c>
      <c r="V2865">
        <v>-0.2426857</v>
      </c>
      <c r="W2865">
        <v>0.1616599</v>
      </c>
      <c r="X2865">
        <v>0.95654050000000002</v>
      </c>
      <c r="Y2865">
        <v>-0.44447950000000003</v>
      </c>
      <c r="Z2865">
        <v>1.9762569999999999E-3</v>
      </c>
      <c r="AA2865">
        <v>0.89578679999999999</v>
      </c>
      <c r="AB2865">
        <v>21</v>
      </c>
      <c r="AC2865">
        <v>-7.7596999999999996</v>
      </c>
      <c r="AD2865">
        <v>-1.1181954242929999</v>
      </c>
      <c r="AE2865">
        <v>-45.614999999999903</v>
      </c>
      <c r="AF2865">
        <v>-20.596800360190901</v>
      </c>
      <c r="AG2865">
        <v>-1.1181954242929999</v>
      </c>
      <c r="AH2865">
        <v>41.403072965861199</v>
      </c>
      <c r="AI2865">
        <v>91.385182248557498</v>
      </c>
      <c r="AJ2865">
        <v>116.44898234535</v>
      </c>
      <c r="AK2865">
        <v>46.256815682674201</v>
      </c>
      <c r="AL2865">
        <v>80.696744106381004</v>
      </c>
      <c r="AM2865">
        <v>104.23623339251399</v>
      </c>
      <c r="AN2865">
        <v>1.00000000019637</v>
      </c>
    </row>
    <row r="2866" spans="1:40" x14ac:dyDescent="0.25">
      <c r="A2866" t="str">
        <f>"20190304155112748"</f>
        <v>20190304155112748</v>
      </c>
      <c r="B2866" t="str">
        <f>"1551685872739859"</f>
        <v>1551685872739859</v>
      </c>
      <c r="C2866" t="s">
        <v>40</v>
      </c>
      <c r="D2866">
        <v>4.5359210000000001</v>
      </c>
      <c r="E2866">
        <v>0.41787469999999999</v>
      </c>
      <c r="F2866" t="s">
        <v>62</v>
      </c>
      <c r="G2866">
        <v>-496.76440000000002</v>
      </c>
      <c r="H2866" s="1">
        <v>4.2448240000000002E-6</v>
      </c>
      <c r="I2866">
        <v>227.0068</v>
      </c>
      <c r="J2866">
        <v>-489.06319999999999</v>
      </c>
      <c r="K2866">
        <v>1.118206</v>
      </c>
      <c r="L2866">
        <v>274.02620000000002</v>
      </c>
      <c r="M2866">
        <v>-0.58371110000000004</v>
      </c>
      <c r="N2866">
        <v>-1.4988319999999999E-2</v>
      </c>
      <c r="O2866">
        <v>-0.81182310000000002</v>
      </c>
      <c r="P2866">
        <v>-0.36584830000000002</v>
      </c>
      <c r="Q2866">
        <v>0.1527973</v>
      </c>
      <c r="R2866">
        <v>-0.91804589999999997</v>
      </c>
      <c r="S2866">
        <v>-0.50753779999999904</v>
      </c>
      <c r="T2866">
        <v>-7.3138949999999994E-2</v>
      </c>
      <c r="U2866">
        <v>-3.0814819999999998</v>
      </c>
      <c r="V2866">
        <v>-0.24191889999999999</v>
      </c>
      <c r="W2866">
        <v>0.16274729999999901</v>
      </c>
      <c r="X2866">
        <v>0.95655040000000002</v>
      </c>
      <c r="Y2866">
        <v>-0.44391999999999998</v>
      </c>
      <c r="Z2866">
        <v>1.592748E-3</v>
      </c>
      <c r="AA2866">
        <v>0.896065</v>
      </c>
      <c r="AB2866">
        <v>21</v>
      </c>
      <c r="AC2866">
        <v>-7.7012000000000196</v>
      </c>
      <c r="AD2866">
        <v>-1.118201755176</v>
      </c>
      <c r="AE2866">
        <v>-47.019399999999997</v>
      </c>
      <c r="AF2866">
        <v>-21.1844458948732</v>
      </c>
      <c r="AG2866">
        <v>-1.118201755176</v>
      </c>
      <c r="AH2866">
        <v>42.648013132823401</v>
      </c>
      <c r="AI2866">
        <v>91.345168037368197</v>
      </c>
      <c r="AJ2866">
        <v>116.414859898098</v>
      </c>
      <c r="AK2866">
        <v>47.6328053678929</v>
      </c>
      <c r="AL2866">
        <v>80.633605031696902</v>
      </c>
      <c r="AM2866">
        <v>104.192931407036</v>
      </c>
      <c r="AN2866">
        <v>1.0000000527873201</v>
      </c>
    </row>
    <row r="2867" spans="1:40" x14ac:dyDescent="0.25">
      <c r="A2867" t="str">
        <f>"20190304155112761"</f>
        <v>20190304155112761</v>
      </c>
      <c r="B2867" t="str">
        <f>"1551685872749619"</f>
        <v>1551685872749619</v>
      </c>
      <c r="C2867" t="s">
        <v>40</v>
      </c>
      <c r="D2867">
        <v>4.5240819999999999</v>
      </c>
      <c r="E2867">
        <v>0.41827300000000001</v>
      </c>
      <c r="F2867" t="s">
        <v>41</v>
      </c>
      <c r="G2867">
        <v>-495.27210000000002</v>
      </c>
      <c r="H2867" s="1">
        <v>-4.7038429999999999E-6</v>
      </c>
      <c r="I2867">
        <v>238.06120000000001</v>
      </c>
      <c r="J2867">
        <v>-489.12830000000002</v>
      </c>
      <c r="K2867">
        <v>1.118209</v>
      </c>
      <c r="L2867">
        <v>273.9205</v>
      </c>
      <c r="M2867">
        <v>-0.57745199999999997</v>
      </c>
      <c r="N2867">
        <v>-1.4994789999999999E-2</v>
      </c>
      <c r="O2867">
        <v>-0.81628719999999999</v>
      </c>
      <c r="P2867">
        <v>-0.35897620000000002</v>
      </c>
      <c r="Q2867">
        <v>0.1536458</v>
      </c>
      <c r="R2867">
        <v>-0.92061380000000004</v>
      </c>
      <c r="S2867">
        <v>-0.53039550000000002</v>
      </c>
      <c r="T2867">
        <v>-9.5522759999999998E-2</v>
      </c>
      <c r="U2867">
        <v>-3.0722960000000001</v>
      </c>
      <c r="V2867">
        <v>-0.24164679999999999</v>
      </c>
      <c r="W2867">
        <v>0.16360820000000001</v>
      </c>
      <c r="X2867">
        <v>0.95647230000000005</v>
      </c>
      <c r="Y2867">
        <v>-0.43004589999999998</v>
      </c>
      <c r="Z2867">
        <v>6.8087080000000001E-3</v>
      </c>
      <c r="AA2867">
        <v>0.90278130000000001</v>
      </c>
      <c r="AB2867">
        <v>21</v>
      </c>
      <c r="AC2867">
        <v>-6.1437999999999899</v>
      </c>
      <c r="AD2867">
        <v>-1.118213703843</v>
      </c>
      <c r="AE2867">
        <v>-35.859299999999898</v>
      </c>
      <c r="AF2867">
        <v>-15.6788687010985</v>
      </c>
      <c r="AG2867">
        <v>-1.118213703843</v>
      </c>
      <c r="AH2867">
        <v>32.791942403744002</v>
      </c>
      <c r="AI2867">
        <v>91.762123428347095</v>
      </c>
      <c r="AJ2867">
        <v>115.55394387921901</v>
      </c>
      <c r="AK2867">
        <v>36.364664335646196</v>
      </c>
      <c r="AL2867">
        <v>80.583608860574898</v>
      </c>
      <c r="AM2867">
        <v>104.17872281797899</v>
      </c>
      <c r="AN2867">
        <v>1.0000000398623801</v>
      </c>
    </row>
    <row r="2868" spans="1:40" x14ac:dyDescent="0.25">
      <c r="A2868" t="str">
        <f>"20190304155112781"</f>
        <v>20190304155112781</v>
      </c>
      <c r="B2868" t="str">
        <f>"1551685872769139"</f>
        <v>1551685872769139</v>
      </c>
      <c r="C2868" t="s">
        <v>40</v>
      </c>
      <c r="D2868">
        <v>4.4975420000000002</v>
      </c>
      <c r="E2868">
        <v>0.4188846</v>
      </c>
      <c r="F2868" t="s">
        <v>41</v>
      </c>
      <c r="G2868">
        <v>-495.31450000000001</v>
      </c>
      <c r="H2868" s="1">
        <v>-4.2578820000000003E-6</v>
      </c>
      <c r="I2868">
        <v>236.7286</v>
      </c>
      <c r="J2868">
        <v>-489.22449999999998</v>
      </c>
      <c r="K2868">
        <v>1.1182019999999999</v>
      </c>
      <c r="L2868">
        <v>273.76179999999999</v>
      </c>
      <c r="M2868">
        <v>-0.5680113</v>
      </c>
      <c r="N2868">
        <v>-1.500284E-2</v>
      </c>
      <c r="O2868">
        <v>-0.82288399999999995</v>
      </c>
      <c r="P2868">
        <v>-0.34895219999999999</v>
      </c>
      <c r="Q2868">
        <v>0.15552629999999901</v>
      </c>
      <c r="R2868">
        <v>-0.92414490000000005</v>
      </c>
      <c r="S2868">
        <v>-0.51141359999999902</v>
      </c>
      <c r="T2868">
        <v>-9.2442270000000007E-2</v>
      </c>
      <c r="U2868">
        <v>-3.074646</v>
      </c>
      <c r="V2868">
        <v>-0.2408727</v>
      </c>
      <c r="W2868">
        <v>0.16551440000000001</v>
      </c>
      <c r="X2868">
        <v>0.95633950000000001</v>
      </c>
      <c r="Y2868">
        <v>-0.42518139999999999</v>
      </c>
      <c r="Z2868">
        <v>6.3931359999999998E-3</v>
      </c>
      <c r="AA2868">
        <v>0.90508560000000005</v>
      </c>
      <c r="AB2868">
        <v>21</v>
      </c>
      <c r="AC2868">
        <v>-6.0900000000000301</v>
      </c>
      <c r="AD2868">
        <v>-1.118206257882</v>
      </c>
      <c r="AE2868">
        <v>-37.033200000000001</v>
      </c>
      <c r="AF2868">
        <v>-16.0115025695331</v>
      </c>
      <c r="AG2868">
        <v>-1.118206257882</v>
      </c>
      <c r="AH2868">
        <v>33.906936506412102</v>
      </c>
      <c r="AI2868">
        <v>91.708109479146302</v>
      </c>
      <c r="AJ2868">
        <v>115.27757531188099</v>
      </c>
      <c r="AK2868">
        <v>37.513983299820197</v>
      </c>
      <c r="AL2868">
        <v>80.472881278441605</v>
      </c>
      <c r="AM2868">
        <v>104.137009734234</v>
      </c>
      <c r="AN2868">
        <v>0.99999995673644904</v>
      </c>
    </row>
    <row r="2869" spans="1:40" x14ac:dyDescent="0.25">
      <c r="A2869" t="str">
        <f>"20190304155112794"</f>
        <v>20190304155112794</v>
      </c>
      <c r="B2869" t="str">
        <f>"1551685872789635"</f>
        <v>1551685872789635</v>
      </c>
      <c r="C2869" t="s">
        <v>40</v>
      </c>
      <c r="D2869">
        <v>4.5203379999999997</v>
      </c>
      <c r="E2869">
        <v>0.4196995</v>
      </c>
      <c r="F2869" t="s">
        <v>41</v>
      </c>
      <c r="G2869">
        <v>-495.31560000000002</v>
      </c>
      <c r="H2869" s="1">
        <v>-3.6470590000000001E-6</v>
      </c>
      <c r="I2869">
        <v>234.9331</v>
      </c>
      <c r="J2869">
        <v>-489.28579999999999</v>
      </c>
      <c r="K2869">
        <v>1.1181939999999999</v>
      </c>
      <c r="L2869">
        <v>273.6583</v>
      </c>
      <c r="M2869">
        <v>-0.56184239999999996</v>
      </c>
      <c r="N2869">
        <v>-1.5006759999999999E-2</v>
      </c>
      <c r="O2869">
        <v>-0.82710830000000002</v>
      </c>
      <c r="P2869">
        <v>-0.34282430000000003</v>
      </c>
      <c r="Q2869">
        <v>0.1561032</v>
      </c>
      <c r="R2869">
        <v>-0.92633869999999896</v>
      </c>
      <c r="S2869">
        <v>-0.48297119999999999</v>
      </c>
      <c r="T2869">
        <v>-8.8664530000000005E-2</v>
      </c>
      <c r="U2869">
        <v>-3.0787960000000001</v>
      </c>
      <c r="V2869">
        <v>-0.24000460000000001</v>
      </c>
      <c r="W2869">
        <v>0.16611919999999999</v>
      </c>
      <c r="X2869">
        <v>0.95645290000000005</v>
      </c>
      <c r="Y2869">
        <v>-0.42676310000000001</v>
      </c>
      <c r="Z2869">
        <v>5.6432239999999996E-3</v>
      </c>
      <c r="AA2869">
        <v>0.90434579999999998</v>
      </c>
      <c r="AB2869">
        <v>21</v>
      </c>
      <c r="AC2869">
        <v>-6.0298000000000203</v>
      </c>
      <c r="AD2869">
        <v>-1.118197647059</v>
      </c>
      <c r="AE2869">
        <v>-38.725200000000001</v>
      </c>
      <c r="AF2869">
        <v>-16.758406432584099</v>
      </c>
      <c r="AG2869">
        <v>-1.118197647059</v>
      </c>
      <c r="AH2869">
        <v>35.392905153427201</v>
      </c>
      <c r="AI2869">
        <v>91.635614867432395</v>
      </c>
      <c r="AJ2869">
        <v>115.337377628703</v>
      </c>
      <c r="AK2869">
        <v>39.1759146330633</v>
      </c>
      <c r="AL2869">
        <v>80.437742505274699</v>
      </c>
      <c r="AM2869">
        <v>104.08648874204501</v>
      </c>
      <c r="AN2869">
        <v>0.99999997327410395</v>
      </c>
    </row>
    <row r="2870" spans="1:40" x14ac:dyDescent="0.25">
      <c r="A2870" t="str">
        <f>"20190304155112805"</f>
        <v>20190304155112805</v>
      </c>
      <c r="B2870" t="str">
        <f>"1551685872799396"</f>
        <v>1551685872799396</v>
      </c>
      <c r="C2870" t="s">
        <v>40</v>
      </c>
      <c r="D2870">
        <v>4.36578</v>
      </c>
      <c r="E2870">
        <v>0.4196995</v>
      </c>
      <c r="F2870" t="s">
        <v>41</v>
      </c>
      <c r="G2870">
        <v>-495.04169999999999</v>
      </c>
      <c r="H2870" s="1">
        <v>-3.9116239999999998E-6</v>
      </c>
      <c r="I2870">
        <v>235.85329999999999</v>
      </c>
      <c r="J2870">
        <v>-489.34030000000001</v>
      </c>
      <c r="K2870">
        <v>1.118179</v>
      </c>
      <c r="L2870">
        <v>273.56509999999997</v>
      </c>
      <c r="M2870">
        <v>-0.55628219999999995</v>
      </c>
      <c r="N2870">
        <v>-1.50096E-2</v>
      </c>
      <c r="O2870">
        <v>-0.83085810000000004</v>
      </c>
      <c r="P2870">
        <v>-0.3374434</v>
      </c>
      <c r="Q2870">
        <v>0.1562587</v>
      </c>
      <c r="R2870">
        <v>-0.92828639999999996</v>
      </c>
      <c r="S2870">
        <v>-0.46899410000000002</v>
      </c>
      <c r="T2870">
        <v>-9.1110830000000004E-2</v>
      </c>
      <c r="U2870">
        <v>-3.0803530000000001</v>
      </c>
      <c r="V2870">
        <v>-0.23912130000000001</v>
      </c>
      <c r="W2870">
        <v>0.16630349999999999</v>
      </c>
      <c r="X2870">
        <v>0.95664210000000005</v>
      </c>
      <c r="Y2870">
        <v>-0.4247727</v>
      </c>
      <c r="Z2870">
        <v>6.3314080000000002E-3</v>
      </c>
      <c r="AA2870">
        <v>0.90527789999999997</v>
      </c>
      <c r="AB2870">
        <v>21</v>
      </c>
      <c r="AC2870">
        <v>-5.7013999999999703</v>
      </c>
      <c r="AD2870">
        <v>-1.1181829116240001</v>
      </c>
      <c r="AE2870">
        <v>-37.711799999999897</v>
      </c>
      <c r="AF2870">
        <v>-16.229226242416001</v>
      </c>
      <c r="AG2870">
        <v>-1.1181829116240001</v>
      </c>
      <c r="AH2870">
        <v>34.478987675051798</v>
      </c>
      <c r="AI2870">
        <v>91.680735640287693</v>
      </c>
      <c r="AJ2870">
        <v>115.206320824241</v>
      </c>
      <c r="AK2870">
        <v>38.123991246297301</v>
      </c>
      <c r="AL2870">
        <v>80.4270339922289</v>
      </c>
      <c r="AM2870">
        <v>104.03403235284701</v>
      </c>
      <c r="AN2870">
        <v>0.99999997885917402</v>
      </c>
    </row>
    <row r="2871" spans="1:40" x14ac:dyDescent="0.25">
      <c r="A2871" t="str">
        <f>"20190304155112817"</f>
        <v>20190304155112817</v>
      </c>
      <c r="B2871" t="str">
        <f>"1551685872809156"</f>
        <v>1551685872809156</v>
      </c>
      <c r="C2871" t="s">
        <v>40</v>
      </c>
      <c r="D2871">
        <v>4.4903120000000003</v>
      </c>
      <c r="E2871">
        <v>0.42014580000000001</v>
      </c>
      <c r="F2871" t="s">
        <v>41</v>
      </c>
      <c r="G2871">
        <v>-494.93849999999998</v>
      </c>
      <c r="H2871" s="1">
        <v>-3.672831E-6</v>
      </c>
      <c r="I2871">
        <v>235.2054</v>
      </c>
      <c r="J2871">
        <v>-489.39580000000001</v>
      </c>
      <c r="K2871">
        <v>1.1181620000000001</v>
      </c>
      <c r="L2871">
        <v>273.46780000000001</v>
      </c>
      <c r="M2871">
        <v>-0.55047769999999996</v>
      </c>
      <c r="N2871">
        <v>-1.5011470000000001E-2</v>
      </c>
      <c r="O2871">
        <v>-0.83471509999999904</v>
      </c>
      <c r="P2871">
        <v>-0.33151389999999997</v>
      </c>
      <c r="Q2871">
        <v>0.1565648</v>
      </c>
      <c r="R2871">
        <v>-0.9303688</v>
      </c>
      <c r="S2871">
        <v>-0.44998169999999998</v>
      </c>
      <c r="T2871">
        <v>-8.987916E-2</v>
      </c>
      <c r="U2871">
        <v>-3.0833439999999999</v>
      </c>
      <c r="V2871">
        <v>-0.2385263</v>
      </c>
      <c r="W2871">
        <v>0.16663210000000001</v>
      </c>
      <c r="X2871">
        <v>0.95673350000000001</v>
      </c>
      <c r="Y2871">
        <v>-0.4240565</v>
      </c>
      <c r="Z2871">
        <v>6.1694769999999996E-3</v>
      </c>
      <c r="AA2871">
        <v>0.90561469999999999</v>
      </c>
      <c r="AB2871">
        <v>21</v>
      </c>
      <c r="AC2871">
        <v>-5.54269999999996</v>
      </c>
      <c r="AD2871">
        <v>-1.1181656728309901</v>
      </c>
      <c r="AE2871">
        <v>-38.2624</v>
      </c>
      <c r="AF2871">
        <v>-16.424133714226201</v>
      </c>
      <c r="AG2871">
        <v>-1.1181656728309901</v>
      </c>
      <c r="AH2871">
        <v>34.964026567854503</v>
      </c>
      <c r="AI2871">
        <v>91.658016622899396</v>
      </c>
      <c r="AJ2871">
        <v>115.16149876689001</v>
      </c>
      <c r="AK2871">
        <v>38.645641624539202</v>
      </c>
      <c r="AL2871">
        <v>80.407940591312993</v>
      </c>
      <c r="AM2871">
        <v>103.99920203468101</v>
      </c>
      <c r="AN2871">
        <v>1.00000002128217</v>
      </c>
    </row>
    <row r="2872" spans="1:40" x14ac:dyDescent="0.25">
      <c r="A2872" t="str">
        <f>"20190304155112830"</f>
        <v>20190304155112830</v>
      </c>
      <c r="B2872" t="str">
        <f>"1551685872819891"</f>
        <v>1551685872819891</v>
      </c>
      <c r="C2872" t="s">
        <v>40</v>
      </c>
      <c r="D2872">
        <v>4.3098130000000001</v>
      </c>
      <c r="E2872">
        <v>0.42014580000000001</v>
      </c>
      <c r="F2872" t="s">
        <v>41</v>
      </c>
      <c r="G2872">
        <v>-494.78899999999999</v>
      </c>
      <c r="H2872" s="1">
        <v>-3.5824350000000001E-6</v>
      </c>
      <c r="I2872">
        <v>235.01769999999999</v>
      </c>
      <c r="J2872">
        <v>-489.45339999999999</v>
      </c>
      <c r="K2872">
        <v>1.1181449999999999</v>
      </c>
      <c r="L2872">
        <v>273.36610000000002</v>
      </c>
      <c r="M2872">
        <v>-0.5443981</v>
      </c>
      <c r="N2872">
        <v>-1.501305E-2</v>
      </c>
      <c r="O2872">
        <v>-0.83869269999999996</v>
      </c>
      <c r="P2872">
        <v>-0.32562329999999901</v>
      </c>
      <c r="Q2872">
        <v>0.1565349</v>
      </c>
      <c r="R2872">
        <v>-0.93245199999999995</v>
      </c>
      <c r="S2872">
        <v>-0.43276979999999998</v>
      </c>
      <c r="T2872">
        <v>-8.9726810000000004E-2</v>
      </c>
      <c r="U2872">
        <v>-3.0854189999999999</v>
      </c>
      <c r="V2872">
        <v>-0.23761869999999999</v>
      </c>
      <c r="W2872">
        <v>0.166634</v>
      </c>
      <c r="X2872">
        <v>0.95695889999999995</v>
      </c>
      <c r="Y2872">
        <v>-0.42251470000000002</v>
      </c>
      <c r="Z2872">
        <v>6.2710600000000002E-3</v>
      </c>
      <c r="AA2872">
        <v>0.90633439999999998</v>
      </c>
      <c r="AB2872">
        <v>21</v>
      </c>
      <c r="AC2872">
        <v>-5.3356000000000003</v>
      </c>
      <c r="AD2872">
        <v>-1.1181485824349999</v>
      </c>
      <c r="AE2872">
        <v>-38.348399999999998</v>
      </c>
      <c r="AF2872">
        <v>-16.390045351810901</v>
      </c>
      <c r="AG2872">
        <v>-1.1181485824349999</v>
      </c>
      <c r="AH2872">
        <v>35.041938238772303</v>
      </c>
      <c r="AI2872">
        <v>91.655589217458001</v>
      </c>
      <c r="AJ2872">
        <v>115.066740787933</v>
      </c>
      <c r="AK2872">
        <v>38.701696066409703</v>
      </c>
      <c r="AL2872">
        <v>80.407829364023499</v>
      </c>
      <c r="AM2872">
        <v>103.944860999569</v>
      </c>
      <c r="AN2872">
        <v>0.999999936417447</v>
      </c>
    </row>
    <row r="2873" spans="1:40" x14ac:dyDescent="0.25">
      <c r="A2873" t="str">
        <f>"20190304155112841"</f>
        <v>20190304155112841</v>
      </c>
      <c r="B2873" t="str">
        <f>"1551685872829652"</f>
        <v>1551685872829652</v>
      </c>
      <c r="C2873" t="s">
        <v>40</v>
      </c>
      <c r="D2873">
        <v>4.4857060000000004</v>
      </c>
      <c r="E2873">
        <v>0.42219649999999997</v>
      </c>
      <c r="F2873" t="s">
        <v>41</v>
      </c>
      <c r="G2873">
        <v>-494.64879999999999</v>
      </c>
      <c r="H2873" s="1">
        <v>-3.315674E-6</v>
      </c>
      <c r="I2873">
        <v>234.43469999999999</v>
      </c>
      <c r="J2873">
        <v>-489.50310000000002</v>
      </c>
      <c r="K2873">
        <v>1.118125</v>
      </c>
      <c r="L2873">
        <v>273.27640000000002</v>
      </c>
      <c r="M2873">
        <v>-0.53903190000000001</v>
      </c>
      <c r="N2873">
        <v>-1.5013479999999999E-2</v>
      </c>
      <c r="O2873">
        <v>-0.8421516</v>
      </c>
      <c r="P2873">
        <v>-0.3201119</v>
      </c>
      <c r="Q2873">
        <v>0.1566835</v>
      </c>
      <c r="R2873">
        <v>-0.93433319999999997</v>
      </c>
      <c r="S2873">
        <v>-0.4121399</v>
      </c>
      <c r="T2873">
        <v>-8.8699459999999994E-2</v>
      </c>
      <c r="U2873">
        <v>-3.0883180000000001</v>
      </c>
      <c r="V2873">
        <v>-0.23713999999999999</v>
      </c>
      <c r="W2873">
        <v>0.16680229999999999</v>
      </c>
      <c r="X2873">
        <v>0.95704840000000002</v>
      </c>
      <c r="Y2873">
        <v>-0.42278890000000002</v>
      </c>
      <c r="Z2873">
        <v>6.1280379999999997E-3</v>
      </c>
      <c r="AA2873">
        <v>0.9062074</v>
      </c>
      <c r="AB2873">
        <v>21</v>
      </c>
      <c r="AC2873">
        <v>-5.1456999999999704</v>
      </c>
      <c r="AD2873">
        <v>-1.1181283156739901</v>
      </c>
      <c r="AE2873">
        <v>-38.841700000000003</v>
      </c>
      <c r="AF2873">
        <v>-16.591814345526601</v>
      </c>
      <c r="AG2873">
        <v>-1.1181283156739901</v>
      </c>
      <c r="AH2873">
        <v>35.459416427742497</v>
      </c>
      <c r="AI2873">
        <v>91.635963205760902</v>
      </c>
      <c r="AJ2873">
        <v>115.075362169187</v>
      </c>
      <c r="AK2873">
        <v>39.165146847711299</v>
      </c>
      <c r="AL2873">
        <v>80.398050358400695</v>
      </c>
      <c r="AM2873">
        <v>103.916610287506</v>
      </c>
      <c r="AN2873">
        <v>1.00000001341392</v>
      </c>
    </row>
    <row r="2874" spans="1:40" x14ac:dyDescent="0.25">
      <c r="A2874" t="str">
        <f>"20190304155112853"</f>
        <v>20190304155112853</v>
      </c>
      <c r="B2874" t="str">
        <f>"1551685872849172"</f>
        <v>1551685872849172</v>
      </c>
      <c r="C2874" t="s">
        <v>40</v>
      </c>
      <c r="D2874">
        <v>4.5004109999999997</v>
      </c>
      <c r="E2874">
        <v>0.42304419999999998</v>
      </c>
      <c r="F2874" t="s">
        <v>41</v>
      </c>
      <c r="G2874">
        <v>-493.97500000000002</v>
      </c>
      <c r="H2874" s="1">
        <v>-4.9701559999999999E-6</v>
      </c>
      <c r="I2874">
        <v>239.51990000000001</v>
      </c>
      <c r="J2874">
        <v>-489.55239999999998</v>
      </c>
      <c r="K2874">
        <v>1.1181099999999999</v>
      </c>
      <c r="L2874">
        <v>273.18619999999999</v>
      </c>
      <c r="M2874">
        <v>-0.53363760000000005</v>
      </c>
      <c r="N2874">
        <v>-1.501362E-2</v>
      </c>
      <c r="O2874">
        <v>-0.845579999999999</v>
      </c>
      <c r="P2874">
        <v>-0.31435679999999999</v>
      </c>
      <c r="Q2874">
        <v>0.15688669999999999</v>
      </c>
      <c r="R2874">
        <v>-0.93625119999999895</v>
      </c>
      <c r="S2874">
        <v>-0.40905760000000002</v>
      </c>
      <c r="T2874">
        <v>-0.1022793</v>
      </c>
      <c r="U2874">
        <v>-3.0878299999999999</v>
      </c>
      <c r="V2874">
        <v>-0.23688919999999999</v>
      </c>
      <c r="W2874">
        <v>0.16702049999999999</v>
      </c>
      <c r="X2874">
        <v>0.95707240000000005</v>
      </c>
      <c r="Y2874">
        <v>-0.4178482</v>
      </c>
      <c r="Z2874">
        <v>9.4729889999999994E-3</v>
      </c>
      <c r="AA2874">
        <v>0.90846749999999998</v>
      </c>
      <c r="AB2874">
        <v>21</v>
      </c>
      <c r="AC2874">
        <v>-4.4226000000000401</v>
      </c>
      <c r="AD2874">
        <v>-1.118114970156</v>
      </c>
      <c r="AE2874">
        <v>-33.6662999999999</v>
      </c>
      <c r="AF2874">
        <v>-14.212134496091499</v>
      </c>
      <c r="AG2874">
        <v>-1.118114970156</v>
      </c>
      <c r="AH2874">
        <v>30.797695988555098</v>
      </c>
      <c r="AI2874">
        <v>91.888042582883401</v>
      </c>
      <c r="AJ2874">
        <v>114.771786715828</v>
      </c>
      <c r="AK2874">
        <v>33.937192373927203</v>
      </c>
      <c r="AL2874">
        <v>80.385370024116497</v>
      </c>
      <c r="AM2874">
        <v>103.902128155756</v>
      </c>
      <c r="AN2874">
        <v>0.99999995966932398</v>
      </c>
    </row>
    <row r="2875" spans="1:40" x14ac:dyDescent="0.25">
      <c r="A2875" t="str">
        <f>"20190304155112864"</f>
        <v>20190304155112864</v>
      </c>
      <c r="B2875" t="str">
        <f>"1551685872859908"</f>
        <v>1551685872859908</v>
      </c>
      <c r="C2875" t="s">
        <v>40</v>
      </c>
      <c r="D2875">
        <v>4.5092460000000001</v>
      </c>
      <c r="E2875">
        <v>0.42330879999999999</v>
      </c>
      <c r="F2875" t="s">
        <v>41</v>
      </c>
      <c r="G2875">
        <v>-493.85379999999998</v>
      </c>
      <c r="H2875" s="1">
        <v>-1.0499000000000001E-6</v>
      </c>
      <c r="I2875">
        <v>239.64619999999999</v>
      </c>
      <c r="J2875">
        <v>-489.60520000000002</v>
      </c>
      <c r="K2875">
        <v>1.118093</v>
      </c>
      <c r="L2875">
        <v>273.0883</v>
      </c>
      <c r="M2875">
        <v>-0.52777759999999996</v>
      </c>
      <c r="N2875">
        <v>-1.501331E-2</v>
      </c>
      <c r="O2875">
        <v>-0.8492499</v>
      </c>
      <c r="P2875">
        <v>-0.30785190000000001</v>
      </c>
      <c r="Q2875">
        <v>0.15757989999999999</v>
      </c>
      <c r="R2875">
        <v>-0.93829399999999996</v>
      </c>
      <c r="S2875">
        <v>-0.39608759999999998</v>
      </c>
      <c r="T2875">
        <v>-0.1029602</v>
      </c>
      <c r="U2875">
        <v>-3.0885009999999999</v>
      </c>
      <c r="V2875">
        <v>-0.23685610000000001</v>
      </c>
      <c r="W2875">
        <v>0.16772290000000001</v>
      </c>
      <c r="X2875">
        <v>0.95695779999999997</v>
      </c>
      <c r="Y2875">
        <v>-0.4153424</v>
      </c>
      <c r="Z2875">
        <v>9.8047689999999996E-3</v>
      </c>
      <c r="AA2875">
        <v>0.90961230000000004</v>
      </c>
      <c r="AB2875">
        <v>21</v>
      </c>
      <c r="AC2875">
        <v>-4.24859999999995</v>
      </c>
      <c r="AD2875">
        <v>-1.1180940499000001</v>
      </c>
      <c r="AE2875">
        <v>-33.442100000000003</v>
      </c>
      <c r="AF2875">
        <v>-14.0280193736023</v>
      </c>
      <c r="AG2875">
        <v>-1.1180940499000001</v>
      </c>
      <c r="AH2875">
        <v>30.612794348718399</v>
      </c>
      <c r="AI2875">
        <v>91.901728907072396</v>
      </c>
      <c r="AJ2875">
        <v>114.619164696124</v>
      </c>
      <c r="AK2875">
        <v>33.692412197518799</v>
      </c>
      <c r="AL2875">
        <v>80.344550110982894</v>
      </c>
      <c r="AM2875">
        <v>103.901861031466</v>
      </c>
      <c r="AN2875">
        <v>1.0000000071362201</v>
      </c>
    </row>
    <row r="2876" spans="1:40" x14ac:dyDescent="0.25">
      <c r="A2876" t="str">
        <f>"20190304155112881"</f>
        <v>20190304155112881</v>
      </c>
      <c r="B2876" t="str">
        <f>"1551685872869668"</f>
        <v>1551685872869668</v>
      </c>
      <c r="C2876" t="s">
        <v>40</v>
      </c>
      <c r="D2876">
        <v>4.5317150000000002</v>
      </c>
      <c r="E2876">
        <v>0.42363600000000001</v>
      </c>
      <c r="F2876" t="s">
        <v>41</v>
      </c>
      <c r="G2876">
        <v>-493.7353</v>
      </c>
      <c r="H2876" s="1">
        <v>-4.7972030000000003E-6</v>
      </c>
      <c r="I2876">
        <v>239.13659999999999</v>
      </c>
      <c r="J2876">
        <v>-489.6746</v>
      </c>
      <c r="K2876">
        <v>1.1180730000000001</v>
      </c>
      <c r="L2876">
        <v>272.95670000000001</v>
      </c>
      <c r="M2876">
        <v>-0.51990559999999997</v>
      </c>
      <c r="N2876">
        <v>-1.5012090000000001E-2</v>
      </c>
      <c r="O2876">
        <v>-0.85409190000000001</v>
      </c>
      <c r="P2876">
        <v>-0.29888480000000001</v>
      </c>
      <c r="Q2876">
        <v>0.1583849</v>
      </c>
      <c r="R2876">
        <v>-0.94105399999999995</v>
      </c>
      <c r="S2876">
        <v>-0.37600709999999998</v>
      </c>
      <c r="T2876">
        <v>-0.10179390000000001</v>
      </c>
      <c r="U2876">
        <v>-3.0910340000000001</v>
      </c>
      <c r="V2876">
        <v>-0.23707690000000001</v>
      </c>
      <c r="W2876">
        <v>0.16853460000000001</v>
      </c>
      <c r="X2876">
        <v>0.95676050000000001</v>
      </c>
      <c r="Y2876">
        <v>-0.41284880000000002</v>
      </c>
      <c r="Z2876">
        <v>9.7336609999999994E-3</v>
      </c>
      <c r="AA2876">
        <v>0.91074750000000004</v>
      </c>
      <c r="AB2876">
        <v>21</v>
      </c>
      <c r="AC2876">
        <v>-4.06069999999999</v>
      </c>
      <c r="AD2876">
        <v>-1.1180777972029901</v>
      </c>
      <c r="AE2876">
        <v>-33.820099999999996</v>
      </c>
      <c r="AF2876">
        <v>-14.101445045266299</v>
      </c>
      <c r="AG2876">
        <v>-1.1180777972029901</v>
      </c>
      <c r="AH2876">
        <v>30.966781153268599</v>
      </c>
      <c r="AI2876">
        <v>91.882015069067705</v>
      </c>
      <c r="AJ2876">
        <v>114.483252215628</v>
      </c>
      <c r="AK2876">
        <v>34.0447115617051</v>
      </c>
      <c r="AL2876">
        <v>80.297371580008303</v>
      </c>
      <c r="AM2876">
        <v>103.917075006522</v>
      </c>
      <c r="AN2876">
        <v>1.0000000111355001</v>
      </c>
    </row>
    <row r="2877" spans="1:40" x14ac:dyDescent="0.25">
      <c r="A2877" t="str">
        <f>"20190304155112892"</f>
        <v>20190304155112892</v>
      </c>
      <c r="B2877" t="str">
        <f>"1551685872889187"</f>
        <v>1551685872889187</v>
      </c>
      <c r="C2877" t="s">
        <v>40</v>
      </c>
      <c r="D2877">
        <v>4.4794799999999997</v>
      </c>
      <c r="E2877">
        <v>0.42468610000000001</v>
      </c>
      <c r="F2877" t="s">
        <v>41</v>
      </c>
      <c r="G2877">
        <v>-493.5446</v>
      </c>
      <c r="H2877" s="1">
        <v>-4.6101339999999998E-6</v>
      </c>
      <c r="I2877">
        <v>238.68620000000001</v>
      </c>
      <c r="J2877">
        <v>-489.72280000000001</v>
      </c>
      <c r="K2877">
        <v>1.118058</v>
      </c>
      <c r="L2877">
        <v>272.86360000000002</v>
      </c>
      <c r="M2877">
        <v>-0.51433300000000004</v>
      </c>
      <c r="N2877">
        <v>-1.501095E-2</v>
      </c>
      <c r="O2877">
        <v>-0.85745919999999898</v>
      </c>
      <c r="P2877">
        <v>-0.292597099999999</v>
      </c>
      <c r="Q2877">
        <v>0.15864890000000001</v>
      </c>
      <c r="R2877">
        <v>-0.94298340000000003</v>
      </c>
      <c r="S2877">
        <v>-0.34939579999999998</v>
      </c>
      <c r="T2877">
        <v>-0.1009419</v>
      </c>
      <c r="U2877">
        <v>-3.0939939999999999</v>
      </c>
      <c r="V2877">
        <v>-0.23720810000000001</v>
      </c>
      <c r="W2877">
        <v>0.16880390000000001</v>
      </c>
      <c r="X2877">
        <v>0.95668050000000004</v>
      </c>
      <c r="Y2877">
        <v>-0.41474889999999998</v>
      </c>
      <c r="Z2877">
        <v>9.6222510000000001E-3</v>
      </c>
      <c r="AA2877">
        <v>0.90988500000000005</v>
      </c>
      <c r="AB2877">
        <v>21</v>
      </c>
      <c r="AC2877">
        <v>-3.8217999999999899</v>
      </c>
      <c r="AD2877">
        <v>-1.1180626101340001</v>
      </c>
      <c r="AE2877">
        <v>-34.177399999999999</v>
      </c>
      <c r="AF2877">
        <v>-14.288036497646599</v>
      </c>
      <c r="AG2877">
        <v>-1.1180626101340001</v>
      </c>
      <c r="AH2877">
        <v>31.241905659783299</v>
      </c>
      <c r="AI2877">
        <v>91.864046883288395</v>
      </c>
      <c r="AJ2877">
        <v>114.57630635064</v>
      </c>
      <c r="AK2877">
        <v>34.372295824007203</v>
      </c>
      <c r="AL2877">
        <v>80.281717527988903</v>
      </c>
      <c r="AM2877">
        <v>103.925596277363</v>
      </c>
      <c r="AN2877">
        <v>1.0000000092205299</v>
      </c>
    </row>
    <row r="2878" spans="1:40" x14ac:dyDescent="0.25">
      <c r="A2878" t="str">
        <f>"20190304155112903"</f>
        <v>20190304155112903</v>
      </c>
      <c r="B2878" t="str">
        <f>"1551685872899924"</f>
        <v>1551685872899924</v>
      </c>
      <c r="C2878" t="s">
        <v>40</v>
      </c>
      <c r="D2878">
        <v>4.4663300000000001</v>
      </c>
      <c r="E2878">
        <v>0.4252379</v>
      </c>
      <c r="F2878" t="s">
        <v>41</v>
      </c>
      <c r="G2878">
        <v>-493.36500000000001</v>
      </c>
      <c r="H2878" s="1">
        <v>-4.817192E-6</v>
      </c>
      <c r="I2878">
        <v>239.38829999999999</v>
      </c>
      <c r="J2878">
        <v>-489.77210000000002</v>
      </c>
      <c r="K2878">
        <v>1.1180460000000001</v>
      </c>
      <c r="L2878">
        <v>272.76690000000002</v>
      </c>
      <c r="M2878">
        <v>-0.50853870000000001</v>
      </c>
      <c r="N2878">
        <v>-1.5009389999999999E-2</v>
      </c>
      <c r="O2878">
        <v>-0.86090840000000002</v>
      </c>
      <c r="P2878">
        <v>-0.2864063</v>
      </c>
      <c r="Q2878">
        <v>0.15878829999999999</v>
      </c>
      <c r="R2878">
        <v>-0.94485870000000005</v>
      </c>
      <c r="S2878">
        <v>-0.33666990000000002</v>
      </c>
      <c r="T2878">
        <v>-0.10334939999999999</v>
      </c>
      <c r="U2878">
        <v>-3.0943299999999998</v>
      </c>
      <c r="V2878">
        <v>-0.23701349999999999</v>
      </c>
      <c r="W2878">
        <v>0.168955299999999</v>
      </c>
      <c r="X2878">
        <v>0.95670200000000005</v>
      </c>
      <c r="Y2878">
        <v>-0.41231780000000001</v>
      </c>
      <c r="Z2878">
        <v>1.0366E-2</v>
      </c>
      <c r="AA2878">
        <v>0.91098109999999999</v>
      </c>
      <c r="AB2878">
        <v>21</v>
      </c>
      <c r="AC2878">
        <v>-3.5928999999999802</v>
      </c>
      <c r="AD2878">
        <v>-1.1180508171919901</v>
      </c>
      <c r="AE2878">
        <v>-33.378599999999999</v>
      </c>
      <c r="AF2878">
        <v>-13.8673340456176</v>
      </c>
      <c r="AG2878">
        <v>-1.1180508171919901</v>
      </c>
      <c r="AH2878">
        <v>30.5326217808222</v>
      </c>
      <c r="AI2878">
        <v>91.9095679519897</v>
      </c>
      <c r="AJ2878">
        <v>114.426642213676</v>
      </c>
      <c r="AK2878">
        <v>33.552853589125803</v>
      </c>
      <c r="AL2878">
        <v>80.272916491168701</v>
      </c>
      <c r="AM2878">
        <v>103.91431558470801</v>
      </c>
      <c r="AN2878">
        <v>1.00000000469217</v>
      </c>
    </row>
    <row r="2879" spans="1:40" x14ac:dyDescent="0.25">
      <c r="A2879" t="str">
        <f>"20190304155112915"</f>
        <v>20190304155112915</v>
      </c>
      <c r="B2879" t="str">
        <f>"1551685872909684"</f>
        <v>1551685872909684</v>
      </c>
      <c r="C2879" t="s">
        <v>40</v>
      </c>
      <c r="D2879">
        <v>4.4684489999999997</v>
      </c>
      <c r="E2879">
        <v>0.42592869999999999</v>
      </c>
      <c r="F2879" t="s">
        <v>41</v>
      </c>
      <c r="G2879">
        <v>-493.22489999999999</v>
      </c>
      <c r="H2879" s="1">
        <v>-4.7964000000000004E-6</v>
      </c>
      <c r="I2879">
        <v>239.40020000000001</v>
      </c>
      <c r="J2879">
        <v>-489.81909999999999</v>
      </c>
      <c r="K2879">
        <v>1.1180300000000001</v>
      </c>
      <c r="L2879">
        <v>272.67290000000003</v>
      </c>
      <c r="M2879">
        <v>-0.50290970000000002</v>
      </c>
      <c r="N2879">
        <v>-1.500751E-2</v>
      </c>
      <c r="O2879">
        <v>-0.86420869999999905</v>
      </c>
      <c r="P2879">
        <v>-0.28055409999999997</v>
      </c>
      <c r="Q2879">
        <v>0.15925349999999999</v>
      </c>
      <c r="R2879">
        <v>-0.9465346</v>
      </c>
      <c r="S2879">
        <v>-0.3203125</v>
      </c>
      <c r="T2879">
        <v>-0.103719699999999</v>
      </c>
      <c r="U2879">
        <v>-3.095367</v>
      </c>
      <c r="V2879">
        <v>-0.23665159999999999</v>
      </c>
      <c r="W2879">
        <v>0.16943510000000001</v>
      </c>
      <c r="X2879">
        <v>0.95670679999999997</v>
      </c>
      <c r="Y2879">
        <v>-0.41116619999999998</v>
      </c>
      <c r="Z2879">
        <v>1.0597870000000001E-2</v>
      </c>
      <c r="AA2879">
        <v>0.91149880000000005</v>
      </c>
      <c r="AB2879">
        <v>21</v>
      </c>
      <c r="AC2879">
        <v>-3.4058000000000002</v>
      </c>
      <c r="AD2879">
        <v>-1.1180347963999999</v>
      </c>
      <c r="AE2879">
        <v>-33.2727</v>
      </c>
      <c r="AF2879">
        <v>-13.7760010082715</v>
      </c>
      <c r="AG2879">
        <v>-1.1180347963999999</v>
      </c>
      <c r="AH2879">
        <v>30.4367872081176</v>
      </c>
      <c r="AI2879">
        <v>91.916679628359802</v>
      </c>
      <c r="AJ2879">
        <v>114.351993563021</v>
      </c>
      <c r="AK2879">
        <v>33.427925767808098</v>
      </c>
      <c r="AL2879">
        <v>80.245024449380594</v>
      </c>
      <c r="AM2879">
        <v>103.89382631060001</v>
      </c>
      <c r="AN2879">
        <v>1.0000000670303999</v>
      </c>
    </row>
    <row r="2880" spans="1:40" x14ac:dyDescent="0.25">
      <c r="A2880" t="str">
        <f>"20190304155112928"</f>
        <v>20190304155112928</v>
      </c>
      <c r="B2880" t="str">
        <f>"1551685872919444"</f>
        <v>1551685872919444</v>
      </c>
      <c r="C2880" t="s">
        <v>40</v>
      </c>
      <c r="D2880">
        <v>4.4476740000000001</v>
      </c>
      <c r="E2880">
        <v>0.42666159999999997</v>
      </c>
      <c r="F2880" t="s">
        <v>41</v>
      </c>
      <c r="G2880">
        <v>-493.09840000000003</v>
      </c>
      <c r="H2880" s="1">
        <v>-4.8026499999999997E-6</v>
      </c>
      <c r="I2880">
        <v>239.4846</v>
      </c>
      <c r="J2880">
        <v>-489.86950000000002</v>
      </c>
      <c r="K2880">
        <v>1.1180159999999999</v>
      </c>
      <c r="L2880">
        <v>272.5711</v>
      </c>
      <c r="M2880">
        <v>-0.49680780000000002</v>
      </c>
      <c r="N2880">
        <v>-1.500542E-2</v>
      </c>
      <c r="O2880">
        <v>-0.86773080000000002</v>
      </c>
      <c r="P2880">
        <v>-0.2739994</v>
      </c>
      <c r="Q2880">
        <v>0.15949469999999999</v>
      </c>
      <c r="R2880">
        <v>-0.94841220000000004</v>
      </c>
      <c r="S2880">
        <v>-0.30593870000000001</v>
      </c>
      <c r="T2880">
        <v>-0.1043065</v>
      </c>
      <c r="U2880">
        <v>-3.0962830000000001</v>
      </c>
      <c r="V2880">
        <v>-0.23650570000000001</v>
      </c>
      <c r="W2880">
        <v>0.16968649999999999</v>
      </c>
      <c r="X2880">
        <v>0.95669820000000005</v>
      </c>
      <c r="Y2880">
        <v>-0.40895920000000002</v>
      </c>
      <c r="Z2880">
        <v>1.0906030000000001E-2</v>
      </c>
      <c r="AA2880">
        <v>0.91248750000000001</v>
      </c>
      <c r="AB2880">
        <v>21</v>
      </c>
      <c r="AC2880">
        <v>-3.2288999999999999</v>
      </c>
      <c r="AD2880">
        <v>-1.11802080264999</v>
      </c>
      <c r="AE2880">
        <v>-33.086500000000001</v>
      </c>
      <c r="AF2880">
        <v>-13.621944322542101</v>
      </c>
      <c r="AG2880">
        <v>-1.11802080264999</v>
      </c>
      <c r="AH2880">
        <v>30.283480715586201</v>
      </c>
      <c r="AI2880">
        <v>91.928369815460698</v>
      </c>
      <c r="AJ2880">
        <v>114.218899199991</v>
      </c>
      <c r="AK2880">
        <v>33.224938553635802</v>
      </c>
      <c r="AL2880">
        <v>80.230407497546906</v>
      </c>
      <c r="AM2880">
        <v>103.88571208134699</v>
      </c>
      <c r="AN2880">
        <v>0.99999995014898801</v>
      </c>
    </row>
    <row r="2881" spans="1:40" x14ac:dyDescent="0.25">
      <c r="A2881" t="str">
        <f>"20190304155112938"</f>
        <v>20190304155112938</v>
      </c>
      <c r="B2881" t="str">
        <f>"1551685872929204"</f>
        <v>1551685872929204</v>
      </c>
      <c r="C2881" t="s">
        <v>40</v>
      </c>
      <c r="D2881">
        <v>4.4995620000000001</v>
      </c>
      <c r="E2881">
        <v>0.42738520000000002</v>
      </c>
      <c r="F2881" t="s">
        <v>41</v>
      </c>
      <c r="G2881">
        <v>-492.93509999999998</v>
      </c>
      <c r="H2881" s="1">
        <v>-8.7167089999999995E-7</v>
      </c>
      <c r="I2881">
        <v>239.8006</v>
      </c>
      <c r="J2881">
        <v>-489.91770000000002</v>
      </c>
      <c r="K2881">
        <v>1.118004</v>
      </c>
      <c r="L2881">
        <v>272.47089999999997</v>
      </c>
      <c r="M2881">
        <v>-0.49081029999999998</v>
      </c>
      <c r="N2881">
        <v>-1.500306E-2</v>
      </c>
      <c r="O2881">
        <v>-0.87113750000000001</v>
      </c>
      <c r="P2881">
        <v>-0.26760479999999998</v>
      </c>
      <c r="Q2881">
        <v>0.160066299999999</v>
      </c>
      <c r="R2881">
        <v>-0.95014050000000005</v>
      </c>
      <c r="S2881">
        <v>-0.28973389999999999</v>
      </c>
      <c r="T2881">
        <v>-0.10566689999999899</v>
      </c>
      <c r="U2881">
        <v>-3.097229</v>
      </c>
      <c r="V2881">
        <v>-0.2363065</v>
      </c>
      <c r="W2881">
        <v>0.1702678</v>
      </c>
      <c r="X2881">
        <v>0.95664419999999994</v>
      </c>
      <c r="Y2881">
        <v>-0.40742129999999999</v>
      </c>
      <c r="Z2881">
        <v>1.139453E-2</v>
      </c>
      <c r="AA2881">
        <v>0.91316920000000001</v>
      </c>
      <c r="AB2881">
        <v>21</v>
      </c>
      <c r="AC2881">
        <v>-3.0173999999999501</v>
      </c>
      <c r="AD2881">
        <v>-1.1180048716708999</v>
      </c>
      <c r="AE2881">
        <v>-32.670299999999898</v>
      </c>
      <c r="AF2881">
        <v>-13.392305330412199</v>
      </c>
      <c r="AG2881">
        <v>-1.1180048716708999</v>
      </c>
      <c r="AH2881">
        <v>29.9099287928675</v>
      </c>
      <c r="AI2881">
        <v>91.953909043495301</v>
      </c>
      <c r="AJ2881">
        <v>114.120663822194</v>
      </c>
      <c r="AK2881">
        <v>32.790358603566297</v>
      </c>
      <c r="AL2881">
        <v>80.1966101805248</v>
      </c>
      <c r="AM2881">
        <v>103.87522162728401</v>
      </c>
      <c r="AN2881">
        <v>1.00000000552636</v>
      </c>
    </row>
    <row r="2882" spans="1:40" x14ac:dyDescent="0.25">
      <c r="A2882" t="str">
        <f>"20190304155112950"</f>
        <v>20190304155112950</v>
      </c>
      <c r="B2882" t="str">
        <f>"1551685872939943"</f>
        <v>1551685872939943</v>
      </c>
      <c r="C2882" t="s">
        <v>40</v>
      </c>
      <c r="D2882">
        <v>4.4946469999999996</v>
      </c>
      <c r="E2882">
        <v>0.42812080000000002</v>
      </c>
      <c r="F2882" t="s">
        <v>41</v>
      </c>
      <c r="G2882">
        <v>-492.8329</v>
      </c>
      <c r="H2882" s="1">
        <v>-4.7802450000000002E-6</v>
      </c>
      <c r="I2882">
        <v>239.55709999999999</v>
      </c>
      <c r="J2882">
        <v>-489.96010000000001</v>
      </c>
      <c r="K2882">
        <v>1.1179939999999999</v>
      </c>
      <c r="L2882">
        <v>272.38229999999999</v>
      </c>
      <c r="M2882">
        <v>-0.48549369999999997</v>
      </c>
      <c r="N2882">
        <v>-1.500101E-2</v>
      </c>
      <c r="O2882">
        <v>-0.87411139999999998</v>
      </c>
      <c r="P2882">
        <v>-0.26197500000000001</v>
      </c>
      <c r="Q2882">
        <v>0.16074279999999999</v>
      </c>
      <c r="R2882">
        <v>-0.95159389999999999</v>
      </c>
      <c r="S2882">
        <v>-0.2743835</v>
      </c>
      <c r="T2882">
        <v>-0.1052278</v>
      </c>
      <c r="U2882">
        <v>-3.0978699999999999</v>
      </c>
      <c r="V2882">
        <v>-0.23609189999999999</v>
      </c>
      <c r="W2882">
        <v>0.17095279999999999</v>
      </c>
      <c r="X2882">
        <v>0.95657499999999995</v>
      </c>
      <c r="Y2882">
        <v>-0.4063639</v>
      </c>
      <c r="Z2882">
        <v>1.14203E-2</v>
      </c>
      <c r="AA2882">
        <v>0.91364000000000001</v>
      </c>
      <c r="AB2882">
        <v>21</v>
      </c>
      <c r="AC2882">
        <v>-2.8727999999999798</v>
      </c>
      <c r="AD2882">
        <v>-1.117998780245</v>
      </c>
      <c r="AE2882">
        <v>-32.825199999999903</v>
      </c>
      <c r="AF2882">
        <v>-13.411352759197101</v>
      </c>
      <c r="AG2882">
        <v>-1.117998780245</v>
      </c>
      <c r="AH2882">
        <v>30.056393989432799</v>
      </c>
      <c r="AI2882">
        <v>91.945505295325702</v>
      </c>
      <c r="AJ2882">
        <v>114.04673032977399</v>
      </c>
      <c r="AK2882">
        <v>32.9317646619835</v>
      </c>
      <c r="AL2882">
        <v>80.156778407579694</v>
      </c>
      <c r="AM2882">
        <v>103.864071405065</v>
      </c>
      <c r="AN2882">
        <v>0.99999998784922395</v>
      </c>
    </row>
    <row r="2883" spans="1:40" x14ac:dyDescent="0.25">
      <c r="A2883" t="str">
        <f>"20190304155112972"</f>
        <v>20190304155112972</v>
      </c>
      <c r="B2883" t="str">
        <f>"1551685872969220"</f>
        <v>1551685872969220</v>
      </c>
      <c r="C2883" t="s">
        <v>40</v>
      </c>
      <c r="D2883">
        <v>4.5643799999999999</v>
      </c>
      <c r="E2883">
        <v>0.44348340000000003</v>
      </c>
      <c r="F2883" t="s">
        <v>41</v>
      </c>
      <c r="G2883">
        <v>-492.75470000000001</v>
      </c>
      <c r="H2883" s="1">
        <v>-4.6823769999999998E-6</v>
      </c>
      <c r="I2883">
        <v>239.31030000000001</v>
      </c>
      <c r="J2883">
        <v>-490.04239999999999</v>
      </c>
      <c r="K2883">
        <v>1.117966</v>
      </c>
      <c r="L2883">
        <v>272.20479999999998</v>
      </c>
      <c r="M2883">
        <v>-0.47485850000000002</v>
      </c>
      <c r="N2883">
        <v>-1.4996280000000001E-2</v>
      </c>
      <c r="O2883">
        <v>-0.87993429999999995</v>
      </c>
      <c r="P2883">
        <v>-0.25057760000000001</v>
      </c>
      <c r="Q2883">
        <v>0.16206660000000001</v>
      </c>
      <c r="R2883">
        <v>-0.95443460000000002</v>
      </c>
      <c r="S2883">
        <v>-0.2618103</v>
      </c>
      <c r="T2883">
        <v>-0.10473590000000001</v>
      </c>
      <c r="U2883">
        <v>-3.098236</v>
      </c>
      <c r="V2883">
        <v>-0.23583589999999999</v>
      </c>
      <c r="W2883">
        <v>0.1722902</v>
      </c>
      <c r="X2883">
        <v>0.95639819999999998</v>
      </c>
      <c r="Y2883">
        <v>-0.39896569999999998</v>
      </c>
      <c r="Z2883">
        <v>1.162524E-2</v>
      </c>
      <c r="AA2883">
        <v>0.91689219999999905</v>
      </c>
      <c r="AB2883">
        <v>21</v>
      </c>
      <c r="AC2883">
        <v>-2.7123000000000199</v>
      </c>
      <c r="AD2883">
        <v>-1.1179706823769999</v>
      </c>
      <c r="AE2883">
        <v>-32.894499999999901</v>
      </c>
      <c r="AF2883">
        <v>-13.2199093592784</v>
      </c>
      <c r="AG2883">
        <v>-1.1179706823769999</v>
      </c>
      <c r="AH2883">
        <v>30.201709826468502</v>
      </c>
      <c r="AI2883">
        <v>91.942182397944606</v>
      </c>
      <c r="AJ2883">
        <v>113.639983830411</v>
      </c>
      <c r="AK2883">
        <v>32.987257211783998</v>
      </c>
      <c r="AL2883">
        <v>80.078997108950801</v>
      </c>
      <c r="AM2883">
        <v>103.85207898725599</v>
      </c>
      <c r="AN2883">
        <v>1.0000000008540399</v>
      </c>
    </row>
    <row r="2884" spans="1:40" x14ac:dyDescent="0.25">
      <c r="A2884" t="str">
        <f>"20190304155112985"</f>
        <v>20190304155112985</v>
      </c>
      <c r="B2884" t="str">
        <f>"1551685872978979"</f>
        <v>1551685872978979</v>
      </c>
      <c r="C2884" t="s">
        <v>40</v>
      </c>
      <c r="D2884">
        <v>4.5252169999999996</v>
      </c>
      <c r="E2884">
        <v>0.44368030000000003</v>
      </c>
      <c r="F2884" t="s">
        <v>41</v>
      </c>
      <c r="G2884">
        <v>-492.80630000000002</v>
      </c>
      <c r="H2884" s="1">
        <v>-4.1222839999999999E-6</v>
      </c>
      <c r="I2884">
        <v>247.63749999999999</v>
      </c>
      <c r="J2884">
        <v>-490.09589999999997</v>
      </c>
      <c r="K2884">
        <v>1.1179509999999999</v>
      </c>
      <c r="L2884">
        <v>272.08699999999999</v>
      </c>
      <c r="M2884">
        <v>-0.46778520000000001</v>
      </c>
      <c r="N2884">
        <v>-1.499293E-2</v>
      </c>
      <c r="O2884">
        <v>-0.88371520000000003</v>
      </c>
      <c r="P2884">
        <v>-0.2433091</v>
      </c>
      <c r="Q2884">
        <v>0.16213159999999999</v>
      </c>
      <c r="R2884">
        <v>-0.95630219999999999</v>
      </c>
      <c r="S2884">
        <v>-0.34606930000000002</v>
      </c>
      <c r="T2884">
        <v>-0.13998429999999901</v>
      </c>
      <c r="U2884">
        <v>-3.0761409999999998</v>
      </c>
      <c r="V2884">
        <v>-0.235428</v>
      </c>
      <c r="W2884">
        <v>0.17237049999999901</v>
      </c>
      <c r="X2884">
        <v>0.95648420000000001</v>
      </c>
      <c r="Y2884">
        <v>-0.36593569999999997</v>
      </c>
      <c r="Z2884">
        <v>2.1351760000000001E-2</v>
      </c>
      <c r="AA2884">
        <v>0.93039519999999998</v>
      </c>
      <c r="AB2884">
        <v>21</v>
      </c>
      <c r="AC2884">
        <v>-2.7104000000000399</v>
      </c>
      <c r="AD2884">
        <v>-1.1179551222839901</v>
      </c>
      <c r="AE2884">
        <v>-24.4495</v>
      </c>
      <c r="AF2884">
        <v>-9.0242687523666394</v>
      </c>
      <c r="AG2884">
        <v>-1.1179551222839901</v>
      </c>
      <c r="AH2884">
        <v>22.8296948615037</v>
      </c>
      <c r="AI2884">
        <v>92.607478894737397</v>
      </c>
      <c r="AJ2884">
        <v>111.56821516436</v>
      </c>
      <c r="AK2884">
        <v>24.5740150899227</v>
      </c>
      <c r="AL2884">
        <v>80.074326157474999</v>
      </c>
      <c r="AM2884">
        <v>103.827845300465</v>
      </c>
      <c r="AN2884">
        <v>0.99999997865194401</v>
      </c>
    </row>
    <row r="2885" spans="1:40" x14ac:dyDescent="0.25">
      <c r="A2885" t="str">
        <f>"20190304155112999"</f>
        <v>20190304155112999</v>
      </c>
      <c r="B2885" t="str">
        <f>"1551685872989716"</f>
        <v>1551685872989716</v>
      </c>
      <c r="C2885" t="s">
        <v>40</v>
      </c>
      <c r="D2885">
        <v>4.4726710000000001</v>
      </c>
      <c r="E2885">
        <v>0.443828</v>
      </c>
      <c r="F2885" t="s">
        <v>41</v>
      </c>
      <c r="G2885">
        <v>-492.4665</v>
      </c>
      <c r="H2885" s="1">
        <v>-6.7005849999999996E-7</v>
      </c>
      <c r="I2885">
        <v>249.62119999999999</v>
      </c>
      <c r="J2885">
        <v>-490.14600000000002</v>
      </c>
      <c r="K2885">
        <v>1.117931</v>
      </c>
      <c r="L2885">
        <v>271.97359999999998</v>
      </c>
      <c r="M2885">
        <v>-0.46097840000000001</v>
      </c>
      <c r="N2885">
        <v>-1.498676E-2</v>
      </c>
      <c r="O2885">
        <v>-0.88728469999999904</v>
      </c>
      <c r="P2885">
        <v>-0.23649239999999999</v>
      </c>
      <c r="Q2885">
        <v>0.16196060000000001</v>
      </c>
      <c r="R2885">
        <v>-0.95803970000000005</v>
      </c>
      <c r="S2885">
        <v>-0.32504270000000002</v>
      </c>
      <c r="T2885">
        <v>-0.15328559999999999</v>
      </c>
      <c r="U2885">
        <v>-3.0803530000000001</v>
      </c>
      <c r="V2885">
        <v>-0.23488899999999999</v>
      </c>
      <c r="W2885">
        <v>0.17221510000000001</v>
      </c>
      <c r="X2885">
        <v>0.95664470000000001</v>
      </c>
      <c r="Y2885">
        <v>-0.36519459999999998</v>
      </c>
      <c r="Z2885">
        <v>2.4960260000000001E-2</v>
      </c>
      <c r="AA2885">
        <v>0.93059650000000005</v>
      </c>
      <c r="AB2885">
        <v>21</v>
      </c>
      <c r="AC2885">
        <v>-2.3205000000000302</v>
      </c>
      <c r="AD2885">
        <v>-1.1179316700585</v>
      </c>
      <c r="AE2885">
        <v>-22.3523999999999</v>
      </c>
      <c r="AF2885">
        <v>-8.2256001546860205</v>
      </c>
      <c r="AG2885">
        <v>-1.1179316700585</v>
      </c>
      <c r="AH2885">
        <v>20.8533861437515</v>
      </c>
      <c r="AI2885">
        <v>92.8549582106412</v>
      </c>
      <c r="AJ2885">
        <v>111.52671246531899</v>
      </c>
      <c r="AK2885">
        <v>22.4449099526841</v>
      </c>
      <c r="AL2885">
        <v>80.083365130703399</v>
      </c>
      <c r="AM2885">
        <v>103.795171851003</v>
      </c>
      <c r="AN2885">
        <v>0.99999998251354905</v>
      </c>
    </row>
    <row r="2886" spans="1:40" x14ac:dyDescent="0.25">
      <c r="A2886" t="str">
        <f>"20190304155113017"</f>
        <v>20190304155113017</v>
      </c>
      <c r="B2886" t="str">
        <f>"1551685873009235"</f>
        <v>1551685873009235</v>
      </c>
      <c r="C2886" t="s">
        <v>40</v>
      </c>
      <c r="D2886">
        <v>4.4624240000000004</v>
      </c>
      <c r="E2886">
        <v>0.44427030000000001</v>
      </c>
      <c r="F2886" t="s">
        <v>41</v>
      </c>
      <c r="G2886">
        <v>-492.26710000000003</v>
      </c>
      <c r="H2886" s="1">
        <v>-9.929918999999999E-7</v>
      </c>
      <c r="I2886">
        <v>250.49770000000001</v>
      </c>
      <c r="J2886">
        <v>-490.20699999999999</v>
      </c>
      <c r="K2886">
        <v>1.1179030000000001</v>
      </c>
      <c r="L2886">
        <v>271.83249999999998</v>
      </c>
      <c r="M2886">
        <v>-0.4525093</v>
      </c>
      <c r="N2886">
        <v>-1.4976369999999999E-2</v>
      </c>
      <c r="O2886">
        <v>-0.89163400000000004</v>
      </c>
      <c r="P2886">
        <v>-0.22881989999999999</v>
      </c>
      <c r="Q2886">
        <v>0.16100510000000001</v>
      </c>
      <c r="R2886">
        <v>-0.96006199999999997</v>
      </c>
      <c r="S2886">
        <v>-0.3045349</v>
      </c>
      <c r="T2886">
        <v>-0.1605058</v>
      </c>
      <c r="U2886">
        <v>-3.0833740000000001</v>
      </c>
      <c r="V2886">
        <v>-0.23347699999999999</v>
      </c>
      <c r="W2886">
        <v>0.17129440000000001</v>
      </c>
      <c r="X2886">
        <v>0.95715550000000005</v>
      </c>
      <c r="Y2886">
        <v>-0.36254999999999998</v>
      </c>
      <c r="Z2886">
        <v>2.7129159999999999E-2</v>
      </c>
      <c r="AA2886">
        <v>0.93156939999999999</v>
      </c>
      <c r="AB2886">
        <v>21</v>
      </c>
      <c r="AC2886">
        <v>-2.06010000000003</v>
      </c>
      <c r="AD2886">
        <v>-1.1179039929918999</v>
      </c>
      <c r="AE2886">
        <v>-21.334799999999898</v>
      </c>
      <c r="AF2886">
        <v>-7.7970070197914199</v>
      </c>
      <c r="AG2886">
        <v>-1.1179039929918999</v>
      </c>
      <c r="AH2886">
        <v>19.9031436570537</v>
      </c>
      <c r="AI2886">
        <v>92.993695161471393</v>
      </c>
      <c r="AJ2886">
        <v>111.392638772156</v>
      </c>
      <c r="AK2886">
        <v>21.405096478118001</v>
      </c>
      <c r="AL2886">
        <v>80.136912931050205</v>
      </c>
      <c r="AM2886">
        <v>103.708341786468</v>
      </c>
      <c r="AN2886">
        <v>0.99999996609030395</v>
      </c>
    </row>
    <row r="2887" spans="1:40" x14ac:dyDescent="0.25">
      <c r="A2887" t="str">
        <f>"20190304155113028"</f>
        <v>20190304155113028</v>
      </c>
      <c r="B2887" t="str">
        <f>"1551685873018995"</f>
        <v>1551685873018995</v>
      </c>
      <c r="C2887" t="s">
        <v>40</v>
      </c>
      <c r="D2887">
        <v>4.5401129999999998</v>
      </c>
      <c r="E2887">
        <v>0.44469740000000002</v>
      </c>
      <c r="F2887" t="s">
        <v>41</v>
      </c>
      <c r="G2887">
        <v>-492.04660000000001</v>
      </c>
      <c r="H2887" s="1">
        <v>-1.476516E-6</v>
      </c>
      <c r="I2887">
        <v>251.76159999999999</v>
      </c>
      <c r="J2887">
        <v>-490.24950000000001</v>
      </c>
      <c r="K2887">
        <v>1.1178889999999999</v>
      </c>
      <c r="L2887">
        <v>271.7328</v>
      </c>
      <c r="M2887">
        <v>-0.44651479999999999</v>
      </c>
      <c r="N2887">
        <v>-1.496755E-2</v>
      </c>
      <c r="O2887">
        <v>-0.89465119999999898</v>
      </c>
      <c r="P2887">
        <v>-0.2230133</v>
      </c>
      <c r="Q2887">
        <v>0.1608541</v>
      </c>
      <c r="R2887">
        <v>-0.96145259999999999</v>
      </c>
      <c r="S2887">
        <v>-0.28286739999999999</v>
      </c>
      <c r="T2887">
        <v>-0.17189460000000001</v>
      </c>
      <c r="U2887">
        <v>-3.0862120000000002</v>
      </c>
      <c r="V2887">
        <v>-0.2328382</v>
      </c>
      <c r="W2887">
        <v>0.17115720000000001</v>
      </c>
      <c r="X2887">
        <v>0.95733570000000001</v>
      </c>
      <c r="Y2887">
        <v>-0.36285620000000002</v>
      </c>
      <c r="Z2887">
        <v>3.0278449999999998E-2</v>
      </c>
      <c r="AA2887">
        <v>0.93135310000000004</v>
      </c>
      <c r="AB2887">
        <v>21</v>
      </c>
      <c r="AC2887">
        <v>-1.7970999999999999</v>
      </c>
      <c r="AD2887">
        <v>-1.1178904765159901</v>
      </c>
      <c r="AE2887">
        <v>-19.9712</v>
      </c>
      <c r="AF2887">
        <v>-7.28782574265077</v>
      </c>
      <c r="AG2887">
        <v>-1.1178904765159901</v>
      </c>
      <c r="AH2887">
        <v>18.6139259601185</v>
      </c>
      <c r="AI2887">
        <v>93.200826312028695</v>
      </c>
      <c r="AJ2887">
        <v>111.38160750567501</v>
      </c>
      <c r="AK2887">
        <v>20.0209970486362</v>
      </c>
      <c r="AL2887">
        <v>80.144892366016293</v>
      </c>
      <c r="AM2887">
        <v>103.669767870781</v>
      </c>
      <c r="AN2887">
        <v>1.0000000284927799</v>
      </c>
    </row>
    <row r="2888" spans="1:40" x14ac:dyDescent="0.25">
      <c r="A2888" t="str">
        <f>"20190304155113039"</f>
        <v>20190304155113039</v>
      </c>
      <c r="B2888" t="str">
        <f>"1551685873029732"</f>
        <v>1551685873029732</v>
      </c>
      <c r="C2888" t="s">
        <v>40</v>
      </c>
      <c r="D2888">
        <v>4.7701750000000001</v>
      </c>
      <c r="E2888">
        <v>0.44480789999999998</v>
      </c>
      <c r="F2888" t="s">
        <v>41</v>
      </c>
      <c r="G2888">
        <v>-491.95229999999998</v>
      </c>
      <c r="H2888" s="1">
        <v>-1.6031139999999999E-6</v>
      </c>
      <c r="I2888">
        <v>252.11510000000001</v>
      </c>
      <c r="J2888">
        <v>-490.2921</v>
      </c>
      <c r="K2888">
        <v>1.1178699999999999</v>
      </c>
      <c r="L2888">
        <v>271.62950000000001</v>
      </c>
      <c r="M2888">
        <v>-0.44032019999999999</v>
      </c>
      <c r="N2888">
        <v>-1.495729E-2</v>
      </c>
      <c r="O2888">
        <v>-0.89771639999999997</v>
      </c>
      <c r="P2888">
        <v>-0.21689549999999999</v>
      </c>
      <c r="Q2888">
        <v>0.16073519999999999</v>
      </c>
      <c r="R2888">
        <v>-0.96287100000000003</v>
      </c>
      <c r="S2888">
        <v>-0.2680054</v>
      </c>
      <c r="T2888">
        <v>-0.1759386</v>
      </c>
      <c r="U2888">
        <v>-3.0875240000000002</v>
      </c>
      <c r="V2888">
        <v>-0.2323057</v>
      </c>
      <c r="W2888">
        <v>0.17105010000000001</v>
      </c>
      <c r="X2888">
        <v>0.95748420000000001</v>
      </c>
      <c r="Y2888">
        <v>-0.36089909999999997</v>
      </c>
      <c r="Z2888">
        <v>3.158851E-2</v>
      </c>
      <c r="AA2888">
        <v>0.93206979999999995</v>
      </c>
      <c r="AB2888">
        <v>21</v>
      </c>
      <c r="AC2888">
        <v>-1.6601999999999699</v>
      </c>
      <c r="AD2888">
        <v>-1.1178716031139999</v>
      </c>
      <c r="AE2888">
        <v>-19.514399999999899</v>
      </c>
      <c r="AF2888">
        <v>-7.0799232685124602</v>
      </c>
      <c r="AG2888">
        <v>-1.1178716031139999</v>
      </c>
      <c r="AH2888">
        <v>18.192186369677199</v>
      </c>
      <c r="AI2888">
        <v>93.277418447644393</v>
      </c>
      <c r="AJ2888">
        <v>111.26468652960899</v>
      </c>
      <c r="AK2888">
        <v>19.553275820643002</v>
      </c>
      <c r="AL2888">
        <v>80.151120647086799</v>
      </c>
      <c r="AM2888">
        <v>103.637637816189</v>
      </c>
      <c r="AN2888">
        <v>1.00000003410606</v>
      </c>
    </row>
    <row r="2889" spans="1:40" x14ac:dyDescent="0.25">
      <c r="A2889" t="str">
        <f>"20190304155113052"</f>
        <v>20190304155113052</v>
      </c>
      <c r="B2889" t="str">
        <f>"1551685873049252"</f>
        <v>1551685873049252</v>
      </c>
      <c r="C2889" t="s">
        <v>40</v>
      </c>
      <c r="D2889">
        <v>4.5784979999999997</v>
      </c>
      <c r="E2889">
        <v>0.44571319999999998</v>
      </c>
      <c r="F2889" t="s">
        <v>41</v>
      </c>
      <c r="G2889">
        <v>-491.81180000000001</v>
      </c>
      <c r="H2889" s="1">
        <v>-1.8479980000000001E-6</v>
      </c>
      <c r="I2889">
        <v>252.7731</v>
      </c>
      <c r="J2889">
        <v>-490.33260000000001</v>
      </c>
      <c r="K2889">
        <v>1.117853</v>
      </c>
      <c r="L2889">
        <v>271.53030000000001</v>
      </c>
      <c r="M2889">
        <v>-0.43436029999999998</v>
      </c>
      <c r="N2889">
        <v>-1.494674E-2</v>
      </c>
      <c r="O2889">
        <v>-0.90061519999999995</v>
      </c>
      <c r="P2889">
        <v>-0.21110300000000001</v>
      </c>
      <c r="Q2889">
        <v>0.16077169999999999</v>
      </c>
      <c r="R2889">
        <v>-0.9641516</v>
      </c>
      <c r="S2889">
        <v>-0.249054</v>
      </c>
      <c r="T2889">
        <v>-0.18319750000000001</v>
      </c>
      <c r="U2889">
        <v>-3.0902099999999999</v>
      </c>
      <c r="V2889">
        <v>-0.2317042</v>
      </c>
      <c r="W2889">
        <v>0.1710989</v>
      </c>
      <c r="X2889">
        <v>0.95762119999999995</v>
      </c>
      <c r="Y2889">
        <v>-0.36046210000000001</v>
      </c>
      <c r="Z2889">
        <v>3.3702559999999999E-2</v>
      </c>
      <c r="AA2889">
        <v>0.93216480000000002</v>
      </c>
      <c r="AB2889">
        <v>21</v>
      </c>
      <c r="AC2889">
        <v>-1.4791999999999901</v>
      </c>
      <c r="AD2889">
        <v>-1.1178548479979999</v>
      </c>
      <c r="AE2889">
        <v>-18.757200000000001</v>
      </c>
      <c r="AF2889">
        <v>-6.79198046739607</v>
      </c>
      <c r="AG2889">
        <v>-1.1178548479979999</v>
      </c>
      <c r="AH2889">
        <v>17.475799185097301</v>
      </c>
      <c r="AI2889">
        <v>93.412009497234493</v>
      </c>
      <c r="AJ2889">
        <v>111.238646946282</v>
      </c>
      <c r="AK2889">
        <v>18.782549222310799</v>
      </c>
      <c r="AL2889">
        <v>80.148282600216106</v>
      </c>
      <c r="AM2889">
        <v>103.60176632266101</v>
      </c>
      <c r="AN2889">
        <v>1.00000001628414</v>
      </c>
    </row>
    <row r="2890" spans="1:40" x14ac:dyDescent="0.25">
      <c r="A2890" t="str">
        <f>"20190304155113063"</f>
        <v>20190304155113063</v>
      </c>
      <c r="B2890" t="str">
        <f>"1551685873059014"</f>
        <v>1551685873059014</v>
      </c>
      <c r="C2890" t="s">
        <v>40</v>
      </c>
      <c r="D2890">
        <v>4.7297940000000001</v>
      </c>
      <c r="E2890">
        <v>0.44607619999999998</v>
      </c>
      <c r="F2890" t="s">
        <v>41</v>
      </c>
      <c r="G2890">
        <v>-491.7312</v>
      </c>
      <c r="H2890" s="1">
        <v>-2.0707049999999999E-6</v>
      </c>
      <c r="I2890">
        <v>253.34229999999999</v>
      </c>
      <c r="J2890">
        <v>-490.37279999999998</v>
      </c>
      <c r="K2890">
        <v>1.1178349999999999</v>
      </c>
      <c r="L2890">
        <v>271.42970000000003</v>
      </c>
      <c r="M2890">
        <v>-0.4283227</v>
      </c>
      <c r="N2890">
        <v>-1.4934640000000001E-2</v>
      </c>
      <c r="O2890">
        <v>-0.90350260000000004</v>
      </c>
      <c r="P2890">
        <v>-0.20492769999999999</v>
      </c>
      <c r="Q2890">
        <v>0.1609409</v>
      </c>
      <c r="R2890">
        <v>-0.9654549</v>
      </c>
      <c r="S2890">
        <v>-0.23770140000000001</v>
      </c>
      <c r="T2890">
        <v>-0.18998960000000001</v>
      </c>
      <c r="U2890">
        <v>-3.0912169999999999</v>
      </c>
      <c r="V2890">
        <v>-0.23140620000000001</v>
      </c>
      <c r="W2890">
        <v>0.1712727</v>
      </c>
      <c r="X2890">
        <v>0.95766220000000002</v>
      </c>
      <c r="Y2890">
        <v>-0.35764469999999998</v>
      </c>
      <c r="Z2890">
        <v>3.5770940000000001E-2</v>
      </c>
      <c r="AA2890">
        <v>0.93317240000000001</v>
      </c>
      <c r="AB2890">
        <v>21</v>
      </c>
      <c r="AC2890">
        <v>-1.35840000000001</v>
      </c>
      <c r="AD2890">
        <v>-1.117837070705</v>
      </c>
      <c r="AE2890">
        <v>-18.087399999999999</v>
      </c>
      <c r="AF2890">
        <v>-6.4959801053168</v>
      </c>
      <c r="AG2890">
        <v>-1.117837070705</v>
      </c>
      <c r="AH2890">
        <v>16.861689663668201</v>
      </c>
      <c r="AI2890">
        <v>93.539948303042493</v>
      </c>
      <c r="AJ2890">
        <v>111.069221308058</v>
      </c>
      <c r="AK2890">
        <v>18.104250759398202</v>
      </c>
      <c r="AL2890">
        <v>80.138175518155705</v>
      </c>
      <c r="AM2890">
        <v>103.58436141638499</v>
      </c>
      <c r="AN2890">
        <v>1.00000002823628</v>
      </c>
    </row>
    <row r="2891" spans="1:40" x14ac:dyDescent="0.25">
      <c r="A2891" t="str">
        <f>"20190304155113076"</f>
        <v>20190304155113076</v>
      </c>
      <c r="B2891" t="str">
        <f>"1551685873069748"</f>
        <v>1551685873069748</v>
      </c>
      <c r="C2891" t="s">
        <v>40</v>
      </c>
      <c r="D2891">
        <v>4.5917640000000004</v>
      </c>
      <c r="E2891">
        <v>0.44679200000000002</v>
      </c>
      <c r="F2891" t="s">
        <v>41</v>
      </c>
      <c r="G2891">
        <v>-491.64929999999998</v>
      </c>
      <c r="H2891" s="1">
        <v>-2.1612449999999999E-6</v>
      </c>
      <c r="I2891">
        <v>253.60409999999999</v>
      </c>
      <c r="J2891">
        <v>-490.41399999999999</v>
      </c>
      <c r="K2891">
        <v>1.1178140000000001</v>
      </c>
      <c r="L2891">
        <v>271.32429999999999</v>
      </c>
      <c r="M2891">
        <v>-0.4219986</v>
      </c>
      <c r="N2891">
        <v>-1.4918209999999999E-2</v>
      </c>
      <c r="O2891">
        <v>-0.90647390000000005</v>
      </c>
      <c r="P2891">
        <v>-0.1985664</v>
      </c>
      <c r="Q2891">
        <v>0.16105649999999999</v>
      </c>
      <c r="R2891">
        <v>-0.96676399999999996</v>
      </c>
      <c r="S2891">
        <v>-0.2214661</v>
      </c>
      <c r="T2891">
        <v>-0.19393869999999999</v>
      </c>
      <c r="U2891">
        <v>-3.092651</v>
      </c>
      <c r="V2891">
        <v>-0.23100409999999999</v>
      </c>
      <c r="W2891">
        <v>0.17139160000000001</v>
      </c>
      <c r="X2891">
        <v>0.95773799999999998</v>
      </c>
      <c r="Y2891">
        <v>-0.35602460000000002</v>
      </c>
      <c r="Z2891">
        <v>3.7089539999999997E-2</v>
      </c>
      <c r="AA2891">
        <v>0.93374029999999997</v>
      </c>
      <c r="AB2891">
        <v>21</v>
      </c>
      <c r="AC2891">
        <v>-1.2352999999999901</v>
      </c>
      <c r="AD2891">
        <v>-1.1178161612449999</v>
      </c>
      <c r="AE2891">
        <v>-17.720199999999998</v>
      </c>
      <c r="AF2891">
        <v>-6.3337572016203403</v>
      </c>
      <c r="AG2891">
        <v>-1.1178161612449999</v>
      </c>
      <c r="AH2891">
        <v>16.5206148257835</v>
      </c>
      <c r="AI2891">
        <v>93.615024822790204</v>
      </c>
      <c r="AJ2891">
        <v>110.97607828314</v>
      </c>
      <c r="AK2891">
        <v>17.728415255778401</v>
      </c>
      <c r="AL2891">
        <v>80.131260779313607</v>
      </c>
      <c r="AM2891">
        <v>103.560595547137</v>
      </c>
      <c r="AN2891">
        <v>1.00000002570568</v>
      </c>
    </row>
    <row r="2892" spans="1:40" x14ac:dyDescent="0.25">
      <c r="A2892" t="str">
        <f>"20190304155113094"</f>
        <v>20190304155113094</v>
      </c>
      <c r="B2892" t="str">
        <f>"1551685873089268"</f>
        <v>1551685873089268</v>
      </c>
      <c r="C2892" t="s">
        <v>40</v>
      </c>
      <c r="D2892">
        <v>4.5864399999999996</v>
      </c>
      <c r="E2892">
        <v>0.45688129999999999</v>
      </c>
      <c r="F2892" t="s">
        <v>41</v>
      </c>
      <c r="G2892">
        <v>-491.60129999999998</v>
      </c>
      <c r="H2892" s="1">
        <v>-2.1342630000000001E-6</v>
      </c>
      <c r="I2892">
        <v>253.571</v>
      </c>
      <c r="J2892">
        <v>-490.47039999999998</v>
      </c>
      <c r="K2892">
        <v>1.1177820000000001</v>
      </c>
      <c r="L2892">
        <v>271.17700000000002</v>
      </c>
      <c r="M2892">
        <v>-0.41316409999999998</v>
      </c>
      <c r="N2892">
        <v>-1.4889990000000001E-2</v>
      </c>
      <c r="O2892">
        <v>-0.91053499999999998</v>
      </c>
      <c r="P2892">
        <v>-0.19001960000000001</v>
      </c>
      <c r="Q2892">
        <v>0.16066829999999999</v>
      </c>
      <c r="R2892">
        <v>-0.96854450000000003</v>
      </c>
      <c r="S2892">
        <v>-0.20684810000000001</v>
      </c>
      <c r="T2892">
        <v>-0.1947498</v>
      </c>
      <c r="U2892">
        <v>-3.093048</v>
      </c>
      <c r="V2892">
        <v>-0.2301549</v>
      </c>
      <c r="W2892">
        <v>0.1710111</v>
      </c>
      <c r="X2892">
        <v>0.95801040000000004</v>
      </c>
      <c r="Y2892">
        <v>-0.35133930000000002</v>
      </c>
      <c r="Z2892">
        <v>3.774657E-2</v>
      </c>
      <c r="AA2892">
        <v>0.93548699999999996</v>
      </c>
      <c r="AB2892">
        <v>21</v>
      </c>
      <c r="AC2892">
        <v>-1.13089999999999</v>
      </c>
      <c r="AD2892">
        <v>-1.1177841342629999</v>
      </c>
      <c r="AE2892">
        <v>-17.606000000000002</v>
      </c>
      <c r="AF2892">
        <v>-6.2201652079017498</v>
      </c>
      <c r="AG2892">
        <v>-1.1177841342629999</v>
      </c>
      <c r="AH2892">
        <v>16.433983068508802</v>
      </c>
      <c r="AI2892">
        <v>93.639828183559203</v>
      </c>
      <c r="AJ2892">
        <v>110.731357330055</v>
      </c>
      <c r="AK2892">
        <v>17.6072625947487</v>
      </c>
      <c r="AL2892">
        <v>80.153388263983899</v>
      </c>
      <c r="AM2892">
        <v>103.508874953595</v>
      </c>
      <c r="AN2892">
        <v>1.0000000004126901</v>
      </c>
    </row>
    <row r="2893" spans="1:40" x14ac:dyDescent="0.25">
      <c r="A2893" t="str">
        <f>"20190304155113104"</f>
        <v>20190304155113104</v>
      </c>
      <c r="B2893" t="str">
        <f>"1551685873099028"</f>
        <v>1551685873099028</v>
      </c>
      <c r="C2893" t="s">
        <v>40</v>
      </c>
      <c r="D2893">
        <v>4.4780239999999996</v>
      </c>
      <c r="E2893">
        <v>0.45721980000000001</v>
      </c>
      <c r="F2893" t="s">
        <v>41</v>
      </c>
      <c r="G2893">
        <v>-491.85559999999998</v>
      </c>
      <c r="H2893" s="1">
        <v>-2.675438E-6</v>
      </c>
      <c r="I2893">
        <v>254.6747</v>
      </c>
      <c r="J2893">
        <v>-490.50740000000002</v>
      </c>
      <c r="K2893">
        <v>1.117761</v>
      </c>
      <c r="L2893">
        <v>271.0779</v>
      </c>
      <c r="M2893">
        <v>-0.40721679999999999</v>
      </c>
      <c r="N2893">
        <v>-1.486707E-2</v>
      </c>
      <c r="O2893">
        <v>-0.91321059999999998</v>
      </c>
      <c r="P2893">
        <v>-0.18410670000000001</v>
      </c>
      <c r="Q2893">
        <v>0.16036259999999999</v>
      </c>
      <c r="R2893">
        <v>-0.9697363</v>
      </c>
      <c r="S2893">
        <v>-0.25863649999999999</v>
      </c>
      <c r="T2893">
        <v>-0.2087079</v>
      </c>
      <c r="U2893">
        <v>-3.0812379999999999</v>
      </c>
      <c r="V2893">
        <v>-0.22975760000000001</v>
      </c>
      <c r="W2893">
        <v>0.17070339999999901</v>
      </c>
      <c r="X2893">
        <v>0.95816060000000003</v>
      </c>
      <c r="Y2893">
        <v>-0.32928590000000002</v>
      </c>
      <c r="Z2893">
        <v>4.228937E-2</v>
      </c>
      <c r="AA2893">
        <v>0.94328279999999998</v>
      </c>
      <c r="AB2893">
        <v>21</v>
      </c>
      <c r="AC2893">
        <v>-1.3481999999999601</v>
      </c>
      <c r="AD2893">
        <v>-1.117763675438</v>
      </c>
      <c r="AE2893">
        <v>-16.403199999999998</v>
      </c>
      <c r="AF2893">
        <v>-5.4240524730545596</v>
      </c>
      <c r="AG2893">
        <v>-1.117763675438</v>
      </c>
      <c r="AH2893">
        <v>15.4589992913358</v>
      </c>
      <c r="AI2893">
        <v>93.903085251294996</v>
      </c>
      <c r="AJ2893">
        <v>109.334287777169</v>
      </c>
      <c r="AK2893">
        <v>16.421035288741699</v>
      </c>
      <c r="AL2893">
        <v>80.171280980678205</v>
      </c>
      <c r="AM2893">
        <v>103.484371181293</v>
      </c>
      <c r="AN2893">
        <v>0.99999997046083899</v>
      </c>
    </row>
    <row r="2894" spans="1:40" x14ac:dyDescent="0.25">
      <c r="A2894" t="str">
        <f>"20190304155113117"</f>
        <v>20190304155113117</v>
      </c>
      <c r="B2894" t="str">
        <f>"1551685873109764"</f>
        <v>1551685873109764</v>
      </c>
      <c r="C2894" t="s">
        <v>40</v>
      </c>
      <c r="D2894">
        <v>4.5616120000000002</v>
      </c>
      <c r="E2894">
        <v>0.45769120000000002</v>
      </c>
      <c r="F2894" t="s">
        <v>41</v>
      </c>
      <c r="G2894">
        <v>-491.71300000000002</v>
      </c>
      <c r="H2894" s="1">
        <v>-3.1179939999999999E-6</v>
      </c>
      <c r="I2894">
        <v>255.79480000000001</v>
      </c>
      <c r="J2894">
        <v>-490.54680000000002</v>
      </c>
      <c r="K2894">
        <v>1.1177379999999999</v>
      </c>
      <c r="L2894">
        <v>270.97000000000003</v>
      </c>
      <c r="M2894">
        <v>-0.40075820000000001</v>
      </c>
      <c r="N2894">
        <v>-1.483952E-2</v>
      </c>
      <c r="O2894">
        <v>-0.91606379999999998</v>
      </c>
      <c r="P2894">
        <v>-0.17782919999999999</v>
      </c>
      <c r="Q2894">
        <v>0.15995009999999901</v>
      </c>
      <c r="R2894">
        <v>-0.97097520000000004</v>
      </c>
      <c r="S2894">
        <v>-0.2433167</v>
      </c>
      <c r="T2894">
        <v>-0.22560810000000001</v>
      </c>
      <c r="U2894">
        <v>-3.0847169999999999</v>
      </c>
      <c r="V2894">
        <v>-0.22919990000000001</v>
      </c>
      <c r="W2894">
        <v>0.170289</v>
      </c>
      <c r="X2894">
        <v>0.95836790000000005</v>
      </c>
      <c r="Y2894">
        <v>-0.32736330000000002</v>
      </c>
      <c r="Z2894">
        <v>4.7157419999999999E-2</v>
      </c>
      <c r="AA2894">
        <v>0.94372109999999998</v>
      </c>
      <c r="AB2894">
        <v>21</v>
      </c>
      <c r="AC2894">
        <v>-1.1661999999999999</v>
      </c>
      <c r="AD2894">
        <v>-1.117741117994</v>
      </c>
      <c r="AE2894">
        <v>-15.1752</v>
      </c>
      <c r="AF2894">
        <v>-4.9869276288575897</v>
      </c>
      <c r="AG2894">
        <v>-1.117741117994</v>
      </c>
      <c r="AH2894">
        <v>14.293307869837999</v>
      </c>
      <c r="AI2894">
        <v>94.222789481324696</v>
      </c>
      <c r="AJ2894">
        <v>109.233852906153</v>
      </c>
      <c r="AK2894">
        <v>15.179507312304001</v>
      </c>
      <c r="AL2894">
        <v>80.195377301994796</v>
      </c>
      <c r="AM2894">
        <v>103.450026973543</v>
      </c>
      <c r="AN2894">
        <v>0.99999998471570894</v>
      </c>
    </row>
    <row r="2895" spans="1:40" x14ac:dyDescent="0.25">
      <c r="A2895" t="str">
        <f>"20190304155113131"</f>
        <v>20190304155113131</v>
      </c>
      <c r="B2895" t="str">
        <f>"1551685873119524"</f>
        <v>1551685873119524</v>
      </c>
      <c r="C2895" t="s">
        <v>40</v>
      </c>
      <c r="D2895">
        <v>4.5975190000000001</v>
      </c>
      <c r="E2895">
        <v>0.45821590000000001</v>
      </c>
      <c r="F2895" t="s">
        <v>41</v>
      </c>
      <c r="G2895">
        <v>-491.68459999999999</v>
      </c>
      <c r="H2895" s="1">
        <v>-2.963567E-6</v>
      </c>
      <c r="I2895">
        <v>255.45240000000001</v>
      </c>
      <c r="J2895">
        <v>-490.5874</v>
      </c>
      <c r="K2895">
        <v>1.1177049999999999</v>
      </c>
      <c r="L2895">
        <v>270.85660000000001</v>
      </c>
      <c r="M2895">
        <v>-0.39397199999999999</v>
      </c>
      <c r="N2895">
        <v>-1.48088E-2</v>
      </c>
      <c r="O2895">
        <v>-0.91900309999999996</v>
      </c>
      <c r="P2895">
        <v>-0.1712321</v>
      </c>
      <c r="Q2895">
        <v>0.1600384</v>
      </c>
      <c r="R2895">
        <v>-0.97214560000000005</v>
      </c>
      <c r="S2895">
        <v>-0.22619629999999999</v>
      </c>
      <c r="T2895">
        <v>-0.2222034</v>
      </c>
      <c r="U2895">
        <v>-3.0848390000000001</v>
      </c>
      <c r="V2895">
        <v>-0.22860330000000001</v>
      </c>
      <c r="W2895">
        <v>0.17037260000000001</v>
      </c>
      <c r="X2895">
        <v>0.9584956</v>
      </c>
      <c r="Y2895">
        <v>-0.3255883</v>
      </c>
      <c r="Z2895">
        <v>4.6581289999999997E-2</v>
      </c>
      <c r="AA2895">
        <v>0.94436350000000002</v>
      </c>
      <c r="AB2895">
        <v>21</v>
      </c>
      <c r="AC2895">
        <v>-1.09719999999998</v>
      </c>
      <c r="AD2895">
        <v>-1.117707963567</v>
      </c>
      <c r="AE2895">
        <v>-15.404199999999999</v>
      </c>
      <c r="AF2895">
        <v>-5.0346758688762803</v>
      </c>
      <c r="AG2895">
        <v>-1.117707963567</v>
      </c>
      <c r="AH2895">
        <v>14.514345238481001</v>
      </c>
      <c r="AI2895">
        <v>94.161188721046699</v>
      </c>
      <c r="AJ2895">
        <v>109.13042521478999</v>
      </c>
      <c r="AK2895">
        <v>15.4033583967355</v>
      </c>
      <c r="AL2895">
        <v>80.190517021754602</v>
      </c>
      <c r="AM2895">
        <v>103.414561480811</v>
      </c>
      <c r="AN2895">
        <v>1.0000000534105</v>
      </c>
    </row>
    <row r="2896" spans="1:40" x14ac:dyDescent="0.25">
      <c r="A2896" t="str">
        <f>"20190304155113149"</f>
        <v>20190304155113149</v>
      </c>
      <c r="B2896" t="str">
        <f>"1551685873140019"</f>
        <v>1551685873140019</v>
      </c>
      <c r="C2896" t="s">
        <v>40</v>
      </c>
      <c r="D2896">
        <v>4.6412529999999999</v>
      </c>
      <c r="E2896">
        <v>0.45868429999999999</v>
      </c>
      <c r="F2896" t="s">
        <v>41</v>
      </c>
      <c r="G2896">
        <v>-491.65839999999997</v>
      </c>
      <c r="H2896" s="1">
        <v>-2.7789420000000001E-6</v>
      </c>
      <c r="I2896">
        <v>255.03829999999999</v>
      </c>
      <c r="J2896">
        <v>-490.64389999999997</v>
      </c>
      <c r="K2896">
        <v>1.117661</v>
      </c>
      <c r="L2896">
        <v>270.69420000000002</v>
      </c>
      <c r="M2896">
        <v>-0.38426919999999998</v>
      </c>
      <c r="N2896">
        <v>-1.4758749999999999E-2</v>
      </c>
      <c r="O2896">
        <v>-0.92310329999999996</v>
      </c>
      <c r="P2896">
        <v>-0.16197800000000001</v>
      </c>
      <c r="Q2896">
        <v>0.1602044</v>
      </c>
      <c r="R2896">
        <v>-0.97370330000000005</v>
      </c>
      <c r="S2896">
        <v>-0.2088623</v>
      </c>
      <c r="T2896">
        <v>-0.2179835</v>
      </c>
      <c r="U2896">
        <v>-3.084991</v>
      </c>
      <c r="V2896">
        <v>-0.2275964</v>
      </c>
      <c r="W2896">
        <v>0.1705304</v>
      </c>
      <c r="X2896">
        <v>0.95870710000000003</v>
      </c>
      <c r="Y2896">
        <v>-0.3209147</v>
      </c>
      <c r="Z2896">
        <v>4.5943020000000001E-2</v>
      </c>
      <c r="AA2896">
        <v>0.94599310000000003</v>
      </c>
      <c r="AB2896">
        <v>21</v>
      </c>
      <c r="AC2896">
        <v>-1.01449999999999</v>
      </c>
      <c r="AD2896">
        <v>-1.1176637789419901</v>
      </c>
      <c r="AE2896">
        <v>-15.655900000000001</v>
      </c>
      <c r="AF2896">
        <v>-5.05449214993408</v>
      </c>
      <c r="AG2896">
        <v>-1.1176637789419901</v>
      </c>
      <c r="AH2896">
        <v>14.7685161996333</v>
      </c>
      <c r="AI2896">
        <v>94.095471094548401</v>
      </c>
      <c r="AJ2896">
        <v>108.893398048774</v>
      </c>
      <c r="AK2896">
        <v>15.649477114438501</v>
      </c>
      <c r="AL2896">
        <v>80.181341153531307</v>
      </c>
      <c r="AM2896">
        <v>103.35475701966899</v>
      </c>
      <c r="AN2896">
        <v>1.0000000211037601</v>
      </c>
    </row>
    <row r="2897" spans="1:40" x14ac:dyDescent="0.25">
      <c r="A2897" t="str">
        <f>"20190304155113166"</f>
        <v>20190304155113166</v>
      </c>
      <c r="B2897" t="str">
        <f>"1551685873159541"</f>
        <v>1551685873159541</v>
      </c>
      <c r="C2897" t="s">
        <v>40</v>
      </c>
      <c r="D2897">
        <v>4.6327170000000004</v>
      </c>
      <c r="E2897">
        <v>0.46013979999999999</v>
      </c>
      <c r="F2897" t="s">
        <v>41</v>
      </c>
      <c r="G2897">
        <v>-491.58359999999999</v>
      </c>
      <c r="H2897" s="1">
        <v>-2.6638580000000001E-6</v>
      </c>
      <c r="I2897">
        <v>254.81649999999999</v>
      </c>
      <c r="J2897">
        <v>-490.69200000000001</v>
      </c>
      <c r="K2897">
        <v>1.117626</v>
      </c>
      <c r="L2897">
        <v>270.55130000000003</v>
      </c>
      <c r="M2897">
        <v>-0.37575249999999999</v>
      </c>
      <c r="N2897">
        <v>-1.471021E-2</v>
      </c>
      <c r="O2897">
        <v>-0.92660359999999997</v>
      </c>
      <c r="P2897">
        <v>-0.15355559999999999</v>
      </c>
      <c r="Q2897">
        <v>0.16052820000000001</v>
      </c>
      <c r="R2897">
        <v>-0.97501380000000004</v>
      </c>
      <c r="S2897">
        <v>-0.1826477</v>
      </c>
      <c r="T2897">
        <v>-0.21725539999999999</v>
      </c>
      <c r="U2897">
        <v>-3.0863649999999998</v>
      </c>
      <c r="V2897">
        <v>-0.2270247</v>
      </c>
      <c r="W2897">
        <v>0.17083579999999901</v>
      </c>
      <c r="X2897">
        <v>0.95878830000000004</v>
      </c>
      <c r="Y2897">
        <v>-0.32022709999999999</v>
      </c>
      <c r="Z2897">
        <v>4.6119779999999999E-2</v>
      </c>
      <c r="AA2897">
        <v>0.94621750000000004</v>
      </c>
      <c r="AB2897">
        <v>21</v>
      </c>
      <c r="AC2897">
        <v>-0.89160000000003903</v>
      </c>
      <c r="AD2897">
        <v>-1.117628663858</v>
      </c>
      <c r="AE2897">
        <v>-15.7348</v>
      </c>
      <c r="AF2897">
        <v>-5.0613262923189097</v>
      </c>
      <c r="AG2897">
        <v>-1.117628663858</v>
      </c>
      <c r="AH2897">
        <v>14.8419132713649</v>
      </c>
      <c r="AI2897">
        <v>94.076689833082995</v>
      </c>
      <c r="AJ2897">
        <v>108.830185044476</v>
      </c>
      <c r="AK2897">
        <v>15.7209575796868</v>
      </c>
      <c r="AL2897">
        <v>80.163582664212697</v>
      </c>
      <c r="AM2897">
        <v>103.321320646209</v>
      </c>
      <c r="AN2897">
        <v>1.0000000445943</v>
      </c>
    </row>
    <row r="2898" spans="1:40" x14ac:dyDescent="0.25">
      <c r="A2898" t="str">
        <f>"20190304155113183"</f>
        <v>20190304155113183</v>
      </c>
      <c r="B2898" t="str">
        <f>"1551685873179061"</f>
        <v>1551685873179061</v>
      </c>
      <c r="C2898" t="s">
        <v>40</v>
      </c>
      <c r="D2898">
        <v>4.6383020000000004</v>
      </c>
      <c r="E2898">
        <v>0.46146209999999999</v>
      </c>
      <c r="F2898" t="s">
        <v>41</v>
      </c>
      <c r="G2898">
        <v>-491.55990000000003</v>
      </c>
      <c r="H2898" s="1">
        <v>-2.5363190000000001E-6</v>
      </c>
      <c r="I2898">
        <v>254.53389999999999</v>
      </c>
      <c r="J2898">
        <v>-490.74059999999997</v>
      </c>
      <c r="K2898">
        <v>1.1175889999999999</v>
      </c>
      <c r="L2898">
        <v>270.40249999999997</v>
      </c>
      <c r="M2898">
        <v>-0.3669</v>
      </c>
      <c r="N2898">
        <v>-1.465583E-2</v>
      </c>
      <c r="O2898">
        <v>-0.930145</v>
      </c>
      <c r="P2898">
        <v>-0.14526339999999999</v>
      </c>
      <c r="Q2898">
        <v>0.1611484</v>
      </c>
      <c r="R2898">
        <v>-0.97618139999999998</v>
      </c>
      <c r="S2898">
        <v>-0.16720579999999999</v>
      </c>
      <c r="T2898">
        <v>-0.2153294</v>
      </c>
      <c r="U2898">
        <v>-3.0860289999999999</v>
      </c>
      <c r="V2898">
        <v>-0.2259863</v>
      </c>
      <c r="W2898">
        <v>0.17144229999999899</v>
      </c>
      <c r="X2898">
        <v>0.95892529999999998</v>
      </c>
      <c r="Y2898">
        <v>-0.31591049999999998</v>
      </c>
      <c r="Z2898">
        <v>4.6050050000000002E-2</v>
      </c>
      <c r="AA2898">
        <v>0.94767080000000004</v>
      </c>
      <c r="AB2898">
        <v>21</v>
      </c>
      <c r="AC2898">
        <v>-0.81930000000005498</v>
      </c>
      <c r="AD2898">
        <v>-1.1175915363190001</v>
      </c>
      <c r="AE2898">
        <v>-15.868599999999899</v>
      </c>
      <c r="AF2898">
        <v>-5.0357534032488402</v>
      </c>
      <c r="AG2898">
        <v>-1.1175915363190001</v>
      </c>
      <c r="AH2898">
        <v>14.988171973239099</v>
      </c>
      <c r="AI2898">
        <v>94.043062757410397</v>
      </c>
      <c r="AJ2898">
        <v>108.571412896651</v>
      </c>
      <c r="AK2898">
        <v>15.850965973081101</v>
      </c>
      <c r="AL2898">
        <v>80.128311989463796</v>
      </c>
      <c r="AM2898">
        <v>103.260719671865</v>
      </c>
      <c r="AN2898">
        <v>1.0000000004985301</v>
      </c>
    </row>
    <row r="2899" spans="1:40" x14ac:dyDescent="0.25">
      <c r="A2899" t="str">
        <f>"20190304155113206"</f>
        <v>20190304155113206</v>
      </c>
      <c r="B2899" t="str">
        <f>"1551685873199559"</f>
        <v>1551685873199559</v>
      </c>
      <c r="C2899" t="s">
        <v>40</v>
      </c>
      <c r="D2899">
        <v>4.6286569999999996</v>
      </c>
      <c r="E2899">
        <v>0.4634684</v>
      </c>
      <c r="F2899" t="s">
        <v>41</v>
      </c>
      <c r="G2899">
        <v>-491.54680000000002</v>
      </c>
      <c r="H2899" s="1">
        <v>-2.2782850000000001E-6</v>
      </c>
      <c r="I2899">
        <v>253.94049999999999</v>
      </c>
      <c r="J2899">
        <v>-490.80160000000001</v>
      </c>
      <c r="K2899">
        <v>1.1175280000000001</v>
      </c>
      <c r="L2899">
        <v>270.20870000000002</v>
      </c>
      <c r="M2899">
        <v>-0.35540840000000001</v>
      </c>
      <c r="N2899">
        <v>-1.4575070000000001E-2</v>
      </c>
      <c r="O2899">
        <v>-0.93459769999999998</v>
      </c>
      <c r="P2899">
        <v>-0.1344301</v>
      </c>
      <c r="Q2899">
        <v>0.16211110000000001</v>
      </c>
      <c r="R2899">
        <v>-0.97757289999999997</v>
      </c>
      <c r="S2899">
        <v>-0.15109249999999999</v>
      </c>
      <c r="T2899">
        <v>-0.2094567</v>
      </c>
      <c r="U2899">
        <v>-3.0852659999999998</v>
      </c>
      <c r="V2899">
        <v>-0.2247354</v>
      </c>
      <c r="W2899">
        <v>0.17237659999999999</v>
      </c>
      <c r="X2899">
        <v>0.95905180000000001</v>
      </c>
      <c r="Y2899">
        <v>-0.30914269999999999</v>
      </c>
      <c r="Z2899">
        <v>4.5011049999999997E-2</v>
      </c>
      <c r="AA2899">
        <v>0.94994990000000001</v>
      </c>
      <c r="AB2899">
        <v>21</v>
      </c>
      <c r="AC2899">
        <v>-0.74520000000001096</v>
      </c>
      <c r="AD2899">
        <v>-1.1175302782850001</v>
      </c>
      <c r="AE2899">
        <v>-16.2682</v>
      </c>
      <c r="AF2899">
        <v>-5.0620944509964696</v>
      </c>
      <c r="AG2899">
        <v>-1.1175302782850001</v>
      </c>
      <c r="AH2899">
        <v>15.398202458188299</v>
      </c>
      <c r="AI2899">
        <v>93.944035734960295</v>
      </c>
      <c r="AJ2899">
        <v>108.198062704432</v>
      </c>
      <c r="AK2899">
        <v>16.247409427261001</v>
      </c>
      <c r="AL2899">
        <v>80.0739717935095</v>
      </c>
      <c r="AM2899">
        <v>103.188211469799</v>
      </c>
      <c r="AN2899">
        <v>1.0000000236619699</v>
      </c>
    </row>
    <row r="2900" spans="1:40" x14ac:dyDescent="0.25">
      <c r="A2900" t="str">
        <f>"20190304155113219"</f>
        <v>20190304155113219</v>
      </c>
      <c r="B2900" t="str">
        <f>"1551685873209316"</f>
        <v>1551685873209316</v>
      </c>
      <c r="C2900" t="s">
        <v>40</v>
      </c>
      <c r="D2900">
        <v>4.6676840000000004</v>
      </c>
      <c r="E2900">
        <v>0.46405869999999999</v>
      </c>
      <c r="F2900" t="s">
        <v>41</v>
      </c>
      <c r="G2900">
        <v>-491.53629999999998</v>
      </c>
      <c r="H2900" s="1">
        <v>-1.9146330000000001E-6</v>
      </c>
      <c r="I2900">
        <v>253.0993</v>
      </c>
      <c r="J2900">
        <v>-490.83460000000002</v>
      </c>
      <c r="K2900">
        <v>1.1174930000000001</v>
      </c>
      <c r="L2900">
        <v>270.09989999999999</v>
      </c>
      <c r="M2900">
        <v>-0.348987099999999</v>
      </c>
      <c r="N2900">
        <v>-1.452179E-2</v>
      </c>
      <c r="O2900">
        <v>-0.93701489999999998</v>
      </c>
      <c r="P2900">
        <v>-0.12833729999999999</v>
      </c>
      <c r="Q2900">
        <v>0.1619833</v>
      </c>
      <c r="R2900">
        <v>-0.97841239999999996</v>
      </c>
      <c r="S2900">
        <v>-0.13244629999999999</v>
      </c>
      <c r="T2900">
        <v>-0.201437</v>
      </c>
      <c r="U2900">
        <v>-3.084015</v>
      </c>
      <c r="V2900">
        <v>-0.22411890000000001</v>
      </c>
      <c r="W2900">
        <v>0.1722273</v>
      </c>
      <c r="X2900">
        <v>0.95922289999999999</v>
      </c>
      <c r="Y2900">
        <v>-0.30833450000000001</v>
      </c>
      <c r="Z2900">
        <v>4.3049820000000003E-2</v>
      </c>
      <c r="AA2900">
        <v>0.95030340000000002</v>
      </c>
      <c r="AB2900">
        <v>21</v>
      </c>
      <c r="AC2900">
        <v>-0.70169999999995902</v>
      </c>
      <c r="AD2900">
        <v>-1.117494914633</v>
      </c>
      <c r="AE2900">
        <v>-17.000599999999899</v>
      </c>
      <c r="AF2900">
        <v>-5.2533834693687798</v>
      </c>
      <c r="AG2900">
        <v>-1.117494914633</v>
      </c>
      <c r="AH2900">
        <v>16.106930898081799</v>
      </c>
      <c r="AI2900">
        <v>93.773765766146894</v>
      </c>
      <c r="AJ2900">
        <v>108.06408393188001</v>
      </c>
      <c r="AK2900">
        <v>16.978811964211499</v>
      </c>
      <c r="AL2900">
        <v>80.082656175834202</v>
      </c>
      <c r="AM2900">
        <v>103.15102797623101</v>
      </c>
      <c r="AN2900">
        <v>1.0000000480434501</v>
      </c>
    </row>
    <row r="2901" spans="1:40" x14ac:dyDescent="0.25">
      <c r="A2901" t="str">
        <f>"20190304155113231"</f>
        <v>20190304155113231</v>
      </c>
      <c r="B2901" t="str">
        <f>"1551685873229812"</f>
        <v>1551685873229812</v>
      </c>
      <c r="C2901" t="s">
        <v>40</v>
      </c>
      <c r="D2901">
        <v>4.6252940000000002</v>
      </c>
      <c r="E2901">
        <v>0.47557939999999999</v>
      </c>
      <c r="F2901" t="s">
        <v>41</v>
      </c>
      <c r="G2901">
        <v>-491.48860000000002</v>
      </c>
      <c r="H2901" s="1">
        <v>-1.832781E-6</v>
      </c>
      <c r="I2901">
        <v>252.93809999999999</v>
      </c>
      <c r="J2901">
        <v>-490.86869999999999</v>
      </c>
      <c r="K2901">
        <v>1.1174489999999999</v>
      </c>
      <c r="L2901">
        <v>269.98520000000002</v>
      </c>
      <c r="M2901">
        <v>-0.34223799999999999</v>
      </c>
      <c r="N2901">
        <v>-1.446311E-2</v>
      </c>
      <c r="O2901">
        <v>-0.93950210000000001</v>
      </c>
      <c r="P2901">
        <v>-0.1219503</v>
      </c>
      <c r="Q2901">
        <v>0.1621525</v>
      </c>
      <c r="R2901">
        <v>-0.97920119999999999</v>
      </c>
      <c r="S2901">
        <v>-0.11752319999999999</v>
      </c>
      <c r="T2901">
        <v>-0.2008172</v>
      </c>
      <c r="U2901">
        <v>-3.084015</v>
      </c>
      <c r="V2901">
        <v>-0.2234536</v>
      </c>
      <c r="W2901">
        <v>0.17237149999999901</v>
      </c>
      <c r="X2901">
        <v>0.95935219999999999</v>
      </c>
      <c r="Y2901">
        <v>-0.3060853</v>
      </c>
      <c r="Z2901">
        <v>4.3185960000000002E-2</v>
      </c>
      <c r="AA2901">
        <v>0.95102410000000004</v>
      </c>
      <c r="AB2901">
        <v>21</v>
      </c>
      <c r="AC2901">
        <v>-0.61990000000002898</v>
      </c>
      <c r="AD2901">
        <v>-1.117450832781</v>
      </c>
      <c r="AE2901">
        <v>-17.0471</v>
      </c>
      <c r="AF2901">
        <v>-5.2298742367196498</v>
      </c>
      <c r="AG2901">
        <v>-1.117450832781</v>
      </c>
      <c r="AH2901">
        <v>16.160287776183502</v>
      </c>
      <c r="AI2901">
        <v>93.763984924684294</v>
      </c>
      <c r="AJ2901">
        <v>107.932881027208</v>
      </c>
      <c r="AK2901">
        <v>17.022196741450699</v>
      </c>
      <c r="AL2901">
        <v>80.074268651323493</v>
      </c>
      <c r="AM2901">
        <v>103.111633618453</v>
      </c>
      <c r="AN2901">
        <v>1.0000000445050199</v>
      </c>
    </row>
    <row r="2902" spans="1:40" x14ac:dyDescent="0.25">
      <c r="A2902" t="str">
        <f>"20190304155113243"</f>
        <v>20190304155113243</v>
      </c>
      <c r="B2902" t="str">
        <f>"1551685873239571"</f>
        <v>1551685873239571</v>
      </c>
      <c r="C2902" t="s">
        <v>40</v>
      </c>
      <c r="D2902">
        <v>4.6473459999999998</v>
      </c>
      <c r="E2902">
        <v>0.47568650000000001</v>
      </c>
      <c r="F2902" t="s">
        <v>41</v>
      </c>
      <c r="G2902">
        <v>-491.99470000000002</v>
      </c>
      <c r="H2902" s="1">
        <v>-1.3837359999999999E-6</v>
      </c>
      <c r="I2902">
        <v>251.57740000000001</v>
      </c>
      <c r="J2902">
        <v>-490.899</v>
      </c>
      <c r="K2902">
        <v>1.1174059999999999</v>
      </c>
      <c r="L2902">
        <v>269.88069999999999</v>
      </c>
      <c r="M2902">
        <v>-0.33611289999999999</v>
      </c>
      <c r="N2902">
        <v>-1.440611E-2</v>
      </c>
      <c r="O2902">
        <v>-0.94171150000000003</v>
      </c>
      <c r="P2902">
        <v>-0.116204</v>
      </c>
      <c r="Q2902">
        <v>0.16207009999999999</v>
      </c>
      <c r="R2902">
        <v>-0.97991340000000005</v>
      </c>
      <c r="S2902">
        <v>-0.18786620000000001</v>
      </c>
      <c r="T2902">
        <v>-0.1864364</v>
      </c>
      <c r="U2902">
        <v>-3.071167</v>
      </c>
      <c r="V2902">
        <v>-0.22281999999999999</v>
      </c>
      <c r="W2902">
        <v>0.17226629999999901</v>
      </c>
      <c r="X2902">
        <v>0.95951839999999999</v>
      </c>
      <c r="Y2902">
        <v>-0.27790189999999998</v>
      </c>
      <c r="Z2902">
        <v>3.9848729999999999E-2</v>
      </c>
      <c r="AA2902">
        <v>0.95978260000000004</v>
      </c>
      <c r="AB2902">
        <v>21</v>
      </c>
      <c r="AC2902">
        <v>-1.0957000000000201</v>
      </c>
      <c r="AD2902">
        <v>-1.1174073837359999</v>
      </c>
      <c r="AE2902">
        <v>-18.303299999999901</v>
      </c>
      <c r="AF2902">
        <v>-5.1017269736950999</v>
      </c>
      <c r="AG2902">
        <v>-1.1174073837359999</v>
      </c>
      <c r="AH2902">
        <v>17.541390340382598</v>
      </c>
      <c r="AI2902">
        <v>93.500234236084594</v>
      </c>
      <c r="AJ2902">
        <v>106.216510775611</v>
      </c>
      <c r="AK2902">
        <v>18.302365760989101</v>
      </c>
      <c r="AL2902">
        <v>80.080387206832</v>
      </c>
      <c r="AM2902">
        <v>103.073547871633</v>
      </c>
      <c r="AN2902">
        <v>0.99999999522712402</v>
      </c>
    </row>
    <row r="2903" spans="1:40" x14ac:dyDescent="0.25">
      <c r="A2903" t="str">
        <f>"20190304155113262"</f>
        <v>20190304155113262</v>
      </c>
      <c r="B2903" t="str">
        <f>"1551685873249332"</f>
        <v>1551685873249332</v>
      </c>
      <c r="C2903" t="s">
        <v>40</v>
      </c>
      <c r="D2903">
        <v>4.6764070000000002</v>
      </c>
      <c r="E2903">
        <v>0.47606900000000002</v>
      </c>
      <c r="F2903" t="s">
        <v>41</v>
      </c>
      <c r="G2903">
        <v>-491.90320000000003</v>
      </c>
      <c r="H2903" s="1">
        <v>-1.453539E-6</v>
      </c>
      <c r="I2903">
        <v>251.79689999999999</v>
      </c>
      <c r="J2903">
        <v>-490.94200000000001</v>
      </c>
      <c r="K2903">
        <v>1.11734</v>
      </c>
      <c r="L2903">
        <v>269.72809999999998</v>
      </c>
      <c r="M2903">
        <v>-0.32722430000000002</v>
      </c>
      <c r="N2903">
        <v>-1.432201E-2</v>
      </c>
      <c r="O2903">
        <v>-0.94483819999999996</v>
      </c>
      <c r="P2903">
        <v>-0.1080594</v>
      </c>
      <c r="Q2903">
        <v>0.1622854</v>
      </c>
      <c r="R2903">
        <v>-0.98080919999999905</v>
      </c>
      <c r="S2903">
        <v>-0.17062379999999999</v>
      </c>
      <c r="T2903">
        <v>-0.18986169999999999</v>
      </c>
      <c r="U2903">
        <v>-3.0726619999999998</v>
      </c>
      <c r="V2903">
        <v>-0.22171260000000001</v>
      </c>
      <c r="W2903">
        <v>0.1724532</v>
      </c>
      <c r="X2903">
        <v>0.95974139999999997</v>
      </c>
      <c r="Y2903">
        <v>-0.27424809999999999</v>
      </c>
      <c r="Z2903">
        <v>4.1205400000000003E-2</v>
      </c>
      <c r="AA2903">
        <v>0.96077579999999996</v>
      </c>
      <c r="AB2903">
        <v>21</v>
      </c>
      <c r="AC2903">
        <v>-0.96120000000007599</v>
      </c>
      <c r="AD2903">
        <v>-1.1173414535390001</v>
      </c>
      <c r="AE2903">
        <v>-17.931199999999901</v>
      </c>
      <c r="AF2903">
        <v>-4.9407251465488704</v>
      </c>
      <c r="AG2903">
        <v>-1.1173414535390001</v>
      </c>
      <c r="AH2903">
        <v>17.191817723259302</v>
      </c>
      <c r="AI2903">
        <v>93.574295528743804</v>
      </c>
      <c r="AJ2903">
        <v>106.034025265395</v>
      </c>
      <c r="AK2903">
        <v>17.9225504191594</v>
      </c>
      <c r="AL2903">
        <v>80.069516667081203</v>
      </c>
      <c r="AM2903">
        <v>103.007868900939</v>
      </c>
      <c r="AN2903">
        <v>1.0000000690314701</v>
      </c>
    </row>
    <row r="2904" spans="1:40" x14ac:dyDescent="0.25">
      <c r="A2904" t="str">
        <f>"20190304155113273"</f>
        <v>20190304155113273</v>
      </c>
      <c r="B2904" t="str">
        <f>"1551685873269828"</f>
        <v>1551685873269828</v>
      </c>
      <c r="C2904" t="s">
        <v>40</v>
      </c>
      <c r="D2904">
        <v>4.6859919999999997</v>
      </c>
      <c r="E2904">
        <v>0.47811369999999997</v>
      </c>
      <c r="F2904" t="s">
        <v>41</v>
      </c>
      <c r="G2904">
        <v>-491.81360000000001</v>
      </c>
      <c r="H2904" s="1">
        <v>-1.3632159999999999E-6</v>
      </c>
      <c r="I2904">
        <v>251.642</v>
      </c>
      <c r="J2904">
        <v>-490.97</v>
      </c>
      <c r="K2904">
        <v>1.1172899999999999</v>
      </c>
      <c r="L2904">
        <v>269.62549999999999</v>
      </c>
      <c r="M2904">
        <v>-0.32128379999999901</v>
      </c>
      <c r="N2904">
        <v>-1.426534E-2</v>
      </c>
      <c r="O2904">
        <v>-0.94687560000000004</v>
      </c>
      <c r="P2904">
        <v>-0.10252890000000001</v>
      </c>
      <c r="Q2904">
        <v>0.1624852</v>
      </c>
      <c r="R2904">
        <v>-0.98136999999999996</v>
      </c>
      <c r="S2904">
        <v>-0.14813229999999999</v>
      </c>
      <c r="T2904">
        <v>-0.1898956</v>
      </c>
      <c r="U2904">
        <v>-3.0737920000000001</v>
      </c>
      <c r="V2904">
        <v>-0.2210665</v>
      </c>
      <c r="W2904">
        <v>0.17263399999999901</v>
      </c>
      <c r="X2904">
        <v>0.95985779999999998</v>
      </c>
      <c r="Y2904">
        <v>-0.27523940000000002</v>
      </c>
      <c r="Z2904">
        <v>4.1418539999999997E-2</v>
      </c>
      <c r="AA2904">
        <v>0.96048310000000003</v>
      </c>
      <c r="AB2904">
        <v>21</v>
      </c>
      <c r="AC2904">
        <v>-0.84359999999998003</v>
      </c>
      <c r="AD2904">
        <v>-1.117291363216</v>
      </c>
      <c r="AE2904">
        <v>-17.9834999999999</v>
      </c>
      <c r="AF2904">
        <v>-4.9604241307597601</v>
      </c>
      <c r="AG2904">
        <v>-1.117291363216</v>
      </c>
      <c r="AH2904">
        <v>17.2345523845947</v>
      </c>
      <c r="AI2904">
        <v>93.564889670937006</v>
      </c>
      <c r="AJ2904">
        <v>106.056800797932</v>
      </c>
      <c r="AK2904">
        <v>17.968971685788802</v>
      </c>
      <c r="AL2904">
        <v>80.058998621031705</v>
      </c>
      <c r="AM2904">
        <v>102.969726211216</v>
      </c>
      <c r="AN2904">
        <v>0.99999994579954299</v>
      </c>
    </row>
    <row r="2905" spans="1:40" x14ac:dyDescent="0.25">
      <c r="A2905" t="str">
        <f>"20190304155113286"</f>
        <v>20190304155113286</v>
      </c>
      <c r="B2905" t="str">
        <f>"1551685873279588"</f>
        <v>1551685873279588</v>
      </c>
      <c r="C2905" t="s">
        <v>40</v>
      </c>
      <c r="D2905">
        <v>4.6653209999999996</v>
      </c>
      <c r="E2905">
        <v>0.47933359999999903</v>
      </c>
      <c r="F2905" t="s">
        <v>41</v>
      </c>
      <c r="G2905">
        <v>-491.8544</v>
      </c>
      <c r="H2905" s="1">
        <v>-1.189077E-6</v>
      </c>
      <c r="I2905">
        <v>251.2107</v>
      </c>
      <c r="J2905">
        <v>-491.00139999999999</v>
      </c>
      <c r="K2905">
        <v>1.117229</v>
      </c>
      <c r="L2905">
        <v>269.50850000000003</v>
      </c>
      <c r="M2905">
        <v>-0.31452999999999998</v>
      </c>
      <c r="N2905">
        <v>-1.420078E-2</v>
      </c>
      <c r="O2905">
        <v>-0.94914140000000002</v>
      </c>
      <c r="P2905">
        <v>-9.5972870000000002E-2</v>
      </c>
      <c r="Q2905">
        <v>0.1625914</v>
      </c>
      <c r="R2905">
        <v>-0.98201510000000003</v>
      </c>
      <c r="S2905">
        <v>-0.1475525</v>
      </c>
      <c r="T2905">
        <v>-0.1864142</v>
      </c>
      <c r="U2905">
        <v>-3.0724179999999999</v>
      </c>
      <c r="V2905">
        <v>-0.22060969999999999</v>
      </c>
      <c r="W2905">
        <v>0.17271529999999999</v>
      </c>
      <c r="X2905">
        <v>0.95994829999999998</v>
      </c>
      <c r="Y2905">
        <v>-0.26855050000000003</v>
      </c>
      <c r="Z2905">
        <v>4.0750450000000001E-2</v>
      </c>
      <c r="AA2905">
        <v>0.96240320000000001</v>
      </c>
      <c r="AB2905">
        <v>21</v>
      </c>
      <c r="AC2905">
        <v>-0.85300000000000797</v>
      </c>
      <c r="AD2905">
        <v>-1.117230189077</v>
      </c>
      <c r="AE2905">
        <v>-18.297799999999999</v>
      </c>
      <c r="AF2905">
        <v>-4.9277563868031198</v>
      </c>
      <c r="AG2905">
        <v>-1.117230189077</v>
      </c>
      <c r="AH2905">
        <v>17.571902727828501</v>
      </c>
      <c r="AI2905">
        <v>93.503208192186193</v>
      </c>
      <c r="AJ2905">
        <v>105.66529462634</v>
      </c>
      <c r="AK2905">
        <v>18.283947926510098</v>
      </c>
      <c r="AL2905">
        <v>80.054269746171101</v>
      </c>
      <c r="AM2905">
        <v>102.942650534333</v>
      </c>
      <c r="AN2905">
        <v>0.99999997663053397</v>
      </c>
    </row>
    <row r="2906" spans="1:40" x14ac:dyDescent="0.25">
      <c r="A2906" t="str">
        <f>"20190304155113299"</f>
        <v>20190304155113299</v>
      </c>
      <c r="B2906" t="str">
        <f>"1551685873289348"</f>
        <v>1551685873289348</v>
      </c>
      <c r="C2906" t="s">
        <v>40</v>
      </c>
      <c r="D2906">
        <v>4.6751339999999999</v>
      </c>
      <c r="E2906">
        <v>0.48036050000000002</v>
      </c>
      <c r="F2906" t="s">
        <v>41</v>
      </c>
      <c r="G2906">
        <v>-491.8338</v>
      </c>
      <c r="H2906" s="1">
        <v>-9.8983669999999997E-7</v>
      </c>
      <c r="I2906">
        <v>250.75899999999999</v>
      </c>
      <c r="J2906">
        <v>-491.03050000000002</v>
      </c>
      <c r="K2906">
        <v>1.1171679999999999</v>
      </c>
      <c r="L2906">
        <v>269.39589999999998</v>
      </c>
      <c r="M2906">
        <v>-0.30810340000000003</v>
      </c>
      <c r="N2906">
        <v>-1.4135709999999999E-2</v>
      </c>
      <c r="O2906">
        <v>-0.95124799999999998</v>
      </c>
      <c r="P2906">
        <v>-8.9704300000000001E-2</v>
      </c>
      <c r="Q2906">
        <v>0.16266</v>
      </c>
      <c r="R2906">
        <v>-0.98259620000000003</v>
      </c>
      <c r="S2906">
        <v>-0.13638310000000001</v>
      </c>
      <c r="T2906">
        <v>-0.1830466</v>
      </c>
      <c r="U2906">
        <v>-3.0718990000000002</v>
      </c>
      <c r="V2906">
        <v>-0.22021479999999999</v>
      </c>
      <c r="W2906">
        <v>0.17275850000000001</v>
      </c>
      <c r="X2906">
        <v>0.96003119999999997</v>
      </c>
      <c r="Y2906">
        <v>-0.26552199999999998</v>
      </c>
      <c r="Z2906">
        <v>4.0041470000000003E-2</v>
      </c>
      <c r="AA2906">
        <v>0.96327289999999999</v>
      </c>
      <c r="AB2906">
        <v>21</v>
      </c>
      <c r="AC2906">
        <v>-0.80329999999997803</v>
      </c>
      <c r="AD2906">
        <v>-1.1171689898367001</v>
      </c>
      <c r="AE2906">
        <v>-18.636899999999901</v>
      </c>
      <c r="AF2906">
        <v>-4.9606594988399904</v>
      </c>
      <c r="AG2906">
        <v>-1.1171689898367001</v>
      </c>
      <c r="AH2906">
        <v>17.913358752292599</v>
      </c>
      <c r="AI2906">
        <v>93.439517381392605</v>
      </c>
      <c r="AJ2906">
        <v>105.478748303831</v>
      </c>
      <c r="AK2906">
        <v>18.621080285623101</v>
      </c>
      <c r="AL2906">
        <v>80.051756839833402</v>
      </c>
      <c r="AM2906">
        <v>102.919182548248</v>
      </c>
      <c r="AN2906">
        <v>0.999999981217364</v>
      </c>
    </row>
    <row r="2907" spans="1:40" x14ac:dyDescent="0.25">
      <c r="A2907" t="str">
        <f>"20190304155113312"</f>
        <v>20190304155113312</v>
      </c>
      <c r="B2907" t="str">
        <f>"1551685873309844"</f>
        <v>1551685873309844</v>
      </c>
      <c r="C2907" t="s">
        <v>40</v>
      </c>
      <c r="D2907">
        <v>4.6808899999999998</v>
      </c>
      <c r="E2907">
        <v>0.49048029999999998</v>
      </c>
      <c r="F2907" t="s">
        <v>41</v>
      </c>
      <c r="G2907">
        <v>-491.80430000000001</v>
      </c>
      <c r="H2907" s="1">
        <v>-8.6898619999999998E-7</v>
      </c>
      <c r="I2907">
        <v>250.4956</v>
      </c>
      <c r="J2907">
        <v>-491.0591</v>
      </c>
      <c r="K2907">
        <v>1.1171009999999999</v>
      </c>
      <c r="L2907">
        <v>269.28339999999997</v>
      </c>
      <c r="M2907">
        <v>-0.30170809999999998</v>
      </c>
      <c r="N2907">
        <v>-1.4069E-2</v>
      </c>
      <c r="O2907">
        <v>-0.95329660000000005</v>
      </c>
      <c r="P2907">
        <v>-8.3729739999999997E-2</v>
      </c>
      <c r="Q2907">
        <v>0.16252030000000001</v>
      </c>
      <c r="R2907">
        <v>-0.98314630000000003</v>
      </c>
      <c r="S2907">
        <v>-0.12576289999999901</v>
      </c>
      <c r="T2907">
        <v>-0.18156649999999999</v>
      </c>
      <c r="U2907">
        <v>-3.0717469999999998</v>
      </c>
      <c r="V2907">
        <v>-0.2195801</v>
      </c>
      <c r="W2907">
        <v>0.17259829999999901</v>
      </c>
      <c r="X2907">
        <v>0.96020539999999999</v>
      </c>
      <c r="Y2907">
        <v>-0.26237159999999998</v>
      </c>
      <c r="Z2907">
        <v>3.9873829999999999E-2</v>
      </c>
      <c r="AA2907">
        <v>0.96414270000000002</v>
      </c>
      <c r="AB2907">
        <v>21</v>
      </c>
      <c r="AC2907">
        <v>-0.74520000000001096</v>
      </c>
      <c r="AD2907">
        <v>-1.1171018689862</v>
      </c>
      <c r="AE2907">
        <v>-18.787799999999901</v>
      </c>
      <c r="AF2907">
        <v>-4.9410841992453198</v>
      </c>
      <c r="AG2907">
        <v>-1.1171018689862</v>
      </c>
      <c r="AH2907">
        <v>18.073177873273</v>
      </c>
      <c r="AI2907">
        <v>93.412043732560406</v>
      </c>
      <c r="AJ2907">
        <v>105.290626816263</v>
      </c>
      <c r="AK2907">
        <v>18.769709323500201</v>
      </c>
      <c r="AL2907">
        <v>80.0610758150126</v>
      </c>
      <c r="AM2907">
        <v>102.88093190545401</v>
      </c>
      <c r="AN2907">
        <v>1.00000000183402</v>
      </c>
    </row>
    <row r="2908" spans="1:40" x14ac:dyDescent="0.25">
      <c r="A2908" t="str">
        <f>"20190304155113325"</f>
        <v>20190304155113325</v>
      </c>
      <c r="B2908" t="str">
        <f>"1551685873319605"</f>
        <v>1551685873319605</v>
      </c>
      <c r="C2908" t="s">
        <v>40</v>
      </c>
      <c r="D2908">
        <v>4.6990660000000002</v>
      </c>
      <c r="E2908">
        <v>0.4911103</v>
      </c>
      <c r="F2908" t="s">
        <v>41</v>
      </c>
      <c r="G2908">
        <v>-492.15019999999998</v>
      </c>
      <c r="H2908" s="1">
        <v>-1.3491839999999999E-6</v>
      </c>
      <c r="I2908">
        <v>251.40049999999999</v>
      </c>
      <c r="J2908">
        <v>-491.08780000000002</v>
      </c>
      <c r="K2908">
        <v>1.1170249999999999</v>
      </c>
      <c r="L2908">
        <v>269.1671</v>
      </c>
      <c r="M2908">
        <v>-0.29515150000000001</v>
      </c>
      <c r="N2908">
        <v>-1.399686E-2</v>
      </c>
      <c r="O2908">
        <v>-0.95534819999999998</v>
      </c>
      <c r="P2908">
        <v>-7.7589759999999994E-2</v>
      </c>
      <c r="Q2908">
        <v>0.1624881</v>
      </c>
      <c r="R2908">
        <v>-0.98365530000000001</v>
      </c>
      <c r="S2908">
        <v>-0.18713379999999999</v>
      </c>
      <c r="T2908">
        <v>-0.19159780000000001</v>
      </c>
      <c r="U2908">
        <v>-3.0671689999999998</v>
      </c>
      <c r="V2908">
        <v>-0.218949</v>
      </c>
      <c r="W2908">
        <v>0.172543899999999</v>
      </c>
      <c r="X2908">
        <v>0.96035930000000003</v>
      </c>
      <c r="Y2908">
        <v>-0.23637059999999999</v>
      </c>
      <c r="Z2908">
        <v>4.3410440000000002E-2</v>
      </c>
      <c r="AA2908">
        <v>0.97069280000000002</v>
      </c>
      <c r="AB2908">
        <v>21</v>
      </c>
      <c r="AC2908">
        <v>-1.06239999999996</v>
      </c>
      <c r="AD2908">
        <v>-1.117026349184</v>
      </c>
      <c r="AE2908">
        <v>-17.7666</v>
      </c>
      <c r="AF2908">
        <v>-4.2126968258672601</v>
      </c>
      <c r="AG2908">
        <v>-1.117026349184</v>
      </c>
      <c r="AH2908">
        <v>17.220717929800699</v>
      </c>
      <c r="AI2908">
        <v>93.6052898101198</v>
      </c>
      <c r="AJ2908">
        <v>103.746276742622</v>
      </c>
      <c r="AK2908">
        <v>17.7636620219257</v>
      </c>
      <c r="AL2908">
        <v>80.064240398259599</v>
      </c>
      <c r="AM2908">
        <v>102.843150094942</v>
      </c>
      <c r="AN2908">
        <v>1.0000000235623401</v>
      </c>
    </row>
    <row r="2909" spans="1:40" x14ac:dyDescent="0.25">
      <c r="A2909" t="str">
        <f>"20190304155113341"</f>
        <v>20190304155113341</v>
      </c>
      <c r="B2909" t="str">
        <f>"1551685873329365"</f>
        <v>1551685873329365</v>
      </c>
      <c r="C2909" t="s">
        <v>40</v>
      </c>
      <c r="D2909">
        <v>4.6575939999999996</v>
      </c>
      <c r="E2909">
        <v>0.49200559999999899</v>
      </c>
      <c r="F2909" t="s">
        <v>41</v>
      </c>
      <c r="G2909">
        <v>-492.12860000000001</v>
      </c>
      <c r="H2909" s="1">
        <v>-1.058742E-6</v>
      </c>
      <c r="I2909">
        <v>250.73679999999999</v>
      </c>
      <c r="J2909">
        <v>-491.12040000000002</v>
      </c>
      <c r="K2909">
        <v>1.116927</v>
      </c>
      <c r="L2909">
        <v>269.03050000000002</v>
      </c>
      <c r="M2909">
        <v>-0.28755459999999999</v>
      </c>
      <c r="N2909">
        <v>-1.3910570000000001E-2</v>
      </c>
      <c r="O2909">
        <v>-0.95766320000000005</v>
      </c>
      <c r="P2909">
        <v>-7.1433940000000001E-2</v>
      </c>
      <c r="Q2909">
        <v>0.16236449999999999</v>
      </c>
      <c r="R2909">
        <v>-0.98414190000000001</v>
      </c>
      <c r="S2909">
        <v>-0.17318729999999999</v>
      </c>
      <c r="T2909">
        <v>-0.18587970000000001</v>
      </c>
      <c r="U2909">
        <v>-3.0668950000000001</v>
      </c>
      <c r="V2909">
        <v>-0.21729329999999999</v>
      </c>
      <c r="W2909">
        <v>0.17241239999999999</v>
      </c>
      <c r="X2909">
        <v>0.96075889999999997</v>
      </c>
      <c r="Y2909">
        <v>-0.23304849999999999</v>
      </c>
      <c r="Z2909">
        <v>4.2023699999999997E-2</v>
      </c>
      <c r="AA2909">
        <v>0.97155670000000005</v>
      </c>
      <c r="AB2909">
        <v>21</v>
      </c>
      <c r="AC2909">
        <v>-1.00819999999998</v>
      </c>
      <c r="AD2909">
        <v>-1.1169280587420001</v>
      </c>
      <c r="AE2909">
        <v>-18.293700000000001</v>
      </c>
      <c r="AF2909">
        <v>-4.2794328752433302</v>
      </c>
      <c r="AG2909">
        <v>-1.1169280587420001</v>
      </c>
      <c r="AH2909">
        <v>17.744891242409</v>
      </c>
      <c r="AI2909">
        <v>93.5015283055602</v>
      </c>
      <c r="AJ2909">
        <v>103.55878860500999</v>
      </c>
      <c r="AK2909">
        <v>18.287762007064799</v>
      </c>
      <c r="AL2909">
        <v>80.071889580399301</v>
      </c>
      <c r="AM2909">
        <v>102.74408597723399</v>
      </c>
      <c r="AN2909">
        <v>1.0000000389139201</v>
      </c>
    </row>
    <row r="2910" spans="1:40" x14ac:dyDescent="0.25">
      <c r="A2910" t="str">
        <f>"20190304155113355"</f>
        <v>20190304155113355</v>
      </c>
      <c r="B2910" t="str">
        <f>"1551685873349859"</f>
        <v>1551685873349859</v>
      </c>
      <c r="C2910" t="s">
        <v>40</v>
      </c>
      <c r="D2910">
        <v>4.7019599999999997</v>
      </c>
      <c r="E2910">
        <v>0.49326520000000001</v>
      </c>
      <c r="F2910" t="s">
        <v>41</v>
      </c>
      <c r="G2910">
        <v>-492.06529999999998</v>
      </c>
      <c r="H2910" s="1">
        <v>-1.1791479999999999E-6</v>
      </c>
      <c r="I2910">
        <v>251.05680000000001</v>
      </c>
      <c r="J2910">
        <v>-491.14980000000003</v>
      </c>
      <c r="K2910">
        <v>1.116838</v>
      </c>
      <c r="L2910">
        <v>268.90390000000002</v>
      </c>
      <c r="M2910">
        <v>-0.280587799999999</v>
      </c>
      <c r="N2910">
        <v>-1.3832000000000001E-2</v>
      </c>
      <c r="O2910">
        <v>-0.95972900000000005</v>
      </c>
      <c r="P2910">
        <v>-6.5200320000000006E-2</v>
      </c>
      <c r="Q2910">
        <v>0.16208359999999999</v>
      </c>
      <c r="R2910">
        <v>-0.98462110000000003</v>
      </c>
      <c r="S2910">
        <v>-0.1612854</v>
      </c>
      <c r="T2910">
        <v>-0.19065799999999999</v>
      </c>
      <c r="U2910">
        <v>-3.068085</v>
      </c>
      <c r="V2910">
        <v>-0.2163658</v>
      </c>
      <c r="W2910">
        <v>0.1721164</v>
      </c>
      <c r="X2910">
        <v>0.96102120000000002</v>
      </c>
      <c r="Y2910">
        <v>-0.229763</v>
      </c>
      <c r="Z2910">
        <v>4.3719760000000003E-2</v>
      </c>
      <c r="AA2910">
        <v>0.97226420000000002</v>
      </c>
      <c r="AB2910">
        <v>21</v>
      </c>
      <c r="AC2910">
        <v>-0.91549999999995102</v>
      </c>
      <c r="AD2910">
        <v>-1.1168391791479999</v>
      </c>
      <c r="AE2910">
        <v>-17.847100000000001</v>
      </c>
      <c r="AF2910">
        <v>-4.1133746332387799</v>
      </c>
      <c r="AG2910">
        <v>-1.1168391791479999</v>
      </c>
      <c r="AH2910">
        <v>17.319270995724299</v>
      </c>
      <c r="AI2910">
        <v>93.590037986684393</v>
      </c>
      <c r="AJ2910">
        <v>103.36036804524301</v>
      </c>
      <c r="AK2910">
        <v>17.8360401560657</v>
      </c>
      <c r="AL2910">
        <v>80.089105928016096</v>
      </c>
      <c r="AM2910">
        <v>102.688102534886</v>
      </c>
      <c r="AN2910">
        <v>0.99999998070401896</v>
      </c>
    </row>
    <row r="2911" spans="1:40" x14ac:dyDescent="0.25">
      <c r="A2911" t="str">
        <f>"20190304155113372"</f>
        <v>20190304155113372</v>
      </c>
      <c r="B2911" t="str">
        <f>"1551685873359620"</f>
        <v>1551685873359620</v>
      </c>
      <c r="C2911" t="s">
        <v>40</v>
      </c>
      <c r="D2911">
        <v>4.7217760000000002</v>
      </c>
      <c r="E2911">
        <v>0.49387490000000001</v>
      </c>
      <c r="F2911" t="s">
        <v>41</v>
      </c>
      <c r="G2911">
        <v>-492.06990000000002</v>
      </c>
      <c r="H2911" s="1">
        <v>-8.2752339999999999E-7</v>
      </c>
      <c r="I2911">
        <v>250.23429999999999</v>
      </c>
      <c r="J2911">
        <v>-491.1816</v>
      </c>
      <c r="K2911">
        <v>1.1167309999999999</v>
      </c>
      <c r="L2911">
        <v>268.76310000000001</v>
      </c>
      <c r="M2911">
        <v>-0.27293319999999999</v>
      </c>
      <c r="N2911">
        <v>-1.3746639999999999E-2</v>
      </c>
      <c r="O2911">
        <v>-0.96193479999999998</v>
      </c>
      <c r="P2911">
        <v>-5.8411919999999999E-2</v>
      </c>
      <c r="Q2911">
        <v>0.16212860000000001</v>
      </c>
      <c r="R2911">
        <v>-0.9850392</v>
      </c>
      <c r="S2911">
        <v>-0.1511536</v>
      </c>
      <c r="T2911">
        <v>-0.18347620000000001</v>
      </c>
      <c r="U2911">
        <v>-3.067078</v>
      </c>
      <c r="V2911">
        <v>-0.2152876</v>
      </c>
      <c r="W2911">
        <v>0.17214930000000001</v>
      </c>
      <c r="X2911">
        <v>0.96125749999999999</v>
      </c>
      <c r="Y2911">
        <v>-0.22519739999999999</v>
      </c>
      <c r="Z2911">
        <v>4.1888559999999998E-2</v>
      </c>
      <c r="AA2911">
        <v>0.97341230000000001</v>
      </c>
      <c r="AB2911">
        <v>21</v>
      </c>
      <c r="AC2911">
        <v>-0.88830000000001497</v>
      </c>
      <c r="AD2911">
        <v>-1.1167318275233999</v>
      </c>
      <c r="AE2911">
        <v>-18.5288</v>
      </c>
      <c r="AF2911">
        <v>-4.18785758329558</v>
      </c>
      <c r="AG2911">
        <v>-1.1167318275233999</v>
      </c>
      <c r="AH2911">
        <v>18.002407309645001</v>
      </c>
      <c r="AI2911">
        <v>93.457555764873902</v>
      </c>
      <c r="AJ2911">
        <v>103.095670946255</v>
      </c>
      <c r="AK2911">
        <v>18.5168007510728</v>
      </c>
      <c r="AL2911">
        <v>80.087193095534104</v>
      </c>
      <c r="AM2911">
        <v>102.623902579618</v>
      </c>
      <c r="AN2911">
        <v>1.0000000567552401</v>
      </c>
    </row>
    <row r="2912" spans="1:40" x14ac:dyDescent="0.25">
      <c r="A2912" t="str">
        <f>"20190304155113386"</f>
        <v>20190304155113386</v>
      </c>
      <c r="B2912" t="str">
        <f>"1551685873379141"</f>
        <v>1551685873379141</v>
      </c>
      <c r="C2912" t="s">
        <v>40</v>
      </c>
      <c r="D2912">
        <v>4.7335409999999998</v>
      </c>
      <c r="E2912">
        <v>0.49326740000000002</v>
      </c>
      <c r="F2912" t="s">
        <v>41</v>
      </c>
      <c r="G2912">
        <v>-492.02</v>
      </c>
      <c r="H2912" s="1">
        <v>-5.7756519999999996E-7</v>
      </c>
      <c r="I2912">
        <v>249.68260000000001</v>
      </c>
      <c r="J2912">
        <v>-491.21289999999999</v>
      </c>
      <c r="K2912">
        <v>1.1166199999999999</v>
      </c>
      <c r="L2912">
        <v>268.61970000000002</v>
      </c>
      <c r="M2912">
        <v>-0.26524979999999998</v>
      </c>
      <c r="N2912">
        <v>-1.3660810000000001E-2</v>
      </c>
      <c r="O2912">
        <v>-0.96408300000000002</v>
      </c>
      <c r="P2912">
        <v>-5.2471320000000002E-2</v>
      </c>
      <c r="Q2912">
        <v>0.1625064</v>
      </c>
      <c r="R2912">
        <v>-0.98531159999999995</v>
      </c>
      <c r="S2912">
        <v>-0.13476560000000001</v>
      </c>
      <c r="T2912">
        <v>-0.1795098</v>
      </c>
      <c r="U2912">
        <v>-3.0671080000000002</v>
      </c>
      <c r="V2912">
        <v>-0.21335390000000001</v>
      </c>
      <c r="W2912">
        <v>0.17253260000000001</v>
      </c>
      <c r="X2912">
        <v>0.96161980000000002</v>
      </c>
      <c r="Y2912">
        <v>-0.22261610000000001</v>
      </c>
      <c r="Z2912">
        <v>4.0974160000000003E-2</v>
      </c>
      <c r="AA2912">
        <v>0.97404469999999999</v>
      </c>
      <c r="AB2912">
        <v>21</v>
      </c>
      <c r="AC2912">
        <v>-0.80709999999999105</v>
      </c>
      <c r="AD2912">
        <v>-1.1166205775652001</v>
      </c>
      <c r="AE2912">
        <v>-18.937100000000001</v>
      </c>
      <c r="AF2912">
        <v>-4.23066386494372</v>
      </c>
      <c r="AG2912">
        <v>-1.1166205775652001</v>
      </c>
      <c r="AH2912">
        <v>18.408853545369599</v>
      </c>
      <c r="AI2912">
        <v>93.383141694479505</v>
      </c>
      <c r="AJ2912">
        <v>102.94279505136799</v>
      </c>
      <c r="AK2912">
        <v>18.921713640874302</v>
      </c>
      <c r="AL2912">
        <v>80.064897584468696</v>
      </c>
      <c r="AM2912">
        <v>102.50953621479201</v>
      </c>
      <c r="AN2912">
        <v>1.0000000122299999</v>
      </c>
    </row>
    <row r="2913" spans="1:40" x14ac:dyDescent="0.25">
      <c r="A2913" t="str">
        <f>"20190304155113411"</f>
        <v>20190304155113411</v>
      </c>
      <c r="B2913" t="str">
        <f>"1551685873399636"</f>
        <v>1551685873399636</v>
      </c>
      <c r="C2913" t="s">
        <v>40</v>
      </c>
      <c r="D2913">
        <v>4.6909099999999997</v>
      </c>
      <c r="E2913">
        <v>0.48496309999999898</v>
      </c>
      <c r="F2913" t="s">
        <v>41</v>
      </c>
      <c r="G2913">
        <v>-491.91669999999999</v>
      </c>
      <c r="H2913" s="1">
        <v>-4.5260920000000004E-6</v>
      </c>
      <c r="I2913">
        <v>249.2878</v>
      </c>
      <c r="J2913">
        <v>-491.2568</v>
      </c>
      <c r="K2913">
        <v>1.1164590000000001</v>
      </c>
      <c r="L2913">
        <v>268.40910000000002</v>
      </c>
      <c r="M2913">
        <v>-0.2542027</v>
      </c>
      <c r="N2913">
        <v>-1.353594E-2</v>
      </c>
      <c r="O2913">
        <v>-0.96705640000000004</v>
      </c>
      <c r="P2913">
        <v>-4.2946779999999997E-2</v>
      </c>
      <c r="Q2913">
        <v>0.16340959999999999</v>
      </c>
      <c r="R2913">
        <v>-0.98562349999999999</v>
      </c>
      <c r="S2913">
        <v>-0.1116943</v>
      </c>
      <c r="T2913">
        <v>-0.1772097</v>
      </c>
      <c r="U2913">
        <v>-3.067993</v>
      </c>
      <c r="V2913">
        <v>-0.21154809999999999</v>
      </c>
      <c r="W2913">
        <v>0.17342489999999999</v>
      </c>
      <c r="X2913">
        <v>0.9618582</v>
      </c>
      <c r="Y2913">
        <v>-0.2187897</v>
      </c>
      <c r="Z2913">
        <v>4.0657400000000003E-2</v>
      </c>
      <c r="AA2913">
        <v>0.97492460000000003</v>
      </c>
      <c r="AB2913">
        <v>21</v>
      </c>
      <c r="AC2913">
        <v>-0.65989999999999305</v>
      </c>
      <c r="AD2913">
        <v>-1.1164635260919999</v>
      </c>
      <c r="AE2913">
        <v>-19.121300000000002</v>
      </c>
      <c r="AF2913">
        <v>-4.2085809019011498</v>
      </c>
      <c r="AG2913">
        <v>-1.1164635260919999</v>
      </c>
      <c r="AH2913">
        <v>18.5975031337444</v>
      </c>
      <c r="AI2913">
        <v>93.350981556809501</v>
      </c>
      <c r="AJ2913">
        <v>102.751159342436</v>
      </c>
      <c r="AK2913">
        <v>19.100412739586901</v>
      </c>
      <c r="AL2913">
        <v>80.012989915971602</v>
      </c>
      <c r="AM2913">
        <v>102.403969412767</v>
      </c>
      <c r="AN2913">
        <v>0.99999999573042997</v>
      </c>
    </row>
    <row r="2914" spans="1:40" x14ac:dyDescent="0.25">
      <c r="A2914" t="str">
        <f>"20190304155113424"</f>
        <v>20190304155113424</v>
      </c>
      <c r="B2914" t="str">
        <f>"1551685873419157"</f>
        <v>1551685873419157</v>
      </c>
      <c r="C2914" t="s">
        <v>40</v>
      </c>
      <c r="D2914">
        <v>4.7330249999999996</v>
      </c>
      <c r="E2914">
        <v>0.48666039999999999</v>
      </c>
      <c r="F2914" t="s">
        <v>41</v>
      </c>
      <c r="G2914">
        <v>-491.43279999999999</v>
      </c>
      <c r="H2914" s="1">
        <v>-2.6366529999999999E-6</v>
      </c>
      <c r="I2914">
        <v>234.84649999999999</v>
      </c>
      <c r="J2914">
        <v>-491.2799</v>
      </c>
      <c r="K2914">
        <v>1.1163639999999999</v>
      </c>
      <c r="L2914">
        <v>268.29410000000001</v>
      </c>
      <c r="M2914">
        <v>-0.2482896</v>
      </c>
      <c r="N2914">
        <v>-1.346928E-2</v>
      </c>
      <c r="O2914">
        <v>-0.96859229999999996</v>
      </c>
      <c r="P2914">
        <v>-3.7932630000000002E-2</v>
      </c>
      <c r="Q2914">
        <v>0.16355999999999901</v>
      </c>
      <c r="R2914">
        <v>-0.98580389999999996</v>
      </c>
      <c r="S2914">
        <v>-1.6052250000000001E-2</v>
      </c>
      <c r="T2914">
        <v>-0.10178909999999999</v>
      </c>
      <c r="U2914">
        <v>-3.0599370000000001</v>
      </c>
      <c r="V2914">
        <v>-0.21051819999999999</v>
      </c>
      <c r="W2914">
        <v>0.1735747</v>
      </c>
      <c r="X2914">
        <v>0.9620571</v>
      </c>
      <c r="Y2914">
        <v>-0.24314849999999999</v>
      </c>
      <c r="Z2914">
        <v>1.773052E-2</v>
      </c>
      <c r="AA2914">
        <v>0.96982699999999999</v>
      </c>
      <c r="AB2914">
        <v>21</v>
      </c>
      <c r="AC2914">
        <v>-0.15289999999998799</v>
      </c>
      <c r="AD2914">
        <v>-1.1163666366529901</v>
      </c>
      <c r="AE2914">
        <v>-33.447600000000001</v>
      </c>
      <c r="AF2914">
        <v>-8.1482557385662595</v>
      </c>
      <c r="AG2914">
        <v>-1.1163666366529901</v>
      </c>
      <c r="AH2914">
        <v>32.401895969605498</v>
      </c>
      <c r="AI2914">
        <v>91.913735707933299</v>
      </c>
      <c r="AJ2914">
        <v>104.115737466699</v>
      </c>
      <c r="AK2914">
        <v>33.429376429626203</v>
      </c>
      <c r="AL2914">
        <v>80.004274638540295</v>
      </c>
      <c r="AM2914">
        <v>102.3429639557</v>
      </c>
      <c r="AN2914">
        <v>0.99999997633586901</v>
      </c>
    </row>
    <row r="2915" spans="1:40" x14ac:dyDescent="0.25">
      <c r="A2915" t="str">
        <f>"20190304155113440"</f>
        <v>20190304155113440</v>
      </c>
      <c r="B2915" t="str">
        <f>"1551685873429892"</f>
        <v>1551685873429892</v>
      </c>
      <c r="C2915" t="s">
        <v>40</v>
      </c>
      <c r="D2915">
        <v>4.6762540000000001</v>
      </c>
      <c r="E2915">
        <v>0.48730859999999898</v>
      </c>
      <c r="F2915" t="s">
        <v>41</v>
      </c>
      <c r="G2915">
        <v>-491.46109999999999</v>
      </c>
      <c r="H2915" s="1">
        <v>-6.6414069999999996E-7</v>
      </c>
      <c r="I2915">
        <v>230.23099999999999</v>
      </c>
      <c r="J2915">
        <v>-491.30939999999998</v>
      </c>
      <c r="K2915">
        <v>1.1162399999999999</v>
      </c>
      <c r="L2915">
        <v>268.14179999999999</v>
      </c>
      <c r="M2915">
        <v>-0.2405853</v>
      </c>
      <c r="N2915">
        <v>-1.3385029999999999E-2</v>
      </c>
      <c r="O2915">
        <v>-0.97053579999999995</v>
      </c>
      <c r="P2915">
        <v>-3.2295709999999998E-2</v>
      </c>
      <c r="Q2915">
        <v>0.16362019999999999</v>
      </c>
      <c r="R2915">
        <v>-0.98599490000000001</v>
      </c>
      <c r="S2915">
        <v>-1.4556879999999999E-2</v>
      </c>
      <c r="T2915">
        <v>-8.9675190000000002E-2</v>
      </c>
      <c r="U2915">
        <v>-3.0575260000000002</v>
      </c>
      <c r="V2915">
        <v>-0.20831649999999999</v>
      </c>
      <c r="W2915">
        <v>0.17364939999999901</v>
      </c>
      <c r="X2915">
        <v>0.96252280000000001</v>
      </c>
      <c r="Y2915">
        <v>-0.23591400000000001</v>
      </c>
      <c r="Z2915">
        <v>1.4237369999999999E-2</v>
      </c>
      <c r="AA2915">
        <v>0.97166960000000002</v>
      </c>
      <c r="AB2915">
        <v>21</v>
      </c>
      <c r="AC2915">
        <v>-0.151700000000005</v>
      </c>
      <c r="AD2915">
        <v>-1.1162406641406999</v>
      </c>
      <c r="AE2915">
        <v>-37.910800000000002</v>
      </c>
      <c r="AF2915">
        <v>-8.9665806596631406</v>
      </c>
      <c r="AG2915">
        <v>-1.1162406641406999</v>
      </c>
      <c r="AH2915">
        <v>36.801677287580098</v>
      </c>
      <c r="AI2915">
        <v>91.687969961270696</v>
      </c>
      <c r="AJ2915">
        <v>103.69309110801299</v>
      </c>
      <c r="AK2915">
        <v>37.894709566451603</v>
      </c>
      <c r="AL2915">
        <v>79.999928980100506</v>
      </c>
      <c r="AM2915">
        <v>102.212038732509</v>
      </c>
      <c r="AN2915">
        <v>1.00000000940622</v>
      </c>
    </row>
    <row r="2916" spans="1:40" x14ac:dyDescent="0.25">
      <c r="A2916" t="str">
        <f>"20190304155113453"</f>
        <v>20190304155113453</v>
      </c>
      <c r="B2916" t="str">
        <f>"1551685873449412"</f>
        <v>1551685873449412</v>
      </c>
      <c r="C2916" t="s">
        <v>40</v>
      </c>
      <c r="D2916">
        <v>4.7312209999999997</v>
      </c>
      <c r="E2916">
        <v>0.4888478</v>
      </c>
      <c r="F2916" t="s">
        <v>62</v>
      </c>
      <c r="G2916">
        <v>-491.34120000000001</v>
      </c>
      <c r="H2916" s="1">
        <v>6.2040119999999997E-6</v>
      </c>
      <c r="I2916">
        <v>229.3416</v>
      </c>
      <c r="J2916">
        <v>-491.32990000000001</v>
      </c>
      <c r="K2916">
        <v>1.116152</v>
      </c>
      <c r="L2916">
        <v>268.03339999999997</v>
      </c>
      <c r="M2916">
        <v>-0.235181</v>
      </c>
      <c r="N2916">
        <v>-1.3326289999999999E-2</v>
      </c>
      <c r="O2916">
        <v>-0.97186039999999996</v>
      </c>
      <c r="P2916">
        <v>-2.8178370000000001E-2</v>
      </c>
      <c r="Q2916">
        <v>0.16377520000000001</v>
      </c>
      <c r="R2916">
        <v>-0.98609539999999996</v>
      </c>
      <c r="S2916">
        <v>-2.5024410000000002E-3</v>
      </c>
      <c r="T2916">
        <v>-8.7949749999999993E-2</v>
      </c>
      <c r="U2916">
        <v>-3.0571290000000002</v>
      </c>
      <c r="V2916">
        <v>-0.20693619999999999</v>
      </c>
      <c r="W2916">
        <v>0.17381189999999999</v>
      </c>
      <c r="X2916">
        <v>0.96279119999999996</v>
      </c>
      <c r="Y2916">
        <v>-0.23433850000000001</v>
      </c>
      <c r="Z2916">
        <v>1.3824660000000001E-2</v>
      </c>
      <c r="AA2916">
        <v>0.9720567</v>
      </c>
      <c r="AB2916">
        <v>21</v>
      </c>
      <c r="AC2916">
        <v>-1.1300000000005601E-2</v>
      </c>
      <c r="AD2916">
        <v>-1.1161457959879999</v>
      </c>
      <c r="AE2916">
        <v>-38.691799999999901</v>
      </c>
      <c r="AF2916">
        <v>-9.0818423274904401</v>
      </c>
      <c r="AG2916">
        <v>-1.1161457959879999</v>
      </c>
      <c r="AH2916">
        <v>37.5777487164071</v>
      </c>
      <c r="AI2916">
        <v>91.653732393805399</v>
      </c>
      <c r="AJ2916">
        <v>103.586787930721</v>
      </c>
      <c r="AK2916">
        <v>38.675739683847397</v>
      </c>
      <c r="AL2916">
        <v>79.990474865539696</v>
      </c>
      <c r="AM2916">
        <v>102.130244985137</v>
      </c>
      <c r="AN2916">
        <v>1.0000000311247399</v>
      </c>
    </row>
    <row r="2917" spans="1:40" x14ac:dyDescent="0.25">
      <c r="A2917" t="str">
        <f>"20190304155113466"</f>
        <v>20190304155113466</v>
      </c>
      <c r="B2917" t="str">
        <f>"1551685873459173"</f>
        <v>1551685873459173</v>
      </c>
      <c r="C2917" t="s">
        <v>40</v>
      </c>
      <c r="D2917">
        <v>4.7034149999999997</v>
      </c>
      <c r="E2917">
        <v>0.4895041</v>
      </c>
      <c r="F2917" t="s">
        <v>62</v>
      </c>
      <c r="G2917">
        <v>-491.3648</v>
      </c>
      <c r="H2917" s="1">
        <v>5.0188979999999999E-6</v>
      </c>
      <c r="I2917">
        <v>225.4135</v>
      </c>
      <c r="J2917">
        <v>-491.35210000000001</v>
      </c>
      <c r="K2917">
        <v>1.1160570000000001</v>
      </c>
      <c r="L2917">
        <v>267.91269999999997</v>
      </c>
      <c r="M2917">
        <v>-0.22924050000000001</v>
      </c>
      <c r="N2917">
        <v>-1.3261449999999999E-2</v>
      </c>
      <c r="O2917">
        <v>-0.97327960000000002</v>
      </c>
      <c r="P2917">
        <v>-2.3722070000000001E-2</v>
      </c>
      <c r="Q2917">
        <v>0.164167799999999</v>
      </c>
      <c r="R2917">
        <v>-0.9861472</v>
      </c>
      <c r="S2917">
        <v>-2.5024410000000002E-3</v>
      </c>
      <c r="T2917">
        <v>-8.0019000000000007E-2</v>
      </c>
      <c r="U2917">
        <v>-3.0555110000000001</v>
      </c>
      <c r="V2917">
        <v>-0.2053519</v>
      </c>
      <c r="W2917">
        <v>0.17421429999999999</v>
      </c>
      <c r="X2917">
        <v>0.96305759999999996</v>
      </c>
      <c r="Y2917">
        <v>-0.2284021</v>
      </c>
      <c r="Z2917">
        <v>1.152979E-2</v>
      </c>
      <c r="AA2917">
        <v>0.97349859999999999</v>
      </c>
      <c r="AB2917">
        <v>21</v>
      </c>
      <c r="AC2917">
        <v>-1.26999999999952E-2</v>
      </c>
      <c r="AD2917">
        <v>-1.116051981102</v>
      </c>
      <c r="AE2917">
        <v>-42.499199999999902</v>
      </c>
      <c r="AF2917">
        <v>-9.7243256438461803</v>
      </c>
      <c r="AG2917">
        <v>-1.116051981102</v>
      </c>
      <c r="AH2917">
        <v>41.341638612723102</v>
      </c>
      <c r="AI2917">
        <v>91.505309262430998</v>
      </c>
      <c r="AJ2917">
        <v>103.236424303124</v>
      </c>
      <c r="AK2917">
        <v>42.484575606178304</v>
      </c>
      <c r="AL2917">
        <v>79.967061352355302</v>
      </c>
      <c r="AM2917">
        <v>102.036862556836</v>
      </c>
      <c r="AN2917">
        <v>0.99999998303792903</v>
      </c>
    </row>
    <row r="2918" spans="1:40" x14ac:dyDescent="0.25">
      <c r="A2918" t="str">
        <f>"20190304155113478"</f>
        <v>20190304155113478</v>
      </c>
      <c r="B2918" t="str">
        <f>"1551685873469908"</f>
        <v>1551685873469908</v>
      </c>
      <c r="C2918" t="s">
        <v>40</v>
      </c>
      <c r="D2918">
        <v>4.7012</v>
      </c>
      <c r="E2918">
        <v>0.49011100000000002</v>
      </c>
      <c r="F2918" t="s">
        <v>62</v>
      </c>
      <c r="G2918">
        <v>-491.26330000000002</v>
      </c>
      <c r="H2918" s="1">
        <v>4.5704809999999901E-6</v>
      </c>
      <c r="I2918">
        <v>223.70650000000001</v>
      </c>
      <c r="J2918">
        <v>-491.3725</v>
      </c>
      <c r="K2918">
        <v>1.1159600000000001</v>
      </c>
      <c r="L2918">
        <v>267.7971</v>
      </c>
      <c r="M2918">
        <v>-0.22369310000000001</v>
      </c>
      <c r="N2918">
        <v>-1.319887E-2</v>
      </c>
      <c r="O2918">
        <v>-0.9745703</v>
      </c>
      <c r="P2918">
        <v>-2.0563720000000001E-2</v>
      </c>
      <c r="Q2918">
        <v>0.16478219999999999</v>
      </c>
      <c r="R2918">
        <v>-0.98611539999999998</v>
      </c>
      <c r="S2918">
        <v>6.1340329999999997E-3</v>
      </c>
      <c r="T2918">
        <v>-7.7131030000000003E-2</v>
      </c>
      <c r="U2918">
        <v>-3.0551149999999998</v>
      </c>
      <c r="V2918">
        <v>-0.20288900000000001</v>
      </c>
      <c r="W2918">
        <v>0.17485229999999999</v>
      </c>
      <c r="X2918">
        <v>0.96346390000000004</v>
      </c>
      <c r="Y2918">
        <v>-0.22561030000000001</v>
      </c>
      <c r="Z2918">
        <v>1.0753850000000001E-2</v>
      </c>
      <c r="AA2918">
        <v>0.97415830000000003</v>
      </c>
      <c r="AB2918">
        <v>21</v>
      </c>
      <c r="AC2918">
        <v>0.109199999999987</v>
      </c>
      <c r="AD2918">
        <v>-1.115955429519</v>
      </c>
      <c r="AE2918">
        <v>-44.090600000000002</v>
      </c>
      <c r="AF2918">
        <v>-9.9636712336898494</v>
      </c>
      <c r="AG2918">
        <v>-1.115955429519</v>
      </c>
      <c r="AH2918">
        <v>42.921205328551103</v>
      </c>
      <c r="AI2918">
        <v>91.450799632036905</v>
      </c>
      <c r="AJ2918">
        <v>103.069089895587</v>
      </c>
      <c r="AK2918">
        <v>44.076637437869202</v>
      </c>
      <c r="AL2918">
        <v>79.929936797241695</v>
      </c>
      <c r="AM2918">
        <v>101.891761188739</v>
      </c>
      <c r="AN2918">
        <v>0.99999997986974898</v>
      </c>
    </row>
    <row r="2919" spans="1:40" x14ac:dyDescent="0.25">
      <c r="A2919" t="str">
        <f>"20190304155113496"</f>
        <v>20190304155113496</v>
      </c>
      <c r="B2919" t="str">
        <f>"1551685873489428"</f>
        <v>1551685873489428</v>
      </c>
      <c r="C2919" t="s">
        <v>40</v>
      </c>
      <c r="D2919">
        <v>4.786003</v>
      </c>
      <c r="E2919">
        <v>0.50153570000000003</v>
      </c>
      <c r="F2919" t="s">
        <v>62</v>
      </c>
      <c r="G2919">
        <v>-491.21390000000002</v>
      </c>
      <c r="H2919" s="1">
        <v>3.9399159999999998E-6</v>
      </c>
      <c r="I2919">
        <v>221.64269999999999</v>
      </c>
      <c r="J2919">
        <v>-491.39890000000003</v>
      </c>
      <c r="K2919">
        <v>1.1158220000000001</v>
      </c>
      <c r="L2919">
        <v>267.64359999999999</v>
      </c>
      <c r="M2919">
        <v>-0.216447</v>
      </c>
      <c r="N2919">
        <v>-1.3117220000000001E-2</v>
      </c>
      <c r="O2919">
        <v>-0.97620620000000002</v>
      </c>
      <c r="P2919">
        <v>-1.5769849999999998E-2</v>
      </c>
      <c r="Q2919">
        <v>0.16514110000000001</v>
      </c>
      <c r="R2919">
        <v>-0.98614409999999997</v>
      </c>
      <c r="S2919">
        <v>1.049805E-2</v>
      </c>
      <c r="T2919">
        <v>-7.386231E-2</v>
      </c>
      <c r="U2919">
        <v>-3.05484</v>
      </c>
      <c r="V2919">
        <v>-0.20034399999999999</v>
      </c>
      <c r="W2919">
        <v>0.17523449999999999</v>
      </c>
      <c r="X2919">
        <v>0.96392699999999998</v>
      </c>
      <c r="Y2919">
        <v>-0.21976419999999999</v>
      </c>
      <c r="Z2919">
        <v>9.896172E-3</v>
      </c>
      <c r="AA2919">
        <v>0.9755028</v>
      </c>
      <c r="AB2919">
        <v>21</v>
      </c>
      <c r="AC2919">
        <v>0.185000000000002</v>
      </c>
      <c r="AD2919">
        <v>-1.115818060084</v>
      </c>
      <c r="AE2919">
        <v>-46.000900000000001</v>
      </c>
      <c r="AF2919">
        <v>-10.1322661668842</v>
      </c>
      <c r="AG2919">
        <v>-1.115818060084</v>
      </c>
      <c r="AH2919">
        <v>44.8437989487621</v>
      </c>
      <c r="AI2919">
        <v>91.390325133227805</v>
      </c>
      <c r="AJ2919">
        <v>102.73194992319</v>
      </c>
      <c r="AK2919">
        <v>45.987761108546998</v>
      </c>
      <c r="AL2919">
        <v>79.907695716006899</v>
      </c>
      <c r="AM2919">
        <v>101.74127660640001</v>
      </c>
      <c r="AN2919">
        <v>1.00000005482762</v>
      </c>
    </row>
    <row r="2920" spans="1:40" x14ac:dyDescent="0.25">
      <c r="A2920" t="str">
        <f>"20190304155113518"</f>
        <v>20190304155113518</v>
      </c>
      <c r="B2920" t="str">
        <f>"1551685873509924"</f>
        <v>1551685873509924</v>
      </c>
      <c r="C2920" t="s">
        <v>40</v>
      </c>
      <c r="D2920">
        <v>4.6939909999999996</v>
      </c>
      <c r="E2920">
        <v>0.50193080000000001</v>
      </c>
      <c r="F2920" t="s">
        <v>62</v>
      </c>
      <c r="G2920">
        <v>-492.49169999999998</v>
      </c>
      <c r="H2920" s="1">
        <v>3.005037E-6</v>
      </c>
      <c r="I2920">
        <v>217.7756</v>
      </c>
      <c r="J2920">
        <v>-491.43209999999999</v>
      </c>
      <c r="K2920">
        <v>1.115637</v>
      </c>
      <c r="L2920">
        <v>267.44209999999998</v>
      </c>
      <c r="M2920">
        <v>-0.20718629999999999</v>
      </c>
      <c r="N2920">
        <v>-1.30145E-2</v>
      </c>
      <c r="O2920">
        <v>-0.9782151</v>
      </c>
      <c r="P2920">
        <v>-8.9218690000000007E-3</v>
      </c>
      <c r="Q2920">
        <v>0.16452229999999901</v>
      </c>
      <c r="R2920">
        <v>-0.98633329999999997</v>
      </c>
      <c r="S2920">
        <v>-6.6894529999999994E-2</v>
      </c>
      <c r="T2920">
        <v>-6.8301559999999997E-2</v>
      </c>
      <c r="U2920">
        <v>-3.052521</v>
      </c>
      <c r="V2920">
        <v>-0.1978337</v>
      </c>
      <c r="W2920">
        <v>0.17464060000000001</v>
      </c>
      <c r="X2920">
        <v>0.96455299999999999</v>
      </c>
      <c r="Y2920">
        <v>-0.1856776</v>
      </c>
      <c r="Z2920">
        <v>8.4619410000000006E-3</v>
      </c>
      <c r="AA2920">
        <v>0.98257430000000001</v>
      </c>
      <c r="AB2920">
        <v>21</v>
      </c>
      <c r="AC2920">
        <v>-1.0595999999999799</v>
      </c>
      <c r="AD2920">
        <v>-1.1156339949629901</v>
      </c>
      <c r="AE2920">
        <v>-49.6664999999999</v>
      </c>
      <c r="AF2920">
        <v>-9.2498189379978797</v>
      </c>
      <c r="AG2920">
        <v>-1.1156339949629901</v>
      </c>
      <c r="AH2920">
        <v>48.783577436275202</v>
      </c>
      <c r="AI2920">
        <v>91.287146291607101</v>
      </c>
      <c r="AJ2920">
        <v>100.73635886983401</v>
      </c>
      <c r="AK2920">
        <v>49.665291875488997</v>
      </c>
      <c r="AL2920">
        <v>79.942256075626403</v>
      </c>
      <c r="AM2920">
        <v>101.590845776208</v>
      </c>
      <c r="AN2920">
        <v>1.00000000091652</v>
      </c>
    </row>
    <row r="2921" spans="1:40" x14ac:dyDescent="0.25">
      <c r="A2921" t="str">
        <f>"20190304155113531"</f>
        <v>20190304155113531</v>
      </c>
      <c r="B2921" t="str">
        <f>"1551685873529446"</f>
        <v>1551685873529446</v>
      </c>
      <c r="C2921" t="s">
        <v>40</v>
      </c>
      <c r="D2921">
        <v>4.5903720000000003</v>
      </c>
      <c r="E2921">
        <v>0.50301609999999997</v>
      </c>
      <c r="F2921" t="s">
        <v>62</v>
      </c>
      <c r="G2921">
        <v>-492.27229999999997</v>
      </c>
      <c r="H2921" s="1">
        <v>2.9422770000000002E-6</v>
      </c>
      <c r="I2921">
        <v>215.44929999999999</v>
      </c>
      <c r="J2921">
        <v>-491.45049999999998</v>
      </c>
      <c r="K2921">
        <v>1.1155360000000001</v>
      </c>
      <c r="L2921">
        <v>267.327</v>
      </c>
      <c r="M2921">
        <v>-0.20201179999999999</v>
      </c>
      <c r="N2921">
        <v>-1.295924E-2</v>
      </c>
      <c r="O2921">
        <v>-0.97929750000000004</v>
      </c>
      <c r="P2921">
        <v>-5.2597649999999996E-3</v>
      </c>
      <c r="Q2921">
        <v>0.16433</v>
      </c>
      <c r="R2921">
        <v>-0.98639169999999998</v>
      </c>
      <c r="S2921">
        <v>-4.9316409999999998E-2</v>
      </c>
      <c r="T2921">
        <v>-6.5487619999999996E-2</v>
      </c>
      <c r="U2921">
        <v>-3.051971</v>
      </c>
      <c r="V2921">
        <v>-0.19627310000000001</v>
      </c>
      <c r="W2921">
        <v>0.17446600000000001</v>
      </c>
      <c r="X2921">
        <v>0.96490339999999997</v>
      </c>
      <c r="Y2921">
        <v>-0.1861371</v>
      </c>
      <c r="Z2921">
        <v>7.6639669999999998E-3</v>
      </c>
      <c r="AA2921">
        <v>0.98249390000000003</v>
      </c>
      <c r="AB2921">
        <v>21</v>
      </c>
      <c r="AC2921">
        <v>-0.82179999999999598</v>
      </c>
      <c r="AD2921">
        <v>-1.115533057723</v>
      </c>
      <c r="AE2921">
        <v>-51.877699999999997</v>
      </c>
      <c r="AF2921">
        <v>-9.6714611240583395</v>
      </c>
      <c r="AG2921">
        <v>-1.115533057723</v>
      </c>
      <c r="AH2921">
        <v>50.950435218435203</v>
      </c>
      <c r="AI2921">
        <v>91.232263614714796</v>
      </c>
      <c r="AJ2921">
        <v>100.74806659614001</v>
      </c>
      <c r="AK2921">
        <v>51.872231716256501</v>
      </c>
      <c r="AL2921">
        <v>79.952416323662206</v>
      </c>
      <c r="AM2921">
        <v>101.497792442907</v>
      </c>
      <c r="AN2921">
        <v>1.00000004313558</v>
      </c>
    </row>
    <row r="2922" spans="1:40" x14ac:dyDescent="0.25">
      <c r="A2922" t="str">
        <f>"20190304155113544"</f>
        <v>20190304155113544</v>
      </c>
      <c r="B2922" t="str">
        <f>"1551685873539204"</f>
        <v>1551685873539204</v>
      </c>
      <c r="C2922" t="s">
        <v>40</v>
      </c>
      <c r="D2922">
        <v>4.6878699999999904</v>
      </c>
      <c r="E2922">
        <v>0.50398670000000001</v>
      </c>
      <c r="F2922" t="s">
        <v>62</v>
      </c>
      <c r="G2922">
        <v>-492.20549999999997</v>
      </c>
      <c r="H2922" s="1">
        <v>3.0766279999999998E-6</v>
      </c>
      <c r="I2922">
        <v>218.25190000000001</v>
      </c>
      <c r="J2922">
        <v>-491.46769999999998</v>
      </c>
      <c r="K2922">
        <v>1.1154409999999999</v>
      </c>
      <c r="L2922">
        <v>267.21510000000001</v>
      </c>
      <c r="M2922">
        <v>-0.19707040000000001</v>
      </c>
      <c r="N2922">
        <v>-1.290847E-2</v>
      </c>
      <c r="O2922">
        <v>-0.98030439999999996</v>
      </c>
      <c r="P2922">
        <v>-2.1638550000000001E-3</v>
      </c>
      <c r="Q2922">
        <v>0.16346869999999999</v>
      </c>
      <c r="R2922">
        <v>-0.98654649999999999</v>
      </c>
      <c r="S2922">
        <v>-4.6966550000000003E-2</v>
      </c>
      <c r="T2922">
        <v>-6.9390770000000004E-2</v>
      </c>
      <c r="U2922">
        <v>-3.052673</v>
      </c>
      <c r="V2922">
        <v>-0.19440869999999999</v>
      </c>
      <c r="W2922">
        <v>0.17362830000000001</v>
      </c>
      <c r="X2922">
        <v>0.9654317</v>
      </c>
      <c r="Y2922">
        <v>-0.18193980000000001</v>
      </c>
      <c r="Z2922">
        <v>8.9789090000000002E-3</v>
      </c>
      <c r="AA2922">
        <v>0.9832687</v>
      </c>
      <c r="AB2922">
        <v>21</v>
      </c>
      <c r="AC2922">
        <v>-0.73779999999999202</v>
      </c>
      <c r="AD2922">
        <v>-1.115437923372</v>
      </c>
      <c r="AE2922">
        <v>-48.963200000000001</v>
      </c>
      <c r="AF2922">
        <v>-8.9220428642959195</v>
      </c>
      <c r="AG2922">
        <v>-1.115437923372</v>
      </c>
      <c r="AH2922">
        <v>48.123279045149403</v>
      </c>
      <c r="AI2922">
        <v>91.305566662688406</v>
      </c>
      <c r="AJ2922">
        <v>100.50336140229599</v>
      </c>
      <c r="AK2922">
        <v>48.956072521093297</v>
      </c>
      <c r="AL2922">
        <v>80.001155951383794</v>
      </c>
      <c r="AM2922">
        <v>101.38537267047199</v>
      </c>
      <c r="AN2922">
        <v>0.99999994828073302</v>
      </c>
    </row>
    <row r="2923" spans="1:40" x14ac:dyDescent="0.25">
      <c r="A2923" t="str">
        <f>"20190304155113555"</f>
        <v>20190304155113555</v>
      </c>
      <c r="B2923" t="str">
        <f>"1551685873549940"</f>
        <v>1551685873549940</v>
      </c>
      <c r="C2923" t="s">
        <v>40</v>
      </c>
      <c r="D2923">
        <v>4.6912629999999904</v>
      </c>
      <c r="E2923">
        <v>0.50506679999999904</v>
      </c>
      <c r="F2923" t="s">
        <v>62</v>
      </c>
      <c r="G2923">
        <v>-492.22550000000001</v>
      </c>
      <c r="H2923" s="1">
        <v>2.9842959999999998E-6</v>
      </c>
      <c r="I2923">
        <v>216.22069999999999</v>
      </c>
      <c r="J2923">
        <v>-491.48410000000001</v>
      </c>
      <c r="K2923">
        <v>1.115351</v>
      </c>
      <c r="L2923">
        <v>267.10570000000001</v>
      </c>
      <c r="M2923">
        <v>-0.192328</v>
      </c>
      <c r="N2923">
        <v>-1.2861289999999999E-2</v>
      </c>
      <c r="O2923">
        <v>-0.98124650000000002</v>
      </c>
      <c r="P2923">
        <v>1.0905680000000001E-3</v>
      </c>
      <c r="Q2923">
        <v>0.16294</v>
      </c>
      <c r="R2923">
        <v>-0.98663540000000005</v>
      </c>
      <c r="S2923">
        <v>-4.534912E-2</v>
      </c>
      <c r="T2923">
        <v>-6.6756609999999994E-2</v>
      </c>
      <c r="U2923">
        <v>-3.0519099999999999</v>
      </c>
      <c r="V2923">
        <v>-0.19289539999999999</v>
      </c>
      <c r="W2923">
        <v>0.173117299999999</v>
      </c>
      <c r="X2923">
        <v>0.96582699999999999</v>
      </c>
      <c r="Y2923">
        <v>-0.17770269999999999</v>
      </c>
      <c r="Z2923">
        <v>8.2396859999999995E-3</v>
      </c>
      <c r="AA2923">
        <v>0.98404970000000003</v>
      </c>
      <c r="AB2923">
        <v>21</v>
      </c>
      <c r="AC2923">
        <v>-0.74139999999999795</v>
      </c>
      <c r="AD2923">
        <v>-1.1153480157040001</v>
      </c>
      <c r="AE2923">
        <v>-50.884999999999998</v>
      </c>
      <c r="AF2923">
        <v>-9.0555129837062296</v>
      </c>
      <c r="AG2923">
        <v>-1.1153480157040001</v>
      </c>
      <c r="AH2923">
        <v>50.053415194710702</v>
      </c>
      <c r="AI2923">
        <v>91.256134460219599</v>
      </c>
      <c r="AJ2923">
        <v>100.25485611067199</v>
      </c>
      <c r="AK2923">
        <v>50.878194634325403</v>
      </c>
      <c r="AL2923">
        <v>80.030884960676005</v>
      </c>
      <c r="AM2923">
        <v>101.29453047635801</v>
      </c>
      <c r="AN2923">
        <v>1.0000000144147201</v>
      </c>
    </row>
    <row r="2924" spans="1:40" x14ac:dyDescent="0.25">
      <c r="A2924" t="str">
        <f>"20190304155113569"</f>
        <v>20190304155113569</v>
      </c>
      <c r="B2924" t="str">
        <f>"1551685873559701"</f>
        <v>1551685873559701</v>
      </c>
      <c r="C2924" t="s">
        <v>40</v>
      </c>
      <c r="D2924">
        <v>4.6972779999999998</v>
      </c>
      <c r="E2924">
        <v>0.5059863</v>
      </c>
      <c r="F2924" t="s">
        <v>62</v>
      </c>
      <c r="G2924">
        <v>-492.25069999999999</v>
      </c>
      <c r="H2924" s="1">
        <v>2.8693779999999998E-6</v>
      </c>
      <c r="I2924">
        <v>213.69390000000001</v>
      </c>
      <c r="J2924">
        <v>-491.50150000000002</v>
      </c>
      <c r="K2924">
        <v>1.115259</v>
      </c>
      <c r="L2924">
        <v>266.9864</v>
      </c>
      <c r="M2924">
        <v>-0.1872125</v>
      </c>
      <c r="N2924">
        <v>-1.28118E-2</v>
      </c>
      <c r="O2924">
        <v>-0.98223590000000005</v>
      </c>
      <c r="P2924">
        <v>4.6102369999999997E-3</v>
      </c>
      <c r="Q2924">
        <v>0.1624921</v>
      </c>
      <c r="R2924">
        <v>-0.98669929999999995</v>
      </c>
      <c r="S2924">
        <v>-4.379272E-2</v>
      </c>
      <c r="T2924">
        <v>-6.3716049999999996E-2</v>
      </c>
      <c r="U2924">
        <v>-3.0512389999999998</v>
      </c>
      <c r="V2924">
        <v>-0.19127340000000001</v>
      </c>
      <c r="W2924">
        <v>0.1726876</v>
      </c>
      <c r="X2924">
        <v>0.96622640000000004</v>
      </c>
      <c r="Y2924">
        <v>-0.1730739</v>
      </c>
      <c r="Z2924">
        <v>7.3720919999999898E-3</v>
      </c>
      <c r="AA2924">
        <v>0.98488129999999996</v>
      </c>
      <c r="AB2924">
        <v>21</v>
      </c>
      <c r="AC2924">
        <v>-0.749199999999973</v>
      </c>
      <c r="AD2924">
        <v>-1.1152561306219999</v>
      </c>
      <c r="AE2924">
        <v>-53.292499999999897</v>
      </c>
      <c r="AF2924">
        <v>-9.2378445798470192</v>
      </c>
      <c r="AG2924">
        <v>-1.1152561306219999</v>
      </c>
      <c r="AH2924">
        <v>52.4674005911493</v>
      </c>
      <c r="AI2924">
        <v>91.199264376455005</v>
      </c>
      <c r="AJ2924">
        <v>99.985623435479297</v>
      </c>
      <c r="AK2924">
        <v>53.2861116381223</v>
      </c>
      <c r="AL2924">
        <v>80.055881168626698</v>
      </c>
      <c r="AM2924">
        <v>101.19745623247999</v>
      </c>
      <c r="AN2924">
        <v>0.99999998839913995</v>
      </c>
    </row>
    <row r="2925" spans="1:40" x14ac:dyDescent="0.25">
      <c r="A2925" t="str">
        <f>"20190304155113587"</f>
        <v>20190304155113587</v>
      </c>
      <c r="B2925" t="str">
        <f>"1551685873579220"</f>
        <v>1551685873579220</v>
      </c>
      <c r="C2925" t="s">
        <v>40</v>
      </c>
      <c r="D2925">
        <v>4.8809740000000001</v>
      </c>
      <c r="E2925">
        <v>0.50657280000000005</v>
      </c>
      <c r="F2925" t="s">
        <v>62</v>
      </c>
      <c r="G2925">
        <v>-492.22840000000002</v>
      </c>
      <c r="H2925" s="1">
        <v>2.787571E-6</v>
      </c>
      <c r="I2925">
        <v>211.73179999999999</v>
      </c>
      <c r="J2925">
        <v>-491.52420000000001</v>
      </c>
      <c r="K2925">
        <v>1.115135</v>
      </c>
      <c r="L2925">
        <v>266.82569999999998</v>
      </c>
      <c r="M2925">
        <v>-0.1804983</v>
      </c>
      <c r="N2925">
        <v>-1.274871E-2</v>
      </c>
      <c r="O2925">
        <v>-0.98349260000000005</v>
      </c>
      <c r="P2925">
        <v>8.3436629999999994E-3</v>
      </c>
      <c r="Q2925">
        <v>0.1614062</v>
      </c>
      <c r="R2925">
        <v>-0.98685290000000003</v>
      </c>
      <c r="S2925">
        <v>-4.0130619999999999E-2</v>
      </c>
      <c r="T2925">
        <v>-6.1576249999999999E-2</v>
      </c>
      <c r="U2925">
        <v>-3.050751</v>
      </c>
      <c r="V2925">
        <v>-0.18829109999999999</v>
      </c>
      <c r="W2925">
        <v>0.17163870000000001</v>
      </c>
      <c r="X2925">
        <v>0.96699880000000005</v>
      </c>
      <c r="Y2925">
        <v>-0.1675249</v>
      </c>
      <c r="Z2925">
        <v>6.8069309999999996E-3</v>
      </c>
      <c r="AA2925">
        <v>0.98584439999999995</v>
      </c>
      <c r="AB2925">
        <v>21</v>
      </c>
      <c r="AC2925">
        <v>-0.70420000000001404</v>
      </c>
      <c r="AD2925">
        <v>-1.115132212429</v>
      </c>
      <c r="AE2925">
        <v>-55.093899999999898</v>
      </c>
      <c r="AF2925">
        <v>-9.2487439696127893</v>
      </c>
      <c r="AG2925">
        <v>-1.115132212429</v>
      </c>
      <c r="AH2925">
        <v>54.2937283430348</v>
      </c>
      <c r="AI2925">
        <v>91.159921303075606</v>
      </c>
      <c r="AJ2925">
        <v>99.667336870079595</v>
      </c>
      <c r="AK2925">
        <v>55.087128462590101</v>
      </c>
      <c r="AL2925">
        <v>80.116890086720701</v>
      </c>
      <c r="AM2925">
        <v>101.01858714087901</v>
      </c>
      <c r="AN2925">
        <v>1.0000000304391601</v>
      </c>
    </row>
    <row r="2926" spans="1:40" x14ac:dyDescent="0.25">
      <c r="A2926" t="str">
        <f>"20190304155113610"</f>
        <v>20190304155113610</v>
      </c>
      <c r="B2926" t="str">
        <f>"1551685873599716"</f>
        <v>1551685873599716</v>
      </c>
      <c r="C2926" t="s">
        <v>40</v>
      </c>
      <c r="D2926">
        <v>4.6928710000000002</v>
      </c>
      <c r="E2926">
        <v>0.50697150000000002</v>
      </c>
      <c r="F2926" t="s">
        <v>62</v>
      </c>
      <c r="G2926">
        <v>-492.07889999999998</v>
      </c>
      <c r="H2926" s="1">
        <v>2.9963130000000002E-6</v>
      </c>
      <c r="I2926">
        <v>215.90049999999999</v>
      </c>
      <c r="J2926">
        <v>-491.55220000000003</v>
      </c>
      <c r="K2926">
        <v>1.1149849999999999</v>
      </c>
      <c r="L2926">
        <v>266.61610000000002</v>
      </c>
      <c r="M2926">
        <v>-0.17199629999999999</v>
      </c>
      <c r="N2926">
        <v>-1.2670880000000001E-2</v>
      </c>
      <c r="O2926">
        <v>-0.98501629999999996</v>
      </c>
      <c r="P2926">
        <v>1.431401E-2</v>
      </c>
      <c r="Q2926">
        <v>0.1608937</v>
      </c>
      <c r="R2926">
        <v>-0.98686799999999997</v>
      </c>
      <c r="S2926">
        <v>-3.3233640000000002E-2</v>
      </c>
      <c r="T2926">
        <v>-6.6813709999999998E-2</v>
      </c>
      <c r="U2926">
        <v>-3.0512079999999999</v>
      </c>
      <c r="V2926">
        <v>-0.18573120000000001</v>
      </c>
      <c r="W2926">
        <v>0.1711511</v>
      </c>
      <c r="X2926">
        <v>0.96758010000000005</v>
      </c>
      <c r="Y2926">
        <v>-0.16123560000000001</v>
      </c>
      <c r="Z2926">
        <v>8.6014939999999995E-3</v>
      </c>
      <c r="AA2926">
        <v>0.98687849999999999</v>
      </c>
      <c r="AB2926">
        <v>21</v>
      </c>
      <c r="AC2926">
        <v>-0.52669999999994799</v>
      </c>
      <c r="AD2926">
        <v>-1.114982003687</v>
      </c>
      <c r="AE2926">
        <v>-50.715600000000002</v>
      </c>
      <c r="AF2926">
        <v>-8.2007811988869808</v>
      </c>
      <c r="AG2926">
        <v>-1.114982003687</v>
      </c>
      <c r="AH2926">
        <v>50.026114335694501</v>
      </c>
      <c r="AI2926">
        <v>91.259984856398503</v>
      </c>
      <c r="AJ2926">
        <v>99.309693515312105</v>
      </c>
      <c r="AK2926">
        <v>50.706095419274298</v>
      </c>
      <c r="AL2926">
        <v>80.145246958456397</v>
      </c>
      <c r="AM2926">
        <v>100.86600223456701</v>
      </c>
      <c r="AN2926">
        <v>1.00000001380033</v>
      </c>
    </row>
    <row r="2927" spans="1:40" x14ac:dyDescent="0.25">
      <c r="A2927" t="str">
        <f>"20190304155113630"</f>
        <v>20190304155113630</v>
      </c>
      <c r="B2927" t="str">
        <f>"1551685873619236"</f>
        <v>1551685873619236</v>
      </c>
      <c r="C2927" t="s">
        <v>40</v>
      </c>
      <c r="D2927">
        <v>4.669403</v>
      </c>
      <c r="E2927">
        <v>0.50794700000000004</v>
      </c>
      <c r="F2927" t="s">
        <v>62</v>
      </c>
      <c r="G2927">
        <v>-491.85250000000002</v>
      </c>
      <c r="H2927" s="1">
        <v>3.07995E-6</v>
      </c>
      <c r="I2927">
        <v>216.8956</v>
      </c>
      <c r="J2927">
        <v>-491.57650000000001</v>
      </c>
      <c r="K2927">
        <v>1.114854</v>
      </c>
      <c r="L2927">
        <v>266.42450000000002</v>
      </c>
      <c r="M2927">
        <v>-0.1644496</v>
      </c>
      <c r="N2927">
        <v>-1.2599569999999999E-2</v>
      </c>
      <c r="O2927">
        <v>-0.98630519999999999</v>
      </c>
      <c r="P2927">
        <v>1.9598500000000001E-2</v>
      </c>
      <c r="Q2927">
        <v>0.161245899999999</v>
      </c>
      <c r="R2927">
        <v>-0.98672009999999999</v>
      </c>
      <c r="S2927">
        <v>-1.843262E-2</v>
      </c>
      <c r="T2927">
        <v>-6.8425299999999994E-2</v>
      </c>
      <c r="U2927">
        <v>-3.0512999999999999</v>
      </c>
      <c r="V2927">
        <v>-0.18343999999999999</v>
      </c>
      <c r="W2927">
        <v>0.1715198</v>
      </c>
      <c r="X2927">
        <v>0.96795180000000003</v>
      </c>
      <c r="Y2927">
        <v>-0.158466</v>
      </c>
      <c r="Z2927">
        <v>9.2278480000000003E-3</v>
      </c>
      <c r="AA2927">
        <v>0.98732129999999996</v>
      </c>
      <c r="AB2927">
        <v>21</v>
      </c>
      <c r="AC2927">
        <v>-0.27600000000001002</v>
      </c>
      <c r="AD2927">
        <v>-1.1148509200499901</v>
      </c>
      <c r="AE2927">
        <v>-49.5289</v>
      </c>
      <c r="AF2927">
        <v>-7.8694240892974001</v>
      </c>
      <c r="AG2927">
        <v>-1.1148509200499901</v>
      </c>
      <c r="AH2927">
        <v>48.8751100090943</v>
      </c>
      <c r="AI2927">
        <v>91.290091690150405</v>
      </c>
      <c r="AJ2927">
        <v>99.146740997418505</v>
      </c>
      <c r="AK2927">
        <v>49.517139522313101</v>
      </c>
      <c r="AL2927">
        <v>80.123804611561297</v>
      </c>
      <c r="AM2927">
        <v>100.731065301228</v>
      </c>
      <c r="AN2927">
        <v>0.999999981257639</v>
      </c>
    </row>
    <row r="2928" spans="1:40" x14ac:dyDescent="0.25">
      <c r="A2928" t="str">
        <f>"20190304155113645"</f>
        <v>20190304155113645</v>
      </c>
      <c r="B2928" t="str">
        <f>"1551685873639732"</f>
        <v>1551685873639732</v>
      </c>
      <c r="C2928" t="s">
        <v>40</v>
      </c>
      <c r="D2928">
        <v>4.6828339999999997</v>
      </c>
      <c r="E2928">
        <v>0.50850620000000002</v>
      </c>
      <c r="F2928" t="s">
        <v>62</v>
      </c>
      <c r="G2928">
        <v>-491.72910000000002</v>
      </c>
      <c r="H2928" s="1">
        <v>3.1216100000000002E-6</v>
      </c>
      <c r="I2928">
        <v>217.3477</v>
      </c>
      <c r="J2928">
        <v>-491.59230000000002</v>
      </c>
      <c r="K2928">
        <v>1.1147739999999999</v>
      </c>
      <c r="L2928">
        <v>266.29390000000001</v>
      </c>
      <c r="M2928">
        <v>-0.1594052</v>
      </c>
      <c r="N2928">
        <v>-1.255151E-2</v>
      </c>
      <c r="O2928">
        <v>-0.9871335</v>
      </c>
      <c r="P2928">
        <v>2.318342E-2</v>
      </c>
      <c r="Q2928">
        <v>0.1610616</v>
      </c>
      <c r="R2928">
        <v>-0.98667199999999999</v>
      </c>
      <c r="S2928">
        <v>-9.4909669999999995E-3</v>
      </c>
      <c r="T2928">
        <v>-6.9329260000000004E-2</v>
      </c>
      <c r="U2928">
        <v>-3.0519409999999998</v>
      </c>
      <c r="V2928">
        <v>-0.181975</v>
      </c>
      <c r="W2928">
        <v>0.17134179999999999</v>
      </c>
      <c r="X2928">
        <v>0.9682598</v>
      </c>
      <c r="Y2928">
        <v>-0.15631210000000001</v>
      </c>
      <c r="Z2928">
        <v>9.5884739999999996E-3</v>
      </c>
      <c r="AA2928">
        <v>0.98766120000000002</v>
      </c>
      <c r="AB2928">
        <v>21</v>
      </c>
      <c r="AC2928">
        <v>-0.13679999999999301</v>
      </c>
      <c r="AD2928">
        <v>-1.1147708783900001</v>
      </c>
      <c r="AE2928">
        <v>-48.946199999999997</v>
      </c>
      <c r="AF2928">
        <v>-7.6638671834365297</v>
      </c>
      <c r="AG2928">
        <v>-1.1147708783900001</v>
      </c>
      <c r="AH2928">
        <v>48.316983067690799</v>
      </c>
      <c r="AI2928">
        <v>91.305382045387802</v>
      </c>
      <c r="AJ2928">
        <v>99.012966077989304</v>
      </c>
      <c r="AK2928">
        <v>48.933714625809699</v>
      </c>
      <c r="AL2928">
        <v>80.134156462640107</v>
      </c>
      <c r="AM2928">
        <v>100.644021754332</v>
      </c>
      <c r="AN2928">
        <v>0.99999997667413898</v>
      </c>
    </row>
    <row r="2929" spans="1:40" x14ac:dyDescent="0.25">
      <c r="A2929" t="str">
        <f>"20190304155113658"</f>
        <v>20190304155113658</v>
      </c>
      <c r="B2929" t="str">
        <f>"1551685873649493"</f>
        <v>1551685873649493</v>
      </c>
      <c r="C2929" t="s">
        <v>40</v>
      </c>
      <c r="D2929">
        <v>4.6852049999999998</v>
      </c>
      <c r="E2929">
        <v>0.50895379999999901</v>
      </c>
      <c r="F2929" t="s">
        <v>62</v>
      </c>
      <c r="G2929">
        <v>-491.63170000000002</v>
      </c>
      <c r="H2929" s="1">
        <v>3.0978830000000002E-6</v>
      </c>
      <c r="I2929">
        <v>216.40989999999999</v>
      </c>
      <c r="J2929">
        <v>-491.60640000000001</v>
      </c>
      <c r="K2929">
        <v>1.114706</v>
      </c>
      <c r="L2929">
        <v>266.173</v>
      </c>
      <c r="M2929">
        <v>-0.15482319999999999</v>
      </c>
      <c r="N2929">
        <v>-1.2509640000000001E-2</v>
      </c>
      <c r="O2929">
        <v>-0.98786289999999999</v>
      </c>
      <c r="P2929">
        <v>2.6415370000000001E-2</v>
      </c>
      <c r="Q2929">
        <v>0.16113359999999999</v>
      </c>
      <c r="R2929">
        <v>-0.98657899999999998</v>
      </c>
      <c r="S2929">
        <v>-2.4108889999999998E-3</v>
      </c>
      <c r="T2929">
        <v>-6.8198439999999999E-2</v>
      </c>
      <c r="U2929">
        <v>-3.051758</v>
      </c>
      <c r="V2929">
        <v>-0.1806219</v>
      </c>
      <c r="W2929">
        <v>0.17141879999999901</v>
      </c>
      <c r="X2929">
        <v>0.96849949999999996</v>
      </c>
      <c r="Y2929">
        <v>-0.15402089999999999</v>
      </c>
      <c r="Z2929">
        <v>9.2968159999999994E-3</v>
      </c>
      <c r="AA2929">
        <v>0.98802389999999995</v>
      </c>
      <c r="AB2929">
        <v>21</v>
      </c>
      <c r="AC2929">
        <v>-2.5300000000015602E-2</v>
      </c>
      <c r="AD2929">
        <v>-1.1147029021170001</v>
      </c>
      <c r="AE2929">
        <v>-49.763100000000001</v>
      </c>
      <c r="AF2929">
        <v>-7.6762393923527297</v>
      </c>
      <c r="AG2929">
        <v>-1.1147029021170001</v>
      </c>
      <c r="AH2929">
        <v>49.142230866705397</v>
      </c>
      <c r="AI2929">
        <v>91.283865256237107</v>
      </c>
      <c r="AJ2929">
        <v>98.878116342837998</v>
      </c>
      <c r="AK2929">
        <v>49.750638873538797</v>
      </c>
      <c r="AL2929">
        <v>80.129678454328598</v>
      </c>
      <c r="AM2929">
        <v>100.564109189699</v>
      </c>
      <c r="AN2929">
        <v>0.99999997862664902</v>
      </c>
    </row>
    <row r="2930" spans="1:40" x14ac:dyDescent="0.25">
      <c r="A2930" t="str">
        <f>"20190304155113675"</f>
        <v>20190304155113675</v>
      </c>
      <c r="B2930" t="str">
        <f>"1551685873669013"</f>
        <v>1551685873669013</v>
      </c>
      <c r="C2930" t="s">
        <v>40</v>
      </c>
      <c r="D2930">
        <v>4.6899389999999999</v>
      </c>
      <c r="E2930">
        <v>0.51007040000000003</v>
      </c>
      <c r="F2930" t="s">
        <v>62</v>
      </c>
      <c r="G2930">
        <v>-491.5385</v>
      </c>
      <c r="H2930" s="1">
        <v>3.0409279999999999E-6</v>
      </c>
      <c r="I2930">
        <v>214.7286</v>
      </c>
      <c r="J2930">
        <v>-491.62380000000002</v>
      </c>
      <c r="K2930">
        <v>1.114622</v>
      </c>
      <c r="L2930">
        <v>266.01900000000001</v>
      </c>
      <c r="M2930">
        <v>-0.14908560000000001</v>
      </c>
      <c r="N2930">
        <v>-1.2459390000000001E-2</v>
      </c>
      <c r="O2930">
        <v>-0.98874600000000001</v>
      </c>
      <c r="P2930">
        <v>2.8976180000000001E-2</v>
      </c>
      <c r="Q2930">
        <v>0.16167339999999999</v>
      </c>
      <c r="R2930">
        <v>-0.98641900000000005</v>
      </c>
      <c r="S2930">
        <v>4.0283200000000002E-3</v>
      </c>
      <c r="T2930">
        <v>-6.6121219999999994E-2</v>
      </c>
      <c r="U2930">
        <v>-3.0515439999999998</v>
      </c>
      <c r="V2930">
        <v>-0.17746229999999999</v>
      </c>
      <c r="W2930">
        <v>0.17198540000000001</v>
      </c>
      <c r="X2930">
        <v>0.96898309999999999</v>
      </c>
      <c r="Y2930">
        <v>-0.15037</v>
      </c>
      <c r="Z2930">
        <v>8.7173289999999994E-3</v>
      </c>
      <c r="AA2930">
        <v>0.98859140000000001</v>
      </c>
      <c r="AB2930">
        <v>21</v>
      </c>
      <c r="AC2930">
        <v>8.5300000000017903E-2</v>
      </c>
      <c r="AD2930">
        <v>-1.1146189590719999</v>
      </c>
      <c r="AE2930">
        <v>-51.290399999999998</v>
      </c>
      <c r="AF2930">
        <v>-7.72794907508829</v>
      </c>
      <c r="AG2930">
        <v>-1.1146189590719999</v>
      </c>
      <c r="AH2930">
        <v>50.680452045666897</v>
      </c>
      <c r="AI2930">
        <v>91.245515124016194</v>
      </c>
      <c r="AJ2930">
        <v>98.669895638638394</v>
      </c>
      <c r="AK2930">
        <v>51.278375480159497</v>
      </c>
      <c r="AL2930">
        <v>80.096725957085596</v>
      </c>
      <c r="AM2930">
        <v>100.378296949062</v>
      </c>
      <c r="AN2930">
        <v>1.0000000469100201</v>
      </c>
    </row>
    <row r="2931" spans="1:40" x14ac:dyDescent="0.25">
      <c r="A2931" t="str">
        <f>"20190304155113689"</f>
        <v>20190304155113689</v>
      </c>
      <c r="B2931" t="str">
        <f>"1551685873679748"</f>
        <v>1551685873679748</v>
      </c>
      <c r="C2931" t="s">
        <v>40</v>
      </c>
      <c r="D2931">
        <v>4.5654019999999997</v>
      </c>
      <c r="E2931">
        <v>0.51058979999999998</v>
      </c>
      <c r="F2931" t="s">
        <v>62</v>
      </c>
      <c r="G2931">
        <v>-491.55779999999999</v>
      </c>
      <c r="H2931" s="1">
        <v>2.896386E-6</v>
      </c>
      <c r="I2931">
        <v>211.5001</v>
      </c>
      <c r="J2931">
        <v>-491.63740000000001</v>
      </c>
      <c r="K2931">
        <v>1.114552</v>
      </c>
      <c r="L2931">
        <v>265.89429999999999</v>
      </c>
      <c r="M2931">
        <v>-0.14452379999999901</v>
      </c>
      <c r="N2931">
        <v>-1.2421089999999999E-2</v>
      </c>
      <c r="O2931">
        <v>-0.98942350000000001</v>
      </c>
      <c r="P2931">
        <v>3.1760820000000002E-2</v>
      </c>
      <c r="Q2931">
        <v>0.16176989999999999</v>
      </c>
      <c r="R2931">
        <v>-0.98631729999999995</v>
      </c>
      <c r="S2931">
        <v>3.692627E-3</v>
      </c>
      <c r="T2931">
        <v>-6.2385200000000002E-2</v>
      </c>
      <c r="U2931">
        <v>-3.0514220000000001</v>
      </c>
      <c r="V2931">
        <v>-0.17569309999999999</v>
      </c>
      <c r="W2931">
        <v>0.1720962</v>
      </c>
      <c r="X2931">
        <v>0.96928570000000003</v>
      </c>
      <c r="Y2931">
        <v>-0.14570229999999901</v>
      </c>
      <c r="Z2931">
        <v>7.58822199999999E-3</v>
      </c>
      <c r="AA2931">
        <v>0.98929940000000005</v>
      </c>
      <c r="AB2931">
        <v>21</v>
      </c>
      <c r="AC2931">
        <v>7.9600000000027593E-2</v>
      </c>
      <c r="AD2931">
        <v>-1.1145491036139901</v>
      </c>
      <c r="AE2931">
        <v>-54.394199999999898</v>
      </c>
      <c r="AF2931">
        <v>-7.93729362112951</v>
      </c>
      <c r="AG2931">
        <v>-1.1145491036139901</v>
      </c>
      <c r="AH2931">
        <v>53.788956339744502</v>
      </c>
      <c r="AI2931">
        <v>91.174330284129496</v>
      </c>
      <c r="AJ2931">
        <v>98.394195050844601</v>
      </c>
      <c r="AK2931">
        <v>54.382852755729303</v>
      </c>
      <c r="AL2931">
        <v>80.090280705453495</v>
      </c>
      <c r="AM2931">
        <v>100.27390678</v>
      </c>
      <c r="AN2931">
        <v>0.99999996783326905</v>
      </c>
    </row>
    <row r="2932" spans="1:40" x14ac:dyDescent="0.25">
      <c r="A2932" t="str">
        <f>"20190304155113702"</f>
        <v>20190304155113702</v>
      </c>
      <c r="B2932" t="str">
        <f>"1551685873699268"</f>
        <v>1551685873699268</v>
      </c>
      <c r="C2932" t="s">
        <v>40</v>
      </c>
      <c r="D2932">
        <v>4.6663509999999997</v>
      </c>
      <c r="E2932">
        <v>0.51219989999999904</v>
      </c>
      <c r="F2932" t="s">
        <v>62</v>
      </c>
      <c r="G2932">
        <v>-491.47770000000003</v>
      </c>
      <c r="H2932" s="1">
        <v>2.9305710000000002E-6</v>
      </c>
      <c r="I2932">
        <v>211.95699999999999</v>
      </c>
      <c r="J2932">
        <v>-491.64960000000002</v>
      </c>
      <c r="K2932">
        <v>1.1144769999999999</v>
      </c>
      <c r="L2932">
        <v>265.77609999999999</v>
      </c>
      <c r="M2932">
        <v>-0.14030790000000001</v>
      </c>
      <c r="N2932">
        <v>-1.238619E-2</v>
      </c>
      <c r="O2932">
        <v>-0.99003059999999998</v>
      </c>
      <c r="P2932">
        <v>3.4192449999999999E-2</v>
      </c>
      <c r="Q2932">
        <v>0.16224939999999999</v>
      </c>
      <c r="R2932">
        <v>-0.98615719999999996</v>
      </c>
      <c r="S2932">
        <v>9.0332030000000001E-3</v>
      </c>
      <c r="T2932">
        <v>-6.3059690000000002E-2</v>
      </c>
      <c r="U2932">
        <v>-3.0516969999999999</v>
      </c>
      <c r="V2932">
        <v>-0.17391229999999999</v>
      </c>
      <c r="W2932">
        <v>0.1725932</v>
      </c>
      <c r="X2932">
        <v>0.96951849999999995</v>
      </c>
      <c r="Y2932">
        <v>-0.14321909999999999</v>
      </c>
      <c r="Z2932">
        <v>7.8585809999999999E-3</v>
      </c>
      <c r="AA2932">
        <v>0.98965979999999998</v>
      </c>
      <c r="AB2932">
        <v>21</v>
      </c>
      <c r="AC2932">
        <v>0.171899999999993</v>
      </c>
      <c r="AD2932">
        <v>-1.1144740694289901</v>
      </c>
      <c r="AE2932">
        <v>-53.819099999999899</v>
      </c>
      <c r="AF2932">
        <v>-7.7187124770521702</v>
      </c>
      <c r="AG2932">
        <v>-1.1144740694289901</v>
      </c>
      <c r="AH2932">
        <v>53.239684861068703</v>
      </c>
      <c r="AI2932">
        <v>91.186801332659101</v>
      </c>
      <c r="AJ2932">
        <v>98.249289113636706</v>
      </c>
      <c r="AK2932">
        <v>53.807849045104298</v>
      </c>
      <c r="AL2932">
        <v>80.061372570681101</v>
      </c>
      <c r="AM2932">
        <v>100.169565551593</v>
      </c>
      <c r="AN2932">
        <v>1.0000000113098899</v>
      </c>
    </row>
    <row r="2933" spans="1:40" x14ac:dyDescent="0.25">
      <c r="A2933" t="str">
        <f>"20190304155113714"</f>
        <v>20190304155113714</v>
      </c>
      <c r="B2933" t="str">
        <f>"1551685873709028"</f>
        <v>1551685873709028</v>
      </c>
      <c r="C2933" t="s">
        <v>40</v>
      </c>
      <c r="D2933">
        <v>4.6544210000000001</v>
      </c>
      <c r="E2933">
        <v>0.51313299999999995</v>
      </c>
      <c r="F2933" t="s">
        <v>62</v>
      </c>
      <c r="G2933">
        <v>-491.58390000000003</v>
      </c>
      <c r="H2933" s="1">
        <v>2.8285990000000001E-6</v>
      </c>
      <c r="I2933">
        <v>210.05510000000001</v>
      </c>
      <c r="J2933">
        <v>-491.66120000000001</v>
      </c>
      <c r="K2933">
        <v>1.114401</v>
      </c>
      <c r="L2933">
        <v>265.66090000000003</v>
      </c>
      <c r="M2933">
        <v>-0.136267</v>
      </c>
      <c r="N2933">
        <v>-1.2352989999999999E-2</v>
      </c>
      <c r="O2933">
        <v>-0.99059520000000001</v>
      </c>
      <c r="P2933">
        <v>3.6512379999999997E-2</v>
      </c>
      <c r="Q2933">
        <v>0.1630364</v>
      </c>
      <c r="R2933">
        <v>-0.98594420000000005</v>
      </c>
      <c r="S2933">
        <v>3.6010740000000001E-3</v>
      </c>
      <c r="T2933">
        <v>-6.104362E-2</v>
      </c>
      <c r="U2933">
        <v>-3.0520320000000001</v>
      </c>
      <c r="V2933">
        <v>-0.17219209999999999</v>
      </c>
      <c r="W2933">
        <v>0.17339769999999999</v>
      </c>
      <c r="X2933">
        <v>0.96968200000000004</v>
      </c>
      <c r="Y2933">
        <v>-0.1374185</v>
      </c>
      <c r="Z2933">
        <v>7.2692700000000004E-3</v>
      </c>
      <c r="AA2933">
        <v>0.99048639999999999</v>
      </c>
      <c r="AB2933">
        <v>21</v>
      </c>
      <c r="AC2933">
        <v>7.7299999999979704E-2</v>
      </c>
      <c r="AD2933">
        <v>-1.1143981714010001</v>
      </c>
      <c r="AE2933">
        <v>-55.605800000000002</v>
      </c>
      <c r="AF2933">
        <v>-7.6513189573178302</v>
      </c>
      <c r="AG2933">
        <v>-1.1143981714010001</v>
      </c>
      <c r="AH2933">
        <v>55.054391433865099</v>
      </c>
      <c r="AI2933">
        <v>91.148573325725593</v>
      </c>
      <c r="AJ2933">
        <v>97.9121408167168</v>
      </c>
      <c r="AK2933">
        <v>55.594699218758898</v>
      </c>
      <c r="AL2933">
        <v>80.014572695428299</v>
      </c>
      <c r="AM2933">
        <v>100.0693821341</v>
      </c>
      <c r="AN2933">
        <v>1.0000000313958399</v>
      </c>
    </row>
    <row r="2934" spans="1:40" x14ac:dyDescent="0.25">
      <c r="A2934" t="str">
        <f>"20190304155113732"</f>
        <v>20190304155113732</v>
      </c>
      <c r="B2934" t="str">
        <f>"1551685873729525"</f>
        <v>1551685873729525</v>
      </c>
      <c r="C2934" t="s">
        <v>40</v>
      </c>
      <c r="D2934">
        <v>4.5651469999999996</v>
      </c>
      <c r="E2934">
        <v>0.51395239999999998</v>
      </c>
      <c r="F2934" t="s">
        <v>62</v>
      </c>
      <c r="G2934">
        <v>-491.59019999999998</v>
      </c>
      <c r="H2934" s="1">
        <v>1.164322E-6</v>
      </c>
      <c r="I2934">
        <v>203.37479999999999</v>
      </c>
      <c r="J2934">
        <v>-491.67649999999998</v>
      </c>
      <c r="K2934">
        <v>1.1142890000000001</v>
      </c>
      <c r="L2934">
        <v>265.5034</v>
      </c>
      <c r="M2934">
        <v>-0.13085169999999999</v>
      </c>
      <c r="N2934">
        <v>-1.230875E-2</v>
      </c>
      <c r="O2934">
        <v>-0.99132549999999997</v>
      </c>
      <c r="P2934">
        <v>3.7979489999999998E-2</v>
      </c>
      <c r="Q2934">
        <v>0.1628308</v>
      </c>
      <c r="R2934">
        <v>-0.98592290000000005</v>
      </c>
      <c r="S2934">
        <v>3.479004E-3</v>
      </c>
      <c r="T2934">
        <v>-5.4599759999999997E-2</v>
      </c>
      <c r="U2934">
        <v>-3.0516969999999999</v>
      </c>
      <c r="V2934">
        <v>-0.1682833</v>
      </c>
      <c r="W2934">
        <v>0.173238</v>
      </c>
      <c r="X2934">
        <v>0.9703965</v>
      </c>
      <c r="Y2934">
        <v>-0.1319671</v>
      </c>
      <c r="Z2934">
        <v>5.2707269999999898E-3</v>
      </c>
      <c r="AA2934">
        <v>0.99124009999999996</v>
      </c>
      <c r="AB2934">
        <v>21</v>
      </c>
      <c r="AC2934">
        <v>8.6299999999994201E-2</v>
      </c>
      <c r="AD2934">
        <v>-1.1142878356779999</v>
      </c>
      <c r="AE2934">
        <v>-62.128599999999999</v>
      </c>
      <c r="AF2934">
        <v>-8.2131651117980091</v>
      </c>
      <c r="AG2934">
        <v>-1.1142878356779999</v>
      </c>
      <c r="AH2934">
        <v>61.563237629402998</v>
      </c>
      <c r="AI2934">
        <v>91.0278296049635</v>
      </c>
      <c r="AJ2934">
        <v>97.598971691026193</v>
      </c>
      <c r="AK2934">
        <v>62.1186763055101</v>
      </c>
      <c r="AL2934">
        <v>80.023863327530705</v>
      </c>
      <c r="AM2934">
        <v>99.838220696183996</v>
      </c>
      <c r="AN2934">
        <v>1.0000000204575601</v>
      </c>
    </row>
    <row r="2935" spans="1:40" x14ac:dyDescent="0.25">
      <c r="A2935" t="str">
        <f>"20190304155113745"</f>
        <v>20190304155113745</v>
      </c>
      <c r="B2935" t="str">
        <f>"1551685873739285"</f>
        <v>1551685873739285</v>
      </c>
      <c r="C2935" t="s">
        <v>40</v>
      </c>
      <c r="D2935">
        <v>4.6375760000000001</v>
      </c>
      <c r="E2935">
        <v>0.53559709999999905</v>
      </c>
      <c r="F2935" t="s">
        <v>62</v>
      </c>
      <c r="G2935">
        <v>-491.6388</v>
      </c>
      <c r="H2935" s="1">
        <v>2.5138179999999998E-7</v>
      </c>
      <c r="I2935">
        <v>200.42779999999999</v>
      </c>
      <c r="J2935">
        <v>-491.68790000000001</v>
      </c>
      <c r="K2935">
        <v>1.114198</v>
      </c>
      <c r="L2935">
        <v>265.38139999999999</v>
      </c>
      <c r="M2935">
        <v>-0.1267633</v>
      </c>
      <c r="N2935">
        <v>-1.227542E-2</v>
      </c>
      <c r="O2935">
        <v>-0.99185719999999999</v>
      </c>
      <c r="P2935">
        <v>3.9970180000000001E-2</v>
      </c>
      <c r="Q2935">
        <v>0.1628049</v>
      </c>
      <c r="R2935">
        <v>-0.98584870000000002</v>
      </c>
      <c r="S2935">
        <v>1.77002E-3</v>
      </c>
      <c r="T2935">
        <v>-5.2248950000000002E-2</v>
      </c>
      <c r="U2935">
        <v>-3.0513919999999999</v>
      </c>
      <c r="V2935">
        <v>-0.16619970000000001</v>
      </c>
      <c r="W2935">
        <v>0.173239</v>
      </c>
      <c r="X2935">
        <v>0.97075529999999999</v>
      </c>
      <c r="Y2935">
        <v>-0.1273251</v>
      </c>
      <c r="Z2935">
        <v>4.5682709999999996E-3</v>
      </c>
      <c r="AA2935">
        <v>0.99185049999999997</v>
      </c>
      <c r="AB2935">
        <v>21</v>
      </c>
      <c r="AC2935">
        <v>4.91000000000099E-2</v>
      </c>
      <c r="AD2935">
        <v>-1.1141977486182</v>
      </c>
      <c r="AE2935">
        <v>-64.953599999999994</v>
      </c>
      <c r="AF2935">
        <v>-8.2806190374417596</v>
      </c>
      <c r="AG2935">
        <v>-1.1141977486182</v>
      </c>
      <c r="AH2935">
        <v>64.404364249114096</v>
      </c>
      <c r="AI2935">
        <v>90.983029869994098</v>
      </c>
      <c r="AJ2935">
        <v>97.326457349098604</v>
      </c>
      <c r="AK2935">
        <v>64.944069957147207</v>
      </c>
      <c r="AL2935">
        <v>80.023804663158401</v>
      </c>
      <c r="AM2935">
        <v>99.715222330288597</v>
      </c>
      <c r="AN2935">
        <v>0.99999997193958901</v>
      </c>
    </row>
    <row r="2936" spans="1:40" x14ac:dyDescent="0.25">
      <c r="A2936" t="str">
        <f>"20190304155113758"</f>
        <v>20190304155113758</v>
      </c>
      <c r="B2936" t="str">
        <f>"1551685873749045"</f>
        <v>1551685873749045</v>
      </c>
      <c r="C2936" t="s">
        <v>40</v>
      </c>
      <c r="D2936">
        <v>4.6633740000000001</v>
      </c>
      <c r="E2936">
        <v>0.53593519999999994</v>
      </c>
      <c r="F2936" t="s">
        <v>53</v>
      </c>
      <c r="G2936">
        <v>0</v>
      </c>
      <c r="H2936">
        <v>0</v>
      </c>
      <c r="I2936">
        <v>0</v>
      </c>
      <c r="J2936">
        <v>-491.69850000000002</v>
      </c>
      <c r="K2936">
        <v>1.1141049999999999</v>
      </c>
      <c r="L2936">
        <v>265.26319999999998</v>
      </c>
      <c r="M2936">
        <v>-0.1229122</v>
      </c>
      <c r="N2936">
        <v>-1.224449E-2</v>
      </c>
      <c r="O2936">
        <v>-0.9923421</v>
      </c>
      <c r="P2936">
        <v>4.157491E-2</v>
      </c>
      <c r="Q2936">
        <v>0.1631881</v>
      </c>
      <c r="R2936">
        <v>-0.98571900000000001</v>
      </c>
      <c r="S2936">
        <v>-0.16467290000000001</v>
      </c>
      <c r="T2936">
        <v>9.0732569999999995E-3</v>
      </c>
      <c r="U2936">
        <v>-3.0482480000000001</v>
      </c>
      <c r="V2936">
        <v>-0.16396350000000001</v>
      </c>
      <c r="W2936">
        <v>0.17365169999999999</v>
      </c>
      <c r="X2936">
        <v>0.97106179999999997</v>
      </c>
      <c r="Y2936">
        <v>-6.9210359999999999E-2</v>
      </c>
      <c r="Z2936">
        <v>-1.5140509999999999E-2</v>
      </c>
      <c r="AA2936">
        <v>0.99748720000000002</v>
      </c>
      <c r="AB2936">
        <v>21</v>
      </c>
      <c r="AC2936">
        <v>-0.16467290000000001</v>
      </c>
      <c r="AD2936">
        <v>9.0732569999999995E-3</v>
      </c>
      <c r="AE2936">
        <v>-3.0482480000000001</v>
      </c>
      <c r="AF2936">
        <v>-0.211268969312982</v>
      </c>
      <c r="AG2936">
        <v>9.0732569999999995E-3</v>
      </c>
      <c r="AH2936">
        <v>3.0453462545826202</v>
      </c>
      <c r="AI2936">
        <v>89.829703662794699</v>
      </c>
      <c r="AJ2936">
        <v>93.968500061150095</v>
      </c>
      <c r="AK2936">
        <v>3.0526792677396601</v>
      </c>
      <c r="AL2936">
        <v>79.999794878145096</v>
      </c>
      <c r="AM2936">
        <v>99.583977419091696</v>
      </c>
      <c r="AN2936">
        <v>0.99999998083218899</v>
      </c>
    </row>
    <row r="2937" spans="1:40" x14ac:dyDescent="0.25">
      <c r="A2937" t="str">
        <f>"20190304155113778"</f>
        <v>20190304155113778</v>
      </c>
      <c r="B2937" t="str">
        <f>"1551685873769540"</f>
        <v>1551685873769540</v>
      </c>
      <c r="C2937" t="s">
        <v>40</v>
      </c>
      <c r="D2937">
        <v>4.7758919999999998</v>
      </c>
      <c r="E2937">
        <v>0.51929840000000005</v>
      </c>
      <c r="F2937" t="s">
        <v>53</v>
      </c>
      <c r="G2937">
        <v>0</v>
      </c>
      <c r="H2937">
        <v>0</v>
      </c>
      <c r="I2937">
        <v>0</v>
      </c>
      <c r="J2937">
        <v>-491.71370000000002</v>
      </c>
      <c r="K2937">
        <v>1.113966</v>
      </c>
      <c r="L2937">
        <v>265.08749999999998</v>
      </c>
      <c r="M2937">
        <v>-0.1173478</v>
      </c>
      <c r="N2937">
        <v>-1.220021E-2</v>
      </c>
      <c r="O2937">
        <v>-0.99301609999999996</v>
      </c>
      <c r="P2937">
        <v>4.3147440000000002E-2</v>
      </c>
      <c r="Q2937">
        <v>0.16484570000000001</v>
      </c>
      <c r="R2937">
        <v>-0.98537540000000001</v>
      </c>
      <c r="S2937">
        <v>-0.16195680000000001</v>
      </c>
      <c r="T2937">
        <v>1.8331170000000001E-2</v>
      </c>
      <c r="U2937">
        <v>-3.0473020000000002</v>
      </c>
      <c r="V2937">
        <v>-0.15998129999999999</v>
      </c>
      <c r="W2937">
        <v>0.175361299999999</v>
      </c>
      <c r="X2937">
        <v>0.97141869999999997</v>
      </c>
      <c r="Y2937">
        <v>-6.4491499999999993E-2</v>
      </c>
      <c r="Z2937">
        <v>-1.8104149999999999E-2</v>
      </c>
      <c r="AA2937">
        <v>0.99775400000000003</v>
      </c>
      <c r="AB2937">
        <v>21</v>
      </c>
      <c r="AC2937">
        <v>-0.16195680000000001</v>
      </c>
      <c r="AD2937">
        <v>1.8331170000000001E-2</v>
      </c>
      <c r="AE2937">
        <v>-3.0473020000000002</v>
      </c>
      <c r="AF2937">
        <v>-0.19677598866192</v>
      </c>
      <c r="AG2937">
        <v>1.8331170000000001E-2</v>
      </c>
      <c r="AH2937">
        <v>3.0451414856036401</v>
      </c>
      <c r="AI2937">
        <v>89.655812365462594</v>
      </c>
      <c r="AJ2937">
        <v>93.697292894436004</v>
      </c>
      <c r="AK2937">
        <v>3.05154772023179</v>
      </c>
      <c r="AL2937">
        <v>79.900315237635397</v>
      </c>
      <c r="AM2937">
        <v>99.351998787370604</v>
      </c>
      <c r="AN2937">
        <v>0.99999994629853295</v>
      </c>
    </row>
    <row r="2938" spans="1:40" x14ac:dyDescent="0.25">
      <c r="A2938" t="str">
        <f>"20190304155113800"</f>
        <v>20190304155113800</v>
      </c>
      <c r="B2938" t="str">
        <f>"1551685873789761"</f>
        <v>1551685873789761</v>
      </c>
      <c r="C2938" t="s">
        <v>40</v>
      </c>
      <c r="D2938">
        <v>4.7808289999999998</v>
      </c>
      <c r="E2938">
        <v>0.51916479999999998</v>
      </c>
      <c r="F2938" t="s">
        <v>62</v>
      </c>
      <c r="G2938">
        <v>-492.01530000000002</v>
      </c>
      <c r="H2938" s="1">
        <v>5.6079579999999996E-6</v>
      </c>
      <c r="I2938">
        <v>227.78059999999999</v>
      </c>
      <c r="J2938">
        <v>-491.73059999999998</v>
      </c>
      <c r="K2938">
        <v>1.113783</v>
      </c>
      <c r="L2938">
        <v>264.87990000000002</v>
      </c>
      <c r="M2938">
        <v>-0.1110691</v>
      </c>
      <c r="N2938">
        <v>-1.215018E-2</v>
      </c>
      <c r="O2938">
        <v>-0.99373849999999997</v>
      </c>
      <c r="P2938">
        <v>4.572818E-2</v>
      </c>
      <c r="Q2938">
        <v>0.166103</v>
      </c>
      <c r="R2938">
        <v>-0.98504780000000003</v>
      </c>
      <c r="S2938">
        <v>-2.4749759999999999E-2</v>
      </c>
      <c r="T2938">
        <v>-9.1397049999999994E-2</v>
      </c>
      <c r="U2938">
        <v>-3.0609130000000002</v>
      </c>
      <c r="V2938">
        <v>-0.15628529999999999</v>
      </c>
      <c r="W2938">
        <v>0.17667459999999999</v>
      </c>
      <c r="X2938">
        <v>0.97178240000000005</v>
      </c>
      <c r="Y2938">
        <v>-0.1030129</v>
      </c>
      <c r="Z2938">
        <v>1.7347789999999998E-2</v>
      </c>
      <c r="AA2938">
        <v>0.99452870000000004</v>
      </c>
      <c r="AB2938">
        <v>21</v>
      </c>
      <c r="AC2938">
        <v>-0.28470000000004297</v>
      </c>
      <c r="AD2938">
        <v>-1.113777392042</v>
      </c>
      <c r="AE2938">
        <v>-37.099299999999999</v>
      </c>
      <c r="AF2938">
        <v>-3.83449567591299</v>
      </c>
      <c r="AG2938">
        <v>-1.113777392042</v>
      </c>
      <c r="AH2938">
        <v>36.868117761384497</v>
      </c>
      <c r="AI2938">
        <v>91.721088103311303</v>
      </c>
      <c r="AJ2938">
        <v>95.937741159309695</v>
      </c>
      <c r="AK2938">
        <v>37.0837156233694</v>
      </c>
      <c r="AL2938">
        <v>79.823875988275304</v>
      </c>
      <c r="AM2938">
        <v>99.136267901720402</v>
      </c>
      <c r="AN2938">
        <v>1.0000000211155</v>
      </c>
    </row>
    <row r="2939" spans="1:40" x14ac:dyDescent="0.25">
      <c r="A2939" t="str">
        <f>"20190304155113821"</f>
        <v>20190304155113821</v>
      </c>
      <c r="B2939" t="str">
        <f>"1551685873819042"</f>
        <v>1551685873819042</v>
      </c>
      <c r="C2939" t="s">
        <v>40</v>
      </c>
      <c r="D2939">
        <v>4.7895500000000002</v>
      </c>
      <c r="E2939">
        <v>0.51905970000000001</v>
      </c>
      <c r="F2939" t="s">
        <v>41</v>
      </c>
      <c r="G2939">
        <v>-491.91309999999999</v>
      </c>
      <c r="H2939" s="1">
        <v>-7.6476669999999998E-7</v>
      </c>
      <c r="I2939">
        <v>230.18520000000001</v>
      </c>
      <c r="J2939">
        <v>-491.74579999999997</v>
      </c>
      <c r="K2939">
        <v>1.113599</v>
      </c>
      <c r="L2939">
        <v>264.6832</v>
      </c>
      <c r="M2939">
        <v>-0.10541780000000001</v>
      </c>
      <c r="N2939">
        <v>-1.210499E-2</v>
      </c>
      <c r="O2939">
        <v>-0.99435450000000003</v>
      </c>
      <c r="P2939">
        <v>4.7985960000000001E-2</v>
      </c>
      <c r="Q2939">
        <v>0.16534699999999999</v>
      </c>
      <c r="R2939">
        <v>-0.98506769999999999</v>
      </c>
      <c r="S2939">
        <v>-1.6113280000000001E-2</v>
      </c>
      <c r="T2939">
        <v>-9.8325490000000002E-2</v>
      </c>
      <c r="U2939">
        <v>-3.0628660000000001</v>
      </c>
      <c r="V2939">
        <v>-0.15291150000000001</v>
      </c>
      <c r="W2939">
        <v>0.17597479999999999</v>
      </c>
      <c r="X2939">
        <v>0.97244580000000003</v>
      </c>
      <c r="Y2939">
        <v>-0.10016659999999999</v>
      </c>
      <c r="Z2939">
        <v>1.9639139999999999E-2</v>
      </c>
      <c r="AA2939">
        <v>0.99477680000000002</v>
      </c>
      <c r="AB2939">
        <v>21</v>
      </c>
      <c r="AC2939">
        <v>-0.167300000000011</v>
      </c>
      <c r="AD2939">
        <v>-1.1135997647667</v>
      </c>
      <c r="AE2939">
        <v>-34.497999999999898</v>
      </c>
      <c r="AF2939">
        <v>-3.4669889541229502</v>
      </c>
      <c r="AG2939">
        <v>-1.1135997647667</v>
      </c>
      <c r="AH2939">
        <v>34.287660216623301</v>
      </c>
      <c r="AI2939">
        <v>91.850776349530406</v>
      </c>
      <c r="AJ2939">
        <v>95.773825484730494</v>
      </c>
      <c r="AK2939">
        <v>34.480483754940501</v>
      </c>
      <c r="AL2939">
        <v>79.864609015210306</v>
      </c>
      <c r="AM2939">
        <v>98.936258793010197</v>
      </c>
      <c r="AN2939">
        <v>0.99999994550246296</v>
      </c>
    </row>
    <row r="2940" spans="1:40" x14ac:dyDescent="0.25">
      <c r="A2940" t="str">
        <f>"20190304155113837"</f>
        <v>20190304155113837</v>
      </c>
      <c r="B2940" t="str">
        <f>"1551685873829777"</f>
        <v>1551685873829777</v>
      </c>
      <c r="C2940" t="s">
        <v>40</v>
      </c>
      <c r="D2940">
        <v>4.7686510000000002</v>
      </c>
      <c r="E2940">
        <v>0.51913900000000002</v>
      </c>
      <c r="F2940" t="s">
        <v>41</v>
      </c>
      <c r="G2940">
        <v>-491.83800000000002</v>
      </c>
      <c r="H2940" s="1">
        <v>-1.5040809999999901E-6</v>
      </c>
      <c r="I2940">
        <v>231.95509999999999</v>
      </c>
      <c r="J2940">
        <v>-491.75619999999998</v>
      </c>
      <c r="K2940">
        <v>1.11347</v>
      </c>
      <c r="L2940">
        <v>264.54169999999999</v>
      </c>
      <c r="M2940">
        <v>-0.101547</v>
      </c>
      <c r="N2940">
        <v>-1.207162E-2</v>
      </c>
      <c r="O2940">
        <v>-0.99475769999999997</v>
      </c>
      <c r="P2940">
        <v>4.9840719999999998E-2</v>
      </c>
      <c r="Q2940">
        <v>0.1647187</v>
      </c>
      <c r="R2940">
        <v>-0.98508079999999998</v>
      </c>
      <c r="S2940">
        <v>-8.6364749999999994E-3</v>
      </c>
      <c r="T2940">
        <v>-0.10423449999999999</v>
      </c>
      <c r="U2940">
        <v>-3.0633849999999998</v>
      </c>
      <c r="V2940">
        <v>-0.15090419999999999</v>
      </c>
      <c r="W2940">
        <v>0.17538099999999901</v>
      </c>
      <c r="X2940">
        <v>0.97286660000000003</v>
      </c>
      <c r="Y2940">
        <v>-9.8722309999999994E-2</v>
      </c>
      <c r="Z2940">
        <v>2.159409E-2</v>
      </c>
      <c r="AA2940">
        <v>0.99488069999999895</v>
      </c>
      <c r="AB2940">
        <v>21</v>
      </c>
      <c r="AC2940">
        <v>-8.1800000000043796E-2</v>
      </c>
      <c r="AD2940">
        <v>-1.1134715040809999</v>
      </c>
      <c r="AE2940">
        <v>-32.586599999999997</v>
      </c>
      <c r="AF2940">
        <v>-3.2241704522163901</v>
      </c>
      <c r="AG2940">
        <v>-1.1134715040809999</v>
      </c>
      <c r="AH2940">
        <v>32.388618587921897</v>
      </c>
      <c r="AI2940">
        <v>91.959290164982605</v>
      </c>
      <c r="AJ2940">
        <v>95.684860062437494</v>
      </c>
      <c r="AK2940">
        <v>32.567740295102197</v>
      </c>
      <c r="AL2940">
        <v>79.899169260972798</v>
      </c>
      <c r="AM2940">
        <v>98.817052128448594</v>
      </c>
      <c r="AN2940">
        <v>0.99999999706709997</v>
      </c>
    </row>
    <row r="2941" spans="1:40" x14ac:dyDescent="0.25">
      <c r="A2941" t="str">
        <f>"20190304155113855"</f>
        <v>20190304155113855</v>
      </c>
      <c r="B2941" t="str">
        <f>"1551685873849297"</f>
        <v>1551685873849297</v>
      </c>
      <c r="C2941" t="s">
        <v>40</v>
      </c>
      <c r="D2941">
        <v>4.7991849999999996</v>
      </c>
      <c r="E2941">
        <v>0.51956519999999995</v>
      </c>
      <c r="F2941" t="s">
        <v>41</v>
      </c>
      <c r="G2941">
        <v>-491.7885</v>
      </c>
      <c r="H2941" s="1">
        <v>-1.855274E-6</v>
      </c>
      <c r="I2941">
        <v>232.80449999999999</v>
      </c>
      <c r="J2941">
        <v>-491.7679</v>
      </c>
      <c r="K2941">
        <v>1.1133120000000001</v>
      </c>
      <c r="L2941">
        <v>264.37880000000001</v>
      </c>
      <c r="M2941">
        <v>-9.7282060000000004E-2</v>
      </c>
      <c r="N2941">
        <v>-1.2031409999999999E-2</v>
      </c>
      <c r="O2941">
        <v>-0.99518419999999996</v>
      </c>
      <c r="P2941">
        <v>5.0863600000000002E-2</v>
      </c>
      <c r="Q2941">
        <v>0.1651628</v>
      </c>
      <c r="R2941">
        <v>-0.9849542</v>
      </c>
      <c r="S2941">
        <v>-3.112793E-3</v>
      </c>
      <c r="T2941">
        <v>-0.1074828</v>
      </c>
      <c r="U2941">
        <v>-3.0635680000000001</v>
      </c>
      <c r="V2941">
        <v>-0.14766760000000001</v>
      </c>
      <c r="W2941">
        <v>0.17586869999999999</v>
      </c>
      <c r="X2941">
        <v>0.97327509999999995</v>
      </c>
      <c r="Y2941">
        <v>-9.6250600000000006E-2</v>
      </c>
      <c r="Z2941">
        <v>2.2705840000000001E-2</v>
      </c>
      <c r="AA2941">
        <v>0.99509809999999999</v>
      </c>
      <c r="AB2941">
        <v>21</v>
      </c>
      <c r="AC2941">
        <v>-2.06000000000017E-2</v>
      </c>
      <c r="AD2941">
        <v>-1.1133138552740001</v>
      </c>
      <c r="AE2941">
        <v>-31.574300000000001</v>
      </c>
      <c r="AF2941">
        <v>-3.0475438470197198</v>
      </c>
      <c r="AG2941">
        <v>-1.1133138552740001</v>
      </c>
      <c r="AH2941">
        <v>31.3874975303853</v>
      </c>
      <c r="AI2941">
        <v>92.021928073770994</v>
      </c>
      <c r="AJ2941">
        <v>95.545704284886199</v>
      </c>
      <c r="AK2941">
        <v>31.554745957776301</v>
      </c>
      <c r="AL2941">
        <v>79.870784659049207</v>
      </c>
      <c r="AM2941">
        <v>98.6272538502445</v>
      </c>
      <c r="AN2941">
        <v>0.99999997000472896</v>
      </c>
    </row>
    <row r="2942" spans="1:40" x14ac:dyDescent="0.25">
      <c r="A2942" t="str">
        <f>"20190304155113867"</f>
        <v>20190304155113867</v>
      </c>
      <c r="B2942" t="str">
        <f>"1551685873859057"</f>
        <v>1551685873859057</v>
      </c>
      <c r="C2942" t="s">
        <v>40</v>
      </c>
      <c r="D2942">
        <v>4.71028</v>
      </c>
      <c r="E2942">
        <v>0.51956519999999995</v>
      </c>
      <c r="F2942" t="s">
        <v>41</v>
      </c>
      <c r="G2942">
        <v>-491.80509999999998</v>
      </c>
      <c r="H2942" s="1">
        <v>-1.8235899999999999E-6</v>
      </c>
      <c r="I2942">
        <v>232.72040000000001</v>
      </c>
      <c r="J2942">
        <v>-491.77620000000002</v>
      </c>
      <c r="K2942">
        <v>1.113199</v>
      </c>
      <c r="L2942">
        <v>264.25749999999999</v>
      </c>
      <c r="M2942">
        <v>-9.4223299999999996E-2</v>
      </c>
      <c r="N2942">
        <v>-1.2000759999999999E-2</v>
      </c>
      <c r="O2942">
        <v>-0.995479</v>
      </c>
      <c r="P2942">
        <v>5.2236959999999999E-2</v>
      </c>
      <c r="Q2942">
        <v>0.16554389999999999</v>
      </c>
      <c r="R2942">
        <v>-0.98481830000000004</v>
      </c>
      <c r="S2942">
        <v>-3.6010740000000001E-3</v>
      </c>
      <c r="T2942">
        <v>-0.107752</v>
      </c>
      <c r="U2942">
        <v>-3.0640559999999999</v>
      </c>
      <c r="V2942">
        <v>-0.1459771</v>
      </c>
      <c r="W2942">
        <v>0.17627379999999901</v>
      </c>
      <c r="X2942">
        <v>0.97345689999999996</v>
      </c>
      <c r="Y2942">
        <v>-9.3033790000000005E-2</v>
      </c>
      <c r="Z2942">
        <v>2.2838779999999999E-2</v>
      </c>
      <c r="AA2942">
        <v>0.99540099999999998</v>
      </c>
      <c r="AB2942">
        <v>21</v>
      </c>
      <c r="AC2942">
        <v>-2.88999999999646E-2</v>
      </c>
      <c r="AD2942">
        <v>-1.1132008235899999</v>
      </c>
      <c r="AE2942">
        <v>-31.537099999999899</v>
      </c>
      <c r="AF2942">
        <v>-2.9393092478473899</v>
      </c>
      <c r="AG2942">
        <v>-1.1132008235899999</v>
      </c>
      <c r="AH2942">
        <v>31.3604235457064</v>
      </c>
      <c r="AI2942">
        <v>92.024110727813607</v>
      </c>
      <c r="AJ2942">
        <v>95.354502111021802</v>
      </c>
      <c r="AK2942">
        <v>31.5175335312619</v>
      </c>
      <c r="AL2942">
        <v>79.847206608332101</v>
      </c>
      <c r="AM2942">
        <v>98.528380476720301</v>
      </c>
      <c r="AN2942">
        <v>1.00000005122422</v>
      </c>
    </row>
    <row r="2943" spans="1:40" x14ac:dyDescent="0.25">
      <c r="A2943" t="str">
        <f>"20190304155113889"</f>
        <v>20190304155113889</v>
      </c>
      <c r="B2943" t="str">
        <f>"1551685873879357"</f>
        <v>1551685873879357</v>
      </c>
      <c r="C2943" t="s">
        <v>40</v>
      </c>
      <c r="D2943">
        <v>4.7783579999999999</v>
      </c>
      <c r="E2943">
        <v>0.51048919999999998</v>
      </c>
      <c r="F2943" t="s">
        <v>41</v>
      </c>
      <c r="G2943">
        <v>-491.76409999999998</v>
      </c>
      <c r="H2943" s="1">
        <v>-1.61305E-6</v>
      </c>
      <c r="I2943">
        <v>232.255</v>
      </c>
      <c r="J2943">
        <v>-491.78890000000001</v>
      </c>
      <c r="K2943">
        <v>1.113011</v>
      </c>
      <c r="L2943">
        <v>264.0643</v>
      </c>
      <c r="M2943">
        <v>-8.9656959999999994E-2</v>
      </c>
      <c r="N2943">
        <v>-1.19527E-2</v>
      </c>
      <c r="O2943">
        <v>-0.99590120000000004</v>
      </c>
      <c r="P2943">
        <v>5.5633950000000001E-2</v>
      </c>
      <c r="Q2943">
        <v>0.1659979</v>
      </c>
      <c r="R2943">
        <v>-0.98455610000000005</v>
      </c>
      <c r="S2943">
        <v>1.159668E-3</v>
      </c>
      <c r="T2943">
        <v>-0.10658479999999999</v>
      </c>
      <c r="U2943">
        <v>-3.064117</v>
      </c>
      <c r="V2943">
        <v>-0.14478489999999999</v>
      </c>
      <c r="W2943">
        <v>0.17675489999999999</v>
      </c>
      <c r="X2943">
        <v>0.97354759999999996</v>
      </c>
      <c r="Y2943">
        <v>-9.0014880000000005E-2</v>
      </c>
      <c r="Z2943">
        <v>2.2535090000000001E-2</v>
      </c>
      <c r="AA2943">
        <v>0.9956855</v>
      </c>
      <c r="AB2943">
        <v>21</v>
      </c>
      <c r="AC2943">
        <v>2.4800000000027401E-2</v>
      </c>
      <c r="AD2943">
        <v>-1.11301261305</v>
      </c>
      <c r="AE2943">
        <v>-31.8093</v>
      </c>
      <c r="AF2943">
        <v>-2.8733105420437099</v>
      </c>
      <c r="AG2943">
        <v>-1.11301261305</v>
      </c>
      <c r="AH2943">
        <v>31.640215177952701</v>
      </c>
      <c r="AI2943">
        <v>92.006422011064103</v>
      </c>
      <c r="AJ2943">
        <v>95.188910338700794</v>
      </c>
      <c r="AK2943">
        <v>31.789902910436499</v>
      </c>
      <c r="AL2943">
        <v>79.819200795883702</v>
      </c>
      <c r="AM2943">
        <v>98.458964103236198</v>
      </c>
      <c r="AN2943">
        <v>0.99999994570388795</v>
      </c>
    </row>
    <row r="2944" spans="1:40" x14ac:dyDescent="0.25">
      <c r="A2944" t="str">
        <f>"20190304155113899"</f>
        <v>20190304155113899</v>
      </c>
      <c r="B2944" t="str">
        <f>"1551685873889118"</f>
        <v>1551685873889118</v>
      </c>
      <c r="C2944" t="s">
        <v>40</v>
      </c>
      <c r="D2944">
        <v>4.778378</v>
      </c>
      <c r="E2944">
        <v>0.50627690000000003</v>
      </c>
      <c r="F2944" t="s">
        <v>53</v>
      </c>
      <c r="G2944">
        <v>0</v>
      </c>
      <c r="H2944">
        <v>0</v>
      </c>
      <c r="I2944">
        <v>0</v>
      </c>
      <c r="J2944">
        <v>-491.79610000000002</v>
      </c>
      <c r="K2944">
        <v>1.112889</v>
      </c>
      <c r="L2944">
        <v>263.95069999999998</v>
      </c>
      <c r="M2944">
        <v>-8.7161150000000007E-2</v>
      </c>
      <c r="N2944">
        <v>-1.192612E-2</v>
      </c>
      <c r="O2944">
        <v>-0.99612290000000003</v>
      </c>
      <c r="P2944">
        <v>5.6894140000000003E-2</v>
      </c>
      <c r="Q2944">
        <v>0.16567979999999999</v>
      </c>
      <c r="R2944">
        <v>-0.98453740000000001</v>
      </c>
      <c r="S2944">
        <v>8.3404539999999999E-2</v>
      </c>
      <c r="T2944">
        <v>1.6130210000000001E-3</v>
      </c>
      <c r="U2944">
        <v>-3.0420530000000001</v>
      </c>
      <c r="V2944">
        <v>-0.1435399</v>
      </c>
      <c r="W2944">
        <v>0.17646300000000001</v>
      </c>
      <c r="X2944">
        <v>0.97378489999999995</v>
      </c>
      <c r="Y2944">
        <v>-0.1144273</v>
      </c>
      <c r="Z2944">
        <v>-1.246573E-2</v>
      </c>
      <c r="AA2944">
        <v>0.99335340000000005</v>
      </c>
      <c r="AB2944">
        <v>21</v>
      </c>
      <c r="AC2944">
        <v>8.3404539999999999E-2</v>
      </c>
      <c r="AD2944">
        <v>1.6130210000000001E-3</v>
      </c>
      <c r="AE2944">
        <v>-3.0420530000000001</v>
      </c>
      <c r="AF2944">
        <v>-0.34825465699103098</v>
      </c>
      <c r="AG2944">
        <v>1.6130210000000001E-3</v>
      </c>
      <c r="AH2944">
        <v>3.0232029806670799</v>
      </c>
      <c r="AI2944">
        <v>89.969630839256993</v>
      </c>
      <c r="AJ2944">
        <v>96.571162957230399</v>
      </c>
      <c r="AK2944">
        <v>3.0431957167206698</v>
      </c>
      <c r="AL2944">
        <v>79.836192697416706</v>
      </c>
      <c r="AM2944">
        <v>98.3852500328491</v>
      </c>
      <c r="AN2944">
        <v>0.99999996236450905</v>
      </c>
    </row>
    <row r="2945" spans="1:40" x14ac:dyDescent="0.25">
      <c r="A2945" t="str">
        <f>"20190304155113912"</f>
        <v>20190304155113912</v>
      </c>
      <c r="B2945" t="str">
        <f>"1551685873909614"</f>
        <v>1551685873909614</v>
      </c>
      <c r="C2945" t="s">
        <v>40</v>
      </c>
      <c r="D2945">
        <v>4.8194850000000002</v>
      </c>
      <c r="E2945">
        <v>0.50308520000000001</v>
      </c>
      <c r="F2945" t="s">
        <v>42</v>
      </c>
      <c r="G2945">
        <v>-485.18869999999998</v>
      </c>
      <c r="H2945">
        <v>-0.05</v>
      </c>
      <c r="I2945">
        <v>96.349850000000004</v>
      </c>
      <c r="J2945">
        <v>-491.80279999999999</v>
      </c>
      <c r="K2945">
        <v>1.1127750000000001</v>
      </c>
      <c r="L2945">
        <v>263.84460000000001</v>
      </c>
      <c r="M2945">
        <v>-8.4887190000000001E-2</v>
      </c>
      <c r="N2945">
        <v>-1.190225E-2</v>
      </c>
      <c r="O2945">
        <v>-0.99631950000000002</v>
      </c>
      <c r="P2945">
        <v>5.778374E-2</v>
      </c>
      <c r="Q2945">
        <v>0.16522439999999999</v>
      </c>
      <c r="R2945">
        <v>-0.98456200000000005</v>
      </c>
      <c r="S2945">
        <v>0.11999509999999999</v>
      </c>
      <c r="T2945">
        <v>-2.111876E-2</v>
      </c>
      <c r="U2945">
        <v>-3.0437319999999999</v>
      </c>
      <c r="V2945">
        <v>-0.142151799999999</v>
      </c>
      <c r="W2945">
        <v>0.176033</v>
      </c>
      <c r="X2945">
        <v>0.97406630000000005</v>
      </c>
      <c r="Y2945">
        <v>-0.1240638</v>
      </c>
      <c r="Z2945">
        <v>-5.051196E-3</v>
      </c>
      <c r="AA2945">
        <v>0.99226139999999996</v>
      </c>
      <c r="AB2945">
        <v>21</v>
      </c>
      <c r="AC2945">
        <v>6.6140999999999996</v>
      </c>
      <c r="AD2945">
        <v>-1.1627749999999999</v>
      </c>
      <c r="AE2945">
        <v>-167.49475000000001</v>
      </c>
      <c r="AF2945">
        <v>-20.808387756809601</v>
      </c>
      <c r="AG2945">
        <v>-1.1627749999999999</v>
      </c>
      <c r="AH2945">
        <v>166.32060816115401</v>
      </c>
      <c r="AI2945">
        <v>90.397459341422305</v>
      </c>
      <c r="AJ2945">
        <v>97.131227424753703</v>
      </c>
      <c r="AK2945">
        <v>167.62125684361899</v>
      </c>
      <c r="AL2945">
        <v>79.861221607778006</v>
      </c>
      <c r="AM2945">
        <v>98.302931273898906</v>
      </c>
      <c r="AN2945">
        <v>0.99999995406396402</v>
      </c>
    </row>
    <row r="2946" spans="1:40" x14ac:dyDescent="0.25">
      <c r="A2946" t="str">
        <f>"20190304155113927"</f>
        <v>20190304155113927</v>
      </c>
      <c r="B2946" t="str">
        <f>"1551685873919373"</f>
        <v>1551685873919373</v>
      </c>
      <c r="C2946" t="s">
        <v>40</v>
      </c>
      <c r="D2946">
        <v>4.7714610000000004</v>
      </c>
      <c r="E2946">
        <v>0.50233850000000002</v>
      </c>
      <c r="F2946" t="s">
        <v>41</v>
      </c>
      <c r="G2946">
        <v>-487.4606</v>
      </c>
      <c r="H2946" s="1">
        <v>-2.484657E-6</v>
      </c>
      <c r="I2946">
        <v>174.37459999999999</v>
      </c>
      <c r="J2946">
        <v>-491.81139999999999</v>
      </c>
      <c r="K2946">
        <v>1.1126290000000001</v>
      </c>
      <c r="L2946">
        <v>263.70330000000001</v>
      </c>
      <c r="M2946">
        <v>-8.1981499999999999E-2</v>
      </c>
      <c r="N2946">
        <v>-1.187206E-2</v>
      </c>
      <c r="O2946">
        <v>-0.99656330000000004</v>
      </c>
      <c r="P2946">
        <v>5.9404650000000003E-2</v>
      </c>
      <c r="Q2946">
        <v>0.16463179999999999</v>
      </c>
      <c r="R2946">
        <v>-0.98456460000000001</v>
      </c>
      <c r="S2946">
        <v>0.14776610000000001</v>
      </c>
      <c r="T2946">
        <v>-3.786838E-2</v>
      </c>
      <c r="U2946">
        <v>-3.044708</v>
      </c>
      <c r="V2946">
        <v>-0.14085629999999999</v>
      </c>
      <c r="W2946">
        <v>0.17546919999999999</v>
      </c>
      <c r="X2946">
        <v>0.97435620000000001</v>
      </c>
      <c r="Y2946">
        <v>-0.13018399999999999</v>
      </c>
      <c r="Z2946">
        <v>4.17799E-4</v>
      </c>
      <c r="AA2946">
        <v>0.99148979999999998</v>
      </c>
      <c r="AB2946">
        <v>21</v>
      </c>
      <c r="AC2946">
        <v>4.3507999999999898</v>
      </c>
      <c r="AD2946">
        <v>-1.112631484657</v>
      </c>
      <c r="AE2946">
        <v>-89.328699999999998</v>
      </c>
      <c r="AF2946">
        <v>-11.658163927717499</v>
      </c>
      <c r="AG2946">
        <v>-1.112631484657</v>
      </c>
      <c r="AH2946">
        <v>88.657532083873207</v>
      </c>
      <c r="AI2946">
        <v>90.712874781968395</v>
      </c>
      <c r="AJ2946">
        <v>97.491219661910094</v>
      </c>
      <c r="AK2946">
        <v>89.427673178883495</v>
      </c>
      <c r="AL2946">
        <v>79.894035906454903</v>
      </c>
      <c r="AM2946">
        <v>98.225888654215893</v>
      </c>
      <c r="AN2946">
        <v>0.999999970938384</v>
      </c>
    </row>
    <row r="2947" spans="1:40" x14ac:dyDescent="0.25">
      <c r="A2947" t="str">
        <f>"20190304155113943"</f>
        <v>20190304155113943</v>
      </c>
      <c r="B2947" t="str">
        <f>"1551685873939869"</f>
        <v>1551685873939869</v>
      </c>
      <c r="C2947" t="s">
        <v>40</v>
      </c>
      <c r="D2947">
        <v>4.8487019999999896</v>
      </c>
      <c r="E2947">
        <v>0.50193729999999903</v>
      </c>
      <c r="F2947" t="s">
        <v>41</v>
      </c>
      <c r="G2947">
        <v>-487.89170000000001</v>
      </c>
      <c r="H2947" s="1">
        <v>-4.1932940000000004E-6</v>
      </c>
      <c r="I2947">
        <v>188.53569999999999</v>
      </c>
      <c r="J2947">
        <v>-491.82010000000002</v>
      </c>
      <c r="K2947">
        <v>1.112474</v>
      </c>
      <c r="L2947">
        <v>263.55590000000001</v>
      </c>
      <c r="M2947">
        <v>-7.9185530000000004E-2</v>
      </c>
      <c r="N2947">
        <v>-1.184202E-2</v>
      </c>
      <c r="O2947">
        <v>-0.99678960000000005</v>
      </c>
      <c r="P2947">
        <v>5.9212580000000001E-2</v>
      </c>
      <c r="Q2947">
        <v>0.1642035</v>
      </c>
      <c r="R2947">
        <v>-0.98464779999999996</v>
      </c>
      <c r="S2947">
        <v>0.15878299999999901</v>
      </c>
      <c r="T2947">
        <v>-4.5071960000000001E-2</v>
      </c>
      <c r="U2947">
        <v>-3.0449830000000002</v>
      </c>
      <c r="V2947">
        <v>-0.13786570000000001</v>
      </c>
      <c r="W2947">
        <v>0.17508379999999901</v>
      </c>
      <c r="X2947">
        <v>0.97485319999999998</v>
      </c>
      <c r="Y2947">
        <v>-0.13097420000000001</v>
      </c>
      <c r="Z2947">
        <v>2.7906989999999998E-3</v>
      </c>
      <c r="AA2947">
        <v>0.99138179999999998</v>
      </c>
      <c r="AB2947">
        <v>21</v>
      </c>
      <c r="AC2947">
        <v>3.9284000000000101</v>
      </c>
      <c r="AD2947">
        <v>-1.112478193294</v>
      </c>
      <c r="AE2947">
        <v>-75.020200000000003</v>
      </c>
      <c r="AF2947">
        <v>-9.8548321332319393</v>
      </c>
      <c r="AG2947">
        <v>-1.112478193294</v>
      </c>
      <c r="AH2947">
        <v>74.457173037568495</v>
      </c>
      <c r="AI2947">
        <v>90.848603425750099</v>
      </c>
      <c r="AJ2947">
        <v>97.539601149480802</v>
      </c>
      <c r="AK2947">
        <v>75.114751819141006</v>
      </c>
      <c r="AL2947">
        <v>79.916465468543294</v>
      </c>
      <c r="AM2947">
        <v>98.049503756583306</v>
      </c>
      <c r="AN2947">
        <v>1.00000002490458</v>
      </c>
    </row>
    <row r="2948" spans="1:40" x14ac:dyDescent="0.25">
      <c r="A2948" t="str">
        <f>"20190304155113957"</f>
        <v>20190304155113957</v>
      </c>
      <c r="B2948" t="str">
        <f>"1551685873949629"</f>
        <v>1551685873949629</v>
      </c>
      <c r="C2948" t="s">
        <v>40</v>
      </c>
      <c r="D2948">
        <v>4.7912980000000003</v>
      </c>
      <c r="E2948">
        <v>0.50164889999999995</v>
      </c>
      <c r="F2948" t="s">
        <v>62</v>
      </c>
      <c r="G2948">
        <v>-488.6078</v>
      </c>
      <c r="H2948" s="1">
        <v>9.627211E-7</v>
      </c>
      <c r="I2948">
        <v>203.1105</v>
      </c>
      <c r="J2948">
        <v>-491.82760000000002</v>
      </c>
      <c r="K2948">
        <v>1.1123350000000001</v>
      </c>
      <c r="L2948">
        <v>263.4271</v>
      </c>
      <c r="M2948">
        <v>-7.6901940000000002E-2</v>
      </c>
      <c r="N2948">
        <v>-1.1814299999999899E-2</v>
      </c>
      <c r="O2948">
        <v>-0.99696879999999999</v>
      </c>
      <c r="P2948">
        <v>6.0262629999999998E-2</v>
      </c>
      <c r="Q2948">
        <v>0.1642545</v>
      </c>
      <c r="R2948">
        <v>-0.9845756</v>
      </c>
      <c r="S2948">
        <v>0.16189579999999901</v>
      </c>
      <c r="T2948">
        <v>-5.6067470000000001E-2</v>
      </c>
      <c r="U2948">
        <v>-3.0463870000000002</v>
      </c>
      <c r="V2948">
        <v>-0.13660949999999999</v>
      </c>
      <c r="W2948">
        <v>0.17516129999999999</v>
      </c>
      <c r="X2948">
        <v>0.97501610000000005</v>
      </c>
      <c r="Y2948">
        <v>-0.1296861</v>
      </c>
      <c r="Z2948">
        <v>6.3913429999999999E-3</v>
      </c>
      <c r="AA2948">
        <v>0.99153449999999999</v>
      </c>
      <c r="AB2948">
        <v>21</v>
      </c>
      <c r="AC2948">
        <v>3.2198000000000202</v>
      </c>
      <c r="AD2948">
        <v>-1.1123340372788999</v>
      </c>
      <c r="AE2948">
        <v>-60.316600000000001</v>
      </c>
      <c r="AF2948">
        <v>-7.8463895015935199</v>
      </c>
      <c r="AG2948">
        <v>-1.1123340372788999</v>
      </c>
      <c r="AH2948">
        <v>59.870027589667302</v>
      </c>
      <c r="AI2948">
        <v>91.055361481693197</v>
      </c>
      <c r="AJ2948">
        <v>97.466462318272505</v>
      </c>
      <c r="AK2948">
        <v>60.392245518847197</v>
      </c>
      <c r="AL2948">
        <v>79.911955257304498</v>
      </c>
      <c r="AM2948">
        <v>97.975791349022899</v>
      </c>
      <c r="AN2948">
        <v>1.00000001588357</v>
      </c>
    </row>
    <row r="2949" spans="1:40" x14ac:dyDescent="0.25">
      <c r="A2949" t="str">
        <f>"20190304155113971"</f>
        <v>20190304155113971</v>
      </c>
      <c r="B2949" t="str">
        <f>"1551685873959390"</f>
        <v>1551685873959390</v>
      </c>
      <c r="C2949" t="s">
        <v>40</v>
      </c>
      <c r="D2949">
        <v>4.8256290000000002</v>
      </c>
      <c r="E2949">
        <v>0.50162799999999996</v>
      </c>
      <c r="F2949" t="s">
        <v>62</v>
      </c>
      <c r="G2949">
        <v>-488.63350000000003</v>
      </c>
      <c r="H2949" s="1">
        <v>1.580011E-6</v>
      </c>
      <c r="I2949">
        <v>205.47489999999999</v>
      </c>
      <c r="J2949">
        <v>-491.8347</v>
      </c>
      <c r="K2949">
        <v>1.112193</v>
      </c>
      <c r="L2949">
        <v>263.30149999999998</v>
      </c>
      <c r="M2949">
        <v>-7.4797849999999999E-2</v>
      </c>
      <c r="N2949">
        <v>-1.1786349999999999E-2</v>
      </c>
      <c r="O2949">
        <v>-0.99712909999999999</v>
      </c>
      <c r="P2949">
        <v>6.1348479999999997E-2</v>
      </c>
      <c r="Q2949">
        <v>0.1642604</v>
      </c>
      <c r="R2949">
        <v>-0.98450740000000003</v>
      </c>
      <c r="S2949">
        <v>0.16790769999999999</v>
      </c>
      <c r="T2949">
        <v>-5.8474060000000001E-2</v>
      </c>
      <c r="U2949">
        <v>-3.046478</v>
      </c>
      <c r="V2949">
        <v>-0.1355654</v>
      </c>
      <c r="W2949">
        <v>0.175192299999999</v>
      </c>
      <c r="X2949">
        <v>0.97515620000000003</v>
      </c>
      <c r="Y2949">
        <v>-0.1295422</v>
      </c>
      <c r="Z2949">
        <v>7.20464E-3</v>
      </c>
      <c r="AA2949">
        <v>0.99154770000000003</v>
      </c>
      <c r="AB2949">
        <v>21</v>
      </c>
      <c r="AC2949">
        <v>3.2011999999999698</v>
      </c>
      <c r="AD2949">
        <v>-1.112191419989</v>
      </c>
      <c r="AE2949">
        <v>-57.8265999999999</v>
      </c>
      <c r="AF2949">
        <v>-7.5150654786811897</v>
      </c>
      <c r="AG2949">
        <v>-1.112191419989</v>
      </c>
      <c r="AH2949">
        <v>57.4039595167607</v>
      </c>
      <c r="AI2949">
        <v>91.100567749924807</v>
      </c>
      <c r="AJ2949">
        <v>97.458486084281105</v>
      </c>
      <c r="AK2949">
        <v>57.904470873201703</v>
      </c>
      <c r="AL2949">
        <v>79.910150693779997</v>
      </c>
      <c r="AM2949">
        <v>97.914485543968297</v>
      </c>
      <c r="AN2949">
        <v>0.99999996702744398</v>
      </c>
    </row>
    <row r="2950" spans="1:40" x14ac:dyDescent="0.25">
      <c r="A2950" t="str">
        <f>"20190304155113989"</f>
        <v>20190304155113989</v>
      </c>
      <c r="B2950" t="str">
        <f>"1551685873979220"</f>
        <v>1551685873979220</v>
      </c>
      <c r="C2950" t="s">
        <v>40</v>
      </c>
      <c r="D2950">
        <v>4.9948240000000004</v>
      </c>
      <c r="E2950">
        <v>0.50247640000000005</v>
      </c>
      <c r="F2950" t="s">
        <v>62</v>
      </c>
      <c r="G2950">
        <v>-488.64830000000001</v>
      </c>
      <c r="H2950" s="1">
        <v>1.8811099999999999E-6</v>
      </c>
      <c r="I2950">
        <v>206.4384</v>
      </c>
      <c r="J2950">
        <v>-491.84460000000001</v>
      </c>
      <c r="K2950">
        <v>1.11198</v>
      </c>
      <c r="L2950">
        <v>263.12569999999999</v>
      </c>
      <c r="M2950">
        <v>-7.2120580000000004E-2</v>
      </c>
      <c r="N2950">
        <v>-1.174526E-2</v>
      </c>
      <c r="O2950">
        <v>-0.99732670000000001</v>
      </c>
      <c r="P2950">
        <v>6.2540419999999999E-2</v>
      </c>
      <c r="Q2950">
        <v>0.16312950000000001</v>
      </c>
      <c r="R2950">
        <v>-0.98462050000000001</v>
      </c>
      <c r="S2950">
        <v>0.17071529999999999</v>
      </c>
      <c r="T2950">
        <v>-5.9586409999999999E-2</v>
      </c>
      <c r="U2950">
        <v>-3.046478</v>
      </c>
      <c r="V2950">
        <v>-0.1340488</v>
      </c>
      <c r="W2950">
        <v>0.1740978</v>
      </c>
      <c r="X2950">
        <v>0.97556180000000003</v>
      </c>
      <c r="Y2950">
        <v>-0.12779090000000001</v>
      </c>
      <c r="Z2950">
        <v>7.6154409999999997E-3</v>
      </c>
      <c r="AA2950">
        <v>0.99177190000000004</v>
      </c>
      <c r="AB2950">
        <v>21</v>
      </c>
      <c r="AC2950">
        <v>3.1962999999999999</v>
      </c>
      <c r="AD2950">
        <v>-1.11197811889</v>
      </c>
      <c r="AE2950">
        <v>-56.687299999999901</v>
      </c>
      <c r="AF2950">
        <v>-7.2737886686800497</v>
      </c>
      <c r="AG2950">
        <v>-1.11197811889</v>
      </c>
      <c r="AH2950">
        <v>56.287536318642601</v>
      </c>
      <c r="AI2950">
        <v>91.122418515587498</v>
      </c>
      <c r="AJ2950">
        <v>97.363273366921803</v>
      </c>
      <c r="AK2950">
        <v>56.766462297346102</v>
      </c>
      <c r="AL2950">
        <v>79.973839820535304</v>
      </c>
      <c r="AM2950">
        <v>97.823834113765898</v>
      </c>
      <c r="AN2950">
        <v>0.99999997518275896</v>
      </c>
    </row>
    <row r="2951" spans="1:40" x14ac:dyDescent="0.25">
      <c r="A2951" t="str">
        <f>"20190304155114012"</f>
        <v>20190304155114012</v>
      </c>
      <c r="B2951" t="str">
        <f>"1551685874009475"</f>
        <v>1551685874009475</v>
      </c>
      <c r="C2951" t="s">
        <v>40</v>
      </c>
      <c r="D2951">
        <v>4.9995510000000003</v>
      </c>
      <c r="E2951">
        <v>0.50198019999999999</v>
      </c>
      <c r="F2951" t="s">
        <v>62</v>
      </c>
      <c r="G2951">
        <v>-489.2097</v>
      </c>
      <c r="H2951" s="1">
        <v>3.191506E-6</v>
      </c>
      <c r="I2951">
        <v>214.7945</v>
      </c>
      <c r="J2951">
        <v>-491.8562</v>
      </c>
      <c r="K2951">
        <v>1.1117349999999999</v>
      </c>
      <c r="L2951">
        <v>262.91489999999999</v>
      </c>
      <c r="M2951">
        <v>-6.927527E-2</v>
      </c>
      <c r="N2951">
        <v>-1.169952E-2</v>
      </c>
      <c r="O2951">
        <v>-0.99752909999999995</v>
      </c>
      <c r="P2951">
        <v>6.3531199999999996E-2</v>
      </c>
      <c r="Q2951">
        <v>0.16068270000000001</v>
      </c>
      <c r="R2951">
        <v>-0.98495960000000005</v>
      </c>
      <c r="S2951">
        <v>0.16616819999999999</v>
      </c>
      <c r="T2951">
        <v>-7.0124629999999993E-2</v>
      </c>
      <c r="U2951">
        <v>-3.0479129999999999</v>
      </c>
      <c r="V2951">
        <v>-0.13216629999999999</v>
      </c>
      <c r="W2951">
        <v>0.1716946</v>
      </c>
      <c r="X2951">
        <v>0.97624429999999995</v>
      </c>
      <c r="Y2951">
        <v>-0.12345589999999999</v>
      </c>
      <c r="Z2951">
        <v>1.109338E-2</v>
      </c>
      <c r="AA2951">
        <v>0.99228810000000001</v>
      </c>
      <c r="AB2951">
        <v>21</v>
      </c>
      <c r="AC2951">
        <v>2.6465000000000001</v>
      </c>
      <c r="AD2951">
        <v>-1.111731808494</v>
      </c>
      <c r="AE2951">
        <v>-48.120399999999897</v>
      </c>
      <c r="AF2951">
        <v>-5.9707452908303003</v>
      </c>
      <c r="AG2951">
        <v>-1.111731808494</v>
      </c>
      <c r="AH2951">
        <v>47.795994974107401</v>
      </c>
      <c r="AI2951">
        <v>91.322182981836804</v>
      </c>
      <c r="AJ2951">
        <v>97.120585309910794</v>
      </c>
      <c r="AK2951">
        <v>48.180316338800502</v>
      </c>
      <c r="AL2951">
        <v>80.113638186331698</v>
      </c>
      <c r="AM2951">
        <v>97.7099646352505</v>
      </c>
      <c r="AN2951">
        <v>0.99999994990366803</v>
      </c>
    </row>
    <row r="2952" spans="1:40" x14ac:dyDescent="0.25">
      <c r="A2952" t="str">
        <f>"20190304155114033"</f>
        <v>20190304155114033</v>
      </c>
      <c r="B2952" t="str">
        <f>"1551685874028995"</f>
        <v>1551685874028995</v>
      </c>
      <c r="C2952" t="s">
        <v>40</v>
      </c>
      <c r="D2952">
        <v>4.7993569999999997</v>
      </c>
      <c r="E2952">
        <v>0.5022875</v>
      </c>
      <c r="F2952" t="s">
        <v>62</v>
      </c>
      <c r="G2952">
        <v>-489.41030000000001</v>
      </c>
      <c r="H2952" s="1">
        <v>3.4378119999999998E-6</v>
      </c>
      <c r="I2952">
        <v>219.61519999999999</v>
      </c>
      <c r="J2952">
        <v>-491.86680000000001</v>
      </c>
      <c r="K2952">
        <v>1.1115389999999901</v>
      </c>
      <c r="L2952">
        <v>262.721</v>
      </c>
      <c r="M2952">
        <v>-6.6954420000000001E-2</v>
      </c>
      <c r="N2952">
        <v>-1.166266E-2</v>
      </c>
      <c r="O2952">
        <v>-0.99768820000000003</v>
      </c>
      <c r="P2952">
        <v>6.3668379999999997E-2</v>
      </c>
      <c r="Q2952">
        <v>0.15833630000000001</v>
      </c>
      <c r="R2952">
        <v>-0.98533079999999995</v>
      </c>
      <c r="S2952">
        <v>0.17214969999999999</v>
      </c>
      <c r="T2952">
        <v>-7.8245040000000002E-2</v>
      </c>
      <c r="U2952">
        <v>-3.047485</v>
      </c>
      <c r="V2952">
        <v>-0.12996649999999901</v>
      </c>
      <c r="W2952">
        <v>0.16938619999999999</v>
      </c>
      <c r="X2952">
        <v>0.97694270000000005</v>
      </c>
      <c r="Y2952">
        <v>-0.1230928</v>
      </c>
      <c r="Z2952">
        <v>1.377987E-2</v>
      </c>
      <c r="AA2952">
        <v>0.9922995</v>
      </c>
      <c r="AB2952">
        <v>21</v>
      </c>
      <c r="AC2952">
        <v>2.4565000000000001</v>
      </c>
      <c r="AD2952">
        <v>-1.1115355621880001</v>
      </c>
      <c r="AE2952">
        <v>-43.105800000000002</v>
      </c>
      <c r="AF2952">
        <v>-5.3337710465857002</v>
      </c>
      <c r="AG2952">
        <v>-1.1115355621880001</v>
      </c>
      <c r="AH2952">
        <v>42.816196750008999</v>
      </c>
      <c r="AI2952">
        <v>91.475699463105002</v>
      </c>
      <c r="AJ2952">
        <v>97.100964348777495</v>
      </c>
      <c r="AK2952">
        <v>43.161456521054603</v>
      </c>
      <c r="AL2952">
        <v>80.247866718278203</v>
      </c>
      <c r="AM2952">
        <v>97.577786260862197</v>
      </c>
      <c r="AN2952">
        <v>1.00000000747799</v>
      </c>
    </row>
    <row r="2953" spans="1:40" x14ac:dyDescent="0.25">
      <c r="A2953" t="str">
        <f>"20190304155114045"</f>
        <v>20190304155114045</v>
      </c>
      <c r="B2953" t="str">
        <f>"1551685874039732"</f>
        <v>1551685874039732</v>
      </c>
      <c r="C2953" t="s">
        <v>40</v>
      </c>
      <c r="D2953">
        <v>4.841666</v>
      </c>
      <c r="E2953">
        <v>0.50246599999999997</v>
      </c>
      <c r="F2953" t="s">
        <v>62</v>
      </c>
      <c r="G2953">
        <v>-489.69839999999999</v>
      </c>
      <c r="H2953" s="1">
        <v>4.7388180000000003E-6</v>
      </c>
      <c r="I2953">
        <v>223.68799999999999</v>
      </c>
      <c r="J2953">
        <v>-491.87329999999997</v>
      </c>
      <c r="K2953">
        <v>1.1114310000000001</v>
      </c>
      <c r="L2953">
        <v>262.60160000000002</v>
      </c>
      <c r="M2953">
        <v>-6.5648559999999995E-2</v>
      </c>
      <c r="N2953">
        <v>-1.164188E-2</v>
      </c>
      <c r="O2953">
        <v>-0.99777479999999996</v>
      </c>
      <c r="P2953">
        <v>6.3860059999999996E-2</v>
      </c>
      <c r="Q2953">
        <v>0.15820100000000001</v>
      </c>
      <c r="R2953">
        <v>-0.98533990000000005</v>
      </c>
      <c r="S2953">
        <v>0.1693115</v>
      </c>
      <c r="T2953">
        <v>-8.6787820000000002E-2</v>
      </c>
      <c r="U2953">
        <v>-3.0476679999999998</v>
      </c>
      <c r="V2953">
        <v>-0.1288338</v>
      </c>
      <c r="W2953">
        <v>0.16926869999999999</v>
      </c>
      <c r="X2953">
        <v>0.97711309999999996</v>
      </c>
      <c r="Y2953">
        <v>-0.12086520000000001</v>
      </c>
      <c r="Z2953">
        <v>1.6586650000000001E-2</v>
      </c>
      <c r="AA2953">
        <v>0.99253029999999998</v>
      </c>
      <c r="AB2953">
        <v>21</v>
      </c>
      <c r="AC2953">
        <v>2.1748999999999801</v>
      </c>
      <c r="AD2953">
        <v>-1.1114262611820001</v>
      </c>
      <c r="AE2953">
        <v>-38.913600000000002</v>
      </c>
      <c r="AF2953">
        <v>-4.7211635462280901</v>
      </c>
      <c r="AG2953">
        <v>-1.1114262611820001</v>
      </c>
      <c r="AH2953">
        <v>38.6554206213548</v>
      </c>
      <c r="AI2953">
        <v>91.634781732750795</v>
      </c>
      <c r="AJ2953">
        <v>96.963309045141003</v>
      </c>
      <c r="AK2953">
        <v>38.958518926906599</v>
      </c>
      <c r="AL2953">
        <v>80.254697788867901</v>
      </c>
      <c r="AM2953">
        <v>97.511205844444802</v>
      </c>
      <c r="AN2953">
        <v>1.00000002550686</v>
      </c>
    </row>
    <row r="2954" spans="1:40" x14ac:dyDescent="0.25">
      <c r="A2954" t="str">
        <f>"20190304155114058"</f>
        <v>20190304155114058</v>
      </c>
      <c r="B2954" t="str">
        <f>"1551685874049492"</f>
        <v>1551685874049492</v>
      </c>
      <c r="C2954" t="s">
        <v>40</v>
      </c>
      <c r="D2954">
        <v>4.8487489999999998</v>
      </c>
      <c r="E2954">
        <v>0.50267890000000004</v>
      </c>
      <c r="F2954" t="s">
        <v>62</v>
      </c>
      <c r="G2954">
        <v>-489.70460000000003</v>
      </c>
      <c r="H2954" s="1">
        <v>4.6366660000000003E-6</v>
      </c>
      <c r="I2954">
        <v>223.35380000000001</v>
      </c>
      <c r="J2954">
        <v>-491.87950000000001</v>
      </c>
      <c r="K2954">
        <v>1.1113299999999999</v>
      </c>
      <c r="L2954">
        <v>262.48540000000003</v>
      </c>
      <c r="M2954">
        <v>-6.4529119999999995E-2</v>
      </c>
      <c r="N2954">
        <v>-1.162035E-2</v>
      </c>
      <c r="O2954">
        <v>-0.99784830000000002</v>
      </c>
      <c r="P2954">
        <v>6.402998E-2</v>
      </c>
      <c r="Q2954">
        <v>0.15854949999999901</v>
      </c>
      <c r="R2954">
        <v>-0.98527279999999995</v>
      </c>
      <c r="S2954">
        <v>0.16839599999999999</v>
      </c>
      <c r="T2954">
        <v>-8.6301089999999997E-2</v>
      </c>
      <c r="U2954">
        <v>-3.0475460000000001</v>
      </c>
      <c r="V2954">
        <v>-0.12786120000000001</v>
      </c>
      <c r="W2954">
        <v>0.16962920000000001</v>
      </c>
      <c r="X2954">
        <v>0.97717830000000006</v>
      </c>
      <c r="Y2954">
        <v>-0.11945699999999999</v>
      </c>
      <c r="Z2954">
        <v>1.6457240000000001E-2</v>
      </c>
      <c r="AA2954">
        <v>0.992703</v>
      </c>
      <c r="AB2954">
        <v>21</v>
      </c>
      <c r="AC2954">
        <v>2.1748999999999801</v>
      </c>
      <c r="AD2954">
        <v>-1.1113253633339999</v>
      </c>
      <c r="AE2954">
        <v>-39.131599999999999</v>
      </c>
      <c r="AF2954">
        <v>-4.6918918346430898</v>
      </c>
      <c r="AG2954">
        <v>-1.1113253633339999</v>
      </c>
      <c r="AH2954">
        <v>38.878417501343101</v>
      </c>
      <c r="AI2954">
        <v>91.625545097403204</v>
      </c>
      <c r="AJ2954">
        <v>96.881242880735002</v>
      </c>
      <c r="AK2954">
        <v>39.176271395577203</v>
      </c>
      <c r="AL2954">
        <v>80.233739242890806</v>
      </c>
      <c r="AM2954">
        <v>97.454650189925204</v>
      </c>
      <c r="AN2954">
        <v>0.999999990974485</v>
      </c>
    </row>
    <row r="2955" spans="1:40" x14ac:dyDescent="0.25">
      <c r="A2955" t="str">
        <f>"20190304155114071"</f>
        <v>20190304155114071</v>
      </c>
      <c r="B2955" t="str">
        <f>"1551685874069012"</f>
        <v>1551685874069012</v>
      </c>
      <c r="C2955" t="s">
        <v>40</v>
      </c>
      <c r="D2955">
        <v>4.919537</v>
      </c>
      <c r="E2955">
        <v>0.5030597</v>
      </c>
      <c r="F2955" t="s">
        <v>62</v>
      </c>
      <c r="G2955">
        <v>-489.67349999999999</v>
      </c>
      <c r="H2955" s="1">
        <v>4.3058380000000001E-6</v>
      </c>
      <c r="I2955">
        <v>222.3081</v>
      </c>
      <c r="J2955">
        <v>-491.8861</v>
      </c>
      <c r="K2955">
        <v>1.111224</v>
      </c>
      <c r="L2955">
        <v>262.36110000000002</v>
      </c>
      <c r="M2955">
        <v>-6.3418749999999996E-2</v>
      </c>
      <c r="N2955">
        <v>-1.1595619999999999E-2</v>
      </c>
      <c r="O2955">
        <v>-0.99791989999999997</v>
      </c>
      <c r="P2955">
        <v>6.4550150000000001E-2</v>
      </c>
      <c r="Q2955">
        <v>0.15925819999999999</v>
      </c>
      <c r="R2955">
        <v>-0.98512469999999996</v>
      </c>
      <c r="S2955">
        <v>0.1673279</v>
      </c>
      <c r="T2955">
        <v>-8.4297659999999996E-2</v>
      </c>
      <c r="U2955">
        <v>-3.047577</v>
      </c>
      <c r="V2955">
        <v>-0.12723899999999999</v>
      </c>
      <c r="W2955">
        <v>0.1703472</v>
      </c>
      <c r="X2955">
        <v>0.97713459999999996</v>
      </c>
      <c r="Y2955">
        <v>-0.1180061</v>
      </c>
      <c r="Z2955">
        <v>1.583594E-2</v>
      </c>
      <c r="AA2955">
        <v>0.99288659999999995</v>
      </c>
      <c r="AB2955">
        <v>21</v>
      </c>
      <c r="AC2955">
        <v>2.2126000000000001</v>
      </c>
      <c r="AD2955">
        <v>-1.1112196941620001</v>
      </c>
      <c r="AE2955">
        <v>-40.052999999999997</v>
      </c>
      <c r="AF2955">
        <v>-4.7447857461924903</v>
      </c>
      <c r="AG2955">
        <v>-1.1112196941620001</v>
      </c>
      <c r="AH2955">
        <v>39.801490390900902</v>
      </c>
      <c r="AI2955">
        <v>91.587990052665404</v>
      </c>
      <c r="AJ2955">
        <v>96.798219206806394</v>
      </c>
      <c r="AK2955">
        <v>40.098708686476897</v>
      </c>
      <c r="AL2955">
        <v>80.191993187855999</v>
      </c>
      <c r="AM2955">
        <v>97.419107427365304</v>
      </c>
      <c r="AN2955">
        <v>0.99999997909299898</v>
      </c>
    </row>
    <row r="2956" spans="1:40" x14ac:dyDescent="0.25">
      <c r="A2956" t="str">
        <f>"20190304155114089"</f>
        <v>20190304155114089</v>
      </c>
      <c r="B2956" t="str">
        <f>"1551685874079751"</f>
        <v>1551685874079751</v>
      </c>
      <c r="C2956" t="s">
        <v>40</v>
      </c>
      <c r="D2956">
        <v>4.853326</v>
      </c>
      <c r="E2956">
        <v>0.50313209999999997</v>
      </c>
      <c r="F2956" t="s">
        <v>62</v>
      </c>
      <c r="G2956">
        <v>-489.63940000000002</v>
      </c>
      <c r="H2956" s="1">
        <v>3.9430640000000003E-6</v>
      </c>
      <c r="I2956">
        <v>221.16149999999999</v>
      </c>
      <c r="J2956">
        <v>-491.89499999999998</v>
      </c>
      <c r="K2956">
        <v>1.111067</v>
      </c>
      <c r="L2956">
        <v>262.19690000000003</v>
      </c>
      <c r="M2956">
        <v>-6.2166720000000002E-2</v>
      </c>
      <c r="N2956">
        <v>-1.155783E-2</v>
      </c>
      <c r="O2956">
        <v>-0.99799879999999996</v>
      </c>
      <c r="P2956">
        <v>6.5337119999999999E-2</v>
      </c>
      <c r="Q2956">
        <v>0.159995</v>
      </c>
      <c r="R2956">
        <v>-0.98495299999999997</v>
      </c>
      <c r="S2956">
        <v>0.1661987</v>
      </c>
      <c r="T2956">
        <v>-8.2201479999999993E-2</v>
      </c>
      <c r="U2956">
        <v>-3.0476990000000002</v>
      </c>
      <c r="V2956">
        <v>-0.12672420000000001</v>
      </c>
      <c r="W2956">
        <v>0.17109379999999999</v>
      </c>
      <c r="X2956">
        <v>0.97707109999999997</v>
      </c>
      <c r="Y2956">
        <v>-0.1163927</v>
      </c>
      <c r="Z2956">
        <v>1.519704E-2</v>
      </c>
      <c r="AA2956">
        <v>0.99308700000000005</v>
      </c>
      <c r="AB2956">
        <v>21</v>
      </c>
      <c r="AC2956">
        <v>2.2555999999999501</v>
      </c>
      <c r="AD2956">
        <v>-1.111063056936</v>
      </c>
      <c r="AE2956">
        <v>-41.035400000000003</v>
      </c>
      <c r="AF2956">
        <v>-4.7989358781813198</v>
      </c>
      <c r="AG2956">
        <v>-1.111063056936</v>
      </c>
      <c r="AH2956">
        <v>40.785975295942997</v>
      </c>
      <c r="AI2956">
        <v>91.549740374198095</v>
      </c>
      <c r="AJ2956">
        <v>96.710648558685904</v>
      </c>
      <c r="AK2956">
        <v>41.082356645166499</v>
      </c>
      <c r="AL2956">
        <v>80.148579247416194</v>
      </c>
      <c r="AM2956">
        <v>97.389897585628603</v>
      </c>
      <c r="AN2956">
        <v>1.00000002285964</v>
      </c>
    </row>
    <row r="2957" spans="1:40" x14ac:dyDescent="0.25">
      <c r="A2957" t="str">
        <f>"20190304155114101"</f>
        <v>20190304155114101</v>
      </c>
      <c r="B2957" t="str">
        <f>"1551685874099268"</f>
        <v>1551685874099268</v>
      </c>
      <c r="C2957" t="s">
        <v>40</v>
      </c>
      <c r="D2957">
        <v>4.8441890000000001</v>
      </c>
      <c r="E2957">
        <v>0.50350699999999904</v>
      </c>
      <c r="F2957" t="s">
        <v>62</v>
      </c>
      <c r="G2957">
        <v>-489.55840000000001</v>
      </c>
      <c r="H2957" s="1">
        <v>3.4760280000000002E-6</v>
      </c>
      <c r="I2957">
        <v>219.67009999999999</v>
      </c>
      <c r="J2957">
        <v>-491.90120000000002</v>
      </c>
      <c r="K2957">
        <v>1.1109549999999999</v>
      </c>
      <c r="L2957">
        <v>262.0795</v>
      </c>
      <c r="M2957">
        <v>-6.1434389999999998E-2</v>
      </c>
      <c r="N2957">
        <v>-1.152692E-2</v>
      </c>
      <c r="O2957">
        <v>-0.99804470000000001</v>
      </c>
      <c r="P2957">
        <v>6.5942329999999993E-2</v>
      </c>
      <c r="Q2957">
        <v>0.15948039999999999</v>
      </c>
      <c r="R2957">
        <v>-0.9849966</v>
      </c>
      <c r="S2957">
        <v>0.16744999999999999</v>
      </c>
      <c r="T2957">
        <v>-7.9624059999999997E-2</v>
      </c>
      <c r="U2957">
        <v>-3.0476679999999998</v>
      </c>
      <c r="V2957">
        <v>-0.12656410000000001</v>
      </c>
      <c r="W2957">
        <v>0.17058489999999901</v>
      </c>
      <c r="X2957">
        <v>0.97718079999999996</v>
      </c>
      <c r="Y2957">
        <v>-0.1160723</v>
      </c>
      <c r="Z2957">
        <v>1.4391269999999999E-2</v>
      </c>
      <c r="AA2957">
        <v>0.99313649999999998</v>
      </c>
      <c r="AB2957">
        <v>21</v>
      </c>
      <c r="AC2957">
        <v>2.3428000000000102</v>
      </c>
      <c r="AD2957">
        <v>-1.11095152397199</v>
      </c>
      <c r="AE2957">
        <v>-42.409399999999998</v>
      </c>
      <c r="AF2957">
        <v>-4.9405625000928701</v>
      </c>
      <c r="AG2957">
        <v>-1.11095152397199</v>
      </c>
      <c r="AH2957">
        <v>42.156504440086998</v>
      </c>
      <c r="AI2957">
        <v>91.499311311567098</v>
      </c>
      <c r="AJ2957">
        <v>96.684329515944597</v>
      </c>
      <c r="AK2957">
        <v>42.459560027313202</v>
      </c>
      <c r="AL2957">
        <v>80.178171867565496</v>
      </c>
      <c r="AM2957">
        <v>97.379844956391693</v>
      </c>
      <c r="AN2957">
        <v>0.99999999770272996</v>
      </c>
    </row>
    <row r="2958" spans="1:40" x14ac:dyDescent="0.25">
      <c r="A2958" t="str">
        <f>"20190304155114122"</f>
        <v>20190304155114122</v>
      </c>
      <c r="B2958" t="str">
        <f>"1551685874119764"</f>
        <v>1551685874119764</v>
      </c>
      <c r="C2958" t="s">
        <v>40</v>
      </c>
      <c r="D2958">
        <v>4.8685390000000002</v>
      </c>
      <c r="E2958">
        <v>0.50386949999999997</v>
      </c>
      <c r="F2958" t="s">
        <v>62</v>
      </c>
      <c r="G2958">
        <v>-489.58370000000002</v>
      </c>
      <c r="H2958" s="1">
        <v>3.464845E-6</v>
      </c>
      <c r="I2958">
        <v>219.53</v>
      </c>
      <c r="J2958">
        <v>-491.91140000000001</v>
      </c>
      <c r="K2958">
        <v>1.110768</v>
      </c>
      <c r="L2958">
        <v>261.89100000000002</v>
      </c>
      <c r="M2958">
        <v>-6.0430030000000003E-2</v>
      </c>
      <c r="N2958">
        <v>-1.147722E-2</v>
      </c>
      <c r="O2958">
        <v>-0.99810650000000001</v>
      </c>
      <c r="P2958">
        <v>6.6783640000000005E-2</v>
      </c>
      <c r="Q2958">
        <v>0.15845000000000001</v>
      </c>
      <c r="R2958">
        <v>-0.98510609999999998</v>
      </c>
      <c r="S2958">
        <v>0.1659851</v>
      </c>
      <c r="T2958">
        <v>-7.9568620000000007E-2</v>
      </c>
      <c r="U2958">
        <v>-3.047485</v>
      </c>
      <c r="V2958">
        <v>-0.12634999999999999</v>
      </c>
      <c r="W2958">
        <v>0.169564299999999</v>
      </c>
      <c r="X2958">
        <v>0.97738610000000004</v>
      </c>
      <c r="Y2958">
        <v>-0.11460040000000001</v>
      </c>
      <c r="Z2958">
        <v>1.443001E-2</v>
      </c>
      <c r="AA2958">
        <v>0.99330689999999999</v>
      </c>
      <c r="AB2958">
        <v>21</v>
      </c>
      <c r="AC2958">
        <v>2.3276999999999899</v>
      </c>
      <c r="AD2958">
        <v>-1.110764535155</v>
      </c>
      <c r="AE2958">
        <v>-42.360999999999898</v>
      </c>
      <c r="AF2958">
        <v>-4.8801451094586898</v>
      </c>
      <c r="AG2958">
        <v>-1.110764535155</v>
      </c>
      <c r="AH2958">
        <v>42.114031287130302</v>
      </c>
      <c r="AI2958">
        <v>91.500797257200503</v>
      </c>
      <c r="AJ2958">
        <v>96.609914888045097</v>
      </c>
      <c r="AK2958">
        <v>42.4103907715471</v>
      </c>
      <c r="AL2958">
        <v>80.237512304329499</v>
      </c>
      <c r="AM2958">
        <v>97.365967693339599</v>
      </c>
      <c r="AN2958">
        <v>0.99999998140384905</v>
      </c>
    </row>
    <row r="2959" spans="1:40" x14ac:dyDescent="0.25">
      <c r="A2959" t="str">
        <f>"20190304155114135"</f>
        <v>20190304155114135</v>
      </c>
      <c r="B2959" t="str">
        <f>"1551685874129524"</f>
        <v>1551685874129524</v>
      </c>
      <c r="C2959" t="s">
        <v>40</v>
      </c>
      <c r="D2959">
        <v>4.8663999999999996</v>
      </c>
      <c r="E2959">
        <v>0.50405679999999997</v>
      </c>
      <c r="F2959" t="s">
        <v>62</v>
      </c>
      <c r="G2959">
        <v>-489.62920000000003</v>
      </c>
      <c r="H2959" s="1">
        <v>3.5483340000000001E-6</v>
      </c>
      <c r="I2959">
        <v>219.8946</v>
      </c>
      <c r="J2959">
        <v>-491.91800000000001</v>
      </c>
      <c r="K2959">
        <v>1.1106529999999999</v>
      </c>
      <c r="L2959">
        <v>261.77080000000001</v>
      </c>
      <c r="M2959">
        <v>-5.9922209999999997E-2</v>
      </c>
      <c r="N2959">
        <v>-1.144563E-2</v>
      </c>
      <c r="O2959">
        <v>-0.99813770000000002</v>
      </c>
      <c r="P2959">
        <v>6.7162540000000007E-2</v>
      </c>
      <c r="Q2959">
        <v>0.15829199999999999</v>
      </c>
      <c r="R2959">
        <v>-0.98510589999999998</v>
      </c>
      <c r="S2959">
        <v>0.1655884</v>
      </c>
      <c r="T2959">
        <v>-8.0592510000000006E-2</v>
      </c>
      <c r="U2959">
        <v>-3.0470890000000002</v>
      </c>
      <c r="V2959">
        <v>-0.12618370000000001</v>
      </c>
      <c r="W2959">
        <v>0.1694097</v>
      </c>
      <c r="X2959">
        <v>0.97743440000000004</v>
      </c>
      <c r="Y2959">
        <v>-0.113972699999999</v>
      </c>
      <c r="Z2959">
        <v>1.480096E-2</v>
      </c>
      <c r="AA2959">
        <v>0.99337359999999997</v>
      </c>
      <c r="AB2959">
        <v>21</v>
      </c>
      <c r="AC2959">
        <v>2.2887999999999802</v>
      </c>
      <c r="AD2959">
        <v>-1.1106494516659999</v>
      </c>
      <c r="AE2959">
        <v>-41.876199999999997</v>
      </c>
      <c r="AF2959">
        <v>-4.7908048054315104</v>
      </c>
      <c r="AG2959">
        <v>-1.1106494516659999</v>
      </c>
      <c r="AH2959">
        <v>41.634582137120397</v>
      </c>
      <c r="AI2959">
        <v>91.518054947262399</v>
      </c>
      <c r="AJ2959">
        <v>96.564037159330894</v>
      </c>
      <c r="AK2959">
        <v>41.9240239316415</v>
      </c>
      <c r="AL2959">
        <v>80.246500345310295</v>
      </c>
      <c r="AM2959">
        <v>97.356019445513098</v>
      </c>
      <c r="AN2959">
        <v>0.99999998945156998</v>
      </c>
    </row>
    <row r="2960" spans="1:40" x14ac:dyDescent="0.25">
      <c r="A2960" t="str">
        <f>"20190304155114148"</f>
        <v>20190304155114148</v>
      </c>
      <c r="B2960" t="str">
        <f>"1551685874139284"</f>
        <v>1551685874139284</v>
      </c>
      <c r="C2960" t="s">
        <v>40</v>
      </c>
      <c r="D2960">
        <v>4.8681340000000004</v>
      </c>
      <c r="E2960">
        <v>0.50420799999999999</v>
      </c>
      <c r="F2960" t="s">
        <v>62</v>
      </c>
      <c r="G2960">
        <v>-489.61720000000003</v>
      </c>
      <c r="H2960" s="1">
        <v>3.4672910000000002E-6</v>
      </c>
      <c r="I2960">
        <v>219.45009999999999</v>
      </c>
      <c r="J2960">
        <v>-491.9246</v>
      </c>
      <c r="K2960">
        <v>1.1105400000000001</v>
      </c>
      <c r="L2960">
        <v>261.64999999999998</v>
      </c>
      <c r="M2960">
        <v>-5.948204E-2</v>
      </c>
      <c r="N2960">
        <v>-1.1413990000000001E-2</v>
      </c>
      <c r="O2960">
        <v>-0.99816419999999995</v>
      </c>
      <c r="P2960">
        <v>6.7868689999999995E-2</v>
      </c>
      <c r="Q2960">
        <v>0.15845989999999999</v>
      </c>
      <c r="R2960">
        <v>-0.98503030000000003</v>
      </c>
      <c r="S2960">
        <v>0.1656494</v>
      </c>
      <c r="T2960">
        <v>-7.9961899999999905E-2</v>
      </c>
      <c r="U2960">
        <v>-3.0469059999999999</v>
      </c>
      <c r="V2960">
        <v>-0.1264065</v>
      </c>
      <c r="W2960">
        <v>0.16958029999999999</v>
      </c>
      <c r="X2960">
        <v>0.97737600000000002</v>
      </c>
      <c r="Y2960">
        <v>-0.1135581</v>
      </c>
      <c r="Z2960">
        <v>1.4630580000000001E-2</v>
      </c>
      <c r="AA2960">
        <v>0.99342359999999996</v>
      </c>
      <c r="AB2960">
        <v>21</v>
      </c>
      <c r="AC2960">
        <v>2.3073999999999701</v>
      </c>
      <c r="AD2960">
        <v>-1.11053653270899</v>
      </c>
      <c r="AE2960">
        <v>-42.1998999999999</v>
      </c>
      <c r="AF2960">
        <v>-4.8102920165071703</v>
      </c>
      <c r="AG2960">
        <v>-1.11053653270899</v>
      </c>
      <c r="AH2960">
        <v>41.958940823339702</v>
      </c>
      <c r="AI2960">
        <v>91.506244699168604</v>
      </c>
      <c r="AJ2960">
        <v>96.539998757263305</v>
      </c>
      <c r="AK2960">
        <v>42.248371751951296</v>
      </c>
      <c r="AL2960">
        <v>80.236581922727098</v>
      </c>
      <c r="AM2960">
        <v>97.369300654761801</v>
      </c>
      <c r="AN2960">
        <v>0.99999996338316899</v>
      </c>
    </row>
    <row r="2961" spans="1:40" x14ac:dyDescent="0.25">
      <c r="A2961" t="str">
        <f>"20190304155114168"</f>
        <v>20190304155114168</v>
      </c>
      <c r="B2961" t="str">
        <f>"1551685874159783"</f>
        <v>1551685874159783</v>
      </c>
      <c r="C2961" t="s">
        <v>40</v>
      </c>
      <c r="D2961">
        <v>4.8383599999999998</v>
      </c>
      <c r="E2961">
        <v>0.50470119999999996</v>
      </c>
      <c r="F2961" t="s">
        <v>62</v>
      </c>
      <c r="G2961">
        <v>-489.56790000000001</v>
      </c>
      <c r="H2961" s="1">
        <v>3.4216180000000001E-6</v>
      </c>
      <c r="I2961">
        <v>218.60499999999999</v>
      </c>
      <c r="J2961">
        <v>-491.93549999999999</v>
      </c>
      <c r="K2961">
        <v>1.1103700000000001</v>
      </c>
      <c r="L2961">
        <v>261.4556</v>
      </c>
      <c r="M2961">
        <v>-5.9044190000000003E-2</v>
      </c>
      <c r="N2961">
        <v>-1.135891E-2</v>
      </c>
      <c r="O2961">
        <v>-0.99819080000000004</v>
      </c>
      <c r="P2961">
        <v>6.8332080000000003E-2</v>
      </c>
      <c r="Q2961">
        <v>0.15948010000000001</v>
      </c>
      <c r="R2961">
        <v>-0.98483350000000003</v>
      </c>
      <c r="S2961">
        <v>0.16680909999999999</v>
      </c>
      <c r="T2961">
        <v>-7.8603740000000005E-2</v>
      </c>
      <c r="U2961">
        <v>-3.0467219999999999</v>
      </c>
      <c r="V2961">
        <v>-0.1263589</v>
      </c>
      <c r="W2961">
        <v>0.1705962</v>
      </c>
      <c r="X2961">
        <v>0.9772054</v>
      </c>
      <c r="Y2961">
        <v>-0.1135032</v>
      </c>
      <c r="Z2961">
        <v>1.424567E-2</v>
      </c>
      <c r="AA2961">
        <v>0.99343550000000003</v>
      </c>
      <c r="AB2961">
        <v>21</v>
      </c>
      <c r="AC2961">
        <v>2.3675999999999799</v>
      </c>
      <c r="AD2961">
        <v>-1.110366578382</v>
      </c>
      <c r="AE2961">
        <v>-42.8506</v>
      </c>
      <c r="AF2961">
        <v>-4.8904372116696297</v>
      </c>
      <c r="AG2961">
        <v>-1.110366578382</v>
      </c>
      <c r="AH2961">
        <v>42.607507788010501</v>
      </c>
      <c r="AI2961">
        <v>91.483077405797104</v>
      </c>
      <c r="AJ2961">
        <v>96.5476858214912</v>
      </c>
      <c r="AK2961">
        <v>42.9016201321704</v>
      </c>
      <c r="AL2961">
        <v>80.177514959768203</v>
      </c>
      <c r="AM2961">
        <v>97.3678280554238</v>
      </c>
      <c r="AN2961">
        <v>1.0000000144264001</v>
      </c>
    </row>
    <row r="2962" spans="1:40" x14ac:dyDescent="0.25">
      <c r="A2962" t="str">
        <f>"20190304155114181"</f>
        <v>20190304155114181</v>
      </c>
      <c r="B2962" t="str">
        <f>"1551685874169540"</f>
        <v>1551685874169540</v>
      </c>
      <c r="C2962" t="s">
        <v>40</v>
      </c>
      <c r="D2962">
        <v>4.8676209999999998</v>
      </c>
      <c r="E2962">
        <v>0.50494119999999998</v>
      </c>
      <c r="F2962" t="s">
        <v>62</v>
      </c>
      <c r="G2962">
        <v>-489.44819999999999</v>
      </c>
      <c r="H2962" s="1">
        <v>3.262188E-6</v>
      </c>
      <c r="I2962">
        <v>215.4436</v>
      </c>
      <c r="J2962">
        <v>-491.94260000000003</v>
      </c>
      <c r="K2962">
        <v>1.1102700000000001</v>
      </c>
      <c r="L2962">
        <v>261.33150000000001</v>
      </c>
      <c r="M2962">
        <v>-5.8914540000000001E-2</v>
      </c>
      <c r="N2962">
        <v>-1.1319620000000001E-2</v>
      </c>
      <c r="O2962">
        <v>-0.99819910000000001</v>
      </c>
      <c r="P2962">
        <v>6.8677879999999997E-2</v>
      </c>
      <c r="Q2962">
        <v>0.15964729999999999</v>
      </c>
      <c r="R2962">
        <v>-0.98478250000000001</v>
      </c>
      <c r="S2962">
        <v>0.1647034</v>
      </c>
      <c r="T2962">
        <v>-7.3523160000000004E-2</v>
      </c>
      <c r="U2962">
        <v>-3.0466920000000002</v>
      </c>
      <c r="V2962">
        <v>-0.12653519999999999</v>
      </c>
      <c r="W2962">
        <v>0.17075270000000001</v>
      </c>
      <c r="X2962">
        <v>0.97715529999999995</v>
      </c>
      <c r="Y2962">
        <v>-0.1126926</v>
      </c>
      <c r="Z2962">
        <v>1.2631979999999999E-2</v>
      </c>
      <c r="AA2962">
        <v>0.99354960000000003</v>
      </c>
      <c r="AB2962">
        <v>21</v>
      </c>
      <c r="AC2962">
        <v>2.4944000000000401</v>
      </c>
      <c r="AD2962">
        <v>-1.1102667378119999</v>
      </c>
      <c r="AE2962">
        <v>-45.887900000000002</v>
      </c>
      <c r="AF2962">
        <v>-5.19067410431333</v>
      </c>
      <c r="AG2962">
        <v>-1.1102667378119999</v>
      </c>
      <c r="AH2962">
        <v>45.6345819798957</v>
      </c>
      <c r="AI2962">
        <v>91.384777277122197</v>
      </c>
      <c r="AJ2962">
        <v>96.489179721955395</v>
      </c>
      <c r="AK2962">
        <v>45.942255738765198</v>
      </c>
      <c r="AL2962">
        <v>80.168415106831404</v>
      </c>
      <c r="AM2962">
        <v>97.378368812188796</v>
      </c>
      <c r="AN2962">
        <v>1.0000000608571999</v>
      </c>
    </row>
    <row r="2963" spans="1:40" x14ac:dyDescent="0.25">
      <c r="A2963" t="str">
        <f>"20190304155114202"</f>
        <v>20190304155114202</v>
      </c>
      <c r="B2963" t="str">
        <f>"1551685874199327"</f>
        <v>1551685874199327</v>
      </c>
      <c r="C2963" t="s">
        <v>40</v>
      </c>
      <c r="D2963">
        <v>4.7725799999999996</v>
      </c>
      <c r="E2963">
        <v>0.50544999999999995</v>
      </c>
      <c r="F2963" t="s">
        <v>62</v>
      </c>
      <c r="G2963">
        <v>-489.41410000000002</v>
      </c>
      <c r="H2963" s="1">
        <v>3.2067959999999998E-6</v>
      </c>
      <c r="I2963">
        <v>214.31479999999999</v>
      </c>
      <c r="J2963">
        <v>-491.95370000000003</v>
      </c>
      <c r="K2963">
        <v>1.110141</v>
      </c>
      <c r="L2963">
        <v>261.13830000000002</v>
      </c>
      <c r="M2963">
        <v>-5.8846700000000002E-2</v>
      </c>
      <c r="N2963">
        <v>-1.125753E-2</v>
      </c>
      <c r="O2963">
        <v>-0.99820359999999997</v>
      </c>
      <c r="P2963">
        <v>6.9232379999999996E-2</v>
      </c>
      <c r="Q2963">
        <v>0.15926799999999999</v>
      </c>
      <c r="R2963">
        <v>-0.98480509999999999</v>
      </c>
      <c r="S2963">
        <v>0.16384889999999999</v>
      </c>
      <c r="T2963">
        <v>-7.194412E-2</v>
      </c>
      <c r="U2963">
        <v>-3.0466310000000001</v>
      </c>
      <c r="V2963">
        <v>-0.1269728</v>
      </c>
      <c r="W2963">
        <v>0.17035049999999999</v>
      </c>
      <c r="X2963">
        <v>0.9771687</v>
      </c>
      <c r="Y2963">
        <v>-0.11234909999999999</v>
      </c>
      <c r="Z2963">
        <v>1.2180959999999999E-2</v>
      </c>
      <c r="AA2963">
        <v>0.99359410000000004</v>
      </c>
      <c r="AB2963">
        <v>21</v>
      </c>
      <c r="AC2963">
        <v>2.5396000000000001</v>
      </c>
      <c r="AD2963">
        <v>-1.110137793204</v>
      </c>
      <c r="AE2963">
        <v>-46.823500000000003</v>
      </c>
      <c r="AF2963">
        <v>-5.2878176906096996</v>
      </c>
      <c r="AG2963">
        <v>-1.110137793204</v>
      </c>
      <c r="AH2963">
        <v>46.5667903474518</v>
      </c>
      <c r="AI2963">
        <v>91.356937761280705</v>
      </c>
      <c r="AJ2963">
        <v>96.478381171232698</v>
      </c>
      <c r="AK2963">
        <v>46.879199919714402</v>
      </c>
      <c r="AL2963">
        <v>80.1918017770369</v>
      </c>
      <c r="AM2963">
        <v>97.403502607097096</v>
      </c>
      <c r="AN2963">
        <v>1.0000000265248801</v>
      </c>
    </row>
    <row r="2964" spans="1:40" x14ac:dyDescent="0.25">
      <c r="A2964" t="str">
        <f>"20190304155114222"</f>
        <v>20190304155114222</v>
      </c>
      <c r="B2964" t="str">
        <f>"1551685874219823"</f>
        <v>1551685874219823</v>
      </c>
      <c r="C2964" t="s">
        <v>40</v>
      </c>
      <c r="D2964">
        <v>4.9222910000000004</v>
      </c>
      <c r="E2964">
        <v>0.50612479999999904</v>
      </c>
      <c r="F2964" t="s">
        <v>62</v>
      </c>
      <c r="G2964">
        <v>-489.5231</v>
      </c>
      <c r="H2964" s="1">
        <v>3.2611710000000001E-6</v>
      </c>
      <c r="I2964">
        <v>215.1163</v>
      </c>
      <c r="J2964">
        <v>-491.96510000000001</v>
      </c>
      <c r="K2964">
        <v>1.1100300000000001</v>
      </c>
      <c r="L2964">
        <v>260.94459999999998</v>
      </c>
      <c r="M2964">
        <v>-5.896763E-2</v>
      </c>
      <c r="N2964">
        <v>-1.119503E-2</v>
      </c>
      <c r="O2964">
        <v>-0.99819729999999995</v>
      </c>
      <c r="P2964">
        <v>6.8975439999999999E-2</v>
      </c>
      <c r="Q2964">
        <v>0.15857449999999901</v>
      </c>
      <c r="R2964">
        <v>-0.98493509999999995</v>
      </c>
      <c r="S2964">
        <v>0.16091920000000001</v>
      </c>
      <c r="T2964">
        <v>-7.3495630000000006E-2</v>
      </c>
      <c r="U2964">
        <v>-3.0468440000000001</v>
      </c>
      <c r="V2964">
        <v>-0.12680250000000001</v>
      </c>
      <c r="W2964">
        <v>0.169627799999999</v>
      </c>
      <c r="X2964">
        <v>0.97731650000000003</v>
      </c>
      <c r="Y2964">
        <v>-0.1115126</v>
      </c>
      <c r="Z2964">
        <v>1.274928E-2</v>
      </c>
      <c r="AA2964">
        <v>0.99368129999999999</v>
      </c>
      <c r="AB2964">
        <v>21</v>
      </c>
      <c r="AC2964">
        <v>2.4420000000000002</v>
      </c>
      <c r="AD2964">
        <v>-1.1100267388289999</v>
      </c>
      <c r="AE2964">
        <v>-45.828299999999899</v>
      </c>
      <c r="AF2964">
        <v>-5.13729983926003</v>
      </c>
      <c r="AG2964">
        <v>-1.1100267388289999</v>
      </c>
      <c r="AH2964">
        <v>45.577872233620802</v>
      </c>
      <c r="AI2964">
        <v>91.386359500147407</v>
      </c>
      <c r="AJ2964">
        <v>96.430938623512702</v>
      </c>
      <c r="AK2964">
        <v>45.879913321012701</v>
      </c>
      <c r="AL2964">
        <v>80.233820753703895</v>
      </c>
      <c r="AM2964">
        <v>97.392576953436603</v>
      </c>
      <c r="AN2964">
        <v>1.0000000028556699</v>
      </c>
    </row>
    <row r="2965" spans="1:40" x14ac:dyDescent="0.25">
      <c r="A2965" t="str">
        <f>"20190304155114234"</f>
        <v>20190304155114234</v>
      </c>
      <c r="B2965" t="str">
        <f>"1551685874229583"</f>
        <v>1551685874229583</v>
      </c>
      <c r="C2965" t="s">
        <v>40</v>
      </c>
      <c r="D2965">
        <v>4.8300470000000004</v>
      </c>
      <c r="E2965">
        <v>0.50644999999999996</v>
      </c>
      <c r="F2965" t="s">
        <v>62</v>
      </c>
      <c r="G2965">
        <v>-489.63350000000003</v>
      </c>
      <c r="H2965" s="1">
        <v>3.2804010000000002E-6</v>
      </c>
      <c r="I2965">
        <v>215.10839999999999</v>
      </c>
      <c r="J2965">
        <v>-491.97179999999997</v>
      </c>
      <c r="K2965">
        <v>1.1099749999999999</v>
      </c>
      <c r="L2965">
        <v>260.83440000000002</v>
      </c>
      <c r="M2965">
        <v>-5.9117740000000002E-2</v>
      </c>
      <c r="N2965">
        <v>-1.1160130000000001E-2</v>
      </c>
      <c r="O2965">
        <v>-0.99818879999999999</v>
      </c>
      <c r="P2965">
        <v>6.8519140000000006E-2</v>
      </c>
      <c r="Q2965">
        <v>0.1584932</v>
      </c>
      <c r="R2965">
        <v>-0.98497970000000001</v>
      </c>
      <c r="S2965">
        <v>0.15499879999999999</v>
      </c>
      <c r="T2965">
        <v>-7.3788399999999907E-2</v>
      </c>
      <c r="U2965">
        <v>-3.0469360000000001</v>
      </c>
      <c r="V2965">
        <v>-0.12647610000000001</v>
      </c>
      <c r="W2965">
        <v>0.1695286</v>
      </c>
      <c r="X2965">
        <v>0.97737600000000002</v>
      </c>
      <c r="Y2965">
        <v>-0.109735</v>
      </c>
      <c r="Z2965">
        <v>1.288279E-2</v>
      </c>
      <c r="AA2965">
        <v>0.99387740000000002</v>
      </c>
      <c r="AB2965">
        <v>21</v>
      </c>
      <c r="AC2965">
        <v>2.3382999999999399</v>
      </c>
      <c r="AD2965">
        <v>-1.109971719599</v>
      </c>
      <c r="AE2965">
        <v>-45.725999999999999</v>
      </c>
      <c r="AF2965">
        <v>-5.0346366187406302</v>
      </c>
      <c r="AG2965">
        <v>-1.109971719599</v>
      </c>
      <c r="AH2965">
        <v>45.481042788309601</v>
      </c>
      <c r="AI2965">
        <v>91.389550191637596</v>
      </c>
      <c r="AJ2965">
        <v>96.316780127494397</v>
      </c>
      <c r="AK2965">
        <v>45.772315390562397</v>
      </c>
      <c r="AL2965">
        <v>80.239587973430204</v>
      </c>
      <c r="AM2965">
        <v>97.373313588166596</v>
      </c>
      <c r="AN2965">
        <v>0.99999999773258497</v>
      </c>
    </row>
    <row r="2966" spans="1:40" x14ac:dyDescent="0.25">
      <c r="A2966" t="str">
        <f>"20190304155114256"</f>
        <v>20190304155114256</v>
      </c>
      <c r="B2966" t="str">
        <f>"1551685874250079"</f>
        <v>1551685874250079</v>
      </c>
      <c r="C2966" t="s">
        <v>40</v>
      </c>
      <c r="D2966">
        <v>4.8685039999999997</v>
      </c>
      <c r="E2966">
        <v>0.50701409999999902</v>
      </c>
      <c r="F2966" t="s">
        <v>62</v>
      </c>
      <c r="G2966">
        <v>-489.6651</v>
      </c>
      <c r="H2966" s="1">
        <v>3.255523E-6</v>
      </c>
      <c r="I2966">
        <v>214.4109</v>
      </c>
      <c r="J2966">
        <v>-491.98480000000001</v>
      </c>
      <c r="K2966">
        <v>1.109882</v>
      </c>
      <c r="L2966">
        <v>260.62040000000002</v>
      </c>
      <c r="M2966">
        <v>-5.9551229999999997E-2</v>
      </c>
      <c r="N2966">
        <v>-1.1095320000000001E-2</v>
      </c>
      <c r="O2966">
        <v>-0.99816380000000005</v>
      </c>
      <c r="P2966">
        <v>6.6968250000000007E-2</v>
      </c>
      <c r="Q2966">
        <v>0.15934949999999901</v>
      </c>
      <c r="R2966">
        <v>-0.9849485</v>
      </c>
      <c r="S2966">
        <v>0.1513977</v>
      </c>
      <c r="T2966">
        <v>-7.285142E-2</v>
      </c>
      <c r="U2966">
        <v>-3.0469360000000001</v>
      </c>
      <c r="V2966">
        <v>-0.12531349999999999</v>
      </c>
      <c r="W2966">
        <v>0.1703481</v>
      </c>
      <c r="X2966">
        <v>0.97738329999999995</v>
      </c>
      <c r="Y2966">
        <v>-0.1089955</v>
      </c>
      <c r="Z2966">
        <v>1.2643339999999999E-2</v>
      </c>
      <c r="AA2966">
        <v>0.99396180000000001</v>
      </c>
      <c r="AB2966">
        <v>21</v>
      </c>
      <c r="AC2966">
        <v>2.3197000000000099</v>
      </c>
      <c r="AD2966">
        <v>-1.109878744477</v>
      </c>
      <c r="AE2966">
        <v>-46.209499999999998</v>
      </c>
      <c r="AF2966">
        <v>-5.0646696002527296</v>
      </c>
      <c r="AG2966">
        <v>-1.109878744477</v>
      </c>
      <c r="AH2966">
        <v>45.962881582934401</v>
      </c>
      <c r="AI2966">
        <v>91.374949767989605</v>
      </c>
      <c r="AJ2966">
        <v>96.288078553705603</v>
      </c>
      <c r="AK2966">
        <v>46.254396465568703</v>
      </c>
      <c r="AL2966">
        <v>80.191941378721495</v>
      </c>
      <c r="AM2966">
        <v>97.306217964422899</v>
      </c>
      <c r="AN2966">
        <v>1.0000000317873701</v>
      </c>
    </row>
    <row r="2967" spans="1:40" x14ac:dyDescent="0.25">
      <c r="A2967" t="str">
        <f>"20190304155114269"</f>
        <v>20190304155114269</v>
      </c>
      <c r="B2967" t="str">
        <f>"1551685874259839"</f>
        <v>1551685874259839</v>
      </c>
      <c r="C2967" t="s">
        <v>40</v>
      </c>
      <c r="D2967">
        <v>4.8514179999999998</v>
      </c>
      <c r="E2967">
        <v>0.50729420000000003</v>
      </c>
      <c r="F2967" t="s">
        <v>62</v>
      </c>
      <c r="G2967">
        <v>-489.68680000000001</v>
      </c>
      <c r="H2967" s="1">
        <v>3.1208179999999999E-6</v>
      </c>
      <c r="I2967">
        <v>211.24109999999999</v>
      </c>
      <c r="J2967">
        <v>-491.9923</v>
      </c>
      <c r="K2967">
        <v>1.109831</v>
      </c>
      <c r="L2967">
        <v>260.49770000000001</v>
      </c>
      <c r="M2967">
        <v>-5.9862800000000001E-2</v>
      </c>
      <c r="N2967">
        <v>-1.1059909999999999E-2</v>
      </c>
      <c r="O2967">
        <v>-0.99814550000000002</v>
      </c>
      <c r="P2967">
        <v>6.5946560000000001E-2</v>
      </c>
      <c r="Q2967">
        <v>0.15989790000000001</v>
      </c>
      <c r="R2967">
        <v>-0.98492829999999998</v>
      </c>
      <c r="S2967">
        <v>0.1418152</v>
      </c>
      <c r="T2967">
        <v>-6.8493009999999993E-2</v>
      </c>
      <c r="U2967">
        <v>-3.0473020000000002</v>
      </c>
      <c r="V2967">
        <v>-0.1245772</v>
      </c>
      <c r="W2967">
        <v>0.17087529999999901</v>
      </c>
      <c r="X2967">
        <v>0.97738539999999996</v>
      </c>
      <c r="Y2967">
        <v>-0.10618329999999999</v>
      </c>
      <c r="Z2967">
        <v>1.126095E-2</v>
      </c>
      <c r="AA2967">
        <v>0.99428280000000002</v>
      </c>
      <c r="AB2967">
        <v>21</v>
      </c>
      <c r="AC2967">
        <v>2.3054999999999901</v>
      </c>
      <c r="AD2967">
        <v>-1.109827879182</v>
      </c>
      <c r="AE2967">
        <v>-49.256599999999999</v>
      </c>
      <c r="AF2967">
        <v>-5.2475245386679896</v>
      </c>
      <c r="AG2967">
        <v>-1.109827879182</v>
      </c>
      <c r="AH2967">
        <v>49.005406790900302</v>
      </c>
      <c r="AI2967">
        <v>91.289986537860401</v>
      </c>
      <c r="AJ2967">
        <v>96.111972535351796</v>
      </c>
      <c r="AK2967">
        <v>49.298053982352599</v>
      </c>
      <c r="AL2967">
        <v>80.1612855967402</v>
      </c>
      <c r="AM2967">
        <v>97.263733474541297</v>
      </c>
      <c r="AN2967">
        <v>1.00000003352154</v>
      </c>
    </row>
    <row r="2968" spans="1:40" x14ac:dyDescent="0.25">
      <c r="A2968" t="str">
        <f>"20190304155114281"</f>
        <v>20190304155114281</v>
      </c>
      <c r="B2968" t="str">
        <f>"1551685874269599"</f>
        <v>1551685874269599</v>
      </c>
      <c r="C2968" t="s">
        <v>40</v>
      </c>
      <c r="D2968">
        <v>4.8644499999999997</v>
      </c>
      <c r="E2968">
        <v>0.50747869999999995</v>
      </c>
      <c r="F2968" t="s">
        <v>62</v>
      </c>
      <c r="G2968">
        <v>-489.69200000000001</v>
      </c>
      <c r="H2968" s="1">
        <v>2.850965E-6</v>
      </c>
      <c r="I2968">
        <v>208.97149999999999</v>
      </c>
      <c r="J2968">
        <v>-491.99950000000001</v>
      </c>
      <c r="K2968">
        <v>1.1097900000000001</v>
      </c>
      <c r="L2968">
        <v>260.38400000000001</v>
      </c>
      <c r="M2968">
        <v>-6.0202239999999997E-2</v>
      </c>
      <c r="N2968">
        <v>-1.102734E-2</v>
      </c>
      <c r="O2968">
        <v>-0.99812540000000005</v>
      </c>
      <c r="P2968">
        <v>6.4859990000000006E-2</v>
      </c>
      <c r="Q2968">
        <v>0.1601166</v>
      </c>
      <c r="R2968">
        <v>-0.98496519999999999</v>
      </c>
      <c r="S2968">
        <v>0.13604740000000001</v>
      </c>
      <c r="T2968">
        <v>-6.5638779999999994E-2</v>
      </c>
      <c r="U2968">
        <v>-3.0474239999999999</v>
      </c>
      <c r="V2968">
        <v>-0.1238113</v>
      </c>
      <c r="W2968">
        <v>0.17107359999999999</v>
      </c>
      <c r="X2968">
        <v>0.97744799999999998</v>
      </c>
      <c r="Y2968">
        <v>-0.10464279999999999</v>
      </c>
      <c r="Z2968">
        <v>1.03648E-2</v>
      </c>
      <c r="AA2968">
        <v>0.99445589999999995</v>
      </c>
      <c r="AB2968">
        <v>21</v>
      </c>
      <c r="AC2968">
        <v>2.3075000000000601</v>
      </c>
      <c r="AD2968">
        <v>-1.109787149035</v>
      </c>
      <c r="AE2968">
        <v>-51.412500000000001</v>
      </c>
      <c r="AF2968">
        <v>-5.3961403760957296</v>
      </c>
      <c r="AG2968">
        <v>-1.109787149035</v>
      </c>
      <c r="AH2968">
        <v>51.156522982159998</v>
      </c>
      <c r="AI2968">
        <v>91.235922275313001</v>
      </c>
      <c r="AJ2968">
        <v>96.021460182827894</v>
      </c>
      <c r="AK2968">
        <v>51.452306091165198</v>
      </c>
      <c r="AL2968">
        <v>80.1497537502716</v>
      </c>
      <c r="AM2968">
        <v>97.219091209207207</v>
      </c>
      <c r="AN2968">
        <v>1.00000000366432</v>
      </c>
    </row>
    <row r="2969" spans="1:40" x14ac:dyDescent="0.25">
      <c r="A2969" t="str">
        <f>"20190304155114294"</f>
        <v>20190304155114294</v>
      </c>
      <c r="B2969" t="str">
        <f>"1551685874289119"</f>
        <v>1551685874289119</v>
      </c>
      <c r="C2969" t="s">
        <v>40</v>
      </c>
      <c r="D2969">
        <v>4.8383969999999996</v>
      </c>
      <c r="E2969">
        <v>0.51962019999999998</v>
      </c>
      <c r="F2969" t="s">
        <v>62</v>
      </c>
      <c r="G2969">
        <v>-489.73009999999999</v>
      </c>
      <c r="H2969" s="1">
        <v>2.461298E-6</v>
      </c>
      <c r="I2969">
        <v>207.6918</v>
      </c>
      <c r="J2969">
        <v>-492.00659999999999</v>
      </c>
      <c r="K2969">
        <v>1.1097549999999901</v>
      </c>
      <c r="L2969">
        <v>260.2724</v>
      </c>
      <c r="M2969">
        <v>-6.0559429999999997E-2</v>
      </c>
      <c r="N2969">
        <v>-1.099549E-2</v>
      </c>
      <c r="O2969">
        <v>-0.99810399999999999</v>
      </c>
      <c r="P2969">
        <v>6.3181890000000004E-2</v>
      </c>
      <c r="Q2969">
        <v>0.160456399999999</v>
      </c>
      <c r="R2969">
        <v>-0.98501879999999997</v>
      </c>
      <c r="S2969">
        <v>0.13125609999999999</v>
      </c>
      <c r="T2969">
        <v>-6.4187880000000003E-2</v>
      </c>
      <c r="U2969">
        <v>-3.0476070000000002</v>
      </c>
      <c r="V2969">
        <v>-0.1224755</v>
      </c>
      <c r="W2969">
        <v>0.17139160000000001</v>
      </c>
      <c r="X2969">
        <v>0.9775606</v>
      </c>
      <c r="Y2969">
        <v>-0.10343629999999999</v>
      </c>
      <c r="Z2969">
        <v>9.9242080000000003E-3</v>
      </c>
      <c r="AA2969">
        <v>0.99458659999999999</v>
      </c>
      <c r="AB2969">
        <v>21</v>
      </c>
      <c r="AC2969">
        <v>2.2764999999999902</v>
      </c>
      <c r="AD2969">
        <v>-1.10975253870199</v>
      </c>
      <c r="AE2969">
        <v>-52.580599999999997</v>
      </c>
      <c r="AF2969">
        <v>-5.4543398554126599</v>
      </c>
      <c r="AG2969">
        <v>-1.10975253870199</v>
      </c>
      <c r="AH2969">
        <v>52.322945881287197</v>
      </c>
      <c r="AI2969">
        <v>91.208496019596495</v>
      </c>
      <c r="AJ2969">
        <v>95.951231906901896</v>
      </c>
      <c r="AK2969">
        <v>52.618172142821599</v>
      </c>
      <c r="AL2969">
        <v>80.131260798809095</v>
      </c>
      <c r="AM2969">
        <v>97.141198898415695</v>
      </c>
      <c r="AN2969">
        <v>1.0000000276615799</v>
      </c>
    </row>
    <row r="2970" spans="1:40" x14ac:dyDescent="0.25">
      <c r="A2970" t="str">
        <f>"20190304155114312"</f>
        <v>20190304155114312</v>
      </c>
      <c r="B2970" t="str">
        <f>"1551685874309615"</f>
        <v>1551685874309615</v>
      </c>
      <c r="C2970" t="s">
        <v>40</v>
      </c>
      <c r="D2970">
        <v>4.8446930000000004</v>
      </c>
      <c r="E2970">
        <v>0.51826079999999997</v>
      </c>
      <c r="F2970" t="s">
        <v>42</v>
      </c>
      <c r="G2970">
        <v>-490.31950000000001</v>
      </c>
      <c r="H2970">
        <v>-0.05</v>
      </c>
      <c r="I2970">
        <v>88.209669999999903</v>
      </c>
      <c r="J2970">
        <v>-492.01780000000002</v>
      </c>
      <c r="K2970">
        <v>1.1096999999999999</v>
      </c>
      <c r="L2970">
        <v>260.09809999999999</v>
      </c>
      <c r="M2970">
        <v>-6.1168699999999999E-2</v>
      </c>
      <c r="N2970">
        <v>-1.0946620000000001E-2</v>
      </c>
      <c r="O2970">
        <v>-0.99806760000000005</v>
      </c>
      <c r="P2970">
        <v>6.1096930000000001E-2</v>
      </c>
      <c r="Q2970">
        <v>0.16072429999999999</v>
      </c>
      <c r="R2970">
        <v>-0.98510690000000001</v>
      </c>
      <c r="S2970">
        <v>2.9876710000000001E-2</v>
      </c>
      <c r="T2970">
        <v>-2.0538089999999998E-2</v>
      </c>
      <c r="U2970">
        <v>-3.0470579999999998</v>
      </c>
      <c r="V2970">
        <v>-0.1209797</v>
      </c>
      <c r="W2970">
        <v>0.17162369999999999</v>
      </c>
      <c r="X2970">
        <v>0.97770610000000002</v>
      </c>
      <c r="Y2970">
        <v>-7.0948730000000002E-2</v>
      </c>
      <c r="Z2970">
        <v>-4.2374960000000003E-3</v>
      </c>
      <c r="AA2970">
        <v>0.997471</v>
      </c>
      <c r="AB2970">
        <v>21</v>
      </c>
      <c r="AC2970">
        <v>1.6983000000000099</v>
      </c>
      <c r="AD2970">
        <v>-1.1597</v>
      </c>
      <c r="AE2970">
        <v>-171.88843</v>
      </c>
      <c r="AF2970">
        <v>-12.209383598594901</v>
      </c>
      <c r="AG2970">
        <v>-1.1597</v>
      </c>
      <c r="AH2970">
        <v>171.45482763208</v>
      </c>
      <c r="AI2970">
        <v>90.386557073824804</v>
      </c>
      <c r="AJ2970">
        <v>94.073185304760699</v>
      </c>
      <c r="AK2970">
        <v>171.892908144269</v>
      </c>
      <c r="AL2970">
        <v>80.117762165548797</v>
      </c>
      <c r="AM2970">
        <v>97.053827937008904</v>
      </c>
      <c r="AN2970">
        <v>1.0000000000954901</v>
      </c>
    </row>
    <row r="2971" spans="1:40" x14ac:dyDescent="0.25">
      <c r="A2971" t="str">
        <f>"20190304155114326"</f>
        <v>20190304155114326</v>
      </c>
      <c r="B2971" t="str">
        <f>"1551685874319375"</f>
        <v>1551685874319375</v>
      </c>
      <c r="C2971" t="s">
        <v>40</v>
      </c>
      <c r="D2971">
        <v>4.8403130000000001</v>
      </c>
      <c r="E2971">
        <v>0.51836369999999998</v>
      </c>
      <c r="F2971" t="s">
        <v>42</v>
      </c>
      <c r="G2971">
        <v>-490.15649999999999</v>
      </c>
      <c r="H2971">
        <v>-0.05</v>
      </c>
      <c r="I2971">
        <v>93.147750000000002</v>
      </c>
      <c r="J2971">
        <v>-492.02690000000001</v>
      </c>
      <c r="K2971">
        <v>1.109672</v>
      </c>
      <c r="L2971">
        <v>259.95830000000001</v>
      </c>
      <c r="M2971">
        <v>-6.1695020000000003E-2</v>
      </c>
      <c r="N2971">
        <v>-1.090932E-2</v>
      </c>
      <c r="O2971">
        <v>-0.99803569999999997</v>
      </c>
      <c r="P2971">
        <v>5.9709709999999999E-2</v>
      </c>
      <c r="Q2971">
        <v>0.16067379999999901</v>
      </c>
      <c r="R2971">
        <v>-0.98520010000000002</v>
      </c>
      <c r="S2971">
        <v>3.3966059999999999E-2</v>
      </c>
      <c r="T2971">
        <v>-2.1163459999999999E-2</v>
      </c>
      <c r="U2971">
        <v>-3.0466920000000002</v>
      </c>
      <c r="V2971">
        <v>-0.120107199999999</v>
      </c>
      <c r="W2971">
        <v>0.1715438</v>
      </c>
      <c r="X2971">
        <v>0.97782769999999997</v>
      </c>
      <c r="Y2971">
        <v>-7.2814229999999994E-2</v>
      </c>
      <c r="Z2971">
        <v>-3.9963009999999998E-3</v>
      </c>
      <c r="AA2971">
        <v>0.99733749999999999</v>
      </c>
      <c r="AB2971">
        <v>21</v>
      </c>
      <c r="AC2971">
        <v>1.8704000000000101</v>
      </c>
      <c r="AD2971">
        <v>-1.159672</v>
      </c>
      <c r="AE2971">
        <v>-166.81055000000001</v>
      </c>
      <c r="AF2971">
        <v>-12.158238874399901</v>
      </c>
      <c r="AG2971">
        <v>-1.159672</v>
      </c>
      <c r="AH2971">
        <v>166.369305256692</v>
      </c>
      <c r="AI2971">
        <v>90.398309789727307</v>
      </c>
      <c r="AJ2971">
        <v>94.179734970693602</v>
      </c>
      <c r="AK2971">
        <v>166.81700555779301</v>
      </c>
      <c r="AL2971">
        <v>80.122409140469998</v>
      </c>
      <c r="AM2971">
        <v>97.0026007845659</v>
      </c>
      <c r="AN2971">
        <v>1.00000001284878</v>
      </c>
    </row>
    <row r="2972" spans="1:40" x14ac:dyDescent="0.25">
      <c r="A2972" t="str">
        <f>"20190304155114339"</f>
        <v>20190304155114339</v>
      </c>
      <c r="B2972" t="str">
        <f>"1551685874330111"</f>
        <v>1551685874330111</v>
      </c>
      <c r="C2972" t="s">
        <v>40</v>
      </c>
      <c r="D2972">
        <v>4.8452099999999998</v>
      </c>
      <c r="E2972">
        <v>0.51877519999999999</v>
      </c>
      <c r="F2972" t="s">
        <v>42</v>
      </c>
      <c r="G2972">
        <v>-490.33839999999998</v>
      </c>
      <c r="H2972">
        <v>-0.05</v>
      </c>
      <c r="I2972">
        <v>82.331659999999999</v>
      </c>
      <c r="J2972">
        <v>-492.03519999999997</v>
      </c>
      <c r="K2972">
        <v>1.1096619999999999</v>
      </c>
      <c r="L2972">
        <v>259.83280000000002</v>
      </c>
      <c r="M2972">
        <v>-6.2198900000000001E-2</v>
      </c>
      <c r="N2972">
        <v>-1.087919E-2</v>
      </c>
      <c r="O2972">
        <v>-0.99800460000000002</v>
      </c>
      <c r="P2972">
        <v>5.8630069999999999E-2</v>
      </c>
      <c r="Q2972">
        <v>0.1606136</v>
      </c>
      <c r="R2972">
        <v>-0.98527480000000001</v>
      </c>
      <c r="S2972">
        <v>2.896118E-2</v>
      </c>
      <c r="T2972">
        <v>-1.989055E-2</v>
      </c>
      <c r="U2972">
        <v>-3.0466310000000001</v>
      </c>
      <c r="V2972">
        <v>-0.1195248</v>
      </c>
      <c r="W2972">
        <v>0.17145739999999901</v>
      </c>
      <c r="X2972">
        <v>0.97791419999999996</v>
      </c>
      <c r="Y2972">
        <v>-7.1680030000000006E-2</v>
      </c>
      <c r="Z2972">
        <v>-4.3815069999999998E-3</v>
      </c>
      <c r="AA2972">
        <v>0.99741800000000003</v>
      </c>
      <c r="AB2972">
        <v>21</v>
      </c>
      <c r="AC2972">
        <v>1.6967999999999901</v>
      </c>
      <c r="AD2972">
        <v>-1.159662</v>
      </c>
      <c r="AE2972">
        <v>-177.50113999999999</v>
      </c>
      <c r="AF2972">
        <v>-12.7339984732026</v>
      </c>
      <c r="AG2972">
        <v>-1.159662</v>
      </c>
      <c r="AH2972">
        <v>177.04431551081899</v>
      </c>
      <c r="AI2972">
        <v>90.374322063213896</v>
      </c>
      <c r="AJ2972">
        <v>94.113942373484704</v>
      </c>
      <c r="AK2972">
        <v>177.505462416694</v>
      </c>
      <c r="AL2972">
        <v>80.127433816985999</v>
      </c>
      <c r="AM2972">
        <v>96.968369502271699</v>
      </c>
      <c r="AN2972">
        <v>1.0000000001957099</v>
      </c>
    </row>
    <row r="2973" spans="1:40" x14ac:dyDescent="0.25">
      <c r="A2973" t="str">
        <f>"20190304155114358"</f>
        <v>20190304155114358</v>
      </c>
      <c r="B2973" t="str">
        <f>"1551685874349631"</f>
        <v>1551685874349631</v>
      </c>
      <c r="C2973" t="s">
        <v>40</v>
      </c>
      <c r="D2973">
        <v>4.7471069999999997</v>
      </c>
      <c r="E2973">
        <v>0.51787700000000003</v>
      </c>
      <c r="F2973" t="s">
        <v>42</v>
      </c>
      <c r="G2973">
        <v>-490.87860000000001</v>
      </c>
      <c r="H2973">
        <v>-0.05</v>
      </c>
      <c r="I2973">
        <v>101.4207</v>
      </c>
      <c r="J2973">
        <v>-492.04689999999999</v>
      </c>
      <c r="K2973">
        <v>1.109653</v>
      </c>
      <c r="L2973">
        <v>259.65839999999997</v>
      </c>
      <c r="M2973">
        <v>-6.292056E-2</v>
      </c>
      <c r="N2973">
        <v>-1.084045E-2</v>
      </c>
      <c r="O2973">
        <v>-0.99795999999999996</v>
      </c>
      <c r="P2973">
        <v>5.6575649999999998E-2</v>
      </c>
      <c r="Q2973">
        <v>0.1609495</v>
      </c>
      <c r="R2973">
        <v>-0.98534010000000005</v>
      </c>
      <c r="S2973">
        <v>2.2247309999999999E-2</v>
      </c>
      <c r="T2973">
        <v>-2.230656E-2</v>
      </c>
      <c r="U2973">
        <v>-3.0471189999999999</v>
      </c>
      <c r="V2973">
        <v>-0.11818389999999999</v>
      </c>
      <c r="W2973">
        <v>0.17175570000000001</v>
      </c>
      <c r="X2973">
        <v>0.97802480000000003</v>
      </c>
      <c r="Y2973">
        <v>-7.0202050000000002E-2</v>
      </c>
      <c r="Z2973">
        <v>-3.5536220000000002E-3</v>
      </c>
      <c r="AA2973">
        <v>0.99752649999999998</v>
      </c>
      <c r="AB2973">
        <v>21</v>
      </c>
      <c r="AC2973">
        <v>1.1682999999999799</v>
      </c>
      <c r="AD2973">
        <v>-1.159653</v>
      </c>
      <c r="AE2973">
        <v>-158.23769999999899</v>
      </c>
      <c r="AF2973">
        <v>-11.122373872522401</v>
      </c>
      <c r="AG2973">
        <v>-1.159653</v>
      </c>
      <c r="AH2973">
        <v>157.84213015576299</v>
      </c>
      <c r="AI2973">
        <v>90.419898610568495</v>
      </c>
      <c r="AJ2973">
        <v>94.030694881095798</v>
      </c>
      <c r="AK2973">
        <v>158.23776429079601</v>
      </c>
      <c r="AL2973">
        <v>80.110084946722594</v>
      </c>
      <c r="AM2973">
        <v>96.890178315061405</v>
      </c>
      <c r="AN2973">
        <v>0.99999998205836904</v>
      </c>
    </row>
    <row r="2974" spans="1:40" x14ac:dyDescent="0.25">
      <c r="A2974" t="str">
        <f>"20190304155114372"</f>
        <v>20190304155114372</v>
      </c>
      <c r="B2974" t="str">
        <f>"1551685874369151"</f>
        <v>1551685874369151</v>
      </c>
      <c r="C2974" t="s">
        <v>40</v>
      </c>
      <c r="D2974">
        <v>4.7839159999999996</v>
      </c>
      <c r="E2974">
        <v>0.51770479999999997</v>
      </c>
      <c r="F2974" t="s">
        <v>41</v>
      </c>
      <c r="G2974">
        <v>-491.35849999999999</v>
      </c>
      <c r="H2974" s="1">
        <v>-4.886947E-6</v>
      </c>
      <c r="I2974">
        <v>169.3845</v>
      </c>
      <c r="J2974">
        <v>-492.0557</v>
      </c>
      <c r="K2974">
        <v>1.1096539999999999</v>
      </c>
      <c r="L2974">
        <v>259.529</v>
      </c>
      <c r="M2974">
        <v>-6.3469239999999996E-2</v>
      </c>
      <c r="N2974">
        <v>-1.0814020000000001E-2</v>
      </c>
      <c r="O2974">
        <v>-0.99792550000000002</v>
      </c>
      <c r="P2974">
        <v>5.567196E-2</v>
      </c>
      <c r="Q2974">
        <v>0.16120029999999999</v>
      </c>
      <c r="R2974">
        <v>-0.98535050000000002</v>
      </c>
      <c r="S2974">
        <v>2.325439E-2</v>
      </c>
      <c r="T2974">
        <v>-3.748369E-2</v>
      </c>
      <c r="U2974">
        <v>-3.0494080000000001</v>
      </c>
      <c r="V2974">
        <v>-0.117822</v>
      </c>
      <c r="W2974">
        <v>0.1719793</v>
      </c>
      <c r="X2974">
        <v>0.97802920000000004</v>
      </c>
      <c r="Y2974">
        <v>-7.1072460000000004E-2</v>
      </c>
      <c r="Z2974">
        <v>1.4217590000000001E-3</v>
      </c>
      <c r="AA2974">
        <v>0.99747010000000003</v>
      </c>
      <c r="AB2974">
        <v>21</v>
      </c>
      <c r="AC2974">
        <v>0.69720000000000903</v>
      </c>
      <c r="AD2974">
        <v>-1.1096588869470001</v>
      </c>
      <c r="AE2974">
        <v>-90.144499999999994</v>
      </c>
      <c r="AF2974">
        <v>-6.4165576738579704</v>
      </c>
      <c r="AG2974">
        <v>-1.1096588869470001</v>
      </c>
      <c r="AH2974">
        <v>89.904853203980807</v>
      </c>
      <c r="AI2974">
        <v>90.705348528433305</v>
      </c>
      <c r="AJ2974">
        <v>94.082308531144406</v>
      </c>
      <c r="AK2974">
        <v>90.140369340582694</v>
      </c>
      <c r="AL2974">
        <v>80.097080375316807</v>
      </c>
      <c r="AM2974">
        <v>96.869250670605396</v>
      </c>
      <c r="AN2974">
        <v>1.0000000096825601</v>
      </c>
    </row>
    <row r="2975" spans="1:40" x14ac:dyDescent="0.25">
      <c r="A2975" t="str">
        <f>"20190304155114385"</f>
        <v>20190304155114385</v>
      </c>
      <c r="B2975" t="str">
        <f>"1551685874379888"</f>
        <v>1551685874379888</v>
      </c>
      <c r="C2975" t="s">
        <v>40</v>
      </c>
      <c r="D2975">
        <v>4.7842770000000003</v>
      </c>
      <c r="E2975">
        <v>0.5177657</v>
      </c>
      <c r="F2975" t="s">
        <v>41</v>
      </c>
      <c r="G2975">
        <v>-491.50959999999998</v>
      </c>
      <c r="H2975" s="1">
        <v>-1.4836990000000001E-6</v>
      </c>
      <c r="I2975">
        <v>182.1113</v>
      </c>
      <c r="J2975">
        <v>-492.06479999999999</v>
      </c>
      <c r="K2975">
        <v>1.109664</v>
      </c>
      <c r="L2975">
        <v>259.39409999999998</v>
      </c>
      <c r="M2975">
        <v>-6.4048869999999994E-2</v>
      </c>
      <c r="N2975">
        <v>-1.078837E-2</v>
      </c>
      <c r="O2975">
        <v>-0.99788849999999996</v>
      </c>
      <c r="P2975">
        <v>5.485963E-2</v>
      </c>
      <c r="Q2975">
        <v>0.16129769999999999</v>
      </c>
      <c r="R2975">
        <v>-0.98538000000000003</v>
      </c>
      <c r="S2975">
        <v>2.1514889999999998E-2</v>
      </c>
      <c r="T2975">
        <v>-4.372442E-2</v>
      </c>
      <c r="U2975">
        <v>-3.0505369999999998</v>
      </c>
      <c r="V2975">
        <v>-0.11758589999999999</v>
      </c>
      <c r="W2975">
        <v>0.17204929999999999</v>
      </c>
      <c r="X2975">
        <v>0.97804530000000001</v>
      </c>
      <c r="Y2975">
        <v>-7.1079489999999995E-2</v>
      </c>
      <c r="Z2975">
        <v>3.4788950000000001E-3</v>
      </c>
      <c r="AA2975">
        <v>0.99746460000000003</v>
      </c>
      <c r="AB2975">
        <v>21</v>
      </c>
      <c r="AC2975">
        <v>0.55520000000001302</v>
      </c>
      <c r="AD2975">
        <v>-1.1096654836990001</v>
      </c>
      <c r="AE2975">
        <v>-77.282799999999895</v>
      </c>
      <c r="AF2975">
        <v>-5.5030892459819203</v>
      </c>
      <c r="AG2975">
        <v>-1.1096654836990001</v>
      </c>
      <c r="AH2975">
        <v>77.072650648627402</v>
      </c>
      <c r="AI2975">
        <v>90.8227735544788</v>
      </c>
      <c r="AJ2975">
        <v>94.084063498667206</v>
      </c>
      <c r="AK2975">
        <v>77.276832406228394</v>
      </c>
      <c r="AL2975">
        <v>80.093008959445001</v>
      </c>
      <c r="AM2975">
        <v>96.855504940250995</v>
      </c>
      <c r="AN2975">
        <v>1.00000000718069</v>
      </c>
    </row>
    <row r="2976" spans="1:40" x14ac:dyDescent="0.25">
      <c r="A2976" t="str">
        <f>"20190304155114403"</f>
        <v>20190304155114403</v>
      </c>
      <c r="B2976" t="str">
        <f>"1551685874399408"</f>
        <v>1551685874399408</v>
      </c>
      <c r="C2976" t="s">
        <v>40</v>
      </c>
      <c r="D2976">
        <v>4.8593630000000001</v>
      </c>
      <c r="E2976">
        <v>0.51760269999999997</v>
      </c>
      <c r="F2976" t="s">
        <v>41</v>
      </c>
      <c r="G2976">
        <v>-491.6062</v>
      </c>
      <c r="H2976" s="1">
        <v>-3.0907709999999898E-6</v>
      </c>
      <c r="I2976">
        <v>185.79750000000001</v>
      </c>
      <c r="J2976">
        <v>-492.0761</v>
      </c>
      <c r="K2976">
        <v>1.109675</v>
      </c>
      <c r="L2976">
        <v>259.23169999999999</v>
      </c>
      <c r="M2976">
        <v>-6.4745460000000005E-2</v>
      </c>
      <c r="N2976">
        <v>-1.076007E-2</v>
      </c>
      <c r="O2976">
        <v>-0.99784390000000001</v>
      </c>
      <c r="P2976">
        <v>5.3486690000000003E-2</v>
      </c>
      <c r="Q2976">
        <v>0.16164129999999999</v>
      </c>
      <c r="R2976">
        <v>-0.98539920000000003</v>
      </c>
      <c r="S2976">
        <v>1.901245E-2</v>
      </c>
      <c r="T2976">
        <v>-4.6002029999999999E-2</v>
      </c>
      <c r="U2976">
        <v>-3.0509949999999999</v>
      </c>
      <c r="V2976">
        <v>-0.11690689999999999</v>
      </c>
      <c r="W2976">
        <v>0.1723597</v>
      </c>
      <c r="X2976">
        <v>0.97807200000000005</v>
      </c>
      <c r="Y2976">
        <v>-7.0956359999999996E-2</v>
      </c>
      <c r="Z2976">
        <v>4.2475100000000003E-3</v>
      </c>
      <c r="AA2976">
        <v>0.99747039999999998</v>
      </c>
      <c r="AB2976">
        <v>21</v>
      </c>
      <c r="AC2976">
        <v>0.46989999999999499</v>
      </c>
      <c r="AD2976">
        <v>-1.109678090771</v>
      </c>
      <c r="AE2976">
        <v>-73.434199999999905</v>
      </c>
      <c r="AF2976">
        <v>-5.2225272810244601</v>
      </c>
      <c r="AG2976">
        <v>-1.109678090771</v>
      </c>
      <c r="AH2976">
        <v>73.232955810760302</v>
      </c>
      <c r="AI2976">
        <v>90.865921399385201</v>
      </c>
      <c r="AJ2976">
        <v>94.079079572732596</v>
      </c>
      <c r="AK2976">
        <v>73.427324569583405</v>
      </c>
      <c r="AL2976">
        <v>80.074954200309804</v>
      </c>
      <c r="AM2976">
        <v>96.816107018877901</v>
      </c>
      <c r="AN2976">
        <v>0.99999996331784902</v>
      </c>
    </row>
    <row r="2977" spans="1:40" x14ac:dyDescent="0.25">
      <c r="A2977" t="str">
        <f>"20190304155114424"</f>
        <v>20190304155114424</v>
      </c>
      <c r="B2977" t="str">
        <f>"1551685874419903"</f>
        <v>1551685874419903</v>
      </c>
      <c r="C2977" t="s">
        <v>40</v>
      </c>
      <c r="D2977">
        <v>4.8520329999999996</v>
      </c>
      <c r="E2977">
        <v>0.51734519999999995</v>
      </c>
      <c r="F2977" t="s">
        <v>41</v>
      </c>
      <c r="G2977">
        <v>-491.66739999999999</v>
      </c>
      <c r="H2977" s="1">
        <v>-2.274962E-6</v>
      </c>
      <c r="I2977">
        <v>183.8579</v>
      </c>
      <c r="J2977">
        <v>-492.09050000000002</v>
      </c>
      <c r="K2977">
        <v>1.1096969999999999</v>
      </c>
      <c r="L2977">
        <v>259.0258</v>
      </c>
      <c r="M2977">
        <v>-6.5618869999999996E-2</v>
      </c>
      <c r="N2977">
        <v>-1.0727520000000001E-2</v>
      </c>
      <c r="O2977">
        <v>-0.99778710000000004</v>
      </c>
      <c r="P2977">
        <v>5.2309649999999999E-2</v>
      </c>
      <c r="Q2977">
        <v>0.16196289999999999</v>
      </c>
      <c r="R2977">
        <v>-0.98540930000000004</v>
      </c>
      <c r="S2977">
        <v>1.6540530000000001E-2</v>
      </c>
      <c r="T2977">
        <v>-4.4916869999999998E-2</v>
      </c>
      <c r="U2977">
        <v>-3.0509339999999998</v>
      </c>
      <c r="V2977">
        <v>-0.1166003</v>
      </c>
      <c r="W2977">
        <v>0.17264199999999999</v>
      </c>
      <c r="X2977">
        <v>0.97805889999999995</v>
      </c>
      <c r="Y2977">
        <v>-7.1021650000000006E-2</v>
      </c>
      <c r="Z2977">
        <v>3.9253370000000001E-3</v>
      </c>
      <c r="AA2977">
        <v>0.99746699999999999</v>
      </c>
      <c r="AB2977">
        <v>21</v>
      </c>
      <c r="AC2977">
        <v>0.42310000000003301</v>
      </c>
      <c r="AD2977">
        <v>-1.1096992749619901</v>
      </c>
      <c r="AE2977">
        <v>-75.167900000000003</v>
      </c>
      <c r="AF2977">
        <v>-5.3537376951399001</v>
      </c>
      <c r="AG2977">
        <v>-1.1096992749619901</v>
      </c>
      <c r="AH2977">
        <v>74.961774503022994</v>
      </c>
      <c r="AI2977">
        <v>90.845963676522601</v>
      </c>
      <c r="AJ2977">
        <v>94.085103648975903</v>
      </c>
      <c r="AK2977">
        <v>75.160904574328299</v>
      </c>
      <c r="AL2977">
        <v>80.058534324083894</v>
      </c>
      <c r="AM2977">
        <v>96.798488830133095</v>
      </c>
      <c r="AN2977">
        <v>1.00000005099664</v>
      </c>
    </row>
    <row r="2978" spans="1:40" x14ac:dyDescent="0.25">
      <c r="A2978" t="str">
        <f>"20190304155114447"</f>
        <v>20190304155114447</v>
      </c>
      <c r="B2978" t="str">
        <f>"1551685874439426"</f>
        <v>1551685874439426</v>
      </c>
      <c r="C2978" t="s">
        <v>40</v>
      </c>
      <c r="D2978">
        <v>4.8652660000000001</v>
      </c>
      <c r="E2978">
        <v>0.51695249999999904</v>
      </c>
      <c r="F2978" t="s">
        <v>41</v>
      </c>
      <c r="G2978">
        <v>-491.72770000000003</v>
      </c>
      <c r="H2978" s="1">
        <v>-2.913342E-6</v>
      </c>
      <c r="I2978">
        <v>185.30860000000001</v>
      </c>
      <c r="J2978">
        <v>-492.1053</v>
      </c>
      <c r="K2978">
        <v>1.109721</v>
      </c>
      <c r="L2978">
        <v>258.81540000000001</v>
      </c>
      <c r="M2978">
        <v>-6.6493880000000005E-2</v>
      </c>
      <c r="N2978">
        <v>-1.069841E-2</v>
      </c>
      <c r="O2978">
        <v>-0.99772950000000005</v>
      </c>
      <c r="P2978">
        <v>5.1482519999999997E-2</v>
      </c>
      <c r="Q2978">
        <v>0.16165019999999999</v>
      </c>
      <c r="R2978">
        <v>-0.98550439999999995</v>
      </c>
      <c r="S2978">
        <v>1.5014649999999999E-2</v>
      </c>
      <c r="T2978">
        <v>-4.5930859999999997E-2</v>
      </c>
      <c r="U2978">
        <v>-3.0511780000000002</v>
      </c>
      <c r="V2978">
        <v>-0.1166518</v>
      </c>
      <c r="W2978">
        <v>0.17229439999999999</v>
      </c>
      <c r="X2978">
        <v>0.97811400000000004</v>
      </c>
      <c r="Y2978">
        <v>-7.1396970000000004E-2</v>
      </c>
      <c r="Z2978">
        <v>4.2827029999999997E-3</v>
      </c>
      <c r="AA2978">
        <v>0.99743879999999996</v>
      </c>
      <c r="AB2978">
        <v>21</v>
      </c>
      <c r="AC2978">
        <v>0.37759999999997201</v>
      </c>
      <c r="AD2978">
        <v>-1.109723913342</v>
      </c>
      <c r="AE2978">
        <v>-73.506799999999998</v>
      </c>
      <c r="AF2978">
        <v>-5.2635965492496997</v>
      </c>
      <c r="AG2978">
        <v>-1.109723913342</v>
      </c>
      <c r="AH2978">
        <v>73.302282684702206</v>
      </c>
      <c r="AI2978">
        <v>90.865107931767199</v>
      </c>
      <c r="AJ2978">
        <v>94.107172583096201</v>
      </c>
      <c r="AK2978">
        <v>73.499398518525993</v>
      </c>
      <c r="AL2978">
        <v>80.078752803441006</v>
      </c>
      <c r="AM2978">
        <v>96.801083904782203</v>
      </c>
      <c r="AN2978">
        <v>0.99999999985529997</v>
      </c>
    </row>
    <row r="2979" spans="1:40" x14ac:dyDescent="0.25">
      <c r="A2979" t="str">
        <f>"20190304155114458"</f>
        <v>20190304155114458</v>
      </c>
      <c r="B2979" t="str">
        <f>"1551685874449184"</f>
        <v>1551685874449184</v>
      </c>
      <c r="C2979" t="s">
        <v>40</v>
      </c>
      <c r="D2979">
        <v>4.8057129999999999</v>
      </c>
      <c r="E2979">
        <v>0.51684039999999998</v>
      </c>
      <c r="F2979" t="s">
        <v>41</v>
      </c>
      <c r="G2979">
        <v>-491.73099999999999</v>
      </c>
      <c r="H2979" s="1">
        <v>-3.1558759999999999E-6</v>
      </c>
      <c r="I2979">
        <v>185.87190000000001</v>
      </c>
      <c r="J2979">
        <v>-492.1139</v>
      </c>
      <c r="K2979">
        <v>1.109731</v>
      </c>
      <c r="L2979">
        <v>258.69510000000002</v>
      </c>
      <c r="M2979">
        <v>-6.6983749999999995E-2</v>
      </c>
      <c r="N2979">
        <v>-1.068388E-2</v>
      </c>
      <c r="O2979">
        <v>-0.9976969</v>
      </c>
      <c r="P2979">
        <v>5.1446369999999998E-2</v>
      </c>
      <c r="Q2979">
        <v>0.16138279999999999</v>
      </c>
      <c r="R2979">
        <v>-0.98555000000000004</v>
      </c>
      <c r="S2979">
        <v>1.5655519999999999E-2</v>
      </c>
      <c r="T2979">
        <v>-4.6415089999999999E-2</v>
      </c>
      <c r="U2979">
        <v>-3.0509189999999999</v>
      </c>
      <c r="V2979">
        <v>-0.1171064</v>
      </c>
      <c r="W2979">
        <v>0.172009299999999</v>
      </c>
      <c r="X2979">
        <v>0.97810980000000003</v>
      </c>
      <c r="Y2979">
        <v>-7.2096469999999996E-2</v>
      </c>
      <c r="Z2979">
        <v>4.455227E-3</v>
      </c>
      <c r="AA2979">
        <v>0.99738769999999999</v>
      </c>
      <c r="AB2979">
        <v>21</v>
      </c>
      <c r="AC2979">
        <v>0.38290000000000601</v>
      </c>
      <c r="AD2979">
        <v>-1.1097341558759899</v>
      </c>
      <c r="AE2979">
        <v>-72.8232</v>
      </c>
      <c r="AF2979">
        <v>-5.2590679794235804</v>
      </c>
      <c r="AG2979">
        <v>-1.1097341558759899</v>
      </c>
      <c r="AH2979">
        <v>72.617113082911402</v>
      </c>
      <c r="AI2979">
        <v>90.873238816129003</v>
      </c>
      <c r="AJ2979">
        <v>94.142236360139194</v>
      </c>
      <c r="AK2979">
        <v>72.815756663000201</v>
      </c>
      <c r="AL2979">
        <v>80.095334847913094</v>
      </c>
      <c r="AM2979">
        <v>96.827367531578702</v>
      </c>
      <c r="AN2979">
        <v>0.99999994453174301</v>
      </c>
    </row>
    <row r="2980" spans="1:40" x14ac:dyDescent="0.25">
      <c r="A2980" t="str">
        <f>"20190304155114471"</f>
        <v>20190304155114471</v>
      </c>
      <c r="B2980" t="str">
        <f>"1551685874469679"</f>
        <v>1551685874469679</v>
      </c>
      <c r="C2980" t="s">
        <v>40</v>
      </c>
      <c r="D2980">
        <v>4.7081419999999996</v>
      </c>
      <c r="E2980">
        <v>0.51672940000000001</v>
      </c>
      <c r="F2980" t="s">
        <v>41</v>
      </c>
      <c r="G2980">
        <v>-491.74340000000001</v>
      </c>
      <c r="H2980" s="1">
        <v>-4.5992209999999999E-6</v>
      </c>
      <c r="I2980">
        <v>189.59299999999999</v>
      </c>
      <c r="J2980">
        <v>-492.12259999999998</v>
      </c>
      <c r="K2980">
        <v>1.1097440000000001</v>
      </c>
      <c r="L2980">
        <v>258.57319999999999</v>
      </c>
      <c r="M2980">
        <v>-6.7475859999999999E-2</v>
      </c>
      <c r="N2980">
        <v>-1.0669939999999999E-2</v>
      </c>
      <c r="O2980">
        <v>-0.99766379999999999</v>
      </c>
      <c r="P2980">
        <v>5.1511040000000001E-2</v>
      </c>
      <c r="Q2980">
        <v>0.16099539999999901</v>
      </c>
      <c r="R2980">
        <v>-0.98560979999999998</v>
      </c>
      <c r="S2980">
        <v>1.6357420000000001E-2</v>
      </c>
      <c r="T2980">
        <v>-4.9000259999999997E-2</v>
      </c>
      <c r="U2980">
        <v>-3.051193</v>
      </c>
      <c r="V2980">
        <v>-0.1176637</v>
      </c>
      <c r="W2980">
        <v>0.17160529999999999</v>
      </c>
      <c r="X2980">
        <v>0.97811389999999998</v>
      </c>
      <c r="Y2980">
        <v>-7.2816950000000005E-2</v>
      </c>
      <c r="Z2980">
        <v>5.3095709999999999E-3</v>
      </c>
      <c r="AA2980">
        <v>0.99733119999999997</v>
      </c>
      <c r="AB2980">
        <v>21</v>
      </c>
      <c r="AC2980">
        <v>0.37919999999996801</v>
      </c>
      <c r="AD2980">
        <v>-1.1097485992209899</v>
      </c>
      <c r="AE2980">
        <v>-68.980199999999996</v>
      </c>
      <c r="AF2980">
        <v>-5.0317969033979901</v>
      </c>
      <c r="AG2980">
        <v>-1.1097485992209899</v>
      </c>
      <c r="AH2980">
        <v>68.779580375179407</v>
      </c>
      <c r="AI2980">
        <v>90.921915530680593</v>
      </c>
      <c r="AJ2980">
        <v>94.184207408328803</v>
      </c>
      <c r="AK2980">
        <v>68.972321974950802</v>
      </c>
      <c r="AL2980">
        <v>80.118831917039003</v>
      </c>
      <c r="AM2980">
        <v>96.859521091794704</v>
      </c>
      <c r="AN2980">
        <v>0.99999996332949403</v>
      </c>
    </row>
    <row r="2981" spans="1:40" x14ac:dyDescent="0.25">
      <c r="A2981" t="str">
        <f>"20190304155114484"</f>
        <v>20190304155114484</v>
      </c>
      <c r="B2981" t="str">
        <f>"1551685874479439"</f>
        <v>1551685874479439</v>
      </c>
      <c r="C2981" t="s">
        <v>40</v>
      </c>
      <c r="D2981">
        <v>4.869936</v>
      </c>
      <c r="E2981">
        <v>0.51672940000000001</v>
      </c>
      <c r="F2981" t="s">
        <v>41</v>
      </c>
      <c r="G2981">
        <v>-491.77760000000001</v>
      </c>
      <c r="H2981" s="1">
        <v>-3.2560790000000001E-6</v>
      </c>
      <c r="I2981">
        <v>196.07660000000001</v>
      </c>
      <c r="J2981">
        <v>-492.13119999999998</v>
      </c>
      <c r="K2981">
        <v>1.1097509999999999</v>
      </c>
      <c r="L2981">
        <v>258.45359999999999</v>
      </c>
      <c r="M2981">
        <v>-6.7953230000000003E-2</v>
      </c>
      <c r="N2981">
        <v>-1.0657389999999999E-2</v>
      </c>
      <c r="O2981">
        <v>-0.99763179999999996</v>
      </c>
      <c r="P2981">
        <v>5.1539799999999997E-2</v>
      </c>
      <c r="Q2981">
        <v>0.1609787</v>
      </c>
      <c r="R2981">
        <v>-0.98561160000000003</v>
      </c>
      <c r="S2981">
        <v>1.6845699999999901E-2</v>
      </c>
      <c r="T2981">
        <v>-5.4190040000000002E-2</v>
      </c>
      <c r="U2981">
        <v>-3.0517729999999998</v>
      </c>
      <c r="V2981">
        <v>-0.1181662</v>
      </c>
      <c r="W2981">
        <v>0.17157339999999999</v>
      </c>
      <c r="X2981">
        <v>0.97805889999999995</v>
      </c>
      <c r="Y2981">
        <v>-7.3451899999999903E-2</v>
      </c>
      <c r="Z2981">
        <v>7.0097110000000001E-3</v>
      </c>
      <c r="AA2981">
        <v>0.99727410000000005</v>
      </c>
      <c r="AB2981">
        <v>21</v>
      </c>
      <c r="AC2981">
        <v>0.35359999999997099</v>
      </c>
      <c r="AD2981">
        <v>-1.1097542560789999</v>
      </c>
      <c r="AE2981">
        <v>-62.376999999999903</v>
      </c>
      <c r="AF2981">
        <v>-4.5902881345885298</v>
      </c>
      <c r="AG2981">
        <v>-1.1097542560789999</v>
      </c>
      <c r="AH2981">
        <v>62.189086475821</v>
      </c>
      <c r="AI2981">
        <v>91.019552480057996</v>
      </c>
      <c r="AJ2981">
        <v>94.221449061672402</v>
      </c>
      <c r="AK2981">
        <v>62.368139112567597</v>
      </c>
      <c r="AL2981">
        <v>80.120687006973299</v>
      </c>
      <c r="AM2981">
        <v>96.888918432301296</v>
      </c>
      <c r="AN2981">
        <v>0.99999994713960305</v>
      </c>
    </row>
    <row r="2982" spans="1:40" x14ac:dyDescent="0.25">
      <c r="A2982" t="str">
        <f>"20190304155114497"</f>
        <v>20190304155114497</v>
      </c>
      <c r="B2982" t="str">
        <f>"1551685874489199"</f>
        <v>1551685874489199</v>
      </c>
      <c r="C2982" t="s">
        <v>40</v>
      </c>
      <c r="D2982">
        <v>4.8320610000000004</v>
      </c>
      <c r="E2982">
        <v>0.53608509999999998</v>
      </c>
      <c r="F2982" t="s">
        <v>41</v>
      </c>
      <c r="G2982">
        <v>-491.79300000000001</v>
      </c>
      <c r="H2982" s="1">
        <v>-3.2008989999999999E-6</v>
      </c>
      <c r="I2982">
        <v>195.9384</v>
      </c>
      <c r="J2982">
        <v>-492.1395</v>
      </c>
      <c r="K2982">
        <v>1.1097589999999999</v>
      </c>
      <c r="L2982">
        <v>258.33929999999998</v>
      </c>
      <c r="M2982">
        <v>-6.8404850000000003E-2</v>
      </c>
      <c r="N2982">
        <v>-1.064644E-2</v>
      </c>
      <c r="O2982">
        <v>-0.99760079999999995</v>
      </c>
      <c r="P2982">
        <v>5.2202140000000001E-2</v>
      </c>
      <c r="Q2982">
        <v>0.1602362</v>
      </c>
      <c r="R2982">
        <v>-0.9856973</v>
      </c>
      <c r="S2982">
        <v>1.6510009999999999E-2</v>
      </c>
      <c r="T2982">
        <v>-5.4175139999999997E-2</v>
      </c>
      <c r="U2982">
        <v>-3.0518190000000001</v>
      </c>
      <c r="V2982">
        <v>-0.1192817</v>
      </c>
      <c r="W2982">
        <v>0.1708189</v>
      </c>
      <c r="X2982">
        <v>0.97805560000000002</v>
      </c>
      <c r="Y2982">
        <v>-7.3793559999999994E-2</v>
      </c>
      <c r="Z2982">
        <v>7.0145269999999996E-3</v>
      </c>
      <c r="AA2982">
        <v>0.99724889999999999</v>
      </c>
      <c r="AB2982">
        <v>21</v>
      </c>
      <c r="AC2982">
        <v>0.34649999999999098</v>
      </c>
      <c r="AD2982">
        <v>-1.109762200899</v>
      </c>
      <c r="AE2982">
        <v>-62.400899999999901</v>
      </c>
      <c r="AF2982">
        <v>-4.61299560064929</v>
      </c>
      <c r="AG2982">
        <v>-1.109762200899</v>
      </c>
      <c r="AH2982">
        <v>62.211338825143997</v>
      </c>
      <c r="AI2982">
        <v>91.019169782121594</v>
      </c>
      <c r="AJ2982">
        <v>94.240744010691202</v>
      </c>
      <c r="AK2982">
        <v>62.392002524129801</v>
      </c>
      <c r="AL2982">
        <v>80.164564852231607</v>
      </c>
      <c r="AM2982">
        <v>96.953339987342403</v>
      </c>
      <c r="AN2982">
        <v>0.99999998862172901</v>
      </c>
    </row>
    <row r="2983" spans="1:40" x14ac:dyDescent="0.25">
      <c r="A2983" t="str">
        <f>"20190304155114513"</f>
        <v>20190304155114513</v>
      </c>
      <c r="B2983" t="str">
        <f>"1551685874509696"</f>
        <v>1551685874509696</v>
      </c>
      <c r="C2983" t="s">
        <v>40</v>
      </c>
      <c r="D2983">
        <v>5.0569160000000002</v>
      </c>
      <c r="E2983">
        <v>0.54041159999999999</v>
      </c>
      <c r="F2983" t="s">
        <v>62</v>
      </c>
      <c r="G2983">
        <v>-493.42360000000002</v>
      </c>
      <c r="H2983" s="1">
        <v>5.7086870000000004E-6</v>
      </c>
      <c r="I2983">
        <v>229.60740000000001</v>
      </c>
      <c r="J2983">
        <v>-492.15120000000002</v>
      </c>
      <c r="K2983">
        <v>1.109766</v>
      </c>
      <c r="L2983">
        <v>258.17989999999998</v>
      </c>
      <c r="M2983">
        <v>-6.9030040000000001E-2</v>
      </c>
      <c r="N2983">
        <v>-1.0632290000000001E-2</v>
      </c>
      <c r="O2983">
        <v>-0.99755780000000005</v>
      </c>
      <c r="P2983">
        <v>5.3367249999999998E-2</v>
      </c>
      <c r="Q2983">
        <v>0.15945429999999999</v>
      </c>
      <c r="R2983">
        <v>-0.98576180000000002</v>
      </c>
      <c r="S2983">
        <v>-0.137207</v>
      </c>
      <c r="T2983">
        <v>-0.1185784</v>
      </c>
      <c r="U2983">
        <v>-3.0700379999999998</v>
      </c>
      <c r="V2983">
        <v>-0.12106790000000001</v>
      </c>
      <c r="W2983">
        <v>0.17002110000000001</v>
      </c>
      <c r="X2983">
        <v>0.97797509999999999</v>
      </c>
      <c r="Y2983">
        <v>-2.4434830000000001E-2</v>
      </c>
      <c r="Z2983">
        <v>2.7822570000000001E-2</v>
      </c>
      <c r="AA2983">
        <v>0.99931420000000004</v>
      </c>
      <c r="AB2983">
        <v>21</v>
      </c>
      <c r="AC2983">
        <v>-1.2724</v>
      </c>
      <c r="AD2983">
        <v>-1.109760291313</v>
      </c>
      <c r="AE2983">
        <v>-28.572499999999899</v>
      </c>
      <c r="AF2983">
        <v>-0.70205111324237901</v>
      </c>
      <c r="AG2983">
        <v>-1.109760291313</v>
      </c>
      <c r="AH2983">
        <v>28.549190845488301</v>
      </c>
      <c r="AI2983">
        <v>92.225400953619001</v>
      </c>
      <c r="AJ2983">
        <v>91.408672520115502</v>
      </c>
      <c r="AK2983">
        <v>28.579376158374998</v>
      </c>
      <c r="AL2983">
        <v>80.210953683576903</v>
      </c>
      <c r="AM2983">
        <v>97.056996620783195</v>
      </c>
      <c r="AN2983">
        <v>0.99999995353781301</v>
      </c>
    </row>
    <row r="2984" spans="1:40" x14ac:dyDescent="0.25">
      <c r="A2984" t="str">
        <f>"20190304155114525"</f>
        <v>20190304155114525</v>
      </c>
      <c r="B2984" t="str">
        <f>"1551685874519455"</f>
        <v>1551685874519455</v>
      </c>
      <c r="C2984" t="s">
        <v>40</v>
      </c>
      <c r="D2984">
        <v>5.166588</v>
      </c>
      <c r="E2984">
        <v>0.54098089999999999</v>
      </c>
      <c r="F2984" t="s">
        <v>41</v>
      </c>
      <c r="G2984">
        <v>-493.68509999999998</v>
      </c>
      <c r="H2984" s="1">
        <v>-1.2623500000000001E-6</v>
      </c>
      <c r="I2984">
        <v>230.24610000000001</v>
      </c>
      <c r="J2984">
        <v>-492.15989999999999</v>
      </c>
      <c r="K2984">
        <v>1.109772</v>
      </c>
      <c r="L2984">
        <v>258.0609</v>
      </c>
      <c r="M2984">
        <v>-6.9493340000000001E-2</v>
      </c>
      <c r="N2984">
        <v>-1.0622629999999999E-2</v>
      </c>
      <c r="O2984">
        <v>-0.99752609999999997</v>
      </c>
      <c r="P2984">
        <v>5.3998890000000001E-2</v>
      </c>
      <c r="Q2984">
        <v>0.15941659999999999</v>
      </c>
      <c r="R2984">
        <v>-0.98573390000000005</v>
      </c>
      <c r="S2984">
        <v>-0.1687012</v>
      </c>
      <c r="T2984">
        <v>-0.1220541</v>
      </c>
      <c r="U2984">
        <v>-3.0722049999999999</v>
      </c>
      <c r="V2984">
        <v>-0.122154</v>
      </c>
      <c r="W2984">
        <v>0.16997179999999901</v>
      </c>
      <c r="X2984">
        <v>0.97784859999999896</v>
      </c>
      <c r="Y2984">
        <v>-1.471485E-2</v>
      </c>
      <c r="Z2984">
        <v>2.8925240000000001E-2</v>
      </c>
      <c r="AA2984">
        <v>0.99947330000000001</v>
      </c>
      <c r="AB2984">
        <v>21</v>
      </c>
      <c r="AC2984">
        <v>-1.5251999999999799</v>
      </c>
      <c r="AD2984">
        <v>-1.1097732623500001</v>
      </c>
      <c r="AE2984">
        <v>-27.814799999999899</v>
      </c>
      <c r="AF2984">
        <v>-0.410887533413064</v>
      </c>
      <c r="AG2984">
        <v>-1.1097732623500001</v>
      </c>
      <c r="AH2984">
        <v>27.809407830049601</v>
      </c>
      <c r="AI2984">
        <v>92.285006383443999</v>
      </c>
      <c r="AJ2984">
        <v>90.846490826818396</v>
      </c>
      <c r="AK2984">
        <v>27.8345754254841</v>
      </c>
      <c r="AL2984">
        <v>80.213820037455605</v>
      </c>
      <c r="AM2984">
        <v>97.120569674021098</v>
      </c>
      <c r="AN2984">
        <v>0.99999994851659801</v>
      </c>
    </row>
    <row r="2985" spans="1:40" x14ac:dyDescent="0.25">
      <c r="A2985" t="str">
        <f>"20190304155114538"</f>
        <v>20190304155114538</v>
      </c>
      <c r="B2985" t="str">
        <f>"1551685874529216"</f>
        <v>1551685874529216</v>
      </c>
      <c r="C2985" t="s">
        <v>40</v>
      </c>
      <c r="D2985">
        <v>4.8492769999999998</v>
      </c>
      <c r="E2985">
        <v>0.54039019999999904</v>
      </c>
      <c r="F2985" t="s">
        <v>41</v>
      </c>
      <c r="G2985">
        <v>-493.4778</v>
      </c>
      <c r="H2985" s="1">
        <v>-3.0312019999999999E-6</v>
      </c>
      <c r="I2985">
        <v>234.49789999999999</v>
      </c>
      <c r="J2985">
        <v>-492.16860000000003</v>
      </c>
      <c r="K2985">
        <v>1.1097709999999901</v>
      </c>
      <c r="L2985">
        <v>257.94420000000002</v>
      </c>
      <c r="M2985">
        <v>-6.9946069999999999E-2</v>
      </c>
      <c r="N2985">
        <v>-1.0614139999999999E-2</v>
      </c>
      <c r="O2985">
        <v>-0.99749429999999994</v>
      </c>
      <c r="P2985">
        <v>5.4382960000000001E-2</v>
      </c>
      <c r="Q2985">
        <v>0.1595839</v>
      </c>
      <c r="R2985">
        <v>-0.98568529999999999</v>
      </c>
      <c r="S2985">
        <v>-0.17205809999999999</v>
      </c>
      <c r="T2985">
        <v>-0.14488860000000001</v>
      </c>
      <c r="U2985">
        <v>-3.0763090000000002</v>
      </c>
      <c r="V2985">
        <v>-0.1229806</v>
      </c>
      <c r="W2985">
        <v>0.17012920000000001</v>
      </c>
      <c r="X2985">
        <v>0.97771770000000002</v>
      </c>
      <c r="Y2985">
        <v>-1.416736E-2</v>
      </c>
      <c r="Z2985">
        <v>3.6250200000000003E-2</v>
      </c>
      <c r="AA2985">
        <v>0.99924230000000003</v>
      </c>
      <c r="AB2985">
        <v>21</v>
      </c>
      <c r="AC2985">
        <v>-1.3091999999999699</v>
      </c>
      <c r="AD2985">
        <v>-1.1097740312019999</v>
      </c>
      <c r="AE2985">
        <v>-23.446300000000001</v>
      </c>
      <c r="AF2985">
        <v>-0.33333135830649002</v>
      </c>
      <c r="AG2985">
        <v>-1.1097740312019999</v>
      </c>
      <c r="AH2985">
        <v>23.428122187303099</v>
      </c>
      <c r="AI2985">
        <v>92.711760356148901</v>
      </c>
      <c r="AJ2985">
        <v>90.815139655877502</v>
      </c>
      <c r="AK2985">
        <v>23.456760590882201</v>
      </c>
      <c r="AL2985">
        <v>80.204669263836195</v>
      </c>
      <c r="AM2985">
        <v>97.169203784562498</v>
      </c>
      <c r="AN2985">
        <v>1.0000000367811399</v>
      </c>
    </row>
    <row r="2986" spans="1:40" x14ac:dyDescent="0.25">
      <c r="A2986" t="str">
        <f>"20190304155114549"</f>
        <v>20190304155114549</v>
      </c>
      <c r="B2986" t="str">
        <f>"1551685874539951"</f>
        <v>1551685874539951</v>
      </c>
      <c r="C2986" t="s">
        <v>40</v>
      </c>
      <c r="D2986">
        <v>4.9454310000000001</v>
      </c>
      <c r="E2986">
        <v>0.54107729999999998</v>
      </c>
      <c r="F2986" t="s">
        <v>41</v>
      </c>
      <c r="G2986">
        <v>-493.53969999999998</v>
      </c>
      <c r="H2986" s="1">
        <v>-2.2427539999999999E-6</v>
      </c>
      <c r="I2986">
        <v>232.6216</v>
      </c>
      <c r="J2986">
        <v>-492.1771</v>
      </c>
      <c r="K2986">
        <v>1.1097760000000001</v>
      </c>
      <c r="L2986">
        <v>257.83069999999998</v>
      </c>
      <c r="M2986">
        <v>-7.0386379999999998E-2</v>
      </c>
      <c r="N2986">
        <v>-1.0606259999999999E-2</v>
      </c>
      <c r="O2986">
        <v>-0.99746380000000001</v>
      </c>
      <c r="P2986">
        <v>5.4956579999999998E-2</v>
      </c>
      <c r="Q2986">
        <v>0.15976360000000001</v>
      </c>
      <c r="R2986">
        <v>-0.98562459999999996</v>
      </c>
      <c r="S2986">
        <v>-0.16647339999999999</v>
      </c>
      <c r="T2986">
        <v>-0.13474430000000001</v>
      </c>
      <c r="U2986">
        <v>-3.07457</v>
      </c>
      <c r="V2986">
        <v>-0.12398239999999899</v>
      </c>
      <c r="W2986">
        <v>0.17029920000000001</v>
      </c>
      <c r="X2986">
        <v>0.97756149999999997</v>
      </c>
      <c r="Y2986">
        <v>-1.6380220000000001E-2</v>
      </c>
      <c r="Z2986">
        <v>3.300749E-2</v>
      </c>
      <c r="AA2986">
        <v>0.99932089999999996</v>
      </c>
      <c r="AB2986">
        <v>21</v>
      </c>
      <c r="AC2986">
        <v>-1.36259999999998</v>
      </c>
      <c r="AD2986">
        <v>-1.1097782427539999</v>
      </c>
      <c r="AE2986">
        <v>-25.2090999999999</v>
      </c>
      <c r="AF2986">
        <v>-0.41445543403705798</v>
      </c>
      <c r="AG2986">
        <v>-1.1097782427539999</v>
      </c>
      <c r="AH2986">
        <v>25.193799518707401</v>
      </c>
      <c r="AI2986">
        <v>92.521888179394495</v>
      </c>
      <c r="AJ2986">
        <v>90.942470204154006</v>
      </c>
      <c r="AK2986">
        <v>25.221635855822601</v>
      </c>
      <c r="AL2986">
        <v>80.194784072964296</v>
      </c>
      <c r="AM2986">
        <v>97.228131664158298</v>
      </c>
      <c r="AN2986">
        <v>0.99999996965632398</v>
      </c>
    </row>
    <row r="2987" spans="1:40" x14ac:dyDescent="0.25">
      <c r="A2987" t="str">
        <f>"20190304155114561"</f>
        <v>20190304155114561</v>
      </c>
      <c r="B2987" t="str">
        <f>"1551685874549712"</f>
        <v>1551685874549712</v>
      </c>
      <c r="C2987" t="s">
        <v>40</v>
      </c>
      <c r="D2987">
        <v>4.8498330000000003</v>
      </c>
      <c r="E2987">
        <v>0.54082659999999905</v>
      </c>
      <c r="F2987" t="s">
        <v>41</v>
      </c>
      <c r="G2987">
        <v>-493.58960000000002</v>
      </c>
      <c r="H2987" s="1">
        <v>-2.1635219999999999E-6</v>
      </c>
      <c r="I2987">
        <v>232.40600000000001</v>
      </c>
      <c r="J2987">
        <v>-492.18619999999999</v>
      </c>
      <c r="K2987">
        <v>1.1097790000000001</v>
      </c>
      <c r="L2987">
        <v>257.70920000000001</v>
      </c>
      <c r="M2987">
        <v>-7.0856509999999998E-2</v>
      </c>
      <c r="N2987">
        <v>-1.059881E-2</v>
      </c>
      <c r="O2987">
        <v>-0.99743040000000005</v>
      </c>
      <c r="P2987">
        <v>5.5437510000000002E-2</v>
      </c>
      <c r="Q2987">
        <v>0.16019420000000001</v>
      </c>
      <c r="R2987">
        <v>-0.98552759999999995</v>
      </c>
      <c r="S2987">
        <v>-0.1708374</v>
      </c>
      <c r="T2987">
        <v>-0.13422439999999999</v>
      </c>
      <c r="U2987">
        <v>-3.075043</v>
      </c>
      <c r="V2987">
        <v>-0.124918</v>
      </c>
      <c r="W2987">
        <v>0.1707207</v>
      </c>
      <c r="X2987">
        <v>0.97736889999999998</v>
      </c>
      <c r="Y2987">
        <v>-1.5445810000000001E-2</v>
      </c>
      <c r="Z2987">
        <v>3.2837480000000002E-2</v>
      </c>
      <c r="AA2987">
        <v>0.99934140000000005</v>
      </c>
      <c r="AB2987">
        <v>22</v>
      </c>
      <c r="AC2987">
        <v>-1.40340000000003</v>
      </c>
      <c r="AD2987">
        <v>-1.1097811635220001</v>
      </c>
      <c r="AE2987">
        <v>-25.3032</v>
      </c>
      <c r="AF2987">
        <v>-0.39237215860561298</v>
      </c>
      <c r="AG2987">
        <v>-1.1097811635220001</v>
      </c>
      <c r="AH2987">
        <v>25.2905386479346</v>
      </c>
      <c r="AI2987">
        <v>92.512298192079001</v>
      </c>
      <c r="AJ2987">
        <v>90.888848810051002</v>
      </c>
      <c r="AK2987">
        <v>25.3179168820113</v>
      </c>
      <c r="AL2987">
        <v>80.170275443008506</v>
      </c>
      <c r="AM2987">
        <v>97.283513076507901</v>
      </c>
      <c r="AN2987">
        <v>1.0000000154098401</v>
      </c>
    </row>
    <row r="2988" spans="1:40" x14ac:dyDescent="0.25">
      <c r="A2988" t="str">
        <f>"20190304155114574"</f>
        <v>20190304155114574</v>
      </c>
      <c r="B2988" t="str">
        <f>"1551685874569231"</f>
        <v>1551685874569231</v>
      </c>
      <c r="C2988" t="s">
        <v>40</v>
      </c>
      <c r="D2988">
        <v>4.8623649999999996</v>
      </c>
      <c r="E2988">
        <v>0.54040429999999995</v>
      </c>
      <c r="F2988" t="s">
        <v>41</v>
      </c>
      <c r="G2988">
        <v>-493.65719999999999</v>
      </c>
      <c r="H2988" s="1">
        <v>-1.4679369999999999E-6</v>
      </c>
      <c r="I2988">
        <v>230.74260000000001</v>
      </c>
      <c r="J2988">
        <v>-492.19470000000001</v>
      </c>
      <c r="K2988">
        <v>1.1097779999999999</v>
      </c>
      <c r="L2988">
        <v>257.59519999999998</v>
      </c>
      <c r="M2988">
        <v>-7.1299230000000005E-2</v>
      </c>
      <c r="N2988">
        <v>-1.059235E-2</v>
      </c>
      <c r="O2988">
        <v>-0.99739889999999998</v>
      </c>
      <c r="P2988">
        <v>5.587085E-2</v>
      </c>
      <c r="Q2988">
        <v>0.16069849999999999</v>
      </c>
      <c r="R2988">
        <v>-0.98542110000000005</v>
      </c>
      <c r="S2988">
        <v>-0.16769410000000001</v>
      </c>
      <c r="T2988">
        <v>-0.12650899999999901</v>
      </c>
      <c r="U2988">
        <v>-3.0740509999999999</v>
      </c>
      <c r="V2988">
        <v>-0.12577749999999999</v>
      </c>
      <c r="W2988">
        <v>0.1712168</v>
      </c>
      <c r="X2988">
        <v>0.97717180000000003</v>
      </c>
      <c r="Y2988">
        <v>-1.688605E-2</v>
      </c>
      <c r="Z2988">
        <v>3.0363749999999998E-2</v>
      </c>
      <c r="AA2988">
        <v>0.99939630000000002</v>
      </c>
      <c r="AB2988">
        <v>22</v>
      </c>
      <c r="AC2988">
        <v>-1.4624999999999699</v>
      </c>
      <c r="AD2988">
        <v>-1.1097794679369899</v>
      </c>
      <c r="AE2988">
        <v>-26.852599999999899</v>
      </c>
      <c r="AF2988">
        <v>-0.45512423405065799</v>
      </c>
      <c r="AG2988">
        <v>-1.1097794679369899</v>
      </c>
      <c r="AH2988">
        <v>26.842819375815399</v>
      </c>
      <c r="AI2988">
        <v>92.367127121024595</v>
      </c>
      <c r="AJ2988">
        <v>90.971365899048294</v>
      </c>
      <c r="AK2988">
        <v>26.869605515871001</v>
      </c>
      <c r="AL2988">
        <v>80.141425587205603</v>
      </c>
      <c r="AM2988">
        <v>97.334546754965601</v>
      </c>
      <c r="AN2988">
        <v>0.99999994941186299</v>
      </c>
    </row>
    <row r="2989" spans="1:40" x14ac:dyDescent="0.25">
      <c r="A2989" t="str">
        <f>"20190304155114592"</f>
        <v>20190304155114592</v>
      </c>
      <c r="B2989" t="str">
        <f>"1551685874589728"</f>
        <v>1551685874589728</v>
      </c>
      <c r="C2989" t="s">
        <v>40</v>
      </c>
      <c r="D2989">
        <v>4.8622360000000002</v>
      </c>
      <c r="E2989">
        <v>0.54068300000000002</v>
      </c>
      <c r="F2989" t="s">
        <v>62</v>
      </c>
      <c r="G2989">
        <v>-493.75319999999999</v>
      </c>
      <c r="H2989" s="1">
        <v>5.2967679999999998E-6</v>
      </c>
      <c r="I2989">
        <v>228.14089999999999</v>
      </c>
      <c r="J2989">
        <v>-492.20839999999998</v>
      </c>
      <c r="K2989">
        <v>1.109782</v>
      </c>
      <c r="L2989">
        <v>257.41570000000002</v>
      </c>
      <c r="M2989">
        <v>-7.1997019999999995E-2</v>
      </c>
      <c r="N2989">
        <v>-1.0583250000000001E-2</v>
      </c>
      <c r="O2989">
        <v>-0.99734880000000004</v>
      </c>
      <c r="P2989">
        <v>5.6922439999999998E-2</v>
      </c>
      <c r="Q2989">
        <v>0.16149169999999999</v>
      </c>
      <c r="R2989">
        <v>-0.98523130000000003</v>
      </c>
      <c r="S2989">
        <v>-0.16256709999999999</v>
      </c>
      <c r="T2989">
        <v>-0.1157643</v>
      </c>
      <c r="U2989">
        <v>-3.072479</v>
      </c>
      <c r="V2989">
        <v>-0.12749769999999999</v>
      </c>
      <c r="W2989">
        <v>0.1719985</v>
      </c>
      <c r="X2989">
        <v>0.9768116</v>
      </c>
      <c r="Y2989">
        <v>-1.9215070000000001E-2</v>
      </c>
      <c r="Z2989">
        <v>2.6917279999999998E-2</v>
      </c>
      <c r="AA2989">
        <v>0.99945289999999998</v>
      </c>
      <c r="AB2989">
        <v>22</v>
      </c>
      <c r="AC2989">
        <v>-1.5448</v>
      </c>
      <c r="AD2989">
        <v>-1.1097767032320001</v>
      </c>
      <c r="AE2989">
        <v>-29.274799999999999</v>
      </c>
      <c r="AF2989">
        <v>-0.56621419248230898</v>
      </c>
      <c r="AG2989">
        <v>-1.1097767032320001</v>
      </c>
      <c r="AH2989">
        <v>29.268102087994599</v>
      </c>
      <c r="AI2989">
        <v>92.171073333683196</v>
      </c>
      <c r="AJ2989">
        <v>91.108293156220697</v>
      </c>
      <c r="AK2989">
        <v>29.2946070578883</v>
      </c>
      <c r="AL2989">
        <v>80.095963806244001</v>
      </c>
      <c r="AM2989">
        <v>97.436453946487106</v>
      </c>
      <c r="AN2989">
        <v>1.0000000247010401</v>
      </c>
    </row>
    <row r="2990" spans="1:40" x14ac:dyDescent="0.25">
      <c r="A2990" t="str">
        <f>"20190304155114615"</f>
        <v>20190304155114615</v>
      </c>
      <c r="B2990" t="str">
        <f>"1551685874609248"</f>
        <v>1551685874609248</v>
      </c>
      <c r="C2990" t="s">
        <v>40</v>
      </c>
      <c r="D2990">
        <v>4.881939</v>
      </c>
      <c r="E2990">
        <v>0.54014810000000002</v>
      </c>
      <c r="F2990" t="s">
        <v>62</v>
      </c>
      <c r="G2990">
        <v>-493.82839999999999</v>
      </c>
      <c r="H2990" s="1">
        <v>4.8939930000000001E-6</v>
      </c>
      <c r="I2990">
        <v>226.77369999999999</v>
      </c>
      <c r="J2990">
        <v>-492.22449999999998</v>
      </c>
      <c r="K2990">
        <v>1.109788</v>
      </c>
      <c r="L2990">
        <v>257.20519999999999</v>
      </c>
      <c r="M2990">
        <v>-7.2818729999999998E-2</v>
      </c>
      <c r="N2990">
        <v>-1.057233E-2</v>
      </c>
      <c r="O2990">
        <v>-0.99728930000000005</v>
      </c>
      <c r="P2990">
        <v>5.794419E-2</v>
      </c>
      <c r="Q2990">
        <v>0.16209409999999999</v>
      </c>
      <c r="R2990">
        <v>-0.98507270000000002</v>
      </c>
      <c r="S2990">
        <v>-0.16244510000000001</v>
      </c>
      <c r="T2990">
        <v>-0.11128059999999999</v>
      </c>
      <c r="U2990">
        <v>-3.0725709999999999</v>
      </c>
      <c r="V2990">
        <v>-0.1293117</v>
      </c>
      <c r="W2990">
        <v>0.17258799999999999</v>
      </c>
      <c r="X2990">
        <v>0.97646909999999998</v>
      </c>
      <c r="Y2990">
        <v>-2.0077930000000001E-2</v>
      </c>
      <c r="Z2990">
        <v>2.547381E-2</v>
      </c>
      <c r="AA2990">
        <v>0.99947390000000003</v>
      </c>
      <c r="AB2990">
        <v>22</v>
      </c>
      <c r="AC2990">
        <v>-1.6039000000000101</v>
      </c>
      <c r="AD2990">
        <v>-1.109783106007</v>
      </c>
      <c r="AE2990">
        <v>-30.4315</v>
      </c>
      <c r="AF2990">
        <v>-0.61564873493849404</v>
      </c>
      <c r="AG2990">
        <v>-1.109783106007</v>
      </c>
      <c r="AH2990">
        <v>30.4271477245996</v>
      </c>
      <c r="AI2990">
        <v>92.088421833521593</v>
      </c>
      <c r="AJ2990">
        <v>91.159137951037806</v>
      </c>
      <c r="AK2990">
        <v>30.453603408493599</v>
      </c>
      <c r="AL2990">
        <v>80.061675118766402</v>
      </c>
      <c r="AM2990">
        <v>97.543662966548894</v>
      </c>
      <c r="AN2990">
        <v>1.0000000183778399</v>
      </c>
    </row>
    <row r="2991" spans="1:40" x14ac:dyDescent="0.25">
      <c r="A2991" t="str">
        <f>"20190304155114629"</f>
        <v>20190304155114629</v>
      </c>
      <c r="B2991" t="str">
        <f>"1551685874619984"</f>
        <v>1551685874619984</v>
      </c>
      <c r="C2991" t="s">
        <v>40</v>
      </c>
      <c r="D2991">
        <v>4.8314019999999998</v>
      </c>
      <c r="E2991">
        <v>0.54012349999999998</v>
      </c>
      <c r="F2991" t="s">
        <v>62</v>
      </c>
      <c r="G2991">
        <v>-493.83260000000001</v>
      </c>
      <c r="H2991" s="1">
        <v>4.53063499999999E-6</v>
      </c>
      <c r="I2991">
        <v>225.6037</v>
      </c>
      <c r="J2991">
        <v>-492.23570000000001</v>
      </c>
      <c r="K2991">
        <v>1.1097870000000001</v>
      </c>
      <c r="L2991">
        <v>257.0616</v>
      </c>
      <c r="M2991">
        <v>-7.3380600000000004E-2</v>
      </c>
      <c r="N2991">
        <v>-1.0562800000000001E-2</v>
      </c>
      <c r="O2991">
        <v>-0.99724809999999997</v>
      </c>
      <c r="P2991">
        <v>5.8275420000000001E-2</v>
      </c>
      <c r="Q2991">
        <v>0.16239039999999999</v>
      </c>
      <c r="R2991">
        <v>-0.9850042</v>
      </c>
      <c r="S2991">
        <v>-0.1563416</v>
      </c>
      <c r="T2991">
        <v>-0.10789840000000001</v>
      </c>
      <c r="U2991">
        <v>-3.0724490000000002</v>
      </c>
      <c r="V2991">
        <v>-0.1301882</v>
      </c>
      <c r="W2991">
        <v>0.17287449999999999</v>
      </c>
      <c r="X2991">
        <v>0.97630189999999994</v>
      </c>
      <c r="Y2991">
        <v>-2.2617350000000001E-2</v>
      </c>
      <c r="Z2991">
        <v>2.4388980000000001E-2</v>
      </c>
      <c r="AA2991">
        <v>0.99944670000000002</v>
      </c>
      <c r="AB2991">
        <v>22</v>
      </c>
      <c r="AC2991">
        <v>-1.5969</v>
      </c>
      <c r="AD2991">
        <v>-1.109782469365</v>
      </c>
      <c r="AE2991">
        <v>-31.457899999999899</v>
      </c>
      <c r="AF2991">
        <v>-0.71504637384691505</v>
      </c>
      <c r="AG2991">
        <v>-1.109782469365</v>
      </c>
      <c r="AH2991">
        <v>31.451225977921201</v>
      </c>
      <c r="AI2991">
        <v>92.0203687741176</v>
      </c>
      <c r="AJ2991">
        <v>91.302400193482697</v>
      </c>
      <c r="AK2991">
        <v>31.478921899587402</v>
      </c>
      <c r="AL2991">
        <v>80.045008989886398</v>
      </c>
      <c r="AM2991">
        <v>97.595485992878693</v>
      </c>
      <c r="AN2991">
        <v>0.999999980056549</v>
      </c>
    </row>
    <row r="2992" spans="1:40" x14ac:dyDescent="0.25">
      <c r="A2992" t="str">
        <f>"20190304155114649"</f>
        <v>20190304155114649</v>
      </c>
      <c r="B2992" t="str">
        <f>"1551685874639507"</f>
        <v>1551685874639507</v>
      </c>
      <c r="C2992" t="s">
        <v>40</v>
      </c>
      <c r="D2992">
        <v>4.8145170000000004</v>
      </c>
      <c r="E2992">
        <v>0.54045410000000005</v>
      </c>
      <c r="F2992" t="s">
        <v>62</v>
      </c>
      <c r="G2992">
        <v>-493.86110000000002</v>
      </c>
      <c r="H2992" s="1">
        <v>4.3488440000000001E-6</v>
      </c>
      <c r="I2992">
        <v>225.03729999999999</v>
      </c>
      <c r="J2992">
        <v>-492.25049999999999</v>
      </c>
      <c r="K2992">
        <v>1.109785</v>
      </c>
      <c r="L2992">
        <v>256.87169999999998</v>
      </c>
      <c r="M2992">
        <v>-7.4123599999999998E-2</v>
      </c>
      <c r="N2992">
        <v>-1.0547279999999999E-2</v>
      </c>
      <c r="O2992">
        <v>-0.99719349999999995</v>
      </c>
      <c r="P2992">
        <v>5.8734170000000002E-2</v>
      </c>
      <c r="Q2992">
        <v>0.1627257</v>
      </c>
      <c r="R2992">
        <v>-0.98492190000000002</v>
      </c>
      <c r="S2992">
        <v>-0.15594479999999999</v>
      </c>
      <c r="T2992">
        <v>-0.1064739</v>
      </c>
      <c r="U2992">
        <v>-3.0724490000000002</v>
      </c>
      <c r="V2992">
        <v>-0.13136779999999901</v>
      </c>
      <c r="W2992">
        <v>0.1731934</v>
      </c>
      <c r="X2992">
        <v>0.97608740000000005</v>
      </c>
      <c r="Y2992">
        <v>-2.3490219999999999E-2</v>
      </c>
      <c r="Z2992">
        <v>2.3940840000000001E-2</v>
      </c>
      <c r="AA2992">
        <v>0.99943740000000003</v>
      </c>
      <c r="AB2992">
        <v>22</v>
      </c>
      <c r="AC2992">
        <v>-1.61060000000003</v>
      </c>
      <c r="AD2992">
        <v>-1.109780651156</v>
      </c>
      <c r="AE2992">
        <v>-31.834399999999899</v>
      </c>
      <c r="AF2992">
        <v>-0.75272978791046996</v>
      </c>
      <c r="AG2992">
        <v>-1.109780651156</v>
      </c>
      <c r="AH2992">
        <v>31.827624778148898</v>
      </c>
      <c r="AI2992">
        <v>91.996449423376305</v>
      </c>
      <c r="AJ2992">
        <v>91.354804260639398</v>
      </c>
      <c r="AK2992">
        <v>31.8558615367083</v>
      </c>
      <c r="AL2992">
        <v>80.026458061560504</v>
      </c>
      <c r="AM2992">
        <v>97.665156440954604</v>
      </c>
      <c r="AN2992">
        <v>1.0000000325595699</v>
      </c>
    </row>
    <row r="2993" spans="1:40" x14ac:dyDescent="0.25">
      <c r="A2993" t="str">
        <f>"20190304155114660"</f>
        <v>20190304155114660</v>
      </c>
      <c r="B2993" t="str">
        <f>"1551685874649263"</f>
        <v>1551685874649263</v>
      </c>
      <c r="C2993" t="s">
        <v>40</v>
      </c>
      <c r="D2993">
        <v>4.9530669999999999</v>
      </c>
      <c r="E2993">
        <v>0.53992030000000002</v>
      </c>
      <c r="F2993" t="s">
        <v>62</v>
      </c>
      <c r="G2993">
        <v>-493.97669999999999</v>
      </c>
      <c r="H2993" s="1">
        <v>3.8999980000000003E-6</v>
      </c>
      <c r="I2993">
        <v>223.292</v>
      </c>
      <c r="J2993">
        <v>-492.26010000000002</v>
      </c>
      <c r="K2993">
        <v>1.1097840000000001</v>
      </c>
      <c r="L2993">
        <v>256.74939999999998</v>
      </c>
      <c r="M2993">
        <v>-7.4601050000000002E-2</v>
      </c>
      <c r="N2993">
        <v>-1.0537400000000001E-2</v>
      </c>
      <c r="O2993">
        <v>-0.99715790000000004</v>
      </c>
      <c r="P2993">
        <v>5.8875820000000002E-2</v>
      </c>
      <c r="Q2993">
        <v>0.1629052</v>
      </c>
      <c r="R2993">
        <v>-0.98488350000000002</v>
      </c>
      <c r="S2993">
        <v>-0.1579285</v>
      </c>
      <c r="T2993">
        <v>-0.1015298</v>
      </c>
      <c r="U2993">
        <v>-3.0720830000000001</v>
      </c>
      <c r="V2993">
        <v>-0.13197490000000001</v>
      </c>
      <c r="W2993">
        <v>0.1733625</v>
      </c>
      <c r="X2993">
        <v>0.9759755</v>
      </c>
      <c r="Y2993">
        <v>-2.3317549999999999E-2</v>
      </c>
      <c r="Z2993">
        <v>2.2353729999999999E-2</v>
      </c>
      <c r="AA2993">
        <v>0.99947819999999998</v>
      </c>
      <c r="AB2993">
        <v>22</v>
      </c>
      <c r="AC2993">
        <v>-1.7165999999999699</v>
      </c>
      <c r="AD2993">
        <v>-1.109780100002</v>
      </c>
      <c r="AE2993">
        <v>-33.4573999999999</v>
      </c>
      <c r="AF2993">
        <v>-0.78341968099181603</v>
      </c>
      <c r="AG2993">
        <v>-1.109780100002</v>
      </c>
      <c r="AH2993">
        <v>33.455513877542003</v>
      </c>
      <c r="AI2993">
        <v>91.899387999877604</v>
      </c>
      <c r="AJ2993">
        <v>91.341436264354201</v>
      </c>
      <c r="AK2993">
        <v>33.483081803760697</v>
      </c>
      <c r="AL2993">
        <v>80.016620745281401</v>
      </c>
      <c r="AM2993">
        <v>97.701028236644802</v>
      </c>
      <c r="AN2993">
        <v>1.0000000536182501</v>
      </c>
    </row>
    <row r="2994" spans="1:40" x14ac:dyDescent="0.25">
      <c r="A2994" t="str">
        <f>"20190304155114680"</f>
        <v>20190304155114680</v>
      </c>
      <c r="B2994" t="str">
        <f>"1551685874669763"</f>
        <v>1551685874669763</v>
      </c>
      <c r="C2994" t="s">
        <v>40</v>
      </c>
      <c r="D2994">
        <v>4.8149379999999997</v>
      </c>
      <c r="E2994">
        <v>0.54034530000000003</v>
      </c>
      <c r="F2994" t="s">
        <v>62</v>
      </c>
      <c r="G2994">
        <v>-493.9153</v>
      </c>
      <c r="H2994" s="1">
        <v>3.9896849999999999E-6</v>
      </c>
      <c r="I2994">
        <v>223.6361</v>
      </c>
      <c r="J2994">
        <v>-492.27460000000002</v>
      </c>
      <c r="K2994">
        <v>1.109775</v>
      </c>
      <c r="L2994">
        <v>256.5668</v>
      </c>
      <c r="M2994">
        <v>-7.5308899999999998E-2</v>
      </c>
      <c r="N2994">
        <v>-1.052114E-2</v>
      </c>
      <c r="O2994">
        <v>-0.99710489999999996</v>
      </c>
      <c r="P2994">
        <v>5.8680250000000003E-2</v>
      </c>
      <c r="Q2994">
        <v>0.16310839999999999</v>
      </c>
      <c r="R2994">
        <v>-0.98486180000000001</v>
      </c>
      <c r="S2994">
        <v>-0.15356449999999999</v>
      </c>
      <c r="T2994">
        <v>-0.1029654</v>
      </c>
      <c r="U2994">
        <v>-3.0722499999999999</v>
      </c>
      <c r="V2994">
        <v>-0.1324736</v>
      </c>
      <c r="W2994">
        <v>0.17354839999999999</v>
      </c>
      <c r="X2994">
        <v>0.97587480000000004</v>
      </c>
      <c r="Y2994">
        <v>-2.5446050000000001E-2</v>
      </c>
      <c r="Z2994">
        <v>2.2829760000000001E-2</v>
      </c>
      <c r="AA2994">
        <v>0.99941550000000001</v>
      </c>
      <c r="AB2994">
        <v>22</v>
      </c>
      <c r="AC2994">
        <v>-1.6406999999999801</v>
      </c>
      <c r="AD2994">
        <v>-1.109771010315</v>
      </c>
      <c r="AE2994">
        <v>-32.930700000000002</v>
      </c>
      <c r="AF2994">
        <v>-0.84311621402145698</v>
      </c>
      <c r="AG2994">
        <v>-1.109771010315</v>
      </c>
      <c r="AH2994">
        <v>32.9234422577968</v>
      </c>
      <c r="AI2994">
        <v>91.929941400108603</v>
      </c>
      <c r="AJ2994">
        <v>91.466931821321296</v>
      </c>
      <c r="AK2994">
        <v>32.952928348602903</v>
      </c>
      <c r="AL2994">
        <v>80.005804610867003</v>
      </c>
      <c r="AM2994">
        <v>97.730565310580303</v>
      </c>
      <c r="AN2994">
        <v>0.99999996355727905</v>
      </c>
    </row>
    <row r="2995" spans="1:40" x14ac:dyDescent="0.25">
      <c r="A2995" t="str">
        <f>"20190304155114692"</f>
        <v>20190304155114692</v>
      </c>
      <c r="B2995" t="str">
        <f>"1551685874689279"</f>
        <v>1551685874689279</v>
      </c>
      <c r="C2995" t="s">
        <v>40</v>
      </c>
      <c r="D2995">
        <v>4.8436729999999999</v>
      </c>
      <c r="E2995">
        <v>0.54063289999999997</v>
      </c>
      <c r="F2995" t="s">
        <v>62</v>
      </c>
      <c r="G2995">
        <v>-493.93200000000002</v>
      </c>
      <c r="H2995" s="1">
        <v>4.144504E-6</v>
      </c>
      <c r="I2995">
        <v>224.35310000000001</v>
      </c>
      <c r="J2995">
        <v>-492.28379999999999</v>
      </c>
      <c r="K2995">
        <v>1.109777</v>
      </c>
      <c r="L2995">
        <v>256.45229999999998</v>
      </c>
      <c r="M2995">
        <v>-7.5747969999999998E-2</v>
      </c>
      <c r="N2995">
        <v>-1.0509859999999999E-2</v>
      </c>
      <c r="O2995">
        <v>-0.99707170000000001</v>
      </c>
      <c r="P2995">
        <v>5.9102019999999998E-2</v>
      </c>
      <c r="Q2995">
        <v>0.16324710000000001</v>
      </c>
      <c r="R2995">
        <v>-0.98481339999999995</v>
      </c>
      <c r="S2995">
        <v>-0.15811159999999999</v>
      </c>
      <c r="T2995">
        <v>-0.10586760000000001</v>
      </c>
      <c r="U2995">
        <v>-3.0730590000000002</v>
      </c>
      <c r="V2995">
        <v>-0.1333221</v>
      </c>
      <c r="W2995">
        <v>0.1736743</v>
      </c>
      <c r="X2995">
        <v>0.97573690000000002</v>
      </c>
      <c r="Y2995">
        <v>-2.4425599999999999E-2</v>
      </c>
      <c r="Z2995">
        <v>2.3768729999999998E-2</v>
      </c>
      <c r="AA2995">
        <v>0.99941899999999995</v>
      </c>
      <c r="AB2995">
        <v>22</v>
      </c>
      <c r="AC2995">
        <v>-1.6481999999999699</v>
      </c>
      <c r="AD2995">
        <v>-1.109772855496</v>
      </c>
      <c r="AE2995">
        <v>-32.099199999999897</v>
      </c>
      <c r="AF2995">
        <v>-0.78718066786392404</v>
      </c>
      <c r="AG2995">
        <v>-1.109772855496</v>
      </c>
      <c r="AH2995">
        <v>32.093562542952299</v>
      </c>
      <c r="AI2995">
        <v>91.979863722348298</v>
      </c>
      <c r="AJ2995">
        <v>91.405050891377002</v>
      </c>
      <c r="AK2995">
        <v>32.122391036363503</v>
      </c>
      <c r="AL2995">
        <v>79.998480424496904</v>
      </c>
      <c r="AM2995">
        <v>97.780561545841493</v>
      </c>
      <c r="AN2995">
        <v>1.00000002142525</v>
      </c>
    </row>
    <row r="2996" spans="1:40" x14ac:dyDescent="0.25">
      <c r="A2996" t="str">
        <f>"20190304155114703"</f>
        <v>20190304155114703</v>
      </c>
      <c r="B2996" t="str">
        <f>"1551685874700016"</f>
        <v>1551685874700016</v>
      </c>
      <c r="C2996" t="s">
        <v>40</v>
      </c>
      <c r="D2996">
        <v>4.8782800000000002</v>
      </c>
      <c r="E2996">
        <v>0.54079350000000004</v>
      </c>
      <c r="F2996" t="s">
        <v>62</v>
      </c>
      <c r="G2996">
        <v>-494.0204</v>
      </c>
      <c r="H2996" s="1">
        <v>3.8074990000000002E-6</v>
      </c>
      <c r="I2996">
        <v>222.91739999999999</v>
      </c>
      <c r="J2996">
        <v>-492.29309999999998</v>
      </c>
      <c r="K2996">
        <v>1.109785</v>
      </c>
      <c r="L2996">
        <v>256.33539999999999</v>
      </c>
      <c r="M2996">
        <v>-7.6190110000000005E-2</v>
      </c>
      <c r="N2996">
        <v>-1.0497370000000001E-2</v>
      </c>
      <c r="O2996">
        <v>-0.99703810000000004</v>
      </c>
      <c r="P2996">
        <v>5.908538E-2</v>
      </c>
      <c r="Q2996">
        <v>0.1635897</v>
      </c>
      <c r="R2996">
        <v>-0.98475780000000002</v>
      </c>
      <c r="S2996">
        <v>-0.1591187</v>
      </c>
      <c r="T2996">
        <v>-0.10168480000000001</v>
      </c>
      <c r="U2996">
        <v>-3.0726930000000001</v>
      </c>
      <c r="V2996">
        <v>-0.13373669999999999</v>
      </c>
      <c r="W2996">
        <v>0.1740025</v>
      </c>
      <c r="X2996">
        <v>0.97562159999999998</v>
      </c>
      <c r="Y2996">
        <v>-2.453466E-2</v>
      </c>
      <c r="Z2996">
        <v>2.2431099999999999E-2</v>
      </c>
      <c r="AA2996">
        <v>0.99944730000000004</v>
      </c>
      <c r="AB2996">
        <v>22</v>
      </c>
      <c r="AC2996">
        <v>-1.72730000000001</v>
      </c>
      <c r="AD2996">
        <v>-1.1097811925009999</v>
      </c>
      <c r="AE2996">
        <v>-33.417999999999999</v>
      </c>
      <c r="AF2996">
        <v>-0.82307723839541802</v>
      </c>
      <c r="AG2996">
        <v>-1.1097811925009999</v>
      </c>
      <c r="AH2996">
        <v>33.415709817131301</v>
      </c>
      <c r="AI2996">
        <v>91.901595299672707</v>
      </c>
      <c r="AJ2996">
        <v>91.410992568534297</v>
      </c>
      <c r="AK2996">
        <v>33.444263080808298</v>
      </c>
      <c r="AL2996">
        <v>79.979384392251305</v>
      </c>
      <c r="AM2996">
        <v>97.805370486476093</v>
      </c>
      <c r="AN2996">
        <v>0.99999994065984799</v>
      </c>
    </row>
    <row r="2997" spans="1:40" x14ac:dyDescent="0.25">
      <c r="A2997" t="str">
        <f>"20190304155114717"</f>
        <v>20190304155114717</v>
      </c>
      <c r="B2997" t="str">
        <f>"1551685874709776"</f>
        <v>1551685874709776</v>
      </c>
      <c r="C2997" t="s">
        <v>40</v>
      </c>
      <c r="D2997">
        <v>4.8014999999999999</v>
      </c>
      <c r="E2997">
        <v>0.54075010000000001</v>
      </c>
      <c r="F2997" t="s">
        <v>62</v>
      </c>
      <c r="G2997">
        <v>-494.0496</v>
      </c>
      <c r="H2997" s="1">
        <v>3.759303E-6</v>
      </c>
      <c r="I2997">
        <v>222.72880000000001</v>
      </c>
      <c r="J2997">
        <v>-492.30290000000002</v>
      </c>
      <c r="K2997">
        <v>1.109793</v>
      </c>
      <c r="L2997">
        <v>256.21420000000001</v>
      </c>
      <c r="M2997">
        <v>-7.6635480000000006E-2</v>
      </c>
      <c r="N2997">
        <v>-1.04844E-2</v>
      </c>
      <c r="O2997">
        <v>-0.99700420000000001</v>
      </c>
      <c r="P2997">
        <v>5.932233E-2</v>
      </c>
      <c r="Q2997">
        <v>0.16412270000000001</v>
      </c>
      <c r="R2997">
        <v>-0.9846549</v>
      </c>
      <c r="S2997">
        <v>-0.16061400000000001</v>
      </c>
      <c r="T2997">
        <v>-0.10147680000000001</v>
      </c>
      <c r="U2997">
        <v>-3.072937</v>
      </c>
      <c r="V2997">
        <v>-0.1344052</v>
      </c>
      <c r="W2997">
        <v>0.17451849999999999</v>
      </c>
      <c r="X2997">
        <v>0.97543760000000002</v>
      </c>
      <c r="Y2997">
        <v>-2.450022E-2</v>
      </c>
      <c r="Z2997">
        <v>2.2372409999999999E-2</v>
      </c>
      <c r="AA2997">
        <v>0.99944940000000004</v>
      </c>
      <c r="AB2997">
        <v>22</v>
      </c>
      <c r="AC2997">
        <v>-1.7466999999999699</v>
      </c>
      <c r="AD2997">
        <v>-1.109789240697</v>
      </c>
      <c r="AE2997">
        <v>-33.485399999999998</v>
      </c>
      <c r="AF2997">
        <v>-0.82384519920046395</v>
      </c>
      <c r="AG2997">
        <v>-1.109789240697</v>
      </c>
      <c r="AH2997">
        <v>33.484101159600698</v>
      </c>
      <c r="AI2997">
        <v>91.897729159827904</v>
      </c>
      <c r="AJ2997">
        <v>91.409425064400494</v>
      </c>
      <c r="AK2997">
        <v>33.512615289430698</v>
      </c>
      <c r="AL2997">
        <v>79.949360869568906</v>
      </c>
      <c r="AM2997">
        <v>97.845363337563896</v>
      </c>
      <c r="AN2997">
        <v>0.99999998806152401</v>
      </c>
    </row>
    <row r="2998" spans="1:40" x14ac:dyDescent="0.25">
      <c r="A2998" t="str">
        <f>"20190304155114729"</f>
        <v>20190304155114729</v>
      </c>
      <c r="B2998" t="str">
        <f>"1551685874719536"</f>
        <v>1551685874719536</v>
      </c>
      <c r="C2998" t="s">
        <v>40</v>
      </c>
      <c r="D2998">
        <v>4.7814959999999997</v>
      </c>
      <c r="E2998">
        <v>0.54063050000000001</v>
      </c>
      <c r="F2998" t="s">
        <v>62</v>
      </c>
      <c r="G2998">
        <v>-494.09859999999998</v>
      </c>
      <c r="H2998" s="1">
        <v>3.466508E-6</v>
      </c>
      <c r="I2998">
        <v>221.7663</v>
      </c>
      <c r="J2998">
        <v>-492.31229999999999</v>
      </c>
      <c r="K2998">
        <v>1.109802</v>
      </c>
      <c r="L2998">
        <v>256.09780000000001</v>
      </c>
      <c r="M2998">
        <v>-7.7056550000000001E-2</v>
      </c>
      <c r="N2998">
        <v>-1.047206E-2</v>
      </c>
      <c r="O2998">
        <v>-0.99697190000000002</v>
      </c>
      <c r="P2998">
        <v>5.9524720000000003E-2</v>
      </c>
      <c r="Q2998">
        <v>0.16450899999999999</v>
      </c>
      <c r="R2998">
        <v>-0.98457790000000001</v>
      </c>
      <c r="S2998">
        <v>-0.16018679999999999</v>
      </c>
      <c r="T2998">
        <v>-9.899819E-2</v>
      </c>
      <c r="U2998">
        <v>-3.0729060000000001</v>
      </c>
      <c r="V2998">
        <v>-0.13501759999999999</v>
      </c>
      <c r="W2998">
        <v>0.17488799999999999</v>
      </c>
      <c r="X2998">
        <v>0.97528680000000001</v>
      </c>
      <c r="Y2998">
        <v>-2.505957E-2</v>
      </c>
      <c r="Z2998">
        <v>2.1582110000000002E-2</v>
      </c>
      <c r="AA2998">
        <v>0.99945289999999998</v>
      </c>
      <c r="AB2998">
        <v>22</v>
      </c>
      <c r="AC2998">
        <v>-1.78629999999998</v>
      </c>
      <c r="AD2998">
        <v>-1.109798533492</v>
      </c>
      <c r="AE2998">
        <v>-34.331499999999998</v>
      </c>
      <c r="AF2998">
        <v>-0.86372317668759502</v>
      </c>
      <c r="AG2998">
        <v>-1.109798533492</v>
      </c>
      <c r="AH2998">
        <v>34.3312872171553</v>
      </c>
      <c r="AI2998">
        <v>91.850922265531196</v>
      </c>
      <c r="AJ2998">
        <v>91.441171001666703</v>
      </c>
      <c r="AK2998">
        <v>34.360077888411404</v>
      </c>
      <c r="AL2998">
        <v>79.927859059361793</v>
      </c>
      <c r="AM2998">
        <v>97.881864792302807</v>
      </c>
      <c r="AN2998">
        <v>0.99999995355399895</v>
      </c>
    </row>
    <row r="2999" spans="1:40" x14ac:dyDescent="0.25">
      <c r="A2999" t="str">
        <f>"20190304155114748"</f>
        <v>20190304155114748</v>
      </c>
      <c r="B2999" t="str">
        <f>"1551685874740032"</f>
        <v>1551685874740032</v>
      </c>
      <c r="C2999" t="s">
        <v>40</v>
      </c>
      <c r="D2999">
        <v>4.8478029999999999</v>
      </c>
      <c r="E2999">
        <v>0.54041289999999997</v>
      </c>
      <c r="F2999" t="s">
        <v>62</v>
      </c>
      <c r="G2999">
        <v>-494.08620000000002</v>
      </c>
      <c r="H2999" s="1">
        <v>3.4391269999999999E-6</v>
      </c>
      <c r="I2999">
        <v>221.67089999999999</v>
      </c>
      <c r="J2999">
        <v>-492.32819999999998</v>
      </c>
      <c r="K2999">
        <v>1.1098300000000001</v>
      </c>
      <c r="L2999">
        <v>255.9015</v>
      </c>
      <c r="M2999">
        <v>-7.7727580000000004E-2</v>
      </c>
      <c r="N2999">
        <v>-1.0453189999999999E-2</v>
      </c>
      <c r="O2999">
        <v>-0.99692009999999998</v>
      </c>
      <c r="P2999">
        <v>6.0174520000000002E-2</v>
      </c>
      <c r="Q2999">
        <v>0.16464909999999999</v>
      </c>
      <c r="R2999">
        <v>-0.98451500000000003</v>
      </c>
      <c r="S2999">
        <v>-0.15835569999999999</v>
      </c>
      <c r="T2999">
        <v>-9.9066260000000003E-2</v>
      </c>
      <c r="U2999">
        <v>-3.0731199999999999</v>
      </c>
      <c r="V2999">
        <v>-0.1363299</v>
      </c>
      <c r="W2999">
        <v>0.17500019999999999</v>
      </c>
      <c r="X2999">
        <v>0.97508410000000001</v>
      </c>
      <c r="Y2999">
        <v>-2.6329689999999999E-2</v>
      </c>
      <c r="Z2999">
        <v>2.1618120000000001E-2</v>
      </c>
      <c r="AA2999">
        <v>0.99941950000000002</v>
      </c>
      <c r="AB2999">
        <v>22</v>
      </c>
      <c r="AC2999">
        <v>-1.75800000000003</v>
      </c>
      <c r="AD2999">
        <v>-1.10982656087299</v>
      </c>
      <c r="AE2999">
        <v>-34.230600000000003</v>
      </c>
      <c r="AF2999">
        <v>-0.90717443512111096</v>
      </c>
      <c r="AG2999">
        <v>-1.10982656087299</v>
      </c>
      <c r="AH2999">
        <v>34.227795920660498</v>
      </c>
      <c r="AI2999">
        <v>91.856497224017204</v>
      </c>
      <c r="AJ2999">
        <v>91.518213470480106</v>
      </c>
      <c r="AK2999">
        <v>34.257797565479002</v>
      </c>
      <c r="AL2999">
        <v>79.921329814050296</v>
      </c>
      <c r="AM2999">
        <v>97.959128676416796</v>
      </c>
      <c r="AN2999">
        <v>0.99999995685342902</v>
      </c>
    </row>
    <row r="3000" spans="1:40" x14ac:dyDescent="0.25">
      <c r="A3000" t="str">
        <f>"20190304155114760"</f>
        <v>20190304155114760</v>
      </c>
      <c r="B3000" t="str">
        <f>"1551685874749791"</f>
        <v>1551685874749791</v>
      </c>
      <c r="C3000" t="s">
        <v>40</v>
      </c>
      <c r="D3000">
        <v>4.7922500000000001</v>
      </c>
      <c r="E3000">
        <v>0.54070099999999999</v>
      </c>
      <c r="F3000" t="s">
        <v>62</v>
      </c>
      <c r="G3000">
        <v>-494.05450000000002</v>
      </c>
      <c r="H3000" s="1">
        <v>3.4449970000000002E-6</v>
      </c>
      <c r="I3000">
        <v>221.67169999999999</v>
      </c>
      <c r="J3000">
        <v>-492.33800000000002</v>
      </c>
      <c r="K3000">
        <v>1.10985</v>
      </c>
      <c r="L3000">
        <v>255.7818</v>
      </c>
      <c r="M3000">
        <v>-7.8111299999999995E-2</v>
      </c>
      <c r="N3000">
        <v>-1.044285E-2</v>
      </c>
      <c r="O3000">
        <v>-0.99689019999999995</v>
      </c>
      <c r="P3000">
        <v>6.0179690000000001E-2</v>
      </c>
      <c r="Q3000">
        <v>0.16426930000000001</v>
      </c>
      <c r="R3000">
        <v>-0.98457839999999996</v>
      </c>
      <c r="S3000">
        <v>-0.15499879999999999</v>
      </c>
      <c r="T3000">
        <v>-9.9646449999999998E-2</v>
      </c>
      <c r="U3000">
        <v>-3.0733489999999999</v>
      </c>
      <c r="V3000">
        <v>-0.13672509999999999</v>
      </c>
      <c r="W3000">
        <v>0.17460400000000001</v>
      </c>
      <c r="X3000">
        <v>0.97509990000000002</v>
      </c>
      <c r="Y3000">
        <v>-2.7806930000000001E-2</v>
      </c>
      <c r="Z3000">
        <v>2.181203E-2</v>
      </c>
      <c r="AA3000">
        <v>0.99937529999999997</v>
      </c>
      <c r="AB3000">
        <v>22</v>
      </c>
      <c r="AC3000">
        <v>-1.7164999999999899</v>
      </c>
      <c r="AD3000">
        <v>-1.1098465550029999</v>
      </c>
      <c r="AE3000">
        <v>-34.110100000000003</v>
      </c>
      <c r="AF3000">
        <v>-0.95226837825352395</v>
      </c>
      <c r="AG3000">
        <v>-1.1098465550029999</v>
      </c>
      <c r="AH3000">
        <v>34.103941959096801</v>
      </c>
      <c r="AI3000">
        <v>91.863196371841596</v>
      </c>
      <c r="AJ3000">
        <v>91.5994275947983</v>
      </c>
      <c r="AK3000">
        <v>34.135281331626899</v>
      </c>
      <c r="AL3000">
        <v>79.944386448193896</v>
      </c>
      <c r="AM3000">
        <v>97.981776394292794</v>
      </c>
      <c r="AN3000">
        <v>1.0000000623830001</v>
      </c>
    </row>
    <row r="3001" spans="1:40" x14ac:dyDescent="0.25">
      <c r="A3001" t="str">
        <f>"20190304155114774"</f>
        <v>20190304155114774</v>
      </c>
      <c r="B3001" t="str">
        <f>"1551685874769311"</f>
        <v>1551685874769311</v>
      </c>
      <c r="C3001" t="s">
        <v>40</v>
      </c>
      <c r="D3001">
        <v>5.2247019999999997</v>
      </c>
      <c r="E3001">
        <v>0.54121390000000003</v>
      </c>
      <c r="F3001" t="s">
        <v>62</v>
      </c>
      <c r="G3001">
        <v>-494.10730000000001</v>
      </c>
      <c r="H3001" s="1">
        <v>3.3017230000000001E-6</v>
      </c>
      <c r="I3001">
        <v>221.23939999999999</v>
      </c>
      <c r="J3001">
        <v>-492.34750000000003</v>
      </c>
      <c r="K3001">
        <v>1.109869</v>
      </c>
      <c r="L3001">
        <v>255.66560000000001</v>
      </c>
      <c r="M3001">
        <v>-7.8470299999999896E-2</v>
      </c>
      <c r="N3001">
        <v>-1.043318E-2</v>
      </c>
      <c r="O3001">
        <v>-0.99686189999999997</v>
      </c>
      <c r="P3001">
        <v>6.0565399999999998E-2</v>
      </c>
      <c r="Q3001">
        <v>0.1642286</v>
      </c>
      <c r="R3001">
        <v>-0.98456129999999997</v>
      </c>
      <c r="S3001">
        <v>-0.15740970000000001</v>
      </c>
      <c r="T3001">
        <v>-9.8737720000000001E-2</v>
      </c>
      <c r="U3001">
        <v>-3.0730740000000001</v>
      </c>
      <c r="V3001">
        <v>-0.13746949999999999</v>
      </c>
      <c r="W3001">
        <v>0.17454620000000001</v>
      </c>
      <c r="X3001">
        <v>0.97500549999999997</v>
      </c>
      <c r="Y3001">
        <v>-2.738026E-2</v>
      </c>
      <c r="Z3001">
        <v>2.152944E-2</v>
      </c>
      <c r="AA3001">
        <v>0.99939319999999998</v>
      </c>
      <c r="AB3001">
        <v>22</v>
      </c>
      <c r="AC3001">
        <v>-1.75979999999998</v>
      </c>
      <c r="AD3001">
        <v>-1.1098656982770001</v>
      </c>
      <c r="AE3001">
        <v>-34.426200000000001</v>
      </c>
      <c r="AF3001">
        <v>-0.94622728274475798</v>
      </c>
      <c r="AG3001">
        <v>-1.1098656982770001</v>
      </c>
      <c r="AH3001">
        <v>34.422449334732299</v>
      </c>
      <c r="AI3001">
        <v>91.846022367031793</v>
      </c>
      <c r="AJ3001">
        <v>91.574588142406199</v>
      </c>
      <c r="AK3001">
        <v>34.453333164456403</v>
      </c>
      <c r="AL3001">
        <v>79.947748977591402</v>
      </c>
      <c r="AM3001">
        <v>98.025435442608099</v>
      </c>
      <c r="AN3001">
        <v>0.999999982197469</v>
      </c>
    </row>
    <row r="3002" spans="1:40" x14ac:dyDescent="0.25">
      <c r="A3002" t="str">
        <f>"20190304155114785"</f>
        <v>20190304155114785</v>
      </c>
      <c r="B3002" t="str">
        <f>"1551685874780048"</f>
        <v>1551685874780048</v>
      </c>
      <c r="C3002" t="s">
        <v>40</v>
      </c>
      <c r="D3002">
        <v>4.7946939999999998</v>
      </c>
      <c r="E3002">
        <v>0.54123189999999999</v>
      </c>
      <c r="F3002" t="s">
        <v>62</v>
      </c>
      <c r="G3002">
        <v>-494.06950000000001</v>
      </c>
      <c r="H3002" s="1">
        <v>3.7674760000000001E-6</v>
      </c>
      <c r="I3002">
        <v>222.78569999999999</v>
      </c>
      <c r="J3002">
        <v>-492.35770000000002</v>
      </c>
      <c r="K3002">
        <v>1.109893</v>
      </c>
      <c r="L3002">
        <v>255.54140000000001</v>
      </c>
      <c r="M3002">
        <v>-7.8837729999999995E-2</v>
      </c>
      <c r="N3002">
        <v>-1.0423299999999899E-2</v>
      </c>
      <c r="O3002">
        <v>-0.99683310000000003</v>
      </c>
      <c r="P3002">
        <v>6.0817789999999997E-2</v>
      </c>
      <c r="Q3002">
        <v>0.1641196</v>
      </c>
      <c r="R3002">
        <v>-0.98456390000000005</v>
      </c>
      <c r="S3002">
        <v>-0.16101070000000001</v>
      </c>
      <c r="T3002">
        <v>-0.103771699999999</v>
      </c>
      <c r="U3002">
        <v>-3.074249</v>
      </c>
      <c r="V3002">
        <v>-0.1380914</v>
      </c>
      <c r="W3002">
        <v>0.1744194</v>
      </c>
      <c r="X3002">
        <v>0.97494029999999998</v>
      </c>
      <c r="Y3002">
        <v>-2.6602520000000001E-2</v>
      </c>
      <c r="Z3002">
        <v>2.3151919999999999E-2</v>
      </c>
      <c r="AA3002">
        <v>0.99937799999999999</v>
      </c>
      <c r="AB3002">
        <v>22</v>
      </c>
      <c r="AC3002">
        <v>-1.71179999999998</v>
      </c>
      <c r="AD3002">
        <v>-1.109889232524</v>
      </c>
      <c r="AE3002">
        <v>-32.755699999999997</v>
      </c>
      <c r="AF3002">
        <v>-0.87505168404774403</v>
      </c>
      <c r="AG3002">
        <v>-1.109889232524</v>
      </c>
      <c r="AH3002">
        <v>32.751197580977099</v>
      </c>
      <c r="AI3002">
        <v>91.940233848525196</v>
      </c>
      <c r="AJ3002">
        <v>91.530473599451696</v>
      </c>
      <c r="AK3002">
        <v>32.781679526016099</v>
      </c>
      <c r="AL3002">
        <v>79.955127192902097</v>
      </c>
      <c r="AM3002">
        <v>98.061797644399206</v>
      </c>
      <c r="AN3002">
        <v>0.99999997520720396</v>
      </c>
    </row>
    <row r="3003" spans="1:40" x14ac:dyDescent="0.25">
      <c r="A3003" t="str">
        <f>"20190304155114805"</f>
        <v>20190304155114805</v>
      </c>
      <c r="B3003" t="str">
        <f>"1551685874799568"</f>
        <v>1551685874799568</v>
      </c>
      <c r="C3003" t="s">
        <v>40</v>
      </c>
      <c r="D3003">
        <v>4.8213499999999998</v>
      </c>
      <c r="E3003">
        <v>0.5417575</v>
      </c>
      <c r="F3003" t="s">
        <v>62</v>
      </c>
      <c r="G3003">
        <v>-494.07389999999998</v>
      </c>
      <c r="H3003" s="1">
        <v>3.735859E-6</v>
      </c>
      <c r="I3003">
        <v>222.64709999999999</v>
      </c>
      <c r="J3003">
        <v>-492.37259999999998</v>
      </c>
      <c r="K3003">
        <v>1.1099330000000001</v>
      </c>
      <c r="L3003">
        <v>255.3596</v>
      </c>
      <c r="M3003">
        <v>-7.9317269999999995E-2</v>
      </c>
      <c r="N3003">
        <v>-1.0409760000000001E-2</v>
      </c>
      <c r="O3003">
        <v>-0.99679510000000004</v>
      </c>
      <c r="P3003">
        <v>6.1549479999999997E-2</v>
      </c>
      <c r="Q3003">
        <v>0.16393940000000001</v>
      </c>
      <c r="R3003">
        <v>-0.9845486</v>
      </c>
      <c r="S3003">
        <v>-0.1604004</v>
      </c>
      <c r="T3003">
        <v>-0.10372869999999999</v>
      </c>
      <c r="U3003">
        <v>-3.074249</v>
      </c>
      <c r="V3003">
        <v>-0.1393076</v>
      </c>
      <c r="W3003">
        <v>0.17421139999999999</v>
      </c>
      <c r="X3003">
        <v>0.97480449999999996</v>
      </c>
      <c r="Y3003">
        <v>-2.7281139999999999E-2</v>
      </c>
      <c r="Z3003">
        <v>2.314952E-2</v>
      </c>
      <c r="AA3003">
        <v>0.99935969999999996</v>
      </c>
      <c r="AB3003">
        <v>22</v>
      </c>
      <c r="AC3003">
        <v>-1.7013</v>
      </c>
      <c r="AD3003">
        <v>-1.1099292641409999</v>
      </c>
      <c r="AE3003">
        <v>-32.712499999999999</v>
      </c>
      <c r="AF3003">
        <v>-0.89783653528319995</v>
      </c>
      <c r="AG3003">
        <v>-1.1099292641409999</v>
      </c>
      <c r="AH3003">
        <v>32.706823727606199</v>
      </c>
      <c r="AI3003">
        <v>91.942895690488399</v>
      </c>
      <c r="AJ3003">
        <v>91.5724342059912</v>
      </c>
      <c r="AK3003">
        <v>32.737965296642798</v>
      </c>
      <c r="AL3003">
        <v>79.967230427257306</v>
      </c>
      <c r="AM3003">
        <v>98.132971693958098</v>
      </c>
      <c r="AN3003">
        <v>1.0000000162639799</v>
      </c>
    </row>
    <row r="3004" spans="1:40" x14ac:dyDescent="0.25">
      <c r="A3004" t="str">
        <f>"20190304155114821"</f>
        <v>20190304155114821</v>
      </c>
      <c r="B3004" t="str">
        <f>"1551685874809327"</f>
        <v>1551685874809327</v>
      </c>
      <c r="C3004" t="s">
        <v>40</v>
      </c>
      <c r="D3004">
        <v>4.7521420000000001</v>
      </c>
      <c r="E3004">
        <v>0.54163260000000002</v>
      </c>
      <c r="F3004" t="s">
        <v>62</v>
      </c>
      <c r="G3004">
        <v>-494.09550000000002</v>
      </c>
      <c r="H3004" s="1">
        <v>3.7726320000000001E-6</v>
      </c>
      <c r="I3004">
        <v>222.83500000000001</v>
      </c>
      <c r="J3004">
        <v>-492.38470000000001</v>
      </c>
      <c r="K3004">
        <v>1.1099699999999999</v>
      </c>
      <c r="L3004">
        <v>255.21199999999999</v>
      </c>
      <c r="M3004">
        <v>-7.9648189999999994E-2</v>
      </c>
      <c r="N3004">
        <v>-1.039969E-2</v>
      </c>
      <c r="O3004">
        <v>-0.99676889999999996</v>
      </c>
      <c r="P3004">
        <v>6.1756909999999998E-2</v>
      </c>
      <c r="Q3004">
        <v>0.16389189999999901</v>
      </c>
      <c r="R3004">
        <v>-0.98454350000000002</v>
      </c>
      <c r="S3004">
        <v>-0.1628723</v>
      </c>
      <c r="T3004">
        <v>-0.10492750000000001</v>
      </c>
      <c r="U3004">
        <v>-3.074722</v>
      </c>
      <c r="V3004">
        <v>-0.13985510000000001</v>
      </c>
      <c r="W3004">
        <v>0.17414009999999999</v>
      </c>
      <c r="X3004">
        <v>0.97473880000000002</v>
      </c>
      <c r="Y3004">
        <v>-2.6820320000000002E-2</v>
      </c>
      <c r="Z3004">
        <v>2.3540169999999999E-2</v>
      </c>
      <c r="AA3004">
        <v>0.99936309999999995</v>
      </c>
      <c r="AB3004">
        <v>22</v>
      </c>
      <c r="AC3004">
        <v>-1.7108000000000001</v>
      </c>
      <c r="AD3004">
        <v>-1.109966227368</v>
      </c>
      <c r="AE3004">
        <v>-32.377000000000002</v>
      </c>
      <c r="AF3004">
        <v>-0.87252173988743997</v>
      </c>
      <c r="AG3004">
        <v>-1.109966227368</v>
      </c>
      <c r="AH3004">
        <v>32.372456603107999</v>
      </c>
      <c r="AI3004">
        <v>91.963039657445805</v>
      </c>
      <c r="AJ3004">
        <v>91.543896211646299</v>
      </c>
      <c r="AK3004">
        <v>32.403229248526799</v>
      </c>
      <c r="AL3004">
        <v>79.971378619643602</v>
      </c>
      <c r="AM3004">
        <v>98.165048280162694</v>
      </c>
      <c r="AN3004">
        <v>0.99999997582472899</v>
      </c>
    </row>
    <row r="3005" spans="1:40" x14ac:dyDescent="0.25">
      <c r="A3005" t="str">
        <f>"20190304155114839"</f>
        <v>20190304155114839</v>
      </c>
      <c r="B3005" t="str">
        <f>"1551685874829823"</f>
        <v>1551685874829823</v>
      </c>
      <c r="C3005" t="s">
        <v>40</v>
      </c>
      <c r="D3005">
        <v>4.7231030000000001</v>
      </c>
      <c r="E3005">
        <v>0.54158669999999998</v>
      </c>
      <c r="F3005" t="s">
        <v>62</v>
      </c>
      <c r="G3005">
        <v>-494.07650000000001</v>
      </c>
      <c r="H3005" s="1">
        <v>3.801585E-6</v>
      </c>
      <c r="I3005">
        <v>222.947</v>
      </c>
      <c r="J3005">
        <v>-492.4</v>
      </c>
      <c r="K3005">
        <v>1.110026</v>
      </c>
      <c r="L3005">
        <v>255.02699999999999</v>
      </c>
      <c r="M3005">
        <v>-7.9993770000000006E-2</v>
      </c>
      <c r="N3005">
        <v>-1.038817E-2</v>
      </c>
      <c r="O3005">
        <v>-0.99674119999999999</v>
      </c>
      <c r="P3005">
        <v>6.2330030000000002E-2</v>
      </c>
      <c r="Q3005">
        <v>0.16348560000000001</v>
      </c>
      <c r="R3005">
        <v>-0.98457499999999998</v>
      </c>
      <c r="S3005">
        <v>-0.16122439999999999</v>
      </c>
      <c r="T3005">
        <v>-0.10577979999999999</v>
      </c>
      <c r="U3005">
        <v>-3.0748600000000001</v>
      </c>
      <c r="V3005">
        <v>-0.1407928</v>
      </c>
      <c r="W3005">
        <v>0.173703</v>
      </c>
      <c r="X3005">
        <v>0.97468189999999999</v>
      </c>
      <c r="Y3005">
        <v>-2.7703479999999999E-2</v>
      </c>
      <c r="Z3005">
        <v>2.382387E-2</v>
      </c>
      <c r="AA3005">
        <v>0.9993322</v>
      </c>
      <c r="AB3005">
        <v>22</v>
      </c>
      <c r="AC3005">
        <v>-1.6765000000000301</v>
      </c>
      <c r="AD3005">
        <v>-1.110022198415</v>
      </c>
      <c r="AE3005">
        <v>-32.08</v>
      </c>
      <c r="AF3005">
        <v>-0.89414422978684205</v>
      </c>
      <c r="AG3005">
        <v>-1.110022198415</v>
      </c>
      <c r="AH3005">
        <v>32.073005259655702</v>
      </c>
      <c r="AI3005">
        <v>91.981402760348203</v>
      </c>
      <c r="AJ3005">
        <v>91.596901324221704</v>
      </c>
      <c r="AK3005">
        <v>32.104661804332103</v>
      </c>
      <c r="AL3005">
        <v>79.996811202333504</v>
      </c>
      <c r="AM3005">
        <v>98.219521026792705</v>
      </c>
      <c r="AN3005">
        <v>1.00000007546422</v>
      </c>
    </row>
    <row r="3006" spans="1:40" x14ac:dyDescent="0.25">
      <c r="A3006" t="str">
        <f>"20190304155114861"</f>
        <v>20190304155114861</v>
      </c>
      <c r="B3006" t="str">
        <f>"1551685874849359"</f>
        <v>1551685874849359</v>
      </c>
      <c r="C3006" t="s">
        <v>40</v>
      </c>
      <c r="D3006">
        <v>4.7683280000000003</v>
      </c>
      <c r="E3006">
        <v>0.54174209999999901</v>
      </c>
      <c r="F3006" t="s">
        <v>62</v>
      </c>
      <c r="G3006">
        <v>-494.04660000000001</v>
      </c>
      <c r="H3006" s="1">
        <v>3.889738E-6</v>
      </c>
      <c r="I3006">
        <v>223.31569999999999</v>
      </c>
      <c r="J3006">
        <v>-492.41730000000001</v>
      </c>
      <c r="K3006">
        <v>1.1100939999999999</v>
      </c>
      <c r="L3006">
        <v>254.81649999999999</v>
      </c>
      <c r="M3006">
        <v>-8.0285750000000003E-2</v>
      </c>
      <c r="N3006">
        <v>-1.0376639999999999E-2</v>
      </c>
      <c r="O3006">
        <v>-0.99671799999999999</v>
      </c>
      <c r="P3006">
        <v>6.3017299999999998E-2</v>
      </c>
      <c r="Q3006">
        <v>0.1628588</v>
      </c>
      <c r="R3006">
        <v>-0.98463520000000004</v>
      </c>
      <c r="S3006">
        <v>-0.159668</v>
      </c>
      <c r="T3006">
        <v>-0.1076368</v>
      </c>
      <c r="U3006">
        <v>-3.0749819999999999</v>
      </c>
      <c r="V3006">
        <v>-0.14180039999999999</v>
      </c>
      <c r="W3006">
        <v>0.17303929999999901</v>
      </c>
      <c r="X3006">
        <v>0.97465380000000001</v>
      </c>
      <c r="Y3006">
        <v>-2.8503279999999999E-2</v>
      </c>
      <c r="Z3006">
        <v>2.4432309999999999E-2</v>
      </c>
      <c r="AA3006">
        <v>0.99929509999999999</v>
      </c>
      <c r="AB3006">
        <v>22</v>
      </c>
      <c r="AC3006">
        <v>-1.6293</v>
      </c>
      <c r="AD3006">
        <v>-1.110090110262</v>
      </c>
      <c r="AE3006">
        <v>-31.500800000000002</v>
      </c>
      <c r="AF3006">
        <v>-0.90404163738942001</v>
      </c>
      <c r="AG3006">
        <v>-1.110090110262</v>
      </c>
      <c r="AH3006">
        <v>31.490914546619901</v>
      </c>
      <c r="AI3006">
        <v>92.018073865765103</v>
      </c>
      <c r="AJ3006">
        <v>91.644396435978393</v>
      </c>
      <c r="AK3006">
        <v>31.523440331244799</v>
      </c>
      <c r="AL3006">
        <v>80.035422279344701</v>
      </c>
      <c r="AM3006">
        <v>98.277768063453095</v>
      </c>
      <c r="AN3006">
        <v>0.99999999131954398</v>
      </c>
    </row>
    <row r="3007" spans="1:40" x14ac:dyDescent="0.25">
      <c r="A3007" t="str">
        <f>"20190304155114881"</f>
        <v>20190304155114881</v>
      </c>
      <c r="B3007" t="str">
        <f>"1551685874869840"</f>
        <v>1551685874869840</v>
      </c>
      <c r="C3007" t="s">
        <v>40</v>
      </c>
      <c r="D3007">
        <v>4.8086089999999997</v>
      </c>
      <c r="E3007">
        <v>0.54163559999999999</v>
      </c>
      <c r="F3007" t="s">
        <v>62</v>
      </c>
      <c r="G3007">
        <v>-494.05610000000001</v>
      </c>
      <c r="H3007" s="1">
        <v>3.825284E-6</v>
      </c>
      <c r="I3007">
        <v>223.03370000000001</v>
      </c>
      <c r="J3007">
        <v>-492.43419999999998</v>
      </c>
      <c r="K3007">
        <v>1.1101650000000001</v>
      </c>
      <c r="L3007">
        <v>254.60939999999999</v>
      </c>
      <c r="M3007">
        <v>-8.0467330000000004E-2</v>
      </c>
      <c r="N3007">
        <v>-1.036693E-2</v>
      </c>
      <c r="O3007">
        <v>-0.99670349999999996</v>
      </c>
      <c r="P3007">
        <v>6.3846009999999995E-2</v>
      </c>
      <c r="Q3007">
        <v>0.16268469999999999</v>
      </c>
      <c r="R3007">
        <v>-0.98461050000000006</v>
      </c>
      <c r="S3007">
        <v>-0.15853879999999901</v>
      </c>
      <c r="T3007">
        <v>-0.1073905</v>
      </c>
      <c r="U3007">
        <v>-3.0746769999999999</v>
      </c>
      <c r="V3007">
        <v>-0.14283470000000001</v>
      </c>
      <c r="W3007">
        <v>0.1728285</v>
      </c>
      <c r="X3007">
        <v>0.97454019999999997</v>
      </c>
      <c r="Y3007">
        <v>-2.9046039999999999E-2</v>
      </c>
      <c r="Z3007">
        <v>2.4365109999999999E-2</v>
      </c>
      <c r="AA3007">
        <v>0.99928099999999997</v>
      </c>
      <c r="AB3007">
        <v>22</v>
      </c>
      <c r="AC3007">
        <v>-1.6219000000000301</v>
      </c>
      <c r="AD3007">
        <v>-1.1101611747160001</v>
      </c>
      <c r="AE3007">
        <v>-31.575699999999902</v>
      </c>
      <c r="AF3007">
        <v>-0.92317022203753296</v>
      </c>
      <c r="AG3007">
        <v>-1.1101611747160001</v>
      </c>
      <c r="AH3007">
        <v>31.564897942484301</v>
      </c>
      <c r="AI3007">
        <v>92.013445102780295</v>
      </c>
      <c r="AJ3007">
        <v>91.675236969085105</v>
      </c>
      <c r="AK3007">
        <v>31.597903145812602</v>
      </c>
      <c r="AL3007">
        <v>80.047685291903505</v>
      </c>
      <c r="AM3007">
        <v>98.338259059591195</v>
      </c>
      <c r="AN3007">
        <v>1.00000002167618</v>
      </c>
    </row>
    <row r="3008" spans="1:40" x14ac:dyDescent="0.25">
      <c r="A3008" t="str">
        <f>"20190304155114893"</f>
        <v>20190304155114893</v>
      </c>
      <c r="B3008" t="str">
        <f>"1551685874889360"</f>
        <v>1551685874889360</v>
      </c>
      <c r="C3008" t="s">
        <v>40</v>
      </c>
      <c r="D3008">
        <v>5.134328</v>
      </c>
      <c r="E3008">
        <v>0.54175240000000002</v>
      </c>
      <c r="F3008" t="s">
        <v>62</v>
      </c>
      <c r="G3008">
        <v>-494.00209999999998</v>
      </c>
      <c r="H3008" s="1">
        <v>3.9599220000000002E-6</v>
      </c>
      <c r="I3008">
        <v>223.58850000000001</v>
      </c>
      <c r="J3008">
        <v>-492.4436</v>
      </c>
      <c r="K3008">
        <v>1.110204</v>
      </c>
      <c r="L3008">
        <v>254.49449999999999</v>
      </c>
      <c r="M3008">
        <v>-8.052492E-2</v>
      </c>
      <c r="N3008">
        <v>-1.0362130000000001E-2</v>
      </c>
      <c r="O3008">
        <v>-0.9966988</v>
      </c>
      <c r="P3008">
        <v>6.4279859999999994E-2</v>
      </c>
      <c r="Q3008">
        <v>0.1630364</v>
      </c>
      <c r="R3008">
        <v>-0.98452399999999995</v>
      </c>
      <c r="S3008">
        <v>-0.15542600000000001</v>
      </c>
      <c r="T3008">
        <v>-0.11005139999999999</v>
      </c>
      <c r="U3008">
        <v>-3.0751339999999998</v>
      </c>
      <c r="V3008">
        <v>-0.14333319999999999</v>
      </c>
      <c r="W3008">
        <v>0.17316010000000001</v>
      </c>
      <c r="X3008">
        <v>0.9744081</v>
      </c>
      <c r="Y3008">
        <v>-3.0121019999999998E-2</v>
      </c>
      <c r="Z3008">
        <v>2.522342E-2</v>
      </c>
      <c r="AA3008">
        <v>0.99922789999999995</v>
      </c>
      <c r="AB3008">
        <v>22</v>
      </c>
      <c r="AC3008">
        <v>-1.55849999999998</v>
      </c>
      <c r="AD3008">
        <v>-1.1102000400779899</v>
      </c>
      <c r="AE3008">
        <v>-30.905999999999899</v>
      </c>
      <c r="AF3008">
        <v>-0.93419584683843704</v>
      </c>
      <c r="AG3008">
        <v>-1.1102000400779899</v>
      </c>
      <c r="AH3008">
        <v>30.891369331866901</v>
      </c>
      <c r="AI3008">
        <v>92.057318396719793</v>
      </c>
      <c r="AJ3008">
        <v>91.732172200428593</v>
      </c>
      <c r="AK3008">
        <v>30.9254258694532</v>
      </c>
      <c r="AL3008">
        <v>80.028394810834897</v>
      </c>
      <c r="AM3008">
        <v>98.368066971754601</v>
      </c>
      <c r="AN3008">
        <v>0.999999985899929</v>
      </c>
    </row>
    <row r="3009" spans="1:40" x14ac:dyDescent="0.25">
      <c r="A3009" t="str">
        <f>"20190304155114904"</f>
        <v>20190304155114904</v>
      </c>
      <c r="B3009" t="str">
        <f>"1551685874899120"</f>
        <v>1551685874899120</v>
      </c>
      <c r="C3009" t="s">
        <v>40</v>
      </c>
      <c r="D3009">
        <v>4.9170049999999996</v>
      </c>
      <c r="E3009">
        <v>0.54188719999999901</v>
      </c>
      <c r="F3009" t="s">
        <v>62</v>
      </c>
      <c r="G3009">
        <v>-493.98910000000001</v>
      </c>
      <c r="H3009" s="1">
        <v>4.0380390000000002E-6</v>
      </c>
      <c r="I3009">
        <v>223.9288</v>
      </c>
      <c r="J3009">
        <v>-492.45240000000001</v>
      </c>
      <c r="K3009">
        <v>1.110236</v>
      </c>
      <c r="L3009">
        <v>254.38679999999999</v>
      </c>
      <c r="M3009">
        <v>-8.0554349999999997E-2</v>
      </c>
      <c r="N3009">
        <v>-1.035791E-2</v>
      </c>
      <c r="O3009">
        <v>-0.99669669999999999</v>
      </c>
      <c r="P3009">
        <v>6.4720040000000006E-2</v>
      </c>
      <c r="Q3009">
        <v>0.16321620000000001</v>
      </c>
      <c r="R3009">
        <v>-0.98446549999999999</v>
      </c>
      <c r="S3009">
        <v>-0.15551760000000001</v>
      </c>
      <c r="T3009">
        <v>-0.1117175</v>
      </c>
      <c r="U3009">
        <v>-3.0757750000000001</v>
      </c>
      <c r="V3009">
        <v>-0.143811299999999</v>
      </c>
      <c r="W3009">
        <v>0.17332210000000001</v>
      </c>
      <c r="X3009">
        <v>0.97430879999999997</v>
      </c>
      <c r="Y3009">
        <v>-3.0131950000000001E-2</v>
      </c>
      <c r="Z3009">
        <v>2.5757789999999999E-2</v>
      </c>
      <c r="AA3009">
        <v>0.99921400000000005</v>
      </c>
      <c r="AB3009">
        <v>22</v>
      </c>
      <c r="AC3009">
        <v>-1.53669999999999</v>
      </c>
      <c r="AD3009">
        <v>-1.1102319619609999</v>
      </c>
      <c r="AE3009">
        <v>-30.457999999999998</v>
      </c>
      <c r="AF3009">
        <v>-0.92072949302790597</v>
      </c>
      <c r="AG3009">
        <v>-1.1102319619609999</v>
      </c>
      <c r="AH3009">
        <v>30.442456048292101</v>
      </c>
      <c r="AI3009">
        <v>92.087689308193902</v>
      </c>
      <c r="AJ3009">
        <v>91.7323778715337</v>
      </c>
      <c r="AK3009">
        <v>30.476605586267102</v>
      </c>
      <c r="AL3009">
        <v>80.018969919633406</v>
      </c>
      <c r="AM3009">
        <v>98.396425649896699</v>
      </c>
      <c r="AN3009">
        <v>0.99999993905676798</v>
      </c>
    </row>
    <row r="3010" spans="1:40" x14ac:dyDescent="0.25">
      <c r="A3010" t="str">
        <f>"20190304155114927"</f>
        <v>20190304155114927</v>
      </c>
      <c r="B3010" t="str">
        <f>"1551685874919616"</f>
        <v>1551685874919616</v>
      </c>
      <c r="C3010" t="s">
        <v>40</v>
      </c>
      <c r="D3010">
        <v>4.8877160000000002</v>
      </c>
      <c r="E3010">
        <v>0.54136269999999997</v>
      </c>
      <c r="F3010" t="s">
        <v>62</v>
      </c>
      <c r="G3010">
        <v>-493.99680000000001</v>
      </c>
      <c r="H3010" s="1">
        <v>4.0165060000000002E-6</v>
      </c>
      <c r="I3010">
        <v>223.8391</v>
      </c>
      <c r="J3010">
        <v>-492.4701</v>
      </c>
      <c r="K3010">
        <v>1.110304</v>
      </c>
      <c r="L3010">
        <v>254.16810000000001</v>
      </c>
      <c r="M3010">
        <v>-8.0531019999999995E-2</v>
      </c>
      <c r="N3010">
        <v>-1.0350410000000001E-2</v>
      </c>
      <c r="O3010">
        <v>-0.99669839999999998</v>
      </c>
      <c r="P3010">
        <v>6.5463960000000002E-2</v>
      </c>
      <c r="Q3010">
        <v>0.1634874</v>
      </c>
      <c r="R3010">
        <v>-0.98437140000000001</v>
      </c>
      <c r="S3010">
        <v>-0.15551760000000001</v>
      </c>
      <c r="T3010">
        <v>-0.111799499999999</v>
      </c>
      <c r="U3010">
        <v>-3.0761259999999999</v>
      </c>
      <c r="V3010">
        <v>-0.1445507</v>
      </c>
      <c r="W3010">
        <v>0.17356060000000001</v>
      </c>
      <c r="X3010">
        <v>0.97415700000000005</v>
      </c>
      <c r="Y3010">
        <v>-3.011436E-2</v>
      </c>
      <c r="Z3010">
        <v>2.5787729999999998E-2</v>
      </c>
      <c r="AA3010">
        <v>0.99921380000000004</v>
      </c>
      <c r="AB3010">
        <v>22</v>
      </c>
      <c r="AC3010">
        <v>-1.5266999999999999</v>
      </c>
      <c r="AD3010">
        <v>-1.1102999834939999</v>
      </c>
      <c r="AE3010">
        <v>-30.329000000000001</v>
      </c>
      <c r="AF3010">
        <v>-0.91958584874425897</v>
      </c>
      <c r="AG3010">
        <v>-1.1102999834939999</v>
      </c>
      <c r="AH3010">
        <v>30.312915048312</v>
      </c>
      <c r="AI3010">
        <v>92.096725555271206</v>
      </c>
      <c r="AJ3010">
        <v>91.737616914667996</v>
      </c>
      <c r="AK3010">
        <v>30.347178170511</v>
      </c>
      <c r="AL3010">
        <v>80.005095438151102</v>
      </c>
      <c r="AM3010">
        <v>98.440271526945295</v>
      </c>
      <c r="AN3010">
        <v>1.0000000236959199</v>
      </c>
    </row>
    <row r="3011" spans="1:40" x14ac:dyDescent="0.25">
      <c r="A3011" t="str">
        <f>"20190304155114939"</f>
        <v>20190304155114939</v>
      </c>
      <c r="B3011" t="str">
        <f>"1551685874929377"</f>
        <v>1551685874929377</v>
      </c>
      <c r="C3011" t="s">
        <v>40</v>
      </c>
      <c r="D3011">
        <v>4.5703180000000003</v>
      </c>
      <c r="E3011">
        <v>0.49783579999999999</v>
      </c>
      <c r="F3011" t="s">
        <v>62</v>
      </c>
      <c r="G3011">
        <v>-493.94650000000001</v>
      </c>
      <c r="H3011" s="1">
        <v>4.00694E-6</v>
      </c>
      <c r="I3011">
        <v>223.74549999999999</v>
      </c>
      <c r="J3011">
        <v>-492.4803</v>
      </c>
      <c r="K3011">
        <v>1.110341</v>
      </c>
      <c r="L3011">
        <v>254.041</v>
      </c>
      <c r="M3011">
        <v>-8.0451410000000001E-2</v>
      </c>
      <c r="N3011">
        <v>-1.034669E-2</v>
      </c>
      <c r="O3011">
        <v>-0.9967049</v>
      </c>
      <c r="P3011">
        <v>6.6017820000000005E-2</v>
      </c>
      <c r="Q3011">
        <v>0.16352059999999999</v>
      </c>
      <c r="R3011">
        <v>-0.98432839999999999</v>
      </c>
      <c r="S3011">
        <v>-0.14929200000000001</v>
      </c>
      <c r="T3011">
        <v>-0.1122686</v>
      </c>
      <c r="U3011">
        <v>-3.0762019999999999</v>
      </c>
      <c r="V3011">
        <v>-0.14503759999999999</v>
      </c>
      <c r="W3011">
        <v>0.1735756</v>
      </c>
      <c r="X3011">
        <v>0.97408189999999995</v>
      </c>
      <c r="Y3011">
        <v>-3.2052659999999997E-2</v>
      </c>
      <c r="Z3011">
        <v>2.5942110000000001E-2</v>
      </c>
      <c r="AA3011">
        <v>0.99914939999999997</v>
      </c>
      <c r="AB3011">
        <v>22</v>
      </c>
      <c r="AC3011">
        <v>-1.4662000000000099</v>
      </c>
      <c r="AD3011">
        <v>-1.11033699306</v>
      </c>
      <c r="AE3011">
        <v>-30.295500000000001</v>
      </c>
      <c r="AF3011">
        <v>-0.97469295571101899</v>
      </c>
      <c r="AG3011">
        <v>-1.11033699306</v>
      </c>
      <c r="AH3011">
        <v>30.274680633092299</v>
      </c>
      <c r="AI3011">
        <v>92.0993193293872</v>
      </c>
      <c r="AJ3011">
        <v>91.843999951949201</v>
      </c>
      <c r="AK3011">
        <v>30.310710351817999</v>
      </c>
      <c r="AL3011">
        <v>80.004222224841499</v>
      </c>
      <c r="AM3011">
        <v>98.468933344715197</v>
      </c>
      <c r="AN3011">
        <v>0.99999997111836403</v>
      </c>
    </row>
    <row r="3012" spans="1:40" x14ac:dyDescent="0.25">
      <c r="A3012" t="str">
        <f>"20190304155114951"</f>
        <v>20190304155114951</v>
      </c>
      <c r="B3012" t="str">
        <f>"1551685874949872"</f>
        <v>1551685874949872</v>
      </c>
      <c r="C3012" t="s">
        <v>40</v>
      </c>
      <c r="D3012">
        <v>4.873183</v>
      </c>
      <c r="E3012">
        <v>0.49436590000000002</v>
      </c>
      <c r="F3012" t="s">
        <v>42</v>
      </c>
      <c r="G3012">
        <v>-482.49489999999997</v>
      </c>
      <c r="H3012">
        <v>-0.05</v>
      </c>
      <c r="I3012">
        <v>103.6035</v>
      </c>
      <c r="J3012">
        <v>-492.48989999999998</v>
      </c>
      <c r="K3012">
        <v>1.1103769999999999</v>
      </c>
      <c r="L3012">
        <v>253.92089999999999</v>
      </c>
      <c r="M3012">
        <v>-8.035043E-2</v>
      </c>
      <c r="N3012">
        <v>-1.0343430000000001E-2</v>
      </c>
      <c r="O3012">
        <v>-0.99671299999999996</v>
      </c>
      <c r="P3012">
        <v>6.6699800000000004E-2</v>
      </c>
      <c r="Q3012">
        <v>0.1636251</v>
      </c>
      <c r="R3012">
        <v>-0.9842651</v>
      </c>
      <c r="S3012">
        <v>0.20166020000000001</v>
      </c>
      <c r="T3012">
        <v>-2.343369E-2</v>
      </c>
      <c r="U3012">
        <v>-3.0381619999999998</v>
      </c>
      <c r="V3012">
        <v>-0.14562890000000001</v>
      </c>
      <c r="W3012">
        <v>0.17366300000000001</v>
      </c>
      <c r="X3012">
        <v>0.97397809999999996</v>
      </c>
      <c r="Y3012">
        <v>-0.14618020000000001</v>
      </c>
      <c r="Z3012">
        <v>-2.745543E-3</v>
      </c>
      <c r="AA3012">
        <v>0.98925419999999997</v>
      </c>
      <c r="AB3012">
        <v>22</v>
      </c>
      <c r="AC3012">
        <v>9.9949999999999992</v>
      </c>
      <c r="AD3012">
        <v>-1.160377</v>
      </c>
      <c r="AE3012">
        <v>-150.31739999999999</v>
      </c>
      <c r="AF3012">
        <v>-22.040085845420901</v>
      </c>
      <c r="AG3012">
        <v>-1.160377</v>
      </c>
      <c r="AH3012">
        <v>149.019336576688</v>
      </c>
      <c r="AI3012">
        <v>90.441338398133794</v>
      </c>
      <c r="AJ3012">
        <v>98.413103424546506</v>
      </c>
      <c r="AK3012">
        <v>150.64486228415501</v>
      </c>
      <c r="AL3012">
        <v>79.999137404969503</v>
      </c>
      <c r="AM3012">
        <v>98.503849342369605</v>
      </c>
      <c r="AN3012">
        <v>0.99999997668190899</v>
      </c>
    </row>
    <row r="3013" spans="1:40" x14ac:dyDescent="0.25">
      <c r="A3013" t="str">
        <f>"20190304155114965"</f>
        <v>20190304155114965</v>
      </c>
      <c r="B3013" t="str">
        <f>"1551685874959633"</f>
        <v>1551685874959633</v>
      </c>
      <c r="C3013" t="s">
        <v>40</v>
      </c>
      <c r="D3013">
        <v>4.8480530000000002</v>
      </c>
      <c r="E3013">
        <v>0.4924984</v>
      </c>
      <c r="F3013" t="s">
        <v>77</v>
      </c>
      <c r="G3013">
        <v>-484.69229999999999</v>
      </c>
      <c r="H3013" s="1">
        <v>-5.8922409999999997E-6</v>
      </c>
      <c r="I3013">
        <v>151.34549999999999</v>
      </c>
      <c r="J3013">
        <v>-492.50069999999999</v>
      </c>
      <c r="K3013">
        <v>1.110419</v>
      </c>
      <c r="L3013">
        <v>253.78559999999999</v>
      </c>
      <c r="M3013">
        <v>-8.0190319999999995E-2</v>
      </c>
      <c r="N3013">
        <v>-1.0340220000000001E-2</v>
      </c>
      <c r="O3013">
        <v>-0.996726</v>
      </c>
      <c r="P3013">
        <v>6.7393430000000004E-2</v>
      </c>
      <c r="Q3013">
        <v>0.16387979999999899</v>
      </c>
      <c r="R3013">
        <v>-0.98417540000000003</v>
      </c>
      <c r="S3013">
        <v>0.23092650000000001</v>
      </c>
      <c r="T3013">
        <v>-3.2883759999999998E-2</v>
      </c>
      <c r="U3013">
        <v>-3.03775</v>
      </c>
      <c r="V3013">
        <v>-0.14617539999999901</v>
      </c>
      <c r="W3013">
        <v>0.1738973</v>
      </c>
      <c r="X3013">
        <v>0.97385440000000001</v>
      </c>
      <c r="Y3013">
        <v>-0.1555029</v>
      </c>
      <c r="Z3013">
        <v>3.190442E-4</v>
      </c>
      <c r="AA3013">
        <v>0.98783529999999997</v>
      </c>
      <c r="AB3013">
        <v>22</v>
      </c>
      <c r="AC3013">
        <v>7.8083999999999998</v>
      </c>
      <c r="AD3013">
        <v>-1.1104248922409901</v>
      </c>
      <c r="AE3013">
        <v>-102.4401</v>
      </c>
      <c r="AF3013">
        <v>-15.9965252468795</v>
      </c>
      <c r="AG3013">
        <v>-1.1104248922409901</v>
      </c>
      <c r="AH3013">
        <v>101.472117962441</v>
      </c>
      <c r="AI3013">
        <v>90.619323624765599</v>
      </c>
      <c r="AJ3013">
        <v>98.958639485793498</v>
      </c>
      <c r="AK3013">
        <v>102.731263922911</v>
      </c>
      <c r="AL3013">
        <v>79.985505373445406</v>
      </c>
      <c r="AM3013">
        <v>98.536360658663298</v>
      </c>
      <c r="AN3013">
        <v>0.99999995545590403</v>
      </c>
    </row>
    <row r="3014" spans="1:40" x14ac:dyDescent="0.25">
      <c r="A3014" t="str">
        <f>"20190304155114983"</f>
        <v>20190304155114983</v>
      </c>
      <c r="B3014" t="str">
        <f>"1551685874979152"</f>
        <v>1551685874979152</v>
      </c>
      <c r="C3014" t="s">
        <v>40</v>
      </c>
      <c r="D3014">
        <v>4.8277890000000001</v>
      </c>
      <c r="E3014">
        <v>0.4903419</v>
      </c>
      <c r="F3014" t="s">
        <v>41</v>
      </c>
      <c r="G3014">
        <v>-487.16649999999998</v>
      </c>
      <c r="H3014" s="1">
        <v>-4.1588069999999999E-6</v>
      </c>
      <c r="I3014">
        <v>188.15549999999999</v>
      </c>
      <c r="J3014">
        <v>-492.51400000000001</v>
      </c>
      <c r="K3014">
        <v>1.1104780000000001</v>
      </c>
      <c r="L3014">
        <v>253.6182</v>
      </c>
      <c r="M3014">
        <v>-7.992465E-2</v>
      </c>
      <c r="N3014">
        <v>-1.033689E-2</v>
      </c>
      <c r="O3014">
        <v>-0.99674739999999995</v>
      </c>
      <c r="P3014">
        <v>6.8683510000000003E-2</v>
      </c>
      <c r="Q3014">
        <v>0.16398180000000001</v>
      </c>
      <c r="R3014">
        <v>-0.98406950000000004</v>
      </c>
      <c r="S3014">
        <v>0.24707029999999999</v>
      </c>
      <c r="T3014">
        <v>-5.1433090000000001E-2</v>
      </c>
      <c r="U3014">
        <v>-3.0398860000000001</v>
      </c>
      <c r="V3014">
        <v>-0.147216299999999</v>
      </c>
      <c r="W3014">
        <v>0.17397389999999999</v>
      </c>
      <c r="X3014">
        <v>0.97368399999999999</v>
      </c>
      <c r="Y3014">
        <v>-0.160391899999999</v>
      </c>
      <c r="Z3014">
        <v>6.3287559999999996E-3</v>
      </c>
      <c r="AA3014">
        <v>0.9870331</v>
      </c>
      <c r="AB3014">
        <v>22</v>
      </c>
      <c r="AC3014">
        <v>5.3475000000000197</v>
      </c>
      <c r="AD3014">
        <v>-1.110482158807</v>
      </c>
      <c r="AE3014">
        <v>-65.462699999999998</v>
      </c>
      <c r="AF3014">
        <v>-10.559734930151601</v>
      </c>
      <c r="AG3014">
        <v>-1.110482158807</v>
      </c>
      <c r="AH3014">
        <v>64.807311019813099</v>
      </c>
      <c r="AI3014">
        <v>90.968899754217105</v>
      </c>
      <c r="AJ3014">
        <v>99.254473372904997</v>
      </c>
      <c r="AK3014">
        <v>65.6713692109346</v>
      </c>
      <c r="AL3014">
        <v>79.981049481719396</v>
      </c>
      <c r="AM3014">
        <v>98.597724150879699</v>
      </c>
      <c r="AN3014">
        <v>1.0000000443614401</v>
      </c>
    </row>
    <row r="3015" spans="1:40" x14ac:dyDescent="0.25">
      <c r="A3015" t="str">
        <f>"20190304155114994"</f>
        <v>20190304155114994</v>
      </c>
      <c r="B3015" t="str">
        <f>"1551685874989888"</f>
        <v>1551685874989888</v>
      </c>
      <c r="C3015" t="s">
        <v>40</v>
      </c>
      <c r="D3015">
        <v>4.8122449999999999</v>
      </c>
      <c r="E3015">
        <v>0.48930200000000001</v>
      </c>
      <c r="F3015" t="s">
        <v>62</v>
      </c>
      <c r="G3015">
        <v>-488.95100000000002</v>
      </c>
      <c r="H3015" s="1">
        <v>3.0659900000000001E-6</v>
      </c>
      <c r="I3015">
        <v>212.9725</v>
      </c>
      <c r="J3015">
        <v>-492.52370000000002</v>
      </c>
      <c r="K3015">
        <v>1.110522</v>
      </c>
      <c r="L3015">
        <v>253.49449999999999</v>
      </c>
      <c r="M3015">
        <v>-7.9686149999999997E-2</v>
      </c>
      <c r="N3015">
        <v>-1.0334879999999999E-2</v>
      </c>
      <c r="O3015">
        <v>-0.99676659999999995</v>
      </c>
      <c r="P3015">
        <v>6.9398379999999996E-2</v>
      </c>
      <c r="Q3015">
        <v>0.1640944</v>
      </c>
      <c r="R3015">
        <v>-0.98400069999999995</v>
      </c>
      <c r="S3015">
        <v>0.26681519999999997</v>
      </c>
      <c r="T3015">
        <v>-8.3159090000000005E-2</v>
      </c>
      <c r="U3015">
        <v>-3.043793</v>
      </c>
      <c r="V3015">
        <v>-0.14770920000000001</v>
      </c>
      <c r="W3015">
        <v>0.17406779999999999</v>
      </c>
      <c r="X3015">
        <v>0.97359249999999997</v>
      </c>
      <c r="Y3015">
        <v>-0.1663877</v>
      </c>
      <c r="Z3015">
        <v>1.6569690000000002E-2</v>
      </c>
      <c r="AA3015">
        <v>0.98592120000000005</v>
      </c>
      <c r="AB3015">
        <v>22</v>
      </c>
      <c r="AC3015">
        <v>3.5727000000000499</v>
      </c>
      <c r="AD3015">
        <v>-1.1105189340099999</v>
      </c>
      <c r="AE3015">
        <v>-40.521999999999899</v>
      </c>
      <c r="AF3015">
        <v>-6.7854947299083097</v>
      </c>
      <c r="AG3015">
        <v>-1.1105189340099999</v>
      </c>
      <c r="AH3015">
        <v>40.078547634552002</v>
      </c>
      <c r="AI3015">
        <v>91.564918803939804</v>
      </c>
      <c r="AJ3015">
        <v>99.609333550929904</v>
      </c>
      <c r="AK3015">
        <v>40.664064867244498</v>
      </c>
      <c r="AL3015">
        <v>79.975585409424298</v>
      </c>
      <c r="AM3015">
        <v>98.626876672760304</v>
      </c>
      <c r="AN3015">
        <v>0.99999998140886404</v>
      </c>
    </row>
    <row r="3016" spans="1:40" x14ac:dyDescent="0.25">
      <c r="A3016" t="str">
        <f>"20190304155115008"</f>
        <v>20190304155115008</v>
      </c>
      <c r="B3016" t="str">
        <f>"1551685874999648"</f>
        <v>1551685874999648</v>
      </c>
      <c r="C3016" t="s">
        <v>40</v>
      </c>
      <c r="D3016">
        <v>4.8054430000000004</v>
      </c>
      <c r="E3016">
        <v>0.48857970000000001</v>
      </c>
      <c r="F3016" t="s">
        <v>62</v>
      </c>
      <c r="G3016">
        <v>-489.16230000000002</v>
      </c>
      <c r="H3016" s="1">
        <v>3.261086E-6</v>
      </c>
      <c r="I3016">
        <v>216.57859999999999</v>
      </c>
      <c r="J3016">
        <v>-492.53399999999999</v>
      </c>
      <c r="K3016">
        <v>1.1105719999999999</v>
      </c>
      <c r="L3016">
        <v>253.36199999999999</v>
      </c>
      <c r="M3016">
        <v>-7.9400970000000001E-2</v>
      </c>
      <c r="N3016">
        <v>-1.033301E-2</v>
      </c>
      <c r="O3016">
        <v>-0.99678960000000005</v>
      </c>
      <c r="P3016">
        <v>7.0128629999999997E-2</v>
      </c>
      <c r="Q3016">
        <v>0.1641349</v>
      </c>
      <c r="R3016">
        <v>-0.98394239999999999</v>
      </c>
      <c r="S3016">
        <v>0.27722170000000002</v>
      </c>
      <c r="T3016">
        <v>-9.158587E-2</v>
      </c>
      <c r="U3016">
        <v>-3.044495</v>
      </c>
      <c r="V3016">
        <v>-0.14817379999999999</v>
      </c>
      <c r="W3016">
        <v>0.17408799999999999</v>
      </c>
      <c r="X3016">
        <v>0.97351829999999995</v>
      </c>
      <c r="Y3016">
        <v>-0.16942090000000001</v>
      </c>
      <c r="Z3016">
        <v>1.9280350000000002E-2</v>
      </c>
      <c r="AA3016">
        <v>0.98535519999999999</v>
      </c>
      <c r="AB3016">
        <v>22</v>
      </c>
      <c r="AC3016">
        <v>3.3716999999999699</v>
      </c>
      <c r="AD3016">
        <v>-1.110568738914</v>
      </c>
      <c r="AE3016">
        <v>-36.7834</v>
      </c>
      <c r="AF3016">
        <v>-6.2761725527929197</v>
      </c>
      <c r="AG3016">
        <v>-1.110568738914</v>
      </c>
      <c r="AH3016">
        <v>36.366648861658099</v>
      </c>
      <c r="AI3016">
        <v>91.723695997888896</v>
      </c>
      <c r="AJ3016">
        <v>99.791679742104705</v>
      </c>
      <c r="AK3016">
        <v>36.920954135333801</v>
      </c>
      <c r="AL3016">
        <v>79.974410213151302</v>
      </c>
      <c r="AM3016">
        <v>98.654250821037394</v>
      </c>
      <c r="AN3016">
        <v>0.999999993592665</v>
      </c>
    </row>
    <row r="3017" spans="1:40" x14ac:dyDescent="0.25">
      <c r="A3017" t="str">
        <f>"20190304155115023"</f>
        <v>20190304155115023</v>
      </c>
      <c r="B3017" t="str">
        <f>"1551685875019169"</f>
        <v>1551685875019169</v>
      </c>
      <c r="C3017" t="s">
        <v>40</v>
      </c>
      <c r="D3017">
        <v>4.8071219999999997</v>
      </c>
      <c r="E3017">
        <v>0.48824070000000003</v>
      </c>
      <c r="F3017" t="s">
        <v>62</v>
      </c>
      <c r="G3017">
        <v>-489.31490000000002</v>
      </c>
      <c r="H3017" s="1">
        <v>3.3942559999999999E-6</v>
      </c>
      <c r="I3017">
        <v>219.00559999999999</v>
      </c>
      <c r="J3017">
        <v>-492.54500000000002</v>
      </c>
      <c r="K3017">
        <v>1.110625</v>
      </c>
      <c r="L3017">
        <v>253.21879999999999</v>
      </c>
      <c r="M3017">
        <v>-7.9027929999999996E-2</v>
      </c>
      <c r="N3017">
        <v>-1.0331419999999999E-2</v>
      </c>
      <c r="O3017">
        <v>-0.9968188</v>
      </c>
      <c r="P3017">
        <v>7.0739129999999997E-2</v>
      </c>
      <c r="Q3017">
        <v>0.1643046</v>
      </c>
      <c r="R3017">
        <v>-0.98386969999999996</v>
      </c>
      <c r="S3017">
        <v>0.28530879999999997</v>
      </c>
      <c r="T3017">
        <v>-9.8430870000000004E-2</v>
      </c>
      <c r="U3017">
        <v>-3.0450439999999999</v>
      </c>
      <c r="V3017">
        <v>-0.14843399999999901</v>
      </c>
      <c r="W3017">
        <v>0.1742359</v>
      </c>
      <c r="X3017">
        <v>0.97345219999999999</v>
      </c>
      <c r="Y3017">
        <v>-0.17162379999999999</v>
      </c>
      <c r="Z3017">
        <v>2.1480929999999999E-2</v>
      </c>
      <c r="AA3017">
        <v>0.98492840000000004</v>
      </c>
      <c r="AB3017">
        <v>22</v>
      </c>
      <c r="AC3017">
        <v>3.23009999999999</v>
      </c>
      <c r="AD3017">
        <v>-1.1106216057439999</v>
      </c>
      <c r="AE3017">
        <v>-34.213200000000001</v>
      </c>
      <c r="AF3017">
        <v>-5.9177584739480604</v>
      </c>
      <c r="AG3017">
        <v>-1.1106216057439999</v>
      </c>
      <c r="AH3017">
        <v>33.815582706369099</v>
      </c>
      <c r="AI3017">
        <v>91.852976969096204</v>
      </c>
      <c r="AJ3017">
        <v>99.926297293581698</v>
      </c>
      <c r="AK3017">
        <v>34.3474450211136</v>
      </c>
      <c r="AL3017">
        <v>79.965804647152595</v>
      </c>
      <c r="AM3017">
        <v>98.669797112035297</v>
      </c>
      <c r="AN3017">
        <v>0.99999999344482404</v>
      </c>
    </row>
    <row r="3018" spans="1:40" x14ac:dyDescent="0.25">
      <c r="A3018" t="str">
        <f>"20190304155115039"</f>
        <v>20190304155115039</v>
      </c>
      <c r="B3018" t="str">
        <f>"1551685875029904"</f>
        <v>1551685875029904</v>
      </c>
      <c r="C3018" t="s">
        <v>40</v>
      </c>
      <c r="D3018">
        <v>4.7079009999999997</v>
      </c>
      <c r="E3018">
        <v>0.4879655</v>
      </c>
      <c r="F3018" t="s">
        <v>62</v>
      </c>
      <c r="G3018">
        <v>-489.42849999999999</v>
      </c>
      <c r="H3018" s="1">
        <v>3.6807109999999999E-6</v>
      </c>
      <c r="I3018">
        <v>220.46559999999999</v>
      </c>
      <c r="J3018">
        <v>-492.55739999999997</v>
      </c>
      <c r="K3018">
        <v>1.1106849999999999</v>
      </c>
      <c r="L3018">
        <v>253.0574</v>
      </c>
      <c r="M3018">
        <v>-7.8554170000000006E-2</v>
      </c>
      <c r="N3018">
        <v>-1.0329980000000001E-2</v>
      </c>
      <c r="O3018">
        <v>-0.99685630000000003</v>
      </c>
      <c r="P3018">
        <v>7.2015280000000001E-2</v>
      </c>
      <c r="Q3018">
        <v>0.16452809999999901</v>
      </c>
      <c r="R3018">
        <v>-0.98373999999999995</v>
      </c>
      <c r="S3018">
        <v>0.28979490000000002</v>
      </c>
      <c r="T3018">
        <v>-0.10327219999999999</v>
      </c>
      <c r="U3018">
        <v>-3.0455930000000002</v>
      </c>
      <c r="V3018">
        <v>-0.14925720000000001</v>
      </c>
      <c r="W3018">
        <v>0.17443449999999999</v>
      </c>
      <c r="X3018">
        <v>0.97329069999999995</v>
      </c>
      <c r="Y3018">
        <v>-0.1725719</v>
      </c>
      <c r="Z3018">
        <v>2.303792E-2</v>
      </c>
      <c r="AA3018">
        <v>0.98472740000000003</v>
      </c>
      <c r="AB3018">
        <v>22</v>
      </c>
      <c r="AC3018">
        <v>3.1288999999999798</v>
      </c>
      <c r="AD3018">
        <v>-1.1106813192889999</v>
      </c>
      <c r="AE3018">
        <v>-32.591799999999999</v>
      </c>
      <c r="AF3018">
        <v>-5.6730604302238596</v>
      </c>
      <c r="AG3018">
        <v>-1.1106813192889999</v>
      </c>
      <c r="AH3018">
        <v>32.208210971804903</v>
      </c>
      <c r="AI3018">
        <v>91.945109994958102</v>
      </c>
      <c r="AJ3018">
        <v>99.989447576774296</v>
      </c>
      <c r="AK3018">
        <v>32.722867870073401</v>
      </c>
      <c r="AL3018">
        <v>79.954248267111296</v>
      </c>
      <c r="AM3018">
        <v>98.718566595310705</v>
      </c>
      <c r="AN3018">
        <v>0.99999994662428804</v>
      </c>
    </row>
    <row r="3019" spans="1:40" x14ac:dyDescent="0.25">
      <c r="A3019" t="str">
        <f>"20190304155115062"</f>
        <v>20190304155115062</v>
      </c>
      <c r="B3019" t="str">
        <f>"1551685875059184"</f>
        <v>1551685875059184</v>
      </c>
      <c r="C3019" t="s">
        <v>40</v>
      </c>
      <c r="D3019">
        <v>4.8064019999999896</v>
      </c>
      <c r="E3019">
        <v>0.48751440000000001</v>
      </c>
      <c r="F3019" t="s">
        <v>62</v>
      </c>
      <c r="G3019">
        <v>-489.5625</v>
      </c>
      <c r="H3019" s="1">
        <v>4.2197049999999999E-6</v>
      </c>
      <c r="I3019">
        <v>222.1096</v>
      </c>
      <c r="J3019">
        <v>-492.57389999999998</v>
      </c>
      <c r="K3019">
        <v>1.110762</v>
      </c>
      <c r="L3019">
        <v>252.83690000000001</v>
      </c>
      <c r="M3019">
        <v>-7.7810599999999994E-2</v>
      </c>
      <c r="N3019">
        <v>-1.032857E-2</v>
      </c>
      <c r="O3019">
        <v>-0.99691470000000004</v>
      </c>
      <c r="P3019">
        <v>7.3512179999999996E-2</v>
      </c>
      <c r="Q3019">
        <v>0.16453019999999999</v>
      </c>
      <c r="R3019">
        <v>-0.98362919999999998</v>
      </c>
      <c r="S3019">
        <v>0.2947998</v>
      </c>
      <c r="T3019">
        <v>-0.10932790000000001</v>
      </c>
      <c r="U3019">
        <v>-3.0462950000000002</v>
      </c>
      <c r="V3019">
        <v>-0.1500454</v>
      </c>
      <c r="W3019">
        <v>0.17440629999999999</v>
      </c>
      <c r="X3019">
        <v>0.9731746</v>
      </c>
      <c r="Y3019">
        <v>-0.17341239999999999</v>
      </c>
      <c r="Z3019">
        <v>2.4985520000000001E-2</v>
      </c>
      <c r="AA3019">
        <v>0.98453230000000003</v>
      </c>
      <c r="AB3019">
        <v>22</v>
      </c>
      <c r="AC3019">
        <v>3.0113999999999801</v>
      </c>
      <c r="AD3019">
        <v>-1.1107577802949999</v>
      </c>
      <c r="AE3019">
        <v>-30.7273</v>
      </c>
      <c r="AF3019">
        <v>-5.3863344347949598</v>
      </c>
      <c r="AG3019">
        <v>-1.1107577802949999</v>
      </c>
      <c r="AH3019">
        <v>30.360502521437301</v>
      </c>
      <c r="AI3019">
        <v>92.063079157588504</v>
      </c>
      <c r="AJ3019">
        <v>100.060312286102</v>
      </c>
      <c r="AK3019">
        <v>30.854602490457498</v>
      </c>
      <c r="AL3019">
        <v>79.955889609429505</v>
      </c>
      <c r="AM3019">
        <v>98.764924105402002</v>
      </c>
      <c r="AN3019">
        <v>0.99999999081300495</v>
      </c>
    </row>
    <row r="3020" spans="1:40" x14ac:dyDescent="0.25">
      <c r="A3020" t="str">
        <f>"20190304155115076"</f>
        <v>20190304155115076</v>
      </c>
      <c r="B3020" t="str">
        <f>"1551685875069920"</f>
        <v>1551685875069920</v>
      </c>
      <c r="C3020" t="s">
        <v>40</v>
      </c>
      <c r="D3020">
        <v>4.784027</v>
      </c>
      <c r="E3020">
        <v>0.4875118</v>
      </c>
      <c r="F3020" t="s">
        <v>62</v>
      </c>
      <c r="G3020">
        <v>-489.69479999999999</v>
      </c>
      <c r="H3020" s="1">
        <v>4.7796729999999996E-6</v>
      </c>
      <c r="I3020">
        <v>223.82239999999999</v>
      </c>
      <c r="J3020">
        <v>-492.58449999999999</v>
      </c>
      <c r="K3020">
        <v>1.1108020000000001</v>
      </c>
      <c r="L3020">
        <v>252.6943</v>
      </c>
      <c r="M3020">
        <v>-7.7264520000000003E-2</v>
      </c>
      <c r="N3020">
        <v>-1.032801E-2</v>
      </c>
      <c r="O3020">
        <v>-0.99695710000000004</v>
      </c>
      <c r="P3020">
        <v>7.4243829999999997E-2</v>
      </c>
      <c r="Q3020">
        <v>0.164241</v>
      </c>
      <c r="R3020">
        <v>-0.98362229999999995</v>
      </c>
      <c r="S3020">
        <v>0.30233759999999998</v>
      </c>
      <c r="T3020">
        <v>-0.11664040000000001</v>
      </c>
      <c r="U3020">
        <v>-3.046799</v>
      </c>
      <c r="V3020">
        <v>-0.15025929999999901</v>
      </c>
      <c r="W3020">
        <v>0.1740997</v>
      </c>
      <c r="X3020">
        <v>0.97319650000000002</v>
      </c>
      <c r="Y3020">
        <v>-0.1752609</v>
      </c>
      <c r="Z3020">
        <v>2.7332599999999999E-2</v>
      </c>
      <c r="AA3020">
        <v>0.98414250000000003</v>
      </c>
      <c r="AB3020">
        <v>22</v>
      </c>
      <c r="AC3020">
        <v>2.8896999999999999</v>
      </c>
      <c r="AD3020">
        <v>-1.110797220327</v>
      </c>
      <c r="AE3020">
        <v>-28.8719</v>
      </c>
      <c r="AF3020">
        <v>-5.1044725693049298</v>
      </c>
      <c r="AG3020">
        <v>-1.110797220327</v>
      </c>
      <c r="AH3020">
        <v>28.5205015513863</v>
      </c>
      <c r="AI3020">
        <v>92.195538121114893</v>
      </c>
      <c r="AJ3020">
        <v>100.147109239861</v>
      </c>
      <c r="AK3020">
        <v>28.994974037203399</v>
      </c>
      <c r="AL3020">
        <v>79.973729472965204</v>
      </c>
      <c r="AM3020">
        <v>98.777030230802197</v>
      </c>
      <c r="AN3020">
        <v>0.99999999519441496</v>
      </c>
    </row>
    <row r="3021" spans="1:40" x14ac:dyDescent="0.25">
      <c r="A3021" t="str">
        <f>"20190304155115094"</f>
        <v>20190304155115094</v>
      </c>
      <c r="B3021" t="str">
        <f>"1551685875089440"</f>
        <v>1551685875089440</v>
      </c>
      <c r="C3021" t="s">
        <v>40</v>
      </c>
      <c r="D3021">
        <v>4.7324419999999998</v>
      </c>
      <c r="E3021">
        <v>0.48736000000000002</v>
      </c>
      <c r="F3021" t="s">
        <v>62</v>
      </c>
      <c r="G3021">
        <v>-489.72430000000003</v>
      </c>
      <c r="H3021" s="1">
        <v>4.8611699999999997E-6</v>
      </c>
      <c r="I3021">
        <v>224.06440000000001</v>
      </c>
      <c r="J3021">
        <v>-492.59690000000001</v>
      </c>
      <c r="K3021">
        <v>1.110852</v>
      </c>
      <c r="L3021">
        <v>252.52529999999999</v>
      </c>
      <c r="M3021">
        <v>-7.6559829999999995E-2</v>
      </c>
      <c r="N3021">
        <v>-1.0327660000000001E-2</v>
      </c>
      <c r="O3021">
        <v>-0.9970116</v>
      </c>
      <c r="P3021">
        <v>7.5622099999999998E-2</v>
      </c>
      <c r="Q3021">
        <v>0.16403870000000001</v>
      </c>
      <c r="R3021">
        <v>-0.98355139999999996</v>
      </c>
      <c r="S3021">
        <v>0.30438229999999999</v>
      </c>
      <c r="T3021">
        <v>-0.1182078</v>
      </c>
      <c r="U3021">
        <v>-3.0467070000000001</v>
      </c>
      <c r="V3021">
        <v>-0.15095999999999901</v>
      </c>
      <c r="W3021">
        <v>0.17387620000000001</v>
      </c>
      <c r="X3021">
        <v>0.97312799999999999</v>
      </c>
      <c r="Y3021">
        <v>-0.17521999999999999</v>
      </c>
      <c r="Z3021">
        <v>2.7842169999999999E-2</v>
      </c>
      <c r="AA3021">
        <v>0.9841356</v>
      </c>
      <c r="AB3021">
        <v>22</v>
      </c>
      <c r="AC3021">
        <v>2.8725999999999701</v>
      </c>
      <c r="AD3021">
        <v>-1.1108471388300001</v>
      </c>
      <c r="AE3021">
        <v>-28.460899999999899</v>
      </c>
      <c r="AF3021">
        <v>-5.0356517462211201</v>
      </c>
      <c r="AG3021">
        <v>-1.1108471388300001</v>
      </c>
      <c r="AH3021">
        <v>28.115022314800601</v>
      </c>
      <c r="AI3021">
        <v>92.227219355627199</v>
      </c>
      <c r="AJ3021">
        <v>100.154514114441</v>
      </c>
      <c r="AK3021">
        <v>28.584020879449501</v>
      </c>
      <c r="AL3021">
        <v>79.986733259577505</v>
      </c>
      <c r="AM3021">
        <v>98.817929119321306</v>
      </c>
      <c r="AN3021">
        <v>0.99999997945521901</v>
      </c>
    </row>
    <row r="3022" spans="1:40" x14ac:dyDescent="0.25">
      <c r="A3022" t="str">
        <f>"20190304155115105"</f>
        <v>20190304155115105</v>
      </c>
      <c r="B3022" t="str">
        <f>"1551685875099200"</f>
        <v>1551685875099200</v>
      </c>
      <c r="C3022" t="s">
        <v>40</v>
      </c>
      <c r="D3022">
        <v>4.7806189999999997</v>
      </c>
      <c r="E3022">
        <v>0.48738140000000002</v>
      </c>
      <c r="F3022" t="s">
        <v>62</v>
      </c>
      <c r="G3022">
        <v>-489.8141</v>
      </c>
      <c r="H3022" s="1">
        <v>5.2048529999999997E-6</v>
      </c>
      <c r="I3022">
        <v>225.1301</v>
      </c>
      <c r="J3022">
        <v>-492.60579999999999</v>
      </c>
      <c r="K3022">
        <v>1.110887</v>
      </c>
      <c r="L3022">
        <v>252.4014</v>
      </c>
      <c r="M3022">
        <v>-7.6006820000000003E-2</v>
      </c>
      <c r="N3022">
        <v>-1.0327589999999999E-2</v>
      </c>
      <c r="O3022">
        <v>-0.99705370000000004</v>
      </c>
      <c r="P3022">
        <v>7.6361830000000006E-2</v>
      </c>
      <c r="Q3022">
        <v>0.16405239999999999</v>
      </c>
      <c r="R3022">
        <v>-0.98349160000000002</v>
      </c>
      <c r="S3022">
        <v>0.30950929999999999</v>
      </c>
      <c r="T3022">
        <v>-0.1235516</v>
      </c>
      <c r="U3022">
        <v>-3.046967</v>
      </c>
      <c r="V3022">
        <v>-0.15116789999999999</v>
      </c>
      <c r="W3022">
        <v>0.17387620000000001</v>
      </c>
      <c r="X3022">
        <v>0.97309579999999996</v>
      </c>
      <c r="Y3022">
        <v>-0.17629800000000001</v>
      </c>
      <c r="Z3022">
        <v>2.955874E-2</v>
      </c>
      <c r="AA3022">
        <v>0.98389289999999996</v>
      </c>
      <c r="AB3022">
        <v>22</v>
      </c>
      <c r="AC3022">
        <v>2.7916999999999899</v>
      </c>
      <c r="AD3022">
        <v>-1.110881795147</v>
      </c>
      <c r="AE3022">
        <v>-27.2713</v>
      </c>
      <c r="AF3022">
        <v>-4.8485773563088799</v>
      </c>
      <c r="AG3022">
        <v>-1.110881795147</v>
      </c>
      <c r="AH3022">
        <v>26.935972963526499</v>
      </c>
      <c r="AI3022">
        <v>92.324316158447502</v>
      </c>
      <c r="AJ3022">
        <v>100.20418433696</v>
      </c>
      <c r="AK3022">
        <v>27.391411066878799</v>
      </c>
      <c r="AL3022">
        <v>79.986733987882701</v>
      </c>
      <c r="AM3022">
        <v>98.830169386833305</v>
      </c>
      <c r="AN3022">
        <v>1.00000005144724</v>
      </c>
    </row>
    <row r="3023" spans="1:40" x14ac:dyDescent="0.25">
      <c r="A3023" t="str">
        <f>"20190304155115118"</f>
        <v>20190304155115118</v>
      </c>
      <c r="B3023" t="str">
        <f>"1551685875109936"</f>
        <v>1551685875109936</v>
      </c>
      <c r="C3023" t="s">
        <v>40</v>
      </c>
      <c r="D3023">
        <v>4.7556070000000004</v>
      </c>
      <c r="E3023">
        <v>0.48736590000000002</v>
      </c>
      <c r="F3023" t="s">
        <v>62</v>
      </c>
      <c r="G3023">
        <v>-489.80349999999999</v>
      </c>
      <c r="H3023" s="1">
        <v>5.1634130000000001E-6</v>
      </c>
      <c r="I3023">
        <v>225.00540000000001</v>
      </c>
      <c r="J3023">
        <v>-492.61500000000001</v>
      </c>
      <c r="K3023">
        <v>1.1109180000000001</v>
      </c>
      <c r="L3023">
        <v>252.2723</v>
      </c>
      <c r="M3023">
        <v>-7.5386750000000002E-2</v>
      </c>
      <c r="N3023">
        <v>-1.032773E-2</v>
      </c>
      <c r="O3023">
        <v>-0.99710109999999996</v>
      </c>
      <c r="P3023">
        <v>7.7214930000000001E-2</v>
      </c>
      <c r="Q3023">
        <v>0.163938</v>
      </c>
      <c r="R3023">
        <v>-0.98344430000000005</v>
      </c>
      <c r="S3023">
        <v>0.31164550000000002</v>
      </c>
      <c r="T3023">
        <v>-0.123542899999999</v>
      </c>
      <c r="U3023">
        <v>-3.0467529999999998</v>
      </c>
      <c r="V3023">
        <v>-0.1514228</v>
      </c>
      <c r="W3023">
        <v>0.17374899999999999</v>
      </c>
      <c r="X3023">
        <v>0.97307880000000002</v>
      </c>
      <c r="Y3023">
        <v>-0.17637549999999999</v>
      </c>
      <c r="Z3023">
        <v>2.9559800000000001E-2</v>
      </c>
      <c r="AA3023">
        <v>0.98387899999999995</v>
      </c>
      <c r="AB3023">
        <v>22</v>
      </c>
      <c r="AC3023">
        <v>2.8115000000000201</v>
      </c>
      <c r="AD3023">
        <v>-1.110912836587</v>
      </c>
      <c r="AE3023">
        <v>-27.2669</v>
      </c>
      <c r="AF3023">
        <v>-4.8512029088044901</v>
      </c>
      <c r="AG3023">
        <v>-1.110912836587</v>
      </c>
      <c r="AH3023">
        <v>26.9331025184791</v>
      </c>
      <c r="AI3023">
        <v>92.324581240355101</v>
      </c>
      <c r="AJ3023">
        <v>100.21065902245699</v>
      </c>
      <c r="AK3023">
        <v>27.389054533951899</v>
      </c>
      <c r="AL3023">
        <v>79.994133786121793</v>
      </c>
      <c r="AM3023">
        <v>98.844975706249599</v>
      </c>
      <c r="AN3023">
        <v>0.99999996518513901</v>
      </c>
    </row>
    <row r="3024" spans="1:40" x14ac:dyDescent="0.25">
      <c r="A3024" t="str">
        <f>"20190304155115131"</f>
        <v>20190304155115131</v>
      </c>
      <c r="B3024" t="str">
        <f>"1551685875129456"</f>
        <v>1551685875129456</v>
      </c>
      <c r="C3024" t="s">
        <v>40</v>
      </c>
      <c r="D3024">
        <v>4.703182</v>
      </c>
      <c r="E3024">
        <v>0.487348</v>
      </c>
      <c r="F3024" t="s">
        <v>62</v>
      </c>
      <c r="G3024">
        <v>-489.79480000000001</v>
      </c>
      <c r="H3024" s="1">
        <v>5.1521159999999998E-6</v>
      </c>
      <c r="I3024">
        <v>224.97640000000001</v>
      </c>
      <c r="J3024">
        <v>-492.62389999999999</v>
      </c>
      <c r="K3024">
        <v>1.110951</v>
      </c>
      <c r="L3024">
        <v>252.14519999999999</v>
      </c>
      <c r="M3024">
        <v>-7.4754639999999997E-2</v>
      </c>
      <c r="N3024">
        <v>-1.0327950000000001E-2</v>
      </c>
      <c r="O3024">
        <v>-0.99714849999999999</v>
      </c>
      <c r="P3024">
        <v>7.806022E-2</v>
      </c>
      <c r="Q3024">
        <v>0.16373750000000001</v>
      </c>
      <c r="R3024">
        <v>-0.98341069999999997</v>
      </c>
      <c r="S3024">
        <v>0.31475829999999999</v>
      </c>
      <c r="T3024">
        <v>-0.1239883</v>
      </c>
      <c r="U3024">
        <v>-3.046478</v>
      </c>
      <c r="V3024">
        <v>-0.15165870000000001</v>
      </c>
      <c r="W3024">
        <v>0.17353669999999999</v>
      </c>
      <c r="X3024">
        <v>0.97307999999999995</v>
      </c>
      <c r="Y3024">
        <v>-0.17675460000000001</v>
      </c>
      <c r="Z3024">
        <v>2.970627E-2</v>
      </c>
      <c r="AA3024">
        <v>0.98380659999999998</v>
      </c>
      <c r="AB3024">
        <v>22</v>
      </c>
      <c r="AC3024">
        <v>2.82909999999998</v>
      </c>
      <c r="AD3024">
        <v>-1.110945847884</v>
      </c>
      <c r="AE3024">
        <v>-27.168799999999901</v>
      </c>
      <c r="AF3024">
        <v>-4.8442724505057804</v>
      </c>
      <c r="AG3024">
        <v>-1.110945847884</v>
      </c>
      <c r="AH3024">
        <v>26.8368819781019</v>
      </c>
      <c r="AI3024">
        <v>92.332818092850204</v>
      </c>
      <c r="AJ3024">
        <v>100.232165186164</v>
      </c>
      <c r="AK3024">
        <v>27.293211803637799</v>
      </c>
      <c r="AL3024">
        <v>80.006485839259497</v>
      </c>
      <c r="AM3024">
        <v>98.858526069533596</v>
      </c>
      <c r="AN3024">
        <v>1.0000000169662899</v>
      </c>
    </row>
    <row r="3025" spans="1:40" x14ac:dyDescent="0.25">
      <c r="A3025" t="str">
        <f>"20190304155115144"</f>
        <v>20190304155115144</v>
      </c>
      <c r="B3025" t="str">
        <f>"1551685875139216"</f>
        <v>1551685875139216</v>
      </c>
      <c r="C3025" t="s">
        <v>40</v>
      </c>
      <c r="D3025">
        <v>4.7933719999999997</v>
      </c>
      <c r="E3025">
        <v>0.48741469999999998</v>
      </c>
      <c r="F3025" t="s">
        <v>62</v>
      </c>
      <c r="G3025">
        <v>-489.88400000000001</v>
      </c>
      <c r="H3025" s="1">
        <v>5.4260389999999901E-6</v>
      </c>
      <c r="I3025">
        <v>225.7841</v>
      </c>
      <c r="J3025">
        <v>-492.63229999999999</v>
      </c>
      <c r="K3025">
        <v>1.1109789999999999</v>
      </c>
      <c r="L3025">
        <v>252.0247</v>
      </c>
      <c r="M3025">
        <v>-7.4126090000000006E-2</v>
      </c>
      <c r="N3025">
        <v>-1.032828E-2</v>
      </c>
      <c r="O3025">
        <v>-0.99719550000000001</v>
      </c>
      <c r="P3025">
        <v>7.8882339999999995E-2</v>
      </c>
      <c r="Q3025">
        <v>0.16353589999999901</v>
      </c>
      <c r="R3025">
        <v>-0.983379</v>
      </c>
      <c r="S3025">
        <v>0.31668089999999999</v>
      </c>
      <c r="T3025">
        <v>-0.12840289999999999</v>
      </c>
      <c r="U3025">
        <v>-3.0468139999999999</v>
      </c>
      <c r="V3025">
        <v>-0.15187329999999999</v>
      </c>
      <c r="W3025">
        <v>0.17332400000000001</v>
      </c>
      <c r="X3025">
        <v>0.97308439999999996</v>
      </c>
      <c r="Y3025">
        <v>-0.17673150000000001</v>
      </c>
      <c r="Z3025">
        <v>3.1127889999999998E-2</v>
      </c>
      <c r="AA3025">
        <v>0.98376669999999999</v>
      </c>
      <c r="AB3025">
        <v>22</v>
      </c>
      <c r="AC3025">
        <v>2.7482999999999702</v>
      </c>
      <c r="AD3025">
        <v>-1.110973573961</v>
      </c>
      <c r="AE3025">
        <v>-26.240600000000001</v>
      </c>
      <c r="AF3025">
        <v>-4.67766115866407</v>
      </c>
      <c r="AG3025">
        <v>-1.110973573961</v>
      </c>
      <c r="AH3025">
        <v>25.918714330095</v>
      </c>
      <c r="AI3025">
        <v>92.415436159783496</v>
      </c>
      <c r="AJ3025">
        <v>100.23029265344699</v>
      </c>
      <c r="AK3025">
        <v>26.360852200230301</v>
      </c>
      <c r="AL3025">
        <v>80.018859786214705</v>
      </c>
      <c r="AM3025">
        <v>98.870822360068502</v>
      </c>
      <c r="AN3025">
        <v>0.99999997887612402</v>
      </c>
    </row>
    <row r="3026" spans="1:40" x14ac:dyDescent="0.25">
      <c r="A3026" t="str">
        <f>"20190304155115161"</f>
        <v>20190304155115161</v>
      </c>
      <c r="B3026" t="str">
        <f>"1551685875149955"</f>
        <v>1551685875149955</v>
      </c>
      <c r="C3026" t="s">
        <v>40</v>
      </c>
      <c r="D3026">
        <v>4.7562119999999997</v>
      </c>
      <c r="E3026">
        <v>0.48720869999999999</v>
      </c>
      <c r="F3026" t="s">
        <v>62</v>
      </c>
      <c r="G3026">
        <v>-489.87599999999998</v>
      </c>
      <c r="H3026" s="1">
        <v>5.4052039999999996E-6</v>
      </c>
      <c r="I3026">
        <v>225.72370000000001</v>
      </c>
      <c r="J3026">
        <v>-492.64409999999998</v>
      </c>
      <c r="K3026">
        <v>1.1110139999999999</v>
      </c>
      <c r="L3026">
        <v>251.8518</v>
      </c>
      <c r="M3026">
        <v>-7.3183010000000007E-2</v>
      </c>
      <c r="N3026">
        <v>-1.032889E-2</v>
      </c>
      <c r="O3026">
        <v>-0.99726499999999996</v>
      </c>
      <c r="P3026">
        <v>8.0111269999999998E-2</v>
      </c>
      <c r="Q3026">
        <v>0.16327050000000001</v>
      </c>
      <c r="R3026">
        <v>-0.98332359999999996</v>
      </c>
      <c r="S3026">
        <v>0.31927489999999997</v>
      </c>
      <c r="T3026">
        <v>-0.12868830000000001</v>
      </c>
      <c r="U3026">
        <v>-3.0465390000000001</v>
      </c>
      <c r="V3026">
        <v>-0.15218799999999999</v>
      </c>
      <c r="W3026">
        <v>0.173045</v>
      </c>
      <c r="X3026">
        <v>0.97308490000000003</v>
      </c>
      <c r="Y3026">
        <v>-0.17663809999999999</v>
      </c>
      <c r="Z3026">
        <v>3.1226210000000001E-2</v>
      </c>
      <c r="AA3026">
        <v>0.9837804</v>
      </c>
      <c r="AB3026">
        <v>22</v>
      </c>
      <c r="AC3026">
        <v>2.7681</v>
      </c>
      <c r="AD3026">
        <v>-1.111008594796</v>
      </c>
      <c r="AE3026">
        <v>-26.1280999999999</v>
      </c>
      <c r="AF3026">
        <v>-4.6645713766474302</v>
      </c>
      <c r="AG3026">
        <v>-1.111008594796</v>
      </c>
      <c r="AH3026">
        <v>25.809294570229799</v>
      </c>
      <c r="AI3026">
        <v>92.425631378132394</v>
      </c>
      <c r="AJ3026">
        <v>100.244605606539</v>
      </c>
      <c r="AK3026">
        <v>26.250947648388699</v>
      </c>
      <c r="AL3026">
        <v>80.0350906878665</v>
      </c>
      <c r="AM3026">
        <v>98.888906059616005</v>
      </c>
      <c r="AN3026">
        <v>0.99999999098850501</v>
      </c>
    </row>
    <row r="3027" spans="1:40" x14ac:dyDescent="0.25">
      <c r="A3027" t="str">
        <f>"20190304155115184"</f>
        <v>20190304155115184</v>
      </c>
      <c r="B3027" t="str">
        <f>"1551685875179232"</f>
        <v>1551685875179232</v>
      </c>
      <c r="C3027" t="s">
        <v>40</v>
      </c>
      <c r="D3027">
        <v>4.7558769999999999</v>
      </c>
      <c r="E3027">
        <v>0.48740879999999998</v>
      </c>
      <c r="F3027" t="s">
        <v>62</v>
      </c>
      <c r="G3027">
        <v>-489.89010000000002</v>
      </c>
      <c r="H3027" s="1">
        <v>5.4834699999999997E-6</v>
      </c>
      <c r="I3027">
        <v>225.96420000000001</v>
      </c>
      <c r="J3027">
        <v>-492.65870000000001</v>
      </c>
      <c r="K3027">
        <v>1.111051</v>
      </c>
      <c r="L3027">
        <v>251.6336</v>
      </c>
      <c r="M3027">
        <v>-7.1938580000000002E-2</v>
      </c>
      <c r="N3027">
        <v>-1.032983E-2</v>
      </c>
      <c r="O3027">
        <v>-0.99735569999999896</v>
      </c>
      <c r="P3027">
        <v>8.2069500000000004E-2</v>
      </c>
      <c r="Q3027">
        <v>0.16309860000000001</v>
      </c>
      <c r="R3027">
        <v>-0.98319080000000003</v>
      </c>
      <c r="S3027">
        <v>0.32406620000000003</v>
      </c>
      <c r="T3027">
        <v>-0.1307316</v>
      </c>
      <c r="U3027">
        <v>-3.046173</v>
      </c>
      <c r="V3027">
        <v>-0.15293180000000001</v>
      </c>
      <c r="W3027">
        <v>0.1728567</v>
      </c>
      <c r="X3027">
        <v>0.97300180000000003</v>
      </c>
      <c r="Y3027">
        <v>-0.17694949999999901</v>
      </c>
      <c r="Z3027">
        <v>3.1890910000000001E-2</v>
      </c>
      <c r="AA3027">
        <v>0.98370310000000005</v>
      </c>
      <c r="AB3027">
        <v>22</v>
      </c>
      <c r="AC3027">
        <v>2.76859999999999</v>
      </c>
      <c r="AD3027">
        <v>-1.1110455165299999</v>
      </c>
      <c r="AE3027">
        <v>-25.6694</v>
      </c>
      <c r="AF3027">
        <v>-4.5996265605761604</v>
      </c>
      <c r="AG3027">
        <v>-1.1110455165299999</v>
      </c>
      <c r="AH3027">
        <v>25.3567481077264</v>
      </c>
      <c r="AI3027">
        <v>92.468663731113395</v>
      </c>
      <c r="AJ3027">
        <v>100.281459915057</v>
      </c>
      <c r="AK3027">
        <v>25.794488970228599</v>
      </c>
      <c r="AL3027">
        <v>80.046045030708001</v>
      </c>
      <c r="AM3027">
        <v>98.932401271729205</v>
      </c>
      <c r="AN3027">
        <v>1.0000000384946801</v>
      </c>
    </row>
    <row r="3028" spans="1:40" x14ac:dyDescent="0.25">
      <c r="A3028" t="str">
        <f>"20190304155115196"</f>
        <v>20190304155115196</v>
      </c>
      <c r="B3028" t="str">
        <f>"1551685875189968"</f>
        <v>1551685875189968</v>
      </c>
      <c r="C3028" t="s">
        <v>40</v>
      </c>
      <c r="D3028">
        <v>4.7755739999999998</v>
      </c>
      <c r="E3028">
        <v>0.48746640000000002</v>
      </c>
      <c r="F3028" t="s">
        <v>62</v>
      </c>
      <c r="G3028">
        <v>-489.86660000000001</v>
      </c>
      <c r="H3028" s="1">
        <v>5.419594E-6</v>
      </c>
      <c r="I3028">
        <v>225.7782</v>
      </c>
      <c r="J3028">
        <v>-492.66739999999999</v>
      </c>
      <c r="K3028">
        <v>1.1110660000000001</v>
      </c>
      <c r="L3028">
        <v>251.501</v>
      </c>
      <c r="M3028">
        <v>-7.1155019999999999E-2</v>
      </c>
      <c r="N3028">
        <v>-1.033047E-2</v>
      </c>
      <c r="O3028">
        <v>-0.99741179999999996</v>
      </c>
      <c r="P3028">
        <v>8.3200209999999997E-2</v>
      </c>
      <c r="Q3028">
        <v>0.16304939999999901</v>
      </c>
      <c r="R3028">
        <v>-0.98310370000000002</v>
      </c>
      <c r="S3028">
        <v>0.32888790000000001</v>
      </c>
      <c r="T3028">
        <v>-0.1308706</v>
      </c>
      <c r="U3028">
        <v>-3.0455169999999998</v>
      </c>
      <c r="V3028">
        <v>-0.15329570000000001</v>
      </c>
      <c r="W3028">
        <v>0.172799799999999</v>
      </c>
      <c r="X3028">
        <v>0.9729546</v>
      </c>
      <c r="Y3028">
        <v>-0.1777379</v>
      </c>
      <c r="Z3028">
        <v>3.1941039999999997E-2</v>
      </c>
      <c r="AA3028">
        <v>0.98355939999999997</v>
      </c>
      <c r="AB3028">
        <v>22</v>
      </c>
      <c r="AC3028">
        <v>2.8007999999999802</v>
      </c>
      <c r="AD3028">
        <v>-1.1110605804060001</v>
      </c>
      <c r="AE3028">
        <v>-25.7227999999999</v>
      </c>
      <c r="AF3028">
        <v>-4.6155935772682302</v>
      </c>
      <c r="AG3028">
        <v>-1.1110605804060001</v>
      </c>
      <c r="AH3028">
        <v>25.411436732420501</v>
      </c>
      <c r="AI3028">
        <v>92.463287888445706</v>
      </c>
      <c r="AJ3028">
        <v>100.294658659831</v>
      </c>
      <c r="AK3028">
        <v>25.851098167962999</v>
      </c>
      <c r="AL3028">
        <v>80.049354562308594</v>
      </c>
      <c r="AM3028">
        <v>98.953739234169703</v>
      </c>
      <c r="AN3028">
        <v>0.99999999808984497</v>
      </c>
    </row>
    <row r="3029" spans="1:40" x14ac:dyDescent="0.25">
      <c r="A3029" t="str">
        <f>"20190304155115209"</f>
        <v>20190304155115209</v>
      </c>
      <c r="B3029" t="str">
        <f>"1551685875199728"</f>
        <v>1551685875199728</v>
      </c>
      <c r="C3029" t="s">
        <v>40</v>
      </c>
      <c r="D3029">
        <v>4.7752949999999998</v>
      </c>
      <c r="E3029">
        <v>0.48731400000000002</v>
      </c>
      <c r="F3029" t="s">
        <v>62</v>
      </c>
      <c r="G3029">
        <v>-489.85759999999999</v>
      </c>
      <c r="H3029" s="1">
        <v>5.3796569999999901E-6</v>
      </c>
      <c r="I3029">
        <v>225.65700000000001</v>
      </c>
      <c r="J3029">
        <v>-492.67559999999997</v>
      </c>
      <c r="K3029">
        <v>1.1110819999999999</v>
      </c>
      <c r="L3029">
        <v>251.37569999999999</v>
      </c>
      <c r="M3029">
        <v>-7.0403579999999993E-2</v>
      </c>
      <c r="N3029">
        <v>-1.0331089999999999E-2</v>
      </c>
      <c r="O3029">
        <v>-0.9974653</v>
      </c>
      <c r="P3029">
        <v>8.4519670000000005E-2</v>
      </c>
      <c r="Q3029">
        <v>0.16281279999999901</v>
      </c>
      <c r="R3029">
        <v>-0.98303039999999997</v>
      </c>
      <c r="S3029">
        <v>0.33108520000000002</v>
      </c>
      <c r="T3029">
        <v>-0.1309187</v>
      </c>
      <c r="U3029">
        <v>-3.045258</v>
      </c>
      <c r="V3029">
        <v>-0.1538786</v>
      </c>
      <c r="W3029">
        <v>0.17255609999999999</v>
      </c>
      <c r="X3029">
        <v>0.97290589999999999</v>
      </c>
      <c r="Y3029">
        <v>-0.1777068</v>
      </c>
      <c r="Z3029">
        <v>3.1961620000000003E-2</v>
      </c>
      <c r="AA3029">
        <v>0.98356429999999995</v>
      </c>
      <c r="AB3029">
        <v>22</v>
      </c>
      <c r="AC3029">
        <v>2.8179999999999801</v>
      </c>
      <c r="AD3029">
        <v>-1.11107662034299</v>
      </c>
      <c r="AE3029">
        <v>-25.718699999999899</v>
      </c>
      <c r="AF3029">
        <v>-4.6132836497505902</v>
      </c>
      <c r="AG3029">
        <v>-1.11107662034299</v>
      </c>
      <c r="AH3029">
        <v>25.4096064180506</v>
      </c>
      <c r="AI3029">
        <v>92.463534289286699</v>
      </c>
      <c r="AJ3029">
        <v>100.29034201811901</v>
      </c>
      <c r="AK3029">
        <v>25.8488873185978</v>
      </c>
      <c r="AL3029">
        <v>80.063531118477002</v>
      </c>
      <c r="AM3029">
        <v>98.987673265667695</v>
      </c>
      <c r="AN3029">
        <v>1.0000000607199799</v>
      </c>
    </row>
    <row r="3030" spans="1:40" x14ac:dyDescent="0.25">
      <c r="A3030" t="str">
        <f>"20190304155115222"</f>
        <v>20190304155115222</v>
      </c>
      <c r="B3030" t="str">
        <f>"1551685875219249"</f>
        <v>1551685875219249</v>
      </c>
      <c r="C3030" t="s">
        <v>40</v>
      </c>
      <c r="D3030">
        <v>4.7834919999999999</v>
      </c>
      <c r="E3030">
        <v>0.48743239999999999</v>
      </c>
      <c r="F3030" t="s">
        <v>62</v>
      </c>
      <c r="G3030">
        <v>-489.85599999999999</v>
      </c>
      <c r="H3030" s="1">
        <v>5.4512100000000003E-6</v>
      </c>
      <c r="I3030">
        <v>225.88939999999999</v>
      </c>
      <c r="J3030">
        <v>-492.68389999999999</v>
      </c>
      <c r="K3030">
        <v>1.111089</v>
      </c>
      <c r="L3030">
        <v>251.24510000000001</v>
      </c>
      <c r="M3030">
        <v>-6.9602490000000003E-2</v>
      </c>
      <c r="N3030">
        <v>-1.033178E-2</v>
      </c>
      <c r="O3030">
        <v>-0.99752149999999995</v>
      </c>
      <c r="P3030">
        <v>8.5536360000000006E-2</v>
      </c>
      <c r="Q3030">
        <v>0.1630742</v>
      </c>
      <c r="R3030">
        <v>-0.98289910000000003</v>
      </c>
      <c r="S3030">
        <v>0.33685300000000001</v>
      </c>
      <c r="T3030">
        <v>-0.1327381</v>
      </c>
      <c r="U3030">
        <v>-3.0448</v>
      </c>
      <c r="V3030">
        <v>-0.15410670000000001</v>
      </c>
      <c r="W3030">
        <v>0.17281250000000001</v>
      </c>
      <c r="X3030">
        <v>0.97282420000000003</v>
      </c>
      <c r="Y3030">
        <v>-0.1787704</v>
      </c>
      <c r="Z3030">
        <v>3.2549479999999999E-2</v>
      </c>
      <c r="AA3030">
        <v>0.98335220000000001</v>
      </c>
      <c r="AB3030">
        <v>22</v>
      </c>
      <c r="AC3030">
        <v>2.8279000000000001</v>
      </c>
      <c r="AD3030">
        <v>-1.1110835487899999</v>
      </c>
      <c r="AE3030">
        <v>-25.355699999999999</v>
      </c>
      <c r="AF3030">
        <v>-4.5772735597221104</v>
      </c>
      <c r="AG3030">
        <v>-1.1110835487899999</v>
      </c>
      <c r="AH3030">
        <v>25.049852308814</v>
      </c>
      <c r="AI3030">
        <v>92.498370758743206</v>
      </c>
      <c r="AJ3030">
        <v>100.35521964327999</v>
      </c>
      <c r="AK3030">
        <v>25.4888414916473</v>
      </c>
      <c r="AL3030">
        <v>80.048615606097897</v>
      </c>
      <c r="AM3030">
        <v>99.001521606920605</v>
      </c>
      <c r="AN3030">
        <v>0.99999997962338905</v>
      </c>
    </row>
    <row r="3031" spans="1:40" x14ac:dyDescent="0.25">
      <c r="A3031" t="str">
        <f>"20190304155115240"</f>
        <v>20190304155115240</v>
      </c>
      <c r="B3031" t="str">
        <f>"1551685875229984"</f>
        <v>1551685875229984</v>
      </c>
      <c r="C3031" t="s">
        <v>40</v>
      </c>
      <c r="D3031">
        <v>4.9473289999999999</v>
      </c>
      <c r="E3031">
        <v>0.48766660000000001</v>
      </c>
      <c r="F3031" t="s">
        <v>62</v>
      </c>
      <c r="G3031">
        <v>-489.83280000000002</v>
      </c>
      <c r="H3031" s="1">
        <v>5.3491159999999998E-6</v>
      </c>
      <c r="I3031">
        <v>225.57980000000001</v>
      </c>
      <c r="J3031">
        <v>-492.69529999999997</v>
      </c>
      <c r="K3031">
        <v>1.1110990000000001</v>
      </c>
      <c r="L3031">
        <v>251.06309999999999</v>
      </c>
      <c r="M3031">
        <v>-6.8472110000000003E-2</v>
      </c>
      <c r="N3031">
        <v>-1.0332829999999999E-2</v>
      </c>
      <c r="O3031">
        <v>-0.99759949999999997</v>
      </c>
      <c r="P3031">
        <v>8.7207099999999996E-2</v>
      </c>
      <c r="Q3031">
        <v>0.1626937</v>
      </c>
      <c r="R3031">
        <v>-0.98281540000000001</v>
      </c>
      <c r="S3031">
        <v>0.33822629999999998</v>
      </c>
      <c r="T3031">
        <v>-0.1318057</v>
      </c>
      <c r="U3031">
        <v>-3.044632</v>
      </c>
      <c r="V3031">
        <v>-0.15466750000000001</v>
      </c>
      <c r="W3031">
        <v>0.17242689999999999</v>
      </c>
      <c r="X3031">
        <v>0.97280370000000005</v>
      </c>
      <c r="Y3031">
        <v>-0.17810109999999901</v>
      </c>
      <c r="Z3031">
        <v>3.2256859999999998E-2</v>
      </c>
      <c r="AA3031">
        <v>0.98348340000000001</v>
      </c>
      <c r="AB3031">
        <v>22</v>
      </c>
      <c r="AC3031">
        <v>2.8624999999999501</v>
      </c>
      <c r="AD3031">
        <v>-1.1110936508839999</v>
      </c>
      <c r="AE3031">
        <v>-25.4832999999999</v>
      </c>
      <c r="AF3031">
        <v>-4.5921485399617801</v>
      </c>
      <c r="AG3031">
        <v>-1.1110936508839999</v>
      </c>
      <c r="AH3031">
        <v>25.180201235873099</v>
      </c>
      <c r="AI3031">
        <v>92.485632174467597</v>
      </c>
      <c r="AJ3031">
        <v>100.33552621370001</v>
      </c>
      <c r="AK3031">
        <v>25.619619271042499</v>
      </c>
      <c r="AL3031">
        <v>80.071046322225399</v>
      </c>
      <c r="AM3031">
        <v>99.033926477621904</v>
      </c>
      <c r="AN3031">
        <v>1.00000005506677</v>
      </c>
    </row>
    <row r="3032" spans="1:40" x14ac:dyDescent="0.25">
      <c r="A3032" t="str">
        <f>"20190304155115261"</f>
        <v>20190304155115261</v>
      </c>
      <c r="B3032" t="str">
        <f>"1551685875249505"</f>
        <v>1551685875249505</v>
      </c>
      <c r="C3032" t="s">
        <v>40</v>
      </c>
      <c r="D3032">
        <v>4.7205659999999998</v>
      </c>
      <c r="E3032">
        <v>0.48787979999999997</v>
      </c>
      <c r="F3032" t="s">
        <v>62</v>
      </c>
      <c r="G3032">
        <v>-489.7955</v>
      </c>
      <c r="H3032" s="1">
        <v>5.2301379999999897E-6</v>
      </c>
      <c r="I3032">
        <v>225.2277</v>
      </c>
      <c r="J3032">
        <v>-492.70800000000003</v>
      </c>
      <c r="K3032">
        <v>1.1110990000000001</v>
      </c>
      <c r="L3032">
        <v>250.85730000000001</v>
      </c>
      <c r="M3032">
        <v>-6.7180199999999995E-2</v>
      </c>
      <c r="N3032">
        <v>-1.033396E-2</v>
      </c>
      <c r="O3032">
        <v>-0.99768730000000005</v>
      </c>
      <c r="P3032">
        <v>8.9064199999999996E-2</v>
      </c>
      <c r="Q3032">
        <v>0.1621494</v>
      </c>
      <c r="R3032">
        <v>-0.98273869999999997</v>
      </c>
      <c r="S3032">
        <v>0.34164430000000001</v>
      </c>
      <c r="T3032">
        <v>-0.1309041</v>
      </c>
      <c r="U3032">
        <v>-3.0438079999999998</v>
      </c>
      <c r="V3032">
        <v>-0.15525539999999999</v>
      </c>
      <c r="W3032">
        <v>0.1718797</v>
      </c>
      <c r="X3032">
        <v>0.97280679999999997</v>
      </c>
      <c r="Y3032">
        <v>-0.1779482</v>
      </c>
      <c r="Z3032">
        <v>3.1979939999999998E-2</v>
      </c>
      <c r="AA3032">
        <v>0.98352010000000001</v>
      </c>
      <c r="AB3032">
        <v>22</v>
      </c>
      <c r="AC3032">
        <v>2.9125000000000201</v>
      </c>
      <c r="AD3032">
        <v>-1.111093769862</v>
      </c>
      <c r="AE3032">
        <v>-25.6296</v>
      </c>
      <c r="AF3032">
        <v>-4.6192425173957004</v>
      </c>
      <c r="AG3032">
        <v>-1.111093769862</v>
      </c>
      <c r="AH3032">
        <v>25.329023807574099</v>
      </c>
      <c r="AI3032">
        <v>92.471046885945498</v>
      </c>
      <c r="AJ3032">
        <v>100.335423311924</v>
      </c>
      <c r="AK3032">
        <v>25.770746551945301</v>
      </c>
      <c r="AL3032">
        <v>80.102872902235205</v>
      </c>
      <c r="AM3032">
        <v>99.067667075194393</v>
      </c>
      <c r="AN3032">
        <v>0.99999997031374399</v>
      </c>
    </row>
    <row r="3033" spans="1:40" x14ac:dyDescent="0.25">
      <c r="A3033" t="str">
        <f>"20190304155115272"</f>
        <v>20190304155115272</v>
      </c>
      <c r="B3033" t="str">
        <f>"1551685875270000"</f>
        <v>1551685875270000</v>
      </c>
      <c r="C3033" t="s">
        <v>40</v>
      </c>
      <c r="D3033">
        <v>4.7819430000000001</v>
      </c>
      <c r="E3033">
        <v>0.48803279999999899</v>
      </c>
      <c r="F3033" t="s">
        <v>62</v>
      </c>
      <c r="G3033">
        <v>-489.83109999999999</v>
      </c>
      <c r="H3033" s="1">
        <v>5.3263829999999997E-6</v>
      </c>
      <c r="I3033">
        <v>225.5078</v>
      </c>
      <c r="J3033">
        <v>-492.71530000000001</v>
      </c>
      <c r="K3033">
        <v>1.1110990000000001</v>
      </c>
      <c r="L3033">
        <v>250.73660000000001</v>
      </c>
      <c r="M3033">
        <v>-6.6418900000000003E-2</v>
      </c>
      <c r="N3033">
        <v>-1.0334599999999999E-2</v>
      </c>
      <c r="O3033">
        <v>-0.99773849999999997</v>
      </c>
      <c r="P3033">
        <v>9.0178540000000001E-2</v>
      </c>
      <c r="Q3033">
        <v>0.16195580000000001</v>
      </c>
      <c r="R3033">
        <v>-0.98266909999999996</v>
      </c>
      <c r="S3033">
        <v>0.34539789999999998</v>
      </c>
      <c r="T3033">
        <v>-0.13339670000000001</v>
      </c>
      <c r="U3033">
        <v>-3.0434269999999999</v>
      </c>
      <c r="V3033">
        <v>-0.15561929999999999</v>
      </c>
      <c r="W3033">
        <v>0.17168520000000001</v>
      </c>
      <c r="X3033">
        <v>0.97278299999999995</v>
      </c>
      <c r="Y3033">
        <v>-0.17840490000000001</v>
      </c>
      <c r="Z3033">
        <v>3.2788400000000002E-2</v>
      </c>
      <c r="AA3033">
        <v>0.98341069999999997</v>
      </c>
      <c r="AB3033">
        <v>22</v>
      </c>
      <c r="AC3033">
        <v>2.8842000000000199</v>
      </c>
      <c r="AD3033">
        <v>-1.1110936736170001</v>
      </c>
      <c r="AE3033">
        <v>-25.2288</v>
      </c>
      <c r="AF3033">
        <v>-4.5448873596088397</v>
      </c>
      <c r="AG3033">
        <v>-1.1110936736170001</v>
      </c>
      <c r="AH3033">
        <v>24.933771723256001</v>
      </c>
      <c r="AI3033">
        <v>92.510208513777997</v>
      </c>
      <c r="AJ3033">
        <v>100.330367706231</v>
      </c>
      <c r="AK3033">
        <v>25.368947605498398</v>
      </c>
      <c r="AL3033">
        <v>80.114185082855599</v>
      </c>
      <c r="AM3033">
        <v>99.088784918139993</v>
      </c>
      <c r="AN3033">
        <v>0.99999996976026395</v>
      </c>
    </row>
    <row r="3034" spans="1:40" x14ac:dyDescent="0.25">
      <c r="A3034" t="str">
        <f>"20190304155115285"</f>
        <v>20190304155115285</v>
      </c>
      <c r="B3034" t="str">
        <f>"1551685875279760"</f>
        <v>1551685875279760</v>
      </c>
      <c r="C3034" t="s">
        <v>40</v>
      </c>
      <c r="D3034">
        <v>4.7302559999999998</v>
      </c>
      <c r="E3034">
        <v>0.48812319999999998</v>
      </c>
      <c r="F3034" t="s">
        <v>62</v>
      </c>
      <c r="G3034">
        <v>-489.81470000000002</v>
      </c>
      <c r="H3034" s="1">
        <v>5.2785929999999998E-6</v>
      </c>
      <c r="I3034">
        <v>225.36770000000001</v>
      </c>
      <c r="J3034">
        <v>-492.72309999999999</v>
      </c>
      <c r="K3034">
        <v>1.1111009999999999</v>
      </c>
      <c r="L3034">
        <v>250.6071</v>
      </c>
      <c r="M3034">
        <v>-6.560038E-2</v>
      </c>
      <c r="N3034">
        <v>-1.0335280000000001E-2</v>
      </c>
      <c r="O3034">
        <v>-0.99779280000000004</v>
      </c>
      <c r="P3034">
        <v>9.1172810000000007E-2</v>
      </c>
      <c r="Q3034">
        <v>0.16171160000000001</v>
      </c>
      <c r="R3034">
        <v>-0.98261790000000004</v>
      </c>
      <c r="S3034">
        <v>0.34793089999999999</v>
      </c>
      <c r="T3034">
        <v>-0.13327429999999901</v>
      </c>
      <c r="U3034">
        <v>-3.0429689999999998</v>
      </c>
      <c r="V3034">
        <v>-0.1558079</v>
      </c>
      <c r="W3034">
        <v>0.17144089999999901</v>
      </c>
      <c r="X3034">
        <v>0.97279590000000005</v>
      </c>
      <c r="Y3034">
        <v>-0.17842249999999901</v>
      </c>
      <c r="Z3034">
        <v>3.2756260000000002E-2</v>
      </c>
      <c r="AA3034">
        <v>0.98340859999999997</v>
      </c>
      <c r="AB3034">
        <v>22</v>
      </c>
      <c r="AC3034">
        <v>2.9083999999999701</v>
      </c>
      <c r="AD3034">
        <v>-1.1110957214070001</v>
      </c>
      <c r="AE3034">
        <v>-25.2393999999999</v>
      </c>
      <c r="AF3034">
        <v>-4.5492359509562501</v>
      </c>
      <c r="AG3034">
        <v>-1.1110957214070001</v>
      </c>
      <c r="AH3034">
        <v>24.946513847300199</v>
      </c>
      <c r="AI3034">
        <v>92.508896704517696</v>
      </c>
      <c r="AJ3034">
        <v>100.334871164367</v>
      </c>
      <c r="AK3034">
        <v>25.382250384336299</v>
      </c>
      <c r="AL3034">
        <v>80.128393139603105</v>
      </c>
      <c r="AM3034">
        <v>99.099497076259894</v>
      </c>
      <c r="AN3034">
        <v>0.99999997347601399</v>
      </c>
    </row>
    <row r="3035" spans="1:40" x14ac:dyDescent="0.25">
      <c r="A3035" t="str">
        <f>"20190304155115298"</f>
        <v>20190304155115298</v>
      </c>
      <c r="B3035" t="str">
        <f>"1551685875289520"</f>
        <v>1551685875289520</v>
      </c>
      <c r="C3035" t="s">
        <v>40</v>
      </c>
      <c r="D3035">
        <v>4.735862</v>
      </c>
      <c r="E3035">
        <v>0.48816349999999997</v>
      </c>
      <c r="F3035" t="s">
        <v>62</v>
      </c>
      <c r="G3035">
        <v>-489.83839999999998</v>
      </c>
      <c r="H3035" s="1">
        <v>5.3349590000000001E-6</v>
      </c>
      <c r="I3035">
        <v>225.5292</v>
      </c>
      <c r="J3035">
        <v>-492.73020000000002</v>
      </c>
      <c r="K3035">
        <v>1.1111009999999999</v>
      </c>
      <c r="L3035">
        <v>250.4853</v>
      </c>
      <c r="M3035">
        <v>-6.4831650000000005E-2</v>
      </c>
      <c r="N3035">
        <v>-1.033594E-2</v>
      </c>
      <c r="O3035">
        <v>-0.99784260000000002</v>
      </c>
      <c r="P3035">
        <v>9.2174779999999998E-2</v>
      </c>
      <c r="Q3035">
        <v>0.16169029999999901</v>
      </c>
      <c r="R3035">
        <v>-0.98252740000000005</v>
      </c>
      <c r="S3035">
        <v>0.35000609999999999</v>
      </c>
      <c r="T3035">
        <v>-0.13481389999999999</v>
      </c>
      <c r="U3035">
        <v>-3.0428009999999999</v>
      </c>
      <c r="V3035">
        <v>-0.1560501</v>
      </c>
      <c r="W3035">
        <v>0.17142070000000001</v>
      </c>
      <c r="X3035">
        <v>0.97276070000000003</v>
      </c>
      <c r="Y3035">
        <v>-0.1783303</v>
      </c>
      <c r="Z3035">
        <v>3.325761E-2</v>
      </c>
      <c r="AA3035">
        <v>0.98340850000000002</v>
      </c>
      <c r="AB3035">
        <v>22</v>
      </c>
      <c r="AC3035">
        <v>2.8918000000000399</v>
      </c>
      <c r="AD3035">
        <v>-1.111095665041</v>
      </c>
      <c r="AE3035">
        <v>-24.9560999999999</v>
      </c>
      <c r="AF3035">
        <v>-4.4949554425699798</v>
      </c>
      <c r="AG3035">
        <v>-1.111095665041</v>
      </c>
      <c r="AH3035">
        <v>24.667852927731101</v>
      </c>
      <c r="AI3035">
        <v>92.537264328012398</v>
      </c>
      <c r="AJ3035">
        <v>100.327084083261</v>
      </c>
      <c r="AK3035">
        <v>25.098647893297699</v>
      </c>
      <c r="AL3035">
        <v>80.129568516591405</v>
      </c>
      <c r="AM3035">
        <v>99.113729094866997</v>
      </c>
      <c r="AN3035">
        <v>1.0000000347814899</v>
      </c>
    </row>
    <row r="3036" spans="1:40" x14ac:dyDescent="0.25">
      <c r="A3036" t="str">
        <f>"20190304155115310"</f>
        <v>20190304155115310</v>
      </c>
      <c r="B3036" t="str">
        <f>"1551685875299281"</f>
        <v>1551685875299281</v>
      </c>
      <c r="C3036" t="s">
        <v>40</v>
      </c>
      <c r="D3036">
        <v>4.7745230000000003</v>
      </c>
      <c r="E3036">
        <v>0.48821829999999999</v>
      </c>
      <c r="F3036" t="s">
        <v>62</v>
      </c>
      <c r="G3036">
        <v>-489.8227</v>
      </c>
      <c r="H3036" s="1">
        <v>5.3026469999999899E-6</v>
      </c>
      <c r="I3036">
        <v>225.4384</v>
      </c>
      <c r="J3036">
        <v>-492.7373</v>
      </c>
      <c r="K3036">
        <v>1.1110990000000001</v>
      </c>
      <c r="L3036">
        <v>250.364</v>
      </c>
      <c r="M3036">
        <v>-6.4066659999999997E-2</v>
      </c>
      <c r="N3036">
        <v>-1.0336639999999999E-2</v>
      </c>
      <c r="O3036">
        <v>-0.99789220000000001</v>
      </c>
      <c r="P3036">
        <v>9.3144749999999998E-2</v>
      </c>
      <c r="Q3036">
        <v>0.16168740000000001</v>
      </c>
      <c r="R3036">
        <v>-0.98243650000000005</v>
      </c>
      <c r="S3036">
        <v>0.35317989999999999</v>
      </c>
      <c r="T3036">
        <v>-0.13496529999999901</v>
      </c>
      <c r="U3036">
        <v>-3.0424500000000001</v>
      </c>
      <c r="V3036">
        <v>-0.1562645</v>
      </c>
      <c r="W3036">
        <v>0.17141789999999901</v>
      </c>
      <c r="X3036">
        <v>0.9727268</v>
      </c>
      <c r="Y3036">
        <v>-0.178600799999999</v>
      </c>
      <c r="Z3036">
        <v>3.3310520000000003E-2</v>
      </c>
      <c r="AA3036">
        <v>0.98335760000000005</v>
      </c>
      <c r="AB3036">
        <v>22</v>
      </c>
      <c r="AC3036">
        <v>2.9146000000000001</v>
      </c>
      <c r="AD3036">
        <v>-1.1110936973529999</v>
      </c>
      <c r="AE3036">
        <v>-24.925599999999999</v>
      </c>
      <c r="AF3036">
        <v>-4.4967819150758599</v>
      </c>
      <c r="AG3036">
        <v>-1.1110936973529999</v>
      </c>
      <c r="AH3036">
        <v>24.6393499013457</v>
      </c>
      <c r="AI3036">
        <v>92.540063557193903</v>
      </c>
      <c r="AJ3036">
        <v>100.342883438618</v>
      </c>
      <c r="AK3036">
        <v>25.070962094761999</v>
      </c>
      <c r="AL3036">
        <v>80.129731595709899</v>
      </c>
      <c r="AM3036">
        <v>99.126352736152697</v>
      </c>
      <c r="AN3036">
        <v>1.00000005891944</v>
      </c>
    </row>
    <row r="3037" spans="1:40" x14ac:dyDescent="0.25">
      <c r="A3037" t="str">
        <f>"20190304155115330"</f>
        <v>20190304155115330</v>
      </c>
      <c r="B3037" t="str">
        <f>"1551685875319776"</f>
        <v>1551685875319776</v>
      </c>
      <c r="C3037" t="s">
        <v>40</v>
      </c>
      <c r="D3037">
        <v>4.9942510000000002</v>
      </c>
      <c r="E3037">
        <v>0.48854150000000002</v>
      </c>
      <c r="F3037" t="s">
        <v>62</v>
      </c>
      <c r="G3037">
        <v>-489.81270000000001</v>
      </c>
      <c r="H3037" s="1">
        <v>5.2630269999999999E-6</v>
      </c>
      <c r="I3037">
        <v>225.31909999999999</v>
      </c>
      <c r="J3037">
        <v>-492.74869999999999</v>
      </c>
      <c r="K3037">
        <v>1.1110949999999999</v>
      </c>
      <c r="L3037">
        <v>250.16489999999999</v>
      </c>
      <c r="M3037">
        <v>-6.2815609999999994E-2</v>
      </c>
      <c r="N3037">
        <v>-1.033794E-2</v>
      </c>
      <c r="O3037">
        <v>-0.99797190000000002</v>
      </c>
      <c r="P3037">
        <v>9.4765080000000002E-2</v>
      </c>
      <c r="Q3037">
        <v>0.16162109999999999</v>
      </c>
      <c r="R3037">
        <v>-0.98229299999999997</v>
      </c>
      <c r="S3037">
        <v>0.35525509999999999</v>
      </c>
      <c r="T3037">
        <v>-0.13496420000000001</v>
      </c>
      <c r="U3037">
        <v>-3.0421909999999999</v>
      </c>
      <c r="V3037">
        <v>-0.15664800000000001</v>
      </c>
      <c r="W3037">
        <v>0.17135400000000001</v>
      </c>
      <c r="X3037">
        <v>0.97267630000000005</v>
      </c>
      <c r="Y3037">
        <v>-0.1780389</v>
      </c>
      <c r="Z3037">
        <v>3.3318899999999999E-2</v>
      </c>
      <c r="AA3037">
        <v>0.98345919999999998</v>
      </c>
      <c r="AB3037">
        <v>23</v>
      </c>
      <c r="AC3037">
        <v>2.9359999999999702</v>
      </c>
      <c r="AD3037">
        <v>-1.111089736973</v>
      </c>
      <c r="AE3037">
        <v>-24.845800000000001</v>
      </c>
      <c r="AF3037">
        <v>-4.4821481755815897</v>
      </c>
      <c r="AG3037">
        <v>-1.111089736973</v>
      </c>
      <c r="AH3037">
        <v>24.563844688568899</v>
      </c>
      <c r="AI3037">
        <v>92.547867569639095</v>
      </c>
      <c r="AJ3037">
        <v>100.34095626952799</v>
      </c>
      <c r="AK3037">
        <v>24.994132082463</v>
      </c>
      <c r="AL3037">
        <v>80.133447062910804</v>
      </c>
      <c r="AM3037">
        <v>99.148839029593503</v>
      </c>
      <c r="AN3037">
        <v>0.99999998690084502</v>
      </c>
    </row>
    <row r="3038" spans="1:40" x14ac:dyDescent="0.25">
      <c r="A3038" t="str">
        <f>"20190304155115353"</f>
        <v>20190304155115353</v>
      </c>
      <c r="B3038" t="str">
        <f>"1551685875350032"</f>
        <v>1551685875350032</v>
      </c>
      <c r="C3038" t="s">
        <v>40</v>
      </c>
      <c r="D3038">
        <v>4.85921</v>
      </c>
      <c r="E3038">
        <v>0.4888496</v>
      </c>
      <c r="F3038" t="s">
        <v>62</v>
      </c>
      <c r="G3038">
        <v>-489.80329999999998</v>
      </c>
      <c r="H3038" s="1">
        <v>5.212137E-6</v>
      </c>
      <c r="I3038">
        <v>225.16290000000001</v>
      </c>
      <c r="J3038">
        <v>-492.76069999999999</v>
      </c>
      <c r="K3038">
        <v>1.1110850000000001</v>
      </c>
      <c r="L3038">
        <v>249.94759999999999</v>
      </c>
      <c r="M3038">
        <v>-6.1457129999999999E-2</v>
      </c>
      <c r="N3038">
        <v>-1.033944E-2</v>
      </c>
      <c r="O3038">
        <v>-0.99805619999999995</v>
      </c>
      <c r="P3038">
        <v>9.64058E-2</v>
      </c>
      <c r="Q3038">
        <v>0.16170199999999901</v>
      </c>
      <c r="R3038">
        <v>-0.98211939999999998</v>
      </c>
      <c r="S3038">
        <v>0.35833739999999997</v>
      </c>
      <c r="T3038">
        <v>-0.13517509999999999</v>
      </c>
      <c r="U3038">
        <v>-3.0417329999999998</v>
      </c>
      <c r="V3038">
        <v>-0.15694569999999999</v>
      </c>
      <c r="W3038">
        <v>0.17143810000000001</v>
      </c>
      <c r="X3038">
        <v>0.97261350000000002</v>
      </c>
      <c r="Y3038">
        <v>-0.1776993</v>
      </c>
      <c r="Z3038">
        <v>3.3396990000000001E-2</v>
      </c>
      <c r="AA3038">
        <v>0.98351789999999994</v>
      </c>
      <c r="AB3038">
        <v>23</v>
      </c>
      <c r="AC3038">
        <v>2.9573999999999998</v>
      </c>
      <c r="AD3038">
        <v>-1.1110797878630001</v>
      </c>
      <c r="AE3038">
        <v>-24.784699999999901</v>
      </c>
      <c r="AF3038">
        <v>-4.46623737928092</v>
      </c>
      <c r="AG3038">
        <v>-1.1110797878630001</v>
      </c>
      <c r="AH3038">
        <v>24.507521598161901</v>
      </c>
      <c r="AI3038">
        <v>92.553795954796001</v>
      </c>
      <c r="AJ3038">
        <v>100.328209520586</v>
      </c>
      <c r="AK3038">
        <v>24.935925679778901</v>
      </c>
      <c r="AL3038">
        <v>80.128556219513698</v>
      </c>
      <c r="AM3038">
        <v>99.166512765949903</v>
      </c>
      <c r="AN3038">
        <v>0.99999999763117497</v>
      </c>
    </row>
    <row r="3039" spans="1:40" x14ac:dyDescent="0.25">
      <c r="A3039" t="str">
        <f>"20190304155115367"</f>
        <v>20190304155115367</v>
      </c>
      <c r="B3039" t="str">
        <f>"1551685875359792"</f>
        <v>1551685875359792</v>
      </c>
      <c r="C3039" t="s">
        <v>40</v>
      </c>
      <c r="D3039">
        <v>4.8344889999999996</v>
      </c>
      <c r="E3039">
        <v>0.4889232</v>
      </c>
      <c r="F3039" t="s">
        <v>62</v>
      </c>
      <c r="G3039">
        <v>-489.79629999999997</v>
      </c>
      <c r="H3039" s="1">
        <v>5.1436710000000002E-6</v>
      </c>
      <c r="I3039">
        <v>224.94800000000001</v>
      </c>
      <c r="J3039">
        <v>-492.76949999999999</v>
      </c>
      <c r="K3039">
        <v>1.1110799999999901</v>
      </c>
      <c r="L3039">
        <v>249.78749999999999</v>
      </c>
      <c r="M3039">
        <v>-6.045971E-2</v>
      </c>
      <c r="N3039">
        <v>-1.0340429999999999E-2</v>
      </c>
      <c r="O3039">
        <v>-0.99811700000000003</v>
      </c>
      <c r="P3039">
        <v>9.7556970000000007E-2</v>
      </c>
      <c r="Q3039">
        <v>0.16158249999999999</v>
      </c>
      <c r="R3039">
        <v>-0.98202529999999999</v>
      </c>
      <c r="S3039">
        <v>0.3606567</v>
      </c>
      <c r="T3039">
        <v>-0.1351725</v>
      </c>
      <c r="U3039">
        <v>-3.0414279999999998</v>
      </c>
      <c r="V3039">
        <v>-0.15711269999999999</v>
      </c>
      <c r="W3039">
        <v>0.17132159999999999</v>
      </c>
      <c r="X3039">
        <v>0.97260709999999995</v>
      </c>
      <c r="Y3039">
        <v>-0.17746709999999999</v>
      </c>
      <c r="Z3039">
        <v>3.3402889999999998E-2</v>
      </c>
      <c r="AA3039">
        <v>0.98355970000000004</v>
      </c>
      <c r="AB3039">
        <v>23</v>
      </c>
      <c r="AC3039">
        <v>2.9732000000000198</v>
      </c>
      <c r="AD3039">
        <v>-1.1110748563289901</v>
      </c>
      <c r="AE3039">
        <v>-24.839500000000001</v>
      </c>
      <c r="AF3039">
        <v>-4.4608306296374201</v>
      </c>
      <c r="AG3039">
        <v>-1.1110748563289901</v>
      </c>
      <c r="AH3039">
        <v>24.5658295183039</v>
      </c>
      <c r="AI3039">
        <v>92.548023547487205</v>
      </c>
      <c r="AJ3039">
        <v>100.29201355785101</v>
      </c>
      <c r="AK3039">
        <v>24.9922683477321</v>
      </c>
      <c r="AL3039">
        <v>80.135331749654199</v>
      </c>
      <c r="AM3039">
        <v>99.176160016882505</v>
      </c>
      <c r="AN3039">
        <v>1.0000000310491199</v>
      </c>
    </row>
    <row r="3040" spans="1:40" x14ac:dyDescent="0.25">
      <c r="A3040" t="str">
        <f>"20190304155115384"</f>
        <v>20190304155115384</v>
      </c>
      <c r="B3040" t="str">
        <f>"1551685875379312"</f>
        <v>1551685875379312</v>
      </c>
      <c r="C3040" t="s">
        <v>40</v>
      </c>
      <c r="D3040">
        <v>4.8450639999999998</v>
      </c>
      <c r="E3040">
        <v>0.48931079999999999</v>
      </c>
      <c r="F3040" t="s">
        <v>62</v>
      </c>
      <c r="G3040">
        <v>-489.77749999999997</v>
      </c>
      <c r="H3040" s="1">
        <v>5.095671E-6</v>
      </c>
      <c r="I3040">
        <v>224.8091</v>
      </c>
      <c r="J3040">
        <v>-492.77839999999998</v>
      </c>
      <c r="K3040">
        <v>1.111076</v>
      </c>
      <c r="L3040">
        <v>249.62100000000001</v>
      </c>
      <c r="M3040">
        <v>-5.9428050000000003E-2</v>
      </c>
      <c r="N3040">
        <v>-1.034155E-2</v>
      </c>
      <c r="O3040">
        <v>-0.99817909999999999</v>
      </c>
      <c r="P3040">
        <v>9.8890900000000004E-2</v>
      </c>
      <c r="Q3040">
        <v>0.1616911</v>
      </c>
      <c r="R3040">
        <v>-0.98187449999999998</v>
      </c>
      <c r="S3040">
        <v>0.36425780000000002</v>
      </c>
      <c r="T3040">
        <v>-0.135268</v>
      </c>
      <c r="U3040">
        <v>-3.0409999999999999</v>
      </c>
      <c r="V3040">
        <v>-0.15742639999999999</v>
      </c>
      <c r="W3040">
        <v>0.1714311</v>
      </c>
      <c r="X3040">
        <v>0.97253699999999998</v>
      </c>
      <c r="Y3040">
        <v>-0.177614299999999</v>
      </c>
      <c r="Z3040">
        <v>3.3439490000000002E-2</v>
      </c>
      <c r="AA3040">
        <v>0.98353190000000001</v>
      </c>
      <c r="AB3040">
        <v>23</v>
      </c>
      <c r="AC3040">
        <v>3.0009000000000001</v>
      </c>
      <c r="AD3040">
        <v>-1.1110709043289999</v>
      </c>
      <c r="AE3040">
        <v>-24.811899999999898</v>
      </c>
      <c r="AF3040">
        <v>-4.4613800871951401</v>
      </c>
      <c r="AG3040">
        <v>-1.1110709043289999</v>
      </c>
      <c r="AH3040">
        <v>24.541194203906102</v>
      </c>
      <c r="AI3040">
        <v>92.550477213324001</v>
      </c>
      <c r="AJ3040">
        <v>100.303365679659</v>
      </c>
      <c r="AK3040">
        <v>24.968151789644001</v>
      </c>
      <c r="AL3040">
        <v>80.128962890983701</v>
      </c>
      <c r="AM3040">
        <v>99.194820438841901</v>
      </c>
      <c r="AN3040">
        <v>0.999999954916584</v>
      </c>
    </row>
    <row r="3041" spans="1:40" x14ac:dyDescent="0.25">
      <c r="A3041" t="str">
        <f>"20190304155115396"</f>
        <v>20190304155115396</v>
      </c>
      <c r="B3041" t="str">
        <f>"1551685875390048"</f>
        <v>1551685875390048</v>
      </c>
      <c r="C3041" t="s">
        <v>40</v>
      </c>
      <c r="D3041">
        <v>4.8610410000000002</v>
      </c>
      <c r="E3041">
        <v>0.48938229999999999</v>
      </c>
      <c r="F3041" t="s">
        <v>62</v>
      </c>
      <c r="G3041">
        <v>-489.78559999999999</v>
      </c>
      <c r="H3041" s="1">
        <v>5.0766949999999997E-6</v>
      </c>
      <c r="I3041">
        <v>224.74080000000001</v>
      </c>
      <c r="J3041">
        <v>-492.78480000000002</v>
      </c>
      <c r="K3041">
        <v>1.1110719999999901</v>
      </c>
      <c r="L3041">
        <v>249.49979999999999</v>
      </c>
      <c r="M3041">
        <v>-5.8678840000000003E-2</v>
      </c>
      <c r="N3041">
        <v>-1.034242E-2</v>
      </c>
      <c r="O3041">
        <v>-0.99822339999999998</v>
      </c>
      <c r="P3041">
        <v>9.9623639999999999E-2</v>
      </c>
      <c r="Q3041">
        <v>0.16172890000000001</v>
      </c>
      <c r="R3041">
        <v>-0.98179360000000004</v>
      </c>
      <c r="S3041">
        <v>0.36578369999999999</v>
      </c>
      <c r="T3041">
        <v>-0.13579820000000001</v>
      </c>
      <c r="U3041">
        <v>-3.040924</v>
      </c>
      <c r="V3041">
        <v>-0.15742059999999999</v>
      </c>
      <c r="W3041">
        <v>0.17147100000000001</v>
      </c>
      <c r="X3041">
        <v>0.97253100000000003</v>
      </c>
      <c r="Y3041">
        <v>-0.177364299999999</v>
      </c>
      <c r="Z3041">
        <v>3.3614150000000002E-2</v>
      </c>
      <c r="AA3041">
        <v>0.98357110000000003</v>
      </c>
      <c r="AB3041">
        <v>23</v>
      </c>
      <c r="AC3041">
        <v>2.9992000000000298</v>
      </c>
      <c r="AD3041">
        <v>-1.1110669233049999</v>
      </c>
      <c r="AE3041">
        <v>-24.758999999999901</v>
      </c>
      <c r="AF3041">
        <v>-4.4381303637609504</v>
      </c>
      <c r="AG3041">
        <v>-1.1110669233049999</v>
      </c>
      <c r="AH3041">
        <v>24.491726597612999</v>
      </c>
      <c r="AI3041">
        <v>92.555873683296198</v>
      </c>
      <c r="AJ3041">
        <v>100.271076779688</v>
      </c>
      <c r="AK3041">
        <v>24.915379639211299</v>
      </c>
      <c r="AL3041">
        <v>80.126643353160006</v>
      </c>
      <c r="AM3041">
        <v>99.194543219934303</v>
      </c>
      <c r="AN3041">
        <v>1.0000000475531701</v>
      </c>
    </row>
    <row r="3042" spans="1:40" x14ac:dyDescent="0.25">
      <c r="A3042" t="str">
        <f>"20190304155115408"</f>
        <v>20190304155115408</v>
      </c>
      <c r="B3042" t="str">
        <f>"1551685875399808"</f>
        <v>1551685875399808</v>
      </c>
      <c r="C3042" t="s">
        <v>40</v>
      </c>
      <c r="D3042">
        <v>4.8348050000000002</v>
      </c>
      <c r="E3042">
        <v>0.48944969999999999</v>
      </c>
      <c r="F3042" t="s">
        <v>62</v>
      </c>
      <c r="G3042">
        <v>-489.76679999999999</v>
      </c>
      <c r="H3042" s="1">
        <v>5.0240669999999996E-6</v>
      </c>
      <c r="I3042">
        <v>224.5598</v>
      </c>
      <c r="J3042">
        <v>-492.79140000000001</v>
      </c>
      <c r="K3042">
        <v>1.1110690000000001</v>
      </c>
      <c r="L3042">
        <v>249.3741</v>
      </c>
      <c r="M3042">
        <v>-5.7902950000000002E-2</v>
      </c>
      <c r="N3042">
        <v>-1.0343339999999999E-2</v>
      </c>
      <c r="O3042">
        <v>-0.99826870000000001</v>
      </c>
      <c r="P3042">
        <v>0.10048550000000001</v>
      </c>
      <c r="Q3042">
        <v>0.16187739999999901</v>
      </c>
      <c r="R3042">
        <v>-0.98168149999999998</v>
      </c>
      <c r="S3042">
        <v>0.36795040000000001</v>
      </c>
      <c r="T3042">
        <v>-0.13545850000000001</v>
      </c>
      <c r="U3042">
        <v>-3.040619</v>
      </c>
      <c r="V3042">
        <v>-0.15751660000000001</v>
      </c>
      <c r="W3042">
        <v>0.17162040000000001</v>
      </c>
      <c r="X3042">
        <v>0.9724891</v>
      </c>
      <c r="Y3042">
        <v>-0.1773025</v>
      </c>
      <c r="Z3042">
        <v>3.3509379999999998E-2</v>
      </c>
      <c r="AA3042">
        <v>0.98358579999999995</v>
      </c>
      <c r="AB3042">
        <v>23</v>
      </c>
      <c r="AC3042">
        <v>3.0246000000000199</v>
      </c>
      <c r="AD3042">
        <v>-1.1110639759330001</v>
      </c>
      <c r="AE3042">
        <v>-24.814299999999999</v>
      </c>
      <c r="AF3042">
        <v>-4.4476366271824297</v>
      </c>
      <c r="AG3042">
        <v>-1.1110639759330001</v>
      </c>
      <c r="AH3042">
        <v>24.549024185437499</v>
      </c>
      <c r="AI3042">
        <v>92.549925336990299</v>
      </c>
      <c r="AJ3042">
        <v>100.269095895486</v>
      </c>
      <c r="AK3042">
        <v>24.9733963085373</v>
      </c>
      <c r="AL3042">
        <v>80.117954540366995</v>
      </c>
      <c r="AM3042">
        <v>99.200444092938</v>
      </c>
      <c r="AN3042">
        <v>1.00000004529526</v>
      </c>
    </row>
    <row r="3043" spans="1:40" x14ac:dyDescent="0.25">
      <c r="A3043" t="str">
        <f>"20190304155115422"</f>
        <v>20190304155115422</v>
      </c>
      <c r="B3043" t="str">
        <f>"1551685875409568"</f>
        <v>1551685875409568</v>
      </c>
      <c r="C3043" t="s">
        <v>40</v>
      </c>
      <c r="D3043">
        <v>4.8310170000000001</v>
      </c>
      <c r="E3043">
        <v>0.48952089999999998</v>
      </c>
      <c r="F3043" t="s">
        <v>62</v>
      </c>
      <c r="G3043">
        <v>-489.73689999999999</v>
      </c>
      <c r="H3043" s="1">
        <v>4.9255399999999999E-6</v>
      </c>
      <c r="I3043">
        <v>224.26320000000001</v>
      </c>
      <c r="J3043">
        <v>-492.79820000000001</v>
      </c>
      <c r="K3043">
        <v>1.1110690000000001</v>
      </c>
      <c r="L3043">
        <v>249.23939999999999</v>
      </c>
      <c r="M3043">
        <v>-5.7072730000000002E-2</v>
      </c>
      <c r="N3043">
        <v>-1.034436E-2</v>
      </c>
      <c r="O3043">
        <v>-0.99831650000000005</v>
      </c>
      <c r="P3043">
        <v>0.1016185</v>
      </c>
      <c r="Q3043">
        <v>0.1619399</v>
      </c>
      <c r="R3043">
        <v>-0.9815547</v>
      </c>
      <c r="S3043">
        <v>0.36981199999999997</v>
      </c>
      <c r="T3043">
        <v>-0.134521</v>
      </c>
      <c r="U3043">
        <v>-3.0402830000000001</v>
      </c>
      <c r="V3043">
        <v>-0.15782969999999999</v>
      </c>
      <c r="W3043">
        <v>0.17168329999999901</v>
      </c>
      <c r="X3043">
        <v>0.97242720000000005</v>
      </c>
      <c r="Y3043">
        <v>-0.177092</v>
      </c>
      <c r="Z3043">
        <v>3.3212650000000003E-2</v>
      </c>
      <c r="AA3043">
        <v>0.9836338</v>
      </c>
      <c r="AB3043">
        <v>23</v>
      </c>
      <c r="AC3043">
        <v>3.0613000000000099</v>
      </c>
      <c r="AD3043">
        <v>-1.11106407446</v>
      </c>
      <c r="AE3043">
        <v>-24.976199999999899</v>
      </c>
      <c r="AF3043">
        <v>-4.4731248273080997</v>
      </c>
      <c r="AG3043">
        <v>-1.11106407446</v>
      </c>
      <c r="AH3043">
        <v>24.7125788441376</v>
      </c>
      <c r="AI3043">
        <v>92.533145882440493</v>
      </c>
      <c r="AJ3043">
        <v>100.259794063124</v>
      </c>
      <c r="AK3043">
        <v>25.138712421799799</v>
      </c>
      <c r="AL3043">
        <v>80.114296032311103</v>
      </c>
      <c r="AM3043">
        <v>99.218995117992705</v>
      </c>
      <c r="AN3043">
        <v>1.00000001450041</v>
      </c>
    </row>
    <row r="3044" spans="1:40" x14ac:dyDescent="0.25">
      <c r="A3044" t="str">
        <f>"20190304155115442"</f>
        <v>20190304155115442</v>
      </c>
      <c r="B3044" t="str">
        <f>"1551685875439824"</f>
        <v>1551685875439824</v>
      </c>
      <c r="C3044" t="s">
        <v>40</v>
      </c>
      <c r="D3044">
        <v>4.9347459999999996</v>
      </c>
      <c r="E3044">
        <v>0.48998989999999998</v>
      </c>
      <c r="F3044" t="s">
        <v>62</v>
      </c>
      <c r="G3044">
        <v>-489.70429999999999</v>
      </c>
      <c r="H3044" s="1">
        <v>4.8461390000000001E-6</v>
      </c>
      <c r="I3044">
        <v>224.03020000000001</v>
      </c>
      <c r="J3044">
        <v>-492.80829999999997</v>
      </c>
      <c r="K3044">
        <v>1.1110709999999999</v>
      </c>
      <c r="L3044">
        <v>249.0377</v>
      </c>
      <c r="M3044">
        <v>-5.5831169999999999E-2</v>
      </c>
      <c r="N3044">
        <v>-1.0345780000000001E-2</v>
      </c>
      <c r="O3044">
        <v>-0.99838660000000001</v>
      </c>
      <c r="P3044">
        <v>0.1033491</v>
      </c>
      <c r="Q3044">
        <v>0.1625037</v>
      </c>
      <c r="R3044">
        <v>-0.98128070000000001</v>
      </c>
      <c r="S3044">
        <v>0.3730774</v>
      </c>
      <c r="T3044">
        <v>-0.1339785</v>
      </c>
      <c r="U3044">
        <v>-3.0398710000000002</v>
      </c>
      <c r="V3044">
        <v>-0.1583309</v>
      </c>
      <c r="W3044">
        <v>0.17224700000000001</v>
      </c>
      <c r="X3044">
        <v>0.97224600000000005</v>
      </c>
      <c r="Y3044">
        <v>-0.176926</v>
      </c>
      <c r="Z3044">
        <v>3.3044480000000001E-2</v>
      </c>
      <c r="AA3044">
        <v>0.98366929999999997</v>
      </c>
      <c r="AB3044">
        <v>23</v>
      </c>
      <c r="AC3044">
        <v>3.1039999999999801</v>
      </c>
      <c r="AD3044">
        <v>-1.1110661538609901</v>
      </c>
      <c r="AE3044">
        <v>-25.0075</v>
      </c>
      <c r="AF3044">
        <v>-4.4867084526697898</v>
      </c>
      <c r="AG3044">
        <v>-1.1110661538609901</v>
      </c>
      <c r="AH3044">
        <v>24.747071834199701</v>
      </c>
      <c r="AI3044">
        <v>92.529493019763706</v>
      </c>
      <c r="AJ3044">
        <v>100.27624848539</v>
      </c>
      <c r="AK3044">
        <v>25.175038929553899</v>
      </c>
      <c r="AL3044">
        <v>80.081509780524001</v>
      </c>
      <c r="AM3044">
        <v>99.249459446811898</v>
      </c>
      <c r="AN3044">
        <v>0.999999993709905</v>
      </c>
    </row>
    <row r="3045" spans="1:40" x14ac:dyDescent="0.25">
      <c r="A3045" t="str">
        <f>"20190304155115462"</f>
        <v>20190304155115462</v>
      </c>
      <c r="B3045" t="str">
        <f>"1551685875459344"</f>
        <v>1551685875459344</v>
      </c>
      <c r="C3045" t="s">
        <v>40</v>
      </c>
      <c r="D3045">
        <v>4.6104649999999996</v>
      </c>
      <c r="E3045">
        <v>0.49025550000000001</v>
      </c>
      <c r="F3045" t="s">
        <v>62</v>
      </c>
      <c r="G3045">
        <v>-489.68110000000001</v>
      </c>
      <c r="H3045" s="1">
        <v>4.7293319999999998E-6</v>
      </c>
      <c r="I3045">
        <v>223.66970000000001</v>
      </c>
      <c r="J3045">
        <v>-492.8184</v>
      </c>
      <c r="K3045">
        <v>1.1110719999999901</v>
      </c>
      <c r="L3045">
        <v>248.8314</v>
      </c>
      <c r="M3045">
        <v>-5.4561690000000003E-2</v>
      </c>
      <c r="N3045">
        <v>-1.0347250000000001E-2</v>
      </c>
      <c r="O3045">
        <v>-0.99845700000000004</v>
      </c>
      <c r="P3045">
        <v>0.1050412</v>
      </c>
      <c r="Q3045">
        <v>0.16306689999999999</v>
      </c>
      <c r="R3045">
        <v>-0.98100750000000003</v>
      </c>
      <c r="S3045">
        <v>0.37472529999999998</v>
      </c>
      <c r="T3045">
        <v>-0.1331377</v>
      </c>
      <c r="U3045">
        <v>-3.0398100000000001</v>
      </c>
      <c r="V3045">
        <v>-0.15876750000000001</v>
      </c>
      <c r="W3045">
        <v>0.1728092</v>
      </c>
      <c r="X3045">
        <v>0.97207500000000002</v>
      </c>
      <c r="Y3045">
        <v>-0.17620379999999899</v>
      </c>
      <c r="Z3045">
        <v>3.2778460000000002E-2</v>
      </c>
      <c r="AA3045">
        <v>0.98380780000000001</v>
      </c>
      <c r="AB3045">
        <v>23</v>
      </c>
      <c r="AC3045">
        <v>3.1372999999999802</v>
      </c>
      <c r="AD3045">
        <v>-1.11106727066799</v>
      </c>
      <c r="AE3045">
        <v>-25.1617</v>
      </c>
      <c r="AF3045">
        <v>-4.4969301667854999</v>
      </c>
      <c r="AG3045">
        <v>-1.11106727066799</v>
      </c>
      <c r="AH3045">
        <v>24.905211677097601</v>
      </c>
      <c r="AI3045">
        <v>92.513780571561398</v>
      </c>
      <c r="AJ3045">
        <v>100.23514995406801</v>
      </c>
      <c r="AK3045">
        <v>25.3323196743988</v>
      </c>
      <c r="AL3045">
        <v>80.048807495072495</v>
      </c>
      <c r="AM3045">
        <v>99.2761255126008</v>
      </c>
      <c r="AN3045">
        <v>0.999999972142944</v>
      </c>
    </row>
    <row r="3046" spans="1:40" x14ac:dyDescent="0.25">
      <c r="A3046" t="str">
        <f>"20190304155115475"</f>
        <v>20190304155115475</v>
      </c>
      <c r="B3046" t="str">
        <f>"1551685875470081"</f>
        <v>1551685875470081</v>
      </c>
      <c r="C3046" t="s">
        <v>40</v>
      </c>
      <c r="D3046">
        <v>4.9090499999999997</v>
      </c>
      <c r="E3046">
        <v>0.53705970000000003</v>
      </c>
      <c r="F3046" t="s">
        <v>62</v>
      </c>
      <c r="G3046">
        <v>-489.6121</v>
      </c>
      <c r="H3046" s="1">
        <v>4.523348E-6</v>
      </c>
      <c r="I3046">
        <v>223.05420000000001</v>
      </c>
      <c r="J3046">
        <v>-492.82440000000003</v>
      </c>
      <c r="K3046">
        <v>1.111073</v>
      </c>
      <c r="L3046">
        <v>248.70609999999999</v>
      </c>
      <c r="M3046">
        <v>-5.379039E-2</v>
      </c>
      <c r="N3046">
        <v>-1.034814E-2</v>
      </c>
      <c r="O3046">
        <v>-0.99849869999999996</v>
      </c>
      <c r="P3046">
        <v>0.1058718</v>
      </c>
      <c r="Q3046">
        <v>0.16326640000000001</v>
      </c>
      <c r="R3046">
        <v>-0.98088509999999995</v>
      </c>
      <c r="S3046">
        <v>0.37805179999999999</v>
      </c>
      <c r="T3046">
        <v>-0.13100580000000001</v>
      </c>
      <c r="U3046">
        <v>-3.0393829999999999</v>
      </c>
      <c r="V3046">
        <v>-0.15883829999999999</v>
      </c>
      <c r="W3046">
        <v>0.17300929999999901</v>
      </c>
      <c r="X3046">
        <v>0.97202789999999994</v>
      </c>
      <c r="Y3046">
        <v>-0.17652399999999999</v>
      </c>
      <c r="Z3046">
        <v>3.2092290000000002E-2</v>
      </c>
      <c r="AA3046">
        <v>0.98377309999999996</v>
      </c>
      <c r="AB3046">
        <v>23</v>
      </c>
      <c r="AC3046">
        <v>3.2123000000000199</v>
      </c>
      <c r="AD3046">
        <v>-1.111068476652</v>
      </c>
      <c r="AE3046">
        <v>-25.651899999999898</v>
      </c>
      <c r="AF3046">
        <v>-4.5790904504851699</v>
      </c>
      <c r="AG3046">
        <v>-1.111068476652</v>
      </c>
      <c r="AH3046">
        <v>25.3950517408216</v>
      </c>
      <c r="AI3046">
        <v>92.465462360673101</v>
      </c>
      <c r="AJ3046">
        <v>100.221414525584</v>
      </c>
      <c r="AK3046">
        <v>25.828495802747401</v>
      </c>
      <c r="AL3046">
        <v>80.037167872970798</v>
      </c>
      <c r="AM3046">
        <v>99.280631961905897</v>
      </c>
      <c r="AN3046">
        <v>1.0000000309058901</v>
      </c>
    </row>
    <row r="3047" spans="1:40" x14ac:dyDescent="0.25">
      <c r="A3047" t="str">
        <f>"20190304155115488"</f>
        <v>20190304155115488</v>
      </c>
      <c r="B3047" t="str">
        <f>"1551685875479841"</f>
        <v>1551685875479841</v>
      </c>
      <c r="C3047" t="s">
        <v>40</v>
      </c>
      <c r="D3047">
        <v>4.9276960000000001</v>
      </c>
      <c r="E3047">
        <v>0.5380895</v>
      </c>
      <c r="F3047" t="s">
        <v>62</v>
      </c>
      <c r="G3047">
        <v>-492.72269999999997</v>
      </c>
      <c r="H3047" s="1">
        <v>2.93347E-6</v>
      </c>
      <c r="I3047">
        <v>217.07570000000001</v>
      </c>
      <c r="J3047">
        <v>-492.83100000000002</v>
      </c>
      <c r="K3047">
        <v>1.1110739999999999</v>
      </c>
      <c r="L3047">
        <v>248.5668</v>
      </c>
      <c r="M3047">
        <v>-5.2933529999999999E-2</v>
      </c>
      <c r="N3047">
        <v>-1.034913E-2</v>
      </c>
      <c r="O3047">
        <v>-0.99854449999999995</v>
      </c>
      <c r="P3047">
        <v>0.1065151</v>
      </c>
      <c r="Q3047">
        <v>0.163437</v>
      </c>
      <c r="R3047">
        <v>-0.98078730000000003</v>
      </c>
      <c r="S3047">
        <v>9.8876950000000002E-3</v>
      </c>
      <c r="T3047">
        <v>-0.1080265</v>
      </c>
      <c r="U3047">
        <v>-3.075348</v>
      </c>
      <c r="V3047">
        <v>-0.15864059999999999</v>
      </c>
      <c r="W3047">
        <v>0.17318120000000001</v>
      </c>
      <c r="X3047">
        <v>0.97202960000000005</v>
      </c>
      <c r="Y3047">
        <v>-5.613249E-2</v>
      </c>
      <c r="Z3047">
        <v>2.4657849999999999E-2</v>
      </c>
      <c r="AA3047">
        <v>0.99811879999999997</v>
      </c>
      <c r="AB3047">
        <v>23</v>
      </c>
      <c r="AC3047">
        <v>0.10829999999998501</v>
      </c>
      <c r="AD3047">
        <v>-1.1110710665300001</v>
      </c>
      <c r="AE3047">
        <v>-31.4910999999999</v>
      </c>
      <c r="AF3047">
        <v>-1.7729653577386</v>
      </c>
      <c r="AG3047">
        <v>-1.1110710665300001</v>
      </c>
      <c r="AH3047">
        <v>31.402123280821399</v>
      </c>
      <c r="AI3047">
        <v>92.023176599193206</v>
      </c>
      <c r="AJ3047">
        <v>93.231491605757697</v>
      </c>
      <c r="AK3047">
        <v>31.471752916202899</v>
      </c>
      <c r="AL3047">
        <v>80.027168027413396</v>
      </c>
      <c r="AM3047">
        <v>99.269265401820505</v>
      </c>
      <c r="AN3047">
        <v>1.0000000556389701</v>
      </c>
    </row>
    <row r="3048" spans="1:40" x14ac:dyDescent="0.25">
      <c r="A3048" t="str">
        <f>"20190304155115499"</f>
        <v>20190304155115499</v>
      </c>
      <c r="B3048" t="str">
        <f>"1551685875489601"</f>
        <v>1551685875489601</v>
      </c>
      <c r="C3048" t="s">
        <v>40</v>
      </c>
      <c r="D3048">
        <v>4.9155959999999999</v>
      </c>
      <c r="E3048">
        <v>0.53941209999999995</v>
      </c>
      <c r="F3048" t="s">
        <v>62</v>
      </c>
      <c r="G3048">
        <v>-492.79790000000003</v>
      </c>
      <c r="H3048" s="1">
        <v>3.0056000000000001E-6</v>
      </c>
      <c r="I3048">
        <v>219.0309</v>
      </c>
      <c r="J3048">
        <v>-492.83640000000003</v>
      </c>
      <c r="K3048">
        <v>1.111075</v>
      </c>
      <c r="L3048">
        <v>248.44820000000001</v>
      </c>
      <c r="M3048">
        <v>-5.2202659999999998E-2</v>
      </c>
      <c r="N3048">
        <v>-1.035E-2</v>
      </c>
      <c r="O3048">
        <v>-0.99858290000000005</v>
      </c>
      <c r="P3048">
        <v>0.1072114</v>
      </c>
      <c r="Q3048">
        <v>0.1632556</v>
      </c>
      <c r="R3048">
        <v>-0.98074119999999998</v>
      </c>
      <c r="S3048">
        <v>3.4484860000000002E-3</v>
      </c>
      <c r="T3048">
        <v>-0.1157759</v>
      </c>
      <c r="U3048">
        <v>-3.0777130000000001</v>
      </c>
      <c r="V3048">
        <v>-0.15862019999999999</v>
      </c>
      <c r="W3048">
        <v>0.17300079999999901</v>
      </c>
      <c r="X3048">
        <v>0.97206499999999996</v>
      </c>
      <c r="Y3048">
        <v>-5.3310690000000001E-2</v>
      </c>
      <c r="Z3048">
        <v>2.7142329999999999E-2</v>
      </c>
      <c r="AA3048">
        <v>0.99820900000000001</v>
      </c>
      <c r="AB3048">
        <v>23</v>
      </c>
      <c r="AC3048">
        <v>3.8499999999999E-2</v>
      </c>
      <c r="AD3048">
        <v>-1.1110719944</v>
      </c>
      <c r="AE3048">
        <v>-29.417300000000001</v>
      </c>
      <c r="AF3048">
        <v>-1.57194861444455</v>
      </c>
      <c r="AG3048">
        <v>-1.1110719944</v>
      </c>
      <c r="AH3048">
        <v>29.333331044172201</v>
      </c>
      <c r="AI3048">
        <v>92.166076392565699</v>
      </c>
      <c r="AJ3048">
        <v>93.067498614178703</v>
      </c>
      <c r="AK3048">
        <v>29.3964251835183</v>
      </c>
      <c r="AL3048">
        <v>80.037662076845606</v>
      </c>
      <c r="AM3048">
        <v>99.267762465982699</v>
      </c>
      <c r="AN3048">
        <v>1.00000000443684</v>
      </c>
    </row>
    <row r="3049" spans="1:40" x14ac:dyDescent="0.25">
      <c r="A3049" t="str">
        <f>"20190304155115518"</f>
        <v>20190304155115518</v>
      </c>
      <c r="B3049" t="str">
        <f>"1551685875510096"</f>
        <v>1551685875510096</v>
      </c>
      <c r="C3049" t="s">
        <v>40</v>
      </c>
      <c r="D3049">
        <v>4.9735509999999996</v>
      </c>
      <c r="E3049">
        <v>0.54177519999999901</v>
      </c>
      <c r="F3049" t="s">
        <v>62</v>
      </c>
      <c r="G3049">
        <v>-492.88200000000001</v>
      </c>
      <c r="H3049" s="1">
        <v>3.111508E-6</v>
      </c>
      <c r="I3049">
        <v>219.9237</v>
      </c>
      <c r="J3049">
        <v>-492.8451</v>
      </c>
      <c r="K3049">
        <v>1.111073</v>
      </c>
      <c r="L3049">
        <v>248.2561</v>
      </c>
      <c r="M3049">
        <v>-5.1019080000000001E-2</v>
      </c>
      <c r="N3049">
        <v>-1.035138E-2</v>
      </c>
      <c r="O3049">
        <v>-0.99864419999999998</v>
      </c>
      <c r="P3049">
        <v>0.1088006</v>
      </c>
      <c r="Q3049">
        <v>0.1626862</v>
      </c>
      <c r="R3049">
        <v>-0.98066129999999996</v>
      </c>
      <c r="S3049">
        <v>-4.9133299999999996E-3</v>
      </c>
      <c r="T3049">
        <v>-0.1199481</v>
      </c>
      <c r="U3049">
        <v>-3.0794220000000001</v>
      </c>
      <c r="V3049">
        <v>-0.15904839999999901</v>
      </c>
      <c r="W3049">
        <v>0.17243159999999999</v>
      </c>
      <c r="X3049">
        <v>0.97209610000000002</v>
      </c>
      <c r="Y3049">
        <v>-4.9416300000000003E-2</v>
      </c>
      <c r="Z3049">
        <v>2.8476979999999999E-2</v>
      </c>
      <c r="AA3049">
        <v>0.99837220000000004</v>
      </c>
      <c r="AB3049">
        <v>23</v>
      </c>
      <c r="AC3049">
        <v>-3.68999999999459E-2</v>
      </c>
      <c r="AD3049">
        <v>-1.1110698884920001</v>
      </c>
      <c r="AE3049">
        <v>-28.3324</v>
      </c>
      <c r="AF3049">
        <v>-1.4065551721302301</v>
      </c>
      <c r="AG3049">
        <v>-1.1110698884920001</v>
      </c>
      <c r="AH3049">
        <v>28.253930434598601</v>
      </c>
      <c r="AI3049">
        <v>92.249181396173299</v>
      </c>
      <c r="AJ3049">
        <v>92.849982185597696</v>
      </c>
      <c r="AK3049">
        <v>28.3107304524715</v>
      </c>
      <c r="AL3049">
        <v>80.070771772440395</v>
      </c>
      <c r="AM3049">
        <v>99.292053131096196</v>
      </c>
      <c r="AN3049">
        <v>0.99999993892816297</v>
      </c>
    </row>
    <row r="3050" spans="1:40" x14ac:dyDescent="0.25">
      <c r="A3050" t="str">
        <f>"20190304155115532"</f>
        <v>20190304155115532</v>
      </c>
      <c r="B3050" t="str">
        <f>"1551685875529617"</f>
        <v>1551685875529617</v>
      </c>
      <c r="C3050" t="s">
        <v>40</v>
      </c>
      <c r="D3050">
        <v>4.9304379999999997</v>
      </c>
      <c r="E3050">
        <v>0.5427495</v>
      </c>
      <c r="F3050" t="s">
        <v>62</v>
      </c>
      <c r="G3050">
        <v>-493.01100000000002</v>
      </c>
      <c r="H3050" s="1">
        <v>3.8895779999999998E-6</v>
      </c>
      <c r="I3050">
        <v>222.50919999999999</v>
      </c>
      <c r="J3050">
        <v>-492.851</v>
      </c>
      <c r="K3050">
        <v>1.1110709999999999</v>
      </c>
      <c r="L3050">
        <v>248.12469999999999</v>
      </c>
      <c r="M3050">
        <v>-5.0209749999999997E-2</v>
      </c>
      <c r="N3050">
        <v>-1.03523E-2</v>
      </c>
      <c r="O3050">
        <v>-0.99868520000000005</v>
      </c>
      <c r="P3050">
        <v>0.10968219999999999</v>
      </c>
      <c r="Q3050">
        <v>0.16246379999999999</v>
      </c>
      <c r="R3050">
        <v>-0.98059960000000002</v>
      </c>
      <c r="S3050">
        <v>-1.986694E-2</v>
      </c>
      <c r="T3050">
        <v>-0.13306080000000001</v>
      </c>
      <c r="U3050">
        <v>-3.0834199999999998</v>
      </c>
      <c r="V3050">
        <v>-0.15913669999999999</v>
      </c>
      <c r="W3050">
        <v>0.17221040000000001</v>
      </c>
      <c r="X3050">
        <v>0.97212089999999995</v>
      </c>
      <c r="Y3050">
        <v>-4.3767800000000003E-2</v>
      </c>
      <c r="Z3050">
        <v>3.2667580000000002E-2</v>
      </c>
      <c r="AA3050">
        <v>0.99850749999999999</v>
      </c>
      <c r="AB3050">
        <v>23</v>
      </c>
      <c r="AC3050">
        <v>-0.159999999999968</v>
      </c>
      <c r="AD3050">
        <v>-1.111067110422</v>
      </c>
      <c r="AE3050">
        <v>-25.615500000000001</v>
      </c>
      <c r="AF3050">
        <v>-1.1243032496713601</v>
      </c>
      <c r="AG3050">
        <v>-1.111067110422</v>
      </c>
      <c r="AH3050">
        <v>25.543167227146199</v>
      </c>
      <c r="AI3050">
        <v>92.488254150295901</v>
      </c>
      <c r="AJ3050">
        <v>92.520293507870406</v>
      </c>
      <c r="AK3050">
        <v>25.592028444713801</v>
      </c>
      <c r="AL3050">
        <v>80.083638456790297</v>
      </c>
      <c r="AM3050">
        <v>99.296888771569996</v>
      </c>
      <c r="AN3050">
        <v>0.99999997768592896</v>
      </c>
    </row>
    <row r="3051" spans="1:40" x14ac:dyDescent="0.25">
      <c r="A3051" t="str">
        <f>"20190304155115544"</f>
        <v>20190304155115544</v>
      </c>
      <c r="B3051" t="str">
        <f>"1551685875539378"</f>
        <v>1551685875539378</v>
      </c>
      <c r="C3051" t="s">
        <v>40</v>
      </c>
      <c r="D3051">
        <v>4.9191539999999998</v>
      </c>
      <c r="E3051">
        <v>0.54277519999999901</v>
      </c>
      <c r="F3051" t="s">
        <v>62</v>
      </c>
      <c r="G3051">
        <v>-493.06209999999999</v>
      </c>
      <c r="H3051" s="1">
        <v>4.0358009999999998E-6</v>
      </c>
      <c r="I3051">
        <v>223.01050000000001</v>
      </c>
      <c r="J3051">
        <v>-492.85649999999998</v>
      </c>
      <c r="K3051">
        <v>1.1110690000000001</v>
      </c>
      <c r="L3051">
        <v>247.9982</v>
      </c>
      <c r="M3051">
        <v>-4.9429800000000003E-2</v>
      </c>
      <c r="N3051">
        <v>-1.035319E-2</v>
      </c>
      <c r="O3051">
        <v>-0.99872399999999995</v>
      </c>
      <c r="P3051">
        <v>0.11072990000000001</v>
      </c>
      <c r="Q3051">
        <v>0.16208880000000001</v>
      </c>
      <c r="R3051">
        <v>-0.98054370000000002</v>
      </c>
      <c r="S3051">
        <v>-2.5939940000000002E-2</v>
      </c>
      <c r="T3051">
        <v>-0.13647779999999901</v>
      </c>
      <c r="U3051">
        <v>-3.0849000000000002</v>
      </c>
      <c r="V3051">
        <v>-0.159418899999999</v>
      </c>
      <c r="W3051">
        <v>0.17183509999999999</v>
      </c>
      <c r="X3051">
        <v>0.97214109999999998</v>
      </c>
      <c r="Y3051">
        <v>-4.1025779999999998E-2</v>
      </c>
      <c r="Z3051">
        <v>3.3753690000000003E-2</v>
      </c>
      <c r="AA3051">
        <v>0.99858780000000003</v>
      </c>
      <c r="AB3051">
        <v>23</v>
      </c>
      <c r="AC3051">
        <v>-0.205600000000003</v>
      </c>
      <c r="AD3051">
        <v>-1.111064964199</v>
      </c>
      <c r="AE3051">
        <v>-24.987699999999901</v>
      </c>
      <c r="AF3051">
        <v>-1.02782253247682</v>
      </c>
      <c r="AG3051">
        <v>-1.111064964199</v>
      </c>
      <c r="AH3051">
        <v>24.9180531940404</v>
      </c>
      <c r="AI3051">
        <v>92.550890142177195</v>
      </c>
      <c r="AJ3051">
        <v>92.362003493937806</v>
      </c>
      <c r="AK3051">
        <v>24.9639792399763</v>
      </c>
      <c r="AL3051">
        <v>80.105467212382294</v>
      </c>
      <c r="AM3051">
        <v>99.312896381772504</v>
      </c>
      <c r="AN3051">
        <v>1.00000000278921</v>
      </c>
    </row>
    <row r="3052" spans="1:40" x14ac:dyDescent="0.25">
      <c r="A3052" t="str">
        <f>"20190304155115556"</f>
        <v>20190304155115556</v>
      </c>
      <c r="B3052" t="str">
        <f>"1551685875549136"</f>
        <v>1551685875549136</v>
      </c>
      <c r="C3052" t="s">
        <v>40</v>
      </c>
      <c r="D3052">
        <v>4.8584459999999998</v>
      </c>
      <c r="E3052">
        <v>0.54271190000000002</v>
      </c>
      <c r="F3052" t="s">
        <v>62</v>
      </c>
      <c r="G3052">
        <v>-493.04140000000001</v>
      </c>
      <c r="H3052" s="1">
        <v>3.9970780000000001E-6</v>
      </c>
      <c r="I3052">
        <v>222.87370000000001</v>
      </c>
      <c r="J3052">
        <v>-492.86169999999998</v>
      </c>
      <c r="K3052">
        <v>1.1110640000000001</v>
      </c>
      <c r="L3052">
        <v>247.87690000000001</v>
      </c>
      <c r="M3052">
        <v>-4.8681490000000001E-2</v>
      </c>
      <c r="N3052">
        <v>-1.035409E-2</v>
      </c>
      <c r="O3052">
        <v>-0.9987608</v>
      </c>
      <c r="P3052">
        <v>0.1117279</v>
      </c>
      <c r="Q3052">
        <v>0.16190109999999999</v>
      </c>
      <c r="R3052">
        <v>-0.98046169999999999</v>
      </c>
      <c r="S3052">
        <v>-2.2705079999999999E-2</v>
      </c>
      <c r="T3052">
        <v>-0.13640920000000001</v>
      </c>
      <c r="U3052">
        <v>-3.084625</v>
      </c>
      <c r="V3052">
        <v>-0.1596825</v>
      </c>
      <c r="W3052">
        <v>0.1716472</v>
      </c>
      <c r="X3052">
        <v>0.97213110000000003</v>
      </c>
      <c r="Y3052">
        <v>-4.1323480000000003E-2</v>
      </c>
      <c r="Z3052">
        <v>3.373661E-2</v>
      </c>
      <c r="AA3052">
        <v>0.99857609999999997</v>
      </c>
      <c r="AB3052">
        <v>23</v>
      </c>
      <c r="AC3052">
        <v>-0.17970000000002501</v>
      </c>
      <c r="AD3052">
        <v>-1.1110600029219999</v>
      </c>
      <c r="AE3052">
        <v>-25.0032</v>
      </c>
      <c r="AF3052">
        <v>-1.0357261638702</v>
      </c>
      <c r="AG3052">
        <v>-1.1110600029219999</v>
      </c>
      <c r="AH3052">
        <v>24.9330695691798</v>
      </c>
      <c r="AI3052">
        <v>92.549313746345504</v>
      </c>
      <c r="AJ3052">
        <v>92.378713910340693</v>
      </c>
      <c r="AK3052">
        <v>24.979294248600699</v>
      </c>
      <c r="AL3052">
        <v>80.116396119318097</v>
      </c>
      <c r="AM3052">
        <v>99.328119126342401</v>
      </c>
      <c r="AN3052">
        <v>1.0000000688306401</v>
      </c>
    </row>
    <row r="3053" spans="1:40" x14ac:dyDescent="0.25">
      <c r="A3053" t="str">
        <f>"20190304155115573"</f>
        <v>20190304155115573</v>
      </c>
      <c r="B3053" t="str">
        <f>"1551685875569634"</f>
        <v>1551685875569634</v>
      </c>
      <c r="C3053" t="s">
        <v>40</v>
      </c>
      <c r="D3053">
        <v>4.83786</v>
      </c>
      <c r="E3053">
        <v>0.54281040000000003</v>
      </c>
      <c r="F3053" t="s">
        <v>62</v>
      </c>
      <c r="G3053">
        <v>-493.01940000000002</v>
      </c>
      <c r="H3053" s="1">
        <v>4.0159190000000003E-6</v>
      </c>
      <c r="I3053">
        <v>222.92189999999999</v>
      </c>
      <c r="J3053">
        <v>-492.86900000000003</v>
      </c>
      <c r="K3053">
        <v>1.1110500000000001</v>
      </c>
      <c r="L3053">
        <v>247.70160000000001</v>
      </c>
      <c r="M3053">
        <v>-4.7600870000000003E-2</v>
      </c>
      <c r="N3053">
        <v>-1.0355420000000001E-2</v>
      </c>
      <c r="O3053">
        <v>-0.9988129</v>
      </c>
      <c r="P3053">
        <v>0.1135148</v>
      </c>
      <c r="Q3053">
        <v>0.160667</v>
      </c>
      <c r="R3053">
        <v>-0.98045979999999999</v>
      </c>
      <c r="S3053">
        <v>-1.9500730000000001E-2</v>
      </c>
      <c r="T3053">
        <v>-0.137338299999999</v>
      </c>
      <c r="U3053">
        <v>-3.084686</v>
      </c>
      <c r="V3053">
        <v>-0.16041169999999999</v>
      </c>
      <c r="W3053">
        <v>0.17041300000000001</v>
      </c>
      <c r="X3053">
        <v>0.97222810000000004</v>
      </c>
      <c r="Y3053">
        <v>-4.127989E-2</v>
      </c>
      <c r="Z3053">
        <v>3.403755E-2</v>
      </c>
      <c r="AA3053">
        <v>0.99856769999999995</v>
      </c>
      <c r="AB3053">
        <v>23</v>
      </c>
      <c r="AC3053">
        <v>-0.15039999999998999</v>
      </c>
      <c r="AD3053">
        <v>-1.1110459840809901</v>
      </c>
      <c r="AE3053">
        <v>-24.779699999999998</v>
      </c>
      <c r="AF3053">
        <v>-1.0273036987411499</v>
      </c>
      <c r="AG3053">
        <v>-1.1110459840809901</v>
      </c>
      <c r="AH3053">
        <v>24.7090950400395</v>
      </c>
      <c r="AI3053">
        <v>92.572354774174201</v>
      </c>
      <c r="AJ3053">
        <v>92.380754408130898</v>
      </c>
      <c r="AK3053">
        <v>24.7553863586472</v>
      </c>
      <c r="AL3053">
        <v>80.188167303671804</v>
      </c>
      <c r="AM3053">
        <v>99.369044515985806</v>
      </c>
      <c r="AN3053">
        <v>0.99999999124774996</v>
      </c>
    </row>
    <row r="3054" spans="1:40" x14ac:dyDescent="0.25">
      <c r="A3054" t="str">
        <f>"20190304155115599"</f>
        <v>20190304155115599</v>
      </c>
      <c r="B3054" t="str">
        <f>"1551685875589152"</f>
        <v>1551685875589152</v>
      </c>
      <c r="C3054" t="s">
        <v>40</v>
      </c>
      <c r="D3054">
        <v>4.9467290000000004</v>
      </c>
      <c r="E3054">
        <v>0.54294439999999999</v>
      </c>
      <c r="F3054" t="s">
        <v>62</v>
      </c>
      <c r="G3054">
        <v>-492.98340000000002</v>
      </c>
      <c r="H3054" s="1">
        <v>4.2956979999999997E-6</v>
      </c>
      <c r="I3054">
        <v>224.0856</v>
      </c>
      <c r="J3054">
        <v>-492.87950000000001</v>
      </c>
      <c r="K3054">
        <v>1.1110450000000001</v>
      </c>
      <c r="L3054">
        <v>247.44040000000001</v>
      </c>
      <c r="M3054">
        <v>-4.5989299999999997E-2</v>
      </c>
      <c r="N3054">
        <v>-1.0357409999999999E-2</v>
      </c>
      <c r="O3054">
        <v>-0.99888840000000001</v>
      </c>
      <c r="P3054">
        <v>0.1154481</v>
      </c>
      <c r="Q3054">
        <v>0.159208399999999</v>
      </c>
      <c r="R3054">
        <v>-0.98047189999999995</v>
      </c>
      <c r="S3054">
        <v>-1.4953610000000001E-2</v>
      </c>
      <c r="T3054">
        <v>-0.14515259999999999</v>
      </c>
      <c r="U3054">
        <v>-3.0853120000000001</v>
      </c>
      <c r="V3054">
        <v>-0.16076960000000001</v>
      </c>
      <c r="W3054">
        <v>0.16895669999999999</v>
      </c>
      <c r="X3054">
        <v>0.97242309999999998</v>
      </c>
      <c r="Y3054">
        <v>-4.1140690000000001E-2</v>
      </c>
      <c r="Z3054">
        <v>3.6552300000000003E-2</v>
      </c>
      <c r="AA3054">
        <v>0.99848460000000006</v>
      </c>
      <c r="AB3054">
        <v>23</v>
      </c>
      <c r="AC3054">
        <v>-0.10390000000001</v>
      </c>
      <c r="AD3054">
        <v>-1.1110407043019901</v>
      </c>
      <c r="AE3054">
        <v>-23.354800000000001</v>
      </c>
      <c r="AF3054">
        <v>-0.96814729802805</v>
      </c>
      <c r="AG3054">
        <v>-1.1110407043019901</v>
      </c>
      <c r="AH3054">
        <v>23.2821756210211</v>
      </c>
      <c r="AI3054">
        <v>92.729764041591395</v>
      </c>
      <c r="AJ3054">
        <v>92.381169849062701</v>
      </c>
      <c r="AK3054">
        <v>23.328768126186301</v>
      </c>
      <c r="AL3054">
        <v>80.2728346493179</v>
      </c>
      <c r="AM3054">
        <v>99.387726884585206</v>
      </c>
      <c r="AN3054">
        <v>0.99999995808632902</v>
      </c>
    </row>
    <row r="3055" spans="1:40" x14ac:dyDescent="0.25">
      <c r="A3055" t="str">
        <f>"20190304155115611"</f>
        <v>20190304155115611</v>
      </c>
      <c r="B3055" t="str">
        <f>"1551685875599889"</f>
        <v>1551685875599889</v>
      </c>
      <c r="C3055" t="s">
        <v>40</v>
      </c>
      <c r="D3055">
        <v>4.9329489999999998</v>
      </c>
      <c r="E3055">
        <v>0.54324619999999901</v>
      </c>
      <c r="F3055" t="s">
        <v>62</v>
      </c>
      <c r="G3055">
        <v>-492.95800000000003</v>
      </c>
      <c r="H3055" s="1">
        <v>4.350503E-6</v>
      </c>
      <c r="I3055">
        <v>224.30799999999999</v>
      </c>
      <c r="J3055">
        <v>-492.88440000000003</v>
      </c>
      <c r="K3055">
        <v>1.1110439999999999</v>
      </c>
      <c r="L3055">
        <v>247.3168</v>
      </c>
      <c r="M3055">
        <v>-4.5226229999999999E-2</v>
      </c>
      <c r="N3055">
        <v>-1.0358330000000001E-2</v>
      </c>
      <c r="O3055">
        <v>-0.99892320000000001</v>
      </c>
      <c r="P3055">
        <v>0.1163801</v>
      </c>
      <c r="Q3055">
        <v>0.158497</v>
      </c>
      <c r="R3055">
        <v>-0.98047689999999998</v>
      </c>
      <c r="S3055">
        <v>-1.0467529999999999E-2</v>
      </c>
      <c r="T3055">
        <v>-0.14817230000000001</v>
      </c>
      <c r="U3055">
        <v>-3.0850219999999999</v>
      </c>
      <c r="V3055">
        <v>-0.16095599999999999</v>
      </c>
      <c r="W3055">
        <v>0.16824600000000001</v>
      </c>
      <c r="X3055">
        <v>0.97251549999999998</v>
      </c>
      <c r="Y3055">
        <v>-4.1828600000000001E-2</v>
      </c>
      <c r="Z3055">
        <v>3.7531340000000003E-2</v>
      </c>
      <c r="AA3055">
        <v>0.99841959999999996</v>
      </c>
      <c r="AB3055">
        <v>23</v>
      </c>
      <c r="AC3055">
        <v>-7.3599999999999E-2</v>
      </c>
      <c r="AD3055">
        <v>-1.1110396494970001</v>
      </c>
      <c r="AE3055">
        <v>-23.008800000000001</v>
      </c>
      <c r="AF3055">
        <v>-0.96488250433766798</v>
      </c>
      <c r="AG3055">
        <v>-1.1110396494970001</v>
      </c>
      <c r="AH3055">
        <v>22.9351059704994</v>
      </c>
      <c r="AI3055">
        <v>92.770949911619198</v>
      </c>
      <c r="AJ3055">
        <v>92.409019363275803</v>
      </c>
      <c r="AK3055">
        <v>22.982264754109199</v>
      </c>
      <c r="AL3055">
        <v>80.3141463214059</v>
      </c>
      <c r="AM3055">
        <v>99.397540120406902</v>
      </c>
      <c r="AN3055">
        <v>0.99999997409612396</v>
      </c>
    </row>
    <row r="3056" spans="1:40" x14ac:dyDescent="0.25">
      <c r="A3056" t="str">
        <f>"20190304155115625"</f>
        <v>20190304155115625</v>
      </c>
      <c r="B3056" t="str">
        <f>"1551685875619408"</f>
        <v>1551685875619408</v>
      </c>
      <c r="C3056" t="s">
        <v>40</v>
      </c>
      <c r="D3056">
        <v>4.9398369999999998</v>
      </c>
      <c r="E3056">
        <v>0.54379060000000001</v>
      </c>
      <c r="F3056" t="s">
        <v>62</v>
      </c>
      <c r="G3056">
        <v>-492.96109999999999</v>
      </c>
      <c r="H3056" s="1">
        <v>4.3327400000000003E-6</v>
      </c>
      <c r="I3056">
        <v>224.23079999999999</v>
      </c>
      <c r="J3056">
        <v>-492.88990000000001</v>
      </c>
      <c r="K3056">
        <v>1.1110450000000001</v>
      </c>
      <c r="L3056">
        <v>247.17359999999999</v>
      </c>
      <c r="M3056">
        <v>-4.4342699999999999E-2</v>
      </c>
      <c r="N3056">
        <v>-1.035938E-2</v>
      </c>
      <c r="O3056">
        <v>-0.99896280000000004</v>
      </c>
      <c r="P3056">
        <v>0.1170868</v>
      </c>
      <c r="Q3056">
        <v>0.15800059999999999</v>
      </c>
      <c r="R3056">
        <v>-0.98047280000000003</v>
      </c>
      <c r="S3056">
        <v>-1.025391E-2</v>
      </c>
      <c r="T3056">
        <v>-0.14846809999999999</v>
      </c>
      <c r="U3056">
        <v>-3.0849760000000002</v>
      </c>
      <c r="V3056">
        <v>-0.16079949999999901</v>
      </c>
      <c r="W3056">
        <v>0.16775199999999901</v>
      </c>
      <c r="X3056">
        <v>0.97262669999999996</v>
      </c>
      <c r="Y3056">
        <v>-4.1014200000000001E-2</v>
      </c>
      <c r="Z3056">
        <v>3.7630080000000003E-2</v>
      </c>
      <c r="AA3056">
        <v>0.9984497</v>
      </c>
      <c r="AB3056">
        <v>23</v>
      </c>
      <c r="AC3056">
        <v>-7.1199999999976102E-2</v>
      </c>
      <c r="AD3056">
        <v>-1.1110406672599999</v>
      </c>
      <c r="AE3056">
        <v>-22.942799999999998</v>
      </c>
      <c r="AF3056">
        <v>-0.94405628212291104</v>
      </c>
      <c r="AG3056">
        <v>-1.1110406672599999</v>
      </c>
      <c r="AH3056">
        <v>22.869755873138299</v>
      </c>
      <c r="AI3056">
        <v>92.778949259515201</v>
      </c>
      <c r="AJ3056">
        <v>92.363809595118795</v>
      </c>
      <c r="AK3056">
        <v>22.916181778932199</v>
      </c>
      <c r="AL3056">
        <v>80.342858334346502</v>
      </c>
      <c r="AM3056">
        <v>99.387511227670103</v>
      </c>
      <c r="AN3056">
        <v>0.99999995512856898</v>
      </c>
    </row>
    <row r="3057" spans="1:40" x14ac:dyDescent="0.25">
      <c r="A3057" t="str">
        <f>"20190304155115642"</f>
        <v>20190304155115642</v>
      </c>
      <c r="B3057" t="str">
        <f>"1551685875639904"</f>
        <v>1551685875639904</v>
      </c>
      <c r="C3057" t="s">
        <v>40</v>
      </c>
      <c r="D3057">
        <v>4.9274950000000004</v>
      </c>
      <c r="E3057">
        <v>0.54440200000000005</v>
      </c>
      <c r="F3057" t="s">
        <v>62</v>
      </c>
      <c r="G3057">
        <v>-492.98430000000002</v>
      </c>
      <c r="H3057" s="1">
        <v>4.397398E-6</v>
      </c>
      <c r="I3057">
        <v>224.54650000000001</v>
      </c>
      <c r="J3057">
        <v>-492.8963</v>
      </c>
      <c r="K3057">
        <v>1.1110500000000001</v>
      </c>
      <c r="L3057">
        <v>247.00309999999999</v>
      </c>
      <c r="M3057">
        <v>-4.3290269999999999E-2</v>
      </c>
      <c r="N3057">
        <v>-1.0360640000000001E-2</v>
      </c>
      <c r="O3057">
        <v>-0.99900909999999998</v>
      </c>
      <c r="P3057">
        <v>0.1178216</v>
      </c>
      <c r="Q3057">
        <v>0.15760379999999999</v>
      </c>
      <c r="R3057">
        <v>-0.98044880000000001</v>
      </c>
      <c r="S3057">
        <v>-1.287842E-2</v>
      </c>
      <c r="T3057">
        <v>-0.15151479999999901</v>
      </c>
      <c r="U3057">
        <v>-3.085693</v>
      </c>
      <c r="V3057">
        <v>-0.1605057</v>
      </c>
      <c r="W3057">
        <v>0.1673576</v>
      </c>
      <c r="X3057">
        <v>0.97274320000000003</v>
      </c>
      <c r="Y3057">
        <v>-3.911361E-2</v>
      </c>
      <c r="Z3057">
        <v>3.8605470000000003E-2</v>
      </c>
      <c r="AA3057">
        <v>0.99848870000000001</v>
      </c>
      <c r="AB3057">
        <v>23</v>
      </c>
      <c r="AC3057">
        <v>-8.8000000000022199E-2</v>
      </c>
      <c r="AD3057">
        <v>-1.1110456026019999</v>
      </c>
      <c r="AE3057">
        <v>-22.456599999999899</v>
      </c>
      <c r="AF3057">
        <v>-0.88212744809264798</v>
      </c>
      <c r="AG3057">
        <v>-1.1110456026019999</v>
      </c>
      <c r="AH3057">
        <v>22.3845631917033</v>
      </c>
      <c r="AI3057">
        <v>92.839312681233693</v>
      </c>
      <c r="AJ3057">
        <v>92.256735592709703</v>
      </c>
      <c r="AK3057">
        <v>22.429472585174601</v>
      </c>
      <c r="AL3057">
        <v>80.365780172760594</v>
      </c>
      <c r="AM3057">
        <v>99.369561245348507</v>
      </c>
      <c r="AN3057">
        <v>0.99999998957824499</v>
      </c>
    </row>
    <row r="3058" spans="1:40" x14ac:dyDescent="0.25">
      <c r="A3058" t="str">
        <f>"20190304155115663"</f>
        <v>20190304155115663</v>
      </c>
      <c r="B3058" t="str">
        <f>"1551685875659425"</f>
        <v>1551685875659425</v>
      </c>
      <c r="C3058" t="s">
        <v>40</v>
      </c>
      <c r="D3058">
        <v>4.9827279999999998</v>
      </c>
      <c r="E3058">
        <v>0.54501929999999998</v>
      </c>
      <c r="F3058" t="s">
        <v>62</v>
      </c>
      <c r="G3058">
        <v>-493.00510000000003</v>
      </c>
      <c r="H3058" s="1">
        <v>4.5670730000000002E-6</v>
      </c>
      <c r="I3058">
        <v>225.12909999999999</v>
      </c>
      <c r="J3058">
        <v>-492.90410000000003</v>
      </c>
      <c r="K3058">
        <v>1.111054</v>
      </c>
      <c r="L3058">
        <v>246.78749999999999</v>
      </c>
      <c r="M3058">
        <v>-4.1960079999999997E-2</v>
      </c>
      <c r="N3058">
        <v>-1.036227E-2</v>
      </c>
      <c r="O3058">
        <v>-0.9990658</v>
      </c>
      <c r="P3058">
        <v>0.1184684</v>
      </c>
      <c r="Q3058">
        <v>0.15814039999999999</v>
      </c>
      <c r="R3058">
        <v>-0.9802845</v>
      </c>
      <c r="S3058">
        <v>-1.5350340000000001E-2</v>
      </c>
      <c r="T3058">
        <v>-0.1567905</v>
      </c>
      <c r="U3058">
        <v>-3.0868530000000001</v>
      </c>
      <c r="V3058">
        <v>-0.1598494</v>
      </c>
      <c r="W3058">
        <v>0.1678963</v>
      </c>
      <c r="X3058">
        <v>0.97275849999999997</v>
      </c>
      <c r="Y3058">
        <v>-3.6985740000000003E-2</v>
      </c>
      <c r="Z3058">
        <v>4.0292370000000001E-2</v>
      </c>
      <c r="AA3058">
        <v>0.99850309999999998</v>
      </c>
      <c r="AB3058">
        <v>23</v>
      </c>
      <c r="AC3058">
        <v>-0.10099999999999899</v>
      </c>
      <c r="AD3058">
        <v>-1.111049432927</v>
      </c>
      <c r="AE3058">
        <v>-21.6584</v>
      </c>
      <c r="AF3058">
        <v>-0.80580524477033</v>
      </c>
      <c r="AG3058">
        <v>-1.111049432927</v>
      </c>
      <c r="AH3058">
        <v>21.5867556372705</v>
      </c>
      <c r="AI3058">
        <v>92.9443114717252</v>
      </c>
      <c r="AJ3058">
        <v>92.137783637957298</v>
      </c>
      <c r="AK3058">
        <v>21.630343776235598</v>
      </c>
      <c r="AL3058">
        <v>80.334472517390495</v>
      </c>
      <c r="AM3058">
        <v>99.331780672672096</v>
      </c>
      <c r="AN3058">
        <v>1.00000004877814</v>
      </c>
    </row>
    <row r="3059" spans="1:40" x14ac:dyDescent="0.25">
      <c r="A3059" t="str">
        <f>"20190304155115676"</f>
        <v>20190304155115676</v>
      </c>
      <c r="B3059" t="str">
        <f>"1551685875669185"</f>
        <v>1551685875669185</v>
      </c>
      <c r="C3059" t="s">
        <v>40</v>
      </c>
      <c r="D3059">
        <v>4.9366029999999999</v>
      </c>
      <c r="E3059">
        <v>0.54504569999999997</v>
      </c>
      <c r="F3059" t="s">
        <v>62</v>
      </c>
      <c r="G3059">
        <v>-493.02820000000003</v>
      </c>
      <c r="H3059" s="1">
        <v>4.3744549999999996E-6</v>
      </c>
      <c r="I3059">
        <v>224.48679999999999</v>
      </c>
      <c r="J3059">
        <v>-492.90879999999999</v>
      </c>
      <c r="K3059">
        <v>1.111056</v>
      </c>
      <c r="L3059">
        <v>246.6541</v>
      </c>
      <c r="M3059">
        <v>-4.1137100000000003E-2</v>
      </c>
      <c r="N3059">
        <v>-1.0363249999999999E-2</v>
      </c>
      <c r="O3059">
        <v>-0.99909990000000004</v>
      </c>
      <c r="P3059">
        <v>0.1185797</v>
      </c>
      <c r="Q3059">
        <v>0.15873619999999999</v>
      </c>
      <c r="R3059">
        <v>-0.9801744</v>
      </c>
      <c r="S3059">
        <v>-1.7181399999999999E-2</v>
      </c>
      <c r="T3059">
        <v>-0.153809</v>
      </c>
      <c r="U3059">
        <v>-3.0872190000000002</v>
      </c>
      <c r="V3059">
        <v>-0.15915509999999999</v>
      </c>
      <c r="W3059">
        <v>0.16849420000000001</v>
      </c>
      <c r="X3059">
        <v>0.97276890000000005</v>
      </c>
      <c r="Y3059">
        <v>-3.557134E-2</v>
      </c>
      <c r="Z3059">
        <v>3.9328299999999997E-2</v>
      </c>
      <c r="AA3059">
        <v>0.99859299999999995</v>
      </c>
      <c r="AB3059">
        <v>23</v>
      </c>
      <c r="AC3059">
        <v>-0.119400000000041</v>
      </c>
      <c r="AD3059">
        <v>-1.111051625545</v>
      </c>
      <c r="AE3059">
        <v>-22.167300000000001</v>
      </c>
      <c r="AF3059">
        <v>-0.79066217557903595</v>
      </c>
      <c r="AG3059">
        <v>-1.111051625545</v>
      </c>
      <c r="AH3059">
        <v>22.097934279443201</v>
      </c>
      <c r="AI3059">
        <v>92.876486174840494</v>
      </c>
      <c r="AJ3059">
        <v>92.049163881371896</v>
      </c>
      <c r="AK3059">
        <v>22.139970230538001</v>
      </c>
      <c r="AL3059">
        <v>80.299719676617201</v>
      </c>
      <c r="AM3059">
        <v>99.291859274355602</v>
      </c>
      <c r="AN3059">
        <v>0.99999998704842996</v>
      </c>
    </row>
    <row r="3060" spans="1:40" x14ac:dyDescent="0.25">
      <c r="A3060" t="str">
        <f>"20190304155115690"</f>
        <v>20190304155115690</v>
      </c>
      <c r="B3060" t="str">
        <f>"1551685875679921"</f>
        <v>1551685875679921</v>
      </c>
      <c r="C3060" t="s">
        <v>40</v>
      </c>
      <c r="D3060">
        <v>4.9771489999999998</v>
      </c>
      <c r="E3060">
        <v>0.54546569999999905</v>
      </c>
      <c r="F3060" t="s">
        <v>62</v>
      </c>
      <c r="G3060">
        <v>-493.03160000000003</v>
      </c>
      <c r="H3060" s="1">
        <v>4.2651470000000003E-6</v>
      </c>
      <c r="I3060">
        <v>223.9957</v>
      </c>
      <c r="J3060">
        <v>-492.91379999999998</v>
      </c>
      <c r="K3060">
        <v>1.1110610000000001</v>
      </c>
      <c r="L3060">
        <v>246.5103</v>
      </c>
      <c r="M3060">
        <v>-4.0250519999999998E-2</v>
      </c>
      <c r="N3060">
        <v>-1.036431E-2</v>
      </c>
      <c r="O3060">
        <v>-0.99913609999999997</v>
      </c>
      <c r="P3060">
        <v>0.11906220000000001</v>
      </c>
      <c r="Q3060">
        <v>0.15896189999999999</v>
      </c>
      <c r="R3060">
        <v>-0.98007940000000004</v>
      </c>
      <c r="S3060">
        <v>-1.672363E-2</v>
      </c>
      <c r="T3060">
        <v>-0.15138160000000001</v>
      </c>
      <c r="U3060">
        <v>-3.0872190000000002</v>
      </c>
      <c r="V3060">
        <v>-0.15876989999999999</v>
      </c>
      <c r="W3060">
        <v>0.1687217</v>
      </c>
      <c r="X3060">
        <v>0.9727924</v>
      </c>
      <c r="Y3060">
        <v>-3.4832790000000002E-2</v>
      </c>
      <c r="Z3060">
        <v>3.8547999999999999E-2</v>
      </c>
      <c r="AA3060">
        <v>0.99864949999999997</v>
      </c>
      <c r="AB3060">
        <v>23</v>
      </c>
      <c r="AC3060">
        <v>-0.11780000000004499</v>
      </c>
      <c r="AD3060">
        <v>-1.111056734853</v>
      </c>
      <c r="AE3060">
        <v>-22.514600000000002</v>
      </c>
      <c r="AF3060">
        <v>-0.78665264915538602</v>
      </c>
      <c r="AG3060">
        <v>-1.111056734853</v>
      </c>
      <c r="AH3060">
        <v>22.446433182238898</v>
      </c>
      <c r="AI3060">
        <v>92.831986101165796</v>
      </c>
      <c r="AJ3060">
        <v>92.007153539184301</v>
      </c>
      <c r="AK3060">
        <v>22.487677338115599</v>
      </c>
      <c r="AL3060">
        <v>80.286495425078996</v>
      </c>
      <c r="AM3060">
        <v>99.269541169940297</v>
      </c>
      <c r="AN3060">
        <v>0.99999997334732904</v>
      </c>
    </row>
    <row r="3061" spans="1:40" x14ac:dyDescent="0.25">
      <c r="A3061" t="str">
        <f>"20190304155115703"</f>
        <v>20190304155115703</v>
      </c>
      <c r="B3061" t="str">
        <f>"1551685875700086"</f>
        <v>1551685875700086</v>
      </c>
      <c r="C3061" t="s">
        <v>40</v>
      </c>
      <c r="D3061">
        <v>5.0145939999999998</v>
      </c>
      <c r="E3061">
        <v>0.54601029999999995</v>
      </c>
      <c r="F3061" t="s">
        <v>62</v>
      </c>
      <c r="G3061">
        <v>-493.04770000000002</v>
      </c>
      <c r="H3061" s="1">
        <v>4.2301249999999996E-6</v>
      </c>
      <c r="I3061">
        <v>223.8535</v>
      </c>
      <c r="J3061">
        <v>-492.91829999999999</v>
      </c>
      <c r="K3061">
        <v>1.1110629999999999</v>
      </c>
      <c r="L3061">
        <v>246.37719999999999</v>
      </c>
      <c r="M3061">
        <v>-3.9429230000000003E-2</v>
      </c>
      <c r="N3061">
        <v>-1.0365360000000001E-2</v>
      </c>
      <c r="O3061">
        <v>-0.99916879999999997</v>
      </c>
      <c r="P3061">
        <v>0.1196725</v>
      </c>
      <c r="Q3061">
        <v>0.15922720000000001</v>
      </c>
      <c r="R3061">
        <v>-0.97996209999999995</v>
      </c>
      <c r="S3061">
        <v>-1.824951E-2</v>
      </c>
      <c r="T3061">
        <v>-0.15141949999999901</v>
      </c>
      <c r="U3061">
        <v>-3.0877690000000002</v>
      </c>
      <c r="V3061">
        <v>-0.15857570000000001</v>
      </c>
      <c r="W3061">
        <v>0.1689872</v>
      </c>
      <c r="X3061">
        <v>0.97277800000000003</v>
      </c>
      <c r="Y3061">
        <v>-3.3519159999999999E-2</v>
      </c>
      <c r="Z3061">
        <v>3.8553999999999998E-2</v>
      </c>
      <c r="AA3061">
        <v>0.99869419999999998</v>
      </c>
      <c r="AB3061">
        <v>23</v>
      </c>
      <c r="AC3061">
        <v>-0.12940000000003199</v>
      </c>
      <c r="AD3061">
        <v>-1.1110587698750001</v>
      </c>
      <c r="AE3061">
        <v>-22.523699999999899</v>
      </c>
      <c r="AF3061">
        <v>-0.75699838225322502</v>
      </c>
      <c r="AG3061">
        <v>-1.1110587698750001</v>
      </c>
      <c r="AH3061">
        <v>22.456643520949299</v>
      </c>
      <c r="AI3061">
        <v>92.830835447358297</v>
      </c>
      <c r="AJ3061">
        <v>91.930671211146006</v>
      </c>
      <c r="AK3061">
        <v>22.4968516990232</v>
      </c>
      <c r="AL3061">
        <v>80.271061866862198</v>
      </c>
      <c r="AM3061">
        <v>99.258534230040098</v>
      </c>
      <c r="AN3061">
        <v>0.99999998183916405</v>
      </c>
    </row>
    <row r="3062" spans="1:40" x14ac:dyDescent="0.25">
      <c r="A3062" t="str">
        <f>"20190304155115720"</f>
        <v>20190304155115720</v>
      </c>
      <c r="B3062" t="str">
        <f>"1551685875709850"</f>
        <v>1551685875709850</v>
      </c>
      <c r="C3062" t="s">
        <v>40</v>
      </c>
      <c r="D3062">
        <v>5.0007619999999999</v>
      </c>
      <c r="E3062">
        <v>0.54624349999999999</v>
      </c>
      <c r="F3062" t="s">
        <v>62</v>
      </c>
      <c r="G3062">
        <v>-493.07049999999998</v>
      </c>
      <c r="H3062" s="1">
        <v>4.1528500000000004E-6</v>
      </c>
      <c r="I3062">
        <v>223.52680000000001</v>
      </c>
      <c r="J3062">
        <v>-492.9239</v>
      </c>
      <c r="K3062">
        <v>1.1110679999999999</v>
      </c>
      <c r="L3062">
        <v>246.20349999999999</v>
      </c>
      <c r="M3062">
        <v>-3.8355439999999998E-2</v>
      </c>
      <c r="N3062">
        <v>-1.0366709999999999E-2</v>
      </c>
      <c r="O3062">
        <v>-0.9992105</v>
      </c>
      <c r="P3062">
        <v>0.12069240000000001</v>
      </c>
      <c r="Q3062">
        <v>0.15993470000000001</v>
      </c>
      <c r="R3062">
        <v>-0.97972159999999997</v>
      </c>
      <c r="S3062">
        <v>-2.056885E-2</v>
      </c>
      <c r="T3062">
        <v>-0.1501615</v>
      </c>
      <c r="U3062">
        <v>-3.0882719999999999</v>
      </c>
      <c r="V3062">
        <v>-0.158540299999999</v>
      </c>
      <c r="W3062">
        <v>0.1696945</v>
      </c>
      <c r="X3062">
        <v>0.97266070000000004</v>
      </c>
      <c r="Y3062">
        <v>-3.1696540000000002E-2</v>
      </c>
      <c r="Z3062">
        <v>3.8143700000000003E-2</v>
      </c>
      <c r="AA3062">
        <v>0.99876949999999998</v>
      </c>
      <c r="AB3062">
        <v>23</v>
      </c>
      <c r="AC3062">
        <v>-0.146599999999978</v>
      </c>
      <c r="AD3062">
        <v>-1.1110638471499901</v>
      </c>
      <c r="AE3062">
        <v>-22.676699999999901</v>
      </c>
      <c r="AF3062">
        <v>-0.72159714397675601</v>
      </c>
      <c r="AG3062">
        <v>-1.1110638471499901</v>
      </c>
      <c r="AH3062">
        <v>22.611356612359199</v>
      </c>
      <c r="AI3062">
        <v>92.811675374446295</v>
      </c>
      <c r="AJ3062">
        <v>91.827862188313006</v>
      </c>
      <c r="AK3062">
        <v>22.6501349479848</v>
      </c>
      <c r="AL3062">
        <v>80.229943308819401</v>
      </c>
      <c r="AM3062">
        <v>99.257600141463001</v>
      </c>
      <c r="AN3062">
        <v>1.0000000436894101</v>
      </c>
    </row>
    <row r="3063" spans="1:40" x14ac:dyDescent="0.25">
      <c r="A3063" t="str">
        <f>"20190304155115733"</f>
        <v>20190304155115733</v>
      </c>
      <c r="B3063" t="str">
        <f>"1551685875729366"</f>
        <v>1551685875729366</v>
      </c>
      <c r="C3063" t="s">
        <v>40</v>
      </c>
      <c r="D3063">
        <v>4.9611199999999904</v>
      </c>
      <c r="E3063">
        <v>0.54656070000000001</v>
      </c>
      <c r="F3063" t="s">
        <v>62</v>
      </c>
      <c r="G3063">
        <v>-493.0609</v>
      </c>
      <c r="H3063" s="1">
        <v>3.9795120000000001E-6</v>
      </c>
      <c r="I3063">
        <v>222.82810000000001</v>
      </c>
      <c r="J3063">
        <v>-492.92809999999997</v>
      </c>
      <c r="K3063">
        <v>1.111073</v>
      </c>
      <c r="L3063">
        <v>246.07249999999999</v>
      </c>
      <c r="M3063">
        <v>-3.7542430000000002E-2</v>
      </c>
      <c r="N3063">
        <v>-1.036773E-2</v>
      </c>
      <c r="O3063">
        <v>-0.9992413</v>
      </c>
      <c r="P3063">
        <v>0.1214877</v>
      </c>
      <c r="Q3063">
        <v>0.16025899999999901</v>
      </c>
      <c r="R3063">
        <v>-0.9795703</v>
      </c>
      <c r="S3063">
        <v>-1.8096919999999999E-2</v>
      </c>
      <c r="T3063">
        <v>-0.14679300000000001</v>
      </c>
      <c r="U3063">
        <v>-3.088333</v>
      </c>
      <c r="V3063">
        <v>-0.1585387</v>
      </c>
      <c r="W3063">
        <v>0.1700178</v>
      </c>
      <c r="X3063">
        <v>0.97260449999999998</v>
      </c>
      <c r="Y3063">
        <v>-3.1682769999999999E-2</v>
      </c>
      <c r="Z3063">
        <v>3.7057909999999999E-2</v>
      </c>
      <c r="AA3063">
        <v>0.9988108</v>
      </c>
      <c r="AB3063">
        <v>23</v>
      </c>
      <c r="AC3063">
        <v>-0.132800000000031</v>
      </c>
      <c r="AD3063">
        <v>-1.111069020488</v>
      </c>
      <c r="AE3063">
        <v>-23.244399999999899</v>
      </c>
      <c r="AF3063">
        <v>-0.73830493708592804</v>
      </c>
      <c r="AG3063">
        <v>-1.111069020488</v>
      </c>
      <c r="AH3063">
        <v>23.1800379601038</v>
      </c>
      <c r="AI3063">
        <v>92.742820706912994</v>
      </c>
      <c r="AJ3063">
        <v>91.824305072656401</v>
      </c>
      <c r="AK3063">
        <v>23.218392028309498</v>
      </c>
      <c r="AL3063">
        <v>80.211146433220705</v>
      </c>
      <c r="AM3063">
        <v>99.258033995012099</v>
      </c>
      <c r="AN3063">
        <v>1.0000000425673801</v>
      </c>
    </row>
    <row r="3064" spans="1:40" x14ac:dyDescent="0.25">
      <c r="A3064" t="str">
        <f>"20190304155115753"</f>
        <v>20190304155115753</v>
      </c>
      <c r="B3064" t="str">
        <f>"1551685875749862"</f>
        <v>1551685875749862</v>
      </c>
      <c r="C3064" t="s">
        <v>40</v>
      </c>
      <c r="D3064">
        <v>4.9386400000000004</v>
      </c>
      <c r="E3064">
        <v>0.54690559999999999</v>
      </c>
      <c r="F3064" t="s">
        <v>62</v>
      </c>
      <c r="G3064">
        <v>-493.06900000000002</v>
      </c>
      <c r="H3064" s="1">
        <v>3.8267589999999999E-6</v>
      </c>
      <c r="I3064">
        <v>222.33969999999999</v>
      </c>
      <c r="J3064">
        <v>-492.93439999999998</v>
      </c>
      <c r="K3064">
        <v>1.111086</v>
      </c>
      <c r="L3064">
        <v>245.8647</v>
      </c>
      <c r="M3064">
        <v>-3.6239550000000002E-2</v>
      </c>
      <c r="N3064">
        <v>-1.036947E-2</v>
      </c>
      <c r="O3064">
        <v>-0.99928919999999999</v>
      </c>
      <c r="P3064">
        <v>0.1234866</v>
      </c>
      <c r="Q3064">
        <v>0.16128310000000001</v>
      </c>
      <c r="R3064">
        <v>-0.97915200000000002</v>
      </c>
      <c r="S3064">
        <v>-1.8341059999999999E-2</v>
      </c>
      <c r="T3064">
        <v>-0.14459129999999901</v>
      </c>
      <c r="U3064">
        <v>-3.0885159999999998</v>
      </c>
      <c r="V3064">
        <v>-0.15925699999999901</v>
      </c>
      <c r="W3064">
        <v>0.17103499999999999</v>
      </c>
      <c r="X3064">
        <v>0.97230870000000003</v>
      </c>
      <c r="Y3064">
        <v>-3.030134E-2</v>
      </c>
      <c r="Z3064">
        <v>3.6347839999999999E-2</v>
      </c>
      <c r="AA3064">
        <v>0.99887969999999904</v>
      </c>
      <c r="AB3064">
        <v>23</v>
      </c>
      <c r="AC3064">
        <v>-0.134600000000034</v>
      </c>
      <c r="AD3064">
        <v>-1.1110821732409999</v>
      </c>
      <c r="AE3064">
        <v>-23.524999999999999</v>
      </c>
      <c r="AF3064">
        <v>-0.71647163750696197</v>
      </c>
      <c r="AG3064">
        <v>-1.1110821732409999</v>
      </c>
      <c r="AH3064">
        <v>23.4620894179942</v>
      </c>
      <c r="AI3064">
        <v>92.710039903281199</v>
      </c>
      <c r="AJ3064">
        <v>91.749121612847802</v>
      </c>
      <c r="AK3064">
        <v>23.499307969831801</v>
      </c>
      <c r="AL3064">
        <v>80.151998271811195</v>
      </c>
      <c r="AM3064">
        <v>99.302028342525006</v>
      </c>
      <c r="AN3064">
        <v>0.99999998568484405</v>
      </c>
    </row>
    <row r="3065" spans="1:40" x14ac:dyDescent="0.25">
      <c r="A3065" t="str">
        <f>"20190304155115765"</f>
        <v>20190304155115765</v>
      </c>
      <c r="B3065" t="str">
        <f>"1551685875759622"</f>
        <v>1551685875759622</v>
      </c>
      <c r="C3065" t="s">
        <v>40</v>
      </c>
      <c r="D3065">
        <v>4.9521699999999997</v>
      </c>
      <c r="E3065">
        <v>0.54727890000000001</v>
      </c>
      <c r="F3065" t="s">
        <v>62</v>
      </c>
      <c r="G3065">
        <v>-493.05119999999999</v>
      </c>
      <c r="H3065" s="1">
        <v>3.5343059999999999E-6</v>
      </c>
      <c r="I3065">
        <v>221.3854</v>
      </c>
      <c r="J3065">
        <v>-492.93810000000002</v>
      </c>
      <c r="K3065">
        <v>1.111097</v>
      </c>
      <c r="L3065">
        <v>245.7379</v>
      </c>
      <c r="M3065">
        <v>-3.543524E-2</v>
      </c>
      <c r="N3065">
        <v>-1.0370610000000001E-2</v>
      </c>
      <c r="O3065">
        <v>-0.99931820000000005</v>
      </c>
      <c r="P3065">
        <v>0.124599</v>
      </c>
      <c r="Q3065">
        <v>0.16175209999999901</v>
      </c>
      <c r="R3065">
        <v>-0.97893399999999997</v>
      </c>
      <c r="S3065">
        <v>-1.473999E-2</v>
      </c>
      <c r="T3065">
        <v>-0.14019999999999999</v>
      </c>
      <c r="U3065">
        <v>-3.088867</v>
      </c>
      <c r="V3065">
        <v>-0.15958229999999901</v>
      </c>
      <c r="W3065">
        <v>0.17149919999999999</v>
      </c>
      <c r="X3065">
        <v>0.97217359999999997</v>
      </c>
      <c r="Y3065">
        <v>-3.0661859999999999E-2</v>
      </c>
      <c r="Z3065">
        <v>3.4927010000000001E-2</v>
      </c>
      <c r="AA3065">
        <v>0.99891940000000001</v>
      </c>
      <c r="AB3065">
        <v>23</v>
      </c>
      <c r="AC3065">
        <v>-0.113099999999974</v>
      </c>
      <c r="AD3065">
        <v>-1.1110934656939999</v>
      </c>
      <c r="AE3065">
        <v>-24.3524999999999</v>
      </c>
      <c r="AF3065">
        <v>-0.74839620866578405</v>
      </c>
      <c r="AG3065">
        <v>-1.1110934656939999</v>
      </c>
      <c r="AH3065">
        <v>24.2906480310895</v>
      </c>
      <c r="AI3065">
        <v>92.617735506278507</v>
      </c>
      <c r="AJ3065">
        <v>91.764727880579002</v>
      </c>
      <c r="AK3065">
        <v>24.327560653401399</v>
      </c>
      <c r="AL3065">
        <v>80.125002816776899</v>
      </c>
      <c r="AM3065">
        <v>99.321968180183404</v>
      </c>
      <c r="AN3065">
        <v>0.99999999730544498</v>
      </c>
    </row>
    <row r="3066" spans="1:40" x14ac:dyDescent="0.25">
      <c r="A3066" t="str">
        <f>"20190304155115778"</f>
        <v>20190304155115778</v>
      </c>
      <c r="B3066" t="str">
        <f>"1551685875769383"</f>
        <v>1551685875769383</v>
      </c>
      <c r="C3066" t="s">
        <v>40</v>
      </c>
      <c r="D3066">
        <v>5.0332239999999997</v>
      </c>
      <c r="E3066">
        <v>0.54731459999999998</v>
      </c>
      <c r="F3066" t="s">
        <v>62</v>
      </c>
      <c r="G3066">
        <v>-493.05360000000002</v>
      </c>
      <c r="H3066" s="1">
        <v>3.3882270000000001E-6</v>
      </c>
      <c r="I3066">
        <v>220.9153</v>
      </c>
      <c r="J3066">
        <v>-492.94170000000003</v>
      </c>
      <c r="K3066">
        <v>1.11111</v>
      </c>
      <c r="L3066">
        <v>245.61259999999999</v>
      </c>
      <c r="M3066">
        <v>-3.4625469999999998E-2</v>
      </c>
      <c r="N3066">
        <v>-1.037188E-2</v>
      </c>
      <c r="O3066">
        <v>-0.99934670000000003</v>
      </c>
      <c r="P3066">
        <v>0.1258194</v>
      </c>
      <c r="Q3066">
        <v>0.1618713</v>
      </c>
      <c r="R3066">
        <v>-0.97875849999999998</v>
      </c>
      <c r="S3066">
        <v>-1.4373779999999999E-2</v>
      </c>
      <c r="T3066">
        <v>-0.13827729999999999</v>
      </c>
      <c r="U3066">
        <v>-3.0892179999999998</v>
      </c>
      <c r="V3066">
        <v>-0.1600125</v>
      </c>
      <c r="W3066">
        <v>0.17161289999999901</v>
      </c>
      <c r="X3066">
        <v>0.97208289999999997</v>
      </c>
      <c r="Y3066">
        <v>-2.9971069999999999E-2</v>
      </c>
      <c r="Z3066">
        <v>3.4302920000000001E-2</v>
      </c>
      <c r="AA3066">
        <v>0.99896200000000002</v>
      </c>
      <c r="AB3066">
        <v>23</v>
      </c>
      <c r="AC3066">
        <v>-0.11189999999999101</v>
      </c>
      <c r="AD3066">
        <v>-1.111106611773</v>
      </c>
      <c r="AE3066">
        <v>-24.697299999999899</v>
      </c>
      <c r="AF3066">
        <v>-0.74186707366788096</v>
      </c>
      <c r="AG3066">
        <v>-1.111106611773</v>
      </c>
      <c r="AH3066">
        <v>24.636500203512199</v>
      </c>
      <c r="AI3066">
        <v>92.5811224683234</v>
      </c>
      <c r="AJ3066">
        <v>91.724799030951402</v>
      </c>
      <c r="AK3066">
        <v>24.6726988174252</v>
      </c>
      <c r="AL3066">
        <v>80.118391036919704</v>
      </c>
      <c r="AM3066">
        <v>99.347512039756097</v>
      </c>
      <c r="AN3066">
        <v>1.0000000760375301</v>
      </c>
    </row>
    <row r="3067" spans="1:40" x14ac:dyDescent="0.25">
      <c r="A3067" t="str">
        <f>"20190304155115790"</f>
        <v>20190304155115790</v>
      </c>
      <c r="B3067" t="str">
        <f>"1551685875779142"</f>
        <v>1551685875779142</v>
      </c>
      <c r="C3067" t="s">
        <v>40</v>
      </c>
      <c r="D3067">
        <v>5.206836</v>
      </c>
      <c r="E3067">
        <v>0.54731459999999998</v>
      </c>
      <c r="F3067" t="s">
        <v>62</v>
      </c>
      <c r="G3067">
        <v>-493.03449999999998</v>
      </c>
      <c r="H3067" s="1">
        <v>3.2936009999999999E-6</v>
      </c>
      <c r="I3067">
        <v>220.59889999999999</v>
      </c>
      <c r="J3067">
        <v>-492.94540000000001</v>
      </c>
      <c r="K3067">
        <v>1.111127</v>
      </c>
      <c r="L3067">
        <v>245.4769</v>
      </c>
      <c r="M3067">
        <v>-3.3737129999999997E-2</v>
      </c>
      <c r="N3067">
        <v>-1.037331E-2</v>
      </c>
      <c r="O3067">
        <v>-0.99937710000000002</v>
      </c>
      <c r="P3067">
        <v>0.12702239999999901</v>
      </c>
      <c r="Q3067">
        <v>0.161661</v>
      </c>
      <c r="R3067">
        <v>-0.97863770000000005</v>
      </c>
      <c r="S3067">
        <v>-1.147461E-2</v>
      </c>
      <c r="T3067">
        <v>-0.13722490000000001</v>
      </c>
      <c r="U3067">
        <v>-3.089264</v>
      </c>
      <c r="V3067">
        <v>-0.16035150000000001</v>
      </c>
      <c r="W3067">
        <v>0.17139579999999999</v>
      </c>
      <c r="X3067">
        <v>0.97206530000000002</v>
      </c>
      <c r="Y3067">
        <v>-3.0020100000000001E-2</v>
      </c>
      <c r="Z3067">
        <v>3.396333E-2</v>
      </c>
      <c r="AA3067">
        <v>0.99897210000000003</v>
      </c>
      <c r="AB3067">
        <v>23</v>
      </c>
      <c r="AC3067">
        <v>-8.9099999999973506E-2</v>
      </c>
      <c r="AD3067">
        <v>-1.111123706399</v>
      </c>
      <c r="AE3067">
        <v>-24.878</v>
      </c>
      <c r="AF3067">
        <v>-0.74881434796813295</v>
      </c>
      <c r="AG3067">
        <v>-1.111123706399</v>
      </c>
      <c r="AH3067">
        <v>24.817338226074298</v>
      </c>
      <c r="AI3067">
        <v>92.562374309949007</v>
      </c>
      <c r="AJ3067">
        <v>91.728263056268105</v>
      </c>
      <c r="AK3067">
        <v>24.853482561725901</v>
      </c>
      <c r="AL3067">
        <v>80.131016621680402</v>
      </c>
      <c r="AM3067">
        <v>99.367131505512702</v>
      </c>
      <c r="AN3067">
        <v>1.00000003563698</v>
      </c>
    </row>
    <row r="3068" spans="1:40" x14ac:dyDescent="0.25">
      <c r="A3068" t="str">
        <f>"20190304155115802"</f>
        <v>20190304155115802</v>
      </c>
      <c r="B3068" t="str">
        <f>"1551685875799638"</f>
        <v>1551685875799638</v>
      </c>
      <c r="C3068" t="s">
        <v>40</v>
      </c>
      <c r="D3068">
        <v>4.9392230000000001</v>
      </c>
      <c r="E3068">
        <v>0.50214239999999999</v>
      </c>
      <c r="F3068" t="s">
        <v>62</v>
      </c>
      <c r="G3068">
        <v>-493.00450000000001</v>
      </c>
      <c r="H3068" s="1">
        <v>3.2896420000000001E-6</v>
      </c>
      <c r="I3068">
        <v>220.56890000000001</v>
      </c>
      <c r="J3068">
        <v>-492.94880000000001</v>
      </c>
      <c r="K3068">
        <v>1.111151</v>
      </c>
      <c r="L3068">
        <v>245.34880000000001</v>
      </c>
      <c r="M3068">
        <v>-3.2876610000000001E-2</v>
      </c>
      <c r="N3068">
        <v>-1.037476E-2</v>
      </c>
      <c r="O3068">
        <v>-0.99940560000000001</v>
      </c>
      <c r="P3068">
        <v>0.12847149999999999</v>
      </c>
      <c r="Q3068">
        <v>0.161332</v>
      </c>
      <c r="R3068">
        <v>-0.97850239999999999</v>
      </c>
      <c r="S3068">
        <v>-7.3242189999999999E-3</v>
      </c>
      <c r="T3068">
        <v>-0.1378074</v>
      </c>
      <c r="U3068">
        <v>-3.0892179999999998</v>
      </c>
      <c r="V3068">
        <v>-0.1609659</v>
      </c>
      <c r="W3068">
        <v>0.1710576</v>
      </c>
      <c r="X3068">
        <v>0.97202330000000003</v>
      </c>
      <c r="Y3068">
        <v>-3.050135E-2</v>
      </c>
      <c r="Z3068">
        <v>3.4151819999999999E-2</v>
      </c>
      <c r="AA3068">
        <v>0.99895109999999998</v>
      </c>
      <c r="AB3068">
        <v>23</v>
      </c>
      <c r="AC3068">
        <v>-5.5700000000001602E-2</v>
      </c>
      <c r="AD3068">
        <v>-1.1111477103579901</v>
      </c>
      <c r="AE3068">
        <v>-24.779900000000001</v>
      </c>
      <c r="AF3068">
        <v>-0.75752989706077001</v>
      </c>
      <c r="AG3068">
        <v>-1.1111477103579901</v>
      </c>
      <c r="AH3068">
        <v>24.718633133994999</v>
      </c>
      <c r="AI3068">
        <v>92.572611099446902</v>
      </c>
      <c r="AJ3068">
        <v>91.755343246120603</v>
      </c>
      <c r="AK3068">
        <v>24.755187835930599</v>
      </c>
      <c r="AL3068">
        <v>80.150684257033603</v>
      </c>
      <c r="AM3068">
        <v>99.402781750265405</v>
      </c>
      <c r="AN3068">
        <v>1.0000000096117301</v>
      </c>
    </row>
    <row r="3069" spans="1:40" x14ac:dyDescent="0.25">
      <c r="A3069" t="str">
        <f>"20190304155115822"</f>
        <v>20190304155115822</v>
      </c>
      <c r="B3069" t="str">
        <f>"1551685875819158"</f>
        <v>1551685875819158</v>
      </c>
      <c r="C3069" t="s">
        <v>40</v>
      </c>
      <c r="D3069">
        <v>5.0211439999999996</v>
      </c>
      <c r="E3069">
        <v>0.49643379999999998</v>
      </c>
      <c r="F3069" t="s">
        <v>62</v>
      </c>
      <c r="G3069">
        <v>-490.68150000000003</v>
      </c>
      <c r="H3069" s="1">
        <v>5.2990450000000002E-6</v>
      </c>
      <c r="I3069">
        <v>225.8288</v>
      </c>
      <c r="J3069">
        <v>-492.95359999999999</v>
      </c>
      <c r="K3069">
        <v>1.1111850000000001</v>
      </c>
      <c r="L3069">
        <v>245.15799999999999</v>
      </c>
      <c r="M3069">
        <v>-3.1554060000000002E-2</v>
      </c>
      <c r="N3069">
        <v>-1.037721E-2</v>
      </c>
      <c r="O3069">
        <v>-0.99944820000000001</v>
      </c>
      <c r="P3069">
        <v>0.1303772</v>
      </c>
      <c r="Q3069">
        <v>0.16033599999999901</v>
      </c>
      <c r="R3069">
        <v>-0.97841440000000002</v>
      </c>
      <c r="S3069">
        <v>0.35403440000000003</v>
      </c>
      <c r="T3069">
        <v>-0.17350270000000001</v>
      </c>
      <c r="U3069">
        <v>-3.0480040000000002</v>
      </c>
      <c r="V3069">
        <v>-0.1615934</v>
      </c>
      <c r="W3069">
        <v>0.1700469</v>
      </c>
      <c r="X3069">
        <v>0.97209650000000003</v>
      </c>
      <c r="Y3069">
        <v>-0.14649200000000001</v>
      </c>
      <c r="Z3069">
        <v>4.5911210000000001E-2</v>
      </c>
      <c r="AA3069">
        <v>0.98814590000000002</v>
      </c>
      <c r="AB3069">
        <v>23</v>
      </c>
      <c r="AC3069">
        <v>2.27209999999996</v>
      </c>
      <c r="AD3069">
        <v>-1.111179700955</v>
      </c>
      <c r="AE3069">
        <v>-19.329199999999901</v>
      </c>
      <c r="AF3069">
        <v>-2.8715555581434802</v>
      </c>
      <c r="AG3069">
        <v>-1.111179700955</v>
      </c>
      <c r="AH3069">
        <v>19.185337144648901</v>
      </c>
      <c r="AI3069">
        <v>93.278326870825893</v>
      </c>
      <c r="AJ3069">
        <v>98.512524805402506</v>
      </c>
      <c r="AK3069">
        <v>19.4308443719043</v>
      </c>
      <c r="AL3069">
        <v>80.209453971250198</v>
      </c>
      <c r="AM3069">
        <v>99.438080693424993</v>
      </c>
      <c r="AN3069">
        <v>0.99999999021771002</v>
      </c>
    </row>
    <row r="3070" spans="1:40" x14ac:dyDescent="0.25">
      <c r="A3070" t="str">
        <f>"20190304155115843"</f>
        <v>20190304155115843</v>
      </c>
      <c r="B3070" t="str">
        <f>"1551685875839654"</f>
        <v>1551685875839654</v>
      </c>
      <c r="C3070" t="s">
        <v>40</v>
      </c>
      <c r="D3070">
        <v>4.9748330000000003</v>
      </c>
      <c r="E3070">
        <v>0.49456679999999997</v>
      </c>
      <c r="F3070" t="s">
        <v>62</v>
      </c>
      <c r="G3070">
        <v>-490.3775</v>
      </c>
      <c r="H3070" s="1">
        <v>5.3738640000000002E-6</v>
      </c>
      <c r="I3070">
        <v>225.8527</v>
      </c>
      <c r="J3070">
        <v>-492.9588</v>
      </c>
      <c r="K3070">
        <v>1.1112340000000001</v>
      </c>
      <c r="L3070">
        <v>244.9376</v>
      </c>
      <c r="M3070">
        <v>-2.9955619999999999E-2</v>
      </c>
      <c r="N3070">
        <v>-1.0380439999999999E-2</v>
      </c>
      <c r="O3070">
        <v>-0.99949739999999998</v>
      </c>
      <c r="P3070">
        <v>0.13256409999999999</v>
      </c>
      <c r="Q3070">
        <v>0.15991669999999999</v>
      </c>
      <c r="R3070">
        <v>-0.97818910000000003</v>
      </c>
      <c r="S3070">
        <v>0.4057617</v>
      </c>
      <c r="T3070">
        <v>-0.1750234</v>
      </c>
      <c r="U3070">
        <v>-3.0408019999999998</v>
      </c>
      <c r="V3070">
        <v>-0.1622382</v>
      </c>
      <c r="W3070">
        <v>0.16960610000000001</v>
      </c>
      <c r="X3070">
        <v>0.97206610000000004</v>
      </c>
      <c r="Y3070">
        <v>-0.16170209999999999</v>
      </c>
      <c r="Z3070">
        <v>4.6408369999999997E-2</v>
      </c>
      <c r="AA3070">
        <v>0.98574779999999995</v>
      </c>
      <c r="AB3070">
        <v>23</v>
      </c>
      <c r="AC3070">
        <v>2.5813000000000001</v>
      </c>
      <c r="AD3070">
        <v>-1.111228626136</v>
      </c>
      <c r="AE3070">
        <v>-19.084900000000001</v>
      </c>
      <c r="AF3070">
        <v>-3.1414135032228199</v>
      </c>
      <c r="AG3070">
        <v>-1.111228626136</v>
      </c>
      <c r="AH3070">
        <v>18.935962073333499</v>
      </c>
      <c r="AI3070">
        <v>93.313284248275593</v>
      </c>
      <c r="AJ3070">
        <v>99.419392993836993</v>
      </c>
      <c r="AK3070">
        <v>19.226907382636899</v>
      </c>
      <c r="AL3070">
        <v>80.235082154177604</v>
      </c>
      <c r="AM3070">
        <v>99.475350503879099</v>
      </c>
      <c r="AN3070">
        <v>0.99999998273282997</v>
      </c>
    </row>
    <row r="3071" spans="1:40" x14ac:dyDescent="0.25">
      <c r="A3071" t="str">
        <f>"20190304155115859"</f>
        <v>20190304155115859</v>
      </c>
      <c r="B3071" t="str">
        <f>"1551685875849414"</f>
        <v>1551685875849414</v>
      </c>
      <c r="C3071" t="s">
        <v>40</v>
      </c>
      <c r="D3071">
        <v>4.9583180000000002</v>
      </c>
      <c r="E3071">
        <v>0.4940447</v>
      </c>
      <c r="F3071" t="s">
        <v>62</v>
      </c>
      <c r="G3071">
        <v>-490.23579999999998</v>
      </c>
      <c r="H3071" s="1">
        <v>5.3281489999999997E-6</v>
      </c>
      <c r="I3071">
        <v>225.6037</v>
      </c>
      <c r="J3071">
        <v>-492.96249999999998</v>
      </c>
      <c r="K3071">
        <v>1.1112820000000001</v>
      </c>
      <c r="L3071">
        <v>244.76900000000001</v>
      </c>
      <c r="M3071">
        <v>-2.866807E-2</v>
      </c>
      <c r="N3071">
        <v>-1.03832E-2</v>
      </c>
      <c r="O3071">
        <v>-0.99953519999999896</v>
      </c>
      <c r="P3071">
        <v>0.13411489999999901</v>
      </c>
      <c r="Q3071">
        <v>0.15992519999999999</v>
      </c>
      <c r="R3071">
        <v>-0.97797639999999997</v>
      </c>
      <c r="S3071">
        <v>0.42779539999999999</v>
      </c>
      <c r="T3071">
        <v>-0.1745795</v>
      </c>
      <c r="U3071">
        <v>-3.037445</v>
      </c>
      <c r="V3071">
        <v>-0.162549</v>
      </c>
      <c r="W3071">
        <v>0.16959630000000001</v>
      </c>
      <c r="X3071">
        <v>0.97201590000000004</v>
      </c>
      <c r="Y3071">
        <v>-0.16758819999999999</v>
      </c>
      <c r="Z3071">
        <v>4.6271079999999999E-2</v>
      </c>
      <c r="AA3071">
        <v>0.9847707</v>
      </c>
      <c r="AB3071">
        <v>23</v>
      </c>
      <c r="AC3071">
        <v>2.7266999999999899</v>
      </c>
      <c r="AD3071">
        <v>-1.1112766718510001</v>
      </c>
      <c r="AE3071">
        <v>-19.165299999999998</v>
      </c>
      <c r="AF3071">
        <v>-3.2642837017256898</v>
      </c>
      <c r="AG3071">
        <v>-1.1112766718510001</v>
      </c>
      <c r="AH3071">
        <v>19.016580993092301</v>
      </c>
      <c r="AI3071">
        <v>93.296302158582506</v>
      </c>
      <c r="AJ3071">
        <v>99.740159127257499</v>
      </c>
      <c r="AK3071">
        <v>19.326687160338398</v>
      </c>
      <c r="AL3071">
        <v>80.235652038898394</v>
      </c>
      <c r="AM3071">
        <v>99.493653720550398</v>
      </c>
      <c r="AN3071">
        <v>0.99999999611375001</v>
      </c>
    </row>
    <row r="3072" spans="1:40" x14ac:dyDescent="0.25">
      <c r="A3072" t="str">
        <f>"20190304155115875"</f>
        <v>20190304155115875</v>
      </c>
      <c r="B3072" t="str">
        <f>"1551685875869911"</f>
        <v>1551685875869911</v>
      </c>
      <c r="C3072" t="s">
        <v>40</v>
      </c>
      <c r="D3072">
        <v>4.9488750000000001</v>
      </c>
      <c r="E3072">
        <v>0.49374240000000003</v>
      </c>
      <c r="F3072" t="s">
        <v>62</v>
      </c>
      <c r="G3072">
        <v>-490.13099999999997</v>
      </c>
      <c r="H3072" s="1">
        <v>5.1993149999999997E-6</v>
      </c>
      <c r="I3072">
        <v>225.11279999999999</v>
      </c>
      <c r="J3072">
        <v>-492.96589999999998</v>
      </c>
      <c r="K3072">
        <v>1.1113390000000001</v>
      </c>
      <c r="L3072">
        <v>244.5958</v>
      </c>
      <c r="M3072">
        <v>-2.728622E-2</v>
      </c>
      <c r="N3072">
        <v>-1.038625E-2</v>
      </c>
      <c r="O3072">
        <v>-0.99957370000000001</v>
      </c>
      <c r="P3072">
        <v>0.13663889999999901</v>
      </c>
      <c r="Q3072">
        <v>0.1600039</v>
      </c>
      <c r="R3072">
        <v>-0.97761359999999997</v>
      </c>
      <c r="S3072">
        <v>0.43728640000000002</v>
      </c>
      <c r="T3072">
        <v>-0.1716239</v>
      </c>
      <c r="U3072">
        <v>-3.0356749999999999</v>
      </c>
      <c r="V3072">
        <v>-0.16373989999999999</v>
      </c>
      <c r="W3072">
        <v>0.16964989999999999</v>
      </c>
      <c r="X3072">
        <v>0.97180659999999996</v>
      </c>
      <c r="Y3072">
        <v>-0.16932839999999999</v>
      </c>
      <c r="Z3072">
        <v>4.5326659999999998E-2</v>
      </c>
      <c r="AA3072">
        <v>0.98451690000000003</v>
      </c>
      <c r="AB3072">
        <v>23</v>
      </c>
      <c r="AC3072">
        <v>2.8349000000000002</v>
      </c>
      <c r="AD3072">
        <v>-1.11133380068499</v>
      </c>
      <c r="AE3072">
        <v>-19.483000000000001</v>
      </c>
      <c r="AF3072">
        <v>-3.3548012456429102</v>
      </c>
      <c r="AG3072">
        <v>-1.11133380068499</v>
      </c>
      <c r="AH3072">
        <v>19.336775471693901</v>
      </c>
      <c r="AI3072">
        <v>93.241006237480406</v>
      </c>
      <c r="AJ3072">
        <v>99.842462542961101</v>
      </c>
      <c r="AK3072">
        <v>19.657076075983799</v>
      </c>
      <c r="AL3072">
        <v>80.232535428647907</v>
      </c>
      <c r="AM3072">
        <v>99.5639496742251</v>
      </c>
      <c r="AN3072">
        <v>0.99999995561278898</v>
      </c>
    </row>
    <row r="3073" spans="1:40" x14ac:dyDescent="0.25">
      <c r="A3073" t="str">
        <f>"20190304155115898"</f>
        <v>20190304155115898</v>
      </c>
      <c r="B3073" t="str">
        <f>"1551685875889122"</f>
        <v>1551685875889122</v>
      </c>
      <c r="C3073" t="s">
        <v>40</v>
      </c>
      <c r="D3073">
        <v>5.0142949999999997</v>
      </c>
      <c r="E3073">
        <v>0.49349480000000001</v>
      </c>
      <c r="F3073" t="s">
        <v>62</v>
      </c>
      <c r="G3073">
        <v>-490.10660000000001</v>
      </c>
      <c r="H3073" s="1">
        <v>5.2307520000000003E-6</v>
      </c>
      <c r="I3073">
        <v>225.1968</v>
      </c>
      <c r="J3073">
        <v>-492.97019999999998</v>
      </c>
      <c r="K3073">
        <v>1.1114310000000001</v>
      </c>
      <c r="L3073">
        <v>244.35489999999999</v>
      </c>
      <c r="M3073">
        <v>-2.52578E-2</v>
      </c>
      <c r="N3073">
        <v>-1.039083E-2</v>
      </c>
      <c r="O3073">
        <v>-0.99962700000000004</v>
      </c>
      <c r="P3073">
        <v>0.13964570000000001</v>
      </c>
      <c r="Q3073">
        <v>0.16065309999999999</v>
      </c>
      <c r="R3073">
        <v>-0.97708240000000002</v>
      </c>
      <c r="S3073">
        <v>0.44729609999999898</v>
      </c>
      <c r="T3073">
        <v>-0.1738497</v>
      </c>
      <c r="U3073">
        <v>-3.034653</v>
      </c>
      <c r="V3073">
        <v>-0.16479160000000001</v>
      </c>
      <c r="W3073">
        <v>0.17026450000000001</v>
      </c>
      <c r="X3073">
        <v>0.97152139999999998</v>
      </c>
      <c r="Y3073">
        <v>-0.17054920000000001</v>
      </c>
      <c r="Z3073">
        <v>4.6047850000000001E-2</v>
      </c>
      <c r="AA3073">
        <v>0.98427260000000005</v>
      </c>
      <c r="AB3073">
        <v>23</v>
      </c>
      <c r="AC3073">
        <v>2.86359999999996</v>
      </c>
      <c r="AD3073">
        <v>-1.1114257692479901</v>
      </c>
      <c r="AE3073">
        <v>-19.158099999999902</v>
      </c>
      <c r="AF3073">
        <v>-3.3356230241136702</v>
      </c>
      <c r="AG3073">
        <v>-1.1114257692479901</v>
      </c>
      <c r="AH3073">
        <v>19.0170510674754</v>
      </c>
      <c r="AI3073">
        <v>93.294586462071095</v>
      </c>
      <c r="AJ3073">
        <v>99.948575604023603</v>
      </c>
      <c r="AK3073">
        <v>19.339335032583602</v>
      </c>
      <c r="AL3073">
        <v>80.196802508805106</v>
      </c>
      <c r="AM3073">
        <v>99.627005825809803</v>
      </c>
      <c r="AN3073">
        <v>1.0000000510243801</v>
      </c>
    </row>
    <row r="3074" spans="1:40" x14ac:dyDescent="0.25">
      <c r="A3074" t="str">
        <f>"20190304155115912"</f>
        <v>20190304155115912</v>
      </c>
      <c r="B3074" t="str">
        <f>"1551685875909619"</f>
        <v>1551685875909619</v>
      </c>
      <c r="C3074" t="s">
        <v>40</v>
      </c>
      <c r="D3074">
        <v>4.9159040000000003</v>
      </c>
      <c r="E3074">
        <v>0.4926527</v>
      </c>
      <c r="F3074" t="s">
        <v>62</v>
      </c>
      <c r="G3074">
        <v>-490.02449999999999</v>
      </c>
      <c r="H3074" s="1">
        <v>5.15123299999999E-6</v>
      </c>
      <c r="I3074">
        <v>224.88140000000001</v>
      </c>
      <c r="J3074">
        <v>-492.97230000000002</v>
      </c>
      <c r="K3074">
        <v>1.1114790000000001</v>
      </c>
      <c r="L3074">
        <v>244.22280000000001</v>
      </c>
      <c r="M3074">
        <v>-2.4096719999999999E-2</v>
      </c>
      <c r="N3074">
        <v>-1.039342E-2</v>
      </c>
      <c r="O3074">
        <v>-0.99965570000000004</v>
      </c>
      <c r="P3074">
        <v>0.1412687</v>
      </c>
      <c r="Q3074">
        <v>0.16096869999999999</v>
      </c>
      <c r="R3074">
        <v>-0.97679729999999998</v>
      </c>
      <c r="S3074">
        <v>0.45883180000000001</v>
      </c>
      <c r="T3074">
        <v>-0.17311840000000001</v>
      </c>
      <c r="U3074">
        <v>-3.0332490000000001</v>
      </c>
      <c r="V3074">
        <v>-0.16529669999999999</v>
      </c>
      <c r="W3074">
        <v>0.17056189999999999</v>
      </c>
      <c r="X3074">
        <v>0.97138340000000001</v>
      </c>
      <c r="Y3074">
        <v>-0.17313229999999999</v>
      </c>
      <c r="Z3074">
        <v>4.580853E-2</v>
      </c>
      <c r="AA3074">
        <v>0.9838327</v>
      </c>
      <c r="AB3074">
        <v>23</v>
      </c>
      <c r="AC3074">
        <v>2.94780000000002</v>
      </c>
      <c r="AD3074">
        <v>-1.111473848767</v>
      </c>
      <c r="AE3074">
        <v>-19.3414</v>
      </c>
      <c r="AF3074">
        <v>-3.40205367120913</v>
      </c>
      <c r="AG3074">
        <v>-1.111473848767</v>
      </c>
      <c r="AH3074">
        <v>19.202772486960999</v>
      </c>
      <c r="AI3074">
        <v>93.261951327801299</v>
      </c>
      <c r="AJ3074">
        <v>100.046544498633</v>
      </c>
      <c r="AK3074">
        <v>19.533453726473098</v>
      </c>
      <c r="AL3074">
        <v>80.179509642843499</v>
      </c>
      <c r="AM3074">
        <v>99.6573046242098</v>
      </c>
      <c r="AN3074">
        <v>1.0000000352790199</v>
      </c>
    </row>
    <row r="3075" spans="1:40" x14ac:dyDescent="0.25">
      <c r="A3075" t="str">
        <f>"20190304155115923"</f>
        <v>20190304155115923</v>
      </c>
      <c r="B3075" t="str">
        <f>"1551685875919378"</f>
        <v>1551685875919378</v>
      </c>
      <c r="C3075" t="s">
        <v>40</v>
      </c>
      <c r="D3075">
        <v>4.951301</v>
      </c>
      <c r="E3075">
        <v>0.49251529999999999</v>
      </c>
      <c r="F3075" t="s">
        <v>62</v>
      </c>
      <c r="G3075">
        <v>-489.99470000000002</v>
      </c>
      <c r="H3075" s="1">
        <v>5.2027750000000003E-6</v>
      </c>
      <c r="I3075">
        <v>225.0264</v>
      </c>
      <c r="J3075">
        <v>-492.9742</v>
      </c>
      <c r="K3075">
        <v>1.111521</v>
      </c>
      <c r="L3075">
        <v>244.09649999999999</v>
      </c>
      <c r="M3075">
        <v>-2.2951450000000002E-2</v>
      </c>
      <c r="N3075">
        <v>-1.039588E-2</v>
      </c>
      <c r="O3075">
        <v>-0.99968270000000004</v>
      </c>
      <c r="P3075">
        <v>0.14302719999999999</v>
      </c>
      <c r="Q3075">
        <v>0.16148199999999999</v>
      </c>
      <c r="R3075">
        <v>-0.97645649999999995</v>
      </c>
      <c r="S3075">
        <v>0.4703369</v>
      </c>
      <c r="T3075">
        <v>-0.17556389999999999</v>
      </c>
      <c r="U3075">
        <v>-3.032181</v>
      </c>
      <c r="V3075">
        <v>-0.1659506</v>
      </c>
      <c r="W3075">
        <v>0.1710576</v>
      </c>
      <c r="X3075">
        <v>0.97118470000000001</v>
      </c>
      <c r="Y3075">
        <v>-0.17569489999999999</v>
      </c>
      <c r="Z3075">
        <v>4.6591210000000001E-2</v>
      </c>
      <c r="AA3075">
        <v>0.98334149999999998</v>
      </c>
      <c r="AB3075">
        <v>23</v>
      </c>
      <c r="AC3075">
        <v>2.9794999999999701</v>
      </c>
      <c r="AD3075">
        <v>-1.111515797225</v>
      </c>
      <c r="AE3075">
        <v>-19.0701</v>
      </c>
      <c r="AF3075">
        <v>-3.40513270827062</v>
      </c>
      <c r="AG3075">
        <v>-1.111515797225</v>
      </c>
      <c r="AH3075">
        <v>18.9338983864161</v>
      </c>
      <c r="AI3075">
        <v>93.306766490562794</v>
      </c>
      <c r="AJ3075">
        <v>100.19527096487001</v>
      </c>
      <c r="AK3075">
        <v>19.269740637474801</v>
      </c>
      <c r="AL3075">
        <v>80.150684289108099</v>
      </c>
      <c r="AM3075">
        <v>99.696730328691103</v>
      </c>
      <c r="AN3075">
        <v>1.0000000128361</v>
      </c>
    </row>
    <row r="3076" spans="1:40" x14ac:dyDescent="0.25">
      <c r="A3076" t="str">
        <f>"20190304155115936"</f>
        <v>20190304155115936</v>
      </c>
      <c r="B3076" t="str">
        <f>"1551685875929139"</f>
        <v>1551685875929139</v>
      </c>
      <c r="C3076" t="s">
        <v>40</v>
      </c>
      <c r="D3076">
        <v>4.9370909999999997</v>
      </c>
      <c r="E3076">
        <v>0.49242920000000001</v>
      </c>
      <c r="F3076" t="s">
        <v>62</v>
      </c>
      <c r="G3076">
        <v>-489.90109999999999</v>
      </c>
      <c r="H3076" s="1">
        <v>5.0512040000000001E-6</v>
      </c>
      <c r="I3076">
        <v>224.5513</v>
      </c>
      <c r="J3076">
        <v>-492.97579999999999</v>
      </c>
      <c r="K3076">
        <v>1.111564</v>
      </c>
      <c r="L3076">
        <v>243.9674</v>
      </c>
      <c r="M3076">
        <v>-2.1741920000000001E-2</v>
      </c>
      <c r="N3076">
        <v>-1.03985E-2</v>
      </c>
      <c r="O3076">
        <v>-0.99970970000000003</v>
      </c>
      <c r="P3076">
        <v>0.14489939999999901</v>
      </c>
      <c r="Q3076">
        <v>0.16185469999999999</v>
      </c>
      <c r="R3076">
        <v>-0.9761185</v>
      </c>
      <c r="S3076">
        <v>0.4765625</v>
      </c>
      <c r="T3076">
        <v>-0.17237140000000001</v>
      </c>
      <c r="U3076">
        <v>-3.031021</v>
      </c>
      <c r="V3076">
        <v>-0.16665559999999999</v>
      </c>
      <c r="W3076">
        <v>0.17141229999999999</v>
      </c>
      <c r="X3076">
        <v>0.97100140000000001</v>
      </c>
      <c r="Y3076">
        <v>-0.17654039999999999</v>
      </c>
      <c r="Z3076">
        <v>4.5566059999999999E-2</v>
      </c>
      <c r="AA3076">
        <v>0.9832381</v>
      </c>
      <c r="AB3076">
        <v>23</v>
      </c>
      <c r="AC3076">
        <v>3.0747</v>
      </c>
      <c r="AD3076">
        <v>-1.111558948796</v>
      </c>
      <c r="AE3076">
        <v>-19.4161</v>
      </c>
      <c r="AF3076">
        <v>-3.4849965580336502</v>
      </c>
      <c r="AG3076">
        <v>-1.111558948796</v>
      </c>
      <c r="AH3076">
        <v>19.283002691517201</v>
      </c>
      <c r="AI3076">
        <v>93.246653931122395</v>
      </c>
      <c r="AJ3076">
        <v>100.24442280958699</v>
      </c>
      <c r="AK3076">
        <v>19.626893720281199</v>
      </c>
      <c r="AL3076">
        <v>80.130056607344798</v>
      </c>
      <c r="AM3076">
        <v>99.738940431991395</v>
      </c>
      <c r="AN3076">
        <v>0.99999999220230495</v>
      </c>
    </row>
    <row r="3077" spans="1:40" x14ac:dyDescent="0.25">
      <c r="A3077" t="str">
        <f>"20190304155115953"</f>
        <v>20190304155115953</v>
      </c>
      <c r="B3077" t="str">
        <f>"1551685875949635"</f>
        <v>1551685875949635</v>
      </c>
      <c r="C3077" t="s">
        <v>40</v>
      </c>
      <c r="D3077">
        <v>4.841996</v>
      </c>
      <c r="E3077">
        <v>0.49262929999999999</v>
      </c>
      <c r="F3077" t="s">
        <v>62</v>
      </c>
      <c r="G3077">
        <v>-489.81310000000002</v>
      </c>
      <c r="H3077" s="1">
        <v>4.9008370000000001E-6</v>
      </c>
      <c r="I3077">
        <v>224.12889999999999</v>
      </c>
      <c r="J3077">
        <v>-492.9778</v>
      </c>
      <c r="K3077">
        <v>1.111629</v>
      </c>
      <c r="L3077">
        <v>243.79409999999999</v>
      </c>
      <c r="M3077">
        <v>-2.0073230000000001E-2</v>
      </c>
      <c r="N3077">
        <v>-1.0402059999999999E-2</v>
      </c>
      <c r="O3077">
        <v>-0.99974450000000004</v>
      </c>
      <c r="P3077">
        <v>0.14778549999999999</v>
      </c>
      <c r="Q3077">
        <v>0.16316249999999999</v>
      </c>
      <c r="R3077">
        <v>-0.97546790000000005</v>
      </c>
      <c r="S3077">
        <v>0.48303220000000002</v>
      </c>
      <c r="T3077">
        <v>-0.1697652</v>
      </c>
      <c r="U3077">
        <v>-3.0298769999999999</v>
      </c>
      <c r="V3077">
        <v>-0.16793089999999999</v>
      </c>
      <c r="W3077">
        <v>0.17269279999999901</v>
      </c>
      <c r="X3077">
        <v>0.97055469999999999</v>
      </c>
      <c r="Y3077">
        <v>-0.17700920000000001</v>
      </c>
      <c r="Z3077">
        <v>4.4731559999999997E-2</v>
      </c>
      <c r="AA3077">
        <v>0.98319210000000001</v>
      </c>
      <c r="AB3077">
        <v>23</v>
      </c>
      <c r="AC3077">
        <v>3.1646999999999799</v>
      </c>
      <c r="AD3077">
        <v>-1.111624099163</v>
      </c>
      <c r="AE3077">
        <v>-19.665199999999999</v>
      </c>
      <c r="AF3077">
        <v>-3.54777745425478</v>
      </c>
      <c r="AG3077">
        <v>-1.111624099163</v>
      </c>
      <c r="AH3077">
        <v>19.536856829327998</v>
      </c>
      <c r="AI3077">
        <v>93.204258865323098</v>
      </c>
      <c r="AJ3077">
        <v>100.29241652402</v>
      </c>
      <c r="AK3077">
        <v>19.887463583182701</v>
      </c>
      <c r="AL3077">
        <v>80.055578883224996</v>
      </c>
      <c r="AM3077">
        <v>99.816450742572599</v>
      </c>
      <c r="AN3077">
        <v>1.0000000080193601</v>
      </c>
    </row>
    <row r="3078" spans="1:40" x14ac:dyDescent="0.25">
      <c r="A3078" t="str">
        <f>"20190304155115976"</f>
        <v>20190304155115976</v>
      </c>
      <c r="B3078" t="str">
        <f>"1551685875969154"</f>
        <v>1551685875969154</v>
      </c>
      <c r="C3078" t="s">
        <v>40</v>
      </c>
      <c r="D3078">
        <v>4.9638109999999998</v>
      </c>
      <c r="E3078">
        <v>0.49270520000000001</v>
      </c>
      <c r="F3078" t="s">
        <v>62</v>
      </c>
      <c r="G3078">
        <v>-489.71789999999999</v>
      </c>
      <c r="H3078" s="1">
        <v>4.7219459999999996E-6</v>
      </c>
      <c r="I3078">
        <v>223.61949999999999</v>
      </c>
      <c r="J3078">
        <v>-492.97989999999999</v>
      </c>
      <c r="K3078">
        <v>1.111718</v>
      </c>
      <c r="L3078">
        <v>243.547</v>
      </c>
      <c r="M3078">
        <v>-1.758769E-2</v>
      </c>
      <c r="N3078">
        <v>-1.040725E-2</v>
      </c>
      <c r="O3078">
        <v>-0.99979130000000005</v>
      </c>
      <c r="P3078">
        <v>0.15218599999999999</v>
      </c>
      <c r="Q3078">
        <v>0.16513989999999901</v>
      </c>
      <c r="R3078">
        <v>-0.97445820000000005</v>
      </c>
      <c r="S3078">
        <v>0.4894714</v>
      </c>
      <c r="T3078">
        <v>-0.1669091</v>
      </c>
      <c r="U3078">
        <v>-3.0291899999999998</v>
      </c>
      <c r="V3078">
        <v>-0.16993229999999901</v>
      </c>
      <c r="W3078">
        <v>0.1746317</v>
      </c>
      <c r="X3078">
        <v>0.96985920000000003</v>
      </c>
      <c r="Y3078">
        <v>-0.17664199999999999</v>
      </c>
      <c r="Z3078">
        <v>4.3811599999999999E-2</v>
      </c>
      <c r="AA3078">
        <v>0.98329960000000005</v>
      </c>
      <c r="AB3078">
        <v>23</v>
      </c>
      <c r="AC3078">
        <v>3.262</v>
      </c>
      <c r="AD3078">
        <v>-1.111713278054</v>
      </c>
      <c r="AE3078">
        <v>-19.927499999999998</v>
      </c>
      <c r="AF3078">
        <v>-3.6010778998310702</v>
      </c>
      <c r="AG3078">
        <v>-1.111713278054</v>
      </c>
      <c r="AH3078">
        <v>19.8070068029872</v>
      </c>
      <c r="AI3078">
        <v>93.160779031591005</v>
      </c>
      <c r="AJ3078">
        <v>100.30429746095101</v>
      </c>
      <c r="AK3078">
        <v>20.162370568631999</v>
      </c>
      <c r="AL3078">
        <v>79.942774389305299</v>
      </c>
      <c r="AM3078">
        <v>99.938107071123994</v>
      </c>
      <c r="AN3078">
        <v>1.0000000425264</v>
      </c>
    </row>
    <row r="3079" spans="1:40" x14ac:dyDescent="0.25">
      <c r="A3079" t="str">
        <f>"20190304155115989"</f>
        <v>20190304155115989</v>
      </c>
      <c r="B3079" t="str">
        <f>"1551685875979890"</f>
        <v>1551685875979890</v>
      </c>
      <c r="C3079" t="s">
        <v>40</v>
      </c>
      <c r="D3079">
        <v>4.9102930000000002</v>
      </c>
      <c r="E3079">
        <v>0.4927105</v>
      </c>
      <c r="F3079" t="s">
        <v>62</v>
      </c>
      <c r="G3079">
        <v>-489.47969999999998</v>
      </c>
      <c r="H3079" s="1">
        <v>4.3097020000000001E-6</v>
      </c>
      <c r="I3079">
        <v>222.45930000000001</v>
      </c>
      <c r="J3079">
        <v>-492.98090000000002</v>
      </c>
      <c r="K3079">
        <v>1.1117549999999901</v>
      </c>
      <c r="L3079">
        <v>243.4126</v>
      </c>
      <c r="M3079">
        <v>-1.61981E-2</v>
      </c>
      <c r="N3079">
        <v>-1.041007E-2</v>
      </c>
      <c r="O3079">
        <v>-0.99981469999999995</v>
      </c>
      <c r="P3079">
        <v>0.15470590000000001</v>
      </c>
      <c r="Q3079">
        <v>0.165882</v>
      </c>
      <c r="R3079">
        <v>-0.97393490000000005</v>
      </c>
      <c r="S3079">
        <v>0.50247189999999997</v>
      </c>
      <c r="T3079">
        <v>-0.15959139999999999</v>
      </c>
      <c r="U3079">
        <v>-3.027237</v>
      </c>
      <c r="V3079">
        <v>-0.17111129999999999</v>
      </c>
      <c r="W3079">
        <v>0.17535329999999999</v>
      </c>
      <c r="X3079">
        <v>0.96952159999999998</v>
      </c>
      <c r="Y3079">
        <v>-0.17950339999999901</v>
      </c>
      <c r="Z3079">
        <v>4.1441260000000001E-2</v>
      </c>
      <c r="AA3079">
        <v>0.98288410000000004</v>
      </c>
      <c r="AB3079">
        <v>23</v>
      </c>
      <c r="AC3079">
        <v>3.5012000000000398</v>
      </c>
      <c r="AD3079">
        <v>-1.1117506902980001</v>
      </c>
      <c r="AE3079">
        <v>-20.953299999999899</v>
      </c>
      <c r="AF3079">
        <v>-3.8296741414327502</v>
      </c>
      <c r="AG3079">
        <v>-1.1117506902980001</v>
      </c>
      <c r="AH3079">
        <v>20.836768398652801</v>
      </c>
      <c r="AI3079">
        <v>93.003913251921105</v>
      </c>
      <c r="AJ3079">
        <v>100.414394697741</v>
      </c>
      <c r="AK3079">
        <v>21.214931320323199</v>
      </c>
      <c r="AL3079">
        <v>79.900781313479399</v>
      </c>
      <c r="AM3079">
        <v>100.009083225197</v>
      </c>
      <c r="AN3079">
        <v>0.99999999483756896</v>
      </c>
    </row>
    <row r="3080" spans="1:40" x14ac:dyDescent="0.25">
      <c r="A3080" t="str">
        <f>"20190304155116003"</f>
        <v>20190304155116003</v>
      </c>
      <c r="B3080" t="str">
        <f>"1551685875999411"</f>
        <v>1551685875999411</v>
      </c>
      <c r="C3080" t="s">
        <v>40</v>
      </c>
      <c r="D3080">
        <v>4.8789579999999999</v>
      </c>
      <c r="E3080">
        <v>0.49276180000000003</v>
      </c>
      <c r="F3080" t="s">
        <v>62</v>
      </c>
      <c r="G3080">
        <v>-489.34519999999998</v>
      </c>
      <c r="H3080" s="1">
        <v>4.0904550000000003E-6</v>
      </c>
      <c r="I3080">
        <v>221.84780000000001</v>
      </c>
      <c r="J3080">
        <v>-492.98160000000001</v>
      </c>
      <c r="K3080">
        <v>1.1117980000000001</v>
      </c>
      <c r="L3080">
        <v>243.27010000000001</v>
      </c>
      <c r="M3080">
        <v>-1.4688049999999999E-2</v>
      </c>
      <c r="N3080">
        <v>-1.041305E-2</v>
      </c>
      <c r="O3080">
        <v>-0.99983820000000001</v>
      </c>
      <c r="P3080">
        <v>0.15754979999999999</v>
      </c>
      <c r="Q3080">
        <v>0.16672679999999901</v>
      </c>
      <c r="R3080">
        <v>-0.97333519999999896</v>
      </c>
      <c r="S3080">
        <v>0.51013180000000002</v>
      </c>
      <c r="T3080">
        <v>-0.1559931</v>
      </c>
      <c r="U3080">
        <v>-3.0258180000000001</v>
      </c>
      <c r="V3080">
        <v>-0.1724977</v>
      </c>
      <c r="W3080">
        <v>0.17617659999999999</v>
      </c>
      <c r="X3080">
        <v>0.96912659999999995</v>
      </c>
      <c r="Y3080">
        <v>-0.18052109999999999</v>
      </c>
      <c r="Z3080">
        <v>4.0282680000000001E-2</v>
      </c>
      <c r="AA3080">
        <v>0.98274589999999995</v>
      </c>
      <c r="AB3080">
        <v>23</v>
      </c>
      <c r="AC3080">
        <v>3.6364000000000298</v>
      </c>
      <c r="AD3080">
        <v>-1.111793909545</v>
      </c>
      <c r="AE3080">
        <v>-21.4223</v>
      </c>
      <c r="AF3080">
        <v>-3.94036036725702</v>
      </c>
      <c r="AG3080">
        <v>-1.111793909545</v>
      </c>
      <c r="AH3080">
        <v>21.310781442397602</v>
      </c>
      <c r="AI3080">
        <v>92.936751870543205</v>
      </c>
      <c r="AJ3080">
        <v>100.475669957828</v>
      </c>
      <c r="AK3080">
        <v>21.700505321461801</v>
      </c>
      <c r="AL3080">
        <v>79.852863866980698</v>
      </c>
      <c r="AM3080">
        <v>100.09254816067001</v>
      </c>
      <c r="AN3080">
        <v>1.0000000088601999</v>
      </c>
    </row>
    <row r="3081" spans="1:40" x14ac:dyDescent="0.25">
      <c r="A3081" t="str">
        <f>"20190304155116021"</f>
        <v>20190304155116021</v>
      </c>
      <c r="B3081" t="str">
        <f>"1551685876019906"</f>
        <v>1551685876019906</v>
      </c>
      <c r="C3081" t="s">
        <v>40</v>
      </c>
      <c r="D3081">
        <v>4.970504</v>
      </c>
      <c r="E3081">
        <v>0.4929173</v>
      </c>
      <c r="F3081" t="s">
        <v>62</v>
      </c>
      <c r="G3081">
        <v>-489.16919999999999</v>
      </c>
      <c r="H3081" s="1">
        <v>3.807518E-6</v>
      </c>
      <c r="I3081">
        <v>221.06049999999999</v>
      </c>
      <c r="J3081">
        <v>-492.9821</v>
      </c>
      <c r="K3081">
        <v>1.1118380000000001</v>
      </c>
      <c r="L3081">
        <v>243.07640000000001</v>
      </c>
      <c r="M3081">
        <v>-1.259066E-2</v>
      </c>
      <c r="N3081">
        <v>-1.0417060000000001E-2</v>
      </c>
      <c r="O3081">
        <v>-0.99986649999999999</v>
      </c>
      <c r="P3081">
        <v>0.16264679999999901</v>
      </c>
      <c r="Q3081">
        <v>0.16790099999999999</v>
      </c>
      <c r="R3081">
        <v>-0.97229410000000005</v>
      </c>
      <c r="S3081">
        <v>0.51910400000000001</v>
      </c>
      <c r="T3081">
        <v>-0.15138289999999999</v>
      </c>
      <c r="U3081">
        <v>-3.0240779999999998</v>
      </c>
      <c r="V3081">
        <v>-0.175569</v>
      </c>
      <c r="W3081">
        <v>0.17731569999999999</v>
      </c>
      <c r="X3081">
        <v>0.96836699999999998</v>
      </c>
      <c r="Y3081">
        <v>-0.18139530000000001</v>
      </c>
      <c r="Z3081">
        <v>3.8798880000000001E-2</v>
      </c>
      <c r="AA3081">
        <v>0.98264459999999998</v>
      </c>
      <c r="AB3081">
        <v>23</v>
      </c>
      <c r="AC3081">
        <v>3.8129000000000102</v>
      </c>
      <c r="AD3081">
        <v>-1.1118341924820001</v>
      </c>
      <c r="AE3081">
        <v>-22.015899999999998</v>
      </c>
      <c r="AF3081">
        <v>-4.0797056239723997</v>
      </c>
      <c r="AG3081">
        <v>-1.1118341924820001</v>
      </c>
      <c r="AH3081">
        <v>21.9118886279687</v>
      </c>
      <c r="AI3081">
        <v>92.855768558406695</v>
      </c>
      <c r="AJ3081">
        <v>100.546955581326</v>
      </c>
      <c r="AK3081">
        <v>22.3161608816201</v>
      </c>
      <c r="AL3081">
        <v>79.786554088936398</v>
      </c>
      <c r="AM3081">
        <v>100.276337027905</v>
      </c>
      <c r="AN3081">
        <v>0.99999998895824405</v>
      </c>
    </row>
    <row r="3082" spans="1:40" x14ac:dyDescent="0.25">
      <c r="A3082" t="str">
        <f>"20190304155116044"</f>
        <v>20190304155116044</v>
      </c>
      <c r="B3082" t="str">
        <f>"1551685876039427"</f>
        <v>1551685876039427</v>
      </c>
      <c r="C3082" t="s">
        <v>40</v>
      </c>
      <c r="D3082">
        <v>4.8785089999999904</v>
      </c>
      <c r="E3082">
        <v>0.49310619999999999</v>
      </c>
      <c r="F3082" t="s">
        <v>62</v>
      </c>
      <c r="G3082">
        <v>-488.935</v>
      </c>
      <c r="H3082" s="1">
        <v>3.49388E-6</v>
      </c>
      <c r="I3082">
        <v>220.2157</v>
      </c>
      <c r="J3082">
        <v>-492.98219999999998</v>
      </c>
      <c r="K3082">
        <v>1.1118840000000001</v>
      </c>
      <c r="L3082">
        <v>242.84739999999999</v>
      </c>
      <c r="M3082">
        <v>-1.00435E-2</v>
      </c>
      <c r="N3082">
        <v>-1.042178E-2</v>
      </c>
      <c r="O3082">
        <v>-0.99989550000000005</v>
      </c>
      <c r="P3082">
        <v>0.16826160000000001</v>
      </c>
      <c r="Q3082">
        <v>0.16812460000000001</v>
      </c>
      <c r="R3082">
        <v>-0.97129980000000005</v>
      </c>
      <c r="S3082">
        <v>0.53488159999999996</v>
      </c>
      <c r="T3082">
        <v>-0.14694489999999999</v>
      </c>
      <c r="U3082">
        <v>-3.0213779999999999</v>
      </c>
      <c r="V3082">
        <v>-0.17872499999999999</v>
      </c>
      <c r="W3082">
        <v>0.17750250000000001</v>
      </c>
      <c r="X3082">
        <v>0.96775529999999998</v>
      </c>
      <c r="Y3082">
        <v>-0.18402589999999999</v>
      </c>
      <c r="Z3082">
        <v>3.7367079999999997E-2</v>
      </c>
      <c r="AA3082">
        <v>0.9822109</v>
      </c>
      <c r="AB3082">
        <v>23</v>
      </c>
      <c r="AC3082">
        <v>4.0471999999999699</v>
      </c>
      <c r="AD3082">
        <v>-1.1118805061199999</v>
      </c>
      <c r="AE3082">
        <v>-22.631699999999899</v>
      </c>
      <c r="AF3082">
        <v>-4.2643357828093498</v>
      </c>
      <c r="AG3082">
        <v>-1.1118805061199999</v>
      </c>
      <c r="AH3082">
        <v>22.537196013331901</v>
      </c>
      <c r="AI3082">
        <v>92.775254005325706</v>
      </c>
      <c r="AJ3082">
        <v>100.714453174662</v>
      </c>
      <c r="AK3082">
        <v>22.964016244372001</v>
      </c>
      <c r="AL3082">
        <v>79.775679270500802</v>
      </c>
      <c r="AM3082">
        <v>100.463486424075</v>
      </c>
      <c r="AN3082">
        <v>1.00000004190466</v>
      </c>
    </row>
    <row r="3083" spans="1:40" x14ac:dyDescent="0.25">
      <c r="A3083" t="str">
        <f>"20190304155116067"</f>
        <v>20190304155116067</v>
      </c>
      <c r="B3083" t="str">
        <f>"1551685876059923"</f>
        <v>1551685876059923</v>
      </c>
      <c r="C3083" t="s">
        <v>40</v>
      </c>
      <c r="D3083">
        <v>4.8766639999999999</v>
      </c>
      <c r="E3083">
        <v>0.49331530000000001</v>
      </c>
      <c r="F3083" t="s">
        <v>62</v>
      </c>
      <c r="G3083">
        <v>-488.76420000000002</v>
      </c>
      <c r="H3083" s="1">
        <v>3.3569980000000002E-6</v>
      </c>
      <c r="I3083">
        <v>219.7689</v>
      </c>
      <c r="J3083">
        <v>-492.98149999999998</v>
      </c>
      <c r="K3083">
        <v>1.111937</v>
      </c>
      <c r="L3083">
        <v>242.6027</v>
      </c>
      <c r="M3083">
        <v>-7.2460579999999997E-3</v>
      </c>
      <c r="N3083">
        <v>-1.0426929999999999E-2</v>
      </c>
      <c r="O3083">
        <v>-0.99991940000000001</v>
      </c>
      <c r="P3083">
        <v>0.1737368</v>
      </c>
      <c r="Q3083">
        <v>0.1688172</v>
      </c>
      <c r="R3083">
        <v>-0.97021440000000003</v>
      </c>
      <c r="S3083">
        <v>0.55163569999999995</v>
      </c>
      <c r="T3083">
        <v>-0.14541399999999999</v>
      </c>
      <c r="U3083">
        <v>-3.0182500000000001</v>
      </c>
      <c r="V3083">
        <v>-0.18150479999999999</v>
      </c>
      <c r="W3083">
        <v>0.1781585</v>
      </c>
      <c r="X3083">
        <v>0.96711709999999995</v>
      </c>
      <c r="Y3083">
        <v>-0.18673409999999999</v>
      </c>
      <c r="Z3083">
        <v>3.688201E-2</v>
      </c>
      <c r="AA3083">
        <v>0.98171790000000003</v>
      </c>
      <c r="AB3083">
        <v>23</v>
      </c>
      <c r="AC3083">
        <v>4.2172999999999599</v>
      </c>
      <c r="AD3083">
        <v>-1.1119336430019999</v>
      </c>
      <c r="AE3083">
        <v>-22.8338</v>
      </c>
      <c r="AF3083">
        <v>-4.3726261885338102</v>
      </c>
      <c r="AG3083">
        <v>-1.1119336430019999</v>
      </c>
      <c r="AH3083">
        <v>22.750469641520699</v>
      </c>
      <c r="AI3083">
        <v>92.747900711847507</v>
      </c>
      <c r="AJ3083">
        <v>100.87954248703601</v>
      </c>
      <c r="AK3083">
        <v>23.193536278904201</v>
      </c>
      <c r="AL3083">
        <v>79.7374836532138</v>
      </c>
      <c r="AM3083">
        <v>100.629404050223</v>
      </c>
      <c r="AN3083">
        <v>0.99999996432884897</v>
      </c>
    </row>
    <row r="3084" spans="1:40" x14ac:dyDescent="0.25">
      <c r="A3084" t="str">
        <f>"20190304155116083"</f>
        <v>20190304155116083</v>
      </c>
      <c r="B3084" t="str">
        <f>"1551685876079443"</f>
        <v>1551685876079443</v>
      </c>
      <c r="C3084" t="s">
        <v>40</v>
      </c>
      <c r="D3084">
        <v>4.8632929999999996</v>
      </c>
      <c r="E3084">
        <v>0.49369639999999998</v>
      </c>
      <c r="F3084" t="s">
        <v>62</v>
      </c>
      <c r="G3084">
        <v>-488.5403</v>
      </c>
      <c r="H3084" s="1">
        <v>3.2576040000000001E-6</v>
      </c>
      <c r="I3084">
        <v>219.02289999999999</v>
      </c>
      <c r="J3084">
        <v>-492.98059999999998</v>
      </c>
      <c r="K3084">
        <v>1.1119730000000001</v>
      </c>
      <c r="L3084">
        <v>242.44309999999999</v>
      </c>
      <c r="M3084">
        <v>-5.3716349999999996E-3</v>
      </c>
      <c r="N3084">
        <v>-1.0430439999999999E-2</v>
      </c>
      <c r="O3084">
        <v>-0.99993140000000003</v>
      </c>
      <c r="P3084">
        <v>0.176691299999999</v>
      </c>
      <c r="Q3084">
        <v>0.1689919</v>
      </c>
      <c r="R3084">
        <v>-0.96965089999999998</v>
      </c>
      <c r="S3084">
        <v>0.56790160000000001</v>
      </c>
      <c r="T3084">
        <v>-0.14218249999999999</v>
      </c>
      <c r="U3084">
        <v>-3.0151370000000002</v>
      </c>
      <c r="V3084">
        <v>-0.1826546</v>
      </c>
      <c r="W3084">
        <v>0.17831469999999999</v>
      </c>
      <c r="X3084">
        <v>0.96687190000000001</v>
      </c>
      <c r="Y3084">
        <v>-0.19019720000000001</v>
      </c>
      <c r="Z3084">
        <v>3.5840329999999997E-2</v>
      </c>
      <c r="AA3084">
        <v>0.98109150000000001</v>
      </c>
      <c r="AB3084">
        <v>23</v>
      </c>
      <c r="AC3084">
        <v>4.4402999999999704</v>
      </c>
      <c r="AD3084">
        <v>-1.11196974239599</v>
      </c>
      <c r="AE3084">
        <v>-23.420199999999902</v>
      </c>
      <c r="AF3084">
        <v>-4.5561331620833503</v>
      </c>
      <c r="AG3084">
        <v>-1.11196974239599</v>
      </c>
      <c r="AH3084">
        <v>23.345208884351798</v>
      </c>
      <c r="AI3084">
        <v>92.676606309727404</v>
      </c>
      <c r="AJ3084">
        <v>101.04323457558699</v>
      </c>
      <c r="AK3084">
        <v>23.8116274948324</v>
      </c>
      <c r="AL3084">
        <v>79.728389337524106</v>
      </c>
      <c r="AM3084">
        <v>100.69784052711999</v>
      </c>
      <c r="AN3084">
        <v>1.0000000530734201</v>
      </c>
    </row>
    <row r="3085" spans="1:40" x14ac:dyDescent="0.25">
      <c r="A3085" t="str">
        <f>"20190304155116100"</f>
        <v>20190304155116100</v>
      </c>
      <c r="B3085" t="str">
        <f>"1551685876089203"</f>
        <v>1551685876089203</v>
      </c>
      <c r="C3085" t="s">
        <v>40</v>
      </c>
      <c r="D3085">
        <v>4.8628179999999999</v>
      </c>
      <c r="E3085">
        <v>0.49370009999999998</v>
      </c>
      <c r="F3085" t="s">
        <v>62</v>
      </c>
      <c r="G3085">
        <v>-488.44409999999999</v>
      </c>
      <c r="H3085" s="1">
        <v>3.2243159999999998E-6</v>
      </c>
      <c r="I3085">
        <v>218.6516</v>
      </c>
      <c r="J3085">
        <v>-492.97919999999999</v>
      </c>
      <c r="K3085">
        <v>1.112015</v>
      </c>
      <c r="L3085">
        <v>242.2586</v>
      </c>
      <c r="M3085">
        <v>-3.171203E-3</v>
      </c>
      <c r="N3085">
        <v>-1.0434540000000001E-2</v>
      </c>
      <c r="O3085">
        <v>-0.99994050000000001</v>
      </c>
      <c r="P3085">
        <v>0.18030489999999999</v>
      </c>
      <c r="Q3085">
        <v>0.17025479999999901</v>
      </c>
      <c r="R3085">
        <v>-0.96876390000000001</v>
      </c>
      <c r="S3085">
        <v>0.57464599999999999</v>
      </c>
      <c r="T3085">
        <v>-0.1408556</v>
      </c>
      <c r="U3085">
        <v>-3.0137179999999999</v>
      </c>
      <c r="V3085">
        <v>-0.18415529999999999</v>
      </c>
      <c r="W3085">
        <v>0.17955279999999901</v>
      </c>
      <c r="X3085">
        <v>0.96635789999999999</v>
      </c>
      <c r="Y3085">
        <v>-0.19024360000000001</v>
      </c>
      <c r="Z3085">
        <v>3.5419449999999998E-2</v>
      </c>
      <c r="AA3085">
        <v>0.98109780000000002</v>
      </c>
      <c r="AB3085">
        <v>23</v>
      </c>
      <c r="AC3085">
        <v>4.5350999999999999</v>
      </c>
      <c r="AD3085">
        <v>-1.112011775684</v>
      </c>
      <c r="AE3085">
        <v>-23.606999999999999</v>
      </c>
      <c r="AF3085">
        <v>-4.60010000558096</v>
      </c>
      <c r="AG3085">
        <v>-1.112011775684</v>
      </c>
      <c r="AH3085">
        <v>23.542120475261601</v>
      </c>
      <c r="AI3085">
        <v>92.6542336516994</v>
      </c>
      <c r="AJ3085">
        <v>101.05621499641801</v>
      </c>
      <c r="AK3085">
        <v>24.013099065350499</v>
      </c>
      <c r="AL3085">
        <v>79.656287099732594</v>
      </c>
      <c r="AM3085">
        <v>100.78928281307201</v>
      </c>
      <c r="AN3085">
        <v>0.99999998669916901</v>
      </c>
    </row>
    <row r="3086" spans="1:40" x14ac:dyDescent="0.25">
      <c r="A3086" t="str">
        <f>"20190304155116122"</f>
        <v>20190304155116122</v>
      </c>
      <c r="B3086" t="str">
        <f>"1551685876119459"</f>
        <v>1551685876119459</v>
      </c>
      <c r="C3086" t="s">
        <v>40</v>
      </c>
      <c r="D3086">
        <v>5.0432990000000002</v>
      </c>
      <c r="E3086">
        <v>0.4432296</v>
      </c>
      <c r="F3086" t="s">
        <v>62</v>
      </c>
      <c r="G3086">
        <v>-488.221</v>
      </c>
      <c r="H3086" s="1">
        <v>3.1522719999999999E-6</v>
      </c>
      <c r="I3086">
        <v>217.90880000000001</v>
      </c>
      <c r="J3086">
        <v>-492.9769</v>
      </c>
      <c r="K3086">
        <v>1.112063</v>
      </c>
      <c r="L3086">
        <v>242.03399999999999</v>
      </c>
      <c r="M3086">
        <v>-4.4129390000000003E-4</v>
      </c>
      <c r="N3086">
        <v>-1.0439439999999999E-2</v>
      </c>
      <c r="O3086">
        <v>-0.99994550000000004</v>
      </c>
      <c r="P3086">
        <v>0.18379819999999999</v>
      </c>
      <c r="Q3086">
        <v>0.17232729999999999</v>
      </c>
      <c r="R3086">
        <v>-0.96774039999999995</v>
      </c>
      <c r="S3086">
        <v>0.58843990000000002</v>
      </c>
      <c r="T3086">
        <v>-0.13752320000000001</v>
      </c>
      <c r="U3086">
        <v>-3.0113530000000002</v>
      </c>
      <c r="V3086">
        <v>-0.18503240000000001</v>
      </c>
      <c r="W3086">
        <v>0.18160090000000001</v>
      </c>
      <c r="X3086">
        <v>0.96580750000000004</v>
      </c>
      <c r="Y3086">
        <v>-0.1920452</v>
      </c>
      <c r="Z3086">
        <v>3.4341980000000001E-2</v>
      </c>
      <c r="AA3086">
        <v>0.98078500000000002</v>
      </c>
      <c r="AB3086">
        <v>24</v>
      </c>
      <c r="AC3086">
        <v>4.7558999999999898</v>
      </c>
      <c r="AD3086">
        <v>-1.1120598477279999</v>
      </c>
      <c r="AE3086">
        <v>-24.1252</v>
      </c>
      <c r="AF3086">
        <v>-4.7568173089620602</v>
      </c>
      <c r="AG3086">
        <v>-1.1120598477279999</v>
      </c>
      <c r="AH3086">
        <v>24.0738605589092</v>
      </c>
      <c r="AI3086">
        <v>92.594724714392598</v>
      </c>
      <c r="AJ3086">
        <v>101.177243964814</v>
      </c>
      <c r="AK3086">
        <v>24.564501831414699</v>
      </c>
      <c r="AL3086">
        <v>79.536978412685301</v>
      </c>
      <c r="AM3086">
        <v>100.845486496134</v>
      </c>
      <c r="AN3086">
        <v>1.0000000014934101</v>
      </c>
    </row>
    <row r="3087" spans="1:40" x14ac:dyDescent="0.25">
      <c r="A3087" t="str">
        <f>"20190304155116135"</f>
        <v>20190304155116135</v>
      </c>
      <c r="B3087" t="str">
        <f>"1551685876129219"</f>
        <v>1551685876129219</v>
      </c>
      <c r="C3087" t="s">
        <v>40</v>
      </c>
      <c r="D3087">
        <v>4.6565159999999999</v>
      </c>
      <c r="E3087">
        <v>0.43818679999999899</v>
      </c>
      <c r="F3087" t="s">
        <v>62</v>
      </c>
      <c r="G3087">
        <v>-480.72579999999999</v>
      </c>
      <c r="H3087" s="1">
        <v>9.1357280000000004E-7</v>
      </c>
      <c r="I3087">
        <v>206.0018</v>
      </c>
      <c r="J3087">
        <v>-492.97500000000002</v>
      </c>
      <c r="K3087">
        <v>1.112088</v>
      </c>
      <c r="L3087">
        <v>241.89330000000001</v>
      </c>
      <c r="M3087">
        <v>1.2982880000000001E-3</v>
      </c>
      <c r="N3087">
        <v>-1.0440670000000001E-2</v>
      </c>
      <c r="O3087">
        <v>-0.99994470000000002</v>
      </c>
      <c r="P3087">
        <v>0.18597859999999999</v>
      </c>
      <c r="Q3087">
        <v>0.173614299999999</v>
      </c>
      <c r="R3087">
        <v>-0.9670936</v>
      </c>
      <c r="S3087">
        <v>0.99520869999999995</v>
      </c>
      <c r="T3087">
        <v>-9.0337990000000007E-2</v>
      </c>
      <c r="U3087">
        <v>-2.927063</v>
      </c>
      <c r="V3087">
        <v>-0.1855474</v>
      </c>
      <c r="W3087">
        <v>0.1828719</v>
      </c>
      <c r="X3087">
        <v>0.96546880000000002</v>
      </c>
      <c r="Y3087">
        <v>-0.32055400000000001</v>
      </c>
      <c r="Z3087">
        <v>1.8778650000000001E-2</v>
      </c>
      <c r="AA3087">
        <v>0.94704410000000006</v>
      </c>
      <c r="AB3087">
        <v>24</v>
      </c>
      <c r="AC3087">
        <v>12.2492</v>
      </c>
      <c r="AD3087">
        <v>-1.1120870864271999</v>
      </c>
      <c r="AE3087">
        <v>-35.891500000000001</v>
      </c>
      <c r="AF3087">
        <v>-12.192105703309601</v>
      </c>
      <c r="AG3087">
        <v>-1.1120870864271999</v>
      </c>
      <c r="AH3087">
        <v>35.8765235603097</v>
      </c>
      <c r="AI3087">
        <v>91.681101679486403</v>
      </c>
      <c r="AJ3087">
        <v>108.769569087581</v>
      </c>
      <c r="AK3087">
        <v>37.9079031593932</v>
      </c>
      <c r="AL3087">
        <v>79.462915106621097</v>
      </c>
      <c r="AM3087">
        <v>100.87867795535399</v>
      </c>
      <c r="AN3087">
        <v>0.99999998661490397</v>
      </c>
    </row>
    <row r="3088" spans="1:40" x14ac:dyDescent="0.25">
      <c r="A3088" t="str">
        <f>"20190304155116148"</f>
        <v>20190304155116148</v>
      </c>
      <c r="B3088" t="str">
        <f>"1551685876139954"</f>
        <v>1551685876139954</v>
      </c>
      <c r="C3088" t="s">
        <v>40</v>
      </c>
      <c r="D3088">
        <v>4.7190190000000003</v>
      </c>
      <c r="E3088">
        <v>0.43441160000000001</v>
      </c>
      <c r="F3088" t="s">
        <v>62</v>
      </c>
      <c r="G3088">
        <v>-482.24110000000002</v>
      </c>
      <c r="H3088" s="1">
        <v>1.823017E-6</v>
      </c>
      <c r="I3088">
        <v>211.76589999999999</v>
      </c>
      <c r="J3088">
        <v>-492.97309999999999</v>
      </c>
      <c r="K3088">
        <v>1.1121179999999999</v>
      </c>
      <c r="L3088">
        <v>241.756</v>
      </c>
      <c r="M3088">
        <v>3.0109080000000001E-3</v>
      </c>
      <c r="N3088">
        <v>-1.0440329999999999E-2</v>
      </c>
      <c r="O3088">
        <v>-0.99994119999999997</v>
      </c>
      <c r="P3088">
        <v>0.1877471</v>
      </c>
      <c r="Q3088">
        <v>0.1749396</v>
      </c>
      <c r="R3088">
        <v>-0.96651319999999996</v>
      </c>
      <c r="S3088">
        <v>1.040802</v>
      </c>
      <c r="T3088">
        <v>-0.107832</v>
      </c>
      <c r="U3088">
        <v>-2.921265</v>
      </c>
      <c r="V3088">
        <v>-0.18567700000000001</v>
      </c>
      <c r="W3088">
        <v>0.18418300000000001</v>
      </c>
      <c r="X3088">
        <v>0.96519460000000001</v>
      </c>
      <c r="Y3088">
        <v>-0.33260600000000001</v>
      </c>
      <c r="Z3088">
        <v>2.433832E-2</v>
      </c>
      <c r="AA3088">
        <v>0.94275180000000003</v>
      </c>
      <c r="AB3088">
        <v>24</v>
      </c>
      <c r="AC3088">
        <v>10.7319999999999</v>
      </c>
      <c r="AD3088">
        <v>-1.1121161769829999</v>
      </c>
      <c r="AE3088">
        <v>-29.990099999999899</v>
      </c>
      <c r="AF3088">
        <v>-10.6286923572044</v>
      </c>
      <c r="AG3088">
        <v>-1.1121161769829999</v>
      </c>
      <c r="AH3088">
        <v>29.985725466434499</v>
      </c>
      <c r="AI3088">
        <v>92.002080407790899</v>
      </c>
      <c r="AJ3088">
        <v>109.51729941479699</v>
      </c>
      <c r="AK3088">
        <v>31.833153085479601</v>
      </c>
      <c r="AL3088">
        <v>79.386496433611896</v>
      </c>
      <c r="AM3088">
        <v>100.889113621546</v>
      </c>
      <c r="AN3088">
        <v>0.99999997084357894</v>
      </c>
    </row>
    <row r="3089" spans="1:40" x14ac:dyDescent="0.25">
      <c r="A3089" t="str">
        <f>"20190304155116167"</f>
        <v>20190304155116167</v>
      </c>
      <c r="B3089" t="str">
        <f>"1551685876159478"</f>
        <v>1551685876159478</v>
      </c>
      <c r="C3089" t="s">
        <v>40</v>
      </c>
      <c r="D3089">
        <v>4.7773599999999998</v>
      </c>
      <c r="E3089">
        <v>0.43089040000000001</v>
      </c>
      <c r="F3089" t="s">
        <v>62</v>
      </c>
      <c r="G3089">
        <v>-481.77949999999998</v>
      </c>
      <c r="H3089" s="1">
        <v>1.7252410000000001E-6</v>
      </c>
      <c r="I3089">
        <v>211.4023</v>
      </c>
      <c r="J3089">
        <v>-492.96969999999999</v>
      </c>
      <c r="K3089">
        <v>1.1121700000000001</v>
      </c>
      <c r="L3089">
        <v>241.55850000000001</v>
      </c>
      <c r="M3089">
        <v>5.5182419999999996E-3</v>
      </c>
      <c r="N3089">
        <v>-1.043609E-2</v>
      </c>
      <c r="O3089">
        <v>-0.99993030000000005</v>
      </c>
      <c r="P3089">
        <v>0.19025510000000001</v>
      </c>
      <c r="Q3089">
        <v>0.17721579999999901</v>
      </c>
      <c r="R3089">
        <v>-0.9656074</v>
      </c>
      <c r="S3089">
        <v>1.0747679999999999</v>
      </c>
      <c r="T3089">
        <v>-0.1067816</v>
      </c>
      <c r="U3089">
        <v>-2.9144589999999999</v>
      </c>
      <c r="V3089">
        <v>-0.1857905</v>
      </c>
      <c r="W3089">
        <v>0.1864345</v>
      </c>
      <c r="X3089">
        <v>0.96474040000000005</v>
      </c>
      <c r="Y3089">
        <v>-0.34063510000000002</v>
      </c>
      <c r="Z3089">
        <v>2.3966899999999999E-2</v>
      </c>
      <c r="AA3089">
        <v>0.93989009999999995</v>
      </c>
      <c r="AB3089">
        <v>24</v>
      </c>
      <c r="AC3089">
        <v>11.190200000000001</v>
      </c>
      <c r="AD3089">
        <v>-1.112168274759</v>
      </c>
      <c r="AE3089">
        <v>-30.156199999999998</v>
      </c>
      <c r="AF3089">
        <v>-11.010447980015099</v>
      </c>
      <c r="AG3089">
        <v>-1.112168274759</v>
      </c>
      <c r="AH3089">
        <v>30.181411538952901</v>
      </c>
      <c r="AI3089">
        <v>91.982662731216493</v>
      </c>
      <c r="AJ3089">
        <v>110.042420278891</v>
      </c>
      <c r="AK3089">
        <v>32.146298161306902</v>
      </c>
      <c r="AL3089">
        <v>79.255221476724998</v>
      </c>
      <c r="AM3089">
        <v>100.900617409669</v>
      </c>
      <c r="AN3089">
        <v>0.99999998603633</v>
      </c>
    </row>
    <row r="3090" spans="1:40" x14ac:dyDescent="0.25">
      <c r="A3090" t="str">
        <f>"20190304155116179"</f>
        <v>20190304155116179</v>
      </c>
      <c r="B3090" t="str">
        <f>"1551685876169236"</f>
        <v>1551685876169236</v>
      </c>
      <c r="C3090" t="s">
        <v>40</v>
      </c>
      <c r="D3090">
        <v>4.7736239999999999</v>
      </c>
      <c r="E3090">
        <v>0.42954419999999999</v>
      </c>
      <c r="F3090" t="s">
        <v>62</v>
      </c>
      <c r="G3090">
        <v>-480.9615</v>
      </c>
      <c r="H3090" s="1">
        <v>1.5224560000000001E-6</v>
      </c>
      <c r="I3090">
        <v>210.08260000000001</v>
      </c>
      <c r="J3090">
        <v>-492.96699999999998</v>
      </c>
      <c r="K3090">
        <v>1.1121989999999999</v>
      </c>
      <c r="L3090">
        <v>241.42580000000001</v>
      </c>
      <c r="M3090">
        <v>7.2317190000000002E-3</v>
      </c>
      <c r="N3090">
        <v>-1.04329E-2</v>
      </c>
      <c r="O3090">
        <v>-0.99991949999999996</v>
      </c>
      <c r="P3090">
        <v>0.1917594</v>
      </c>
      <c r="Q3090">
        <v>0.1778419</v>
      </c>
      <c r="R3090">
        <v>-0.96519489999999997</v>
      </c>
      <c r="S3090">
        <v>1.1091</v>
      </c>
      <c r="T3090">
        <v>-0.1027222</v>
      </c>
      <c r="U3090">
        <v>-2.907181</v>
      </c>
      <c r="V3090">
        <v>-0.18565300000000001</v>
      </c>
      <c r="W3090">
        <v>0.1870473</v>
      </c>
      <c r="X3090">
        <v>0.96464819999999996</v>
      </c>
      <c r="Y3090">
        <v>-0.34951110000000002</v>
      </c>
      <c r="Z3090">
        <v>2.26225E-2</v>
      </c>
      <c r="AA3090">
        <v>0.93665909999999997</v>
      </c>
      <c r="AB3090">
        <v>24</v>
      </c>
      <c r="AC3090">
        <v>12.0054999999999</v>
      </c>
      <c r="AD3090">
        <v>-1.112197477544</v>
      </c>
      <c r="AE3090">
        <v>-31.3432</v>
      </c>
      <c r="AF3090">
        <v>-11.7655893025879</v>
      </c>
      <c r="AG3090">
        <v>-1.112197477544</v>
      </c>
      <c r="AH3090">
        <v>31.394732476035799</v>
      </c>
      <c r="AI3090">
        <v>91.899988113150499</v>
      </c>
      <c r="AJ3090">
        <v>110.54414761033399</v>
      </c>
      <c r="AK3090">
        <v>33.545421477574102</v>
      </c>
      <c r="AL3090">
        <v>79.219481424945101</v>
      </c>
      <c r="AM3090">
        <v>100.893759334004</v>
      </c>
      <c r="AN3090">
        <v>0.99999993930476305</v>
      </c>
    </row>
    <row r="3091" spans="1:40" x14ac:dyDescent="0.25">
      <c r="A3091" t="str">
        <f>"20190304155116200"</f>
        <v>20190304155116200</v>
      </c>
      <c r="B3091" t="str">
        <f>"1551685876189731"</f>
        <v>1551685876189731</v>
      </c>
      <c r="C3091" t="s">
        <v>40</v>
      </c>
      <c r="D3091">
        <v>4.7330160000000001</v>
      </c>
      <c r="E3091">
        <v>0.42932409999999999</v>
      </c>
      <c r="F3091" t="s">
        <v>62</v>
      </c>
      <c r="G3091">
        <v>-480.29109999999997</v>
      </c>
      <c r="H3091" s="1">
        <v>1.230556E-6</v>
      </c>
      <c r="I3091">
        <v>208.68709999999999</v>
      </c>
      <c r="J3091">
        <v>-492.96230000000003</v>
      </c>
      <c r="K3091">
        <v>1.1122479999999999</v>
      </c>
      <c r="L3091">
        <v>241.2099</v>
      </c>
      <c r="M3091">
        <v>1.005869E-2</v>
      </c>
      <c r="N3091">
        <v>-1.042856E-2</v>
      </c>
      <c r="O3091">
        <v>-0.99989510000000004</v>
      </c>
      <c r="P3091">
        <v>0.1939015</v>
      </c>
      <c r="Q3091">
        <v>0.17840230000000001</v>
      </c>
      <c r="R3091">
        <v>-0.9646631</v>
      </c>
      <c r="S3091">
        <v>1.124023</v>
      </c>
      <c r="T3091">
        <v>-9.8622440000000006E-2</v>
      </c>
      <c r="U3091">
        <v>-2.9030610000000001</v>
      </c>
      <c r="V3091">
        <v>-0.18508749999999999</v>
      </c>
      <c r="W3091">
        <v>0.18758920000000001</v>
      </c>
      <c r="X3091">
        <v>0.9646517</v>
      </c>
      <c r="Y3091">
        <v>-0.35151080000000001</v>
      </c>
      <c r="Z3091">
        <v>2.1315319999999999E-2</v>
      </c>
      <c r="AA3091">
        <v>0.93594109999999997</v>
      </c>
      <c r="AB3091">
        <v>24</v>
      </c>
      <c r="AC3091">
        <v>12.671200000000001</v>
      </c>
      <c r="AD3091">
        <v>-1.1122467694439999</v>
      </c>
      <c r="AE3091">
        <v>-32.522799999999997</v>
      </c>
      <c r="AF3091">
        <v>-12.330883188477801</v>
      </c>
      <c r="AG3091">
        <v>-1.1122467694439999</v>
      </c>
      <c r="AH3091">
        <v>32.6154982604317</v>
      </c>
      <c r="AI3091">
        <v>91.827013093872495</v>
      </c>
      <c r="AJ3091">
        <v>110.710011826119</v>
      </c>
      <c r="AK3091">
        <v>34.886365529533897</v>
      </c>
      <c r="AL3091">
        <v>79.187873979429696</v>
      </c>
      <c r="AM3091">
        <v>100.861328834232</v>
      </c>
      <c r="AN3091">
        <v>0.99999999646288995</v>
      </c>
    </row>
    <row r="3092" spans="1:40" x14ac:dyDescent="0.25">
      <c r="A3092" t="str">
        <f>"20190304155116213"</f>
        <v>20190304155116213</v>
      </c>
      <c r="B3092" t="str">
        <f>"1551685876209251"</f>
        <v>1551685876209251</v>
      </c>
      <c r="C3092" t="s">
        <v>40</v>
      </c>
      <c r="D3092">
        <v>4.6744409999999998</v>
      </c>
      <c r="E3092">
        <v>0.42955549999999998</v>
      </c>
      <c r="F3092" t="s">
        <v>62</v>
      </c>
      <c r="G3092">
        <v>-481.38639999999998</v>
      </c>
      <c r="H3092" s="1">
        <v>1.6594590000000001E-6</v>
      </c>
      <c r="I3092">
        <v>211.49270000000001</v>
      </c>
      <c r="J3092">
        <v>-492.959</v>
      </c>
      <c r="K3092">
        <v>1.1122749999999999</v>
      </c>
      <c r="L3092">
        <v>241.07480000000001</v>
      </c>
      <c r="M3092">
        <v>1.1855620000000001E-2</v>
      </c>
      <c r="N3092">
        <v>-1.042649E-2</v>
      </c>
      <c r="O3092">
        <v>-0.99987550000000003</v>
      </c>
      <c r="P3092">
        <v>0.19577220000000001</v>
      </c>
      <c r="Q3092">
        <v>0.17880109999999999</v>
      </c>
      <c r="R3092">
        <v>-0.96421159999999995</v>
      </c>
      <c r="S3092">
        <v>1.1307069999999999</v>
      </c>
      <c r="T3092">
        <v>-0.1086411</v>
      </c>
      <c r="U3092">
        <v>-2.902695</v>
      </c>
      <c r="V3092">
        <v>-0.18523970000000001</v>
      </c>
      <c r="W3092">
        <v>0.1879728</v>
      </c>
      <c r="X3092">
        <v>0.96454779999999996</v>
      </c>
      <c r="Y3092">
        <v>-0.35170839999999998</v>
      </c>
      <c r="Z3092">
        <v>2.4528080000000001E-2</v>
      </c>
      <c r="AA3092">
        <v>0.93578819999999996</v>
      </c>
      <c r="AB3092">
        <v>24</v>
      </c>
      <c r="AC3092">
        <v>11.5726</v>
      </c>
      <c r="AD3092">
        <v>-1.1122733405409999</v>
      </c>
      <c r="AE3092">
        <v>-29.582100000000001</v>
      </c>
      <c r="AF3092">
        <v>-11.2073123086923</v>
      </c>
      <c r="AG3092">
        <v>-1.1122733405409999</v>
      </c>
      <c r="AH3092">
        <v>29.6808372717569</v>
      </c>
      <c r="AI3092">
        <v>92.007878203253298</v>
      </c>
      <c r="AJ3092">
        <v>110.686246099377</v>
      </c>
      <c r="AK3092">
        <v>31.745757233387199</v>
      </c>
      <c r="AL3092">
        <v>79.165497177720695</v>
      </c>
      <c r="AM3092">
        <v>100.87119057397599</v>
      </c>
      <c r="AN3092">
        <v>0.99999998924038402</v>
      </c>
    </row>
    <row r="3093" spans="1:40" x14ac:dyDescent="0.25">
      <c r="A3093" t="str">
        <f>"20190304155116225"</f>
        <v>20190304155116225</v>
      </c>
      <c r="B3093" t="str">
        <f>"1551685876219986"</f>
        <v>1551685876219986</v>
      </c>
      <c r="C3093" t="s">
        <v>40</v>
      </c>
      <c r="D3093">
        <v>4.6907940000000004</v>
      </c>
      <c r="E3093">
        <v>0.42954819999999999</v>
      </c>
      <c r="F3093" t="s">
        <v>62</v>
      </c>
      <c r="G3093">
        <v>-482.15030000000002</v>
      </c>
      <c r="H3093" s="1">
        <v>1.8791810000000001E-6</v>
      </c>
      <c r="I3093">
        <v>213.4194</v>
      </c>
      <c r="J3093">
        <v>-492.95530000000002</v>
      </c>
      <c r="K3093">
        <v>1.1123000000000001</v>
      </c>
      <c r="L3093">
        <v>240.9308</v>
      </c>
      <c r="M3093">
        <v>1.3791380000000001E-2</v>
      </c>
      <c r="N3093">
        <v>-1.0424660000000001E-2</v>
      </c>
      <c r="O3093">
        <v>-0.99985060000000003</v>
      </c>
      <c r="P3093">
        <v>0.19789109999999999</v>
      </c>
      <c r="Q3093">
        <v>0.17966409999999999</v>
      </c>
      <c r="R3093">
        <v>-0.96361810000000003</v>
      </c>
      <c r="S3093">
        <v>1.13446</v>
      </c>
      <c r="T3093">
        <v>-0.11674180000000001</v>
      </c>
      <c r="U3093">
        <v>-2.9026489999999998</v>
      </c>
      <c r="V3093">
        <v>-0.18551219999999999</v>
      </c>
      <c r="W3093">
        <v>0.1888176</v>
      </c>
      <c r="X3093">
        <v>0.96433040000000003</v>
      </c>
      <c r="Y3093">
        <v>-0.35092250000000003</v>
      </c>
      <c r="Z3093">
        <v>2.713146E-2</v>
      </c>
      <c r="AA3093">
        <v>0.93601140000000005</v>
      </c>
      <c r="AB3093">
        <v>24</v>
      </c>
      <c r="AC3093">
        <v>10.805</v>
      </c>
      <c r="AD3093">
        <v>-1.1122981208189999</v>
      </c>
      <c r="AE3093">
        <v>-27.511399999999998</v>
      </c>
      <c r="AF3093">
        <v>-10.409789405584901</v>
      </c>
      <c r="AG3093">
        <v>-1.1122981208189999</v>
      </c>
      <c r="AH3093">
        <v>27.618694242744599</v>
      </c>
      <c r="AI3093">
        <v>92.1581936276379</v>
      </c>
      <c r="AJ3093">
        <v>110.651977577259</v>
      </c>
      <c r="AK3093">
        <v>29.536302988905401</v>
      </c>
      <c r="AL3093">
        <v>79.116211174558202</v>
      </c>
      <c r="AM3093">
        <v>100.889196607595</v>
      </c>
      <c r="AN3093">
        <v>0.99999999139137996</v>
      </c>
    </row>
    <row r="3094" spans="1:40" x14ac:dyDescent="0.25">
      <c r="A3094" t="str">
        <f>"20190304155116241"</f>
        <v>20190304155116241</v>
      </c>
      <c r="B3094" t="str">
        <f>"1551685876229748"</f>
        <v>1551685876229748</v>
      </c>
      <c r="C3094" t="s">
        <v>40</v>
      </c>
      <c r="D3094">
        <v>4.7797210000000003</v>
      </c>
      <c r="E3094">
        <v>0.43001450000000002</v>
      </c>
      <c r="F3094" t="s">
        <v>62</v>
      </c>
      <c r="G3094">
        <v>-482.05579999999998</v>
      </c>
      <c r="H3094" s="1">
        <v>1.8541890000000001E-6</v>
      </c>
      <c r="I3094">
        <v>213.23099999999999</v>
      </c>
      <c r="J3094">
        <v>-492.95089999999999</v>
      </c>
      <c r="K3094">
        <v>1.1123240000000001</v>
      </c>
      <c r="L3094">
        <v>240.7774</v>
      </c>
      <c r="M3094">
        <v>1.5893640000000001E-2</v>
      </c>
      <c r="N3094">
        <v>-1.042293E-2</v>
      </c>
      <c r="O3094">
        <v>-0.99981940000000002</v>
      </c>
      <c r="P3094">
        <v>0.20037720000000001</v>
      </c>
      <c r="Q3094">
        <v>0.1804703</v>
      </c>
      <c r="R3094">
        <v>-0.96295339999999996</v>
      </c>
      <c r="S3094">
        <v>1.141357</v>
      </c>
      <c r="T3094">
        <v>-0.1164756</v>
      </c>
      <c r="U3094">
        <v>-2.90062</v>
      </c>
      <c r="V3094">
        <v>-0.18599579999999999</v>
      </c>
      <c r="W3094">
        <v>0.18960279999999999</v>
      </c>
      <c r="X3094">
        <v>0.96408320000000003</v>
      </c>
      <c r="Y3094">
        <v>-0.35110550000000001</v>
      </c>
      <c r="Z3094">
        <v>2.7057620000000001E-2</v>
      </c>
      <c r="AA3094">
        <v>0.93594489999999997</v>
      </c>
      <c r="AB3094">
        <v>24</v>
      </c>
      <c r="AC3094">
        <v>10.895099999999999</v>
      </c>
      <c r="AD3094">
        <v>-1.112322145811</v>
      </c>
      <c r="AE3094">
        <v>-27.546399999999998</v>
      </c>
      <c r="AF3094">
        <v>-10.4411655906848</v>
      </c>
      <c r="AG3094">
        <v>-1.112322145811</v>
      </c>
      <c r="AH3094">
        <v>27.677068498153201</v>
      </c>
      <c r="AI3094">
        <v>92.153451920491506</v>
      </c>
      <c r="AJ3094">
        <v>110.66896793709699</v>
      </c>
      <c r="AK3094">
        <v>29.601947910562</v>
      </c>
      <c r="AL3094">
        <v>79.070395445092601</v>
      </c>
      <c r="AM3094">
        <v>100.91963367775899</v>
      </c>
      <c r="AN3094">
        <v>1.0000000379538501</v>
      </c>
    </row>
    <row r="3095" spans="1:40" x14ac:dyDescent="0.25">
      <c r="A3095" t="str">
        <f>"20190304155116257"</f>
        <v>20190304155116257</v>
      </c>
      <c r="B3095" t="str">
        <f>"1551685876249268"</f>
        <v>1551685876249268</v>
      </c>
      <c r="C3095" t="s">
        <v>40</v>
      </c>
      <c r="D3095">
        <v>4.7549549999999998</v>
      </c>
      <c r="E3095">
        <v>0.43010569999999998</v>
      </c>
      <c r="F3095" t="s">
        <v>62</v>
      </c>
      <c r="G3095">
        <v>-482.30380000000002</v>
      </c>
      <c r="H3095" s="1">
        <v>1.9243930000000002E-6</v>
      </c>
      <c r="I3095">
        <v>213.83080000000001</v>
      </c>
      <c r="J3095">
        <v>-492.94580000000002</v>
      </c>
      <c r="K3095">
        <v>1.1123459999999901</v>
      </c>
      <c r="L3095">
        <v>240.61590000000001</v>
      </c>
      <c r="M3095">
        <v>1.814E-2</v>
      </c>
      <c r="N3095">
        <v>-1.042131E-2</v>
      </c>
      <c r="O3095">
        <v>-0.99978120000000004</v>
      </c>
      <c r="P3095">
        <v>0.20396149999999999</v>
      </c>
      <c r="Q3095">
        <v>0.1816499</v>
      </c>
      <c r="R3095">
        <v>-0.96197900000000003</v>
      </c>
      <c r="S3095">
        <v>1.1456299999999999</v>
      </c>
      <c r="T3095">
        <v>-0.119686</v>
      </c>
      <c r="U3095">
        <v>-2.8994599999999999</v>
      </c>
      <c r="V3095">
        <v>-0.18744939999999999</v>
      </c>
      <c r="W3095">
        <v>0.19075110000000001</v>
      </c>
      <c r="X3095">
        <v>0.96357490000000001</v>
      </c>
      <c r="Y3095">
        <v>-0.35031069999999997</v>
      </c>
      <c r="Z3095">
        <v>2.810255E-2</v>
      </c>
      <c r="AA3095">
        <v>0.93621189999999999</v>
      </c>
      <c r="AB3095">
        <v>24</v>
      </c>
      <c r="AC3095">
        <v>10.6419999999999</v>
      </c>
      <c r="AD3095">
        <v>-1.11234407560699</v>
      </c>
      <c r="AE3095">
        <v>-26.7851</v>
      </c>
      <c r="AF3095">
        <v>-10.139238380566299</v>
      </c>
      <c r="AG3095">
        <v>-1.11234407560699</v>
      </c>
      <c r="AH3095">
        <v>26.933631212737101</v>
      </c>
      <c r="AI3095">
        <v>92.213459475015995</v>
      </c>
      <c r="AJ3095">
        <v>110.62898260373601</v>
      </c>
      <c r="AK3095">
        <v>28.800381153453699</v>
      </c>
      <c r="AL3095">
        <v>79.003378379381303</v>
      </c>
      <c r="AM3095">
        <v>101.008560640361</v>
      </c>
      <c r="AN3095">
        <v>0.99999992381078695</v>
      </c>
    </row>
    <row r="3096" spans="1:40" x14ac:dyDescent="0.25">
      <c r="A3096" t="str">
        <f>"20190304155116280"</f>
        <v>20190304155116280</v>
      </c>
      <c r="B3096" t="str">
        <f>"1551685876269763"</f>
        <v>1551685876269763</v>
      </c>
      <c r="C3096" t="s">
        <v>40</v>
      </c>
      <c r="D3096">
        <v>4.8375820000000003</v>
      </c>
      <c r="E3096">
        <v>0.42996289999999998</v>
      </c>
      <c r="F3096" t="s">
        <v>62</v>
      </c>
      <c r="G3096">
        <v>-482.15120000000002</v>
      </c>
      <c r="H3096" s="1">
        <v>1.8859E-6</v>
      </c>
      <c r="I3096">
        <v>213.56950000000001</v>
      </c>
      <c r="J3096">
        <v>-492.93740000000003</v>
      </c>
      <c r="K3096">
        <v>1.112403</v>
      </c>
      <c r="L3096">
        <v>240.3672</v>
      </c>
      <c r="M3096">
        <v>2.167125E-2</v>
      </c>
      <c r="N3096">
        <v>-1.0419629999999999E-2</v>
      </c>
      <c r="O3096">
        <v>-0.99971100000000002</v>
      </c>
      <c r="P3096">
        <v>0.2088449</v>
      </c>
      <c r="Q3096">
        <v>0.18400340000000001</v>
      </c>
      <c r="R3096">
        <v>-0.96048259999999996</v>
      </c>
      <c r="S3096">
        <v>1.155853</v>
      </c>
      <c r="T3096">
        <v>-0.11910560000000001</v>
      </c>
      <c r="U3096">
        <v>-2.8960270000000001</v>
      </c>
      <c r="V3096">
        <v>-0.18899340000000001</v>
      </c>
      <c r="W3096">
        <v>0.1930587</v>
      </c>
      <c r="X3096">
        <v>0.96281349999999999</v>
      </c>
      <c r="Y3096">
        <v>-0.3502383</v>
      </c>
      <c r="Z3096">
        <v>2.793971E-2</v>
      </c>
      <c r="AA3096">
        <v>0.93624379999999996</v>
      </c>
      <c r="AB3096">
        <v>24</v>
      </c>
      <c r="AC3096">
        <v>10.786199999999999</v>
      </c>
      <c r="AD3096">
        <v>-1.1124011140999901</v>
      </c>
      <c r="AE3096">
        <v>-26.797699999999899</v>
      </c>
      <c r="AF3096">
        <v>-10.1877878172054</v>
      </c>
      <c r="AG3096">
        <v>-1.1124011140999901</v>
      </c>
      <c r="AH3096">
        <v>26.985152155193301</v>
      </c>
      <c r="AI3096">
        <v>92.2085638672594</v>
      </c>
      <c r="AJ3096">
        <v>110.68318098560999</v>
      </c>
      <c r="AK3096">
        <v>28.865669811836799</v>
      </c>
      <c r="AL3096">
        <v>78.868659503034607</v>
      </c>
      <c r="AM3096">
        <v>101.10555263284699</v>
      </c>
      <c r="AN3096">
        <v>1.00000000133575</v>
      </c>
    </row>
    <row r="3097" spans="1:40" x14ac:dyDescent="0.25">
      <c r="A3097" t="str">
        <f>"20190304155116301"</f>
        <v>20190304155116301</v>
      </c>
      <c r="B3097" t="str">
        <f>"1551685876289283"</f>
        <v>1551685876289283</v>
      </c>
      <c r="C3097" t="s">
        <v>40</v>
      </c>
      <c r="D3097">
        <v>4.8375199999999996</v>
      </c>
      <c r="E3097">
        <v>0.42949530000000002</v>
      </c>
      <c r="F3097" t="s">
        <v>62</v>
      </c>
      <c r="G3097">
        <v>-481.41090000000003</v>
      </c>
      <c r="H3097" s="1">
        <v>1.682745E-6</v>
      </c>
      <c r="I3097">
        <v>211.92599999999999</v>
      </c>
      <c r="J3097">
        <v>-492.9289</v>
      </c>
      <c r="K3097">
        <v>1.1124590000000001</v>
      </c>
      <c r="L3097">
        <v>240.14410000000001</v>
      </c>
      <c r="M3097">
        <v>2.4919219999999999E-2</v>
      </c>
      <c r="N3097">
        <v>-1.04192E-2</v>
      </c>
      <c r="O3097">
        <v>-0.99963539999999995</v>
      </c>
      <c r="P3097">
        <v>0.2131343</v>
      </c>
      <c r="Q3097">
        <v>0.18570639999999999</v>
      </c>
      <c r="R3097">
        <v>-0.95921179999999995</v>
      </c>
      <c r="S3097">
        <v>1.171387</v>
      </c>
      <c r="T3097">
        <v>-0.1130482</v>
      </c>
      <c r="U3097">
        <v>-2.8903500000000002</v>
      </c>
      <c r="V3097">
        <v>-0.19021350000000001</v>
      </c>
      <c r="W3097">
        <v>0.19472310000000001</v>
      </c>
      <c r="X3097">
        <v>0.96223789999999998</v>
      </c>
      <c r="Y3097">
        <v>-0.35217959999999998</v>
      </c>
      <c r="Z3097">
        <v>2.6014260000000001E-2</v>
      </c>
      <c r="AA3097">
        <v>0.93557080000000004</v>
      </c>
      <c r="AB3097">
        <v>24</v>
      </c>
      <c r="AC3097">
        <v>11.517999999999899</v>
      </c>
      <c r="AD3097">
        <v>-1.1124573172550001</v>
      </c>
      <c r="AE3097">
        <v>-28.2181</v>
      </c>
      <c r="AF3097">
        <v>-10.796827777379701</v>
      </c>
      <c r="AG3097">
        <v>-1.1124573172550001</v>
      </c>
      <c r="AH3097">
        <v>28.458457731276901</v>
      </c>
      <c r="AI3097">
        <v>92.093150652625297</v>
      </c>
      <c r="AJ3097">
        <v>110.77619779364601</v>
      </c>
      <c r="AK3097">
        <v>30.458050951759699</v>
      </c>
      <c r="AL3097">
        <v>78.7714518896735</v>
      </c>
      <c r="AM3097">
        <v>101.181965239371</v>
      </c>
      <c r="AN3097">
        <v>1.00000001872613</v>
      </c>
    </row>
    <row r="3098" spans="1:40" x14ac:dyDescent="0.25">
      <c r="A3098" t="str">
        <f>"20190304155116314"</f>
        <v>20190304155116314</v>
      </c>
      <c r="B3098" t="str">
        <f>"1551685876309780"</f>
        <v>1551685876309780</v>
      </c>
      <c r="C3098" t="s">
        <v>40</v>
      </c>
      <c r="D3098">
        <v>4.8028149999999998</v>
      </c>
      <c r="E3098">
        <v>0.42931399999999997</v>
      </c>
      <c r="F3098" t="s">
        <v>62</v>
      </c>
      <c r="G3098">
        <v>-479.9717</v>
      </c>
      <c r="H3098" s="1">
        <v>1.20617E-6</v>
      </c>
      <c r="I3098">
        <v>208.71680000000001</v>
      </c>
      <c r="J3098">
        <v>-492.92340000000002</v>
      </c>
      <c r="K3098">
        <v>1.1125</v>
      </c>
      <c r="L3098">
        <v>240.00899999999999</v>
      </c>
      <c r="M3098">
        <v>2.6922939999999999E-2</v>
      </c>
      <c r="N3098">
        <v>-1.0419390000000001E-2</v>
      </c>
      <c r="O3098">
        <v>-0.99958329999999995</v>
      </c>
      <c r="P3098">
        <v>0.21530099999999999</v>
      </c>
      <c r="Q3098">
        <v>0.18627779999999999</v>
      </c>
      <c r="R3098">
        <v>-0.95861660000000004</v>
      </c>
      <c r="S3098">
        <v>1.1887209999999999</v>
      </c>
      <c r="T3098">
        <v>-0.10205939999999999</v>
      </c>
      <c r="U3098">
        <v>-2.8832089999999999</v>
      </c>
      <c r="V3098">
        <v>-0.19048219999999999</v>
      </c>
      <c r="W3098">
        <v>0.1952759</v>
      </c>
      <c r="X3098">
        <v>0.9620727</v>
      </c>
      <c r="Y3098">
        <v>-0.35596260000000002</v>
      </c>
      <c r="Z3098">
        <v>2.249837E-2</v>
      </c>
      <c r="AA3098">
        <v>0.93422930000000004</v>
      </c>
      <c r="AB3098">
        <v>24</v>
      </c>
      <c r="AC3098">
        <v>12.951700000000001</v>
      </c>
      <c r="AD3098">
        <v>-1.1124987938299999</v>
      </c>
      <c r="AE3098">
        <v>-31.292200000000001</v>
      </c>
      <c r="AF3098">
        <v>-12.091433301075201</v>
      </c>
      <c r="AG3098">
        <v>-1.1124987938299999</v>
      </c>
      <c r="AH3098">
        <v>31.595478286658601</v>
      </c>
      <c r="AI3098">
        <v>91.883485008166403</v>
      </c>
      <c r="AJ3098">
        <v>110.941601333213</v>
      </c>
      <c r="AK3098">
        <v>33.848407067443297</v>
      </c>
      <c r="AL3098">
        <v>78.739158797835003</v>
      </c>
      <c r="AM3098">
        <v>101.19923640832199</v>
      </c>
      <c r="AN3098">
        <v>1.0000000128614699</v>
      </c>
    </row>
    <row r="3099" spans="1:40" x14ac:dyDescent="0.25">
      <c r="A3099" t="str">
        <f>"20190304155116330"</f>
        <v>20190304155116330</v>
      </c>
      <c r="B3099" t="str">
        <f>"1551685876319539"</f>
        <v>1551685876319539</v>
      </c>
      <c r="C3099" t="s">
        <v>40</v>
      </c>
      <c r="D3099">
        <v>4.8408009999999999</v>
      </c>
      <c r="E3099">
        <v>0.4291953</v>
      </c>
      <c r="F3099" t="s">
        <v>62</v>
      </c>
      <c r="G3099">
        <v>-479.66640000000001</v>
      </c>
      <c r="H3099" s="1">
        <v>1.267679E-6</v>
      </c>
      <c r="I3099">
        <v>208.11850000000001</v>
      </c>
      <c r="J3099">
        <v>-492.9162</v>
      </c>
      <c r="K3099">
        <v>1.1125510000000001</v>
      </c>
      <c r="L3099">
        <v>239.8416</v>
      </c>
      <c r="M3099">
        <v>2.9442369999999999E-2</v>
      </c>
      <c r="N3099">
        <v>-1.0419980000000001E-2</v>
      </c>
      <c r="O3099">
        <v>-0.99951230000000002</v>
      </c>
      <c r="P3099">
        <v>0.21802299999999999</v>
      </c>
      <c r="Q3099">
        <v>0.18742429999999999</v>
      </c>
      <c r="R3099">
        <v>-0.95777789999999996</v>
      </c>
      <c r="S3099">
        <v>1.1972659999999999</v>
      </c>
      <c r="T3099">
        <v>-0.1004726</v>
      </c>
      <c r="U3099">
        <v>-2.880112</v>
      </c>
      <c r="V3099">
        <v>-0.19082389999999999</v>
      </c>
      <c r="W3099">
        <v>0.19639770000000001</v>
      </c>
      <c r="X3099">
        <v>0.96177659999999998</v>
      </c>
      <c r="Y3099">
        <v>-0.35633219999999999</v>
      </c>
      <c r="Z3099">
        <v>2.2001550000000002E-2</v>
      </c>
      <c r="AA3099">
        <v>0.93410029999999999</v>
      </c>
      <c r="AB3099">
        <v>24</v>
      </c>
      <c r="AC3099">
        <v>13.249799999999899</v>
      </c>
      <c r="AD3099">
        <v>-1.1125497323209901</v>
      </c>
      <c r="AE3099">
        <v>-31.723099999999899</v>
      </c>
      <c r="AF3099">
        <v>-12.2971232259708</v>
      </c>
      <c r="AG3099">
        <v>-1.1125497323209901</v>
      </c>
      <c r="AH3099">
        <v>32.065891279704999</v>
      </c>
      <c r="AI3099">
        <v>91.855462452132301</v>
      </c>
      <c r="AJ3099">
        <v>110.98159126419399</v>
      </c>
      <c r="AK3099">
        <v>34.361001005550797</v>
      </c>
      <c r="AL3099">
        <v>78.673615351193504</v>
      </c>
      <c r="AM3099">
        <v>101.222183496114</v>
      </c>
      <c r="AN3099">
        <v>1.0000000228420201</v>
      </c>
    </row>
    <row r="3100" spans="1:40" x14ac:dyDescent="0.25">
      <c r="A3100" t="str">
        <f>"20190304155116346"</f>
        <v>20190304155116346</v>
      </c>
      <c r="B3100" t="str">
        <f>"1551685876340035"</f>
        <v>1551685876340035</v>
      </c>
      <c r="C3100" t="s">
        <v>40</v>
      </c>
      <c r="D3100">
        <v>4.8005190000000004</v>
      </c>
      <c r="E3100">
        <v>0.42920649999999999</v>
      </c>
      <c r="F3100" t="s">
        <v>62</v>
      </c>
      <c r="G3100">
        <v>-479.52440000000001</v>
      </c>
      <c r="H3100">
        <v>4.0627000000000003E-2</v>
      </c>
      <c r="I3100">
        <v>207.91390000000001</v>
      </c>
      <c r="J3100">
        <v>-492.90800000000002</v>
      </c>
      <c r="K3100">
        <v>1.112622</v>
      </c>
      <c r="L3100">
        <v>239.66370000000001</v>
      </c>
      <c r="M3100">
        <v>3.2174759999999997E-2</v>
      </c>
      <c r="N3100">
        <v>-1.04212E-2</v>
      </c>
      <c r="O3100">
        <v>-0.99942819999999999</v>
      </c>
      <c r="P3100">
        <v>0.22205150000000001</v>
      </c>
      <c r="Q3100">
        <v>0.18994559999999999</v>
      </c>
      <c r="R3100">
        <v>-0.95635479999999995</v>
      </c>
      <c r="S3100">
        <v>1.206512</v>
      </c>
      <c r="T3100">
        <v>-9.657288E-2</v>
      </c>
      <c r="U3100">
        <v>-2.876465</v>
      </c>
      <c r="V3100">
        <v>-0.192297</v>
      </c>
      <c r="W3100">
        <v>0.19888259999999999</v>
      </c>
      <c r="X3100">
        <v>0.96097220000000005</v>
      </c>
      <c r="Y3100">
        <v>-0.35676649999999999</v>
      </c>
      <c r="Z3100">
        <v>2.076279E-2</v>
      </c>
      <c r="AA3100">
        <v>0.93396279999999998</v>
      </c>
      <c r="AB3100">
        <v>24</v>
      </c>
      <c r="AC3100">
        <v>13.383599999999999</v>
      </c>
      <c r="AD3100">
        <v>-1.071995</v>
      </c>
      <c r="AE3100">
        <v>-31.7498</v>
      </c>
      <c r="AF3100">
        <v>-12.3431245485351</v>
      </c>
      <c r="AG3100">
        <v>-1.071995</v>
      </c>
      <c r="AH3100">
        <v>32.132892986686898</v>
      </c>
      <c r="AI3100">
        <v>91.783769287345805</v>
      </c>
      <c r="AJ3100">
        <v>111.013150469926</v>
      </c>
      <c r="AK3100">
        <v>34.438709450189101</v>
      </c>
      <c r="AL3100">
        <v>78.528375832856895</v>
      </c>
      <c r="AM3100">
        <v>101.31581207110899</v>
      </c>
      <c r="AN3100">
        <v>0.99999999698230002</v>
      </c>
    </row>
    <row r="3101" spans="1:40" x14ac:dyDescent="0.25">
      <c r="A3101" t="str">
        <f>"20190304155116361"</f>
        <v>20190304155116361</v>
      </c>
      <c r="B3101" t="str">
        <f>"1551685876349796"</f>
        <v>1551685876349796</v>
      </c>
      <c r="C3101" t="s">
        <v>40</v>
      </c>
      <c r="D3101">
        <v>4.8251850000000003</v>
      </c>
      <c r="E3101">
        <v>0.4291915</v>
      </c>
      <c r="F3101" t="s">
        <v>62</v>
      </c>
      <c r="G3101">
        <v>-478.90359999999998</v>
      </c>
      <c r="H3101">
        <v>7.9999769999999998E-2</v>
      </c>
      <c r="I3101">
        <v>206.66990000000001</v>
      </c>
      <c r="J3101">
        <v>-492.90030000000002</v>
      </c>
      <c r="K3101">
        <v>1.1126720000000001</v>
      </c>
      <c r="L3101">
        <v>239.50839999999999</v>
      </c>
      <c r="M3101">
        <v>3.4607099999999898E-2</v>
      </c>
      <c r="N3101">
        <v>-1.0422799999999999E-2</v>
      </c>
      <c r="O3101">
        <v>-0.99934690000000004</v>
      </c>
      <c r="P3101">
        <v>0.2249659</v>
      </c>
      <c r="Q3101">
        <v>0.1912645</v>
      </c>
      <c r="R3101">
        <v>-0.95541050000000005</v>
      </c>
      <c r="S3101">
        <v>1.218933</v>
      </c>
      <c r="T3101">
        <v>-8.9878559999999996E-2</v>
      </c>
      <c r="U3101">
        <v>-2.87175</v>
      </c>
      <c r="V3101">
        <v>-0.1929246</v>
      </c>
      <c r="W3101">
        <v>0.2001764</v>
      </c>
      <c r="X3101">
        <v>0.96057769999999998</v>
      </c>
      <c r="Y3101">
        <v>-0.35848720000000001</v>
      </c>
      <c r="Z3101">
        <v>1.861865E-2</v>
      </c>
      <c r="AA3101">
        <v>0.93334899999999998</v>
      </c>
      <c r="AB3101">
        <v>24</v>
      </c>
      <c r="AC3101">
        <v>13.996700000000001</v>
      </c>
      <c r="AD3101">
        <v>-1.03267223</v>
      </c>
      <c r="AE3101">
        <v>-32.838499999999897</v>
      </c>
      <c r="AF3101">
        <v>-12.8410619059031</v>
      </c>
      <c r="AG3101">
        <v>-1.03267223</v>
      </c>
      <c r="AH3101">
        <v>33.2753913994095</v>
      </c>
      <c r="AI3101">
        <v>91.658424067725605</v>
      </c>
      <c r="AJ3101">
        <v>111.101733956272</v>
      </c>
      <c r="AK3101">
        <v>35.682081716034297</v>
      </c>
      <c r="AL3101">
        <v>78.4527254482432</v>
      </c>
      <c r="AM3101">
        <v>101.35632703714001</v>
      </c>
      <c r="AN3101">
        <v>1.0000000050697</v>
      </c>
    </row>
    <row r="3102" spans="1:40" x14ac:dyDescent="0.25">
      <c r="A3102" t="str">
        <f>"20190304155116381"</f>
        <v>20190304155116381</v>
      </c>
      <c r="B3102" t="str">
        <f>"1551685876369315"</f>
        <v>1551685876369315</v>
      </c>
      <c r="C3102" t="s">
        <v>40</v>
      </c>
      <c r="D3102">
        <v>4.9108700000000001</v>
      </c>
      <c r="E3102">
        <v>0.42938850000000001</v>
      </c>
      <c r="F3102" t="s">
        <v>62</v>
      </c>
      <c r="G3102">
        <v>-478.202</v>
      </c>
      <c r="H3102">
        <v>7.9999730000000005E-2</v>
      </c>
      <c r="I3102">
        <v>205.16159999999999</v>
      </c>
      <c r="J3102">
        <v>-492.8895</v>
      </c>
      <c r="K3102">
        <v>1.112746</v>
      </c>
      <c r="L3102">
        <v>239.3006</v>
      </c>
      <c r="M3102">
        <v>3.7917659999999999E-2</v>
      </c>
      <c r="N3102">
        <v>-1.042529E-2</v>
      </c>
      <c r="O3102">
        <v>-0.99922659999999996</v>
      </c>
      <c r="P3102">
        <v>0.23034979999999999</v>
      </c>
      <c r="Q3102">
        <v>0.19340170000000001</v>
      </c>
      <c r="R3102">
        <v>-0.95369539999999997</v>
      </c>
      <c r="S3102">
        <v>1.2274480000000001</v>
      </c>
      <c r="T3102">
        <v>-8.6237910000000001E-2</v>
      </c>
      <c r="U3102">
        <v>-2.8682859999999999</v>
      </c>
      <c r="V3102">
        <v>-0.1952188</v>
      </c>
      <c r="W3102">
        <v>0.20226749999999999</v>
      </c>
      <c r="X3102">
        <v>0.95967570000000002</v>
      </c>
      <c r="Y3102">
        <v>-0.35815449999999999</v>
      </c>
      <c r="Z3102">
        <v>1.7463179999999998E-2</v>
      </c>
      <c r="AA3102">
        <v>0.93349899999999997</v>
      </c>
      <c r="AB3102">
        <v>24</v>
      </c>
      <c r="AC3102">
        <v>14.6875</v>
      </c>
      <c r="AD3102">
        <v>-1.0327462700000001</v>
      </c>
      <c r="AE3102">
        <v>-34.139000000000003</v>
      </c>
      <c r="AF3102">
        <v>-13.372069413811801</v>
      </c>
      <c r="AG3102">
        <v>-1.0327462700000001</v>
      </c>
      <c r="AH3102">
        <v>34.644639923144602</v>
      </c>
      <c r="AI3102">
        <v>91.592987034913605</v>
      </c>
      <c r="AJ3102">
        <v>111.105492071865</v>
      </c>
      <c r="AK3102">
        <v>37.150099335941803</v>
      </c>
      <c r="AL3102">
        <v>78.330412153501001</v>
      </c>
      <c r="AM3102">
        <v>101.49831288409401</v>
      </c>
      <c r="AN3102">
        <v>0.99999998530009004</v>
      </c>
    </row>
    <row r="3103" spans="1:40" x14ac:dyDescent="0.25">
      <c r="A3103" t="str">
        <f>"20190304155116395"</f>
        <v>20190304155116395</v>
      </c>
      <c r="B3103" t="str">
        <f>"1551685876389813"</f>
        <v>1551685876389813</v>
      </c>
      <c r="C3103" t="s">
        <v>40</v>
      </c>
      <c r="D3103">
        <v>4.9269530000000001</v>
      </c>
      <c r="E3103">
        <v>0.42952620000000002</v>
      </c>
      <c r="F3103" t="s">
        <v>62</v>
      </c>
      <c r="G3103">
        <v>-477.46589999999998</v>
      </c>
      <c r="H3103">
        <v>7.9999360000000005E-2</v>
      </c>
      <c r="I3103">
        <v>203.762</v>
      </c>
      <c r="J3103">
        <v>-492.8809</v>
      </c>
      <c r="K3103">
        <v>1.112792</v>
      </c>
      <c r="L3103">
        <v>239.14689999999999</v>
      </c>
      <c r="M3103">
        <v>4.0413770000000002E-2</v>
      </c>
      <c r="N3103">
        <v>-1.0427550000000001E-2</v>
      </c>
      <c r="O3103">
        <v>-0.99912860000000003</v>
      </c>
      <c r="P3103">
        <v>0.2341773</v>
      </c>
      <c r="Q3103">
        <v>0.1942373</v>
      </c>
      <c r="R3103">
        <v>-0.95259280000000002</v>
      </c>
      <c r="S3103">
        <v>1.24231</v>
      </c>
      <c r="T3103">
        <v>-8.3183530000000006E-2</v>
      </c>
      <c r="U3103">
        <v>-2.8624879999999999</v>
      </c>
      <c r="V3103">
        <v>-0.19671079999999999</v>
      </c>
      <c r="W3103">
        <v>0.2030711</v>
      </c>
      <c r="X3103">
        <v>0.95920119999999998</v>
      </c>
      <c r="Y3103">
        <v>-0.36059869999999999</v>
      </c>
      <c r="Z3103">
        <v>1.6489409999999999E-2</v>
      </c>
      <c r="AA3103">
        <v>0.9325753</v>
      </c>
      <c r="AB3103">
        <v>24</v>
      </c>
      <c r="AC3103">
        <v>15.414999999999999</v>
      </c>
      <c r="AD3103">
        <v>-1.03279264</v>
      </c>
      <c r="AE3103">
        <v>-35.384899999999902</v>
      </c>
      <c r="AF3103">
        <v>-13.9622928035696</v>
      </c>
      <c r="AG3103">
        <v>-1.03279264</v>
      </c>
      <c r="AH3103">
        <v>35.953257438791802</v>
      </c>
      <c r="AI3103">
        <v>91.533880369095996</v>
      </c>
      <c r="AJ3103">
        <v>111.223466415012</v>
      </c>
      <c r="AK3103">
        <v>38.583014416060003</v>
      </c>
      <c r="AL3103">
        <v>78.2833933888476</v>
      </c>
      <c r="AM3103">
        <v>101.58939987619701</v>
      </c>
      <c r="AN3103">
        <v>0.99999997628664405</v>
      </c>
    </row>
    <row r="3104" spans="1:40" x14ac:dyDescent="0.25">
      <c r="A3104" t="str">
        <f>"20190304155116413"</f>
        <v>20190304155116413</v>
      </c>
      <c r="B3104" t="str">
        <f>"1551685876409331"</f>
        <v>1551685876409331</v>
      </c>
      <c r="C3104" t="s">
        <v>40</v>
      </c>
      <c r="D3104">
        <v>4.816541</v>
      </c>
      <c r="E3104">
        <v>0.42970320000000001</v>
      </c>
      <c r="F3104" t="s">
        <v>62</v>
      </c>
      <c r="G3104">
        <v>-477.36860000000001</v>
      </c>
      <c r="H3104">
        <v>7.9999340000000002E-2</v>
      </c>
      <c r="I3104">
        <v>203.7483</v>
      </c>
      <c r="J3104">
        <v>-492.87020000000001</v>
      </c>
      <c r="K3104">
        <v>1.1128400000000001</v>
      </c>
      <c r="L3104">
        <v>238.96379999999999</v>
      </c>
      <c r="M3104">
        <v>4.3434609999999998E-2</v>
      </c>
      <c r="N3104">
        <v>-1.043066E-2</v>
      </c>
      <c r="O3104">
        <v>-0.9990019</v>
      </c>
      <c r="P3104">
        <v>0.24147109999999999</v>
      </c>
      <c r="Q3104">
        <v>0.19714870000000001</v>
      </c>
      <c r="R3104">
        <v>-0.95017070000000003</v>
      </c>
      <c r="S3104">
        <v>1.252594</v>
      </c>
      <c r="T3104">
        <v>-8.3396429999999994E-2</v>
      </c>
      <c r="U3104">
        <v>-2.8583829999999999</v>
      </c>
      <c r="V3104">
        <v>-0.20123820000000001</v>
      </c>
      <c r="W3104">
        <v>0.20591789999999999</v>
      </c>
      <c r="X3104">
        <v>0.95765389999999995</v>
      </c>
      <c r="Y3104">
        <v>-0.3610853</v>
      </c>
      <c r="Z3104">
        <v>1.6571269999999999E-2</v>
      </c>
      <c r="AA3104">
        <v>0.93238560000000004</v>
      </c>
      <c r="AB3104">
        <v>24</v>
      </c>
      <c r="AC3104">
        <v>15.5015999999999</v>
      </c>
      <c r="AD3104">
        <v>-1.03284066</v>
      </c>
      <c r="AE3104">
        <v>-35.215499999999899</v>
      </c>
      <c r="AF3104">
        <v>-13.9472644822569</v>
      </c>
      <c r="AG3104">
        <v>-1.03284066</v>
      </c>
      <c r="AH3104">
        <v>35.829787055438501</v>
      </c>
      <c r="AI3104">
        <v>91.538757789499002</v>
      </c>
      <c r="AJ3104">
        <v>111.26919739057099</v>
      </c>
      <c r="AK3104">
        <v>38.462534846328602</v>
      </c>
      <c r="AL3104">
        <v>78.116762607535307</v>
      </c>
      <c r="AM3104">
        <v>101.867278695371</v>
      </c>
      <c r="AN3104">
        <v>0.99999999343242996</v>
      </c>
    </row>
    <row r="3105" spans="1:40" x14ac:dyDescent="0.25">
      <c r="A3105" t="str">
        <f>"20190304155116435"</f>
        <v>20190304155116435</v>
      </c>
      <c r="B3105" t="str">
        <f>"1551685876429827"</f>
        <v>1551685876429827</v>
      </c>
      <c r="C3105" t="s">
        <v>40</v>
      </c>
      <c r="D3105">
        <v>4.9274870000000002</v>
      </c>
      <c r="E3105">
        <v>0.42983389999999999</v>
      </c>
      <c r="F3105" t="s">
        <v>62</v>
      </c>
      <c r="G3105">
        <v>-475.77510000000001</v>
      </c>
      <c r="H3105">
        <v>7.9998689999999997E-2</v>
      </c>
      <c r="I3105">
        <v>200.67429999999999</v>
      </c>
      <c r="J3105">
        <v>-492.85550000000001</v>
      </c>
      <c r="K3105">
        <v>1.112897</v>
      </c>
      <c r="L3105">
        <v>238.72810000000001</v>
      </c>
      <c r="M3105">
        <v>4.7406730000000001E-2</v>
      </c>
      <c r="N3105">
        <v>-1.043525E-2</v>
      </c>
      <c r="O3105">
        <v>-0.99882119999999996</v>
      </c>
      <c r="P3105">
        <v>0.24864839999999999</v>
      </c>
      <c r="Q3105">
        <v>0.19840389999999999</v>
      </c>
      <c r="R3105">
        <v>-0.94805600000000001</v>
      </c>
      <c r="S3105">
        <v>1.2724</v>
      </c>
      <c r="T3105">
        <v>-7.6875089999999993E-2</v>
      </c>
      <c r="U3105">
        <v>-2.8499150000000002</v>
      </c>
      <c r="V3105">
        <v>-0.2047303</v>
      </c>
      <c r="W3105">
        <v>0.20711360000000001</v>
      </c>
      <c r="X3105">
        <v>0.95665529999999999</v>
      </c>
      <c r="Y3105">
        <v>-0.36382690000000001</v>
      </c>
      <c r="Z3105">
        <v>1.448757E-2</v>
      </c>
      <c r="AA3105">
        <v>0.93135389999999996</v>
      </c>
      <c r="AB3105">
        <v>24</v>
      </c>
      <c r="AC3105">
        <v>17.080399999999901</v>
      </c>
      <c r="AD3105">
        <v>-1.03289831</v>
      </c>
      <c r="AE3105">
        <v>-38.053800000000003</v>
      </c>
      <c r="AF3105">
        <v>-15.2477394678316</v>
      </c>
      <c r="AG3105">
        <v>-1.03289831</v>
      </c>
      <c r="AH3105">
        <v>38.796989611778301</v>
      </c>
      <c r="AI3105">
        <v>91.419397210006807</v>
      </c>
      <c r="AJ3105">
        <v>111.455495191704</v>
      </c>
      <c r="AK3105">
        <v>41.698523244044303</v>
      </c>
      <c r="AL3105">
        <v>78.046744167263697</v>
      </c>
      <c r="AM3105">
        <v>102.07945201345601</v>
      </c>
      <c r="AN3105">
        <v>0.99999995103056805</v>
      </c>
    </row>
    <row r="3106" spans="1:40" x14ac:dyDescent="0.25">
      <c r="A3106" t="str">
        <f>"20190304155116460"</f>
        <v>20190304155116460</v>
      </c>
      <c r="B3106" t="str">
        <f>"1551685876449347"</f>
        <v>1551685876449347</v>
      </c>
      <c r="C3106" t="s">
        <v>40</v>
      </c>
      <c r="D3106">
        <v>4.828589</v>
      </c>
      <c r="E3106">
        <v>0.42999710000000002</v>
      </c>
      <c r="F3106" t="s">
        <v>41</v>
      </c>
      <c r="G3106">
        <v>-474.9853</v>
      </c>
      <c r="H3106">
        <v>7.9986989999999994E-2</v>
      </c>
      <c r="I3106">
        <v>199.4513</v>
      </c>
      <c r="J3106">
        <v>-492.83789999999999</v>
      </c>
      <c r="K3106">
        <v>1.1129530000000001</v>
      </c>
      <c r="L3106">
        <v>238.4648</v>
      </c>
      <c r="M3106">
        <v>5.1946260000000001E-2</v>
      </c>
      <c r="N3106">
        <v>-1.0440939999999999E-2</v>
      </c>
      <c r="O3106">
        <v>-0.99859540000000002</v>
      </c>
      <c r="P3106">
        <v>0.25554450000000001</v>
      </c>
      <c r="Q3106">
        <v>0.19778409999999999</v>
      </c>
      <c r="R3106">
        <v>-0.94635009999999997</v>
      </c>
      <c r="S3106">
        <v>1.2926029999999999</v>
      </c>
      <c r="T3106">
        <v>-7.4712990000000007E-2</v>
      </c>
      <c r="U3106">
        <v>-2.8409879999999998</v>
      </c>
      <c r="V3106">
        <v>-0.20737710000000001</v>
      </c>
      <c r="W3106">
        <v>0.2064423</v>
      </c>
      <c r="X3106">
        <v>0.95623029999999998</v>
      </c>
      <c r="Y3106">
        <v>-0.3661874</v>
      </c>
      <c r="Z3106">
        <v>1.381169E-2</v>
      </c>
      <c r="AA3106">
        <v>0.9304386</v>
      </c>
      <c r="AB3106">
        <v>24</v>
      </c>
      <c r="AC3106">
        <v>17.852599999999899</v>
      </c>
      <c r="AD3106">
        <v>-1.03296601</v>
      </c>
      <c r="AE3106">
        <v>-39.013499999999901</v>
      </c>
      <c r="AF3106">
        <v>-15.792624224580001</v>
      </c>
      <c r="AG3106">
        <v>-1.03296601</v>
      </c>
      <c r="AH3106">
        <v>39.865139478558497</v>
      </c>
      <c r="AI3106">
        <v>91.379992591986095</v>
      </c>
      <c r="AJ3106">
        <v>111.611055823207</v>
      </c>
      <c r="AK3106">
        <v>42.891763129085</v>
      </c>
      <c r="AL3106">
        <v>78.086057471859107</v>
      </c>
      <c r="AM3106">
        <v>102.23621762049601</v>
      </c>
      <c r="AN3106">
        <v>1.00000003573589</v>
      </c>
    </row>
    <row r="3107" spans="1:40" x14ac:dyDescent="0.25">
      <c r="A3107" t="str">
        <f>"20190304155116480"</f>
        <v>20190304155116480</v>
      </c>
      <c r="B3107" t="str">
        <f>"1551685876469843"</f>
        <v>1551685876469843</v>
      </c>
      <c r="C3107" t="s">
        <v>40</v>
      </c>
      <c r="D3107">
        <v>4.841119</v>
      </c>
      <c r="E3107">
        <v>0.43022959999999899</v>
      </c>
      <c r="F3107" t="s">
        <v>62</v>
      </c>
      <c r="G3107">
        <v>-475.24470000000002</v>
      </c>
      <c r="H3107">
        <v>7.9998669999999994E-2</v>
      </c>
      <c r="I3107">
        <v>200.51079999999999</v>
      </c>
      <c r="J3107">
        <v>-492.82240000000002</v>
      </c>
      <c r="K3107">
        <v>1.113005</v>
      </c>
      <c r="L3107">
        <v>238.24809999999999</v>
      </c>
      <c r="M3107">
        <v>5.5770130000000001E-2</v>
      </c>
      <c r="N3107">
        <v>-1.044608E-2</v>
      </c>
      <c r="O3107">
        <v>-0.99838910000000003</v>
      </c>
      <c r="P3107">
        <v>0.26168530000000001</v>
      </c>
      <c r="Q3107">
        <v>0.19643540000000001</v>
      </c>
      <c r="R3107">
        <v>-0.94495200000000001</v>
      </c>
      <c r="S3107">
        <v>1.312622</v>
      </c>
      <c r="T3107">
        <v>-7.7068209999999998E-2</v>
      </c>
      <c r="U3107">
        <v>-2.8317260000000002</v>
      </c>
      <c r="V3107">
        <v>-0.20993619999999999</v>
      </c>
      <c r="W3107">
        <v>0.20504800000000001</v>
      </c>
      <c r="X3107">
        <v>0.95597180000000004</v>
      </c>
      <c r="Y3107">
        <v>-0.36919089999999999</v>
      </c>
      <c r="Z3107">
        <v>1.4593409999999999E-2</v>
      </c>
      <c r="AA3107">
        <v>0.92923900000000004</v>
      </c>
      <c r="AB3107">
        <v>24</v>
      </c>
      <c r="AC3107">
        <v>17.577699999999901</v>
      </c>
      <c r="AD3107">
        <v>-1.0330063300000001</v>
      </c>
      <c r="AE3107">
        <v>-37.737299999999998</v>
      </c>
      <c r="AF3107">
        <v>-15.4361065613998</v>
      </c>
      <c r="AG3107">
        <v>-1.0330063300000001</v>
      </c>
      <c r="AH3107">
        <v>38.635135927806402</v>
      </c>
      <c r="AI3107">
        <v>91.422310755748995</v>
      </c>
      <c r="AJ3107">
        <v>111.77846051591099</v>
      </c>
      <c r="AK3107">
        <v>41.617474887513097</v>
      </c>
      <c r="AL3107">
        <v>78.167690899872099</v>
      </c>
      <c r="AM3107">
        <v>102.385830453232</v>
      </c>
      <c r="AN3107">
        <v>0.99999998638484</v>
      </c>
    </row>
    <row r="3108" spans="1:40" x14ac:dyDescent="0.25">
      <c r="A3108" t="str">
        <f>"20190304155116502"</f>
        <v>20190304155116502</v>
      </c>
      <c r="B3108" t="str">
        <f>"1551685876500099"</f>
        <v>1551685876500099</v>
      </c>
      <c r="C3108" t="s">
        <v>40</v>
      </c>
      <c r="D3108">
        <v>4.7641140000000002</v>
      </c>
      <c r="E3108">
        <v>0.43067919999999998</v>
      </c>
      <c r="F3108" t="s">
        <v>62</v>
      </c>
      <c r="G3108">
        <v>-476.31319999999999</v>
      </c>
      <c r="H3108">
        <v>7.9999039999999993E-2</v>
      </c>
      <c r="I3108">
        <v>203.14940000000001</v>
      </c>
      <c r="J3108">
        <v>-492.80470000000003</v>
      </c>
      <c r="K3108">
        <v>1.1130949999999999</v>
      </c>
      <c r="L3108">
        <v>238.01609999999999</v>
      </c>
      <c r="M3108">
        <v>5.9976000000000002E-2</v>
      </c>
      <c r="N3108">
        <v>-1.045252E-2</v>
      </c>
      <c r="O3108">
        <v>-0.99814519999999995</v>
      </c>
      <c r="P3108">
        <v>0.26834930000000001</v>
      </c>
      <c r="Q3108">
        <v>0.19804459999999999</v>
      </c>
      <c r="R3108">
        <v>-0.94274449999999999</v>
      </c>
      <c r="S3108">
        <v>1.3284</v>
      </c>
      <c r="T3108">
        <v>-8.3119990000000005E-2</v>
      </c>
      <c r="U3108">
        <v>-2.8241879999999999</v>
      </c>
      <c r="V3108">
        <v>-0.2127308</v>
      </c>
      <c r="W3108">
        <v>0.20659669999999999</v>
      </c>
      <c r="X3108">
        <v>0.95502010000000004</v>
      </c>
      <c r="Y3108">
        <v>-0.37046410000000002</v>
      </c>
      <c r="Z3108">
        <v>1.6570999999999999E-2</v>
      </c>
      <c r="AA3108">
        <v>0.92869900000000005</v>
      </c>
      <c r="AB3108">
        <v>24</v>
      </c>
      <c r="AC3108">
        <v>16.491499999999998</v>
      </c>
      <c r="AD3108">
        <v>-1.03309596</v>
      </c>
      <c r="AE3108">
        <v>-34.866699999999902</v>
      </c>
      <c r="AF3108">
        <v>-14.3602274246722</v>
      </c>
      <c r="AG3108">
        <v>-1.03309596</v>
      </c>
      <c r="AH3108">
        <v>35.767414357743498</v>
      </c>
      <c r="AI3108">
        <v>91.535392713223501</v>
      </c>
      <c r="AJ3108">
        <v>111.874923271634</v>
      </c>
      <c r="AK3108">
        <v>38.556339929892097</v>
      </c>
      <c r="AL3108">
        <v>78.077015547663706</v>
      </c>
      <c r="AM3108">
        <v>102.55762505001501</v>
      </c>
      <c r="AN3108">
        <v>0.99999999056177002</v>
      </c>
    </row>
    <row r="3109" spans="1:40" x14ac:dyDescent="0.25">
      <c r="A3109" t="str">
        <f>"20190304155116514"</f>
        <v>20190304155116514</v>
      </c>
      <c r="B3109" t="str">
        <f>"1551685876509859"</f>
        <v>1551685876509859</v>
      </c>
      <c r="C3109" t="s">
        <v>40</v>
      </c>
      <c r="D3109">
        <v>5.0073990000000004</v>
      </c>
      <c r="E3109">
        <v>0.43073460000000002</v>
      </c>
      <c r="F3109" t="s">
        <v>62</v>
      </c>
      <c r="G3109">
        <v>-475.8886</v>
      </c>
      <c r="H3109">
        <v>7.9998959999999994E-2</v>
      </c>
      <c r="I3109">
        <v>202.57910000000001</v>
      </c>
      <c r="J3109">
        <v>-492.79430000000002</v>
      </c>
      <c r="K3109">
        <v>1.113148</v>
      </c>
      <c r="L3109">
        <v>237.8837</v>
      </c>
      <c r="M3109">
        <v>6.2433990000000002E-2</v>
      </c>
      <c r="N3109">
        <v>-1.0456999999999999E-2</v>
      </c>
      <c r="O3109">
        <v>-0.99799439999999995</v>
      </c>
      <c r="P3109">
        <v>0.27210319999999999</v>
      </c>
      <c r="Q3109">
        <v>0.1997496</v>
      </c>
      <c r="R3109">
        <v>-0.94130780000000003</v>
      </c>
      <c r="S3109">
        <v>1.3445739999999999</v>
      </c>
      <c r="T3109">
        <v>-8.211541E-2</v>
      </c>
      <c r="U3109">
        <v>-2.8166959999999999</v>
      </c>
      <c r="V3109">
        <v>-0.21424599999999999</v>
      </c>
      <c r="W3109">
        <v>0.20826249999999999</v>
      </c>
      <c r="X3109">
        <v>0.95431940000000004</v>
      </c>
      <c r="Y3109">
        <v>-0.3734808</v>
      </c>
      <c r="Z3109">
        <v>1.625936E-2</v>
      </c>
      <c r="AA3109">
        <v>0.92749539999999997</v>
      </c>
      <c r="AB3109">
        <v>24</v>
      </c>
      <c r="AC3109">
        <v>16.9057</v>
      </c>
      <c r="AD3109">
        <v>-1.0331490400000001</v>
      </c>
      <c r="AE3109">
        <v>-35.304599999999901</v>
      </c>
      <c r="AF3109">
        <v>-14.6581762087336</v>
      </c>
      <c r="AG3109">
        <v>-1.0331490400000001</v>
      </c>
      <c r="AH3109">
        <v>36.266000312900097</v>
      </c>
      <c r="AI3109">
        <v>91.512958044024202</v>
      </c>
      <c r="AJ3109">
        <v>112.007823963354</v>
      </c>
      <c r="AK3109">
        <v>39.129941290531001</v>
      </c>
      <c r="AL3109">
        <v>77.979451108593395</v>
      </c>
      <c r="AM3109">
        <v>102.653187101835</v>
      </c>
      <c r="AN3109">
        <v>1.0000000673192999</v>
      </c>
    </row>
    <row r="3110" spans="1:40" x14ac:dyDescent="0.25">
      <c r="A3110" t="str">
        <f>"20190304155116535"</f>
        <v>20190304155116535</v>
      </c>
      <c r="B3110" t="str">
        <f>"1551685876529380"</f>
        <v>1551685876529380</v>
      </c>
      <c r="C3110" t="s">
        <v>40</v>
      </c>
      <c r="D3110">
        <v>4.0505940000000002</v>
      </c>
      <c r="E3110">
        <v>0.40024019999999999</v>
      </c>
      <c r="F3110" t="s">
        <v>42</v>
      </c>
      <c r="G3110">
        <v>-472.45209999999997</v>
      </c>
      <c r="H3110">
        <v>-0.05</v>
      </c>
      <c r="I3110">
        <v>195.6902</v>
      </c>
      <c r="J3110">
        <v>-492.77539999999999</v>
      </c>
      <c r="K3110">
        <v>1.1132649999999999</v>
      </c>
      <c r="L3110">
        <v>237.6583</v>
      </c>
      <c r="M3110">
        <v>6.6726250000000001E-2</v>
      </c>
      <c r="N3110">
        <v>-1.0466029999999999E-2</v>
      </c>
      <c r="O3110">
        <v>-0.99771650000000001</v>
      </c>
      <c r="P3110">
        <v>0.27888669999999999</v>
      </c>
      <c r="Q3110">
        <v>0.20189319999999999</v>
      </c>
      <c r="R3110">
        <v>-0.93886179999999997</v>
      </c>
      <c r="S3110">
        <v>1.3555600000000001</v>
      </c>
      <c r="T3110">
        <v>-7.7509880000000003E-2</v>
      </c>
      <c r="U3110">
        <v>-2.8116910000000002</v>
      </c>
      <c r="V3110">
        <v>-0.21712629999999999</v>
      </c>
      <c r="W3110">
        <v>0.2103323</v>
      </c>
      <c r="X3110">
        <v>0.9532138</v>
      </c>
      <c r="Y3110">
        <v>-0.37308999999999998</v>
      </c>
      <c r="Z3110">
        <v>1.4783950000000001E-2</v>
      </c>
      <c r="AA3110">
        <v>0.92767730000000004</v>
      </c>
      <c r="AB3110">
        <v>24</v>
      </c>
      <c r="AC3110">
        <v>20.3233</v>
      </c>
      <c r="AD3110">
        <v>-1.163265</v>
      </c>
      <c r="AE3110">
        <v>-41.9680999999999</v>
      </c>
      <c r="AF3110">
        <v>-17.466603665969998</v>
      </c>
      <c r="AG3110">
        <v>-1.163265</v>
      </c>
      <c r="AH3110">
        <v>43.203840688956198</v>
      </c>
      <c r="AI3110">
        <v>91.4299333255465</v>
      </c>
      <c r="AJ3110">
        <v>112.012675285835</v>
      </c>
      <c r="AK3110">
        <v>46.615526162009701</v>
      </c>
      <c r="AL3110">
        <v>77.858173761168302</v>
      </c>
      <c r="AM3110">
        <v>102.83208640938599</v>
      </c>
      <c r="AN3110">
        <v>1.0000000275426999</v>
      </c>
    </row>
    <row r="3111" spans="1:40" x14ac:dyDescent="0.25">
      <c r="A3111" t="str">
        <f>"20190304155116548"</f>
        <v>20190304155116548</v>
      </c>
      <c r="B3111" t="str">
        <f>"1551685876540116"</f>
        <v>1551685876540116</v>
      </c>
      <c r="C3111" t="s">
        <v>40</v>
      </c>
      <c r="D3111">
        <v>4.6062469999999998</v>
      </c>
      <c r="E3111">
        <v>0.40074799999999999</v>
      </c>
      <c r="F3111" t="s">
        <v>78</v>
      </c>
      <c r="G3111">
        <v>-469.0179</v>
      </c>
      <c r="H3111">
        <v>2.35581</v>
      </c>
      <c r="I3111">
        <v>197.7544</v>
      </c>
      <c r="J3111">
        <v>-492.7627</v>
      </c>
      <c r="K3111">
        <v>1.1133379999999999</v>
      </c>
      <c r="L3111">
        <v>237.51220000000001</v>
      </c>
      <c r="M3111">
        <v>6.9571759999999996E-2</v>
      </c>
      <c r="N3111">
        <v>-1.0472530000000001E-2</v>
      </c>
      <c r="O3111">
        <v>-0.99752209999999997</v>
      </c>
      <c r="P3111">
        <v>0.28303679999999998</v>
      </c>
      <c r="Q3111">
        <v>0.2024553</v>
      </c>
      <c r="R3111">
        <v>-0.93749780000000005</v>
      </c>
      <c r="S3111">
        <v>1.607391</v>
      </c>
      <c r="T3111">
        <v>8.4070320000000004E-2</v>
      </c>
      <c r="U3111">
        <v>-2.6998139999999999</v>
      </c>
      <c r="V3111">
        <v>-0.21867519999999999</v>
      </c>
      <c r="W3111">
        <v>0.2108479</v>
      </c>
      <c r="X3111">
        <v>0.95274570000000003</v>
      </c>
      <c r="Y3111">
        <v>-0.45022430000000002</v>
      </c>
      <c r="Z3111">
        <v>-3.7393219999999998E-2</v>
      </c>
      <c r="AA3111">
        <v>0.89213220000000004</v>
      </c>
      <c r="AB3111">
        <v>24</v>
      </c>
      <c r="AC3111">
        <v>23.744800000000001</v>
      </c>
      <c r="AD3111">
        <v>1.242472</v>
      </c>
      <c r="AE3111">
        <v>-39.757800000000003</v>
      </c>
      <c r="AF3111">
        <v>-20.906037968293099</v>
      </c>
      <c r="AG3111">
        <v>1.242472</v>
      </c>
      <c r="AH3111">
        <v>41.283793692303902</v>
      </c>
      <c r="AI3111">
        <v>88.462006175695606</v>
      </c>
      <c r="AJ3111">
        <v>116.857570936576</v>
      </c>
      <c r="AK3111">
        <v>46.292092001023398</v>
      </c>
      <c r="AL3111">
        <v>77.827954333110597</v>
      </c>
      <c r="AM3111">
        <v>102.926699085595</v>
      </c>
      <c r="AN3111">
        <v>1.00000002444896</v>
      </c>
    </row>
    <row r="3112" spans="1:40" x14ac:dyDescent="0.25">
      <c r="A3112" t="str">
        <f>"20190304155116704"</f>
        <v>20190304155116704</v>
      </c>
      <c r="B3112" t="str">
        <f>"1551685876700180"</f>
        <v>1551685876700180</v>
      </c>
      <c r="C3112" t="s">
        <v>40</v>
      </c>
      <c r="D3112">
        <v>4.597143</v>
      </c>
      <c r="E3112">
        <v>0.40704079999999998</v>
      </c>
      <c r="F3112" t="s">
        <v>78</v>
      </c>
      <c r="G3112">
        <v>-468.68799999999999</v>
      </c>
      <c r="H3112">
        <v>2.2171470000000002</v>
      </c>
      <c r="I3112">
        <v>197.345</v>
      </c>
      <c r="J3112">
        <v>-492.58179999999999</v>
      </c>
      <c r="K3112">
        <v>1.11429</v>
      </c>
      <c r="L3112">
        <v>235.86709999999999</v>
      </c>
      <c r="M3112">
        <v>0.1066156</v>
      </c>
      <c r="N3112">
        <v>-1.067972E-2</v>
      </c>
      <c r="O3112">
        <v>-0.99424290000000004</v>
      </c>
      <c r="P3112">
        <v>0.32983590000000002</v>
      </c>
      <c r="Q3112">
        <v>0.20452629999999999</v>
      </c>
      <c r="R3112">
        <v>-0.92161700000000002</v>
      </c>
      <c r="S3112">
        <v>1.6159669999999999</v>
      </c>
      <c r="T3112">
        <v>7.4093099999999995E-2</v>
      </c>
      <c r="U3112">
        <v>-2.6961360000000001</v>
      </c>
      <c r="V3112">
        <v>-0.23173589999999999</v>
      </c>
      <c r="W3112">
        <v>0.2124683</v>
      </c>
      <c r="X3112">
        <v>0.94929220000000003</v>
      </c>
      <c r="Y3112">
        <v>-0.41943370000000002</v>
      </c>
      <c r="Z3112">
        <v>-3.4347469999999998E-2</v>
      </c>
      <c r="AA3112">
        <v>0.9071359</v>
      </c>
      <c r="AB3112">
        <v>24</v>
      </c>
      <c r="AC3112">
        <v>23.893799999999899</v>
      </c>
      <c r="AD3112">
        <v>1.102857</v>
      </c>
      <c r="AE3112">
        <v>-38.522100000000002</v>
      </c>
      <c r="AF3112">
        <v>-19.638681653364401</v>
      </c>
      <c r="AG3112">
        <v>1.102857</v>
      </c>
      <c r="AH3112">
        <v>40.825942986596999</v>
      </c>
      <c r="AI3112">
        <v>88.605491014157195</v>
      </c>
      <c r="AJ3112">
        <v>115.689153549248</v>
      </c>
      <c r="AK3112">
        <v>45.317234374898803</v>
      </c>
      <c r="AL3112">
        <v>77.732959643045504</v>
      </c>
      <c r="AM3112">
        <v>103.71842326114999</v>
      </c>
      <c r="AN3112">
        <v>0.99999999341726997</v>
      </c>
    </row>
    <row r="3113" spans="1:40" x14ac:dyDescent="0.25">
      <c r="A3113" t="str">
        <f>"20190304155116717"</f>
        <v>20190304155116717</v>
      </c>
      <c r="B3113" t="str">
        <f>"1551685876709940"</f>
        <v>1551685876709940</v>
      </c>
      <c r="C3113" t="s">
        <v>40</v>
      </c>
      <c r="D3113">
        <v>4.686293</v>
      </c>
      <c r="E3113">
        <v>0.4096747</v>
      </c>
      <c r="F3113" t="s">
        <v>78</v>
      </c>
      <c r="G3113">
        <v>-467.64</v>
      </c>
      <c r="H3113">
        <v>1.790006</v>
      </c>
      <c r="I3113">
        <v>197.345</v>
      </c>
      <c r="J3113">
        <v>-492.56099999999998</v>
      </c>
      <c r="K3113">
        <v>1.114382</v>
      </c>
      <c r="L3113">
        <v>235.7133</v>
      </c>
      <c r="M3113">
        <v>0.1105771</v>
      </c>
      <c r="N3113">
        <v>-1.071107E-2</v>
      </c>
      <c r="O3113">
        <v>-0.99380979999999997</v>
      </c>
      <c r="P3113">
        <v>0.33413799999999999</v>
      </c>
      <c r="Q3113">
        <v>0.20468239999999999</v>
      </c>
      <c r="R3113">
        <v>-0.92003100000000004</v>
      </c>
      <c r="S3113">
        <v>1.70571899999999</v>
      </c>
      <c r="T3113">
        <v>4.6213030000000002E-2</v>
      </c>
      <c r="U3113">
        <v>-2.6344449999999999</v>
      </c>
      <c r="V3113">
        <v>-0.23244039999999999</v>
      </c>
      <c r="W3113">
        <v>0.21259500000000001</v>
      </c>
      <c r="X3113">
        <v>0.94909160000000004</v>
      </c>
      <c r="Y3113">
        <v>-0.4471678</v>
      </c>
      <c r="Z3113">
        <v>-2.5381129999999998E-2</v>
      </c>
      <c r="AA3113">
        <v>0.89408989999999999</v>
      </c>
      <c r="AB3113">
        <v>24</v>
      </c>
      <c r="AC3113">
        <v>24.9209999999999</v>
      </c>
      <c r="AD3113">
        <v>0.675624</v>
      </c>
      <c r="AE3113">
        <v>-38.368299999999998</v>
      </c>
      <c r="AF3113">
        <v>-20.520781683819902</v>
      </c>
      <c r="AG3113">
        <v>0.675624</v>
      </c>
      <c r="AH3113">
        <v>40.8799164375381</v>
      </c>
      <c r="AI3113">
        <v>89.153772271800904</v>
      </c>
      <c r="AJ3113">
        <v>116.655602834348</v>
      </c>
      <c r="AK3113">
        <v>45.746327903389897</v>
      </c>
      <c r="AL3113">
        <v>77.725530867580204</v>
      </c>
      <c r="AM3113">
        <v>103.761343485239</v>
      </c>
      <c r="AN3113">
        <v>1.0000000193838501</v>
      </c>
    </row>
    <row r="3114" spans="1:40" x14ac:dyDescent="0.25">
      <c r="A3114" t="str">
        <f>"20190304155116732"</f>
        <v>20190304155116732</v>
      </c>
      <c r="B3114" t="str">
        <f>"1551685876709940"</f>
        <v>1551685876709940</v>
      </c>
      <c r="C3114" t="s">
        <v>40</v>
      </c>
      <c r="D3114">
        <v>4.686293</v>
      </c>
      <c r="E3114">
        <v>0.4096747</v>
      </c>
      <c r="F3114" t="s">
        <v>78</v>
      </c>
      <c r="G3114">
        <v>-467.84899999999999</v>
      </c>
      <c r="H3114">
        <v>1.563253</v>
      </c>
      <c r="I3114">
        <v>197.345</v>
      </c>
      <c r="J3114">
        <v>-492.54050000000001</v>
      </c>
      <c r="K3114">
        <v>1.1144719999999999</v>
      </c>
      <c r="L3114">
        <v>235.5651</v>
      </c>
      <c r="M3114">
        <v>0.1144593</v>
      </c>
      <c r="N3114">
        <v>-1.074371E-2</v>
      </c>
      <c r="O3114">
        <v>-0.99336990000000003</v>
      </c>
      <c r="P3114">
        <v>0.33845229999999998</v>
      </c>
      <c r="Q3114">
        <v>0.20427509999999999</v>
      </c>
      <c r="R3114">
        <v>-0.91854329999999995</v>
      </c>
      <c r="S3114">
        <v>1.698456</v>
      </c>
      <c r="T3114">
        <v>3.0853149999999999E-2</v>
      </c>
      <c r="U3114">
        <v>-2.6370390000000001</v>
      </c>
      <c r="V3114">
        <v>-0.23321810000000001</v>
      </c>
      <c r="W3114">
        <v>0.21216260000000001</v>
      </c>
      <c r="X3114">
        <v>0.9489976</v>
      </c>
      <c r="Y3114">
        <v>-0.44157540000000001</v>
      </c>
      <c r="Z3114">
        <v>-2.0418950000000002E-2</v>
      </c>
      <c r="AA3114">
        <v>0.89699180000000001</v>
      </c>
      <c r="AB3114">
        <v>24</v>
      </c>
      <c r="AC3114">
        <v>24.691500000000001</v>
      </c>
      <c r="AD3114">
        <v>0.44878099999999999</v>
      </c>
      <c r="AE3114">
        <v>-38.220100000000002</v>
      </c>
      <c r="AF3114">
        <v>-20.152348691753499</v>
      </c>
      <c r="AG3114">
        <v>0.44878099999999999</v>
      </c>
      <c r="AH3114">
        <v>40.791252842512399</v>
      </c>
      <c r="AI3114">
        <v>89.434863603977007</v>
      </c>
      <c r="AJ3114">
        <v>116.291031403571</v>
      </c>
      <c r="AK3114">
        <v>45.499943633390998</v>
      </c>
      <c r="AL3114">
        <v>77.750884286067105</v>
      </c>
      <c r="AM3114">
        <v>103.806942608654</v>
      </c>
      <c r="AN3114">
        <v>1.00000004790606</v>
      </c>
    </row>
    <row r="3115" spans="1:40" x14ac:dyDescent="0.25">
      <c r="A3115" t="str">
        <f>"20190304155116749"</f>
        <v>20190304155116749</v>
      </c>
      <c r="B3115" t="str">
        <f>"1551685876709940"</f>
        <v>1551685876709940</v>
      </c>
      <c r="C3115" t="s">
        <v>40</v>
      </c>
      <c r="D3115">
        <v>4.686293</v>
      </c>
      <c r="E3115">
        <v>0.4096747</v>
      </c>
      <c r="F3115" t="s">
        <v>78</v>
      </c>
      <c r="G3115">
        <v>-467.67739999999998</v>
      </c>
      <c r="H3115">
        <v>1.542249</v>
      </c>
      <c r="I3115">
        <v>197.345</v>
      </c>
      <c r="J3115">
        <v>-492.51310000000001</v>
      </c>
      <c r="K3115">
        <v>1.114582</v>
      </c>
      <c r="L3115">
        <v>235.3751</v>
      </c>
      <c r="M3115">
        <v>0.1195527</v>
      </c>
      <c r="N3115">
        <v>-1.0791149999999999E-2</v>
      </c>
      <c r="O3115">
        <v>-0.99276929999999997</v>
      </c>
      <c r="P3115">
        <v>0.34431780000000001</v>
      </c>
      <c r="Q3115">
        <v>0.20434260000000001</v>
      </c>
      <c r="R3115">
        <v>-0.91634579999999999</v>
      </c>
      <c r="S3115">
        <v>1.7104189999999999</v>
      </c>
      <c r="T3115">
        <v>2.9430629999999999E-2</v>
      </c>
      <c r="U3115">
        <v>-2.6292879999999998</v>
      </c>
      <c r="V3115">
        <v>-0.23447999999999999</v>
      </c>
      <c r="W3115">
        <v>0.21219750000000001</v>
      </c>
      <c r="X3115">
        <v>0.94867869999999999</v>
      </c>
      <c r="Y3115">
        <v>-0.44105369999999999</v>
      </c>
      <c r="Z3115">
        <v>-1.9988619999999999E-2</v>
      </c>
      <c r="AA3115">
        <v>0.89725809999999995</v>
      </c>
      <c r="AB3115">
        <v>24</v>
      </c>
      <c r="AC3115">
        <v>24.835699999999999</v>
      </c>
      <c r="AD3115">
        <v>0.42766700000000002</v>
      </c>
      <c r="AE3115">
        <v>-38.030099999999997</v>
      </c>
      <c r="AF3115">
        <v>-20.108905820324601</v>
      </c>
      <c r="AG3115">
        <v>0.42766700000000002</v>
      </c>
      <c r="AH3115">
        <v>40.723048237100002</v>
      </c>
      <c r="AI3115">
        <v>89.460497024343894</v>
      </c>
      <c r="AJ3115">
        <v>116.280006766119</v>
      </c>
      <c r="AK3115">
        <v>45.419353254694698</v>
      </c>
      <c r="AL3115">
        <v>77.748837011310201</v>
      </c>
      <c r="AM3115">
        <v>103.88325343675901</v>
      </c>
      <c r="AN3115">
        <v>0.99999996261996904</v>
      </c>
    </row>
    <row r="3116" spans="1:40" x14ac:dyDescent="0.25">
      <c r="A3116" t="str">
        <f>"20190304155116770"</f>
        <v>20190304155116770</v>
      </c>
      <c r="B3116" t="str">
        <f>"1551685876709940"</f>
        <v>1551685876709940</v>
      </c>
      <c r="C3116" t="s">
        <v>40</v>
      </c>
      <c r="D3116">
        <v>4.686293</v>
      </c>
      <c r="E3116">
        <v>0.4096747</v>
      </c>
      <c r="F3116" t="s">
        <v>78</v>
      </c>
      <c r="G3116">
        <v>-467.42469999999997</v>
      </c>
      <c r="H3116">
        <v>1.541458</v>
      </c>
      <c r="I3116">
        <v>197.345</v>
      </c>
      <c r="J3116">
        <v>-492.47910000000002</v>
      </c>
      <c r="K3116">
        <v>1.1147149999999999</v>
      </c>
      <c r="L3116">
        <v>235.15</v>
      </c>
      <c r="M3116">
        <v>0.12574399999999999</v>
      </c>
      <c r="N3116">
        <v>-1.0851339999999999E-2</v>
      </c>
      <c r="O3116">
        <v>-0.99200359999999999</v>
      </c>
      <c r="P3116">
        <v>0.35151939999999998</v>
      </c>
      <c r="Q3116">
        <v>0.2050911</v>
      </c>
      <c r="R3116">
        <v>-0.91343960000000002</v>
      </c>
      <c r="S3116">
        <v>1.727295</v>
      </c>
      <c r="T3116">
        <v>2.9392000000000001E-2</v>
      </c>
      <c r="U3116">
        <v>-2.6182859999999999</v>
      </c>
      <c r="V3116">
        <v>-0.23612449999999999</v>
      </c>
      <c r="W3116">
        <v>0.2129104</v>
      </c>
      <c r="X3116">
        <v>0.94811089999999998</v>
      </c>
      <c r="Y3116">
        <v>-0.44121690000000002</v>
      </c>
      <c r="Z3116">
        <v>-2.0016369999999999E-2</v>
      </c>
      <c r="AA3116">
        <v>0.89717719999999901</v>
      </c>
      <c r="AB3116">
        <v>24</v>
      </c>
      <c r="AC3116">
        <v>25.054400000000001</v>
      </c>
      <c r="AD3116">
        <v>0.42674299999999998</v>
      </c>
      <c r="AE3116">
        <v>-37.805</v>
      </c>
      <c r="AF3116">
        <v>-20.0997025923254</v>
      </c>
      <c r="AG3116">
        <v>0.42674299999999998</v>
      </c>
      <c r="AH3116">
        <v>40.651922085518002</v>
      </c>
      <c r="AI3116">
        <v>89.460857271231305</v>
      </c>
      <c r="AJ3116">
        <v>116.309368439143</v>
      </c>
      <c r="AK3116">
        <v>45.351504089004699</v>
      </c>
      <c r="AL3116">
        <v>77.707035480041597</v>
      </c>
      <c r="AM3116">
        <v>103.984859487026</v>
      </c>
      <c r="AN3116">
        <v>0.99999994831360794</v>
      </c>
    </row>
    <row r="3117" spans="1:40" x14ac:dyDescent="0.25">
      <c r="A3117" t="str">
        <f>"20190304155116792"</f>
        <v>20190304155116792</v>
      </c>
      <c r="B3117" t="str">
        <f>"1551685876789971"</f>
        <v>1551685876789971</v>
      </c>
      <c r="C3117" t="s">
        <v>40</v>
      </c>
      <c r="D3117">
        <v>4.5771610000000003</v>
      </c>
      <c r="E3117">
        <v>0.41212860000000001</v>
      </c>
      <c r="F3117" t="s">
        <v>78</v>
      </c>
      <c r="G3117">
        <v>-467.09690000000001</v>
      </c>
      <c r="H3117">
        <v>1.581259</v>
      </c>
      <c r="I3117">
        <v>197.345</v>
      </c>
      <c r="J3117">
        <v>-492.44209999999998</v>
      </c>
      <c r="K3117">
        <v>1.114841</v>
      </c>
      <c r="L3117">
        <v>234.91669999999999</v>
      </c>
      <c r="M3117">
        <v>0.1323191</v>
      </c>
      <c r="N3117">
        <v>-1.0915889999999999E-2</v>
      </c>
      <c r="O3117">
        <v>-0.99114709999999995</v>
      </c>
      <c r="P3117">
        <v>0.35876799999999998</v>
      </c>
      <c r="Q3117">
        <v>0.20581140000000001</v>
      </c>
      <c r="R3117">
        <v>-0.9104546</v>
      </c>
      <c r="S3117">
        <v>1.7484740000000001</v>
      </c>
      <c r="T3117">
        <v>3.214061E-2</v>
      </c>
      <c r="U3117">
        <v>-2.6042179999999999</v>
      </c>
      <c r="V3117">
        <v>-0.2374658</v>
      </c>
      <c r="W3117">
        <v>0.21360599999999999</v>
      </c>
      <c r="X3117">
        <v>0.9476194</v>
      </c>
      <c r="Y3117">
        <v>-0.44252940000000002</v>
      </c>
      <c r="Z3117">
        <v>-2.0953909999999999E-2</v>
      </c>
      <c r="AA3117">
        <v>0.89650909999999995</v>
      </c>
      <c r="AB3117">
        <v>24</v>
      </c>
      <c r="AC3117">
        <v>25.345199999999899</v>
      </c>
      <c r="AD3117">
        <v>0.466418</v>
      </c>
      <c r="AE3117">
        <v>-37.5716999999999</v>
      </c>
      <c r="AF3117">
        <v>-20.148433796281999</v>
      </c>
      <c r="AG3117">
        <v>0.466418</v>
      </c>
      <c r="AH3117">
        <v>40.590853613814801</v>
      </c>
      <c r="AI3117">
        <v>89.410305432225499</v>
      </c>
      <c r="AJ3117">
        <v>116.398821160792</v>
      </c>
      <c r="AK3117">
        <v>45.318807655233201</v>
      </c>
      <c r="AL3117">
        <v>77.6662431195262</v>
      </c>
      <c r="AM3117">
        <v>104.068160564073</v>
      </c>
      <c r="AN3117">
        <v>1.00000002833099</v>
      </c>
    </row>
    <row r="3118" spans="1:40" x14ac:dyDescent="0.25">
      <c r="A3118" t="str">
        <f>"20190304155116807"</f>
        <v>20190304155116807</v>
      </c>
      <c r="B3118" t="str">
        <f>"1551685876799732"</f>
        <v>1551685876799732</v>
      </c>
      <c r="C3118" t="s">
        <v>40</v>
      </c>
      <c r="D3118">
        <v>4.5493899999999998</v>
      </c>
      <c r="E3118">
        <v>0.4135373</v>
      </c>
      <c r="F3118" t="s">
        <v>78</v>
      </c>
      <c r="G3118">
        <v>-467.13639999999998</v>
      </c>
      <c r="H3118">
        <v>1.4022250000000001</v>
      </c>
      <c r="I3118">
        <v>197.345</v>
      </c>
      <c r="J3118">
        <v>-492.41629999999998</v>
      </c>
      <c r="K3118">
        <v>1.1149169999999999</v>
      </c>
      <c r="L3118">
        <v>234.75899999999999</v>
      </c>
      <c r="M3118">
        <v>0.13683890000000001</v>
      </c>
      <c r="N3118">
        <v>-1.095929E-2</v>
      </c>
      <c r="O3118">
        <v>-0.990533</v>
      </c>
      <c r="P3118">
        <v>0.3635679</v>
      </c>
      <c r="Q3118">
        <v>0.20608870000000001</v>
      </c>
      <c r="R3118">
        <v>-0.90848609999999996</v>
      </c>
      <c r="S3118">
        <v>1.7514339999999999</v>
      </c>
      <c r="T3118">
        <v>1.9892569999999998E-2</v>
      </c>
      <c r="U3118">
        <v>-2.6003720000000001</v>
      </c>
      <c r="V3118">
        <v>-0.23819570000000001</v>
      </c>
      <c r="W3118">
        <v>0.21387149999999999</v>
      </c>
      <c r="X3118">
        <v>0.94737629999999995</v>
      </c>
      <c r="Y3118">
        <v>-0.43978610000000001</v>
      </c>
      <c r="Z3118">
        <v>-1.6994329999999998E-2</v>
      </c>
      <c r="AA3118">
        <v>0.89794180000000001</v>
      </c>
      <c r="AB3118">
        <v>24</v>
      </c>
      <c r="AC3118">
        <v>25.279900000000001</v>
      </c>
      <c r="AD3118">
        <v>0.28730800000000001</v>
      </c>
      <c r="AE3118">
        <v>-37.414000000000001</v>
      </c>
      <c r="AF3118">
        <v>-19.9212683454097</v>
      </c>
      <c r="AG3118">
        <v>0.28730800000000001</v>
      </c>
      <c r="AH3118">
        <v>40.5198559446074</v>
      </c>
      <c r="AI3118">
        <v>89.635425607489694</v>
      </c>
      <c r="AJ3118">
        <v>116.18067542768</v>
      </c>
      <c r="AK3118">
        <v>45.153053098859502</v>
      </c>
      <c r="AL3118">
        <v>77.650671282467997</v>
      </c>
      <c r="AM3118">
        <v>104.113153212114</v>
      </c>
      <c r="AN3118">
        <v>1.0000000319062099</v>
      </c>
    </row>
    <row r="3119" spans="1:40" x14ac:dyDescent="0.25">
      <c r="A3119" t="str">
        <f>"20190304155116828"</f>
        <v>20190304155116828</v>
      </c>
      <c r="B3119" t="str">
        <f>"1551685876819251"</f>
        <v>1551685876819251</v>
      </c>
      <c r="C3119" t="s">
        <v>40</v>
      </c>
      <c r="D3119">
        <v>4.5317189999999998</v>
      </c>
      <c r="E3119">
        <v>0.4170663</v>
      </c>
      <c r="F3119" t="s">
        <v>78</v>
      </c>
      <c r="G3119">
        <v>-467.12670000000003</v>
      </c>
      <c r="H3119">
        <v>1.2951520000000001</v>
      </c>
      <c r="I3119">
        <v>197.345</v>
      </c>
      <c r="J3119">
        <v>-492.37970000000001</v>
      </c>
      <c r="K3119">
        <v>1.115016</v>
      </c>
      <c r="L3119">
        <v>234.54490000000001</v>
      </c>
      <c r="M3119">
        <v>0.1430999</v>
      </c>
      <c r="N3119">
        <v>-1.1016120000000001E-2</v>
      </c>
      <c r="O3119">
        <v>-0.98964719999999995</v>
      </c>
      <c r="P3119">
        <v>0.3702705</v>
      </c>
      <c r="Q3119">
        <v>0.20599899999999999</v>
      </c>
      <c r="R3119">
        <v>-0.90579520000000002</v>
      </c>
      <c r="S3119">
        <v>1.755341</v>
      </c>
      <c r="T3119">
        <v>1.2512560000000001E-2</v>
      </c>
      <c r="U3119">
        <v>-2.5968779999999998</v>
      </c>
      <c r="V3119">
        <v>-0.2392524</v>
      </c>
      <c r="W3119">
        <v>0.21376809999999999</v>
      </c>
      <c r="X3119">
        <v>0.94713329999999996</v>
      </c>
      <c r="Y3119">
        <v>-0.43560529999999997</v>
      </c>
      <c r="Z3119">
        <v>-1.4622660000000001E-2</v>
      </c>
      <c r="AA3119">
        <v>0.90001900000000001</v>
      </c>
      <c r="AB3119">
        <v>24</v>
      </c>
      <c r="AC3119">
        <v>25.252999999999901</v>
      </c>
      <c r="AD3119">
        <v>0.18013599999999999</v>
      </c>
      <c r="AE3119">
        <v>-37.1999</v>
      </c>
      <c r="AF3119">
        <v>-19.669131497053002</v>
      </c>
      <c r="AG3119">
        <v>0.18013599999999999</v>
      </c>
      <c r="AH3119">
        <v>40.430272553708797</v>
      </c>
      <c r="AI3119">
        <v>89.770445442596795</v>
      </c>
      <c r="AJ3119">
        <v>115.94269685991399</v>
      </c>
      <c r="AK3119">
        <v>44.9612513348332</v>
      </c>
      <c r="AL3119">
        <v>77.656735518596804</v>
      </c>
      <c r="AM3119">
        <v>104.17673485185399</v>
      </c>
      <c r="AN3119">
        <v>0.99999999972612996</v>
      </c>
    </row>
    <row r="3120" spans="1:40" x14ac:dyDescent="0.25">
      <c r="A3120" t="str">
        <f>"20190304155116850"</f>
        <v>20190304155116850</v>
      </c>
      <c r="B3120" t="str">
        <f>"1551685876839748"</f>
        <v>1551685876839748</v>
      </c>
      <c r="C3120" t="s">
        <v>40</v>
      </c>
      <c r="D3120">
        <v>4.5913279999999999</v>
      </c>
      <c r="E3120">
        <v>0.4192092</v>
      </c>
      <c r="F3120" t="s">
        <v>78</v>
      </c>
      <c r="G3120">
        <v>-467.34059999999999</v>
      </c>
      <c r="H3120">
        <v>0.99138740000000003</v>
      </c>
      <c r="I3120">
        <v>197.345</v>
      </c>
      <c r="J3120">
        <v>-492.33730000000003</v>
      </c>
      <c r="K3120">
        <v>1.11513</v>
      </c>
      <c r="L3120">
        <v>234.30719999999999</v>
      </c>
      <c r="M3120">
        <v>0.1502068</v>
      </c>
      <c r="N3120">
        <v>-1.108162E-2</v>
      </c>
      <c r="O3120">
        <v>-0.98859260000000004</v>
      </c>
      <c r="P3120">
        <v>0.378135</v>
      </c>
      <c r="Q3120">
        <v>0.2045738</v>
      </c>
      <c r="R3120">
        <v>-0.90286429999999995</v>
      </c>
      <c r="S3120">
        <v>1.749298</v>
      </c>
      <c r="T3120">
        <v>-8.6344479999999994E-3</v>
      </c>
      <c r="U3120">
        <v>-2.5988769999999999</v>
      </c>
      <c r="V3120">
        <v>-0.2406761</v>
      </c>
      <c r="W3120">
        <v>0.2123303</v>
      </c>
      <c r="X3120">
        <v>0.94709600000000005</v>
      </c>
      <c r="Y3120">
        <v>-0.42738870000000001</v>
      </c>
      <c r="Z3120">
        <v>-7.7644150000000002E-3</v>
      </c>
      <c r="AA3120">
        <v>0.90403469999999997</v>
      </c>
      <c r="AB3120">
        <v>24</v>
      </c>
      <c r="AC3120">
        <v>24.996700000000001</v>
      </c>
      <c r="AD3120">
        <v>-0.123742599999999</v>
      </c>
      <c r="AE3120">
        <v>-36.962200000000003</v>
      </c>
      <c r="AF3120">
        <v>-19.160605985044199</v>
      </c>
      <c r="AG3120">
        <v>-0.123742599999999</v>
      </c>
      <c r="AH3120">
        <v>40.297391899564097</v>
      </c>
      <c r="AI3120">
        <v>90.158892788321097</v>
      </c>
      <c r="AJ3120">
        <v>115.430155494343</v>
      </c>
      <c r="AK3120">
        <v>44.620891159323797</v>
      </c>
      <c r="AL3120">
        <v>77.741051007398795</v>
      </c>
      <c r="AM3120">
        <v>104.258203664367</v>
      </c>
      <c r="AN3120">
        <v>0.99999998731265005</v>
      </c>
    </row>
    <row r="3121" spans="1:40" x14ac:dyDescent="0.25">
      <c r="A3121" t="str">
        <f>"20190304155116883"</f>
        <v>20190304155116883</v>
      </c>
      <c r="B3121" t="str">
        <f>"1551685876879764"</f>
        <v>1551685876879764</v>
      </c>
      <c r="C3121" t="s">
        <v>40</v>
      </c>
      <c r="D3121">
        <v>4.624447</v>
      </c>
      <c r="E3121">
        <v>0.4202053</v>
      </c>
      <c r="F3121" t="s">
        <v>78</v>
      </c>
      <c r="G3121">
        <v>-467.30369999999999</v>
      </c>
      <c r="H3121">
        <v>0.7566676</v>
      </c>
      <c r="I3121">
        <v>197.345</v>
      </c>
      <c r="J3121">
        <v>-492.27100000000002</v>
      </c>
      <c r="K3121">
        <v>1.1152839999999999</v>
      </c>
      <c r="L3121">
        <v>233.9554</v>
      </c>
      <c r="M3121">
        <v>0.16098209999999999</v>
      </c>
      <c r="N3121">
        <v>-1.117923E-2</v>
      </c>
      <c r="O3121">
        <v>-0.98689420000000005</v>
      </c>
      <c r="P3121">
        <v>0.38751400000000003</v>
      </c>
      <c r="Q3121">
        <v>0.20181779999999999</v>
      </c>
      <c r="R3121">
        <v>-0.89950140000000001</v>
      </c>
      <c r="S3121">
        <v>1.756165</v>
      </c>
      <c r="T3121">
        <v>-2.5144340000000001E-2</v>
      </c>
      <c r="U3121">
        <v>-2.5929720000000001</v>
      </c>
      <c r="V3121">
        <v>-0.24014569999999999</v>
      </c>
      <c r="W3121">
        <v>0.20959800000000001</v>
      </c>
      <c r="X3121">
        <v>0.94783899999999999</v>
      </c>
      <c r="Y3121">
        <v>-0.42011310000000002</v>
      </c>
      <c r="Z3121">
        <v>-2.4283590000000002E-3</v>
      </c>
      <c r="AA3121">
        <v>0.90746850000000001</v>
      </c>
      <c r="AB3121">
        <v>24</v>
      </c>
      <c r="AC3121">
        <v>24.967299999999899</v>
      </c>
      <c r="AD3121">
        <v>-0.358616399999999</v>
      </c>
      <c r="AE3121">
        <v>-36.610399999999998</v>
      </c>
      <c r="AF3121">
        <v>-18.746404775020999</v>
      </c>
      <c r="AG3121">
        <v>-0.358616399999999</v>
      </c>
      <c r="AH3121">
        <v>40.1497519205546</v>
      </c>
      <c r="AI3121">
        <v>90.463698355641995</v>
      </c>
      <c r="AJ3121">
        <v>115.02843965178999</v>
      </c>
      <c r="AK3121">
        <v>44.312062432179303</v>
      </c>
      <c r="AL3121">
        <v>77.901205234089105</v>
      </c>
      <c r="AM3121">
        <v>104.21735799479499</v>
      </c>
      <c r="AN3121">
        <v>1.00000002437674</v>
      </c>
    </row>
    <row r="3122" spans="1:40" x14ac:dyDescent="0.25">
      <c r="A3122" t="str">
        <f>"20190304155116905"</f>
        <v>20190304155116905</v>
      </c>
      <c r="B3122" t="str">
        <f>"1551685876899287"</f>
        <v>1551685876899287</v>
      </c>
      <c r="C3122" t="s">
        <v>40</v>
      </c>
      <c r="D3122">
        <v>4.5738830000000004</v>
      </c>
      <c r="E3122">
        <v>0.42094789999999999</v>
      </c>
      <c r="F3122" t="s">
        <v>78</v>
      </c>
      <c r="G3122">
        <v>-467.06580000000002</v>
      </c>
      <c r="H3122">
        <v>0.55180169999999995</v>
      </c>
      <c r="I3122">
        <v>197.345</v>
      </c>
      <c r="J3122">
        <v>-492.22629999999998</v>
      </c>
      <c r="K3122">
        <v>1.115367</v>
      </c>
      <c r="L3122">
        <v>233.73050000000001</v>
      </c>
      <c r="M3122">
        <v>0.16802790000000001</v>
      </c>
      <c r="N3122">
        <v>-1.123711E-2</v>
      </c>
      <c r="O3122">
        <v>-0.98571830000000005</v>
      </c>
      <c r="P3122">
        <v>0.39370840000000001</v>
      </c>
      <c r="Q3122">
        <v>0.2004591</v>
      </c>
      <c r="R3122">
        <v>-0.89711200000000002</v>
      </c>
      <c r="S3122">
        <v>1.775665</v>
      </c>
      <c r="T3122">
        <v>-3.969371E-2</v>
      </c>
      <c r="U3122">
        <v>-2.579132</v>
      </c>
      <c r="V3122">
        <v>-0.23989089999999999</v>
      </c>
      <c r="W3122">
        <v>0.2082485</v>
      </c>
      <c r="X3122">
        <v>0.94820090000000001</v>
      </c>
      <c r="Y3122">
        <v>-0.42054900000000001</v>
      </c>
      <c r="Z3122">
        <v>2.3042499999999999E-3</v>
      </c>
      <c r="AA3122">
        <v>0.90726689999999999</v>
      </c>
      <c r="AB3122">
        <v>24</v>
      </c>
      <c r="AC3122">
        <v>25.1604999999999</v>
      </c>
      <c r="AD3122">
        <v>-0.56356530000000005</v>
      </c>
      <c r="AE3122">
        <v>-36.3855</v>
      </c>
      <c r="AF3122">
        <v>-18.685531503795701</v>
      </c>
      <c r="AG3122">
        <v>-0.56356530000000005</v>
      </c>
      <c r="AH3122">
        <v>40.089540105005597</v>
      </c>
      <c r="AI3122">
        <v>90.730000897790205</v>
      </c>
      <c r="AJ3122">
        <v>114.98998782194801</v>
      </c>
      <c r="AK3122">
        <v>44.2339001135731</v>
      </c>
      <c r="AL3122">
        <v>77.980270583162607</v>
      </c>
      <c r="AM3122">
        <v>104.19768218613299</v>
      </c>
      <c r="AN3122">
        <v>1.0000000142079299</v>
      </c>
    </row>
    <row r="3123" spans="1:40" x14ac:dyDescent="0.25">
      <c r="A3123" t="str">
        <f>"20190304155116927"</f>
        <v>20190304155116927</v>
      </c>
      <c r="B3123" t="str">
        <f>"1551685876919783"</f>
        <v>1551685876919783</v>
      </c>
      <c r="C3123" t="s">
        <v>40</v>
      </c>
      <c r="D3123">
        <v>4.6590429999999996</v>
      </c>
      <c r="E3123">
        <v>0.42100729999999997</v>
      </c>
      <c r="F3123" t="s">
        <v>78</v>
      </c>
      <c r="G3123">
        <v>-466.904</v>
      </c>
      <c r="H3123">
        <v>0.43253659999999999</v>
      </c>
      <c r="I3123">
        <v>197.345</v>
      </c>
      <c r="J3123">
        <v>-492.1773</v>
      </c>
      <c r="K3123">
        <v>1.1154649999999999</v>
      </c>
      <c r="L3123">
        <v>233.49299999999999</v>
      </c>
      <c r="M3123">
        <v>0.17561849999999901</v>
      </c>
      <c r="N3123">
        <v>-1.129467E-2</v>
      </c>
      <c r="O3123">
        <v>-0.98439370000000004</v>
      </c>
      <c r="P3123">
        <v>0.40014110000000003</v>
      </c>
      <c r="Q3123">
        <v>0.1991608</v>
      </c>
      <c r="R3123">
        <v>-0.89455180000000001</v>
      </c>
      <c r="S3123">
        <v>1.788513</v>
      </c>
      <c r="T3123">
        <v>-4.8225400000000002E-2</v>
      </c>
      <c r="U3123">
        <v>-2.5698850000000002</v>
      </c>
      <c r="V3123">
        <v>-0.23937890000000001</v>
      </c>
      <c r="W3123">
        <v>0.20695549999999999</v>
      </c>
      <c r="X3123">
        <v>0.94861329999999999</v>
      </c>
      <c r="Y3123">
        <v>-0.41813080000000002</v>
      </c>
      <c r="Z3123">
        <v>5.0701449999999999E-3</v>
      </c>
      <c r="AA3123">
        <v>0.90837270000000003</v>
      </c>
      <c r="AB3123">
        <v>24</v>
      </c>
      <c r="AC3123">
        <v>25.273299999999999</v>
      </c>
      <c r="AD3123">
        <v>-0.68292839999999999</v>
      </c>
      <c r="AE3123">
        <v>-36.148000000000003</v>
      </c>
      <c r="AF3123">
        <v>-18.527356571173001</v>
      </c>
      <c r="AG3123">
        <v>-0.68292839999999999</v>
      </c>
      <c r="AH3123">
        <v>40.015274687348203</v>
      </c>
      <c r="AI3123">
        <v>90.887280162483506</v>
      </c>
      <c r="AJ3123">
        <v>114.844471914941</v>
      </c>
      <c r="AK3123">
        <v>44.101604744258999</v>
      </c>
      <c r="AL3123">
        <v>78.056004014368796</v>
      </c>
      <c r="AM3123">
        <v>104.162689828914</v>
      </c>
      <c r="AN3123">
        <v>1.0000000148411701</v>
      </c>
    </row>
    <row r="3124" spans="1:40" x14ac:dyDescent="0.25">
      <c r="A3124" t="str">
        <f>"20190304155116951"</f>
        <v>20190304155116951</v>
      </c>
      <c r="B3124" t="str">
        <f>"1551685876939302"</f>
        <v>1551685876939302</v>
      </c>
      <c r="C3124" t="s">
        <v>40</v>
      </c>
      <c r="D3124">
        <v>4.8313059999999997</v>
      </c>
      <c r="E3124">
        <v>0.42121520000000001</v>
      </c>
      <c r="F3124" t="s">
        <v>78</v>
      </c>
      <c r="G3124">
        <v>-466.65159999999997</v>
      </c>
      <c r="H3124">
        <v>0.37078949999999999</v>
      </c>
      <c r="I3124">
        <v>197.345</v>
      </c>
      <c r="J3124">
        <v>-492.12470000000002</v>
      </c>
      <c r="K3124">
        <v>1.1155740000000001</v>
      </c>
      <c r="L3124">
        <v>233.24950000000001</v>
      </c>
      <c r="M3124">
        <v>0.18359200000000001</v>
      </c>
      <c r="N3124">
        <v>-1.135126E-2</v>
      </c>
      <c r="O3124">
        <v>-0.98293699999999995</v>
      </c>
      <c r="P3124">
        <v>0.4076148</v>
      </c>
      <c r="Q3124">
        <v>0.1978646</v>
      </c>
      <c r="R3124">
        <v>-0.89145949999999996</v>
      </c>
      <c r="S3124">
        <v>1.8059689999999999</v>
      </c>
      <c r="T3124">
        <v>-5.2683710000000002E-2</v>
      </c>
      <c r="U3124">
        <v>-2.5574949999999999</v>
      </c>
      <c r="V3124">
        <v>-0.23961969999999999</v>
      </c>
      <c r="W3124">
        <v>0.2056463</v>
      </c>
      <c r="X3124">
        <v>0.94883720000000005</v>
      </c>
      <c r="Y3124">
        <v>-0.41696949999999999</v>
      </c>
      <c r="Z3124">
        <v>6.5113109999999997E-3</v>
      </c>
      <c r="AA3124">
        <v>0.90889719999999996</v>
      </c>
      <c r="AB3124">
        <v>24</v>
      </c>
      <c r="AC3124">
        <v>25.473099999999999</v>
      </c>
      <c r="AD3124">
        <v>-0.74478449999999996</v>
      </c>
      <c r="AE3124">
        <v>-35.904499999999999</v>
      </c>
      <c r="AF3124">
        <v>-18.442583207546399</v>
      </c>
      <c r="AG3124">
        <v>-0.74478449999999996</v>
      </c>
      <c r="AH3124">
        <v>39.959656363831897</v>
      </c>
      <c r="AI3124">
        <v>90.969522453070795</v>
      </c>
      <c r="AJ3124">
        <v>114.774744447731</v>
      </c>
      <c r="AK3124">
        <v>44.016561837951897</v>
      </c>
      <c r="AL3124">
        <v>78.132664756140699</v>
      </c>
      <c r="AM3124">
        <v>104.17315207981601</v>
      </c>
      <c r="AN3124">
        <v>1.0000000167178</v>
      </c>
    </row>
    <row r="3125" spans="1:40" x14ac:dyDescent="0.25">
      <c r="A3125" t="str">
        <f>"20190304155116972"</f>
        <v>20190304155116972</v>
      </c>
      <c r="B3125" t="str">
        <f>"1551685876969559"</f>
        <v>1551685876969559</v>
      </c>
      <c r="C3125" t="s">
        <v>40</v>
      </c>
      <c r="D3125">
        <v>4.6223330000000002</v>
      </c>
      <c r="E3125">
        <v>0.42238999999999999</v>
      </c>
      <c r="F3125" t="s">
        <v>78</v>
      </c>
      <c r="G3125">
        <v>-466.3383</v>
      </c>
      <c r="H3125">
        <v>0.31234650000000003</v>
      </c>
      <c r="I3125">
        <v>197.345</v>
      </c>
      <c r="J3125">
        <v>-492.07350000000002</v>
      </c>
      <c r="K3125">
        <v>1.115675</v>
      </c>
      <c r="L3125">
        <v>233.02189999999999</v>
      </c>
      <c r="M3125">
        <v>0.1911921</v>
      </c>
      <c r="N3125">
        <v>-1.1401659999999999E-2</v>
      </c>
      <c r="O3125">
        <v>-0.98148639999999998</v>
      </c>
      <c r="P3125">
        <v>0.41414519999999999</v>
      </c>
      <c r="Q3125">
        <v>0.19726399999999999</v>
      </c>
      <c r="R3125">
        <v>-0.88857779999999997</v>
      </c>
      <c r="S3125">
        <v>1.826263</v>
      </c>
      <c r="T3125">
        <v>-5.6884049999999999E-2</v>
      </c>
      <c r="U3125">
        <v>-2.5428470000000001</v>
      </c>
      <c r="V3125">
        <v>-0.2392608</v>
      </c>
      <c r="W3125">
        <v>0.20503869999999999</v>
      </c>
      <c r="X3125">
        <v>0.94905919999999999</v>
      </c>
      <c r="Y3125">
        <v>-0.4171936</v>
      </c>
      <c r="Z3125">
        <v>7.8769069999999903E-3</v>
      </c>
      <c r="AA3125">
        <v>0.90878360000000002</v>
      </c>
      <c r="AB3125">
        <v>24</v>
      </c>
      <c r="AC3125">
        <v>25.735199999999999</v>
      </c>
      <c r="AD3125">
        <v>-0.803328499999999</v>
      </c>
      <c r="AE3125">
        <v>-35.676899999999897</v>
      </c>
      <c r="AF3125">
        <v>-18.432659207083301</v>
      </c>
      <c r="AG3125">
        <v>-0.803328499999999</v>
      </c>
      <c r="AH3125">
        <v>39.9260411158807</v>
      </c>
      <c r="AI3125">
        <v>91.046540220887493</v>
      </c>
      <c r="AJ3125">
        <v>114.78135785744701</v>
      </c>
      <c r="AK3125">
        <v>43.982917380619298</v>
      </c>
      <c r="AL3125">
        <v>78.168235265421501</v>
      </c>
      <c r="AM3125">
        <v>104.14959972584499</v>
      </c>
      <c r="AN3125">
        <v>0.99999998200948403</v>
      </c>
    </row>
    <row r="3126" spans="1:40" x14ac:dyDescent="0.25">
      <c r="A3126" t="str">
        <f>"20190304155116994"</f>
        <v>20190304155116994</v>
      </c>
      <c r="B3126" t="str">
        <f>"1551685876990055"</f>
        <v>1551685876990055</v>
      </c>
      <c r="C3126" t="s">
        <v>40</v>
      </c>
      <c r="D3126">
        <v>4.9615019999999896</v>
      </c>
      <c r="E3126">
        <v>0.42217100000000002</v>
      </c>
      <c r="F3126" t="s">
        <v>78</v>
      </c>
      <c r="G3126">
        <v>-466.21780000000001</v>
      </c>
      <c r="H3126">
        <v>0.19370989999999999</v>
      </c>
      <c r="I3126">
        <v>197.345</v>
      </c>
      <c r="J3126">
        <v>-492.01920000000001</v>
      </c>
      <c r="K3126">
        <v>1.1157729999999999</v>
      </c>
      <c r="L3126">
        <v>232.78989999999999</v>
      </c>
      <c r="M3126">
        <v>0.1990681</v>
      </c>
      <c r="N3126">
        <v>-1.1450180000000001E-2</v>
      </c>
      <c r="O3126">
        <v>-0.97991899999999998</v>
      </c>
      <c r="P3126">
        <v>0.42089389999999999</v>
      </c>
      <c r="Q3126">
        <v>0.19730929999999999</v>
      </c>
      <c r="R3126">
        <v>-0.88539140000000005</v>
      </c>
      <c r="S3126">
        <v>1.836884</v>
      </c>
      <c r="T3126">
        <v>-6.5496799999999994E-2</v>
      </c>
      <c r="U3126">
        <v>-2.5346069999999998</v>
      </c>
      <c r="V3126">
        <v>-0.23891029999999999</v>
      </c>
      <c r="W3126">
        <v>0.20507929999999999</v>
      </c>
      <c r="X3126">
        <v>0.94913879999999995</v>
      </c>
      <c r="Y3126">
        <v>-0.4137711</v>
      </c>
      <c r="Z3126">
        <v>1.067684E-2</v>
      </c>
      <c r="AA3126">
        <v>0.91031830000000002</v>
      </c>
      <c r="AB3126">
        <v>24</v>
      </c>
      <c r="AC3126">
        <v>25.801400000000001</v>
      </c>
      <c r="AD3126">
        <v>-0.92206310000000002</v>
      </c>
      <c r="AE3126">
        <v>-35.444899999999897</v>
      </c>
      <c r="AF3126">
        <v>-18.2204643264716</v>
      </c>
      <c r="AG3126">
        <v>-0.92206310000000002</v>
      </c>
      <c r="AH3126">
        <v>39.854342104016602</v>
      </c>
      <c r="AI3126">
        <v>91.205392704859193</v>
      </c>
      <c r="AJ3126">
        <v>114.568760576781</v>
      </c>
      <c r="AK3126">
        <v>43.831542354525901</v>
      </c>
      <c r="AL3126">
        <v>78.165859441305003</v>
      </c>
      <c r="AM3126">
        <v>104.128564850497</v>
      </c>
      <c r="AN3126">
        <v>1.0000000562</v>
      </c>
    </row>
    <row r="3127" spans="1:40" x14ac:dyDescent="0.25">
      <c r="A3127" t="str">
        <f>"20190304155117018"</f>
        <v>20190304155117018</v>
      </c>
      <c r="B3127" t="str">
        <f>"1551685877009575"</f>
        <v>1551685877009575</v>
      </c>
      <c r="C3127" t="s">
        <v>40</v>
      </c>
      <c r="D3127">
        <v>4.6315920000000004</v>
      </c>
      <c r="E3127">
        <v>0.42221419999999998</v>
      </c>
      <c r="F3127" t="s">
        <v>78</v>
      </c>
      <c r="G3127">
        <v>-465.86840000000001</v>
      </c>
      <c r="H3127">
        <v>0.22682910000000001</v>
      </c>
      <c r="I3127">
        <v>197.345</v>
      </c>
      <c r="J3127">
        <v>-491.9581</v>
      </c>
      <c r="K3127">
        <v>1.1158680000000001</v>
      </c>
      <c r="L3127">
        <v>232.53890000000001</v>
      </c>
      <c r="M3127">
        <v>0.20772940000000001</v>
      </c>
      <c r="N3127">
        <v>-1.1503279999999999E-2</v>
      </c>
      <c r="O3127">
        <v>-0.97811899999999996</v>
      </c>
      <c r="P3127">
        <v>0.42814160000000001</v>
      </c>
      <c r="Q3127">
        <v>0.19792209999999999</v>
      </c>
      <c r="R3127">
        <v>-0.88177220000000001</v>
      </c>
      <c r="S3127">
        <v>1.8584590000000001</v>
      </c>
      <c r="T3127">
        <v>-6.3171630000000006E-2</v>
      </c>
      <c r="U3127">
        <v>-2.5189509999999999</v>
      </c>
      <c r="V3127">
        <v>-0.23837990000000001</v>
      </c>
      <c r="W3127">
        <v>0.20569760000000001</v>
      </c>
      <c r="X3127">
        <v>0.94913829999999999</v>
      </c>
      <c r="Y3127">
        <v>-0.41347539999999999</v>
      </c>
      <c r="Z3127">
        <v>9.9095260000000001E-3</v>
      </c>
      <c r="AA3127">
        <v>0.91046139999999998</v>
      </c>
      <c r="AB3127">
        <v>24</v>
      </c>
      <c r="AC3127">
        <v>26.089700000000001</v>
      </c>
      <c r="AD3127">
        <v>-0.88903889999999997</v>
      </c>
      <c r="AE3127">
        <v>-35.193899999999999</v>
      </c>
      <c r="AF3127">
        <v>-18.201727076184898</v>
      </c>
      <c r="AG3127">
        <v>-0.88903889999999997</v>
      </c>
      <c r="AH3127">
        <v>39.829641855797398</v>
      </c>
      <c r="AI3127">
        <v>91.163035686228497</v>
      </c>
      <c r="AJ3127">
        <v>114.559901782045</v>
      </c>
      <c r="AK3127">
        <v>43.8006121998623</v>
      </c>
      <c r="AL3127">
        <v>78.129661021048406</v>
      </c>
      <c r="AM3127">
        <v>104.098457609747</v>
      </c>
      <c r="AN3127">
        <v>0.99999999594833</v>
      </c>
    </row>
    <row r="3128" spans="1:40" x14ac:dyDescent="0.25">
      <c r="A3128" t="str">
        <f>"20190304155117039"</f>
        <v>20190304155117039</v>
      </c>
      <c r="B3128" t="str">
        <f>"1551685877030074"</f>
        <v>1551685877030074</v>
      </c>
      <c r="C3128" t="s">
        <v>40</v>
      </c>
      <c r="D3128">
        <v>5.4620930000000003</v>
      </c>
      <c r="E3128">
        <v>0.422377</v>
      </c>
      <c r="F3128" t="s">
        <v>78</v>
      </c>
      <c r="G3128">
        <v>-465.53649999999999</v>
      </c>
      <c r="H3128">
        <v>0.25688650000000002</v>
      </c>
      <c r="I3128">
        <v>197.345</v>
      </c>
      <c r="J3128">
        <v>-491.8997</v>
      </c>
      <c r="K3128">
        <v>1.1159520000000001</v>
      </c>
      <c r="L3128">
        <v>232.30770000000001</v>
      </c>
      <c r="M3128">
        <v>0.21584159999999999</v>
      </c>
      <c r="N3128">
        <v>-1.1551799999999999E-2</v>
      </c>
      <c r="O3128">
        <v>-0.97636040000000002</v>
      </c>
      <c r="P3128">
        <v>0.43483959999999999</v>
      </c>
      <c r="Q3128">
        <v>0.19879769999999999</v>
      </c>
      <c r="R3128">
        <v>-0.87829099999999904</v>
      </c>
      <c r="S3128">
        <v>1.8794249999999999</v>
      </c>
      <c r="T3128">
        <v>-6.1098340000000001E-2</v>
      </c>
      <c r="U3128">
        <v>-2.5034179999999999</v>
      </c>
      <c r="V3128">
        <v>-0.2378159</v>
      </c>
      <c r="W3128">
        <v>0.2065823</v>
      </c>
      <c r="X3128">
        <v>0.94908760000000003</v>
      </c>
      <c r="Y3128">
        <v>-0.41351120000000002</v>
      </c>
      <c r="Z3128">
        <v>9.2272039999999993E-3</v>
      </c>
      <c r="AA3128">
        <v>0.91045220000000004</v>
      </c>
      <c r="AB3128">
        <v>24</v>
      </c>
      <c r="AC3128">
        <v>26.363199999999999</v>
      </c>
      <c r="AD3128">
        <v>-0.85906550000000004</v>
      </c>
      <c r="AE3128">
        <v>-34.962699999999998</v>
      </c>
      <c r="AF3128">
        <v>-18.187787000271999</v>
      </c>
      <c r="AG3128">
        <v>-0.85906550000000004</v>
      </c>
      <c r="AH3128">
        <v>39.813791256302999</v>
      </c>
      <c r="AI3128">
        <v>91.124353651773106</v>
      </c>
      <c r="AJ3128">
        <v>114.551929232948</v>
      </c>
      <c r="AK3128">
        <v>43.779807716583498</v>
      </c>
      <c r="AL3128">
        <v>78.077858436730196</v>
      </c>
      <c r="AM3128">
        <v>104.067148392229</v>
      </c>
      <c r="AN3128">
        <v>0.99999996071992903</v>
      </c>
    </row>
    <row r="3129" spans="1:40" x14ac:dyDescent="0.25">
      <c r="A3129" t="str">
        <f>"20190304155117064"</f>
        <v>20190304155117064</v>
      </c>
      <c r="B3129" t="str">
        <f>"1551685877059351"</f>
        <v>1551685877059351</v>
      </c>
      <c r="C3129" t="s">
        <v>40</v>
      </c>
      <c r="D3129">
        <v>4.7442900000000003</v>
      </c>
      <c r="E3129">
        <v>0.42909180000000002</v>
      </c>
      <c r="F3129" t="s">
        <v>78</v>
      </c>
      <c r="G3129">
        <v>-465.25389999999999</v>
      </c>
      <c r="H3129">
        <v>0.2865877</v>
      </c>
      <c r="I3129">
        <v>197.345</v>
      </c>
      <c r="J3129">
        <v>-491.83589999999998</v>
      </c>
      <c r="K3129">
        <v>1.1160369999999999</v>
      </c>
      <c r="L3129">
        <v>232.06489999999999</v>
      </c>
      <c r="M3129">
        <v>0.2244922</v>
      </c>
      <c r="N3129">
        <v>-1.1600340000000001E-2</v>
      </c>
      <c r="O3129">
        <v>-0.97440689999999996</v>
      </c>
      <c r="P3129">
        <v>0.44194939999999999</v>
      </c>
      <c r="Q3129">
        <v>0.19983020000000001</v>
      </c>
      <c r="R3129">
        <v>-0.87449940000000004</v>
      </c>
      <c r="S3129">
        <v>1.8974299999999999</v>
      </c>
      <c r="T3129">
        <v>-5.9055919999999998E-2</v>
      </c>
      <c r="U3129">
        <v>-2.4896699999999998</v>
      </c>
      <c r="V3129">
        <v>-0.23720260000000001</v>
      </c>
      <c r="W3129">
        <v>0.2076231</v>
      </c>
      <c r="X3129">
        <v>0.94901400000000002</v>
      </c>
      <c r="Y3129">
        <v>-0.41202939999999999</v>
      </c>
      <c r="Z3129">
        <v>8.5524480000000007E-3</v>
      </c>
      <c r="AA3129">
        <v>0.91113040000000001</v>
      </c>
      <c r="AB3129">
        <v>24</v>
      </c>
      <c r="AC3129">
        <v>26.581999999999901</v>
      </c>
      <c r="AD3129">
        <v>-0.82944929999999994</v>
      </c>
      <c r="AE3129">
        <v>-34.719900000000003</v>
      </c>
      <c r="AF3129">
        <v>-18.102041506223799</v>
      </c>
      <c r="AG3129">
        <v>-0.82944929999999994</v>
      </c>
      <c r="AH3129">
        <v>39.787121576134602</v>
      </c>
      <c r="AI3129">
        <v>91.087086812943198</v>
      </c>
      <c r="AJ3129">
        <v>114.46422414494999</v>
      </c>
      <c r="AK3129">
        <v>43.7194114341494</v>
      </c>
      <c r="AL3129">
        <v>78.016903892182199</v>
      </c>
      <c r="AM3129">
        <v>104.033351161269</v>
      </c>
      <c r="AN3129">
        <v>0.99999999864818501</v>
      </c>
    </row>
    <row r="3130" spans="1:40" x14ac:dyDescent="0.25">
      <c r="A3130" t="str">
        <f>"20190304155117085"</f>
        <v>20190304155117085</v>
      </c>
      <c r="B3130" t="str">
        <f>"1551685877079847"</f>
        <v>1551685877079847</v>
      </c>
      <c r="C3130" t="s">
        <v>40</v>
      </c>
      <c r="D3130">
        <v>4.6403359999999996</v>
      </c>
      <c r="E3130">
        <v>0.43034080000000002</v>
      </c>
      <c r="F3130" t="s">
        <v>62</v>
      </c>
      <c r="G3130">
        <v>-471.4203</v>
      </c>
      <c r="H3130">
        <v>7.999995E-2</v>
      </c>
      <c r="I3130">
        <v>204.75219999999999</v>
      </c>
      <c r="J3130">
        <v>-491.77330000000001</v>
      </c>
      <c r="K3130">
        <v>1.1161209999999999</v>
      </c>
      <c r="L3130">
        <v>231.8348</v>
      </c>
      <c r="M3130">
        <v>0.23281170000000001</v>
      </c>
      <c r="N3130">
        <v>-1.16437E-2</v>
      </c>
      <c r="O3130">
        <v>-0.97245219999999999</v>
      </c>
      <c r="P3130">
        <v>0.44877080000000003</v>
      </c>
      <c r="Q3130">
        <v>0.19987340000000001</v>
      </c>
      <c r="R3130">
        <v>-0.87100849999999996</v>
      </c>
      <c r="S3130">
        <v>1.872986</v>
      </c>
      <c r="T3130">
        <v>-9.5048900000000006E-2</v>
      </c>
      <c r="U3130">
        <v>-2.5057369999999999</v>
      </c>
      <c r="V3130">
        <v>-0.2365506</v>
      </c>
      <c r="W3130">
        <v>0.20767340000000001</v>
      </c>
      <c r="X3130">
        <v>0.9491657</v>
      </c>
      <c r="Y3130">
        <v>-0.3955555</v>
      </c>
      <c r="Z3130">
        <v>2.0231280000000001E-2</v>
      </c>
      <c r="AA3130">
        <v>0.91821920000000001</v>
      </c>
      <c r="AB3130">
        <v>24</v>
      </c>
      <c r="AC3130">
        <v>20.353000000000002</v>
      </c>
      <c r="AD3130">
        <v>-1.03612105</v>
      </c>
      <c r="AE3130">
        <v>-27.082599999999999</v>
      </c>
      <c r="AF3130">
        <v>-13.475482165927501</v>
      </c>
      <c r="AG3130">
        <v>-1.03612105</v>
      </c>
      <c r="AH3130">
        <v>31.048013257946099</v>
      </c>
      <c r="AI3130">
        <v>91.753424748377398</v>
      </c>
      <c r="AJ3130">
        <v>113.461844211863</v>
      </c>
      <c r="AK3130">
        <v>33.862092281784399</v>
      </c>
      <c r="AL3130">
        <v>78.013957431456603</v>
      </c>
      <c r="AM3130">
        <v>103.994146872472</v>
      </c>
      <c r="AN3130">
        <v>0.99999997674220398</v>
      </c>
    </row>
    <row r="3131" spans="1:40" x14ac:dyDescent="0.25">
      <c r="A3131" t="str">
        <f>"20190304155117107"</f>
        <v>20190304155117107</v>
      </c>
      <c r="B3131" t="str">
        <f>"1551685877099367"</f>
        <v>1551685877099367</v>
      </c>
      <c r="C3131" t="s">
        <v>40</v>
      </c>
      <c r="D3131">
        <v>4.6806179999999999</v>
      </c>
      <c r="E3131">
        <v>0.4297745</v>
      </c>
      <c r="F3131" t="s">
        <v>62</v>
      </c>
      <c r="G3131">
        <v>-472.5598</v>
      </c>
      <c r="H3131">
        <v>7.9999879999999995E-2</v>
      </c>
      <c r="I3131">
        <v>206.38239999999999</v>
      </c>
      <c r="J3131">
        <v>-491.71140000000003</v>
      </c>
      <c r="K3131">
        <v>1.116204</v>
      </c>
      <c r="L3131">
        <v>231.61510000000001</v>
      </c>
      <c r="M3131">
        <v>0.24085860000000001</v>
      </c>
      <c r="N3131">
        <v>-1.1682909999999999E-2</v>
      </c>
      <c r="O3131">
        <v>-0.97048999999999996</v>
      </c>
      <c r="P3131">
        <v>0.45557920000000002</v>
      </c>
      <c r="Q3131">
        <v>0.19977549999999999</v>
      </c>
      <c r="R3131">
        <v>-0.86748919999999996</v>
      </c>
      <c r="S3131">
        <v>1.884644</v>
      </c>
      <c r="T3131">
        <v>-0.1016326</v>
      </c>
      <c r="U3131">
        <v>-2.496613</v>
      </c>
      <c r="V3131">
        <v>-0.236155</v>
      </c>
      <c r="W3131">
        <v>0.2075755</v>
      </c>
      <c r="X3131">
        <v>0.94928559999999995</v>
      </c>
      <c r="Y3131">
        <v>-0.39225870000000002</v>
      </c>
      <c r="Z3131">
        <v>2.2356029999999999E-2</v>
      </c>
      <c r="AA3131">
        <v>0.91958320000000005</v>
      </c>
      <c r="AB3131">
        <v>24</v>
      </c>
      <c r="AC3131">
        <v>19.151599999999998</v>
      </c>
      <c r="AD3131">
        <v>-1.0362041200000001</v>
      </c>
      <c r="AE3131">
        <v>-25.232700000000001</v>
      </c>
      <c r="AF3131">
        <v>-12.4964048351519</v>
      </c>
      <c r="AG3131">
        <v>-1.0362041200000001</v>
      </c>
      <c r="AH3131">
        <v>29.071787042183701</v>
      </c>
      <c r="AI3131">
        <v>91.875531685772899</v>
      </c>
      <c r="AJ3131">
        <v>113.260280125837</v>
      </c>
      <c r="AK3131">
        <v>31.660743115227</v>
      </c>
      <c r="AL3131">
        <v>78.019691457090502</v>
      </c>
      <c r="AM3131">
        <v>103.969965422161</v>
      </c>
      <c r="AN3131">
        <v>0.99999996129630397</v>
      </c>
    </row>
    <row r="3132" spans="1:40" x14ac:dyDescent="0.25">
      <c r="A3132" t="str">
        <f>"20190304155117130"</f>
        <v>20190304155117130</v>
      </c>
      <c r="B3132" t="str">
        <f>"1551685877119866"</f>
        <v>1551685877119866</v>
      </c>
      <c r="C3132" t="s">
        <v>40</v>
      </c>
      <c r="D3132">
        <v>4.8226180000000003</v>
      </c>
      <c r="E3132">
        <v>0.43095939999999999</v>
      </c>
      <c r="F3132" t="s">
        <v>62</v>
      </c>
      <c r="G3132">
        <v>-471.44150000000002</v>
      </c>
      <c r="H3132">
        <v>0.08</v>
      </c>
      <c r="I3132">
        <v>205.28829999999999</v>
      </c>
      <c r="J3132">
        <v>-491.63990000000001</v>
      </c>
      <c r="K3132">
        <v>1.1162909999999999</v>
      </c>
      <c r="L3132">
        <v>231.37049999999999</v>
      </c>
      <c r="M3132">
        <v>0.249946</v>
      </c>
      <c r="N3132">
        <v>-1.1723809999999999E-2</v>
      </c>
      <c r="O3132">
        <v>-0.96818870000000001</v>
      </c>
      <c r="P3132">
        <v>0.46319310000000002</v>
      </c>
      <c r="Q3132">
        <v>0.1997187</v>
      </c>
      <c r="R3132">
        <v>-0.86346080000000003</v>
      </c>
      <c r="S3132">
        <v>1.9082950000000001</v>
      </c>
      <c r="T3132">
        <v>-9.7552539999999993E-2</v>
      </c>
      <c r="U3132">
        <v>-2.4785159999999999</v>
      </c>
      <c r="V3132">
        <v>-0.23564560000000001</v>
      </c>
      <c r="W3132">
        <v>0.2075176</v>
      </c>
      <c r="X3132">
        <v>0.94942490000000002</v>
      </c>
      <c r="Y3132">
        <v>-0.3924107</v>
      </c>
      <c r="Z3132">
        <v>2.102615E-2</v>
      </c>
      <c r="AA3132">
        <v>0.91954979999999997</v>
      </c>
      <c r="AB3132">
        <v>24</v>
      </c>
      <c r="AC3132">
        <v>20.1983999999999</v>
      </c>
      <c r="AD3132">
        <v>-1.0362910000000001</v>
      </c>
      <c r="AE3132">
        <v>-26.0822</v>
      </c>
      <c r="AF3132">
        <v>-13.024765417096701</v>
      </c>
      <c r="AG3132">
        <v>-1.0362910000000001</v>
      </c>
      <c r="AH3132">
        <v>30.273212286959399</v>
      </c>
      <c r="AI3132">
        <v>91.801042651809794</v>
      </c>
      <c r="AJ3132">
        <v>113.27933863190999</v>
      </c>
      <c r="AK3132">
        <v>32.972500593348897</v>
      </c>
      <c r="AL3132">
        <v>78.023083464188304</v>
      </c>
      <c r="AM3132">
        <v>103.939042267491</v>
      </c>
      <c r="AN3132">
        <v>1.0000000219245599</v>
      </c>
    </row>
    <row r="3133" spans="1:40" x14ac:dyDescent="0.25">
      <c r="A3133" t="str">
        <f>"20190304155117152"</f>
        <v>20190304155117152</v>
      </c>
      <c r="B3133" t="str">
        <f>"1551685877139383"</f>
        <v>1551685877139383</v>
      </c>
      <c r="C3133" t="s">
        <v>40</v>
      </c>
      <c r="D3133">
        <v>4.6611799999999999</v>
      </c>
      <c r="E3133">
        <v>0.43084020000000001</v>
      </c>
      <c r="F3133" t="s">
        <v>62</v>
      </c>
      <c r="G3133">
        <v>-472.52420000000001</v>
      </c>
      <c r="H3133">
        <v>7.9999920000000002E-2</v>
      </c>
      <c r="I3133">
        <v>206.83879999999999</v>
      </c>
      <c r="J3133">
        <v>-491.5727</v>
      </c>
      <c r="K3133">
        <v>1.1163749999999999</v>
      </c>
      <c r="L3133">
        <v>231.14840000000001</v>
      </c>
      <c r="M3133">
        <v>0.25829859999999999</v>
      </c>
      <c r="N3133">
        <v>-1.175825E-2</v>
      </c>
      <c r="O3133">
        <v>-0.96599360000000001</v>
      </c>
      <c r="P3133">
        <v>0.46995870000000001</v>
      </c>
      <c r="Q3133">
        <v>0.1988489</v>
      </c>
      <c r="R3133">
        <v>-0.85999899999999996</v>
      </c>
      <c r="S3133">
        <v>1.922485</v>
      </c>
      <c r="T3133">
        <v>-0.10422089999999901</v>
      </c>
      <c r="U3133">
        <v>-2.4671780000000001</v>
      </c>
      <c r="V3133">
        <v>-0.23487169999999999</v>
      </c>
      <c r="W3133">
        <v>0.20665459999999999</v>
      </c>
      <c r="X3133">
        <v>0.9498048</v>
      </c>
      <c r="Y3133">
        <v>-0.38977070000000003</v>
      </c>
      <c r="Z3133">
        <v>2.3180280000000001E-2</v>
      </c>
      <c r="AA3133">
        <v>0.92062010000000005</v>
      </c>
      <c r="AB3133">
        <v>24</v>
      </c>
      <c r="AC3133">
        <v>19.048499999999901</v>
      </c>
      <c r="AD3133">
        <v>-1.03637508</v>
      </c>
      <c r="AE3133">
        <v>-24.3096</v>
      </c>
      <c r="AF3133">
        <v>-12.108795445027299</v>
      </c>
      <c r="AG3133">
        <v>-1.03637508</v>
      </c>
      <c r="AH3133">
        <v>28.3731308416682</v>
      </c>
      <c r="AI3133">
        <v>91.924136838463198</v>
      </c>
      <c r="AJ3133">
        <v>113.111325846958</v>
      </c>
      <c r="AK3133">
        <v>30.8663498683337</v>
      </c>
      <c r="AL3133">
        <v>78.073625050888495</v>
      </c>
      <c r="AM3133">
        <v>103.88969829119399</v>
      </c>
      <c r="AN3133">
        <v>0.99999999863254496</v>
      </c>
    </row>
    <row r="3134" spans="1:40" x14ac:dyDescent="0.25">
      <c r="A3134" t="str">
        <f>"20190304155117173"</f>
        <v>20190304155117173</v>
      </c>
      <c r="B3134" t="str">
        <f>"1551685877169639"</f>
        <v>1551685877169639</v>
      </c>
      <c r="C3134" t="s">
        <v>40</v>
      </c>
      <c r="D3134">
        <v>4.6706379999999896</v>
      </c>
      <c r="E3134">
        <v>0.43068109999999998</v>
      </c>
      <c r="F3134" t="s">
        <v>62</v>
      </c>
      <c r="G3134">
        <v>-472.43709999999999</v>
      </c>
      <c r="H3134">
        <v>7.999995E-2</v>
      </c>
      <c r="I3134">
        <v>207.0136</v>
      </c>
      <c r="J3134">
        <v>-491.50439999999998</v>
      </c>
      <c r="K3134">
        <v>1.116431</v>
      </c>
      <c r="L3134">
        <v>230.9298</v>
      </c>
      <c r="M3134">
        <v>0.2665978</v>
      </c>
      <c r="N3134">
        <v>-1.1789239999999999E-2</v>
      </c>
      <c r="O3134">
        <v>-0.96373580000000003</v>
      </c>
      <c r="P3134">
        <v>0.4771958</v>
      </c>
      <c r="Q3134">
        <v>0.19823560000000001</v>
      </c>
      <c r="R3134">
        <v>-0.85614679999999999</v>
      </c>
      <c r="S3134">
        <v>1.943146</v>
      </c>
      <c r="T3134">
        <v>-0.105239899999999</v>
      </c>
      <c r="U3134">
        <v>-2.45079</v>
      </c>
      <c r="V3134">
        <v>-0.23469760000000001</v>
      </c>
      <c r="W3134">
        <v>0.20604059999999999</v>
      </c>
      <c r="X3134">
        <v>0.94998119999999997</v>
      </c>
      <c r="Y3134">
        <v>-0.38960640000000002</v>
      </c>
      <c r="Z3134">
        <v>2.3510710000000001E-2</v>
      </c>
      <c r="AA3134">
        <v>0.92068130000000004</v>
      </c>
      <c r="AB3134">
        <v>25</v>
      </c>
      <c r="AC3134">
        <v>19.0672999999999</v>
      </c>
      <c r="AD3134">
        <v>-1.03643105</v>
      </c>
      <c r="AE3134">
        <v>-23.9162</v>
      </c>
      <c r="AF3134">
        <v>-11.9869036195229</v>
      </c>
      <c r="AG3134">
        <v>-1.03643105</v>
      </c>
      <c r="AH3134">
        <v>28.1018862210611</v>
      </c>
      <c r="AI3134">
        <v>91.942952565159302</v>
      </c>
      <c r="AJ3134">
        <v>113.100747570667</v>
      </c>
      <c r="AK3134">
        <v>30.5692011162641</v>
      </c>
      <c r="AL3134">
        <v>78.109578273130296</v>
      </c>
      <c r="AM3134">
        <v>103.87732302841</v>
      </c>
      <c r="AN3134">
        <v>0.99999998632377896</v>
      </c>
    </row>
    <row r="3135" spans="1:40" x14ac:dyDescent="0.25">
      <c r="A3135" t="str">
        <f>"20190304155117196"</f>
        <v>20190304155117196</v>
      </c>
      <c r="B3135" t="str">
        <f>"1551685877190135"</f>
        <v>1551685877190135</v>
      </c>
      <c r="C3135" t="s">
        <v>40</v>
      </c>
      <c r="D3135">
        <v>4.6426410000000002</v>
      </c>
      <c r="E3135">
        <v>0.4309751</v>
      </c>
      <c r="F3135" t="s">
        <v>62</v>
      </c>
      <c r="G3135">
        <v>-472.07589999999999</v>
      </c>
      <c r="H3135">
        <v>0.08</v>
      </c>
      <c r="I3135">
        <v>206.88239999999999</v>
      </c>
      <c r="J3135">
        <v>-491.42770000000002</v>
      </c>
      <c r="K3135">
        <v>1.116482</v>
      </c>
      <c r="L3135">
        <v>230.6919</v>
      </c>
      <c r="M3135">
        <v>0.27571050000000003</v>
      </c>
      <c r="N3135">
        <v>-1.181923E-2</v>
      </c>
      <c r="O3135">
        <v>-0.96116809999999997</v>
      </c>
      <c r="P3135">
        <v>0.48505730000000002</v>
      </c>
      <c r="Q3135">
        <v>0.198491</v>
      </c>
      <c r="R3135">
        <v>-0.85165780000000002</v>
      </c>
      <c r="S3135">
        <v>1.965546</v>
      </c>
      <c r="T3135">
        <v>-0.104854</v>
      </c>
      <c r="U3135">
        <v>-2.4328310000000002</v>
      </c>
      <c r="V3135">
        <v>-0.23449529999999999</v>
      </c>
      <c r="W3135">
        <v>0.20629719999999999</v>
      </c>
      <c r="X3135">
        <v>0.94997549999999997</v>
      </c>
      <c r="Y3135">
        <v>-0.38934039999999998</v>
      </c>
      <c r="Z3135">
        <v>2.3384530000000001E-2</v>
      </c>
      <c r="AA3135">
        <v>0.92079699999999998</v>
      </c>
      <c r="AB3135">
        <v>25</v>
      </c>
      <c r="AC3135">
        <v>19.351800000000001</v>
      </c>
      <c r="AD3135">
        <v>-1.0364819999999999</v>
      </c>
      <c r="AE3135">
        <v>-23.8095</v>
      </c>
      <c r="AF3135">
        <v>-12.0229235031141</v>
      </c>
      <c r="AG3135">
        <v>-1.0364819999999999</v>
      </c>
      <c r="AH3135">
        <v>28.190226078890799</v>
      </c>
      <c r="AI3135">
        <v>91.937004881640206</v>
      </c>
      <c r="AJ3135">
        <v>113.09789019314</v>
      </c>
      <c r="AK3135">
        <v>30.6645370236864</v>
      </c>
      <c r="AL3135">
        <v>78.094553740267102</v>
      </c>
      <c r="AM3135">
        <v>103.865903094288</v>
      </c>
      <c r="AN3135">
        <v>1.0000000155250801</v>
      </c>
    </row>
    <row r="3136" spans="1:40" x14ac:dyDescent="0.25">
      <c r="A3136" t="str">
        <f>"20190304155117218"</f>
        <v>20190304155117218</v>
      </c>
      <c r="B3136" t="str">
        <f>"1551685877209904"</f>
        <v>1551685877209904</v>
      </c>
      <c r="C3136" t="s">
        <v>40</v>
      </c>
      <c r="D3136">
        <v>4.6756729999999997</v>
      </c>
      <c r="E3136">
        <v>0.43114190000000002</v>
      </c>
      <c r="F3136" t="s">
        <v>62</v>
      </c>
      <c r="G3136">
        <v>-471.81950000000001</v>
      </c>
      <c r="H3136">
        <v>8.0000039999999994E-2</v>
      </c>
      <c r="I3136">
        <v>206.84440000000001</v>
      </c>
      <c r="J3136">
        <v>-491.35039999999998</v>
      </c>
      <c r="K3136">
        <v>1.116522</v>
      </c>
      <c r="L3136">
        <v>230.46</v>
      </c>
      <c r="M3136">
        <v>0.28466529999999901</v>
      </c>
      <c r="N3136">
        <v>-1.184521E-2</v>
      </c>
      <c r="O3136">
        <v>-0.95855400000000002</v>
      </c>
      <c r="P3136">
        <v>0.49244789999999999</v>
      </c>
      <c r="Q3136">
        <v>0.19897980000000001</v>
      </c>
      <c r="R3136">
        <v>-0.84729159999999903</v>
      </c>
      <c r="S3136">
        <v>1.9862979999999999</v>
      </c>
      <c r="T3136">
        <v>-0.10499509999999999</v>
      </c>
      <c r="U3136">
        <v>-2.4157410000000001</v>
      </c>
      <c r="V3136">
        <v>-0.23395640000000001</v>
      </c>
      <c r="W3136">
        <v>0.20679600000000001</v>
      </c>
      <c r="X3136">
        <v>0.94999990000000001</v>
      </c>
      <c r="Y3136">
        <v>-0.3886616</v>
      </c>
      <c r="Z3136">
        <v>2.3429060000000002E-2</v>
      </c>
      <c r="AA3136">
        <v>0.92108259999999997</v>
      </c>
      <c r="AB3136">
        <v>25</v>
      </c>
      <c r="AC3136">
        <v>19.5308999999999</v>
      </c>
      <c r="AD3136">
        <v>-1.03652196</v>
      </c>
      <c r="AE3136">
        <v>-23.615600000000001</v>
      </c>
      <c r="AF3136">
        <v>-11.986008016507</v>
      </c>
      <c r="AG3136">
        <v>-1.03652196</v>
      </c>
      <c r="AH3136">
        <v>28.166347936065002</v>
      </c>
      <c r="AI3136">
        <v>91.939383473835207</v>
      </c>
      <c r="AJ3136">
        <v>113.05186591019999</v>
      </c>
      <c r="AK3136">
        <v>30.628123057099099</v>
      </c>
      <c r="AL3136">
        <v>78.065344533443195</v>
      </c>
      <c r="AM3136">
        <v>103.834921434347</v>
      </c>
      <c r="AN3136">
        <v>0.99999999635848502</v>
      </c>
    </row>
    <row r="3137" spans="1:40" x14ac:dyDescent="0.25">
      <c r="A3137" t="str">
        <f>"20190304155117241"</f>
        <v>20190304155117241</v>
      </c>
      <c r="B3137" t="str">
        <f>"1551685877229423"</f>
        <v>1551685877229423</v>
      </c>
      <c r="C3137" t="s">
        <v>40</v>
      </c>
      <c r="D3137">
        <v>4.6812740000000002</v>
      </c>
      <c r="E3137">
        <v>0.43142829999999899</v>
      </c>
      <c r="F3137" t="s">
        <v>62</v>
      </c>
      <c r="G3137">
        <v>-471.34879999999998</v>
      </c>
      <c r="H3137">
        <v>8.0000100000000005E-2</v>
      </c>
      <c r="I3137">
        <v>206.5488</v>
      </c>
      <c r="J3137">
        <v>-491.27120000000002</v>
      </c>
      <c r="K3137">
        <v>1.1165499999999999</v>
      </c>
      <c r="L3137">
        <v>230.2296</v>
      </c>
      <c r="M3137">
        <v>0.29360809999999998</v>
      </c>
      <c r="N3137">
        <v>-1.1868129999999999E-2</v>
      </c>
      <c r="O3137">
        <v>-0.95585240000000005</v>
      </c>
      <c r="P3137">
        <v>0.50063849999999999</v>
      </c>
      <c r="Q3137">
        <v>0.1985258</v>
      </c>
      <c r="R3137">
        <v>-0.84258480000000002</v>
      </c>
      <c r="S3137">
        <v>2.0066220000000001</v>
      </c>
      <c r="T3137">
        <v>-0.1039873</v>
      </c>
      <c r="U3137">
        <v>-2.3988489999999998</v>
      </c>
      <c r="V3137">
        <v>-0.2342688</v>
      </c>
      <c r="W3137">
        <v>0.20634250000000001</v>
      </c>
      <c r="X3137">
        <v>0.95002160000000002</v>
      </c>
      <c r="Y3137">
        <v>-0.38784279999999999</v>
      </c>
      <c r="Z3137">
        <v>2.3099439999999999E-2</v>
      </c>
      <c r="AA3137">
        <v>0.92143600000000003</v>
      </c>
      <c r="AB3137">
        <v>25</v>
      </c>
      <c r="AC3137">
        <v>19.9224</v>
      </c>
      <c r="AD3137">
        <v>-1.0365499</v>
      </c>
      <c r="AE3137">
        <v>-23.680800000000001</v>
      </c>
      <c r="AF3137">
        <v>-12.077298736488901</v>
      </c>
      <c r="AG3137">
        <v>-1.0365499</v>
      </c>
      <c r="AH3137">
        <v>28.454804604944901</v>
      </c>
      <c r="AI3137">
        <v>91.9205533785413</v>
      </c>
      <c r="AJ3137">
        <v>112.998209843997</v>
      </c>
      <c r="AK3137">
        <v>30.929136515124</v>
      </c>
      <c r="AL3137">
        <v>78.091901819094502</v>
      </c>
      <c r="AM3137">
        <v>103.852379753184</v>
      </c>
      <c r="AN3137">
        <v>1.0000000692131199</v>
      </c>
    </row>
    <row r="3138" spans="1:40" x14ac:dyDescent="0.25">
      <c r="A3138" t="str">
        <f>"20190304155117265"</f>
        <v>20190304155117265</v>
      </c>
      <c r="B3138" t="str">
        <f>"1551685877259680"</f>
        <v>1551685877259680</v>
      </c>
      <c r="C3138" t="s">
        <v>40</v>
      </c>
      <c r="D3138">
        <v>4.6735769999999999</v>
      </c>
      <c r="E3138">
        <v>0.43169829999999998</v>
      </c>
      <c r="F3138" t="s">
        <v>62</v>
      </c>
      <c r="G3138">
        <v>-471.53969999999998</v>
      </c>
      <c r="H3138">
        <v>8.0000100000000005E-2</v>
      </c>
      <c r="I3138">
        <v>207.06129999999999</v>
      </c>
      <c r="J3138">
        <v>-491.18700000000001</v>
      </c>
      <c r="K3138">
        <v>1.1165700000000001</v>
      </c>
      <c r="L3138">
        <v>229.99180000000001</v>
      </c>
      <c r="M3138">
        <v>0.30287190000000003</v>
      </c>
      <c r="N3138">
        <v>-1.1888569999999999E-2</v>
      </c>
      <c r="O3138">
        <v>-0.95295730000000001</v>
      </c>
      <c r="P3138">
        <v>0.50889960000000001</v>
      </c>
      <c r="Q3138">
        <v>0.1976444</v>
      </c>
      <c r="R3138">
        <v>-0.83782959999999995</v>
      </c>
      <c r="S3138">
        <v>2.027679</v>
      </c>
      <c r="T3138">
        <v>-0.10651960000000001</v>
      </c>
      <c r="U3138">
        <v>-2.3808590000000001</v>
      </c>
      <c r="V3138">
        <v>-0.23432449999999999</v>
      </c>
      <c r="W3138">
        <v>0.20546990000000001</v>
      </c>
      <c r="X3138">
        <v>0.95019690000000001</v>
      </c>
      <c r="Y3138">
        <v>-0.3870422</v>
      </c>
      <c r="Z3138">
        <v>2.3919360000000001E-2</v>
      </c>
      <c r="AA3138">
        <v>0.92175169999999995</v>
      </c>
      <c r="AB3138">
        <v>25</v>
      </c>
      <c r="AC3138">
        <v>19.647299999999898</v>
      </c>
      <c r="AD3138">
        <v>-1.0365698999999999</v>
      </c>
      <c r="AE3138">
        <v>-22.930499999999999</v>
      </c>
      <c r="AF3138">
        <v>-11.7650006126556</v>
      </c>
      <c r="AG3138">
        <v>-1.0365698999999999</v>
      </c>
      <c r="AH3138">
        <v>27.771637083238101</v>
      </c>
      <c r="AI3138">
        <v>91.968367667649105</v>
      </c>
      <c r="AJ3138">
        <v>112.95915148576201</v>
      </c>
      <c r="AK3138">
        <v>30.178693524678302</v>
      </c>
      <c r="AL3138">
        <v>78.142992074724901</v>
      </c>
      <c r="AM3138">
        <v>103.853088701792</v>
      </c>
      <c r="AN3138">
        <v>0.99999999993793498</v>
      </c>
    </row>
    <row r="3139" spans="1:40" x14ac:dyDescent="0.25">
      <c r="A3139" t="str">
        <f>"20190304155117287"</f>
        <v>20190304155117287</v>
      </c>
      <c r="B3139" t="str">
        <f>"1551685877280176"</f>
        <v>1551685877280176</v>
      </c>
      <c r="C3139" t="s">
        <v>40</v>
      </c>
      <c r="D3139">
        <v>4.6425989999999997</v>
      </c>
      <c r="E3139">
        <v>0.43236530000000001</v>
      </c>
      <c r="F3139" t="s">
        <v>62</v>
      </c>
      <c r="G3139">
        <v>-471.5487</v>
      </c>
      <c r="H3139">
        <v>8.0000100000000005E-2</v>
      </c>
      <c r="I3139">
        <v>207.36529999999999</v>
      </c>
      <c r="J3139">
        <v>-491.10570000000001</v>
      </c>
      <c r="K3139">
        <v>1.1165780000000001</v>
      </c>
      <c r="L3139">
        <v>229.76900000000001</v>
      </c>
      <c r="M3139">
        <v>0.31156339999999999</v>
      </c>
      <c r="N3139">
        <v>-1.190474E-2</v>
      </c>
      <c r="O3139">
        <v>-0.95015070000000001</v>
      </c>
      <c r="P3139">
        <v>0.51673729999999995</v>
      </c>
      <c r="Q3139">
        <v>0.19601170000000001</v>
      </c>
      <c r="R3139">
        <v>-0.83340369999999997</v>
      </c>
      <c r="S3139">
        <v>2.0495000000000001</v>
      </c>
      <c r="T3139">
        <v>-0.1081792</v>
      </c>
      <c r="U3139">
        <v>-2.3613590000000002</v>
      </c>
      <c r="V3139">
        <v>-0.2344215</v>
      </c>
      <c r="W3139">
        <v>0.2038479</v>
      </c>
      <c r="X3139">
        <v>0.95052219999999998</v>
      </c>
      <c r="Y3139">
        <v>-0.387235</v>
      </c>
      <c r="Z3139">
        <v>2.446798E-2</v>
      </c>
      <c r="AA3139">
        <v>0.92165629999999998</v>
      </c>
      <c r="AB3139">
        <v>25</v>
      </c>
      <c r="AC3139">
        <v>19.556999999999999</v>
      </c>
      <c r="AD3139">
        <v>-1.0365778999999999</v>
      </c>
      <c r="AE3139">
        <v>-22.403700000000001</v>
      </c>
      <c r="AF3139">
        <v>-11.5886679961926</v>
      </c>
      <c r="AG3139">
        <v>-1.0365778999999999</v>
      </c>
      <c r="AH3139">
        <v>27.348852247840998</v>
      </c>
      <c r="AI3139">
        <v>91.998714761250199</v>
      </c>
      <c r="AJ3139">
        <v>112.96407727219901</v>
      </c>
      <c r="AK3139">
        <v>29.720892297220601</v>
      </c>
      <c r="AL3139">
        <v>78.237934632287505</v>
      </c>
      <c r="AM3139">
        <v>103.854042122899</v>
      </c>
      <c r="AN3139">
        <v>0.99999992934474702</v>
      </c>
    </row>
    <row r="3140" spans="1:40" x14ac:dyDescent="0.25">
      <c r="A3140" t="str">
        <f>"20190304155117309"</f>
        <v>20190304155117309</v>
      </c>
      <c r="B3140" t="str">
        <f>"1551685877299696"</f>
        <v>1551685877299696</v>
      </c>
      <c r="C3140" t="s">
        <v>40</v>
      </c>
      <c r="D3140">
        <v>4.6657449999999896</v>
      </c>
      <c r="E3140">
        <v>0.4327724</v>
      </c>
      <c r="F3140" t="s">
        <v>62</v>
      </c>
      <c r="G3140">
        <v>-472.78210000000001</v>
      </c>
      <c r="H3140">
        <v>7.9999979999999998E-2</v>
      </c>
      <c r="I3140">
        <v>208.9769</v>
      </c>
      <c r="J3140">
        <v>-491.02109999999999</v>
      </c>
      <c r="K3140">
        <v>1.116582</v>
      </c>
      <c r="L3140">
        <v>229.54400000000001</v>
      </c>
      <c r="M3140">
        <v>0.32034469999999998</v>
      </c>
      <c r="N3140">
        <v>-1.1918420000000001E-2</v>
      </c>
      <c r="O3140">
        <v>-0.94722620000000002</v>
      </c>
      <c r="P3140">
        <v>0.52504680000000004</v>
      </c>
      <c r="Q3140">
        <v>0.19451689999999999</v>
      </c>
      <c r="R3140">
        <v>-0.82854629999999996</v>
      </c>
      <c r="S3140">
        <v>2.067078</v>
      </c>
      <c r="T3140">
        <v>-0.1169362</v>
      </c>
      <c r="U3140">
        <v>-2.3455509999999999</v>
      </c>
      <c r="V3140">
        <v>-0.23499929999999999</v>
      </c>
      <c r="W3140">
        <v>0.2023567</v>
      </c>
      <c r="X3140">
        <v>0.95069820000000005</v>
      </c>
      <c r="Y3140">
        <v>-0.38561400000000001</v>
      </c>
      <c r="Z3140">
        <v>2.7291070000000001E-2</v>
      </c>
      <c r="AA3140">
        <v>0.92225650000000003</v>
      </c>
      <c r="AB3140">
        <v>25</v>
      </c>
      <c r="AC3140">
        <v>18.238999999999901</v>
      </c>
      <c r="AD3140">
        <v>-1.03658202</v>
      </c>
      <c r="AE3140">
        <v>-20.5671</v>
      </c>
      <c r="AF3140">
        <v>-10.6734781329427</v>
      </c>
      <c r="AG3140">
        <v>-1.03658202</v>
      </c>
      <c r="AH3140">
        <v>25.290297710808598</v>
      </c>
      <c r="AI3140">
        <v>92.1625788323161</v>
      </c>
      <c r="AJ3140">
        <v>112.881614948593</v>
      </c>
      <c r="AK3140">
        <v>27.469925300952799</v>
      </c>
      <c r="AL3140">
        <v>78.325193464249196</v>
      </c>
      <c r="AM3140">
        <v>103.88439793305299</v>
      </c>
      <c r="AN3140">
        <v>0.99999998625930897</v>
      </c>
    </row>
    <row r="3141" spans="1:40" x14ac:dyDescent="0.25">
      <c r="A3141" t="str">
        <f>"20190304155117331"</f>
        <v>20190304155117331</v>
      </c>
      <c r="B3141" t="str">
        <f>"1551685877320192"</f>
        <v>1551685877320192</v>
      </c>
      <c r="C3141" t="s">
        <v>40</v>
      </c>
      <c r="D3141">
        <v>4.7014279999999999</v>
      </c>
      <c r="E3141">
        <v>0.43309340000000002</v>
      </c>
      <c r="F3141" t="s">
        <v>62</v>
      </c>
      <c r="G3141">
        <v>-473.1345</v>
      </c>
      <c r="H3141">
        <v>5.8939810000000002E-2</v>
      </c>
      <c r="I3141">
        <v>209.60740000000001</v>
      </c>
      <c r="J3141">
        <v>-490.93180000000001</v>
      </c>
      <c r="K3141">
        <v>1.1165750000000001</v>
      </c>
      <c r="L3141">
        <v>229.31319999999999</v>
      </c>
      <c r="M3141">
        <v>0.32935969999999998</v>
      </c>
      <c r="N3141">
        <v>-1.1930319999999999E-2</v>
      </c>
      <c r="O3141">
        <v>-0.94412929999999995</v>
      </c>
      <c r="P3141">
        <v>0.53308500000000003</v>
      </c>
      <c r="Q3141">
        <v>0.19382969999999999</v>
      </c>
      <c r="R3141">
        <v>-0.82355999999999996</v>
      </c>
      <c r="S3141">
        <v>2.0876160000000001</v>
      </c>
      <c r="T3141">
        <v>-0.1234418</v>
      </c>
      <c r="U3141">
        <v>-2.326889</v>
      </c>
      <c r="V3141">
        <v>-0.2351258</v>
      </c>
      <c r="W3141">
        <v>0.201679</v>
      </c>
      <c r="X3141">
        <v>0.95081090000000001</v>
      </c>
      <c r="Y3141">
        <v>-0.38495970000000002</v>
      </c>
      <c r="Z3141">
        <v>2.9387179999999999E-2</v>
      </c>
      <c r="AA3141">
        <v>0.92246539999999999</v>
      </c>
      <c r="AB3141">
        <v>25</v>
      </c>
      <c r="AC3141">
        <v>17.7973</v>
      </c>
      <c r="AD3141">
        <v>-1.0576351900000001</v>
      </c>
      <c r="AE3141">
        <v>-19.705799999999901</v>
      </c>
      <c r="AF3141">
        <v>-10.2970521355138</v>
      </c>
      <c r="AG3141">
        <v>-1.0576351900000001</v>
      </c>
      <c r="AH3141">
        <v>24.429516708453001</v>
      </c>
      <c r="AI3141">
        <v>92.284562066022005</v>
      </c>
      <c r="AJ3141">
        <v>112.855444684025</v>
      </c>
      <c r="AK3141">
        <v>26.5320402812373</v>
      </c>
      <c r="AL3141">
        <v>78.364839999325497</v>
      </c>
      <c r="AM3141">
        <v>103.88999968350601</v>
      </c>
      <c r="AN3141">
        <v>0.99999996421272397</v>
      </c>
    </row>
    <row r="3142" spans="1:40" x14ac:dyDescent="0.25">
      <c r="A3142" t="str">
        <f>"20190304155117353"</f>
        <v>20190304155117353</v>
      </c>
      <c r="B3142" t="str">
        <f>"1551685877349472"</f>
        <v>1551685877349472</v>
      </c>
      <c r="C3142" t="s">
        <v>40</v>
      </c>
      <c r="D3142">
        <v>4.6952930000000004</v>
      </c>
      <c r="E3142">
        <v>0.43382739999999997</v>
      </c>
      <c r="F3142" t="s">
        <v>62</v>
      </c>
      <c r="G3142">
        <v>-472.93720000000002</v>
      </c>
      <c r="H3142">
        <v>3.49685E-2</v>
      </c>
      <c r="I3142">
        <v>209.6163</v>
      </c>
      <c r="J3142">
        <v>-490.84469999999999</v>
      </c>
      <c r="K3142">
        <v>1.1165750000000001</v>
      </c>
      <c r="L3142">
        <v>229.0941</v>
      </c>
      <c r="M3142">
        <v>0.33790829999999999</v>
      </c>
      <c r="N3142">
        <v>-1.19416E-2</v>
      </c>
      <c r="O3142">
        <v>-0.94110340000000003</v>
      </c>
      <c r="P3142">
        <v>0.54054119999999894</v>
      </c>
      <c r="Q3142">
        <v>0.193444</v>
      </c>
      <c r="R3142">
        <v>-0.81877639999999996</v>
      </c>
      <c r="S3142">
        <v>2.1084290000000001</v>
      </c>
      <c r="T3142">
        <v>-0.1267326</v>
      </c>
      <c r="U3142">
        <v>-2.3078919999999998</v>
      </c>
      <c r="V3142">
        <v>-0.2350998</v>
      </c>
      <c r="W3142">
        <v>0.2013054</v>
      </c>
      <c r="X3142">
        <v>0.95089650000000003</v>
      </c>
      <c r="Y3142">
        <v>-0.38488119999999998</v>
      </c>
      <c r="Z3142">
        <v>3.0442790000000001E-2</v>
      </c>
      <c r="AA3142">
        <v>0.92246399999999995</v>
      </c>
      <c r="AB3142">
        <v>25</v>
      </c>
      <c r="AC3142">
        <v>17.907499999999899</v>
      </c>
      <c r="AD3142">
        <v>-1.0816064999999999</v>
      </c>
      <c r="AE3142">
        <v>-19.477799999999998</v>
      </c>
      <c r="AF3142">
        <v>-10.2546935094019</v>
      </c>
      <c r="AG3142">
        <v>-1.0816064999999999</v>
      </c>
      <c r="AH3142">
        <v>24.342773398752598</v>
      </c>
      <c r="AI3142">
        <v>92.344800371729093</v>
      </c>
      <c r="AJ3142">
        <v>112.843859091735</v>
      </c>
      <c r="AK3142">
        <v>26.436702296913499</v>
      </c>
      <c r="AL3142">
        <v>78.386693956206003</v>
      </c>
      <c r="AM3142">
        <v>103.88732135275001</v>
      </c>
      <c r="AN3142">
        <v>0.99999996687072401</v>
      </c>
    </row>
    <row r="3143" spans="1:40" x14ac:dyDescent="0.25">
      <c r="A3143" t="str">
        <f>"20190304155117375"</f>
        <v>20190304155117375</v>
      </c>
      <c r="B3143" t="str">
        <f>"1551685877369968"</f>
        <v>1551685877369968</v>
      </c>
      <c r="C3143" t="s">
        <v>40</v>
      </c>
      <c r="D3143">
        <v>4.7097989999999896</v>
      </c>
      <c r="E3143">
        <v>0.4342607</v>
      </c>
      <c r="F3143" t="s">
        <v>62</v>
      </c>
      <c r="G3143">
        <v>-472.85379999999998</v>
      </c>
      <c r="H3143" s="1">
        <v>4.4774849999999997E-6</v>
      </c>
      <c r="I3143">
        <v>209.68770000000001</v>
      </c>
      <c r="J3143">
        <v>-490.7552</v>
      </c>
      <c r="K3143">
        <v>1.1165799999999999</v>
      </c>
      <c r="L3143">
        <v>228.875</v>
      </c>
      <c r="M3143">
        <v>0.34645599999999999</v>
      </c>
      <c r="N3143">
        <v>-1.1956919999999999E-2</v>
      </c>
      <c r="O3143">
        <v>-0.9379902</v>
      </c>
      <c r="P3143">
        <v>0.54755919999999902</v>
      </c>
      <c r="Q3143">
        <v>0.19451969999999999</v>
      </c>
      <c r="R3143">
        <v>-0.81384380000000001</v>
      </c>
      <c r="S3143">
        <v>2.1250610000000001</v>
      </c>
      <c r="T3143">
        <v>-0.1318877</v>
      </c>
      <c r="U3143">
        <v>-2.2922669999999998</v>
      </c>
      <c r="V3143">
        <v>-0.2347265</v>
      </c>
      <c r="W3143">
        <v>0.2024011</v>
      </c>
      <c r="X3143">
        <v>0.95075620000000005</v>
      </c>
      <c r="Y3143">
        <v>-0.3831793</v>
      </c>
      <c r="Z3143">
        <v>3.2073619999999997E-2</v>
      </c>
      <c r="AA3143">
        <v>0.92311690000000002</v>
      </c>
      <c r="AB3143">
        <v>25</v>
      </c>
      <c r="AC3143">
        <v>17.901399999999999</v>
      </c>
      <c r="AD3143">
        <v>-1.11657552251499</v>
      </c>
      <c r="AE3143">
        <v>-19.1873</v>
      </c>
      <c r="AF3143">
        <v>-10.126172462545201</v>
      </c>
      <c r="AG3143">
        <v>-1.11657552251499</v>
      </c>
      <c r="AH3143">
        <v>24.157535224421402</v>
      </c>
      <c r="AI3143">
        <v>92.440877559471701</v>
      </c>
      <c r="AJ3143">
        <v>112.742087012913</v>
      </c>
      <c r="AK3143">
        <v>26.217792007677701</v>
      </c>
      <c r="AL3143">
        <v>78.3225964558317</v>
      </c>
      <c r="AM3143">
        <v>103.868089352787</v>
      </c>
      <c r="AN3143">
        <v>1.00000004346094</v>
      </c>
    </row>
    <row r="3144" spans="1:40" x14ac:dyDescent="0.25">
      <c r="A3144" t="str">
        <f>"20190304155117397"</f>
        <v>20190304155117397</v>
      </c>
      <c r="B3144" t="str">
        <f>"1551685877389488"</f>
        <v>1551685877389488</v>
      </c>
      <c r="C3144" t="s">
        <v>40</v>
      </c>
      <c r="D3144">
        <v>4.8718690000000002</v>
      </c>
      <c r="E3144">
        <v>0.43461290000000002</v>
      </c>
      <c r="F3144" t="s">
        <v>62</v>
      </c>
      <c r="G3144">
        <v>-472.62619999999998</v>
      </c>
      <c r="H3144">
        <v>1.128786E-2</v>
      </c>
      <c r="I3144">
        <v>209.6163</v>
      </c>
      <c r="J3144">
        <v>-490.66289999999998</v>
      </c>
      <c r="K3144">
        <v>1.1165849999999999</v>
      </c>
      <c r="L3144">
        <v>228.65450000000001</v>
      </c>
      <c r="M3144">
        <v>0.35505419999999999</v>
      </c>
      <c r="N3144">
        <v>-1.197455E-2</v>
      </c>
      <c r="O3144">
        <v>-0.93476910000000002</v>
      </c>
      <c r="P3144">
        <v>0.55421640000000005</v>
      </c>
      <c r="Q3144">
        <v>0.19570489999999999</v>
      </c>
      <c r="R3144">
        <v>-0.80903879999999995</v>
      </c>
      <c r="S3144">
        <v>2.142487</v>
      </c>
      <c r="T3144">
        <v>-0.13062309999999999</v>
      </c>
      <c r="U3144">
        <v>-2.2759860000000001</v>
      </c>
      <c r="V3144">
        <v>-0.23391139999999999</v>
      </c>
      <c r="W3144">
        <v>0.20361499999999999</v>
      </c>
      <c r="X3144">
        <v>0.95069780000000004</v>
      </c>
      <c r="Y3144">
        <v>-0.38175189999999998</v>
      </c>
      <c r="Z3144">
        <v>3.163258E-2</v>
      </c>
      <c r="AA3144">
        <v>0.92372330000000002</v>
      </c>
      <c r="AB3144">
        <v>25</v>
      </c>
      <c r="AC3144">
        <v>18.0367</v>
      </c>
      <c r="AD3144">
        <v>-1.10529714</v>
      </c>
      <c r="AE3144">
        <v>-19.0382</v>
      </c>
      <c r="AF3144">
        <v>-10.083369575607801</v>
      </c>
      <c r="AG3144">
        <v>-1.10529714</v>
      </c>
      <c r="AH3144">
        <v>24.1591472398588</v>
      </c>
      <c r="AI3144">
        <v>92.417637484515097</v>
      </c>
      <c r="AJ3144">
        <v>112.65432705037701</v>
      </c>
      <c r="AK3144">
        <v>26.202297974093099</v>
      </c>
      <c r="AL3144">
        <v>78.251565040611197</v>
      </c>
      <c r="AM3144">
        <v>103.822597920866</v>
      </c>
      <c r="AN3144">
        <v>0.99999995909989903</v>
      </c>
    </row>
    <row r="3145" spans="1:40" x14ac:dyDescent="0.25">
      <c r="A3145" t="str">
        <f>"20190304155117419"</f>
        <v>20190304155117419</v>
      </c>
      <c r="B3145" t="str">
        <f>"1551685877409987"</f>
        <v>1551685877409987</v>
      </c>
      <c r="C3145" t="s">
        <v>40</v>
      </c>
      <c r="D3145">
        <v>4.7655969999999996</v>
      </c>
      <c r="E3145">
        <v>0.4349729</v>
      </c>
      <c r="F3145" t="s">
        <v>62</v>
      </c>
      <c r="G3145">
        <v>-472.4735</v>
      </c>
      <c r="H3145">
        <v>3.2043240000000001E-2</v>
      </c>
      <c r="I3145">
        <v>209.6163</v>
      </c>
      <c r="J3145">
        <v>-490.56619999999998</v>
      </c>
      <c r="K3145">
        <v>1.1165889999999901</v>
      </c>
      <c r="L3145">
        <v>228.42920000000001</v>
      </c>
      <c r="M3145">
        <v>0.3638342</v>
      </c>
      <c r="N3145">
        <v>-1.199153E-2</v>
      </c>
      <c r="O3145">
        <v>-0.93138650000000001</v>
      </c>
      <c r="P3145">
        <v>0.56092839999999999</v>
      </c>
      <c r="Q3145">
        <v>0.19627059999999999</v>
      </c>
      <c r="R3145">
        <v>-0.80426189999999997</v>
      </c>
      <c r="S3145">
        <v>2.159332</v>
      </c>
      <c r="T3145">
        <v>-0.1287498</v>
      </c>
      <c r="U3145">
        <v>-2.2600859999999998</v>
      </c>
      <c r="V3145">
        <v>-0.23293240000000001</v>
      </c>
      <c r="W3145">
        <v>0.20421300000000001</v>
      </c>
      <c r="X3145">
        <v>0.95081000000000004</v>
      </c>
      <c r="Y3145">
        <v>-0.37991609999999998</v>
      </c>
      <c r="Z3145">
        <v>3.0989940000000001E-2</v>
      </c>
      <c r="AA3145">
        <v>0.92450169999999998</v>
      </c>
      <c r="AB3145">
        <v>25</v>
      </c>
      <c r="AC3145">
        <v>18.092699999999901</v>
      </c>
      <c r="AD3145">
        <v>-1.0845457599999999</v>
      </c>
      <c r="AE3145">
        <v>-18.812899999999999</v>
      </c>
      <c r="AF3145">
        <v>-9.9899918772851599</v>
      </c>
      <c r="AG3145">
        <v>-1.0845457599999999</v>
      </c>
      <c r="AH3145">
        <v>24.0650090681142</v>
      </c>
      <c r="AI3145">
        <v>92.383466890769597</v>
      </c>
      <c r="AJ3145">
        <v>112.54456962534501</v>
      </c>
      <c r="AK3145">
        <v>26.078743042220701</v>
      </c>
      <c r="AL3145">
        <v>78.216567944615406</v>
      </c>
      <c r="AM3145">
        <v>103.76538827656201</v>
      </c>
      <c r="AN3145">
        <v>1.0000000542193701</v>
      </c>
    </row>
    <row r="3146" spans="1:40" x14ac:dyDescent="0.25">
      <c r="A3146" t="str">
        <f>"20190304155117442"</f>
        <v>20190304155117442</v>
      </c>
      <c r="B3146" t="str">
        <f>"1551685877429504"</f>
        <v>1551685877429504</v>
      </c>
      <c r="C3146" t="s">
        <v>40</v>
      </c>
      <c r="D3146">
        <v>4.7296800000000001</v>
      </c>
      <c r="E3146">
        <v>0.43536150000000001</v>
      </c>
      <c r="F3146" t="s">
        <v>62</v>
      </c>
      <c r="G3146">
        <v>-472.32240000000002</v>
      </c>
      <c r="H3146">
        <v>3.7931020000000003E-2</v>
      </c>
      <c r="I3146">
        <v>209.6163</v>
      </c>
      <c r="J3146">
        <v>-490.471</v>
      </c>
      <c r="K3146">
        <v>1.11659</v>
      </c>
      <c r="L3146">
        <v>228.21299999999999</v>
      </c>
      <c r="M3146">
        <v>0.37226019999999999</v>
      </c>
      <c r="N3146">
        <v>-1.200619E-2</v>
      </c>
      <c r="O3146">
        <v>-0.92805079999999995</v>
      </c>
      <c r="P3146">
        <v>0.56748319999999997</v>
      </c>
      <c r="Q3146">
        <v>0.19643089999999999</v>
      </c>
      <c r="R3146">
        <v>-0.79961099999999996</v>
      </c>
      <c r="S3146">
        <v>2.1759949999999999</v>
      </c>
      <c r="T3146">
        <v>-0.12865460000000001</v>
      </c>
      <c r="U3146">
        <v>-2.2438660000000001</v>
      </c>
      <c r="V3146">
        <v>-0.23210239999999999</v>
      </c>
      <c r="W3146">
        <v>0.20440059999999999</v>
      </c>
      <c r="X3146">
        <v>0.95097259999999995</v>
      </c>
      <c r="Y3146">
        <v>-0.37841219999999998</v>
      </c>
      <c r="Z3146">
        <v>3.0923139999999998E-2</v>
      </c>
      <c r="AA3146">
        <v>0.92512050000000001</v>
      </c>
      <c r="AB3146">
        <v>25</v>
      </c>
      <c r="AC3146">
        <v>18.148599999999899</v>
      </c>
      <c r="AD3146">
        <v>-1.0786589799999999</v>
      </c>
      <c r="AE3146">
        <v>-18.596699999999998</v>
      </c>
      <c r="AF3146">
        <v>-9.9036603140899704</v>
      </c>
      <c r="AG3146">
        <v>-1.0786589799999999</v>
      </c>
      <c r="AH3146">
        <v>23.975100329986599</v>
      </c>
      <c r="AI3146">
        <v>92.381142025934807</v>
      </c>
      <c r="AJ3146">
        <v>112.444593727137</v>
      </c>
      <c r="AK3146">
        <v>25.962500431293901</v>
      </c>
      <c r="AL3146">
        <v>78.2055870915067</v>
      </c>
      <c r="AM3146">
        <v>103.71593784057799</v>
      </c>
      <c r="AN3146">
        <v>1.0000000076584299</v>
      </c>
    </row>
    <row r="3147" spans="1:40" x14ac:dyDescent="0.25">
      <c r="A3147" t="str">
        <f>"20190304155117465"</f>
        <v>20190304155117465</v>
      </c>
      <c r="B3147" t="str">
        <f>"1551685877459759"</f>
        <v>1551685877459759</v>
      </c>
      <c r="C3147" t="s">
        <v>40</v>
      </c>
      <c r="D3147">
        <v>4.8245779999999998</v>
      </c>
      <c r="E3147">
        <v>0.43585869999999999</v>
      </c>
      <c r="F3147" t="s">
        <v>62</v>
      </c>
      <c r="G3147">
        <v>-472.17720000000003</v>
      </c>
      <c r="H3147">
        <v>3.0318950000000001E-2</v>
      </c>
      <c r="I3147">
        <v>209.6163</v>
      </c>
      <c r="J3147">
        <v>-490.36590000000001</v>
      </c>
      <c r="K3147">
        <v>1.11659</v>
      </c>
      <c r="L3147">
        <v>227.9803</v>
      </c>
      <c r="M3147">
        <v>0.38133339999999999</v>
      </c>
      <c r="N3147">
        <v>-1.2020889999999999E-2</v>
      </c>
      <c r="O3147">
        <v>-0.92435940000000005</v>
      </c>
      <c r="P3147">
        <v>0.57510109999999903</v>
      </c>
      <c r="Q3147">
        <v>0.19614400000000001</v>
      </c>
      <c r="R3147">
        <v>-0.794220699999999</v>
      </c>
      <c r="S3147">
        <v>2.1919249999999999</v>
      </c>
      <c r="T3147">
        <v>-0.1301551</v>
      </c>
      <c r="U3147">
        <v>-2.2282259999999998</v>
      </c>
      <c r="V3147">
        <v>-0.23184679999999999</v>
      </c>
      <c r="W3147">
        <v>0.20413129999999999</v>
      </c>
      <c r="X3147">
        <v>0.95109279999999996</v>
      </c>
      <c r="Y3147">
        <v>-0.37594100000000003</v>
      </c>
      <c r="Z3147">
        <v>3.1349229999999999E-2</v>
      </c>
      <c r="AA3147">
        <v>0.92611319999999997</v>
      </c>
      <c r="AB3147">
        <v>25</v>
      </c>
      <c r="AC3147">
        <v>18.188699999999901</v>
      </c>
      <c r="AD3147">
        <v>-1.0862710499999999</v>
      </c>
      <c r="AE3147">
        <v>-18.364000000000001</v>
      </c>
      <c r="AF3147">
        <v>-9.7935003200043802</v>
      </c>
      <c r="AG3147">
        <v>-1.0862710499999999</v>
      </c>
      <c r="AH3147">
        <v>23.870461315452498</v>
      </c>
      <c r="AI3147">
        <v>92.410801114052902</v>
      </c>
      <c r="AJ3147">
        <v>112.307212875818</v>
      </c>
      <c r="AK3147">
        <v>25.8242435847501</v>
      </c>
      <c r="AL3147">
        <v>78.221349332302196</v>
      </c>
      <c r="AM3147">
        <v>103.699736566197</v>
      </c>
      <c r="AN3147">
        <v>1.0000000202608801</v>
      </c>
    </row>
    <row r="3148" spans="1:40" x14ac:dyDescent="0.25">
      <c r="A3148" t="str">
        <f>"20190304155117489"</f>
        <v>20190304155117489</v>
      </c>
      <c r="B3148" t="str">
        <f>"1551685877479281"</f>
        <v>1551685877479281</v>
      </c>
      <c r="C3148" t="s">
        <v>40</v>
      </c>
      <c r="D3148">
        <v>4.7829759999999997</v>
      </c>
      <c r="E3148">
        <v>0.43623529999999999</v>
      </c>
      <c r="F3148" t="s">
        <v>62</v>
      </c>
      <c r="G3148">
        <v>-472.00490000000002</v>
      </c>
      <c r="H3148">
        <v>9.1692809999999996E-3</v>
      </c>
      <c r="I3148">
        <v>209.6163</v>
      </c>
      <c r="J3148">
        <v>-490.26220000000001</v>
      </c>
      <c r="K3148">
        <v>1.1165940000000001</v>
      </c>
      <c r="L3148">
        <v>227.7561</v>
      </c>
      <c r="M3148">
        <v>0.39007039999999998</v>
      </c>
      <c r="N3148">
        <v>-1.2034039999999999E-2</v>
      </c>
      <c r="O3148">
        <v>-0.92070649999999998</v>
      </c>
      <c r="P3148">
        <v>0.58248059999999902</v>
      </c>
      <c r="Q3148">
        <v>0.19527510000000001</v>
      </c>
      <c r="R3148">
        <v>-0.78904039999999998</v>
      </c>
      <c r="S3148">
        <v>2.2097470000000001</v>
      </c>
      <c r="T3148">
        <v>-0.1332779</v>
      </c>
      <c r="U3148">
        <v>-2.2100979999999999</v>
      </c>
      <c r="V3148">
        <v>-0.2316107</v>
      </c>
      <c r="W3148">
        <v>0.20327980000000001</v>
      </c>
      <c r="X3148">
        <v>0.95133259999999997</v>
      </c>
      <c r="Y3148">
        <v>-0.37467260000000002</v>
      </c>
      <c r="Z3148">
        <v>3.2304779999999998E-2</v>
      </c>
      <c r="AA3148">
        <v>0.92659420000000003</v>
      </c>
      <c r="AB3148">
        <v>25</v>
      </c>
      <c r="AC3148">
        <v>18.257299999999901</v>
      </c>
      <c r="AD3148">
        <v>-1.1074247189999999</v>
      </c>
      <c r="AE3148">
        <v>-18.139800000000001</v>
      </c>
      <c r="AF3148">
        <v>-9.7165296735834907</v>
      </c>
      <c r="AG3148">
        <v>-1.1074247189999999</v>
      </c>
      <c r="AH3148">
        <v>23.780757232810998</v>
      </c>
      <c r="AI3148">
        <v>92.468410232300002</v>
      </c>
      <c r="AJ3148">
        <v>112.22433079938401</v>
      </c>
      <c r="AK3148">
        <v>25.713065802657098</v>
      </c>
      <c r="AL3148">
        <v>78.271180780794793</v>
      </c>
      <c r="AM3148">
        <v>103.68299025270601</v>
      </c>
      <c r="AN3148">
        <v>0.99999995463264402</v>
      </c>
    </row>
    <row r="3149" spans="1:40" x14ac:dyDescent="0.25">
      <c r="A3149" t="str">
        <f>"20190304155117511"</f>
        <v>20190304155117511</v>
      </c>
      <c r="B3149" t="str">
        <f>"1551685877499776"</f>
        <v>1551685877499776</v>
      </c>
      <c r="C3149" t="s">
        <v>40</v>
      </c>
      <c r="D3149">
        <v>4.8194850000000002</v>
      </c>
      <c r="E3149">
        <v>0.43661139999999998</v>
      </c>
      <c r="F3149" t="s">
        <v>62</v>
      </c>
      <c r="G3149">
        <v>-472.08980000000003</v>
      </c>
      <c r="H3149" s="1">
        <v>4.8250509999999999E-6</v>
      </c>
      <c r="I3149">
        <v>209.88900000000001</v>
      </c>
      <c r="J3149">
        <v>-490.15550000000002</v>
      </c>
      <c r="K3149">
        <v>1.1165989999999999</v>
      </c>
      <c r="L3149">
        <v>227.5316</v>
      </c>
      <c r="M3149">
        <v>0.39883229999999997</v>
      </c>
      <c r="N3149">
        <v>-1.2045999999999999E-2</v>
      </c>
      <c r="O3149">
        <v>-0.9169448</v>
      </c>
      <c r="P3149">
        <v>0.58965500000000004</v>
      </c>
      <c r="Q3149">
        <v>0.1950741</v>
      </c>
      <c r="R3149">
        <v>-0.78374330000000003</v>
      </c>
      <c r="S3149">
        <v>2.2283940000000002</v>
      </c>
      <c r="T3149">
        <v>-0.1369224</v>
      </c>
      <c r="U3149">
        <v>-2.1909640000000001</v>
      </c>
      <c r="V3149">
        <v>-0.2311955</v>
      </c>
      <c r="W3149">
        <v>0.20309679999999999</v>
      </c>
      <c r="X3149">
        <v>0.95147269999999995</v>
      </c>
      <c r="Y3149">
        <v>-0.37372280000000002</v>
      </c>
      <c r="Z3149">
        <v>3.3421649999999997E-2</v>
      </c>
      <c r="AA3149">
        <v>0.92693809999999999</v>
      </c>
      <c r="AB3149">
        <v>25</v>
      </c>
      <c r="AC3149">
        <v>18.0657</v>
      </c>
      <c r="AD3149">
        <v>-1.11659417494899</v>
      </c>
      <c r="AE3149">
        <v>-17.642599999999899</v>
      </c>
      <c r="AF3149">
        <v>-9.5109049805663108</v>
      </c>
      <c r="AG3149">
        <v>-1.11659417494899</v>
      </c>
      <c r="AH3149">
        <v>23.338536098328099</v>
      </c>
      <c r="AI3149">
        <v>92.5368673635178</v>
      </c>
      <c r="AJ3149">
        <v>112.17184624750099</v>
      </c>
      <c r="AK3149">
        <v>25.2267985149495</v>
      </c>
      <c r="AL3149">
        <v>78.281889642328807</v>
      </c>
      <c r="AM3149">
        <v>103.657444981182</v>
      </c>
      <c r="AN3149">
        <v>0.99999998411788904</v>
      </c>
    </row>
    <row r="3150" spans="1:40" x14ac:dyDescent="0.25">
      <c r="A3150" t="str">
        <f>"20190304155117531"</f>
        <v>20190304155117531</v>
      </c>
      <c r="B3150" t="str">
        <f>"1551685877530033"</f>
        <v>1551685877530033</v>
      </c>
      <c r="C3150" t="s">
        <v>40</v>
      </c>
      <c r="D3150">
        <v>4.8199769999999997</v>
      </c>
      <c r="E3150">
        <v>0.437143</v>
      </c>
      <c r="F3150" t="s">
        <v>62</v>
      </c>
      <c r="G3150">
        <v>-472.06119999999999</v>
      </c>
      <c r="H3150" s="1">
        <v>4.8443689999999999E-6</v>
      </c>
      <c r="I3150">
        <v>210.041</v>
      </c>
      <c r="J3150">
        <v>-490.0557</v>
      </c>
      <c r="K3150">
        <v>1.1165969999999901</v>
      </c>
      <c r="L3150">
        <v>227.32650000000001</v>
      </c>
      <c r="M3150">
        <v>0.40683659999999999</v>
      </c>
      <c r="N3150">
        <v>-1.205583E-2</v>
      </c>
      <c r="O3150">
        <v>-0.91342140000000005</v>
      </c>
      <c r="P3150">
        <v>0.59628230000000004</v>
      </c>
      <c r="Q3150">
        <v>0.193826</v>
      </c>
      <c r="R3150">
        <v>-0.77902459999999996</v>
      </c>
      <c r="S3150">
        <v>2.246826</v>
      </c>
      <c r="T3150">
        <v>-0.13865169999999999</v>
      </c>
      <c r="U3150">
        <v>-2.171875</v>
      </c>
      <c r="V3150">
        <v>-0.2308008</v>
      </c>
      <c r="W3150">
        <v>0.20186680000000001</v>
      </c>
      <c r="X3150">
        <v>0.95183019999999996</v>
      </c>
      <c r="Y3150">
        <v>-0.3734673</v>
      </c>
      <c r="Z3150">
        <v>3.3934859999999997E-2</v>
      </c>
      <c r="AA3150">
        <v>0.92702249999999997</v>
      </c>
      <c r="AB3150">
        <v>25</v>
      </c>
      <c r="AC3150">
        <v>17.994499999999999</v>
      </c>
      <c r="AD3150">
        <v>-1.1165921556309999</v>
      </c>
      <c r="AE3150">
        <v>-17.285499999999999</v>
      </c>
      <c r="AF3150">
        <v>-9.38607452371763</v>
      </c>
      <c r="AG3150">
        <v>-1.1165921556309999</v>
      </c>
      <c r="AH3150">
        <v>23.065256551007302</v>
      </c>
      <c r="AI3150">
        <v>92.5674025564592</v>
      </c>
      <c r="AJ3150">
        <v>112.143158680612</v>
      </c>
      <c r="AK3150">
        <v>24.926917835355901</v>
      </c>
      <c r="AL3150">
        <v>78.353853984051099</v>
      </c>
      <c r="AM3150">
        <v>103.630069764811</v>
      </c>
      <c r="AN3150">
        <v>0.99999997192745904</v>
      </c>
    </row>
    <row r="3151" spans="1:40" x14ac:dyDescent="0.25">
      <c r="A3151" t="str">
        <f>"20190304155117553"</f>
        <v>20190304155117553</v>
      </c>
      <c r="B3151" t="str">
        <f>"1551685877549553"</f>
        <v>1551685877549553</v>
      </c>
      <c r="C3151" t="s">
        <v>40</v>
      </c>
      <c r="D3151">
        <v>4.8314830000000004</v>
      </c>
      <c r="E3151">
        <v>0.43747789999999998</v>
      </c>
      <c r="F3151" t="s">
        <v>62</v>
      </c>
      <c r="G3151">
        <v>-472.65839999999997</v>
      </c>
      <c r="H3151" s="1">
        <v>4.6098009999999997E-6</v>
      </c>
      <c r="I3151">
        <v>210.73259999999999</v>
      </c>
      <c r="J3151">
        <v>-489.9511</v>
      </c>
      <c r="K3151">
        <v>1.116595</v>
      </c>
      <c r="L3151">
        <v>227.1163</v>
      </c>
      <c r="M3151">
        <v>0.41504990000000003</v>
      </c>
      <c r="N3151">
        <v>-1.206511E-2</v>
      </c>
      <c r="O3151">
        <v>-0.90971860000000004</v>
      </c>
      <c r="P3151">
        <v>0.60264589999999996</v>
      </c>
      <c r="Q3151">
        <v>0.193185</v>
      </c>
      <c r="R3151">
        <v>-0.77427230000000002</v>
      </c>
      <c r="S3151">
        <v>2.2609249999999999</v>
      </c>
      <c r="T3151">
        <v>-0.14511060000000001</v>
      </c>
      <c r="U3151">
        <v>-2.1565249999999998</v>
      </c>
      <c r="V3151">
        <v>-0.2299477</v>
      </c>
      <c r="W3151">
        <v>0.20124980000000001</v>
      </c>
      <c r="X3151">
        <v>0.95216730000000005</v>
      </c>
      <c r="Y3151">
        <v>-0.37123319999999999</v>
      </c>
      <c r="Z3151">
        <v>3.5915870000000003E-2</v>
      </c>
      <c r="AA3151">
        <v>0.92784480000000003</v>
      </c>
      <c r="AB3151">
        <v>25</v>
      </c>
      <c r="AC3151">
        <v>17.2927</v>
      </c>
      <c r="AD3151">
        <v>-1.116590390199</v>
      </c>
      <c r="AE3151">
        <v>-16.383700000000001</v>
      </c>
      <c r="AF3151">
        <v>-8.9125066048028501</v>
      </c>
      <c r="AG3151">
        <v>-1.116590390199</v>
      </c>
      <c r="AH3151">
        <v>22.035084993268001</v>
      </c>
      <c r="AI3151">
        <v>92.689562809262398</v>
      </c>
      <c r="AJ3151">
        <v>112.02180080144799</v>
      </c>
      <c r="AK3151">
        <v>23.795472652180798</v>
      </c>
      <c r="AL3151">
        <v>78.389946514715504</v>
      </c>
      <c r="AM3151">
        <v>103.576928530891</v>
      </c>
      <c r="AN3151">
        <v>0.99999999696231001</v>
      </c>
    </row>
    <row r="3152" spans="1:40" x14ac:dyDescent="0.25">
      <c r="A3152" t="str">
        <f>"20190304155117576"</f>
        <v>20190304155117576</v>
      </c>
      <c r="B3152" t="str">
        <f>"1551685877570048"</f>
        <v>1551685877570048</v>
      </c>
      <c r="C3152" t="s">
        <v>40</v>
      </c>
      <c r="D3152">
        <v>4.9426199999999998</v>
      </c>
      <c r="E3152">
        <v>0.4376604</v>
      </c>
      <c r="F3152" t="s">
        <v>62</v>
      </c>
      <c r="G3152">
        <v>-472.89109999999999</v>
      </c>
      <c r="H3152" s="1">
        <v>4.5214469999999998E-6</v>
      </c>
      <c r="I3152">
        <v>211.07239999999999</v>
      </c>
      <c r="J3152">
        <v>-489.84</v>
      </c>
      <c r="K3152">
        <v>1.1165989999999999</v>
      </c>
      <c r="L3152">
        <v>226.89789999999999</v>
      </c>
      <c r="M3152">
        <v>0.42359010000000002</v>
      </c>
      <c r="N3152">
        <v>-1.207416E-2</v>
      </c>
      <c r="O3152">
        <v>-0.90577339999999995</v>
      </c>
      <c r="P3152">
        <v>0.60939659999999995</v>
      </c>
      <c r="Q3152">
        <v>0.19144539999999999</v>
      </c>
      <c r="R3152">
        <v>-0.76940509999999995</v>
      </c>
      <c r="S3152">
        <v>2.2758479999999999</v>
      </c>
      <c r="T3152">
        <v>-0.14895610000000001</v>
      </c>
      <c r="U3152">
        <v>-2.1402890000000001</v>
      </c>
      <c r="V3152">
        <v>-0.2291126</v>
      </c>
      <c r="W3152">
        <v>0.19953389999999999</v>
      </c>
      <c r="X3152">
        <v>0.95272959999999995</v>
      </c>
      <c r="Y3152">
        <v>-0.36901020000000001</v>
      </c>
      <c r="Z3152">
        <v>3.705497E-2</v>
      </c>
      <c r="AA3152">
        <v>0.92868640000000002</v>
      </c>
      <c r="AB3152">
        <v>25</v>
      </c>
      <c r="AC3152">
        <v>16.948899999999899</v>
      </c>
      <c r="AD3152">
        <v>-1.116594478553</v>
      </c>
      <c r="AE3152">
        <v>-15.8255</v>
      </c>
      <c r="AF3152">
        <v>-8.6289611106081097</v>
      </c>
      <c r="AG3152">
        <v>-1.116594478553</v>
      </c>
      <c r="AH3152">
        <v>21.465501883379201</v>
      </c>
      <c r="AI3152">
        <v>92.763200026080597</v>
      </c>
      <c r="AJ3152">
        <v>111.899735011413</v>
      </c>
      <c r="AK3152">
        <v>23.161898112703899</v>
      </c>
      <c r="AL3152">
        <v>78.490296196023095</v>
      </c>
      <c r="AM3152">
        <v>103.521745145162</v>
      </c>
      <c r="AN3152">
        <v>1.00000002572206</v>
      </c>
    </row>
    <row r="3153" spans="1:40" x14ac:dyDescent="0.25">
      <c r="A3153" t="str">
        <f>"20190304155117598"</f>
        <v>20190304155117598</v>
      </c>
      <c r="B3153" t="str">
        <f>"1551685877589568"</f>
        <v>1551685877589568</v>
      </c>
      <c r="C3153" t="s">
        <v>40</v>
      </c>
      <c r="D3153">
        <v>4.795439</v>
      </c>
      <c r="E3153">
        <v>0.44960159999999899</v>
      </c>
      <c r="F3153" t="s">
        <v>62</v>
      </c>
      <c r="G3153">
        <v>-473.38099999999997</v>
      </c>
      <c r="H3153" s="1">
        <v>4.3301219999999996E-6</v>
      </c>
      <c r="I3153">
        <v>211.6653</v>
      </c>
      <c r="J3153">
        <v>-489.72710000000001</v>
      </c>
      <c r="K3153">
        <v>1.1166049999999901</v>
      </c>
      <c r="L3153">
        <v>226.68109999999999</v>
      </c>
      <c r="M3153">
        <v>0.43209520000000001</v>
      </c>
      <c r="N3153">
        <v>-1.208322E-2</v>
      </c>
      <c r="O3153">
        <v>-0.90174719999999997</v>
      </c>
      <c r="P3153">
        <v>0.61604910000000002</v>
      </c>
      <c r="Q3153">
        <v>0.18996689999999999</v>
      </c>
      <c r="R3153">
        <v>-0.76445819999999998</v>
      </c>
      <c r="S3153">
        <v>2.2927550000000001</v>
      </c>
      <c r="T3153">
        <v>-0.15554270000000001</v>
      </c>
      <c r="U3153">
        <v>-2.121918</v>
      </c>
      <c r="V3153">
        <v>-0.22823640000000001</v>
      </c>
      <c r="W3153">
        <v>0.198075</v>
      </c>
      <c r="X3153">
        <v>0.95324410000000004</v>
      </c>
      <c r="Y3153">
        <v>-0.36762119999999998</v>
      </c>
      <c r="Z3153">
        <v>3.9053659999999997E-2</v>
      </c>
      <c r="AA3153">
        <v>0.92915519999999996</v>
      </c>
      <c r="AB3153">
        <v>25</v>
      </c>
      <c r="AC3153">
        <v>16.3461</v>
      </c>
      <c r="AD3153">
        <v>-1.11660066987799</v>
      </c>
      <c r="AE3153">
        <v>-15.015799999999899</v>
      </c>
      <c r="AF3153">
        <v>-8.2315645116586396</v>
      </c>
      <c r="AG3153">
        <v>-1.11660066987799</v>
      </c>
      <c r="AH3153">
        <v>20.5530148734825</v>
      </c>
      <c r="AI3153">
        <v>92.887172066143194</v>
      </c>
      <c r="AJ3153">
        <v>111.82629880974299</v>
      </c>
      <c r="AK3153">
        <v>22.168262713960299</v>
      </c>
      <c r="AL3153">
        <v>78.5755864730084</v>
      </c>
      <c r="AM3153">
        <v>103.464915612336</v>
      </c>
      <c r="AN3153">
        <v>0.99999993704738299</v>
      </c>
    </row>
    <row r="3154" spans="1:40" x14ac:dyDescent="0.25">
      <c r="A3154" t="str">
        <f>"20190304155117620"</f>
        <v>20190304155117620</v>
      </c>
      <c r="B3154" t="str">
        <f>"1551685877610068"</f>
        <v>1551685877610068</v>
      </c>
      <c r="C3154" t="s">
        <v>40</v>
      </c>
      <c r="D3154">
        <v>4.8833690000000001</v>
      </c>
      <c r="E3154">
        <v>0.4495924</v>
      </c>
      <c r="F3154" t="s">
        <v>62</v>
      </c>
      <c r="G3154">
        <v>-478.63029999999998</v>
      </c>
      <c r="H3154" s="1">
        <v>2.188909E-6</v>
      </c>
      <c r="I3154">
        <v>215.93559999999999</v>
      </c>
      <c r="J3154">
        <v>-489.61020000000002</v>
      </c>
      <c r="K3154">
        <v>1.116625</v>
      </c>
      <c r="L3154">
        <v>226.46180000000001</v>
      </c>
      <c r="M3154">
        <v>0.44073269999999998</v>
      </c>
      <c r="N3154">
        <v>-1.209297E-2</v>
      </c>
      <c r="O3154">
        <v>-0.89755699999999905</v>
      </c>
      <c r="P3154">
        <v>0.62307860000000004</v>
      </c>
      <c r="Q3154">
        <v>0.18873229999999999</v>
      </c>
      <c r="R3154">
        <v>-0.75904759999999905</v>
      </c>
      <c r="S3154">
        <v>2.2435299999999998</v>
      </c>
      <c r="T3154">
        <v>-0.2257546</v>
      </c>
      <c r="U3154">
        <v>-2.1725310000000002</v>
      </c>
      <c r="V3154">
        <v>-0.22773969999999999</v>
      </c>
      <c r="W3154">
        <v>0.19684789999999999</v>
      </c>
      <c r="X3154">
        <v>0.9536171</v>
      </c>
      <c r="Y3154">
        <v>-0.33664280000000002</v>
      </c>
      <c r="Z3154">
        <v>6.0341999999999903E-2</v>
      </c>
      <c r="AA3154">
        <v>0.939697</v>
      </c>
      <c r="AB3154">
        <v>25</v>
      </c>
      <c r="AC3154">
        <v>10.979900000000001</v>
      </c>
      <c r="AD3154">
        <v>-1.1166228110909999</v>
      </c>
      <c r="AE3154">
        <v>-10.526199999999999</v>
      </c>
      <c r="AF3154">
        <v>-5.18826592679142</v>
      </c>
      <c r="AG3154">
        <v>-1.1166228110909999</v>
      </c>
      <c r="AH3154">
        <v>14.211520286355301</v>
      </c>
      <c r="AI3154">
        <v>94.221174678072799</v>
      </c>
      <c r="AJ3154">
        <v>110.05585682490199</v>
      </c>
      <c r="AK3154">
        <v>15.1701107009422</v>
      </c>
      <c r="AL3154">
        <v>78.647307204238402</v>
      </c>
      <c r="AM3154">
        <v>103.431611108127</v>
      </c>
      <c r="AN3154">
        <v>1.0000000200514501</v>
      </c>
    </row>
    <row r="3155" spans="1:40" x14ac:dyDescent="0.25">
      <c r="A3155" t="str">
        <f>"20190304155117644"</f>
        <v>20190304155117644</v>
      </c>
      <c r="B3155" t="str">
        <f>"1551685877639345"</f>
        <v>1551685877639345</v>
      </c>
      <c r="C3155" t="s">
        <v>40</v>
      </c>
      <c r="D3155">
        <v>4.8549340000000001</v>
      </c>
      <c r="E3155">
        <v>0.44963740000000002</v>
      </c>
      <c r="F3155" t="s">
        <v>62</v>
      </c>
      <c r="G3155">
        <v>-478.53579999999999</v>
      </c>
      <c r="H3155" s="1">
        <v>2.230811E-6</v>
      </c>
      <c r="I3155">
        <v>215.93530000000001</v>
      </c>
      <c r="J3155">
        <v>-489.49520000000001</v>
      </c>
      <c r="K3155">
        <v>1.1166670000000001</v>
      </c>
      <c r="L3155">
        <v>226.2509</v>
      </c>
      <c r="M3155">
        <v>0.44908670000000001</v>
      </c>
      <c r="N3155">
        <v>-1.2103340000000001E-2</v>
      </c>
      <c r="O3155">
        <v>-0.89340629999999999</v>
      </c>
      <c r="P3155">
        <v>0.62996269999999999</v>
      </c>
      <c r="Q3155">
        <v>0.1877924</v>
      </c>
      <c r="R3155">
        <v>-0.75357909999999995</v>
      </c>
      <c r="S3155">
        <v>2.2632140000000001</v>
      </c>
      <c r="T3155">
        <v>-0.2281994</v>
      </c>
      <c r="U3155">
        <v>-2.1512449999999999</v>
      </c>
      <c r="V3155">
        <v>-0.2274225</v>
      </c>
      <c r="W3155">
        <v>0.19590540000000001</v>
      </c>
      <c r="X3155">
        <v>0.95388689999999998</v>
      </c>
      <c r="Y3155">
        <v>-0.33654859999999998</v>
      </c>
      <c r="Z3155">
        <v>6.0972760000000001E-2</v>
      </c>
      <c r="AA3155">
        <v>0.93969009999999997</v>
      </c>
      <c r="AB3155">
        <v>25</v>
      </c>
      <c r="AC3155">
        <v>10.9594</v>
      </c>
      <c r="AD3155">
        <v>-1.1166647691889999</v>
      </c>
      <c r="AE3155">
        <v>-10.3155999999999</v>
      </c>
      <c r="AF3155">
        <v>-5.1307321960268304</v>
      </c>
      <c r="AG3155">
        <v>-1.1166647691889999</v>
      </c>
      <c r="AH3155">
        <v>14.061372645601001</v>
      </c>
      <c r="AI3155">
        <v>94.266507338607099</v>
      </c>
      <c r="AJ3155">
        <v>110.046081406732</v>
      </c>
      <c r="AK3155">
        <v>15.0097819355429</v>
      </c>
      <c r="AL3155">
        <v>78.702381397918998</v>
      </c>
      <c r="AM3155">
        <v>103.409922988433</v>
      </c>
      <c r="AN3155">
        <v>1.0000000686235</v>
      </c>
    </row>
    <row r="3156" spans="1:40" x14ac:dyDescent="0.25">
      <c r="A3156" t="str">
        <f>"20190304155117667"</f>
        <v>20190304155117667</v>
      </c>
      <c r="B3156" t="str">
        <f>"1551685877659840"</f>
        <v>1551685877659840</v>
      </c>
      <c r="C3156" t="s">
        <v>40</v>
      </c>
      <c r="D3156">
        <v>4.8651869999999997</v>
      </c>
      <c r="E3156">
        <v>0.45009320000000003</v>
      </c>
      <c r="F3156" t="s">
        <v>62</v>
      </c>
      <c r="G3156">
        <v>-478.32310000000001</v>
      </c>
      <c r="H3156" s="1">
        <v>2.3203929999999999E-6</v>
      </c>
      <c r="I3156">
        <v>215.82650000000001</v>
      </c>
      <c r="J3156">
        <v>-489.36939999999998</v>
      </c>
      <c r="K3156">
        <v>1.1167309999999999</v>
      </c>
      <c r="L3156">
        <v>226.02539999999999</v>
      </c>
      <c r="M3156">
        <v>0.45809080000000002</v>
      </c>
      <c r="N3156">
        <v>-1.211608E-2</v>
      </c>
      <c r="O3156">
        <v>-0.88882309999999998</v>
      </c>
      <c r="P3156">
        <v>0.63719930000000002</v>
      </c>
      <c r="Q3156">
        <v>0.18788079999999999</v>
      </c>
      <c r="R3156">
        <v>-0.74744769999999905</v>
      </c>
      <c r="S3156">
        <v>2.2825009999999999</v>
      </c>
      <c r="T3156">
        <v>-0.22813900000000001</v>
      </c>
      <c r="U3156">
        <v>-2.1297450000000002</v>
      </c>
      <c r="V3156">
        <v>-0.22701859999999999</v>
      </c>
      <c r="W3156">
        <v>0.1959825</v>
      </c>
      <c r="X3156">
        <v>0.95396720000000002</v>
      </c>
      <c r="Y3156">
        <v>-0.33573199999999997</v>
      </c>
      <c r="Z3156">
        <v>6.0796839999999998E-2</v>
      </c>
      <c r="AA3156">
        <v>0.93999350000000004</v>
      </c>
      <c r="AB3156">
        <v>25</v>
      </c>
      <c r="AC3156">
        <v>11.046299999999899</v>
      </c>
      <c r="AD3156">
        <v>-1.116728679607</v>
      </c>
      <c r="AE3156">
        <v>-10.198899999999901</v>
      </c>
      <c r="AF3156">
        <v>-5.1183224195327801</v>
      </c>
      <c r="AG3156">
        <v>-1.116728679607</v>
      </c>
      <c r="AH3156">
        <v>14.0487510044033</v>
      </c>
      <c r="AI3156">
        <v>94.271330500499104</v>
      </c>
      <c r="AJ3156">
        <v>110.017987134878</v>
      </c>
      <c r="AK3156">
        <v>14.9937224236636</v>
      </c>
      <c r="AL3156">
        <v>78.697875803475199</v>
      </c>
      <c r="AM3156">
        <v>103.385878875101</v>
      </c>
      <c r="AN3156">
        <v>1.00000000186402</v>
      </c>
    </row>
    <row r="3157" spans="1:40" x14ac:dyDescent="0.25">
      <c r="A3157" t="str">
        <f>"20190304155117691"</f>
        <v>20190304155117691</v>
      </c>
      <c r="B3157" t="str">
        <f>"1551685877679361"</f>
        <v>1551685877679361</v>
      </c>
      <c r="C3157" t="s">
        <v>40</v>
      </c>
      <c r="D3157">
        <v>4.900728</v>
      </c>
      <c r="E3157">
        <v>0.4505612</v>
      </c>
      <c r="F3157" t="s">
        <v>62</v>
      </c>
      <c r="G3157">
        <v>-477.93669999999997</v>
      </c>
      <c r="H3157" s="1">
        <v>2.4795129999999999E-6</v>
      </c>
      <c r="I3157">
        <v>215.54650000000001</v>
      </c>
      <c r="J3157">
        <v>-489.24509999999998</v>
      </c>
      <c r="K3157">
        <v>1.1168070000000001</v>
      </c>
      <c r="L3157">
        <v>225.8083</v>
      </c>
      <c r="M3157">
        <v>0.46686919999999998</v>
      </c>
      <c r="N3157">
        <v>-1.2130699999999999E-2</v>
      </c>
      <c r="O3157">
        <v>-0.88424329999999995</v>
      </c>
      <c r="P3157">
        <v>0.64366789999999996</v>
      </c>
      <c r="Q3157">
        <v>0.1886265</v>
      </c>
      <c r="R3157">
        <v>-0.74169529999999995</v>
      </c>
      <c r="S3157">
        <v>2.300751</v>
      </c>
      <c r="T3157">
        <v>-0.2247325</v>
      </c>
      <c r="U3157">
        <v>-2.1087950000000002</v>
      </c>
      <c r="V3157">
        <v>-0.22599040000000001</v>
      </c>
      <c r="W3157">
        <v>0.19672120000000001</v>
      </c>
      <c r="X3157">
        <v>0.95405930000000005</v>
      </c>
      <c r="Y3157">
        <v>-0.33482820000000002</v>
      </c>
      <c r="Z3157">
        <v>5.958857E-2</v>
      </c>
      <c r="AA3157">
        <v>0.94039309999999998</v>
      </c>
      <c r="AB3157">
        <v>25</v>
      </c>
      <c r="AC3157">
        <v>11.308400000000001</v>
      </c>
      <c r="AD3157">
        <v>-1.1168045204870001</v>
      </c>
      <c r="AE3157">
        <v>-10.2617999999999</v>
      </c>
      <c r="AF3157">
        <v>-5.1811285585051596</v>
      </c>
      <c r="AG3157">
        <v>-1.1168045204870001</v>
      </c>
      <c r="AH3157">
        <v>14.278155484410799</v>
      </c>
      <c r="AI3157">
        <v>94.205193309477707</v>
      </c>
      <c r="AJ3157">
        <v>109.94436631177599</v>
      </c>
      <c r="AK3157">
        <v>15.2301368842749</v>
      </c>
      <c r="AL3157">
        <v>78.654711350119598</v>
      </c>
      <c r="AM3157">
        <v>103.32617958580001</v>
      </c>
      <c r="AN3157">
        <v>1.00000001966904</v>
      </c>
    </row>
    <row r="3158" spans="1:40" x14ac:dyDescent="0.25">
      <c r="A3158" t="str">
        <f>"20190304155117710"</f>
        <v>20190304155117710</v>
      </c>
      <c r="B3158" t="str">
        <f>"1551685877699860"</f>
        <v>1551685877699860</v>
      </c>
      <c r="C3158" t="s">
        <v>40</v>
      </c>
      <c r="D3158">
        <v>4.8600539999999999</v>
      </c>
      <c r="E3158">
        <v>0.45104359999999999</v>
      </c>
      <c r="F3158" t="s">
        <v>62</v>
      </c>
      <c r="G3158">
        <v>-477.48129999999998</v>
      </c>
      <c r="H3158" s="1">
        <v>2.6659670000000001E-6</v>
      </c>
      <c r="I3158">
        <v>215.19220000000001</v>
      </c>
      <c r="J3158">
        <v>-489.13119999999998</v>
      </c>
      <c r="K3158">
        <v>1.1168819999999999</v>
      </c>
      <c r="L3158">
        <v>225.6138</v>
      </c>
      <c r="M3158">
        <v>0.47482790000000002</v>
      </c>
      <c r="N3158">
        <v>-1.21455E-2</v>
      </c>
      <c r="O3158">
        <v>-0.87999490000000002</v>
      </c>
      <c r="P3158">
        <v>0.64961679999999999</v>
      </c>
      <c r="Q3158">
        <v>0.18868299999999999</v>
      </c>
      <c r="R3158">
        <v>-0.73647600000000002</v>
      </c>
      <c r="S3158">
        <v>2.3164370000000001</v>
      </c>
      <c r="T3158">
        <v>-0.21991160000000001</v>
      </c>
      <c r="U3158">
        <v>-2.0904389999999999</v>
      </c>
      <c r="V3158">
        <v>-0.22510289999999999</v>
      </c>
      <c r="W3158">
        <v>0.19676750000000001</v>
      </c>
      <c r="X3158">
        <v>0.95425950000000004</v>
      </c>
      <c r="Y3158">
        <v>-0.33368039999999999</v>
      </c>
      <c r="Z3158">
        <v>5.79531E-2</v>
      </c>
      <c r="AA3158">
        <v>0.94090320000000005</v>
      </c>
      <c r="AB3158">
        <v>25</v>
      </c>
      <c r="AC3158">
        <v>11.649900000000001</v>
      </c>
      <c r="AD3158">
        <v>-1.1168793340330001</v>
      </c>
      <c r="AE3158">
        <v>-10.4215999999999</v>
      </c>
      <c r="AF3158">
        <v>-5.2768364169366304</v>
      </c>
      <c r="AG3158">
        <v>-1.1168793340330001</v>
      </c>
      <c r="AH3158">
        <v>14.6290482213902</v>
      </c>
      <c r="AI3158">
        <v>94.107780284160199</v>
      </c>
      <c r="AJ3158">
        <v>109.834854729173</v>
      </c>
      <c r="AK3158">
        <v>15.591711704673701</v>
      </c>
      <c r="AL3158">
        <v>78.652005204908207</v>
      </c>
      <c r="AM3158">
        <v>103.27301551714901</v>
      </c>
      <c r="AN3158">
        <v>0.99999997899245396</v>
      </c>
    </row>
    <row r="3159" spans="1:40" x14ac:dyDescent="0.25">
      <c r="A3159" t="str">
        <f>"20190304155117733"</f>
        <v>20190304155117733</v>
      </c>
      <c r="B3159" t="str">
        <f>"1551685877729137"</f>
        <v>1551685877729137</v>
      </c>
      <c r="C3159" t="s">
        <v>40</v>
      </c>
      <c r="D3159">
        <v>4.8908670000000001</v>
      </c>
      <c r="E3159">
        <v>0.45166820000000002</v>
      </c>
      <c r="F3159" t="s">
        <v>62</v>
      </c>
      <c r="G3159">
        <v>-477.21449999999999</v>
      </c>
      <c r="H3159" s="1">
        <v>2.7763940000000001E-6</v>
      </c>
      <c r="I3159">
        <v>215.0121</v>
      </c>
      <c r="J3159">
        <v>-489.00889999999998</v>
      </c>
      <c r="K3159">
        <v>1.116957</v>
      </c>
      <c r="L3159">
        <v>225.40950000000001</v>
      </c>
      <c r="M3159">
        <v>0.48327959999999898</v>
      </c>
      <c r="N3159">
        <v>-1.2162940000000001E-2</v>
      </c>
      <c r="O3159">
        <v>-0.87538169999999904</v>
      </c>
      <c r="P3159">
        <v>0.65628330000000001</v>
      </c>
      <c r="Q3159">
        <v>0.1883186</v>
      </c>
      <c r="R3159">
        <v>-0.73063559999999905</v>
      </c>
      <c r="S3159">
        <v>2.3307500000000001</v>
      </c>
      <c r="T3159">
        <v>-0.21844710000000001</v>
      </c>
      <c r="U3159">
        <v>-2.073547</v>
      </c>
      <c r="V3159">
        <v>-0.22457199999999999</v>
      </c>
      <c r="W3159">
        <v>0.19638829999999999</v>
      </c>
      <c r="X3159">
        <v>0.9544627</v>
      </c>
      <c r="Y3159">
        <v>-0.33130700000000002</v>
      </c>
      <c r="Z3159">
        <v>5.7305490000000001E-2</v>
      </c>
      <c r="AA3159">
        <v>0.94178119999999999</v>
      </c>
      <c r="AB3159">
        <v>25</v>
      </c>
      <c r="AC3159">
        <v>11.7943999999999</v>
      </c>
      <c r="AD3159">
        <v>-1.1169542236059999</v>
      </c>
      <c r="AE3159">
        <v>-10.397399999999999</v>
      </c>
      <c r="AF3159">
        <v>-5.2735287208332604</v>
      </c>
      <c r="AG3159">
        <v>-1.1169542236059999</v>
      </c>
      <c r="AH3159">
        <v>14.728451424192301</v>
      </c>
      <c r="AI3159">
        <v>94.083866267659602</v>
      </c>
      <c r="AJ3159">
        <v>109.699929749964</v>
      </c>
      <c r="AK3159">
        <v>15.6839080991275</v>
      </c>
      <c r="AL3159">
        <v>78.674164327694399</v>
      </c>
      <c r="AM3159">
        <v>103.240095654526</v>
      </c>
      <c r="AN3159">
        <v>0.99999999662608996</v>
      </c>
    </row>
    <row r="3160" spans="1:40" x14ac:dyDescent="0.25">
      <c r="A3160" t="str">
        <f>"20190304155117755"</f>
        <v>20190304155117755</v>
      </c>
      <c r="B3160" t="str">
        <f>"1551685877749632"</f>
        <v>1551685877749632</v>
      </c>
      <c r="C3160" t="s">
        <v>40</v>
      </c>
      <c r="D3160">
        <v>4.8351819999999996</v>
      </c>
      <c r="E3160">
        <v>0.45215650000000002</v>
      </c>
      <c r="F3160" t="s">
        <v>62</v>
      </c>
      <c r="G3160">
        <v>-476.9323</v>
      </c>
      <c r="H3160" s="1">
        <v>2.893403E-6</v>
      </c>
      <c r="I3160">
        <v>214.82550000000001</v>
      </c>
      <c r="J3160">
        <v>-488.88209999999998</v>
      </c>
      <c r="K3160">
        <v>1.117046</v>
      </c>
      <c r="L3160">
        <v>225.20269999999999</v>
      </c>
      <c r="M3160">
        <v>0.49194070000000001</v>
      </c>
      <c r="N3160">
        <v>-1.2186020000000001E-2</v>
      </c>
      <c r="O3160">
        <v>-0.87054339999999997</v>
      </c>
      <c r="P3160">
        <v>0.66330429999999996</v>
      </c>
      <c r="Q3160">
        <v>0.18831600000000001</v>
      </c>
      <c r="R3160">
        <v>-0.72426840000000003</v>
      </c>
      <c r="S3160">
        <v>2.345215</v>
      </c>
      <c r="T3160">
        <v>-0.2169065</v>
      </c>
      <c r="U3160">
        <v>-2.0553439999999998</v>
      </c>
      <c r="V3160">
        <v>-0.22435160000000001</v>
      </c>
      <c r="W3160">
        <v>0.19636960000000001</v>
      </c>
      <c r="X3160">
        <v>0.95451839999999999</v>
      </c>
      <c r="Y3160">
        <v>-0.32898769999999999</v>
      </c>
      <c r="Z3160">
        <v>5.6635770000000002E-2</v>
      </c>
      <c r="AA3160">
        <v>0.94263430000000004</v>
      </c>
      <c r="AB3160">
        <v>25</v>
      </c>
      <c r="AC3160">
        <v>11.9497999999999</v>
      </c>
      <c r="AD3160">
        <v>-1.1170431065969999</v>
      </c>
      <c r="AE3160">
        <v>-10.377199999999901</v>
      </c>
      <c r="AF3160">
        <v>-5.2719836243082199</v>
      </c>
      <c r="AG3160">
        <v>-1.1170431065969999</v>
      </c>
      <c r="AH3160">
        <v>14.839580262503899</v>
      </c>
      <c r="AI3160">
        <v>94.057269639263694</v>
      </c>
      <c r="AJ3160">
        <v>109.558345741656</v>
      </c>
      <c r="AK3160">
        <v>15.787803488904499</v>
      </c>
      <c r="AL3160">
        <v>78.675257282110707</v>
      </c>
      <c r="AM3160">
        <v>103.22681380549599</v>
      </c>
      <c r="AN3160">
        <v>1.0000000180826301</v>
      </c>
    </row>
    <row r="3161" spans="1:40" x14ac:dyDescent="0.25">
      <c r="A3161" t="str">
        <f>"20190304155117777"</f>
        <v>20190304155117777</v>
      </c>
      <c r="B3161" t="str">
        <f>"1551685877770129"</f>
        <v>1551685877770129</v>
      </c>
      <c r="C3161" t="s">
        <v>40</v>
      </c>
      <c r="D3161">
        <v>4.8031509999999997</v>
      </c>
      <c r="E3161">
        <v>0.4525132</v>
      </c>
      <c r="F3161" t="s">
        <v>62</v>
      </c>
      <c r="G3161">
        <v>-476.76069999999999</v>
      </c>
      <c r="H3161" s="1">
        <v>2.966559E-6</v>
      </c>
      <c r="I3161">
        <v>214.75800000000001</v>
      </c>
      <c r="J3161">
        <v>-488.75200000000001</v>
      </c>
      <c r="K3161">
        <v>1.117137</v>
      </c>
      <c r="L3161">
        <v>224.99510000000001</v>
      </c>
      <c r="M3161">
        <v>0.50075249999999905</v>
      </c>
      <c r="N3161">
        <v>-1.221351E-2</v>
      </c>
      <c r="O3161">
        <v>-0.86550439999999995</v>
      </c>
      <c r="P3161">
        <v>0.67043180000000002</v>
      </c>
      <c r="Q3161">
        <v>0.1883698</v>
      </c>
      <c r="R3161">
        <v>-0.71766169999999996</v>
      </c>
      <c r="S3161">
        <v>2.3621219999999998</v>
      </c>
      <c r="T3161">
        <v>-0.21767900000000001</v>
      </c>
      <c r="U3161">
        <v>-2.0353699999999999</v>
      </c>
      <c r="V3161">
        <v>-0.2241436</v>
      </c>
      <c r="W3161">
        <v>0.19641030000000001</v>
      </c>
      <c r="X3161">
        <v>0.95455880000000004</v>
      </c>
      <c r="Y3161">
        <v>-0.32730759999999998</v>
      </c>
      <c r="Z3161">
        <v>5.6651989999999999E-2</v>
      </c>
      <c r="AA3161">
        <v>0.94321809999999995</v>
      </c>
      <c r="AB3161">
        <v>25</v>
      </c>
      <c r="AC3161">
        <v>11.991299999999899</v>
      </c>
      <c r="AD3161">
        <v>-1.117134033441</v>
      </c>
      <c r="AE3161">
        <v>-10.2371</v>
      </c>
      <c r="AF3161">
        <v>-5.2264229107629703</v>
      </c>
      <c r="AG3161">
        <v>-1.117134033441</v>
      </c>
      <c r="AH3161">
        <v>14.791777766054199</v>
      </c>
      <c r="AI3161">
        <v>94.073135793734593</v>
      </c>
      <c r="AJ3161">
        <v>109.45999441420901</v>
      </c>
      <c r="AK3161">
        <v>15.7276881445162</v>
      </c>
      <c r="AL3161">
        <v>78.672878030225505</v>
      </c>
      <c r="AM3161">
        <v>103.214441817493</v>
      </c>
      <c r="AN3161">
        <v>0.99999993101224205</v>
      </c>
    </row>
    <row r="3162" spans="1:40" x14ac:dyDescent="0.25">
      <c r="A3162" t="str">
        <f>"20190304155117800"</f>
        <v>20190304155117800</v>
      </c>
      <c r="B3162" t="str">
        <f>"1551685877789651"</f>
        <v>1551685877789651</v>
      </c>
      <c r="C3162" t="s">
        <v>40</v>
      </c>
      <c r="D3162">
        <v>4.887454</v>
      </c>
      <c r="E3162">
        <v>0.4530537</v>
      </c>
      <c r="F3162" t="s">
        <v>62</v>
      </c>
      <c r="G3162">
        <v>-476.49540000000002</v>
      </c>
      <c r="H3162" s="1">
        <v>3.0782739999999999E-6</v>
      </c>
      <c r="I3162">
        <v>214.62280000000001</v>
      </c>
      <c r="J3162">
        <v>-488.61950000000002</v>
      </c>
      <c r="K3162">
        <v>1.117227</v>
      </c>
      <c r="L3162">
        <v>224.78870000000001</v>
      </c>
      <c r="M3162">
        <v>0.50963689999999995</v>
      </c>
      <c r="N3162">
        <v>-1.224255E-2</v>
      </c>
      <c r="O3162">
        <v>-0.86030260000000003</v>
      </c>
      <c r="P3162">
        <v>0.67786679999999999</v>
      </c>
      <c r="Q3162">
        <v>0.18762429999999999</v>
      </c>
      <c r="R3162">
        <v>-0.71084009999999997</v>
      </c>
      <c r="S3162">
        <v>2.3798520000000001</v>
      </c>
      <c r="T3162">
        <v>-0.21691360000000001</v>
      </c>
      <c r="U3162">
        <v>-2.0139770000000001</v>
      </c>
      <c r="V3162">
        <v>-0.2241821</v>
      </c>
      <c r="W3162">
        <v>0.19564770000000001</v>
      </c>
      <c r="X3162">
        <v>0.95470639999999996</v>
      </c>
      <c r="Y3162">
        <v>-0.3260035</v>
      </c>
      <c r="Z3162">
        <v>5.6201679999999997E-2</v>
      </c>
      <c r="AA3162">
        <v>0.94369650000000005</v>
      </c>
      <c r="AB3162">
        <v>25</v>
      </c>
      <c r="AC3162">
        <v>12.1241</v>
      </c>
      <c r="AD3162">
        <v>-1.117223921726</v>
      </c>
      <c r="AE3162">
        <v>-10.165899999999899</v>
      </c>
      <c r="AF3162">
        <v>-5.2238239383187901</v>
      </c>
      <c r="AG3162">
        <v>-1.117223921726</v>
      </c>
      <c r="AH3162">
        <v>14.851705475276001</v>
      </c>
      <c r="AI3162">
        <v>94.059110769859203</v>
      </c>
      <c r="AJ3162">
        <v>109.378418205646</v>
      </c>
      <c r="AK3162">
        <v>15.7832088421262</v>
      </c>
      <c r="AL3162">
        <v>78.7174367952409</v>
      </c>
      <c r="AM3162">
        <v>103.21466031269399</v>
      </c>
      <c r="AN3162">
        <v>0.99999997333832902</v>
      </c>
    </row>
    <row r="3163" spans="1:40" x14ac:dyDescent="0.25">
      <c r="A3163" t="str">
        <f>"20190304155117824"</f>
        <v>20190304155117824</v>
      </c>
      <c r="B3163" t="str">
        <f>"1551685877819904"</f>
        <v>1551685877819904</v>
      </c>
      <c r="C3163" t="s">
        <v>40</v>
      </c>
      <c r="D3163">
        <v>4.7915640000000002</v>
      </c>
      <c r="E3163">
        <v>0.45391100000000001</v>
      </c>
      <c r="F3163" t="s">
        <v>62</v>
      </c>
      <c r="G3163">
        <v>-476.47160000000002</v>
      </c>
      <c r="H3163" s="1">
        <v>3.0917450000000002E-6</v>
      </c>
      <c r="I3163">
        <v>214.6891</v>
      </c>
      <c r="J3163">
        <v>-488.47539999999998</v>
      </c>
      <c r="K3163">
        <v>1.117324</v>
      </c>
      <c r="L3163">
        <v>224.56950000000001</v>
      </c>
      <c r="M3163">
        <v>0.51920770000000005</v>
      </c>
      <c r="N3163">
        <v>-1.2274459999999999E-2</v>
      </c>
      <c r="O3163">
        <v>-0.85456010000000004</v>
      </c>
      <c r="P3163">
        <v>0.68664969999999903</v>
      </c>
      <c r="Q3163">
        <v>0.18656030000000001</v>
      </c>
      <c r="R3163">
        <v>-0.70264320000000002</v>
      </c>
      <c r="S3163">
        <v>2.3969420000000001</v>
      </c>
      <c r="T3163">
        <v>-0.22044320000000001</v>
      </c>
      <c r="U3163">
        <v>-1.992783</v>
      </c>
      <c r="V3163">
        <v>-0.22527720000000001</v>
      </c>
      <c r="W3163">
        <v>0.19454260000000001</v>
      </c>
      <c r="X3163">
        <v>0.95467449999999998</v>
      </c>
      <c r="Y3163">
        <v>-0.3236464</v>
      </c>
      <c r="Z3163">
        <v>5.699676E-2</v>
      </c>
      <c r="AA3163">
        <v>0.94445990000000002</v>
      </c>
      <c r="AB3163">
        <v>25</v>
      </c>
      <c r="AC3163">
        <v>12.003799999999901</v>
      </c>
      <c r="AD3163">
        <v>-1.117320908255</v>
      </c>
      <c r="AE3163">
        <v>-9.8803999999999998</v>
      </c>
      <c r="AF3163">
        <v>-5.1020234212601201</v>
      </c>
      <c r="AG3163">
        <v>-1.117320908255</v>
      </c>
      <c r="AH3163">
        <v>14.6015504175943</v>
      </c>
      <c r="AI3163">
        <v>94.1317462581802</v>
      </c>
      <c r="AJ3163">
        <v>109.26025993224</v>
      </c>
      <c r="AK3163">
        <v>15.5075569836341</v>
      </c>
      <c r="AL3163">
        <v>78.781995430408898</v>
      </c>
      <c r="AM3163">
        <v>103.277359223608</v>
      </c>
      <c r="AN3163">
        <v>1.00000002050242</v>
      </c>
    </row>
    <row r="3164" spans="1:40" x14ac:dyDescent="0.25">
      <c r="A3164" t="str">
        <f>"20190304155117844"</f>
        <v>20190304155117844</v>
      </c>
      <c r="B3164" t="str">
        <f>"1551685877839424"</f>
        <v>1551685877839424</v>
      </c>
      <c r="C3164" t="s">
        <v>40</v>
      </c>
      <c r="D3164">
        <v>7.9542250000000001</v>
      </c>
      <c r="E3164">
        <v>0.45417030000000003</v>
      </c>
      <c r="F3164" t="s">
        <v>62</v>
      </c>
      <c r="G3164">
        <v>-476.4873</v>
      </c>
      <c r="H3164" s="1">
        <v>3.0896E-6</v>
      </c>
      <c r="I3164">
        <v>214.79939999999999</v>
      </c>
      <c r="J3164">
        <v>-488.3553</v>
      </c>
      <c r="K3164">
        <v>1.1174059999999999</v>
      </c>
      <c r="L3164">
        <v>224.3912</v>
      </c>
      <c r="M3164">
        <v>0.52710959999999996</v>
      </c>
      <c r="N3164">
        <v>-1.2301309999999999E-2</v>
      </c>
      <c r="O3164">
        <v>-0.84970829999999997</v>
      </c>
      <c r="P3164">
        <v>0.69463280000000005</v>
      </c>
      <c r="Q3164">
        <v>0.18551500000000001</v>
      </c>
      <c r="R3164">
        <v>-0.69503190000000004</v>
      </c>
      <c r="S3164">
        <v>2.415619</v>
      </c>
      <c r="T3164">
        <v>-0.22514149999999999</v>
      </c>
      <c r="U3164">
        <v>-1.9686889999999999</v>
      </c>
      <c r="V3164">
        <v>-0.22721140000000001</v>
      </c>
      <c r="W3164">
        <v>0.193441</v>
      </c>
      <c r="X3164">
        <v>0.95443990000000001</v>
      </c>
      <c r="Y3164">
        <v>-0.32403700000000002</v>
      </c>
      <c r="Z3164">
        <v>5.8236679999999999E-2</v>
      </c>
      <c r="AA3164">
        <v>0.94425020000000004</v>
      </c>
      <c r="AB3164">
        <v>25</v>
      </c>
      <c r="AC3164">
        <v>11.867999999999901</v>
      </c>
      <c r="AD3164">
        <v>-1.1174029103999901</v>
      </c>
      <c r="AE3164">
        <v>-9.5917999999999992</v>
      </c>
      <c r="AF3164">
        <v>-5.0019672871783802</v>
      </c>
      <c r="AG3164">
        <v>-1.1174029103999901</v>
      </c>
      <c r="AH3164">
        <v>14.3302176787283</v>
      </c>
      <c r="AI3164">
        <v>94.210485423723</v>
      </c>
      <c r="AJ3164">
        <v>109.241558132875</v>
      </c>
      <c r="AK3164">
        <v>15.219178845322499</v>
      </c>
      <c r="AL3164">
        <v>78.846334269156301</v>
      </c>
      <c r="AM3164">
        <v>103.39044147557</v>
      </c>
      <c r="AN3164">
        <v>0.99999998174148397</v>
      </c>
    </row>
    <row r="3165" spans="1:40" x14ac:dyDescent="0.25">
      <c r="A3165" t="str">
        <f>"20190304155117867"</f>
        <v>20190304155117867</v>
      </c>
      <c r="B3165" t="str">
        <f>"1551685877859921"</f>
        <v>1551685877859921</v>
      </c>
      <c r="C3165" t="s">
        <v>40</v>
      </c>
      <c r="D3165">
        <v>4.7737689999999997</v>
      </c>
      <c r="E3165">
        <v>0.45475599999999999</v>
      </c>
      <c r="F3165" t="s">
        <v>62</v>
      </c>
      <c r="G3165">
        <v>-476.44959999999998</v>
      </c>
      <c r="H3165" s="1">
        <v>3.110289E-6</v>
      </c>
      <c r="I3165">
        <v>214.88990000000001</v>
      </c>
      <c r="J3165">
        <v>-488.20909999999998</v>
      </c>
      <c r="K3165">
        <v>1.1175109999999999</v>
      </c>
      <c r="L3165">
        <v>224.1789</v>
      </c>
      <c r="M3165">
        <v>0.53664149999999999</v>
      </c>
      <c r="N3165">
        <v>-1.2333739999999999E-2</v>
      </c>
      <c r="O3165">
        <v>-0.84372029999999998</v>
      </c>
      <c r="P3165">
        <v>0.7039337</v>
      </c>
      <c r="Q3165">
        <v>0.18458169999999999</v>
      </c>
      <c r="R3165">
        <v>-0.68586239999999998</v>
      </c>
      <c r="S3165">
        <v>2.4352420000000001</v>
      </c>
      <c r="T3165">
        <v>-0.22855829999999999</v>
      </c>
      <c r="U3165">
        <v>-1.9434359999999999</v>
      </c>
      <c r="V3165">
        <v>-0.22922970000000001</v>
      </c>
      <c r="W3165">
        <v>0.19244159999999999</v>
      </c>
      <c r="X3165">
        <v>0.95415930000000004</v>
      </c>
      <c r="Y3165">
        <v>-0.32303080000000001</v>
      </c>
      <c r="Z3165">
        <v>5.8993650000000002E-2</v>
      </c>
      <c r="AA3165">
        <v>0.94454800000000005</v>
      </c>
      <c r="AB3165">
        <v>25</v>
      </c>
      <c r="AC3165">
        <v>11.759499999999999</v>
      </c>
      <c r="AD3165">
        <v>-1.117507889711</v>
      </c>
      <c r="AE3165">
        <v>-9.2889999999999802</v>
      </c>
      <c r="AF3165">
        <v>-4.9099373300914202</v>
      </c>
      <c r="AG3165">
        <v>-1.117507889711</v>
      </c>
      <c r="AH3165">
        <v>14.0707821150041</v>
      </c>
      <c r="AI3165">
        <v>94.288371535066602</v>
      </c>
      <c r="AJ3165">
        <v>109.236208140305</v>
      </c>
      <c r="AK3165">
        <v>14.9446718865591</v>
      </c>
      <c r="AL3165">
        <v>78.904692377594699</v>
      </c>
      <c r="AM3165">
        <v>103.508874853641</v>
      </c>
      <c r="AN3165">
        <v>0.99999999727457001</v>
      </c>
    </row>
    <row r="3166" spans="1:40" x14ac:dyDescent="0.25">
      <c r="A3166" t="str">
        <f>"20190304155117892"</f>
        <v>20190304155117892</v>
      </c>
      <c r="B3166" t="str">
        <f>"1551685877879440"</f>
        <v>1551685877879440</v>
      </c>
      <c r="C3166" t="s">
        <v>40</v>
      </c>
      <c r="D3166">
        <v>4.8173700000000004</v>
      </c>
      <c r="E3166">
        <v>0.45530520000000002</v>
      </c>
      <c r="F3166" t="s">
        <v>62</v>
      </c>
      <c r="G3166">
        <v>-476.36829999999998</v>
      </c>
      <c r="H3166" s="1">
        <v>3.1490549999999999E-6</v>
      </c>
      <c r="I3166">
        <v>214.9522</v>
      </c>
      <c r="J3166">
        <v>-488.06119999999999</v>
      </c>
      <c r="K3166">
        <v>1.117623</v>
      </c>
      <c r="L3166">
        <v>223.97</v>
      </c>
      <c r="M3166">
        <v>0.54618800000000001</v>
      </c>
      <c r="N3166">
        <v>-1.2367360000000001E-2</v>
      </c>
      <c r="O3166">
        <v>-0.83757119999999996</v>
      </c>
      <c r="P3166">
        <v>0.71312759999999997</v>
      </c>
      <c r="Q3166">
        <v>0.1847316</v>
      </c>
      <c r="R3166">
        <v>-0.676257</v>
      </c>
      <c r="S3166">
        <v>2.4571230000000002</v>
      </c>
      <c r="T3166">
        <v>-0.2318974</v>
      </c>
      <c r="U3166">
        <v>-1.914642</v>
      </c>
      <c r="V3166">
        <v>-0.2313539</v>
      </c>
      <c r="W3166">
        <v>0.1925211</v>
      </c>
      <c r="X3166">
        <v>0.95363039999999999</v>
      </c>
      <c r="Y3166">
        <v>-0.32319959999999998</v>
      </c>
      <c r="Z3166">
        <v>5.9738239999999998E-2</v>
      </c>
      <c r="AA3166">
        <v>0.94444340000000004</v>
      </c>
      <c r="AB3166">
        <v>25</v>
      </c>
      <c r="AC3166">
        <v>11.6929</v>
      </c>
      <c r="AD3166">
        <v>-1.1176198509449999</v>
      </c>
      <c r="AE3166">
        <v>-9.0177999999999905</v>
      </c>
      <c r="AF3166">
        <v>-4.8408639627836703</v>
      </c>
      <c r="AG3166">
        <v>-1.1176198509449999</v>
      </c>
      <c r="AH3166">
        <v>13.8612343731235</v>
      </c>
      <c r="AI3166">
        <v>94.352994254254995</v>
      </c>
      <c r="AJ3166">
        <v>109.251120812802</v>
      </c>
      <c r="AK3166">
        <v>14.724702251117501</v>
      </c>
      <c r="AL3166">
        <v>78.9000502620042</v>
      </c>
      <c r="AM3166">
        <v>103.63668526249501</v>
      </c>
      <c r="AN3166">
        <v>0.99999997039728905</v>
      </c>
    </row>
    <row r="3167" spans="1:40" x14ac:dyDescent="0.25">
      <c r="A3167" t="str">
        <f>"20190304155117912"</f>
        <v>20190304155117912</v>
      </c>
      <c r="B3167" t="str">
        <f>"1551685877909696"</f>
        <v>1551685877909696</v>
      </c>
      <c r="C3167" t="s">
        <v>40</v>
      </c>
      <c r="D3167">
        <v>4.8154949999999896</v>
      </c>
      <c r="E3167">
        <v>0.45618589999999998</v>
      </c>
      <c r="F3167" t="s">
        <v>62</v>
      </c>
      <c r="G3167">
        <v>-476.12009999999998</v>
      </c>
      <c r="H3167" s="1">
        <v>3.256528E-6</v>
      </c>
      <c r="I3167">
        <v>214.89250000000001</v>
      </c>
      <c r="J3167">
        <v>-487.92469999999997</v>
      </c>
      <c r="K3167">
        <v>1.117718</v>
      </c>
      <c r="L3167">
        <v>223.7816</v>
      </c>
      <c r="M3167">
        <v>0.5549193</v>
      </c>
      <c r="N3167">
        <v>-1.240285E-2</v>
      </c>
      <c r="O3167">
        <v>-0.83181170000000004</v>
      </c>
      <c r="P3167">
        <v>0.72191269999999996</v>
      </c>
      <c r="Q3167">
        <v>0.18500539999999999</v>
      </c>
      <c r="R3167">
        <v>-0.66679509999999997</v>
      </c>
      <c r="S3167">
        <v>2.479492</v>
      </c>
      <c r="T3167">
        <v>-0.2320651</v>
      </c>
      <c r="U3167">
        <v>-1.8848879999999999</v>
      </c>
      <c r="V3167">
        <v>-0.23395060000000001</v>
      </c>
      <c r="W3167">
        <v>0.19272130000000001</v>
      </c>
      <c r="X3167">
        <v>0.95295629999999998</v>
      </c>
      <c r="Y3167">
        <v>-0.32459090000000002</v>
      </c>
      <c r="Z3167">
        <v>5.9576999999999998E-2</v>
      </c>
      <c r="AA3167">
        <v>0.94397629999999999</v>
      </c>
      <c r="AB3167">
        <v>25</v>
      </c>
      <c r="AC3167">
        <v>11.804599999999899</v>
      </c>
      <c r="AD3167">
        <v>-1.1177147434720001</v>
      </c>
      <c r="AE3167">
        <v>-8.8890999999999796</v>
      </c>
      <c r="AF3167">
        <v>-4.8590481171328701</v>
      </c>
      <c r="AG3167">
        <v>-1.1177147434720001</v>
      </c>
      <c r="AH3167">
        <v>13.8663996172774</v>
      </c>
      <c r="AI3167">
        <v>94.350151204162998</v>
      </c>
      <c r="AJ3167">
        <v>109.311423930847</v>
      </c>
      <c r="AK3167">
        <v>14.735558123071501</v>
      </c>
      <c r="AL3167">
        <v>78.888361592242703</v>
      </c>
      <c r="AM3167">
        <v>103.793313500664</v>
      </c>
      <c r="AN3167">
        <v>1.0000000462118599</v>
      </c>
    </row>
    <row r="3168" spans="1:40" x14ac:dyDescent="0.25">
      <c r="A3168" t="str">
        <f>"20190304155117944"</f>
        <v>20190304155117944</v>
      </c>
      <c r="B3168" t="str">
        <f>"1551685877939952"</f>
        <v>1551685877939952</v>
      </c>
      <c r="C3168" t="s">
        <v>40</v>
      </c>
      <c r="D3168">
        <v>4.7675229999999997</v>
      </c>
      <c r="E3168">
        <v>0.47110089999999999</v>
      </c>
      <c r="F3168" t="s">
        <v>62</v>
      </c>
      <c r="G3168">
        <v>-475.94659999999999</v>
      </c>
      <c r="H3168" s="1">
        <v>3.3325299999999998E-6</v>
      </c>
      <c r="I3168">
        <v>214.8717</v>
      </c>
      <c r="J3168">
        <v>-487.71589999999998</v>
      </c>
      <c r="K3168">
        <v>1.1178520000000001</v>
      </c>
      <c r="L3168">
        <v>223.5016</v>
      </c>
      <c r="M3168">
        <v>0.56809379999999998</v>
      </c>
      <c r="N3168">
        <v>-1.24598E-2</v>
      </c>
      <c r="O3168">
        <v>-0.82286959999999998</v>
      </c>
      <c r="P3168">
        <v>0.73303750000000001</v>
      </c>
      <c r="Q3168">
        <v>0.18557029999999999</v>
      </c>
      <c r="R3168">
        <v>-0.6543852</v>
      </c>
      <c r="S3168">
        <v>2.4986570000000001</v>
      </c>
      <c r="T3168">
        <v>-0.23315820000000001</v>
      </c>
      <c r="U3168">
        <v>-1.858627</v>
      </c>
      <c r="V3168">
        <v>-0.23498630000000001</v>
      </c>
      <c r="W3168">
        <v>0.1932449</v>
      </c>
      <c r="X3168">
        <v>0.95259530000000003</v>
      </c>
      <c r="Y3168">
        <v>-0.3193822</v>
      </c>
      <c r="Z3168">
        <v>5.936375E-2</v>
      </c>
      <c r="AA3168">
        <v>0.94576470000000001</v>
      </c>
      <c r="AB3168">
        <v>25</v>
      </c>
      <c r="AC3168">
        <v>11.7692999999999</v>
      </c>
      <c r="AD3168">
        <v>-1.1178486674699999</v>
      </c>
      <c r="AE3168">
        <v>-8.6298999999999904</v>
      </c>
      <c r="AF3168">
        <v>-4.7544835306169499</v>
      </c>
      <c r="AG3168">
        <v>-1.1178486674699999</v>
      </c>
      <c r="AH3168">
        <v>13.707995262039599</v>
      </c>
      <c r="AI3168">
        <v>94.405627713653004</v>
      </c>
      <c r="AJ3168">
        <v>109.12860080641001</v>
      </c>
      <c r="AK3168">
        <v>14.5521075240108</v>
      </c>
      <c r="AL3168">
        <v>78.857786022631799</v>
      </c>
      <c r="AM3168">
        <v>103.857076809283</v>
      </c>
      <c r="AN3168">
        <v>0.99999997907289395</v>
      </c>
    </row>
    <row r="3169" spans="1:40" x14ac:dyDescent="0.25">
      <c r="A3169" t="str">
        <f>"20190304155117967"</f>
        <v>20190304155117967</v>
      </c>
      <c r="B3169" t="str">
        <f>"1551685877959472"</f>
        <v>1551685877959472</v>
      </c>
      <c r="C3169" t="s">
        <v>40</v>
      </c>
      <c r="D3169">
        <v>4.7325790000000003</v>
      </c>
      <c r="E3169">
        <v>0.47170679999999998</v>
      </c>
      <c r="F3169" t="s">
        <v>62</v>
      </c>
      <c r="G3169">
        <v>-475.27530000000002</v>
      </c>
      <c r="H3169" s="1">
        <v>3.5852680000000002E-6</v>
      </c>
      <c r="I3169">
        <v>213.84309999999999</v>
      </c>
      <c r="J3169">
        <v>-487.56720000000001</v>
      </c>
      <c r="K3169">
        <v>1.1179410000000001</v>
      </c>
      <c r="L3169">
        <v>223.30789999999999</v>
      </c>
      <c r="M3169">
        <v>0.57736160000000003</v>
      </c>
      <c r="N3169">
        <v>-1.24984E-2</v>
      </c>
      <c r="O3169">
        <v>-0.81639300000000004</v>
      </c>
      <c r="P3169">
        <v>0.74027670000000001</v>
      </c>
      <c r="Q3169">
        <v>0.18533079999999999</v>
      </c>
      <c r="R3169">
        <v>-0.64625319999999997</v>
      </c>
      <c r="S3169">
        <v>2.4501650000000001</v>
      </c>
      <c r="T3169">
        <v>-0.22015950000000001</v>
      </c>
      <c r="U3169">
        <v>-1.902237</v>
      </c>
      <c r="V3169">
        <v>-0.2348182</v>
      </c>
      <c r="W3169">
        <v>0.19299559999999999</v>
      </c>
      <c r="X3169">
        <v>0.95268730000000001</v>
      </c>
      <c r="Y3169">
        <v>-0.28926950000000001</v>
      </c>
      <c r="Z3169">
        <v>5.475642E-2</v>
      </c>
      <c r="AA3169">
        <v>0.95568030000000004</v>
      </c>
      <c r="AB3169">
        <v>25</v>
      </c>
      <c r="AC3169">
        <v>12.291899999999901</v>
      </c>
      <c r="AD3169">
        <v>-1.117937414732</v>
      </c>
      <c r="AE3169">
        <v>-9.4647999999999897</v>
      </c>
      <c r="AF3169">
        <v>-4.5471529395985701</v>
      </c>
      <c r="AG3169">
        <v>-1.117937414732</v>
      </c>
      <c r="AH3169">
        <v>14.748437633081</v>
      </c>
      <c r="AI3169">
        <v>94.1430270081065</v>
      </c>
      <c r="AJ3169">
        <v>107.13527408396899</v>
      </c>
      <c r="AK3169">
        <v>15.4739392701483</v>
      </c>
      <c r="AL3169">
        <v>78.872344036246005</v>
      </c>
      <c r="AM3169">
        <v>103.846259878125</v>
      </c>
      <c r="AN3169">
        <v>0.99999999012594398</v>
      </c>
    </row>
    <row r="3170" spans="1:40" x14ac:dyDescent="0.25">
      <c r="A3170" t="str">
        <f>"20190304155117990"</f>
        <v>20190304155117990</v>
      </c>
      <c r="B3170" t="str">
        <f>"1551685877979985"</f>
        <v>1551685877979985</v>
      </c>
      <c r="C3170" t="s">
        <v>40</v>
      </c>
      <c r="D3170">
        <v>4.7564080000000004</v>
      </c>
      <c r="E3170">
        <v>0.47288859999999999</v>
      </c>
      <c r="F3170" t="s">
        <v>62</v>
      </c>
      <c r="G3170">
        <v>-475.22750000000002</v>
      </c>
      <c r="H3170" s="1">
        <v>3.6096830000000001E-6</v>
      </c>
      <c r="I3170">
        <v>213.91669999999999</v>
      </c>
      <c r="J3170">
        <v>-487.41039999999998</v>
      </c>
      <c r="K3170">
        <v>1.118052</v>
      </c>
      <c r="L3170">
        <v>223.10910000000001</v>
      </c>
      <c r="M3170">
        <v>0.58705169999999995</v>
      </c>
      <c r="N3170">
        <v>-1.2546470000000001E-2</v>
      </c>
      <c r="O3170">
        <v>-0.80945230000000001</v>
      </c>
      <c r="P3170">
        <v>0.7481236</v>
      </c>
      <c r="Q3170">
        <v>0.1854497</v>
      </c>
      <c r="R3170">
        <v>-0.63711819999999997</v>
      </c>
      <c r="S3170">
        <v>2.4685060000000001</v>
      </c>
      <c r="T3170">
        <v>-0.2236388</v>
      </c>
      <c r="U3170">
        <v>-1.8786620000000001</v>
      </c>
      <c r="V3170">
        <v>-0.2351866</v>
      </c>
      <c r="W3170">
        <v>0.1930915</v>
      </c>
      <c r="X3170">
        <v>0.95257700000000001</v>
      </c>
      <c r="Y3170">
        <v>-0.28701989999999999</v>
      </c>
      <c r="Z3170">
        <v>5.5373569999999997E-2</v>
      </c>
      <c r="AA3170">
        <v>0.95632280000000003</v>
      </c>
      <c r="AB3170">
        <v>25</v>
      </c>
      <c r="AC3170">
        <v>12.182899999999901</v>
      </c>
      <c r="AD3170">
        <v>-1.118048390317</v>
      </c>
      <c r="AE3170">
        <v>-9.1924000000000099</v>
      </c>
      <c r="AF3170">
        <v>-4.4415768768710802</v>
      </c>
      <c r="AG3170">
        <v>-1.118048390317</v>
      </c>
      <c r="AH3170">
        <v>14.516045716683101</v>
      </c>
      <c r="AI3170">
        <v>94.212286116112594</v>
      </c>
      <c r="AJ3170">
        <v>107.01290845709499</v>
      </c>
      <c r="AK3170">
        <v>15.2214723533921</v>
      </c>
      <c r="AL3170">
        <v>78.866744176192796</v>
      </c>
      <c r="AM3170">
        <v>103.86868879691001</v>
      </c>
      <c r="AN3170">
        <v>1.0000000025603999</v>
      </c>
    </row>
    <row r="3171" spans="1:40" x14ac:dyDescent="0.25">
      <c r="A3171" t="str">
        <f>"20190304155118012"</f>
        <v>20190304155118012</v>
      </c>
      <c r="B3171" t="str">
        <f>"1551685878010225"</f>
        <v>1551685878010225</v>
      </c>
      <c r="C3171" t="s">
        <v>40</v>
      </c>
      <c r="D3171">
        <v>4.7834110000000001</v>
      </c>
      <c r="E3171">
        <v>0.4749023</v>
      </c>
      <c r="F3171" t="s">
        <v>62</v>
      </c>
      <c r="G3171">
        <v>-475.50229999999999</v>
      </c>
      <c r="H3171" s="1">
        <v>3.5013089999999999E-6</v>
      </c>
      <c r="I3171">
        <v>214.2252</v>
      </c>
      <c r="J3171">
        <v>-487.25909999999999</v>
      </c>
      <c r="K3171">
        <v>1.118177</v>
      </c>
      <c r="L3171">
        <v>222.922</v>
      </c>
      <c r="M3171">
        <v>0.59632499999999999</v>
      </c>
      <c r="N3171">
        <v>-1.2604600000000001E-2</v>
      </c>
      <c r="O3171">
        <v>-0.80264409999999997</v>
      </c>
      <c r="P3171">
        <v>0.75545450000000003</v>
      </c>
      <c r="Q3171">
        <v>0.18523400000000001</v>
      </c>
      <c r="R3171">
        <v>-0.62847169999999997</v>
      </c>
      <c r="S3171">
        <v>2.4875180000000001</v>
      </c>
      <c r="T3171">
        <v>-0.23355219999999999</v>
      </c>
      <c r="U3171">
        <v>-1.855774</v>
      </c>
      <c r="V3171">
        <v>-0.23527729999999999</v>
      </c>
      <c r="W3171">
        <v>0.1928627</v>
      </c>
      <c r="X3171">
        <v>0.95260100000000003</v>
      </c>
      <c r="Y3171">
        <v>-0.28501409999999899</v>
      </c>
      <c r="Z3171">
        <v>5.7785389999999999E-2</v>
      </c>
      <c r="AA3171">
        <v>0.95677990000000002</v>
      </c>
      <c r="AB3171">
        <v>25</v>
      </c>
      <c r="AC3171">
        <v>11.756799999999901</v>
      </c>
      <c r="AD3171">
        <v>-1.1181734986909999</v>
      </c>
      <c r="AE3171">
        <v>-8.6967999999999908</v>
      </c>
      <c r="AF3171">
        <v>-4.2260372164694502</v>
      </c>
      <c r="AG3171">
        <v>-1.1181734986909999</v>
      </c>
      <c r="AH3171">
        <v>13.9110898960837</v>
      </c>
      <c r="AI3171">
        <v>94.397927060266596</v>
      </c>
      <c r="AJ3171">
        <v>106.898208742386</v>
      </c>
      <c r="AK3171">
        <v>14.581773713272399</v>
      </c>
      <c r="AL3171">
        <v>78.880105083913804</v>
      </c>
      <c r="AM3171">
        <v>103.873494645332</v>
      </c>
      <c r="AN3171">
        <v>1.00000004707378</v>
      </c>
    </row>
    <row r="3172" spans="1:40" x14ac:dyDescent="0.25">
      <c r="A3172" t="str">
        <f>"20190304155118034"</f>
        <v>20190304155118034</v>
      </c>
      <c r="B3172" t="str">
        <f>"1551685878029745"</f>
        <v>1551685878029745</v>
      </c>
      <c r="C3172" t="s">
        <v>40</v>
      </c>
      <c r="D3172">
        <v>4.7410829999999997</v>
      </c>
      <c r="E3172">
        <v>0.47605989999999998</v>
      </c>
      <c r="F3172" t="s">
        <v>62</v>
      </c>
      <c r="G3172">
        <v>-475.06180000000001</v>
      </c>
      <c r="H3172" s="1">
        <v>3.6842350000000001E-6</v>
      </c>
      <c r="I3172">
        <v>213.94149999999999</v>
      </c>
      <c r="J3172">
        <v>-487.1071</v>
      </c>
      <c r="K3172">
        <v>1.118296</v>
      </c>
      <c r="L3172">
        <v>222.73859999999999</v>
      </c>
      <c r="M3172">
        <v>0.60555839999999905</v>
      </c>
      <c r="N3172">
        <v>-1.267007E-2</v>
      </c>
      <c r="O3172">
        <v>-0.79569999999999996</v>
      </c>
      <c r="P3172">
        <v>0.76237080000000002</v>
      </c>
      <c r="Q3172">
        <v>0.18518519999999999</v>
      </c>
      <c r="R3172">
        <v>-0.62007860000000004</v>
      </c>
      <c r="S3172">
        <v>2.4974980000000002</v>
      </c>
      <c r="T3172">
        <v>-0.2289553</v>
      </c>
      <c r="U3172">
        <v>-1.8388370000000001</v>
      </c>
      <c r="V3172">
        <v>-0.2348701</v>
      </c>
      <c r="W3172">
        <v>0.19282009999999999</v>
      </c>
      <c r="X3172">
        <v>0.9527101</v>
      </c>
      <c r="Y3172">
        <v>-0.28005859999999999</v>
      </c>
      <c r="Z3172">
        <v>5.6027420000000001E-2</v>
      </c>
      <c r="AA3172">
        <v>0.95834649999999999</v>
      </c>
      <c r="AB3172">
        <v>25</v>
      </c>
      <c r="AC3172">
        <v>12.0452999999999</v>
      </c>
      <c r="AD3172">
        <v>-1.118292315765</v>
      </c>
      <c r="AE3172">
        <v>-8.7971000000000004</v>
      </c>
      <c r="AF3172">
        <v>-4.2338302848367402</v>
      </c>
      <c r="AG3172">
        <v>-1.118292315765</v>
      </c>
      <c r="AH3172">
        <v>14.2152269842877</v>
      </c>
      <c r="AI3172">
        <v>94.311691846870204</v>
      </c>
      <c r="AJ3172">
        <v>106.585514706902</v>
      </c>
      <c r="AK3172">
        <v>14.8744268729629</v>
      </c>
      <c r="AL3172">
        <v>78.882592548071401</v>
      </c>
      <c r="AM3172">
        <v>103.84888372669199</v>
      </c>
      <c r="AN3172">
        <v>1.0000000447400099</v>
      </c>
    </row>
    <row r="3173" spans="1:40" x14ac:dyDescent="0.25">
      <c r="A3173" t="str">
        <f>"20190304155118058"</f>
        <v>20190304155118058</v>
      </c>
      <c r="B3173" t="str">
        <f>"1551685878049265"</f>
        <v>1551685878049265</v>
      </c>
      <c r="C3173" t="s">
        <v>40</v>
      </c>
      <c r="D3173">
        <v>4.754988</v>
      </c>
      <c r="E3173">
        <v>0.48595759999999999</v>
      </c>
      <c r="F3173" t="s">
        <v>62</v>
      </c>
      <c r="G3173">
        <v>-474.86219999999997</v>
      </c>
      <c r="H3173" s="1">
        <v>3.7701219999999999E-6</v>
      </c>
      <c r="I3173">
        <v>213.8811</v>
      </c>
      <c r="J3173">
        <v>-486.94459999999998</v>
      </c>
      <c r="K3173">
        <v>1.1184190000000001</v>
      </c>
      <c r="L3173">
        <v>222.54769999999999</v>
      </c>
      <c r="M3173">
        <v>0.61532439999999999</v>
      </c>
      <c r="N3173">
        <v>-1.274978E-2</v>
      </c>
      <c r="O3173">
        <v>-0.78817099999999995</v>
      </c>
      <c r="P3173">
        <v>0.77009119999999998</v>
      </c>
      <c r="Q3173">
        <v>0.18356140000000001</v>
      </c>
      <c r="R3173">
        <v>-0.610954199999999</v>
      </c>
      <c r="S3173">
        <v>2.512543</v>
      </c>
      <c r="T3173">
        <v>-0.22946430000000001</v>
      </c>
      <c r="U3173">
        <v>-1.81749</v>
      </c>
      <c r="V3173">
        <v>-0.2348015</v>
      </c>
      <c r="W3173">
        <v>0.19120889999999999</v>
      </c>
      <c r="X3173">
        <v>0.9530516</v>
      </c>
      <c r="Y3173">
        <v>-0.2762985</v>
      </c>
      <c r="Z3173">
        <v>5.5679149999999997E-2</v>
      </c>
      <c r="AA3173">
        <v>0.95945760000000002</v>
      </c>
      <c r="AB3173">
        <v>25</v>
      </c>
      <c r="AC3173">
        <v>12.0824</v>
      </c>
      <c r="AD3173">
        <v>-1.1184152298779999</v>
      </c>
      <c r="AE3173">
        <v>-8.6665999999999794</v>
      </c>
      <c r="AF3173">
        <v>-4.1669920723140397</v>
      </c>
      <c r="AG3173">
        <v>-1.1184152298779999</v>
      </c>
      <c r="AH3173">
        <v>14.1862570257939</v>
      </c>
      <c r="AI3173">
        <v>94.325743310685894</v>
      </c>
      <c r="AJ3173">
        <v>106.369329482523</v>
      </c>
      <c r="AK3173">
        <v>14.8278307233067</v>
      </c>
      <c r="AL3173">
        <v>78.976657040920401</v>
      </c>
      <c r="AM3173">
        <v>103.840224243503</v>
      </c>
      <c r="AN3173">
        <v>0.99999997005200902</v>
      </c>
    </row>
    <row r="3174" spans="1:40" x14ac:dyDescent="0.25">
      <c r="A3174" t="str">
        <f>"20190304155118082"</f>
        <v>20190304155118082</v>
      </c>
      <c r="B3174" t="str">
        <f>"1551685878069761"</f>
        <v>1551685878069761</v>
      </c>
      <c r="C3174" t="s">
        <v>40</v>
      </c>
      <c r="D3174">
        <v>4.730308</v>
      </c>
      <c r="E3174">
        <v>0.48691820000000002</v>
      </c>
      <c r="F3174" t="s">
        <v>62</v>
      </c>
      <c r="G3174">
        <v>-475.00060000000002</v>
      </c>
      <c r="H3174" s="1">
        <v>3.6997080000000001E-6</v>
      </c>
      <c r="I3174">
        <v>213.6748</v>
      </c>
      <c r="J3174">
        <v>-486.77280000000002</v>
      </c>
      <c r="K3174">
        <v>1.1185499999999999</v>
      </c>
      <c r="L3174">
        <v>222.351</v>
      </c>
      <c r="M3174">
        <v>0.62556429999999996</v>
      </c>
      <c r="N3174">
        <v>-1.284923E-2</v>
      </c>
      <c r="O3174">
        <v>-0.78006690000000001</v>
      </c>
      <c r="P3174">
        <v>0.77819340000000004</v>
      </c>
      <c r="Q3174">
        <v>0.1822114</v>
      </c>
      <c r="R3174">
        <v>-0.60101119999999997</v>
      </c>
      <c r="S3174">
        <v>2.485992</v>
      </c>
      <c r="T3174">
        <v>-0.23278460000000001</v>
      </c>
      <c r="U3174">
        <v>-1.846786</v>
      </c>
      <c r="V3174">
        <v>-0.2348798</v>
      </c>
      <c r="W3174">
        <v>0.18988369999999999</v>
      </c>
      <c r="X3174">
        <v>0.95329730000000001</v>
      </c>
      <c r="Y3174">
        <v>-0.25148369999999998</v>
      </c>
      <c r="Z3174">
        <v>5.5530339999999997E-2</v>
      </c>
      <c r="AA3174">
        <v>0.96626719999999999</v>
      </c>
      <c r="AB3174">
        <v>25</v>
      </c>
      <c r="AC3174">
        <v>11.7721999999999</v>
      </c>
      <c r="AD3174">
        <v>-1.118546300292</v>
      </c>
      <c r="AE3174">
        <v>-8.6761999999999908</v>
      </c>
      <c r="AF3174">
        <v>-3.7340471468367298</v>
      </c>
      <c r="AG3174">
        <v>-1.118546300292</v>
      </c>
      <c r="AH3174">
        <v>14.0512464970904</v>
      </c>
      <c r="AI3174">
        <v>94.399358316082697</v>
      </c>
      <c r="AJ3174">
        <v>104.882099009081</v>
      </c>
      <c r="AK3174">
        <v>14.581899123320399</v>
      </c>
      <c r="AL3174">
        <v>79.0540033115075</v>
      </c>
      <c r="AM3174">
        <v>103.841230998692</v>
      </c>
      <c r="AN3174">
        <v>1.0000000410804999</v>
      </c>
    </row>
    <row r="3175" spans="1:40" x14ac:dyDescent="0.25">
      <c r="A3175" t="str">
        <f>"20190304155118103"</f>
        <v>20190304155118103</v>
      </c>
      <c r="B3175" t="str">
        <f>"1551685878100016"</f>
        <v>1551685878100016</v>
      </c>
      <c r="C3175" t="s">
        <v>40</v>
      </c>
      <c r="D3175">
        <v>4.7658509999999996</v>
      </c>
      <c r="E3175">
        <v>0.48885499999999998</v>
      </c>
      <c r="F3175" t="s">
        <v>62</v>
      </c>
      <c r="G3175">
        <v>-475.2004</v>
      </c>
      <c r="H3175" s="1">
        <v>3.6229029999999999E-6</v>
      </c>
      <c r="I3175">
        <v>213.9444</v>
      </c>
      <c r="J3175">
        <v>-486.61790000000002</v>
      </c>
      <c r="K3175">
        <v>1.1186780000000001</v>
      </c>
      <c r="L3175">
        <v>222.17850000000001</v>
      </c>
      <c r="M3175">
        <v>0.63472600000000001</v>
      </c>
      <c r="N3175">
        <v>-1.2950899999999901E-2</v>
      </c>
      <c r="O3175">
        <v>-0.77262889999999995</v>
      </c>
      <c r="P3175">
        <v>0.78530469999999997</v>
      </c>
      <c r="Q3175">
        <v>0.18151980000000001</v>
      </c>
      <c r="R3175">
        <v>-0.59190159999999903</v>
      </c>
      <c r="S3175">
        <v>2.5058590000000001</v>
      </c>
      <c r="T3175">
        <v>-0.24220720000000001</v>
      </c>
      <c r="U3175">
        <v>-1.820343</v>
      </c>
      <c r="V3175">
        <v>-0.2349049</v>
      </c>
      <c r="W3175">
        <v>0.18922310000000001</v>
      </c>
      <c r="X3175">
        <v>0.9534224</v>
      </c>
      <c r="Y3175">
        <v>-0.25024289999999999</v>
      </c>
      <c r="Z3175">
        <v>5.7638330000000002E-2</v>
      </c>
      <c r="AA3175">
        <v>0.96646589999999999</v>
      </c>
      <c r="AB3175">
        <v>25</v>
      </c>
      <c r="AC3175">
        <v>11.4175</v>
      </c>
      <c r="AD3175">
        <v>-1.118674377097</v>
      </c>
      <c r="AE3175">
        <v>-8.2341000000000104</v>
      </c>
      <c r="AF3175">
        <v>-3.57283081749154</v>
      </c>
      <c r="AG3175">
        <v>-1.118674377097</v>
      </c>
      <c r="AH3175">
        <v>13.5246159137094</v>
      </c>
      <c r="AI3175">
        <v>94.572244556300802</v>
      </c>
      <c r="AJ3175">
        <v>104.797913693506</v>
      </c>
      <c r="AK3175">
        <v>14.033238686267399</v>
      </c>
      <c r="AL3175">
        <v>79.092551131408996</v>
      </c>
      <c r="AM3175">
        <v>103.840906759978</v>
      </c>
      <c r="AN3175">
        <v>0.99999998321968997</v>
      </c>
    </row>
    <row r="3176" spans="1:40" x14ac:dyDescent="0.25">
      <c r="A3176" t="str">
        <f>"20190304155118135"</f>
        <v>20190304155118135</v>
      </c>
      <c r="B3176" t="str">
        <f>"1551685878129297"</f>
        <v>1551685878129297</v>
      </c>
      <c r="C3176" t="s">
        <v>40</v>
      </c>
      <c r="D3176">
        <v>4.7578909999999999</v>
      </c>
      <c r="E3176">
        <v>0.49136419999999997</v>
      </c>
      <c r="F3176" t="s">
        <v>62</v>
      </c>
      <c r="G3176">
        <v>-475.20569999999998</v>
      </c>
      <c r="H3176" s="1">
        <v>3.623273E-6</v>
      </c>
      <c r="I3176">
        <v>214.0068</v>
      </c>
      <c r="J3176">
        <v>-486.3854</v>
      </c>
      <c r="K3176">
        <v>1.1188709999999999</v>
      </c>
      <c r="L3176">
        <v>221.92760000000001</v>
      </c>
      <c r="M3176">
        <v>0.64837590000000001</v>
      </c>
      <c r="N3176">
        <v>-1.311327E-2</v>
      </c>
      <c r="O3176">
        <v>-0.76120750000000004</v>
      </c>
      <c r="P3176">
        <v>0.79585890000000004</v>
      </c>
      <c r="Q3176">
        <v>0.1801296</v>
      </c>
      <c r="R3176">
        <v>-0.5780672</v>
      </c>
      <c r="S3176">
        <v>2.5182190000000002</v>
      </c>
      <c r="T3176">
        <v>-0.24684739999999999</v>
      </c>
      <c r="U3176">
        <v>-1.8031619999999999</v>
      </c>
      <c r="V3176">
        <v>-0.2349241</v>
      </c>
      <c r="W3176">
        <v>0.18788289999999999</v>
      </c>
      <c r="X3176">
        <v>0.95368269999999999</v>
      </c>
      <c r="Y3176">
        <v>-0.2395678</v>
      </c>
      <c r="Z3176">
        <v>5.7864730000000003E-2</v>
      </c>
      <c r="AA3176">
        <v>0.96915370000000001</v>
      </c>
      <c r="AB3176">
        <v>25</v>
      </c>
      <c r="AC3176">
        <v>11.1797</v>
      </c>
      <c r="AD3176">
        <v>-1.1188673767270001</v>
      </c>
      <c r="AE3176">
        <v>-7.9208000000000096</v>
      </c>
      <c r="AF3176">
        <v>-3.35235008398173</v>
      </c>
      <c r="AG3176">
        <v>-1.1188673767270001</v>
      </c>
      <c r="AH3176">
        <v>13.1911943731623</v>
      </c>
      <c r="AI3176">
        <v>94.699498785620406</v>
      </c>
      <c r="AJ3176">
        <v>104.25903138066001</v>
      </c>
      <c r="AK3176">
        <v>13.656416963567899</v>
      </c>
      <c r="AL3176">
        <v>79.1707416755238</v>
      </c>
      <c r="AM3176">
        <v>103.83836172377499</v>
      </c>
      <c r="AN3176">
        <v>1.00000000457625</v>
      </c>
    </row>
    <row r="3177" spans="1:40" x14ac:dyDescent="0.25">
      <c r="A3177" t="str">
        <f>"20190304155118158"</f>
        <v>20190304155118158</v>
      </c>
      <c r="B3177" t="str">
        <f>"1551685878149792"</f>
        <v>1551685878149792</v>
      </c>
      <c r="C3177" t="s">
        <v>40</v>
      </c>
      <c r="D3177">
        <v>4.6422410000000003</v>
      </c>
      <c r="E3177">
        <v>0.49233339999999998</v>
      </c>
      <c r="F3177" t="s">
        <v>62</v>
      </c>
      <c r="G3177">
        <v>-474.87419999999997</v>
      </c>
      <c r="H3177" s="1">
        <v>3.7644439999999999E-6</v>
      </c>
      <c r="I3177">
        <v>213.87309999999999</v>
      </c>
      <c r="J3177">
        <v>-486.20639999999997</v>
      </c>
      <c r="K3177">
        <v>1.1190260000000001</v>
      </c>
      <c r="L3177">
        <v>221.74100000000001</v>
      </c>
      <c r="M3177">
        <v>0.65877069999999904</v>
      </c>
      <c r="N3177">
        <v>-1.3236680000000001E-2</v>
      </c>
      <c r="O3177">
        <v>-0.75222730000000004</v>
      </c>
      <c r="P3177">
        <v>0.80361800000000005</v>
      </c>
      <c r="Q3177">
        <v>0.17938229999999999</v>
      </c>
      <c r="R3177">
        <v>-0.56746850000000004</v>
      </c>
      <c r="S3177">
        <v>2.5363159999999998</v>
      </c>
      <c r="T3177">
        <v>-0.2465261</v>
      </c>
      <c r="U3177">
        <v>-1.7746729999999999</v>
      </c>
      <c r="V3177">
        <v>-0.23464199999999999</v>
      </c>
      <c r="W3177">
        <v>0.18717790000000001</v>
      </c>
      <c r="X3177">
        <v>0.95389069999999998</v>
      </c>
      <c r="Y3177">
        <v>-0.2368084</v>
      </c>
      <c r="Z3177">
        <v>5.7165779999999999E-2</v>
      </c>
      <c r="AA3177">
        <v>0.96987310000000004</v>
      </c>
      <c r="AB3177">
        <v>25</v>
      </c>
      <c r="AC3177">
        <v>11.3322</v>
      </c>
      <c r="AD3177">
        <v>-1.119022235556</v>
      </c>
      <c r="AE3177">
        <v>-7.8678999999999899</v>
      </c>
      <c r="AF3177">
        <v>-3.3196993720551</v>
      </c>
      <c r="AG3177">
        <v>-1.119022235556</v>
      </c>
      <c r="AH3177">
        <v>13.2974540110114</v>
      </c>
      <c r="AI3177">
        <v>94.667689268294794</v>
      </c>
      <c r="AJ3177">
        <v>104.017327362035</v>
      </c>
      <c r="AK3177">
        <v>13.751178053514399</v>
      </c>
      <c r="AL3177">
        <v>79.2118641888474</v>
      </c>
      <c r="AM3177">
        <v>103.81948360128099</v>
      </c>
      <c r="AN3177">
        <v>0.99999995097944805</v>
      </c>
    </row>
    <row r="3178" spans="1:40" x14ac:dyDescent="0.25">
      <c r="A3178" t="str">
        <f>"20190304155118181"</f>
        <v>20190304155118181</v>
      </c>
      <c r="B3178" t="str">
        <f>"1551685878169312"</f>
        <v>1551685878169312</v>
      </c>
      <c r="C3178" t="s">
        <v>40</v>
      </c>
      <c r="D3178">
        <v>4.6959359999999997</v>
      </c>
      <c r="E3178">
        <v>0.49389739999999999</v>
      </c>
      <c r="F3178" t="s">
        <v>62</v>
      </c>
      <c r="G3178">
        <v>-474.7962</v>
      </c>
      <c r="H3178" s="1">
        <v>3.8019380000000002E-6</v>
      </c>
      <c r="I3178">
        <v>213.93940000000001</v>
      </c>
      <c r="J3178">
        <v>-486.03550000000001</v>
      </c>
      <c r="K3178">
        <v>1.119165</v>
      </c>
      <c r="L3178">
        <v>221.5676</v>
      </c>
      <c r="M3178">
        <v>0.66860039999999998</v>
      </c>
      <c r="N3178">
        <v>-1.334692E-2</v>
      </c>
      <c r="O3178">
        <v>-0.74350209999999906</v>
      </c>
      <c r="P3178">
        <v>0.81107379999999996</v>
      </c>
      <c r="Q3178">
        <v>0.17913080000000001</v>
      </c>
      <c r="R3178">
        <v>-0.55684069999999997</v>
      </c>
      <c r="S3178">
        <v>2.5553590000000002</v>
      </c>
      <c r="T3178">
        <v>-0.25060900000000003</v>
      </c>
      <c r="U3178">
        <v>-1.7471920000000001</v>
      </c>
      <c r="V3178">
        <v>-0.234759</v>
      </c>
      <c r="W3178">
        <v>0.18695590000000001</v>
      </c>
      <c r="X3178">
        <v>0.95390549999999996</v>
      </c>
      <c r="Y3178">
        <v>-0.2344676</v>
      </c>
      <c r="Z3178">
        <v>5.7627600000000001E-2</v>
      </c>
      <c r="AA3178">
        <v>0.97041429999999995</v>
      </c>
      <c r="AB3178">
        <v>25</v>
      </c>
      <c r="AC3178">
        <v>11.2393</v>
      </c>
      <c r="AD3178">
        <v>-1.119161198062</v>
      </c>
      <c r="AE3178">
        <v>-7.6281999999999899</v>
      </c>
      <c r="AF3178">
        <v>-3.2345584213236598</v>
      </c>
      <c r="AG3178">
        <v>-1.119161198062</v>
      </c>
      <c r="AH3178">
        <v>13.0984413806909</v>
      </c>
      <c r="AI3178">
        <v>94.741861029603797</v>
      </c>
      <c r="AJ3178">
        <v>103.871234012977</v>
      </c>
      <c r="AK3178">
        <v>13.538244220415001</v>
      </c>
      <c r="AL3178">
        <v>79.224812957615299</v>
      </c>
      <c r="AM3178">
        <v>103.825903807004</v>
      </c>
      <c r="AN3178">
        <v>0.99999999977803</v>
      </c>
    </row>
    <row r="3179" spans="1:40" x14ac:dyDescent="0.25">
      <c r="A3179" t="str">
        <f>"20190304155118202"</f>
        <v>20190304155118202</v>
      </c>
      <c r="B3179" t="str">
        <f>"1551685878199569"</f>
        <v>1551685878199569</v>
      </c>
      <c r="C3179" t="s">
        <v>40</v>
      </c>
      <c r="D3179">
        <v>4.673489</v>
      </c>
      <c r="E3179">
        <v>0.50852029999999904</v>
      </c>
      <c r="F3179" t="s">
        <v>62</v>
      </c>
      <c r="G3179">
        <v>-474.52980000000002</v>
      </c>
      <c r="H3179" s="1">
        <v>3.9164439999999998E-6</v>
      </c>
      <c r="I3179">
        <v>213.85599999999999</v>
      </c>
      <c r="J3179">
        <v>-485.87349999999998</v>
      </c>
      <c r="K3179">
        <v>1.1192899999999999</v>
      </c>
      <c r="L3179">
        <v>221.40790000000001</v>
      </c>
      <c r="M3179">
        <v>0.67782030000000004</v>
      </c>
      <c r="N3179">
        <v>-1.344337E-2</v>
      </c>
      <c r="O3179">
        <v>-0.73510469999999895</v>
      </c>
      <c r="P3179">
        <v>0.8179343</v>
      </c>
      <c r="Q3179">
        <v>0.17979010000000001</v>
      </c>
      <c r="R3179">
        <v>-0.54649759999999903</v>
      </c>
      <c r="S3179">
        <v>2.5710139999999999</v>
      </c>
      <c r="T3179">
        <v>-0.250083</v>
      </c>
      <c r="U3179">
        <v>-1.7232209999999999</v>
      </c>
      <c r="V3179">
        <v>-0.23493720000000001</v>
      </c>
      <c r="W3179">
        <v>0.187636</v>
      </c>
      <c r="X3179">
        <v>0.95372809999999997</v>
      </c>
      <c r="Y3179">
        <v>-0.231351</v>
      </c>
      <c r="Z3179">
        <v>5.6871209999999998E-2</v>
      </c>
      <c r="AA3179">
        <v>0.97120669999999998</v>
      </c>
      <c r="AB3179">
        <v>25</v>
      </c>
      <c r="AC3179">
        <v>11.343699999999901</v>
      </c>
      <c r="AD3179">
        <v>-1.1192860835559999</v>
      </c>
      <c r="AE3179">
        <v>-7.5519000000000096</v>
      </c>
      <c r="AF3179">
        <v>-3.19868876060396</v>
      </c>
      <c r="AG3179">
        <v>-1.1192860835559999</v>
      </c>
      <c r="AH3179">
        <v>13.152894693715901</v>
      </c>
      <c r="AI3179">
        <v>94.7269201931651</v>
      </c>
      <c r="AJ3179">
        <v>103.668576195478</v>
      </c>
      <c r="AK3179">
        <v>13.582453752839999</v>
      </c>
      <c r="AL3179">
        <v>79.185144347982998</v>
      </c>
      <c r="AM3179">
        <v>103.838470269274</v>
      </c>
      <c r="AN3179">
        <v>1.0000000225847201</v>
      </c>
    </row>
    <row r="3180" spans="1:40" x14ac:dyDescent="0.25">
      <c r="A3180" t="str">
        <f>"20190304155118223"</f>
        <v>20190304155118223</v>
      </c>
      <c r="B3180" t="str">
        <f>"1551685878220065"</f>
        <v>1551685878220065</v>
      </c>
      <c r="C3180" t="s">
        <v>40</v>
      </c>
      <c r="D3180">
        <v>4.8462680000000002</v>
      </c>
      <c r="E3180">
        <v>0.50503699999999996</v>
      </c>
      <c r="F3180" t="s">
        <v>62</v>
      </c>
      <c r="G3180">
        <v>-473.99520000000001</v>
      </c>
      <c r="H3180" s="1">
        <v>4.116934E-6</v>
      </c>
      <c r="I3180">
        <v>213.01920000000001</v>
      </c>
      <c r="J3180">
        <v>-485.70440000000002</v>
      </c>
      <c r="K3180">
        <v>1.119408</v>
      </c>
      <c r="L3180">
        <v>221.24539999999999</v>
      </c>
      <c r="M3180">
        <v>0.6873534</v>
      </c>
      <c r="N3180">
        <v>-1.354087E-2</v>
      </c>
      <c r="O3180">
        <v>-0.72619699999999998</v>
      </c>
      <c r="P3180">
        <v>0.82562579999999997</v>
      </c>
      <c r="Q3180">
        <v>0.18020749999999999</v>
      </c>
      <c r="R3180">
        <v>-0.53466610000000003</v>
      </c>
      <c r="S3180">
        <v>2.5275270000000001</v>
      </c>
      <c r="T3180">
        <v>-0.2381665</v>
      </c>
      <c r="U3180">
        <v>-1.7849729999999999</v>
      </c>
      <c r="V3180">
        <v>-0.2362213</v>
      </c>
      <c r="W3180">
        <v>0.18805050000000001</v>
      </c>
      <c r="X3180">
        <v>0.95332910000000004</v>
      </c>
      <c r="Y3180">
        <v>-0.19508690000000001</v>
      </c>
      <c r="Z3180">
        <v>5.2077579999999998E-2</v>
      </c>
      <c r="AA3180">
        <v>0.97940240000000001</v>
      </c>
      <c r="AB3180">
        <v>25</v>
      </c>
      <c r="AC3180">
        <v>11.709199999999999</v>
      </c>
      <c r="AD3180">
        <v>-1.119403883066</v>
      </c>
      <c r="AE3180">
        <v>-8.2261999999999702</v>
      </c>
      <c r="AF3180">
        <v>-2.8318119529646602</v>
      </c>
      <c r="AG3180">
        <v>-1.119403883066</v>
      </c>
      <c r="AH3180">
        <v>13.9381942543321</v>
      </c>
      <c r="AI3180">
        <v>94.500132655525604</v>
      </c>
      <c r="AJ3180">
        <v>101.48442415656901</v>
      </c>
      <c r="AK3180">
        <v>14.266936709114299</v>
      </c>
      <c r="AL3180">
        <v>79.160963845980703</v>
      </c>
      <c r="AM3180">
        <v>103.916773254951</v>
      </c>
      <c r="AN3180">
        <v>0.99999993301537204</v>
      </c>
    </row>
    <row r="3181" spans="1:40" x14ac:dyDescent="0.25">
      <c r="A3181" t="str">
        <f>"20190304155118247"</f>
        <v>20190304155118247</v>
      </c>
      <c r="B3181" t="str">
        <f>"1551685878239585"</f>
        <v>1551685878239585</v>
      </c>
      <c r="C3181" t="s">
        <v>40</v>
      </c>
      <c r="D3181">
        <v>4.5205460000000004</v>
      </c>
      <c r="E3181">
        <v>0.4521946</v>
      </c>
      <c r="F3181" t="s">
        <v>79</v>
      </c>
      <c r="G3181">
        <v>-454.14400000000001</v>
      </c>
      <c r="H3181">
        <v>0.77721119999999899</v>
      </c>
      <c r="I3181">
        <v>200.07660000000001</v>
      </c>
      <c r="J3181">
        <v>-485.52300000000002</v>
      </c>
      <c r="K3181">
        <v>1.1195189999999999</v>
      </c>
      <c r="L3181">
        <v>221.07599999999999</v>
      </c>
      <c r="M3181">
        <v>0.69745019999999902</v>
      </c>
      <c r="N3181">
        <v>-1.364365E-2</v>
      </c>
      <c r="O3181">
        <v>-0.71650360000000002</v>
      </c>
      <c r="P3181">
        <v>0.83403059999999996</v>
      </c>
      <c r="Q3181">
        <v>0.1804413</v>
      </c>
      <c r="R3181">
        <v>-0.52137739999999999</v>
      </c>
      <c r="S3181">
        <v>2.537445</v>
      </c>
      <c r="T3181">
        <v>-2.751112E-2</v>
      </c>
      <c r="U3181">
        <v>-1.701965</v>
      </c>
      <c r="V3181">
        <v>-0.23816660000000001</v>
      </c>
      <c r="W3181">
        <v>0.18827199999999999</v>
      </c>
      <c r="X3181">
        <v>0.95280129999999996</v>
      </c>
      <c r="Y3181">
        <v>-0.20652719999999999</v>
      </c>
      <c r="Z3181">
        <v>-1.675738E-3</v>
      </c>
      <c r="AA3181">
        <v>0.97843950000000002</v>
      </c>
      <c r="AB3181">
        <v>25</v>
      </c>
      <c r="AC3181">
        <v>31.379000000000001</v>
      </c>
      <c r="AD3181">
        <v>-0.3423078</v>
      </c>
      <c r="AE3181">
        <v>-20.999399999999898</v>
      </c>
      <c r="AF3181">
        <v>-7.8372147851302296</v>
      </c>
      <c r="AG3181">
        <v>-0.3423078</v>
      </c>
      <c r="AH3181">
        <v>36.931831600953998</v>
      </c>
      <c r="AI3181">
        <v>90.519471677602397</v>
      </c>
      <c r="AJ3181">
        <v>101.980868064438</v>
      </c>
      <c r="AK3181">
        <v>37.755784929192401</v>
      </c>
      <c r="AL3181">
        <v>79.148042717429107</v>
      </c>
      <c r="AM3181">
        <v>104.034334727253</v>
      </c>
      <c r="AN3181">
        <v>0.99999999631062497</v>
      </c>
    </row>
    <row r="3182" spans="1:40" x14ac:dyDescent="0.25">
      <c r="A3182" t="str">
        <f>"20190304155118270"</f>
        <v>20190304155118270</v>
      </c>
      <c r="B3182" t="str">
        <f>"1551685878260081"</f>
        <v>1551685878260081</v>
      </c>
      <c r="C3182" t="s">
        <v>40</v>
      </c>
      <c r="D3182">
        <v>4.5410539999999999</v>
      </c>
      <c r="E3182">
        <v>0.44760100000000003</v>
      </c>
      <c r="F3182" t="s">
        <v>62</v>
      </c>
      <c r="G3182">
        <v>-470.44290000000001</v>
      </c>
      <c r="H3182" s="1">
        <v>5.734228E-6</v>
      </c>
      <c r="I3182">
        <v>213.97980000000001</v>
      </c>
      <c r="J3182">
        <v>-485.34269999999998</v>
      </c>
      <c r="K3182">
        <v>1.119615</v>
      </c>
      <c r="L3182">
        <v>220.91290000000001</v>
      </c>
      <c r="M3182">
        <v>0.70734589999999997</v>
      </c>
      <c r="N3182">
        <v>-1.373892E-2</v>
      </c>
      <c r="O3182">
        <v>-0.70673439999999998</v>
      </c>
      <c r="P3182">
        <v>0.84205620000000003</v>
      </c>
      <c r="Q3182">
        <v>0.1805969</v>
      </c>
      <c r="R3182">
        <v>-0.50825829999999905</v>
      </c>
      <c r="S3182">
        <v>2.814362</v>
      </c>
      <c r="T3182">
        <v>-0.2089318</v>
      </c>
      <c r="U3182">
        <v>-1.324341</v>
      </c>
      <c r="V3182">
        <v>-0.23985880000000001</v>
      </c>
      <c r="W3182">
        <v>0.18842239999999999</v>
      </c>
      <c r="X3182">
        <v>0.95234700000000005</v>
      </c>
      <c r="Y3182">
        <v>-0.33678819999999998</v>
      </c>
      <c r="Z3182">
        <v>4.7620669999999997E-2</v>
      </c>
      <c r="AA3182">
        <v>0.94037539999999997</v>
      </c>
      <c r="AB3182">
        <v>25</v>
      </c>
      <c r="AC3182">
        <v>14.8997999999999</v>
      </c>
      <c r="AD3182">
        <v>-1.119609265772</v>
      </c>
      <c r="AE3182">
        <v>-6.9330999999999898</v>
      </c>
      <c r="AF3182">
        <v>-5.6006359655017102</v>
      </c>
      <c r="AG3182">
        <v>-1.119609265772</v>
      </c>
      <c r="AH3182">
        <v>15.369290475958101</v>
      </c>
      <c r="AI3182">
        <v>93.915468174108995</v>
      </c>
      <c r="AJ3182">
        <v>110.021959226055</v>
      </c>
      <c r="AK3182">
        <v>16.396211082455899</v>
      </c>
      <c r="AL3182">
        <v>79.139268726529806</v>
      </c>
      <c r="AM3182">
        <v>104.13653953521499</v>
      </c>
      <c r="AN3182">
        <v>1.00000002658409</v>
      </c>
    </row>
    <row r="3183" spans="1:40" x14ac:dyDescent="0.25">
      <c r="A3183" t="str">
        <f>"20190304155118294"</f>
        <v>20190304155118294</v>
      </c>
      <c r="B3183" t="str">
        <f>"1551685878289360"</f>
        <v>1551685878289360</v>
      </c>
      <c r="C3183" t="s">
        <v>40</v>
      </c>
      <c r="D3183">
        <v>4.3716039999999996</v>
      </c>
      <c r="E3183">
        <v>0.44614720000000002</v>
      </c>
      <c r="F3183" t="s">
        <v>62</v>
      </c>
      <c r="G3183">
        <v>-470.2901</v>
      </c>
      <c r="H3183" s="1">
        <v>5.8166999999999997E-6</v>
      </c>
      <c r="I3183">
        <v>214.3168</v>
      </c>
      <c r="J3183">
        <v>-485.15050000000002</v>
      </c>
      <c r="K3183">
        <v>1.119702</v>
      </c>
      <c r="L3183">
        <v>220.74420000000001</v>
      </c>
      <c r="M3183">
        <v>0.717719</v>
      </c>
      <c r="N3183">
        <v>-1.3829269999999999E-2</v>
      </c>
      <c r="O3183">
        <v>-0.69619580000000003</v>
      </c>
      <c r="P3183">
        <v>0.84979939999999998</v>
      </c>
      <c r="Q3183">
        <v>0.18061140000000001</v>
      </c>
      <c r="R3183">
        <v>-0.49519819999999998</v>
      </c>
      <c r="S3183">
        <v>2.853485</v>
      </c>
      <c r="T3183">
        <v>-0.2122416</v>
      </c>
      <c r="U3183">
        <v>-1.250397</v>
      </c>
      <c r="V3183">
        <v>-0.24051739999999999</v>
      </c>
      <c r="W3183">
        <v>0.1884584</v>
      </c>
      <c r="X3183">
        <v>0.95217370000000001</v>
      </c>
      <c r="Y3183">
        <v>-0.34801079999999901</v>
      </c>
      <c r="Z3183">
        <v>4.8295129999999999E-2</v>
      </c>
      <c r="AA3183">
        <v>0.93624569999999996</v>
      </c>
      <c r="AB3183">
        <v>25</v>
      </c>
      <c r="AC3183">
        <v>14.8604</v>
      </c>
      <c r="AD3183">
        <v>-1.1196961833000001</v>
      </c>
      <c r="AE3183">
        <v>-6.4273999999999996</v>
      </c>
      <c r="AF3183">
        <v>-5.7059389643189498</v>
      </c>
      <c r="AG3183">
        <v>-1.1196961833000001</v>
      </c>
      <c r="AH3183">
        <v>15.069693241271599</v>
      </c>
      <c r="AI3183">
        <v>93.974919146405995</v>
      </c>
      <c r="AJ3183">
        <v>110.738505009344</v>
      </c>
      <c r="AK3183">
        <v>16.152619397282201</v>
      </c>
      <c r="AL3183">
        <v>79.137167846794895</v>
      </c>
      <c r="AM3183">
        <v>104.176268773506</v>
      </c>
      <c r="AN3183">
        <v>0.99999997160250398</v>
      </c>
    </row>
    <row r="3184" spans="1:40" x14ac:dyDescent="0.25">
      <c r="A3184" t="str">
        <f>"20190304155118315"</f>
        <v>20190304155118315</v>
      </c>
      <c r="B3184" t="str">
        <f>"1551685878309856"</f>
        <v>1551685878309856</v>
      </c>
      <c r="C3184" t="s">
        <v>40</v>
      </c>
      <c r="D3184">
        <v>4.4689079999999999</v>
      </c>
      <c r="E3184">
        <v>0.44592150000000003</v>
      </c>
      <c r="F3184" t="s">
        <v>70</v>
      </c>
      <c r="G3184">
        <v>-469.81970000000001</v>
      </c>
      <c r="H3184" s="1">
        <v>3.699435E-6</v>
      </c>
      <c r="I3184">
        <v>214.37280000000001</v>
      </c>
      <c r="J3184">
        <v>-484.9751</v>
      </c>
      <c r="K3184">
        <v>1.119766</v>
      </c>
      <c r="L3184">
        <v>220.59469999999999</v>
      </c>
      <c r="M3184">
        <v>0.72699899999999995</v>
      </c>
      <c r="N3184">
        <v>-1.3901409999999999E-2</v>
      </c>
      <c r="O3184">
        <v>-0.68649780000000005</v>
      </c>
      <c r="P3184">
        <v>0.85627379999999997</v>
      </c>
      <c r="Q3184">
        <v>0.1807503</v>
      </c>
      <c r="R3184">
        <v>-0.48386400000000002</v>
      </c>
      <c r="S3184">
        <v>2.8779910000000002</v>
      </c>
      <c r="T3184">
        <v>-0.21019779999999999</v>
      </c>
      <c r="U3184">
        <v>-1.196075</v>
      </c>
      <c r="V3184">
        <v>-0.240396</v>
      </c>
      <c r="W3184">
        <v>0.18863630000000001</v>
      </c>
      <c r="X3184">
        <v>0.95216920000000005</v>
      </c>
      <c r="Y3184">
        <v>-0.35336240000000002</v>
      </c>
      <c r="Z3184">
        <v>4.7485949999999999E-2</v>
      </c>
      <c r="AA3184">
        <v>0.93428049999999996</v>
      </c>
      <c r="AB3184">
        <v>25</v>
      </c>
      <c r="AC3184">
        <v>15.155399999999901</v>
      </c>
      <c r="AD3184">
        <v>-1.1197623005649999</v>
      </c>
      <c r="AE3184">
        <v>-6.2218999999999696</v>
      </c>
      <c r="AF3184">
        <v>-5.85405371950025</v>
      </c>
      <c r="AG3184">
        <v>-1.1197623005649999</v>
      </c>
      <c r="AH3184">
        <v>15.219657444899701</v>
      </c>
      <c r="AI3184">
        <v>93.928272471340506</v>
      </c>
      <c r="AJ3184">
        <v>111.03862379666</v>
      </c>
      <c r="AK3184">
        <v>16.345084438468099</v>
      </c>
      <c r="AL3184">
        <v>79.126789499527803</v>
      </c>
      <c r="AM3184">
        <v>104.16946590167299</v>
      </c>
      <c r="AN3184">
        <v>1.00000003796116</v>
      </c>
    </row>
    <row r="3185" spans="1:40" x14ac:dyDescent="0.25">
      <c r="A3185" t="str">
        <f>"20190304155118339"</f>
        <v>20190304155118339</v>
      </c>
      <c r="B3185" t="str">
        <f>"1551685878329377"</f>
        <v>1551685878329377</v>
      </c>
      <c r="C3185" t="s">
        <v>40</v>
      </c>
      <c r="D3185">
        <v>4.4837600000000002</v>
      </c>
      <c r="E3185">
        <v>0.44582709999999998</v>
      </c>
      <c r="F3185" t="s">
        <v>70</v>
      </c>
      <c r="G3185">
        <v>-469.14729999999997</v>
      </c>
      <c r="H3185" s="1">
        <v>3.345831E-6</v>
      </c>
      <c r="I3185">
        <v>214.2757</v>
      </c>
      <c r="J3185">
        <v>-484.78489999999999</v>
      </c>
      <c r="K3185">
        <v>1.1198090000000001</v>
      </c>
      <c r="L3185">
        <v>220.43700000000001</v>
      </c>
      <c r="M3185">
        <v>0.73686640000000003</v>
      </c>
      <c r="N3185">
        <v>-1.3969199999999999E-2</v>
      </c>
      <c r="O3185">
        <v>-0.675894199999999</v>
      </c>
      <c r="P3185">
        <v>0.86302089999999998</v>
      </c>
      <c r="Q3185">
        <v>0.18061659999999999</v>
      </c>
      <c r="R3185">
        <v>-0.47177639999999998</v>
      </c>
      <c r="S3185">
        <v>2.8939210000000002</v>
      </c>
      <c r="T3185">
        <v>-0.20473459999999999</v>
      </c>
      <c r="U3185">
        <v>-1.1553500000000001</v>
      </c>
      <c r="V3185">
        <v>-0.2400275</v>
      </c>
      <c r="W3185">
        <v>0.18855250000000001</v>
      </c>
      <c r="X3185">
        <v>0.95227870000000003</v>
      </c>
      <c r="Y3185">
        <v>-0.35302630000000002</v>
      </c>
      <c r="Z3185">
        <v>4.561395E-2</v>
      </c>
      <c r="AA3185">
        <v>0.93450089999999997</v>
      </c>
      <c r="AB3185">
        <v>24</v>
      </c>
      <c r="AC3185">
        <v>15.637600000000001</v>
      </c>
      <c r="AD3185">
        <v>-1.119805654169</v>
      </c>
      <c r="AE3185">
        <v>-6.1613000000000104</v>
      </c>
      <c r="AF3185">
        <v>-6.00324829082862</v>
      </c>
      <c r="AG3185">
        <v>-1.119805654169</v>
      </c>
      <c r="AH3185">
        <v>15.6194056317714</v>
      </c>
      <c r="AI3185">
        <v>93.828560174717694</v>
      </c>
      <c r="AJ3185">
        <v>111.024039320216</v>
      </c>
      <c r="AK3185">
        <v>16.770771807947799</v>
      </c>
      <c r="AL3185">
        <v>79.131678029689994</v>
      </c>
      <c r="AM3185">
        <v>104.147057029265</v>
      </c>
      <c r="AN3185">
        <v>0.999999984243094</v>
      </c>
    </row>
    <row r="3186" spans="1:40" x14ac:dyDescent="0.25">
      <c r="A3186" t="str">
        <f>"20190304155118362"</f>
        <v>20190304155118362</v>
      </c>
      <c r="B3186" t="str">
        <f>"1551685878359632"</f>
        <v>1551685878359632</v>
      </c>
      <c r="C3186" t="s">
        <v>40</v>
      </c>
      <c r="D3186">
        <v>4.4708399999999999</v>
      </c>
      <c r="E3186">
        <v>0.44639440000000002</v>
      </c>
      <c r="F3186" t="s">
        <v>70</v>
      </c>
      <c r="G3186">
        <v>-468.49149999999997</v>
      </c>
      <c r="H3186" s="1">
        <v>2.9997740000000002E-6</v>
      </c>
      <c r="I3186">
        <v>214.20910000000001</v>
      </c>
      <c r="J3186">
        <v>-484.59010000000001</v>
      </c>
      <c r="K3186">
        <v>1.119834</v>
      </c>
      <c r="L3186">
        <v>220.28039999999999</v>
      </c>
      <c r="M3186">
        <v>0.74673880000000004</v>
      </c>
      <c r="N3186">
        <v>-1.4028769999999999E-2</v>
      </c>
      <c r="O3186">
        <v>-0.66496959999999905</v>
      </c>
      <c r="P3186">
        <v>0.86941780000000002</v>
      </c>
      <c r="Q3186">
        <v>0.18138899999999999</v>
      </c>
      <c r="R3186">
        <v>-0.45957700000000001</v>
      </c>
      <c r="S3186">
        <v>2.9099729999999999</v>
      </c>
      <c r="T3186">
        <v>-0.19999620000000001</v>
      </c>
      <c r="U3186">
        <v>-1.1123050000000001</v>
      </c>
      <c r="V3186">
        <v>-0.23933689999999999</v>
      </c>
      <c r="W3186">
        <v>0.1893832</v>
      </c>
      <c r="X3186">
        <v>0.95228769999999996</v>
      </c>
      <c r="Y3186">
        <v>-0.3531165</v>
      </c>
      <c r="Z3186">
        <v>4.3962929999999997E-2</v>
      </c>
      <c r="AA3186">
        <v>0.93454590000000004</v>
      </c>
      <c r="AB3186">
        <v>24</v>
      </c>
      <c r="AC3186">
        <v>16.098600000000001</v>
      </c>
      <c r="AD3186">
        <v>-1.1198310002259999</v>
      </c>
      <c r="AE3186">
        <v>-6.0712999999999804</v>
      </c>
      <c r="AF3186">
        <v>-6.1459755154348903</v>
      </c>
      <c r="AG3186">
        <v>-1.1198310002259999</v>
      </c>
      <c r="AH3186">
        <v>15.9925105897648</v>
      </c>
      <c r="AI3186">
        <v>93.739633416825498</v>
      </c>
      <c r="AJ3186">
        <v>111.02193540850899</v>
      </c>
      <c r="AK3186">
        <v>17.169374812995802</v>
      </c>
      <c r="AL3186">
        <v>79.0832094120764</v>
      </c>
      <c r="AM3186">
        <v>104.107853112141</v>
      </c>
      <c r="AN3186">
        <v>1.00000000585757</v>
      </c>
    </row>
    <row r="3187" spans="1:40" x14ac:dyDescent="0.25">
      <c r="A3187" t="str">
        <f>"20190304155118384"</f>
        <v>20190304155118384</v>
      </c>
      <c r="B3187" t="str">
        <f>"1551685878380129"</f>
        <v>1551685878380129</v>
      </c>
      <c r="C3187" t="s">
        <v>40</v>
      </c>
      <c r="D3187">
        <v>4.4265489999999996</v>
      </c>
      <c r="E3187">
        <v>0.44709140000000003</v>
      </c>
      <c r="F3187" t="s">
        <v>70</v>
      </c>
      <c r="G3187">
        <v>-467.97160000000002</v>
      </c>
      <c r="H3187" s="1">
        <v>2.7252990000000002E-6</v>
      </c>
      <c r="I3187">
        <v>214.15870000000001</v>
      </c>
      <c r="J3187">
        <v>-484.4092</v>
      </c>
      <c r="K3187">
        <v>1.1198490000000001</v>
      </c>
      <c r="L3187">
        <v>220.13919999999999</v>
      </c>
      <c r="M3187">
        <v>0.75569149999999996</v>
      </c>
      <c r="N3187">
        <v>-1.4079660000000001E-2</v>
      </c>
      <c r="O3187">
        <v>-0.65477649999999998</v>
      </c>
      <c r="P3187">
        <v>0.87488509999999997</v>
      </c>
      <c r="Q3187">
        <v>0.18222749999999999</v>
      </c>
      <c r="R3187">
        <v>-0.44874209999999898</v>
      </c>
      <c r="S3187">
        <v>2.9226070000000002</v>
      </c>
      <c r="T3187">
        <v>-0.1969388</v>
      </c>
      <c r="U3187">
        <v>-1.0765990000000001</v>
      </c>
      <c r="V3187">
        <v>-0.23815339999999999</v>
      </c>
      <c r="W3187">
        <v>0.19029289999999999</v>
      </c>
      <c r="X3187">
        <v>0.95240309999999995</v>
      </c>
      <c r="Y3187">
        <v>-0.35184660000000001</v>
      </c>
      <c r="Z3187">
        <v>4.2749509999999998E-2</v>
      </c>
      <c r="AA3187">
        <v>0.93508100000000005</v>
      </c>
      <c r="AB3187">
        <v>24</v>
      </c>
      <c r="AC3187">
        <v>16.4375999999999</v>
      </c>
      <c r="AD3187">
        <v>-1.1198462747009901</v>
      </c>
      <c r="AE3187">
        <v>-5.98049999999997</v>
      </c>
      <c r="AF3187">
        <v>-6.2186709386228198</v>
      </c>
      <c r="AG3187">
        <v>-1.1198462747009901</v>
      </c>
      <c r="AH3187">
        <v>16.272566814182898</v>
      </c>
      <c r="AI3187">
        <v>93.678131209113701</v>
      </c>
      <c r="AJ3187">
        <v>110.914692974996</v>
      </c>
      <c r="AK3187">
        <v>17.456298423316401</v>
      </c>
      <c r="AL3187">
        <v>79.0301225288583</v>
      </c>
      <c r="AM3187">
        <v>104.039223077462</v>
      </c>
      <c r="AN3187">
        <v>1.00000004730578</v>
      </c>
    </row>
    <row r="3188" spans="1:40" x14ac:dyDescent="0.25">
      <c r="A3188" t="str">
        <f>"20190304155118404"</f>
        <v>20190304155118404</v>
      </c>
      <c r="B3188" t="str">
        <f>"1551685878399649"</f>
        <v>1551685878399649</v>
      </c>
      <c r="C3188" t="s">
        <v>40</v>
      </c>
      <c r="D3188">
        <v>4.3518699999999999</v>
      </c>
      <c r="E3188">
        <v>0.44766070000000002</v>
      </c>
      <c r="F3188" t="s">
        <v>70</v>
      </c>
      <c r="G3188">
        <v>-467.70499999999998</v>
      </c>
      <c r="H3188" s="1">
        <v>2.5823790000000001E-6</v>
      </c>
      <c r="I3188">
        <v>214.18219999999999</v>
      </c>
      <c r="J3188">
        <v>-484.23099999999999</v>
      </c>
      <c r="K3188">
        <v>1.119848</v>
      </c>
      <c r="L3188">
        <v>220.00399999999999</v>
      </c>
      <c r="M3188">
        <v>0.76429659999999999</v>
      </c>
      <c r="N3188">
        <v>-1.41274E-2</v>
      </c>
      <c r="O3188">
        <v>-0.64471029999999996</v>
      </c>
      <c r="P3188">
        <v>0.87967929999999905</v>
      </c>
      <c r="Q3188">
        <v>0.1826826</v>
      </c>
      <c r="R3188">
        <v>-0.43908049999999998</v>
      </c>
      <c r="S3188">
        <v>2.9334410000000002</v>
      </c>
      <c r="T3188">
        <v>-0.1966571</v>
      </c>
      <c r="U3188">
        <v>-1.0461119999999999</v>
      </c>
      <c r="V3188">
        <v>-0.23597199999999999</v>
      </c>
      <c r="W3188">
        <v>0.19084989999999999</v>
      </c>
      <c r="X3188">
        <v>0.95283450000000003</v>
      </c>
      <c r="Y3188">
        <v>-0.34918389999999999</v>
      </c>
      <c r="Z3188">
        <v>4.2198550000000001E-2</v>
      </c>
      <c r="AA3188">
        <v>0.93610349999999998</v>
      </c>
      <c r="AB3188">
        <v>24</v>
      </c>
      <c r="AC3188">
        <v>16.526</v>
      </c>
      <c r="AD3188">
        <v>-1.119845417621</v>
      </c>
      <c r="AE3188">
        <v>-5.8218000000000201</v>
      </c>
      <c r="AF3188">
        <v>-6.18027357505333</v>
      </c>
      <c r="AG3188">
        <v>-1.119845417621</v>
      </c>
      <c r="AH3188">
        <v>16.3191123167197</v>
      </c>
      <c r="AI3188">
        <v>93.671853741767904</v>
      </c>
      <c r="AJ3188">
        <v>110.742370005499</v>
      </c>
      <c r="AK3188">
        <v>17.486087670705</v>
      </c>
      <c r="AL3188">
        <v>78.997612760440504</v>
      </c>
      <c r="AM3188">
        <v>103.90959246849</v>
      </c>
      <c r="AN3188">
        <v>1.0000000267521201</v>
      </c>
    </row>
    <row r="3189" spans="1:40" x14ac:dyDescent="0.25">
      <c r="A3189" t="str">
        <f>"20190304155118426"</f>
        <v>20190304155118426</v>
      </c>
      <c r="B3189" t="str">
        <f>"1551685878420145"</f>
        <v>1551685878420145</v>
      </c>
      <c r="C3189" t="s">
        <v>40</v>
      </c>
      <c r="D3189">
        <v>4.4185460000000001</v>
      </c>
      <c r="E3189">
        <v>0.44809290000000002</v>
      </c>
      <c r="F3189" t="s">
        <v>70</v>
      </c>
      <c r="G3189">
        <v>-467.2903</v>
      </c>
      <c r="H3189" s="1">
        <v>2.3629829999999998E-6</v>
      </c>
      <c r="I3189">
        <v>214.15289999999999</v>
      </c>
      <c r="J3189">
        <v>-484.03769999999997</v>
      </c>
      <c r="K3189">
        <v>1.1198429999999999</v>
      </c>
      <c r="L3189">
        <v>219.8613</v>
      </c>
      <c r="M3189">
        <v>0.77339760000000002</v>
      </c>
      <c r="N3189">
        <v>-1.418239E-2</v>
      </c>
      <c r="O3189">
        <v>-0.63376269999999901</v>
      </c>
      <c r="P3189">
        <v>0.8850751</v>
      </c>
      <c r="Q3189">
        <v>0.1831573</v>
      </c>
      <c r="R3189">
        <v>-0.42789709999999997</v>
      </c>
      <c r="S3189">
        <v>2.9433289999999999</v>
      </c>
      <c r="T3189">
        <v>-0.19456480000000001</v>
      </c>
      <c r="U3189">
        <v>-1.016586</v>
      </c>
      <c r="V3189">
        <v>-0.23442250000000001</v>
      </c>
      <c r="W3189">
        <v>0.19142190000000001</v>
      </c>
      <c r="X3189">
        <v>0.95310220000000001</v>
      </c>
      <c r="Y3189">
        <v>-0.34525080000000002</v>
      </c>
      <c r="Z3189">
        <v>4.1123600000000003E-2</v>
      </c>
      <c r="AA3189">
        <v>0.93760900000000003</v>
      </c>
      <c r="AB3189">
        <v>24</v>
      </c>
      <c r="AC3189">
        <v>16.747399999999899</v>
      </c>
      <c r="AD3189">
        <v>-1.119840637017</v>
      </c>
      <c r="AE3189">
        <v>-5.7084000000000099</v>
      </c>
      <c r="AF3189">
        <v>-6.1749025769172796</v>
      </c>
      <c r="AG3189">
        <v>-1.119840637017</v>
      </c>
      <c r="AH3189">
        <v>16.5057177795297</v>
      </c>
      <c r="AI3189">
        <v>93.635941429246998</v>
      </c>
      <c r="AJ3189">
        <v>110.511168911327</v>
      </c>
      <c r="AK3189">
        <v>17.658487599571401</v>
      </c>
      <c r="AL3189">
        <v>78.964224019624794</v>
      </c>
      <c r="AM3189">
        <v>103.818035769556</v>
      </c>
      <c r="AN3189">
        <v>1.00000002797534</v>
      </c>
    </row>
    <row r="3190" spans="1:40" x14ac:dyDescent="0.25">
      <c r="A3190" t="str">
        <f>"20190304155118450"</f>
        <v>20190304155118450</v>
      </c>
      <c r="B3190" t="str">
        <f>"1551685878439665"</f>
        <v>1551685878439665</v>
      </c>
      <c r="C3190" t="s">
        <v>40</v>
      </c>
      <c r="D3190">
        <v>4.4307480000000004</v>
      </c>
      <c r="E3190">
        <v>0.44865100000000002</v>
      </c>
      <c r="F3190" t="s">
        <v>70</v>
      </c>
      <c r="G3190">
        <v>-466.5865</v>
      </c>
      <c r="H3190" s="1">
        <v>1.991925E-6</v>
      </c>
      <c r="I3190">
        <v>214.0736</v>
      </c>
      <c r="J3190">
        <v>-483.8365</v>
      </c>
      <c r="K3190">
        <v>1.119837</v>
      </c>
      <c r="L3190">
        <v>219.7176</v>
      </c>
      <c r="M3190">
        <v>0.78260419999999997</v>
      </c>
      <c r="N3190">
        <v>-1.424285E-2</v>
      </c>
      <c r="O3190">
        <v>-0.62235699999999905</v>
      </c>
      <c r="P3190">
        <v>0.8910226</v>
      </c>
      <c r="Q3190">
        <v>0.183923</v>
      </c>
      <c r="R3190">
        <v>-0.41503190000000001</v>
      </c>
      <c r="S3190">
        <v>2.954987</v>
      </c>
      <c r="T3190">
        <v>-0.1896205</v>
      </c>
      <c r="U3190">
        <v>-0.98002619999999896</v>
      </c>
      <c r="V3190">
        <v>-0.23416799999999999</v>
      </c>
      <c r="W3190">
        <v>0.1922605</v>
      </c>
      <c r="X3190">
        <v>0.95299599999999995</v>
      </c>
      <c r="Y3190">
        <v>-0.34313660000000001</v>
      </c>
      <c r="Z3190">
        <v>3.9406419999999998E-2</v>
      </c>
      <c r="AA3190">
        <v>0.93845849999999997</v>
      </c>
      <c r="AB3190">
        <v>24</v>
      </c>
      <c r="AC3190">
        <v>17.25</v>
      </c>
      <c r="AD3190">
        <v>-1.1198350080749999</v>
      </c>
      <c r="AE3190">
        <v>-5.6440000000000001</v>
      </c>
      <c r="AF3190">
        <v>-6.2953146878555897</v>
      </c>
      <c r="AG3190">
        <v>-1.1198350080749999</v>
      </c>
      <c r="AH3190">
        <v>16.949703163393099</v>
      </c>
      <c r="AI3190">
        <v>93.544045403799601</v>
      </c>
      <c r="AJ3190">
        <v>110.375575703419</v>
      </c>
      <c r="AK3190">
        <v>18.115668764679299</v>
      </c>
      <c r="AL3190">
        <v>78.915266844559298</v>
      </c>
      <c r="AM3190">
        <v>103.8050877352</v>
      </c>
      <c r="AN3190">
        <v>1.0000000640501201</v>
      </c>
    </row>
    <row r="3191" spans="1:40" x14ac:dyDescent="0.25">
      <c r="A3191" t="str">
        <f>"20190304155118472"</f>
        <v>20190304155118472</v>
      </c>
      <c r="B3191" t="str">
        <f>"1551685878469921"</f>
        <v>1551685878469921</v>
      </c>
      <c r="C3191" t="s">
        <v>40</v>
      </c>
      <c r="D3191">
        <v>4.4370240000000001</v>
      </c>
      <c r="E3191">
        <v>0.44931120000000002</v>
      </c>
      <c r="F3191" t="s">
        <v>70</v>
      </c>
      <c r="G3191">
        <v>-465.98430000000002</v>
      </c>
      <c r="H3191" s="1">
        <v>1.6722259999999999E-6</v>
      </c>
      <c r="I3191">
        <v>214.05699999999999</v>
      </c>
      <c r="J3191">
        <v>-483.64210000000003</v>
      </c>
      <c r="K3191">
        <v>1.1198250000000001</v>
      </c>
      <c r="L3191">
        <v>219.5829</v>
      </c>
      <c r="M3191">
        <v>0.79124969999999994</v>
      </c>
      <c r="N3191">
        <v>-1.4302179999999999E-2</v>
      </c>
      <c r="O3191">
        <v>-0.61132600000000004</v>
      </c>
      <c r="P3191">
        <v>0.89680360000000003</v>
      </c>
      <c r="Q3191">
        <v>0.18470139999999999</v>
      </c>
      <c r="R3191">
        <v>-0.40203080000000002</v>
      </c>
      <c r="S3191">
        <v>2.967133</v>
      </c>
      <c r="T3191">
        <v>-0.18612310000000001</v>
      </c>
      <c r="U3191">
        <v>-0.94082639999999995</v>
      </c>
      <c r="V3191">
        <v>-0.2345824</v>
      </c>
      <c r="W3191">
        <v>0.1930934</v>
      </c>
      <c r="X3191">
        <v>0.95272559999999995</v>
      </c>
      <c r="Y3191">
        <v>-0.34240549999999997</v>
      </c>
      <c r="Z3191">
        <v>3.8122389999999999E-2</v>
      </c>
      <c r="AA3191">
        <v>0.93877849999999996</v>
      </c>
      <c r="AB3191">
        <v>24</v>
      </c>
      <c r="AC3191">
        <v>17.657800000000002</v>
      </c>
      <c r="AD3191">
        <v>-1.119823327774</v>
      </c>
      <c r="AE3191">
        <v>-5.5258999999999698</v>
      </c>
      <c r="AF3191">
        <v>-6.3995199657902697</v>
      </c>
      <c r="AG3191">
        <v>-1.119823327774</v>
      </c>
      <c r="AH3191">
        <v>17.288300117246902</v>
      </c>
      <c r="AI3191">
        <v>93.476178684717496</v>
      </c>
      <c r="AJ3191">
        <v>110.312778055286</v>
      </c>
      <c r="AK3191">
        <v>18.468708157907901</v>
      </c>
      <c r="AL3191">
        <v>78.866633380040199</v>
      </c>
      <c r="AM3191">
        <v>103.83235528121401</v>
      </c>
      <c r="AN3191">
        <v>1.0000000162043301</v>
      </c>
    </row>
    <row r="3192" spans="1:40" x14ac:dyDescent="0.25">
      <c r="A3192" t="str">
        <f>"20190304155118495"</f>
        <v>20190304155118495</v>
      </c>
      <c r="B3192" t="str">
        <f>"1551685878489441"</f>
        <v>1551685878489441</v>
      </c>
      <c r="C3192" t="s">
        <v>40</v>
      </c>
      <c r="D3192">
        <v>4.4353989999999897</v>
      </c>
      <c r="E3192">
        <v>0.44985619999999998</v>
      </c>
      <c r="F3192" t="s">
        <v>70</v>
      </c>
      <c r="G3192">
        <v>-465.36419999999998</v>
      </c>
      <c r="H3192" s="1">
        <v>1.342605E-6</v>
      </c>
      <c r="I3192">
        <v>214.04859999999999</v>
      </c>
      <c r="J3192">
        <v>-483.44639999999998</v>
      </c>
      <c r="K3192">
        <v>1.1198109999999999</v>
      </c>
      <c r="L3192">
        <v>219.4513</v>
      </c>
      <c r="M3192">
        <v>0.79971269999999905</v>
      </c>
      <c r="N3192">
        <v>-1.436046E-2</v>
      </c>
      <c r="O3192">
        <v>-0.6002111</v>
      </c>
      <c r="P3192">
        <v>0.90202439999999995</v>
      </c>
      <c r="Q3192">
        <v>0.18438760000000001</v>
      </c>
      <c r="R3192">
        <v>-0.39032499999999998</v>
      </c>
      <c r="S3192">
        <v>2.9785460000000001</v>
      </c>
      <c r="T3192">
        <v>-0.1824856</v>
      </c>
      <c r="U3192">
        <v>-0.90187070000000003</v>
      </c>
      <c r="V3192">
        <v>-0.23369190000000001</v>
      </c>
      <c r="W3192">
        <v>0.19287019999999999</v>
      </c>
      <c r="X3192">
        <v>0.95298959999999999</v>
      </c>
      <c r="Y3192">
        <v>-0.34158529999999998</v>
      </c>
      <c r="Z3192">
        <v>3.6820180000000001E-2</v>
      </c>
      <c r="AA3192">
        <v>0.93912929999999994</v>
      </c>
      <c r="AB3192">
        <v>24</v>
      </c>
      <c r="AC3192">
        <v>18.0822</v>
      </c>
      <c r="AD3192">
        <v>-1.119809657395</v>
      </c>
      <c r="AE3192">
        <v>-5.4027000000000003</v>
      </c>
      <c r="AF3192">
        <v>-6.51028125025094</v>
      </c>
      <c r="AG3192">
        <v>-1.119809657395</v>
      </c>
      <c r="AH3192">
        <v>17.643032566410799</v>
      </c>
      <c r="AI3192">
        <v>93.407698341161407</v>
      </c>
      <c r="AJ3192">
        <v>110.25406720075701</v>
      </c>
      <c r="AK3192">
        <v>18.8391701984348</v>
      </c>
      <c r="AL3192">
        <v>78.879666589920305</v>
      </c>
      <c r="AM3192">
        <v>103.778179483938</v>
      </c>
      <c r="AN3192">
        <v>0.99999999794090499</v>
      </c>
    </row>
    <row r="3193" spans="1:40" x14ac:dyDescent="0.25">
      <c r="A3193" t="str">
        <f>"20190304155118517"</f>
        <v>20190304155118517</v>
      </c>
      <c r="B3193" t="str">
        <f>"1551685878509937"</f>
        <v>1551685878509937</v>
      </c>
      <c r="C3193" t="s">
        <v>40</v>
      </c>
      <c r="D3193">
        <v>4.4503199999999996</v>
      </c>
      <c r="E3193">
        <v>0.45047809999999999</v>
      </c>
      <c r="F3193" t="s">
        <v>70</v>
      </c>
      <c r="G3193">
        <v>-465.13339999999999</v>
      </c>
      <c r="H3193" s="1">
        <v>1.2156160000000001E-6</v>
      </c>
      <c r="I3193">
        <v>214.14349999999999</v>
      </c>
      <c r="J3193">
        <v>-483.24430000000001</v>
      </c>
      <c r="K3193">
        <v>1.1197900000000001</v>
      </c>
      <c r="L3193">
        <v>219.31950000000001</v>
      </c>
      <c r="M3193">
        <v>0.80820019999999904</v>
      </c>
      <c r="N3193">
        <v>-1.442012E-2</v>
      </c>
      <c r="O3193">
        <v>-0.58873149999999996</v>
      </c>
      <c r="P3193">
        <v>0.90753969999999995</v>
      </c>
      <c r="Q3193">
        <v>0.18358050000000001</v>
      </c>
      <c r="R3193">
        <v>-0.37771700000000002</v>
      </c>
      <c r="S3193">
        <v>2.9884029999999999</v>
      </c>
      <c r="T3193">
        <v>-0.18273639999999999</v>
      </c>
      <c r="U3193">
        <v>-0.86614990000000003</v>
      </c>
      <c r="V3193">
        <v>-0.23343459999999999</v>
      </c>
      <c r="W3193">
        <v>0.1921407</v>
      </c>
      <c r="X3193">
        <v>0.95320000000000005</v>
      </c>
      <c r="Y3193">
        <v>-0.33935900000000002</v>
      </c>
      <c r="Z3193">
        <v>3.6391529999999998E-2</v>
      </c>
      <c r="AA3193">
        <v>0.93995269999999997</v>
      </c>
      <c r="AB3193">
        <v>24</v>
      </c>
      <c r="AC3193">
        <v>18.110900000000001</v>
      </c>
      <c r="AD3193">
        <v>-1.119788784384</v>
      </c>
      <c r="AE3193">
        <v>-5.1760000000000099</v>
      </c>
      <c r="AF3193">
        <v>-6.4570652156022001</v>
      </c>
      <c r="AG3193">
        <v>-1.119788784384</v>
      </c>
      <c r="AH3193">
        <v>17.624056353883301</v>
      </c>
      <c r="AI3193">
        <v>93.414187074108</v>
      </c>
      <c r="AJ3193">
        <v>110.121719054152</v>
      </c>
      <c r="AK3193">
        <v>18.803057742958401</v>
      </c>
      <c r="AL3193">
        <v>78.922260572746694</v>
      </c>
      <c r="AM3193">
        <v>103.760664057886</v>
      </c>
      <c r="AN3193">
        <v>1.0000000005368199</v>
      </c>
    </row>
    <row r="3194" spans="1:40" x14ac:dyDescent="0.25">
      <c r="A3194" t="str">
        <f>"20190304155118539"</f>
        <v>20190304155118539</v>
      </c>
      <c r="B3194" t="str">
        <f>"1551685878529458"</f>
        <v>1551685878529458</v>
      </c>
      <c r="C3194" t="s">
        <v>40</v>
      </c>
      <c r="D3194">
        <v>4.441014</v>
      </c>
      <c r="E3194">
        <v>0.46022299999999999</v>
      </c>
      <c r="F3194" t="s">
        <v>70</v>
      </c>
      <c r="G3194">
        <v>-465.10090000000002</v>
      </c>
      <c r="H3194" s="1">
        <v>1.1911600000000001E-6</v>
      </c>
      <c r="I3194">
        <v>214.3075</v>
      </c>
      <c r="J3194">
        <v>-483.04610000000002</v>
      </c>
      <c r="K3194">
        <v>1.1197790000000001</v>
      </c>
      <c r="L3194">
        <v>219.1942</v>
      </c>
      <c r="M3194">
        <v>0.81629069999999904</v>
      </c>
      <c r="N3194">
        <v>-1.447844E-2</v>
      </c>
      <c r="O3194">
        <v>-0.57745990000000003</v>
      </c>
      <c r="P3194">
        <v>0.91248220000000002</v>
      </c>
      <c r="Q3194">
        <v>0.18347859999999999</v>
      </c>
      <c r="R3194">
        <v>-0.3656663</v>
      </c>
      <c r="S3194">
        <v>2.9983219999999999</v>
      </c>
      <c r="T3194">
        <v>-0.18505260000000001</v>
      </c>
      <c r="U3194">
        <v>-0.82827759999999995</v>
      </c>
      <c r="V3194">
        <v>-0.23282949999999999</v>
      </c>
      <c r="W3194">
        <v>0.19212199999999999</v>
      </c>
      <c r="X3194">
        <v>0.95335170000000002</v>
      </c>
      <c r="Y3194">
        <v>-0.33811439999999998</v>
      </c>
      <c r="Z3194">
        <v>3.6475340000000002E-2</v>
      </c>
      <c r="AA3194">
        <v>0.94039790000000001</v>
      </c>
      <c r="AB3194">
        <v>24</v>
      </c>
      <c r="AC3194">
        <v>17.9452</v>
      </c>
      <c r="AD3194">
        <v>-1.1197778088400001</v>
      </c>
      <c r="AE3194">
        <v>-4.8866999999999896</v>
      </c>
      <c r="AF3194">
        <v>-6.3513104571883803</v>
      </c>
      <c r="AG3194">
        <v>-1.1197778088400001</v>
      </c>
      <c r="AH3194">
        <v>17.4090970779359</v>
      </c>
      <c r="AI3194">
        <v>93.457933275752495</v>
      </c>
      <c r="AJ3194">
        <v>110.043340011458</v>
      </c>
      <c r="AK3194">
        <v>18.565282328415002</v>
      </c>
      <c r="AL3194">
        <v>78.923351793490596</v>
      </c>
      <c r="AM3194">
        <v>103.724243514089</v>
      </c>
      <c r="AN3194">
        <v>0.99999995142356801</v>
      </c>
    </row>
    <row r="3195" spans="1:40" x14ac:dyDescent="0.25">
      <c r="A3195" t="str">
        <f>"20190304155118560"</f>
        <v>20190304155118560</v>
      </c>
      <c r="B3195" t="str">
        <f>"1551685878549956"</f>
        <v>1551685878549956</v>
      </c>
      <c r="C3195" t="s">
        <v>40</v>
      </c>
      <c r="D3195">
        <v>4.4389029999999998</v>
      </c>
      <c r="E3195">
        <v>0.4606903</v>
      </c>
      <c r="F3195" t="s">
        <v>70</v>
      </c>
      <c r="G3195">
        <v>-468.61340000000001</v>
      </c>
      <c r="H3195" s="1">
        <v>3.0289330000000002E-6</v>
      </c>
      <c r="I3195">
        <v>215.02600000000001</v>
      </c>
      <c r="J3195">
        <v>-482.85489999999999</v>
      </c>
      <c r="K3195">
        <v>1.119767</v>
      </c>
      <c r="L3195">
        <v>219.07689999999999</v>
      </c>
      <c r="M3195">
        <v>0.8238799</v>
      </c>
      <c r="N3195">
        <v>-1.453432E-2</v>
      </c>
      <c r="O3195">
        <v>-0.56657789999999997</v>
      </c>
      <c r="P3195">
        <v>0.91693009999999997</v>
      </c>
      <c r="Q3195">
        <v>0.1836892</v>
      </c>
      <c r="R3195">
        <v>-0.35425640000000003</v>
      </c>
      <c r="S3195">
        <v>2.988464</v>
      </c>
      <c r="T3195">
        <v>-0.2318636</v>
      </c>
      <c r="U3195">
        <v>-0.86308289999999999</v>
      </c>
      <c r="V3195">
        <v>-0.232042</v>
      </c>
      <c r="W3195">
        <v>0.19241720000000001</v>
      </c>
      <c r="X3195">
        <v>0.9534842</v>
      </c>
      <c r="Y3195">
        <v>-0.31393459999999901</v>
      </c>
      <c r="Z3195">
        <v>4.5745319999999999E-2</v>
      </c>
      <c r="AA3195">
        <v>0.94834200000000002</v>
      </c>
      <c r="AB3195">
        <v>24</v>
      </c>
      <c r="AC3195">
        <v>14.241499999999901</v>
      </c>
      <c r="AD3195">
        <v>-1.119763971067</v>
      </c>
      <c r="AE3195">
        <v>-4.0509000000000102</v>
      </c>
      <c r="AF3195">
        <v>-4.7050540273143699</v>
      </c>
      <c r="AG3195">
        <v>-1.119763971067</v>
      </c>
      <c r="AH3195">
        <v>13.950132198177201</v>
      </c>
      <c r="AI3195">
        <v>94.349511470065806</v>
      </c>
      <c r="AJ3195">
        <v>108.63805020208299</v>
      </c>
      <c r="AK3195">
        <v>14.7647415520038</v>
      </c>
      <c r="AL3195">
        <v>78.906116984742297</v>
      </c>
      <c r="AM3195">
        <v>103.677741222736</v>
      </c>
      <c r="AN3195">
        <v>0.99999999413473994</v>
      </c>
    </row>
    <row r="3196" spans="1:40" x14ac:dyDescent="0.25">
      <c r="A3196" t="str">
        <f>"20190304155118583"</f>
        <v>20190304155118583</v>
      </c>
      <c r="B3196" t="str">
        <f>"1551685878579233"</f>
        <v>1551685878579233</v>
      </c>
      <c r="C3196" t="s">
        <v>40</v>
      </c>
      <c r="D3196">
        <v>4.4690430000000001</v>
      </c>
      <c r="E3196">
        <v>0.46382060000000003</v>
      </c>
      <c r="F3196" t="s">
        <v>70</v>
      </c>
      <c r="G3196">
        <v>-467.78469999999999</v>
      </c>
      <c r="H3196" s="1">
        <v>2.5929389999999998E-6</v>
      </c>
      <c r="I3196">
        <v>214.9109</v>
      </c>
      <c r="J3196">
        <v>-482.65050000000002</v>
      </c>
      <c r="K3196">
        <v>1.1197549999999901</v>
      </c>
      <c r="L3196">
        <v>218.95519999999999</v>
      </c>
      <c r="M3196">
        <v>0.83176669999999997</v>
      </c>
      <c r="N3196">
        <v>-1.4594029999999999E-2</v>
      </c>
      <c r="O3196">
        <v>-0.55493349999999997</v>
      </c>
      <c r="P3196">
        <v>0.92160529999999996</v>
      </c>
      <c r="Q3196">
        <v>0.1833082</v>
      </c>
      <c r="R3196">
        <v>-0.34211350000000001</v>
      </c>
      <c r="S3196">
        <v>2.9963989999999998</v>
      </c>
      <c r="T3196">
        <v>-0.22264210000000001</v>
      </c>
      <c r="U3196">
        <v>-0.82830809999999999</v>
      </c>
      <c r="V3196">
        <v>-0.23124739999999999</v>
      </c>
      <c r="W3196">
        <v>0.19212799999999999</v>
      </c>
      <c r="X3196">
        <v>0.95373549999999996</v>
      </c>
      <c r="Y3196">
        <v>-0.31162250000000002</v>
      </c>
      <c r="Z3196">
        <v>4.3041950000000002E-2</v>
      </c>
      <c r="AA3196">
        <v>0.94923060000000004</v>
      </c>
      <c r="AB3196">
        <v>24</v>
      </c>
      <c r="AC3196">
        <v>14.8658</v>
      </c>
      <c r="AD3196">
        <v>-1.1197524070610001</v>
      </c>
      <c r="AE3196">
        <v>-4.04429999999999</v>
      </c>
      <c r="AF3196">
        <v>-4.8604602211282701</v>
      </c>
      <c r="AG3196">
        <v>-1.1197524070610001</v>
      </c>
      <c r="AH3196">
        <v>14.5339719198385</v>
      </c>
      <c r="AI3196">
        <v>94.178964243175301</v>
      </c>
      <c r="AJ3196">
        <v>108.490998902922</v>
      </c>
      <c r="AK3196">
        <v>15.366009852298699</v>
      </c>
      <c r="AL3196">
        <v>78.923001658331302</v>
      </c>
      <c r="AM3196">
        <v>103.629196027405</v>
      </c>
      <c r="AN3196">
        <v>0.99999996617550402</v>
      </c>
    </row>
    <row r="3197" spans="1:40" x14ac:dyDescent="0.25">
      <c r="A3197" t="str">
        <f>"20190304155118606"</f>
        <v>20190304155118606</v>
      </c>
      <c r="B3197" t="str">
        <f>"1551685878599730"</f>
        <v>1551685878599730</v>
      </c>
      <c r="C3197" t="s">
        <v>40</v>
      </c>
      <c r="D3197">
        <v>4.4181049999999997</v>
      </c>
      <c r="E3197">
        <v>0.46551740000000003</v>
      </c>
      <c r="F3197" t="s">
        <v>70</v>
      </c>
      <c r="G3197">
        <v>-466.79489999999998</v>
      </c>
      <c r="H3197" s="1">
        <v>2.0769669999999999E-6</v>
      </c>
      <c r="I3197">
        <v>214.66560000000001</v>
      </c>
      <c r="J3197">
        <v>-482.44130000000001</v>
      </c>
      <c r="K3197">
        <v>1.119739</v>
      </c>
      <c r="L3197">
        <v>218.8347</v>
      </c>
      <c r="M3197">
        <v>0.83960230000000002</v>
      </c>
      <c r="N3197">
        <v>-1.465437E-2</v>
      </c>
      <c r="O3197">
        <v>-0.54300400000000004</v>
      </c>
      <c r="P3197">
        <v>0.92606929999999998</v>
      </c>
      <c r="Q3197">
        <v>0.18241589999999999</v>
      </c>
      <c r="R3197">
        <v>-0.33033370000000001</v>
      </c>
      <c r="S3197">
        <v>2.9963989999999998</v>
      </c>
      <c r="T3197">
        <v>-0.21161140000000001</v>
      </c>
      <c r="U3197">
        <v>-0.81065369999999903</v>
      </c>
      <c r="V3197">
        <v>-0.22985630000000001</v>
      </c>
      <c r="W3197">
        <v>0.1913455</v>
      </c>
      <c r="X3197">
        <v>0.95422899999999999</v>
      </c>
      <c r="Y3197">
        <v>-0.30345909999999998</v>
      </c>
      <c r="Z3197">
        <v>3.9815980000000001E-2</v>
      </c>
      <c r="AA3197">
        <v>0.95201219999999998</v>
      </c>
      <c r="AB3197">
        <v>24</v>
      </c>
      <c r="AC3197">
        <v>15.6464</v>
      </c>
      <c r="AD3197">
        <v>-1.1197369230329901</v>
      </c>
      <c r="AE3197">
        <v>-4.1690999999999798</v>
      </c>
      <c r="AF3197">
        <v>-4.9724296507057</v>
      </c>
      <c r="AG3197">
        <v>-1.1197369230329901</v>
      </c>
      <c r="AH3197">
        <v>15.3289406980587</v>
      </c>
      <c r="AI3197">
        <v>93.9746964647357</v>
      </c>
      <c r="AJ3197">
        <v>107.972120310899</v>
      </c>
      <c r="AK3197">
        <v>16.154110632672499</v>
      </c>
      <c r="AL3197">
        <v>78.968683562651506</v>
      </c>
      <c r="AM3197">
        <v>103.543489851095</v>
      </c>
      <c r="AN3197">
        <v>1.00000000173047</v>
      </c>
    </row>
    <row r="3198" spans="1:40" x14ac:dyDescent="0.25">
      <c r="A3198" t="str">
        <f>"20190304155118628"</f>
        <v>20190304155118628</v>
      </c>
      <c r="B3198" t="str">
        <f>"1551685878620094"</f>
        <v>1551685878620094</v>
      </c>
      <c r="C3198" t="s">
        <v>40</v>
      </c>
      <c r="D3198">
        <v>4.4730980000000002</v>
      </c>
      <c r="E3198">
        <v>0.4669567</v>
      </c>
      <c r="F3198" t="s">
        <v>70</v>
      </c>
      <c r="G3198">
        <v>-466.83780000000002</v>
      </c>
      <c r="H3198" s="1">
        <v>2.0958060000000001E-6</v>
      </c>
      <c r="I3198">
        <v>214.75659999999999</v>
      </c>
      <c r="J3198">
        <v>-482.23540000000003</v>
      </c>
      <c r="K3198">
        <v>1.1197220000000001</v>
      </c>
      <c r="L3198">
        <v>218.7199</v>
      </c>
      <c r="M3198">
        <v>0.84709380000000001</v>
      </c>
      <c r="N3198">
        <v>-1.470925E-2</v>
      </c>
      <c r="O3198">
        <v>-0.53123999999999905</v>
      </c>
      <c r="P3198">
        <v>0.93011560000000004</v>
      </c>
      <c r="Q3198">
        <v>0.18145839999999999</v>
      </c>
      <c r="R3198">
        <v>-0.319308799999999</v>
      </c>
      <c r="S3198">
        <v>3.0020449999999999</v>
      </c>
      <c r="T3198">
        <v>-0.2154316</v>
      </c>
      <c r="U3198">
        <v>-0.7846069</v>
      </c>
      <c r="V3198">
        <v>-0.22794500000000001</v>
      </c>
      <c r="W3198">
        <v>0.19050539999999999</v>
      </c>
      <c r="X3198">
        <v>0.95485540000000002</v>
      </c>
      <c r="Y3198">
        <v>-0.29830279999999998</v>
      </c>
      <c r="Z3198">
        <v>3.9896260000000003E-2</v>
      </c>
      <c r="AA3198">
        <v>0.95363710000000002</v>
      </c>
      <c r="AB3198">
        <v>24</v>
      </c>
      <c r="AC3198">
        <v>15.397600000000001</v>
      </c>
      <c r="AD3198">
        <v>-1.11971990419399</v>
      </c>
      <c r="AE3198">
        <v>-3.9632999999999998</v>
      </c>
      <c r="AF3198">
        <v>-4.7992527769068101</v>
      </c>
      <c r="AG3198">
        <v>-1.11971990419399</v>
      </c>
      <c r="AH3198">
        <v>15.075542855222499</v>
      </c>
      <c r="AI3198">
        <v>94.048311006375897</v>
      </c>
      <c r="AJ3198">
        <v>107.65871428848099</v>
      </c>
      <c r="AK3198">
        <v>15.8605987358657</v>
      </c>
      <c r="AL3198">
        <v>79.017720136725799</v>
      </c>
      <c r="AM3198">
        <v>103.426477739625</v>
      </c>
      <c r="AN3198">
        <v>1.0000000326816501</v>
      </c>
    </row>
    <row r="3199" spans="1:40" x14ac:dyDescent="0.25">
      <c r="A3199" t="str">
        <f>"20190304155118651"</f>
        <v>20190304155118651</v>
      </c>
      <c r="B3199" t="str">
        <f>"1551685878639614"</f>
        <v>1551685878639614</v>
      </c>
      <c r="C3199" t="s">
        <v>40</v>
      </c>
      <c r="D3199">
        <v>4.4990540000000001</v>
      </c>
      <c r="E3199">
        <v>0.46810220000000002</v>
      </c>
      <c r="F3199" t="s">
        <v>70</v>
      </c>
      <c r="G3199">
        <v>-466.42529999999999</v>
      </c>
      <c r="H3199" s="1">
        <v>1.8773039999999999E-6</v>
      </c>
      <c r="I3199">
        <v>214.73390000000001</v>
      </c>
      <c r="J3199">
        <v>-482.02390000000003</v>
      </c>
      <c r="K3199">
        <v>1.119702</v>
      </c>
      <c r="L3199">
        <v>218.6062</v>
      </c>
      <c r="M3199">
        <v>0.85455419999999904</v>
      </c>
      <c r="N3199">
        <v>-1.475863E-2</v>
      </c>
      <c r="O3199">
        <v>-0.51915279999999997</v>
      </c>
      <c r="P3199">
        <v>0.93401210000000001</v>
      </c>
      <c r="Q3199">
        <v>0.18130350000000001</v>
      </c>
      <c r="R3199">
        <v>-0.30781619999999998</v>
      </c>
      <c r="S3199">
        <v>3.0066830000000002</v>
      </c>
      <c r="T3199">
        <v>-0.2129434</v>
      </c>
      <c r="U3199">
        <v>-0.75804139999999998</v>
      </c>
      <c r="V3199">
        <v>-0.22615099999999999</v>
      </c>
      <c r="W3199">
        <v>0.19045719999999999</v>
      </c>
      <c r="X3199">
        <v>0.95529149999999996</v>
      </c>
      <c r="Y3199">
        <v>-0.2930722</v>
      </c>
      <c r="Z3199">
        <v>3.8624539999999999E-2</v>
      </c>
      <c r="AA3199">
        <v>0.95530979999999999</v>
      </c>
      <c r="AB3199">
        <v>24</v>
      </c>
      <c r="AC3199">
        <v>15.598599999999999</v>
      </c>
      <c r="AD3199">
        <v>-1.1197001226959999</v>
      </c>
      <c r="AE3199">
        <v>-3.8722999999999899</v>
      </c>
      <c r="AF3199">
        <v>-4.7663537084216001</v>
      </c>
      <c r="AG3199">
        <v>-1.1197001226959999</v>
      </c>
      <c r="AH3199">
        <v>15.267730105171299</v>
      </c>
      <c r="AI3199">
        <v>94.004494480662103</v>
      </c>
      <c r="AJ3199">
        <v>107.337571760511</v>
      </c>
      <c r="AK3199">
        <v>16.0335722346239</v>
      </c>
      <c r="AL3199">
        <v>79.020533324591199</v>
      </c>
      <c r="AM3199">
        <v>103.318724181896</v>
      </c>
      <c r="AN3199">
        <v>1.00000003490254</v>
      </c>
    </row>
    <row r="3200" spans="1:40" x14ac:dyDescent="0.25">
      <c r="A3200" t="str">
        <f>"20190304155118672"</f>
        <v>20190304155118672</v>
      </c>
      <c r="B3200" t="str">
        <f>"1551685878669870"</f>
        <v>1551685878669870</v>
      </c>
      <c r="C3200" t="s">
        <v>40</v>
      </c>
      <c r="D3200">
        <v>4.533785</v>
      </c>
      <c r="E3200">
        <v>0.47041349999999998</v>
      </c>
      <c r="F3200" t="s">
        <v>70</v>
      </c>
      <c r="G3200">
        <v>-466.06619999999998</v>
      </c>
      <c r="H3200" s="1">
        <v>1.6855019999999901E-6</v>
      </c>
      <c r="I3200">
        <v>214.74940000000001</v>
      </c>
      <c r="J3200">
        <v>-481.822</v>
      </c>
      <c r="K3200">
        <v>1.119686</v>
      </c>
      <c r="L3200">
        <v>218.50120000000001</v>
      </c>
      <c r="M3200">
        <v>0.86146350000000005</v>
      </c>
      <c r="N3200">
        <v>-1.480004E-2</v>
      </c>
      <c r="O3200">
        <v>-0.50760369999999999</v>
      </c>
      <c r="P3200">
        <v>0.93755469999999996</v>
      </c>
      <c r="Q3200">
        <v>0.18196300000000001</v>
      </c>
      <c r="R3200">
        <v>-0.29644700000000002</v>
      </c>
      <c r="S3200">
        <v>3.0129700000000001</v>
      </c>
      <c r="T3200">
        <v>-0.21141019999999999</v>
      </c>
      <c r="U3200">
        <v>-0.72821040000000004</v>
      </c>
      <c r="V3200">
        <v>-0.2248349</v>
      </c>
      <c r="W3200">
        <v>0.1912005</v>
      </c>
      <c r="X3200">
        <v>0.95545360000000001</v>
      </c>
      <c r="Y3200">
        <v>-0.2896379</v>
      </c>
      <c r="Z3200">
        <v>3.7643610000000001E-2</v>
      </c>
      <c r="AA3200">
        <v>0.95639569999999996</v>
      </c>
      <c r="AB3200">
        <v>24</v>
      </c>
      <c r="AC3200">
        <v>15.755799999999899</v>
      </c>
      <c r="AD3200">
        <v>-1.119684314498</v>
      </c>
      <c r="AE3200">
        <v>-3.7517999999999998</v>
      </c>
      <c r="AF3200">
        <v>-4.7435154922450096</v>
      </c>
      <c r="AG3200">
        <v>-1.119684314498</v>
      </c>
      <c r="AH3200">
        <v>15.4055435774749</v>
      </c>
      <c r="AI3200">
        <v>93.973517336884697</v>
      </c>
      <c r="AJ3200">
        <v>107.11410394062</v>
      </c>
      <c r="AK3200">
        <v>16.158137426905899</v>
      </c>
      <c r="AL3200">
        <v>78.977147400502204</v>
      </c>
      <c r="AM3200">
        <v>103.241786354722</v>
      </c>
      <c r="AN3200">
        <v>0.99999997260560902</v>
      </c>
    </row>
    <row r="3201" spans="1:40" x14ac:dyDescent="0.25">
      <c r="A3201" t="str">
        <f>"20190304155118696"</f>
        <v>20190304155118696</v>
      </c>
      <c r="B3201" t="str">
        <f>"1551685878689390"</f>
        <v>1551685878689390</v>
      </c>
      <c r="C3201" t="s">
        <v>40</v>
      </c>
      <c r="D3201">
        <v>4.5321559999999996</v>
      </c>
      <c r="E3201">
        <v>0.4718657</v>
      </c>
      <c r="F3201" t="s">
        <v>70</v>
      </c>
      <c r="G3201">
        <v>-465.51049999999998</v>
      </c>
      <c r="H3201" s="1">
        <v>1.3930569999999999E-6</v>
      </c>
      <c r="I3201">
        <v>214.6746</v>
      </c>
      <c r="J3201">
        <v>-481.60219999999998</v>
      </c>
      <c r="K3201">
        <v>1.119669</v>
      </c>
      <c r="L3201">
        <v>218.39070000000001</v>
      </c>
      <c r="M3201">
        <v>0.86876149999999996</v>
      </c>
      <c r="N3201">
        <v>-1.483924E-2</v>
      </c>
      <c r="O3201">
        <v>-0.49500840000000002</v>
      </c>
      <c r="P3201">
        <v>0.94131279999999995</v>
      </c>
      <c r="Q3201">
        <v>0.18275279999999999</v>
      </c>
      <c r="R3201">
        <v>-0.2837808</v>
      </c>
      <c r="S3201">
        <v>3.0162960000000001</v>
      </c>
      <c r="T3201">
        <v>-0.20704939999999999</v>
      </c>
      <c r="U3201">
        <v>-0.70761109999999905</v>
      </c>
      <c r="V3201">
        <v>-0.22373380000000001</v>
      </c>
      <c r="W3201">
        <v>0.19206719999999999</v>
      </c>
      <c r="X3201">
        <v>0.95553829999999995</v>
      </c>
      <c r="Y3201">
        <v>-0.28221400000000002</v>
      </c>
      <c r="Z3201">
        <v>3.5913210000000001E-2</v>
      </c>
      <c r="AA3201">
        <v>0.95867899999999995</v>
      </c>
      <c r="AB3201">
        <v>24</v>
      </c>
      <c r="AC3201">
        <v>16.091699999999999</v>
      </c>
      <c r="AD3201">
        <v>-1.119667606943</v>
      </c>
      <c r="AE3201">
        <v>-3.7161000000000102</v>
      </c>
      <c r="AF3201">
        <v>-4.7159674809189296</v>
      </c>
      <c r="AG3201">
        <v>-1.119667606943</v>
      </c>
      <c r="AH3201">
        <v>15.748705628677101</v>
      </c>
      <c r="AI3201">
        <v>93.896269783878495</v>
      </c>
      <c r="AJ3201">
        <v>106.670387841372</v>
      </c>
      <c r="AK3201">
        <v>16.477734486568501</v>
      </c>
      <c r="AL3201">
        <v>78.926552097619293</v>
      </c>
      <c r="AM3201">
        <v>103.178077582802</v>
      </c>
      <c r="AN3201">
        <v>1.00000003267258</v>
      </c>
    </row>
    <row r="3202" spans="1:40" x14ac:dyDescent="0.25">
      <c r="A3202" t="str">
        <f>"20190304155118719"</f>
        <v>20190304155118719</v>
      </c>
      <c r="B3202" t="str">
        <f>"1551685878709886"</f>
        <v>1551685878709886</v>
      </c>
      <c r="C3202" t="s">
        <v>40</v>
      </c>
      <c r="D3202">
        <v>4.4675459999999996</v>
      </c>
      <c r="E3202">
        <v>0.4728639</v>
      </c>
      <c r="F3202" t="s">
        <v>70</v>
      </c>
      <c r="G3202">
        <v>-464.89550000000003</v>
      </c>
      <c r="H3202" s="1">
        <v>1.0670309999999999E-6</v>
      </c>
      <c r="I3202">
        <v>214.64699999999999</v>
      </c>
      <c r="J3202">
        <v>-481.38099999999997</v>
      </c>
      <c r="K3202">
        <v>1.1196520000000001</v>
      </c>
      <c r="L3202">
        <v>218.2835</v>
      </c>
      <c r="M3202">
        <v>0.87587150000000003</v>
      </c>
      <c r="N3202">
        <v>-1.487308E-2</v>
      </c>
      <c r="O3202">
        <v>-0.48231540000000001</v>
      </c>
      <c r="P3202">
        <v>0.94499549999999999</v>
      </c>
      <c r="Q3202">
        <v>0.1836013</v>
      </c>
      <c r="R3202">
        <v>-0.27069219999999999</v>
      </c>
      <c r="S3202">
        <v>3.0221559999999998</v>
      </c>
      <c r="T3202">
        <v>-0.20254230000000001</v>
      </c>
      <c r="U3202">
        <v>-0.67721560000000003</v>
      </c>
      <c r="V3202">
        <v>-0.22301509999999999</v>
      </c>
      <c r="W3202">
        <v>0.19297819999999999</v>
      </c>
      <c r="X3202">
        <v>0.95552269999999995</v>
      </c>
      <c r="Y3202">
        <v>-0.27791490000000002</v>
      </c>
      <c r="Z3202">
        <v>3.4297050000000003E-2</v>
      </c>
      <c r="AA3202">
        <v>0.95999319999999999</v>
      </c>
      <c r="AB3202">
        <v>24</v>
      </c>
      <c r="AC3202">
        <v>16.485499999999899</v>
      </c>
      <c r="AD3202">
        <v>-1.1196509329690001</v>
      </c>
      <c r="AE3202">
        <v>-3.6364999999999799</v>
      </c>
      <c r="AF3202">
        <v>-4.7457552181638496</v>
      </c>
      <c r="AG3202">
        <v>-1.1196509329690001</v>
      </c>
      <c r="AH3202">
        <v>16.123983997643801</v>
      </c>
      <c r="AI3202">
        <v>93.811105804919904</v>
      </c>
      <c r="AJ3202">
        <v>106.40068234703899</v>
      </c>
      <c r="AK3202">
        <v>16.845137896695899</v>
      </c>
      <c r="AL3202">
        <v>78.873359916746296</v>
      </c>
      <c r="AM3202">
        <v>103.137423076677</v>
      </c>
      <c r="AN3202">
        <v>0.99999997535926899</v>
      </c>
    </row>
    <row r="3203" spans="1:40" x14ac:dyDescent="0.25">
      <c r="A3203" t="str">
        <f>"20190304155118741"</f>
        <v>20190304155118741</v>
      </c>
      <c r="B3203" t="str">
        <f>"1551685878729407"</f>
        <v>1551685878729407</v>
      </c>
      <c r="C3203" t="s">
        <v>40</v>
      </c>
      <c r="D3203">
        <v>4.518974</v>
      </c>
      <c r="E3203">
        <v>0.4733774</v>
      </c>
      <c r="F3203" t="s">
        <v>70</v>
      </c>
      <c r="G3203">
        <v>-464.66419999999999</v>
      </c>
      <c r="H3203" s="1">
        <v>9.4008900000000002E-7</v>
      </c>
      <c r="I3203">
        <v>214.7345</v>
      </c>
      <c r="J3203">
        <v>-481.17380000000003</v>
      </c>
      <c r="K3203">
        <v>1.119632</v>
      </c>
      <c r="L3203">
        <v>218.1866</v>
      </c>
      <c r="M3203">
        <v>0.88231749999999998</v>
      </c>
      <c r="N3203">
        <v>-1.4899519999999999E-2</v>
      </c>
      <c r="O3203">
        <v>-0.47041899999999998</v>
      </c>
      <c r="P3203">
        <v>0.94817899999999999</v>
      </c>
      <c r="Q3203">
        <v>0.18406059999999999</v>
      </c>
      <c r="R3203">
        <v>-0.25899519999999998</v>
      </c>
      <c r="S3203">
        <v>3.029846</v>
      </c>
      <c r="T3203">
        <v>-0.20293159999999999</v>
      </c>
      <c r="U3203">
        <v>-0.64324950000000003</v>
      </c>
      <c r="V3203">
        <v>-0.22184319999999999</v>
      </c>
      <c r="W3203">
        <v>0.1935074</v>
      </c>
      <c r="X3203">
        <v>0.95568850000000005</v>
      </c>
      <c r="Y3203">
        <v>-0.27572550000000001</v>
      </c>
      <c r="Z3203">
        <v>3.3750099999999998E-2</v>
      </c>
      <c r="AA3203">
        <v>0.96064380000000005</v>
      </c>
      <c r="AB3203">
        <v>24</v>
      </c>
      <c r="AC3203">
        <v>16.509599999999999</v>
      </c>
      <c r="AD3203">
        <v>-1.119631059911</v>
      </c>
      <c r="AE3203">
        <v>-3.4521000000000002</v>
      </c>
      <c r="AF3203">
        <v>-4.7003926598709098</v>
      </c>
      <c r="AG3203">
        <v>-1.119631059911</v>
      </c>
      <c r="AH3203">
        <v>16.1213995273515</v>
      </c>
      <c r="AI3203">
        <v>93.814485249260798</v>
      </c>
      <c r="AJ3203">
        <v>106.254694693668</v>
      </c>
      <c r="AK3203">
        <v>16.8299372425382</v>
      </c>
      <c r="AL3203">
        <v>78.842456927534798</v>
      </c>
      <c r="AM3203">
        <v>103.068575014486</v>
      </c>
      <c r="AN3203">
        <v>1.0000000141366201</v>
      </c>
    </row>
    <row r="3204" spans="1:40" x14ac:dyDescent="0.25">
      <c r="A3204" t="str">
        <f>"20190304155118762"</f>
        <v>20190304155118762</v>
      </c>
      <c r="B3204" t="str">
        <f>"1551685878759662"</f>
        <v>1551685878759662</v>
      </c>
      <c r="C3204" t="s">
        <v>40</v>
      </c>
      <c r="D3204">
        <v>4.5731679999999999</v>
      </c>
      <c r="E3204">
        <v>0.49036550000000001</v>
      </c>
      <c r="F3204" t="s">
        <v>70</v>
      </c>
      <c r="G3204">
        <v>-464.45569999999998</v>
      </c>
      <c r="H3204" s="1">
        <v>8.2498759999999995E-7</v>
      </c>
      <c r="I3204">
        <v>214.82919999999999</v>
      </c>
      <c r="J3204">
        <v>-480.96940000000001</v>
      </c>
      <c r="K3204">
        <v>1.119602</v>
      </c>
      <c r="L3204">
        <v>218.09440000000001</v>
      </c>
      <c r="M3204">
        <v>0.88847039999999999</v>
      </c>
      <c r="N3204">
        <v>-1.492017E-2</v>
      </c>
      <c r="O3204">
        <v>-0.45869149999999997</v>
      </c>
      <c r="P3204">
        <v>0.95109100000000002</v>
      </c>
      <c r="Q3204">
        <v>0.18435660000000001</v>
      </c>
      <c r="R3204">
        <v>-0.24786810000000001</v>
      </c>
      <c r="S3204">
        <v>3.036835</v>
      </c>
      <c r="T3204">
        <v>-0.20338010000000001</v>
      </c>
      <c r="U3204">
        <v>-0.60987849999999999</v>
      </c>
      <c r="V3204">
        <v>-0.2203417</v>
      </c>
      <c r="W3204">
        <v>0.19387969999999999</v>
      </c>
      <c r="X3204">
        <v>0.95596029999999999</v>
      </c>
      <c r="Y3204">
        <v>-0.27358250000000001</v>
      </c>
      <c r="Z3204">
        <v>3.3222000000000002E-2</v>
      </c>
      <c r="AA3204">
        <v>0.96127459999999998</v>
      </c>
      <c r="AB3204">
        <v>24</v>
      </c>
      <c r="AC3204">
        <v>16.5137</v>
      </c>
      <c r="AD3204">
        <v>-1.11960117501239</v>
      </c>
      <c r="AE3204">
        <v>-3.2652000000000201</v>
      </c>
      <c r="AF3204">
        <v>-4.6535942573959002</v>
      </c>
      <c r="AG3204">
        <v>-1.11960117501239</v>
      </c>
      <c r="AH3204">
        <v>16.100229915788699</v>
      </c>
      <c r="AI3204">
        <v>93.8219578483953</v>
      </c>
      <c r="AJ3204">
        <v>106.121355829604</v>
      </c>
      <c r="AK3204">
        <v>16.796632092321801</v>
      </c>
      <c r="AL3204">
        <v>78.820713204592494</v>
      </c>
      <c r="AM3204">
        <v>102.979563226834</v>
      </c>
      <c r="AN3204">
        <v>0.99999994900353295</v>
      </c>
    </row>
    <row r="3205" spans="1:40" x14ac:dyDescent="0.25">
      <c r="A3205" t="str">
        <f>"20190304155118785"</f>
        <v>20190304155118785</v>
      </c>
      <c r="B3205" t="str">
        <f>"1551685878780159"</f>
        <v>1551685878780159</v>
      </c>
      <c r="C3205" t="s">
        <v>40</v>
      </c>
      <c r="D3205">
        <v>4.5607939999999996</v>
      </c>
      <c r="E3205">
        <v>0.49195709999999998</v>
      </c>
      <c r="F3205" t="s">
        <v>70</v>
      </c>
      <c r="G3205">
        <v>-466.73090000000002</v>
      </c>
      <c r="H3205" s="1">
        <v>2.038806E-6</v>
      </c>
      <c r="I3205">
        <v>214.75960000000001</v>
      </c>
      <c r="J3205">
        <v>-480.75580000000002</v>
      </c>
      <c r="K3205">
        <v>1.119553</v>
      </c>
      <c r="L3205">
        <v>218.00129999999999</v>
      </c>
      <c r="M3205">
        <v>0.89467629999999998</v>
      </c>
      <c r="N3205">
        <v>-1.493499E-2</v>
      </c>
      <c r="O3205">
        <v>-0.44646580000000002</v>
      </c>
      <c r="P3205">
        <v>0.95374110000000001</v>
      </c>
      <c r="Q3205">
        <v>0.18464900000000001</v>
      </c>
      <c r="R3205">
        <v>-0.2372398</v>
      </c>
      <c r="S3205">
        <v>3.0161129999999998</v>
      </c>
      <c r="T3205">
        <v>-0.23716309999999999</v>
      </c>
      <c r="U3205">
        <v>-0.70640559999999997</v>
      </c>
      <c r="V3205">
        <v>-0.2178493</v>
      </c>
      <c r="W3205">
        <v>0.194276</v>
      </c>
      <c r="X3205">
        <v>0.95645100000000005</v>
      </c>
      <c r="Y3205">
        <v>-0.22917009999999999</v>
      </c>
      <c r="Z3205">
        <v>3.6963219999999998E-2</v>
      </c>
      <c r="AA3205">
        <v>0.97268429999999995</v>
      </c>
      <c r="AB3205">
        <v>24</v>
      </c>
      <c r="AC3205">
        <v>14.024900000000001</v>
      </c>
      <c r="AD3205">
        <v>-1.119550961194</v>
      </c>
      <c r="AE3205">
        <v>-3.2416999999999798</v>
      </c>
      <c r="AF3205">
        <v>-3.3415272914713401</v>
      </c>
      <c r="AG3205">
        <v>-1.119550961194</v>
      </c>
      <c r="AH3205">
        <v>13.9124551705698</v>
      </c>
      <c r="AI3205">
        <v>94.474041905482693</v>
      </c>
      <c r="AJ3205">
        <v>103.50561607368699</v>
      </c>
      <c r="AK3205">
        <v>14.3518503290507</v>
      </c>
      <c r="AL3205">
        <v>78.797567344902703</v>
      </c>
      <c r="AM3205">
        <v>102.831267441999</v>
      </c>
      <c r="AN3205">
        <v>0.99999999854374499</v>
      </c>
    </row>
    <row r="3206" spans="1:40" x14ac:dyDescent="0.25">
      <c r="A3206" t="str">
        <f>"20190304155118806"</f>
        <v>20190304155118806</v>
      </c>
      <c r="B3206" t="str">
        <f>"1551685878799678"</f>
        <v>1551685878799678</v>
      </c>
      <c r="C3206" t="s">
        <v>40</v>
      </c>
      <c r="D3206">
        <v>4.6634679999999999</v>
      </c>
      <c r="E3206">
        <v>0.49043330000000002</v>
      </c>
      <c r="F3206" t="s">
        <v>70</v>
      </c>
      <c r="G3206">
        <v>-466.00069999999999</v>
      </c>
      <c r="H3206" s="1">
        <v>1.654552E-6</v>
      </c>
      <c r="I3206">
        <v>214.6609</v>
      </c>
      <c r="J3206">
        <v>-480.54880000000003</v>
      </c>
      <c r="K3206">
        <v>1.119483</v>
      </c>
      <c r="L3206">
        <v>217.9144</v>
      </c>
      <c r="M3206">
        <v>0.90046530000000002</v>
      </c>
      <c r="N3206">
        <v>-1.4942240000000001E-2</v>
      </c>
      <c r="O3206">
        <v>-0.43467129999999998</v>
      </c>
      <c r="P3206">
        <v>0.95615470000000002</v>
      </c>
      <c r="Q3206">
        <v>0.18613460000000001</v>
      </c>
      <c r="R3206">
        <v>-0.2261022</v>
      </c>
      <c r="S3206">
        <v>3.019806</v>
      </c>
      <c r="T3206">
        <v>-0.2291299</v>
      </c>
      <c r="U3206">
        <v>-0.68365480000000001</v>
      </c>
      <c r="V3206">
        <v>-0.2163041</v>
      </c>
      <c r="W3206">
        <v>0.1958394</v>
      </c>
      <c r="X3206">
        <v>0.95648290000000002</v>
      </c>
      <c r="Y3206">
        <v>-0.22374620000000001</v>
      </c>
      <c r="Z3206">
        <v>3.4698050000000001E-2</v>
      </c>
      <c r="AA3206">
        <v>0.97402960000000005</v>
      </c>
      <c r="AB3206">
        <v>24</v>
      </c>
      <c r="AC3206">
        <v>14.5481</v>
      </c>
      <c r="AD3206">
        <v>-1.1194813454479999</v>
      </c>
      <c r="AE3206">
        <v>-3.2534999999999998</v>
      </c>
      <c r="AF3206">
        <v>-3.3753218587834599</v>
      </c>
      <c r="AG3206">
        <v>-1.1194813454479999</v>
      </c>
      <c r="AH3206">
        <v>14.4344811181802</v>
      </c>
      <c r="AI3206">
        <v>94.318713550723004</v>
      </c>
      <c r="AJ3206">
        <v>103.161410144879</v>
      </c>
      <c r="AK3206">
        <v>14.866078207929901</v>
      </c>
      <c r="AL3206">
        <v>78.706237244604694</v>
      </c>
      <c r="AM3206">
        <v>102.742826322241</v>
      </c>
      <c r="AN3206">
        <v>1.0000000361307799</v>
      </c>
    </row>
    <row r="3207" spans="1:40" x14ac:dyDescent="0.25">
      <c r="A3207" t="str">
        <f>"20190304155118830"</f>
        <v>20190304155118830</v>
      </c>
      <c r="B3207" t="str">
        <f>"1551685878820175"</f>
        <v>1551685878820175</v>
      </c>
      <c r="C3207" t="s">
        <v>40</v>
      </c>
      <c r="D3207">
        <v>4.7511020000000004</v>
      </c>
      <c r="E3207">
        <v>0.45141559999999997</v>
      </c>
      <c r="F3207" t="s">
        <v>70</v>
      </c>
      <c r="G3207">
        <v>-465.12479999999999</v>
      </c>
      <c r="H3207" s="1">
        <v>1.1879770000000001E-6</v>
      </c>
      <c r="I3207">
        <v>214.67099999999999</v>
      </c>
      <c r="J3207">
        <v>-480.32100000000003</v>
      </c>
      <c r="K3207">
        <v>1.119378</v>
      </c>
      <c r="L3207">
        <v>217.82239999999999</v>
      </c>
      <c r="M3207">
        <v>0.90656080000000006</v>
      </c>
      <c r="N3207">
        <v>-1.494033E-2</v>
      </c>
      <c r="O3207">
        <v>-0.42181099999999999</v>
      </c>
      <c r="P3207">
        <v>0.9587213</v>
      </c>
      <c r="Q3207">
        <v>0.18766350000000001</v>
      </c>
      <c r="R3207">
        <v>-0.2136267</v>
      </c>
      <c r="S3207">
        <v>3.0296940000000001</v>
      </c>
      <c r="T3207">
        <v>-0.21989700000000001</v>
      </c>
      <c r="U3207">
        <v>-0.63708500000000001</v>
      </c>
      <c r="V3207">
        <v>-0.215003</v>
      </c>
      <c r="W3207">
        <v>0.1974505</v>
      </c>
      <c r="X3207">
        <v>0.95644499999999999</v>
      </c>
      <c r="Y3207">
        <v>-0.22498799999999999</v>
      </c>
      <c r="Z3207">
        <v>3.2497499999999999E-2</v>
      </c>
      <c r="AA3207">
        <v>0.9738194</v>
      </c>
      <c r="AB3207">
        <v>24</v>
      </c>
      <c r="AC3207">
        <v>15.1961999999999</v>
      </c>
      <c r="AD3207">
        <v>-1.1193768120230001</v>
      </c>
      <c r="AE3207">
        <v>-3.15139999999999</v>
      </c>
      <c r="AF3207">
        <v>-3.5349947243124999</v>
      </c>
      <c r="AG3207">
        <v>-1.1193768120230001</v>
      </c>
      <c r="AH3207">
        <v>15.0290731768439</v>
      </c>
      <c r="AI3207">
        <v>94.146814465474094</v>
      </c>
      <c r="AJ3207">
        <v>103.235976274843</v>
      </c>
      <c r="AK3207">
        <v>15.479736196174001</v>
      </c>
      <c r="AL3207">
        <v>78.612089498644096</v>
      </c>
      <c r="AM3207">
        <v>102.66914324699501</v>
      </c>
      <c r="AN3207">
        <v>1.0000000139921199</v>
      </c>
    </row>
    <row r="3208" spans="1:40" x14ac:dyDescent="0.25">
      <c r="A3208" t="str">
        <f>"20190304155118851"</f>
        <v>20190304155118851</v>
      </c>
      <c r="B3208" t="str">
        <f>"1551685878839698"</f>
        <v>1551685878839698</v>
      </c>
      <c r="C3208" t="s">
        <v>40</v>
      </c>
      <c r="D3208">
        <v>4.6531129999999896</v>
      </c>
      <c r="E3208">
        <v>0.44996150000000001</v>
      </c>
      <c r="F3208" t="s">
        <v>70</v>
      </c>
      <c r="G3208">
        <v>-452.3766</v>
      </c>
      <c r="H3208" s="1">
        <v>-2.9642019999999999E-7</v>
      </c>
      <c r="I3208">
        <v>215.17320000000001</v>
      </c>
      <c r="J3208">
        <v>-480.1146</v>
      </c>
      <c r="K3208">
        <v>1.1192550000000001</v>
      </c>
      <c r="L3208">
        <v>217.7422</v>
      </c>
      <c r="M3208">
        <v>0.91183780000000003</v>
      </c>
      <c r="N3208">
        <v>-1.493017E-2</v>
      </c>
      <c r="O3208">
        <v>-0.41027940000000002</v>
      </c>
      <c r="P3208">
        <v>0.9610341</v>
      </c>
      <c r="Q3208">
        <v>0.18762400000000001</v>
      </c>
      <c r="R3208">
        <v>-0.20300509999999999</v>
      </c>
      <c r="S3208">
        <v>3.0881349999999999</v>
      </c>
      <c r="T3208">
        <v>-0.1237023</v>
      </c>
      <c r="U3208">
        <v>-0.29277039999999999</v>
      </c>
      <c r="V3208">
        <v>-0.21339320000000001</v>
      </c>
      <c r="W3208">
        <v>0.19750380000000001</v>
      </c>
      <c r="X3208">
        <v>0.95679440000000004</v>
      </c>
      <c r="Y3208">
        <v>-0.32196619999999998</v>
      </c>
      <c r="Z3208">
        <v>1.8495729999999998E-2</v>
      </c>
      <c r="AA3208">
        <v>0.94657049999999998</v>
      </c>
      <c r="AB3208">
        <v>24</v>
      </c>
      <c r="AC3208">
        <v>27.738</v>
      </c>
      <c r="AD3208">
        <v>-1.1192552964201901</v>
      </c>
      <c r="AE3208">
        <v>-2.56899999999998</v>
      </c>
      <c r="AF3208">
        <v>-9.0242566097821904</v>
      </c>
      <c r="AG3208">
        <v>-1.1192552964201901</v>
      </c>
      <c r="AH3208">
        <v>26.307029228501701</v>
      </c>
      <c r="AI3208">
        <v>92.304560867210995</v>
      </c>
      <c r="AJ3208">
        <v>108.9338108868</v>
      </c>
      <c r="AK3208">
        <v>27.8343264083578</v>
      </c>
      <c r="AL3208">
        <v>78.608973737306499</v>
      </c>
      <c r="AM3208">
        <v>102.572867059552</v>
      </c>
      <c r="AN3208">
        <v>0.99999996634601895</v>
      </c>
    </row>
    <row r="3209" spans="1:40" x14ac:dyDescent="0.25">
      <c r="A3209" t="str">
        <f>"20190304155118872"</f>
        <v>20190304155118872</v>
      </c>
      <c r="B3209" t="str">
        <f>"1551685878869950"</f>
        <v>1551685878869950</v>
      </c>
      <c r="C3209" t="s">
        <v>40</v>
      </c>
      <c r="D3209">
        <v>4.8341570000000003</v>
      </c>
      <c r="E3209">
        <v>0.45027719999999999</v>
      </c>
      <c r="F3209" t="s">
        <v>70</v>
      </c>
      <c r="G3209">
        <v>-449.7679</v>
      </c>
      <c r="H3209" s="1">
        <v>3.6302130000000001E-6</v>
      </c>
      <c r="I3209">
        <v>215.32480000000001</v>
      </c>
      <c r="J3209">
        <v>-479.90789999999998</v>
      </c>
      <c r="K3209">
        <v>1.119122</v>
      </c>
      <c r="L3209">
        <v>217.66460000000001</v>
      </c>
      <c r="M3209">
        <v>0.91689399999999999</v>
      </c>
      <c r="N3209">
        <v>-1.4914159999999999E-2</v>
      </c>
      <c r="O3209">
        <v>-0.3988525</v>
      </c>
      <c r="P3209">
        <v>0.96321849999999998</v>
      </c>
      <c r="Q3209">
        <v>0.18616820000000001</v>
      </c>
      <c r="R3209">
        <v>-0.19378310000000001</v>
      </c>
      <c r="S3209">
        <v>3.091888</v>
      </c>
      <c r="T3209">
        <v>-0.1140352</v>
      </c>
      <c r="U3209">
        <v>-0.24629210000000001</v>
      </c>
      <c r="V3209">
        <v>-0.2106179</v>
      </c>
      <c r="W3209">
        <v>0.1961705</v>
      </c>
      <c r="X3209">
        <v>0.95768330000000002</v>
      </c>
      <c r="Y3209">
        <v>-0.32443650000000002</v>
      </c>
      <c r="Z3209">
        <v>1.6612020000000002E-2</v>
      </c>
      <c r="AA3209">
        <v>0.94576159999999998</v>
      </c>
      <c r="AB3209">
        <v>24</v>
      </c>
      <c r="AC3209">
        <v>30.139999999999901</v>
      </c>
      <c r="AD3209">
        <v>-1.119118369787</v>
      </c>
      <c r="AE3209">
        <v>-2.3397999999999901</v>
      </c>
      <c r="AF3209">
        <v>-9.8636451585217308</v>
      </c>
      <c r="AG3209">
        <v>-1.119118369787</v>
      </c>
      <c r="AH3209">
        <v>28.532491234735598</v>
      </c>
      <c r="AI3209">
        <v>92.122983541963805</v>
      </c>
      <c r="AJ3209">
        <v>109.07020120218399</v>
      </c>
      <c r="AK3209">
        <v>30.210047629871202</v>
      </c>
      <c r="AL3209">
        <v>78.686891334056</v>
      </c>
      <c r="AM3209">
        <v>102.403285435162</v>
      </c>
      <c r="AN3209">
        <v>1.0000000339847701</v>
      </c>
    </row>
    <row r="3210" spans="1:40" x14ac:dyDescent="0.25">
      <c r="A3210" t="str">
        <f>"20190304155118897"</f>
        <v>20190304155118897</v>
      </c>
      <c r="B3210" t="str">
        <f>"1551685878889470"</f>
        <v>1551685878889470</v>
      </c>
      <c r="C3210" t="s">
        <v>40</v>
      </c>
      <c r="D3210">
        <v>4.6450040000000001</v>
      </c>
      <c r="E3210">
        <v>0.45067380000000001</v>
      </c>
      <c r="F3210" t="s">
        <v>70</v>
      </c>
      <c r="G3210">
        <v>-453.16980000000001</v>
      </c>
      <c r="H3210" s="1">
        <v>9.9202709999999999E-8</v>
      </c>
      <c r="I3210">
        <v>215.77889999999999</v>
      </c>
      <c r="J3210">
        <v>-479.6728</v>
      </c>
      <c r="K3210">
        <v>1.1189549999999999</v>
      </c>
      <c r="L3210">
        <v>217.5797</v>
      </c>
      <c r="M3210">
        <v>0.92236119999999999</v>
      </c>
      <c r="N3210">
        <v>-1.489066E-2</v>
      </c>
      <c r="O3210">
        <v>-0.38604159999999998</v>
      </c>
      <c r="P3210">
        <v>0.96543840000000003</v>
      </c>
      <c r="Q3210">
        <v>0.18611050000000001</v>
      </c>
      <c r="R3210">
        <v>-0.18245919999999999</v>
      </c>
      <c r="S3210">
        <v>3.0956419999999998</v>
      </c>
      <c r="T3210">
        <v>-0.12956769999999901</v>
      </c>
      <c r="U3210">
        <v>-0.21832280000000001</v>
      </c>
      <c r="V3210">
        <v>-0.2084405</v>
      </c>
      <c r="W3210">
        <v>0.19622419999999999</v>
      </c>
      <c r="X3210">
        <v>0.95814849999999996</v>
      </c>
      <c r="Y3210">
        <v>-0.31973449999999998</v>
      </c>
      <c r="Z3210">
        <v>1.8940530000000001E-2</v>
      </c>
      <c r="AA3210">
        <v>0.94731779999999999</v>
      </c>
      <c r="AB3210">
        <v>24</v>
      </c>
      <c r="AC3210">
        <v>26.502999999999901</v>
      </c>
      <c r="AD3210">
        <v>-1.1189549007972901</v>
      </c>
      <c r="AE3210">
        <v>-1.8008</v>
      </c>
      <c r="AF3210">
        <v>-8.5560413976374008</v>
      </c>
      <c r="AG3210">
        <v>-1.1189549007972901</v>
      </c>
      <c r="AH3210">
        <v>25.0987763462049</v>
      </c>
      <c r="AI3210">
        <v>92.416307966349393</v>
      </c>
      <c r="AJ3210">
        <v>108.823974526409</v>
      </c>
      <c r="AK3210">
        <v>26.540657085779099</v>
      </c>
      <c r="AL3210">
        <v>78.683752756955599</v>
      </c>
      <c r="AM3210">
        <v>102.27318701252101</v>
      </c>
      <c r="AN3210">
        <v>0.99999996337906905</v>
      </c>
    </row>
    <row r="3211" spans="1:40" x14ac:dyDescent="0.25">
      <c r="A3211" t="str">
        <f>"20190304155118920"</f>
        <v>20190304155118920</v>
      </c>
      <c r="B3211" t="str">
        <f>"1551685878909968"</f>
        <v>1551685878909968</v>
      </c>
      <c r="C3211" t="s">
        <v>40</v>
      </c>
      <c r="D3211">
        <v>4.6854719999999999</v>
      </c>
      <c r="E3211">
        <v>0.45192329999999997</v>
      </c>
      <c r="F3211" t="s">
        <v>70</v>
      </c>
      <c r="G3211">
        <v>-452.84890000000001</v>
      </c>
      <c r="H3211" s="1">
        <v>-8.0473429999999993E-8</v>
      </c>
      <c r="I3211">
        <v>215.98269999999999</v>
      </c>
      <c r="J3211">
        <v>-479.4402</v>
      </c>
      <c r="K3211">
        <v>1.118771</v>
      </c>
      <c r="L3211">
        <v>217.49889999999999</v>
      </c>
      <c r="M3211">
        <v>0.92747080000000004</v>
      </c>
      <c r="N3211">
        <v>-1.48611E-2</v>
      </c>
      <c r="O3211">
        <v>-0.37360019999999999</v>
      </c>
      <c r="P3211">
        <v>0.96731599999999995</v>
      </c>
      <c r="Q3211">
        <v>0.18726029999999999</v>
      </c>
      <c r="R3211">
        <v>-0.17097799999999999</v>
      </c>
      <c r="S3211">
        <v>3.0974729999999999</v>
      </c>
      <c r="T3211">
        <v>-0.12921060000000001</v>
      </c>
      <c r="U3211">
        <v>-0.18441769999999999</v>
      </c>
      <c r="V3211">
        <v>-0.2067833</v>
      </c>
      <c r="W3211">
        <v>0.1974697</v>
      </c>
      <c r="X3211">
        <v>0.95825170000000004</v>
      </c>
      <c r="Y3211">
        <v>-0.31736350000000002</v>
      </c>
      <c r="Z3211">
        <v>1.8535510000000002E-2</v>
      </c>
      <c r="AA3211">
        <v>0.94812280000000004</v>
      </c>
      <c r="AB3211">
        <v>24</v>
      </c>
      <c r="AC3211">
        <v>26.591299999999901</v>
      </c>
      <c r="AD3211">
        <v>-1.1187710804734301</v>
      </c>
      <c r="AE3211">
        <v>-1.51619999999999</v>
      </c>
      <c r="AF3211">
        <v>-8.5142031310739501</v>
      </c>
      <c r="AG3211">
        <v>-1.1187710804734301</v>
      </c>
      <c r="AH3211">
        <v>25.1874523391262</v>
      </c>
      <c r="AI3211">
        <v>92.409511079316403</v>
      </c>
      <c r="AJ3211">
        <v>108.67697679354499</v>
      </c>
      <c r="AK3211">
        <v>26.611107812780901</v>
      </c>
      <c r="AL3211">
        <v>78.610966795068506</v>
      </c>
      <c r="AM3211">
        <v>102.177260664155</v>
      </c>
      <c r="AN3211">
        <v>0.99999996806493396</v>
      </c>
    </row>
    <row r="3212" spans="1:40" x14ac:dyDescent="0.25">
      <c r="A3212" t="str">
        <f>"20190304155118942"</f>
        <v>20190304155118942</v>
      </c>
      <c r="B3212" t="str">
        <f>"1551685878940222"</f>
        <v>1551685878940222</v>
      </c>
      <c r="C3212" t="s">
        <v>40</v>
      </c>
      <c r="D3212">
        <v>4.7150749999999997</v>
      </c>
      <c r="E3212">
        <v>0.45358779999999999</v>
      </c>
      <c r="F3212" t="s">
        <v>70</v>
      </c>
      <c r="G3212">
        <v>-452.60210000000001</v>
      </c>
      <c r="H3212" s="1">
        <v>-2.182667E-7</v>
      </c>
      <c r="I3212">
        <v>216.12989999999999</v>
      </c>
      <c r="J3212">
        <v>-479.22739999999999</v>
      </c>
      <c r="K3212">
        <v>1.1185860000000001</v>
      </c>
      <c r="L3212">
        <v>217.42779999999999</v>
      </c>
      <c r="M3212">
        <v>0.93188099999999996</v>
      </c>
      <c r="N3212">
        <v>-1.48267E-2</v>
      </c>
      <c r="O3212">
        <v>-0.36246089999999997</v>
      </c>
      <c r="P3212">
        <v>0.96896859999999996</v>
      </c>
      <c r="Q3212">
        <v>0.18790519999999999</v>
      </c>
      <c r="R3212">
        <v>-0.1605975</v>
      </c>
      <c r="S3212">
        <v>3.0984500000000001</v>
      </c>
      <c r="T3212">
        <v>-0.12916140000000001</v>
      </c>
      <c r="U3212">
        <v>-0.15805050000000001</v>
      </c>
      <c r="V3212">
        <v>-0.20544950000000001</v>
      </c>
      <c r="W3212">
        <v>0.19820119999999999</v>
      </c>
      <c r="X3212">
        <v>0.95838760000000001</v>
      </c>
      <c r="Y3212">
        <v>-0.31406889999999998</v>
      </c>
      <c r="Z3212">
        <v>1.8186649999999999E-2</v>
      </c>
      <c r="AA3212">
        <v>0.94922600000000001</v>
      </c>
      <c r="AB3212">
        <v>24</v>
      </c>
      <c r="AC3212">
        <v>26.6252999999999</v>
      </c>
      <c r="AD3212">
        <v>-1.1185862182666999</v>
      </c>
      <c r="AE3212">
        <v>-1.2978999999999901</v>
      </c>
      <c r="AF3212">
        <v>-8.4272311185154098</v>
      </c>
      <c r="AG3212">
        <v>-1.1185862182666999</v>
      </c>
      <c r="AH3212">
        <v>25.240385181268799</v>
      </c>
      <c r="AI3212">
        <v>92.4070806426069</v>
      </c>
      <c r="AJ3212">
        <v>108.463075135846</v>
      </c>
      <c r="AK3212">
        <v>26.633559723615399</v>
      </c>
      <c r="AL3212">
        <v>78.568210245740104</v>
      </c>
      <c r="AM3212">
        <v>102.099371351526</v>
      </c>
      <c r="AN3212">
        <v>1.00000000228272</v>
      </c>
    </row>
    <row r="3213" spans="1:40" x14ac:dyDescent="0.25">
      <c r="A3213" t="str">
        <f>"20190304155118963"</f>
        <v>20190304155118963</v>
      </c>
      <c r="B3213" t="str">
        <f>"1551685878959742"</f>
        <v>1551685878959742</v>
      </c>
      <c r="C3213" t="s">
        <v>40</v>
      </c>
      <c r="D3213">
        <v>4.9378060000000001</v>
      </c>
      <c r="E3213">
        <v>0.45435769999999998</v>
      </c>
      <c r="F3213" t="s">
        <v>70</v>
      </c>
      <c r="G3213">
        <v>-452.14550000000003</v>
      </c>
      <c r="H3213" s="1">
        <v>-4.6448279999999998E-7</v>
      </c>
      <c r="I3213">
        <v>216.20480000000001</v>
      </c>
      <c r="J3213">
        <v>-479.01150000000001</v>
      </c>
      <c r="K3213">
        <v>1.1183719999999999</v>
      </c>
      <c r="L3213">
        <v>217.35820000000001</v>
      </c>
      <c r="M3213">
        <v>0.93610000000000004</v>
      </c>
      <c r="N3213">
        <v>-1.478465E-2</v>
      </c>
      <c r="O3213">
        <v>-0.3514234</v>
      </c>
      <c r="P3213">
        <v>0.9707943</v>
      </c>
      <c r="Q3213">
        <v>0.18675919999999999</v>
      </c>
      <c r="R3213">
        <v>-0.15059729999999999</v>
      </c>
      <c r="S3213">
        <v>3.0977779999999999</v>
      </c>
      <c r="T3213">
        <v>-0.12795019999999999</v>
      </c>
      <c r="U3213">
        <v>-0.13989260000000001</v>
      </c>
      <c r="V3213">
        <v>-0.20395489999999999</v>
      </c>
      <c r="W3213">
        <v>0.1971541</v>
      </c>
      <c r="X3213">
        <v>0.95892270000000002</v>
      </c>
      <c r="Y3213">
        <v>-0.30840380000000001</v>
      </c>
      <c r="Z3213">
        <v>1.7591820000000001E-2</v>
      </c>
      <c r="AA3213">
        <v>0.95109279999999996</v>
      </c>
      <c r="AB3213">
        <v>24</v>
      </c>
      <c r="AC3213">
        <v>26.8659999999999</v>
      </c>
      <c r="AD3213">
        <v>-1.1183724644827999</v>
      </c>
      <c r="AE3213">
        <v>-1.1534</v>
      </c>
      <c r="AF3213">
        <v>-8.3481168800170291</v>
      </c>
      <c r="AG3213">
        <v>-1.1183724644827999</v>
      </c>
      <c r="AH3213">
        <v>25.5132552507981</v>
      </c>
      <c r="AI3213">
        <v>92.3856443267929</v>
      </c>
      <c r="AJ3213">
        <v>108.11846099085599</v>
      </c>
      <c r="AK3213">
        <v>26.8676014170249</v>
      </c>
      <c r="AL3213">
        <v>78.629412819055503</v>
      </c>
      <c r="AM3213">
        <v>102.007407993716</v>
      </c>
      <c r="AN3213">
        <v>1.00000004247805</v>
      </c>
    </row>
    <row r="3214" spans="1:40" x14ac:dyDescent="0.25">
      <c r="A3214" t="str">
        <f>"20190304155118986"</f>
        <v>20190304155118986</v>
      </c>
      <c r="B3214" t="str">
        <f>"1551685878980239"</f>
        <v>1551685878980239</v>
      </c>
      <c r="C3214" t="s">
        <v>40</v>
      </c>
      <c r="D3214">
        <v>4.70465</v>
      </c>
      <c r="E3214">
        <v>0.45524429999999999</v>
      </c>
      <c r="F3214" t="s">
        <v>70</v>
      </c>
      <c r="G3214">
        <v>-453.8818</v>
      </c>
      <c r="H3214" s="1">
        <v>4.497563E-7</v>
      </c>
      <c r="I3214">
        <v>216.4272</v>
      </c>
      <c r="J3214">
        <v>-478.79349999999999</v>
      </c>
      <c r="K3214">
        <v>1.118133</v>
      </c>
      <c r="L3214">
        <v>217.29040000000001</v>
      </c>
      <c r="M3214">
        <v>0.94010450000000001</v>
      </c>
      <c r="N3214">
        <v>-1.4736559999999999E-2</v>
      </c>
      <c r="O3214">
        <v>-0.34056750000000002</v>
      </c>
      <c r="P3214">
        <v>0.97254819999999997</v>
      </c>
      <c r="Q3214">
        <v>0.18467800000000001</v>
      </c>
      <c r="R3214">
        <v>-0.14157739999999999</v>
      </c>
      <c r="S3214">
        <v>3.0989689999999999</v>
      </c>
      <c r="T3214">
        <v>-0.13791619999999999</v>
      </c>
      <c r="U3214">
        <v>-0.1148071</v>
      </c>
      <c r="V3214">
        <v>-0.20174010000000001</v>
      </c>
      <c r="W3214">
        <v>0.1951927</v>
      </c>
      <c r="X3214">
        <v>0.95979199999999998</v>
      </c>
      <c r="Y3214">
        <v>-0.30502610000000002</v>
      </c>
      <c r="Z3214">
        <v>1.881741E-2</v>
      </c>
      <c r="AA3214">
        <v>0.95215810000000001</v>
      </c>
      <c r="AB3214">
        <v>24</v>
      </c>
      <c r="AC3214">
        <v>24.9117</v>
      </c>
      <c r="AD3214">
        <v>-1.1181325502437001</v>
      </c>
      <c r="AE3214">
        <v>-0.86320000000000596</v>
      </c>
      <c r="AF3214">
        <v>-7.6580419066795002</v>
      </c>
      <c r="AG3214">
        <v>-1.1181325502437001</v>
      </c>
      <c r="AH3214">
        <v>23.668531664512901</v>
      </c>
      <c r="AI3214">
        <v>92.573550979663096</v>
      </c>
      <c r="AJ3214">
        <v>107.929181507255</v>
      </c>
      <c r="AK3214">
        <v>24.901711133944701</v>
      </c>
      <c r="AL3214">
        <v>78.744018858752895</v>
      </c>
      <c r="AM3214">
        <v>101.870286270843</v>
      </c>
      <c r="AN3214">
        <v>0.99999997067264901</v>
      </c>
    </row>
    <row r="3215" spans="1:40" x14ac:dyDescent="0.25">
      <c r="A3215" t="str">
        <f>"20190304155119007"</f>
        <v>20190304155119007</v>
      </c>
      <c r="B3215" t="str">
        <f>"1551685878999758"</f>
        <v>1551685878999758</v>
      </c>
      <c r="C3215" t="s">
        <v>40</v>
      </c>
      <c r="D3215">
        <v>4.6947299999999998</v>
      </c>
      <c r="E3215">
        <v>0.4567001</v>
      </c>
      <c r="F3215" t="s">
        <v>70</v>
      </c>
      <c r="G3215">
        <v>-455.53070000000002</v>
      </c>
      <c r="H3215" s="1">
        <v>1.3199329999999999E-6</v>
      </c>
      <c r="I3215">
        <v>216.5934</v>
      </c>
      <c r="J3215">
        <v>-478.58030000000002</v>
      </c>
      <c r="K3215">
        <v>1.1178950000000001</v>
      </c>
      <c r="L3215">
        <v>217.22640000000001</v>
      </c>
      <c r="M3215">
        <v>0.94378470000000003</v>
      </c>
      <c r="N3215">
        <v>-1.4686640000000001E-2</v>
      </c>
      <c r="O3215">
        <v>-0.3302348</v>
      </c>
      <c r="P3215">
        <v>0.97400790000000004</v>
      </c>
      <c r="Q3215">
        <v>0.18336640000000001</v>
      </c>
      <c r="R3215">
        <v>-0.13298679999999999</v>
      </c>
      <c r="S3215">
        <v>3.0994259999999998</v>
      </c>
      <c r="T3215">
        <v>-0.1489743</v>
      </c>
      <c r="U3215">
        <v>-9.2864989999999994E-2</v>
      </c>
      <c r="V3215">
        <v>-0.1996232</v>
      </c>
      <c r="W3215">
        <v>0.19399430000000001</v>
      </c>
      <c r="X3215">
        <v>0.96047740000000004</v>
      </c>
      <c r="Y3215">
        <v>-0.30123230000000001</v>
      </c>
      <c r="Z3215">
        <v>2.0136169999999998E-2</v>
      </c>
      <c r="AA3215">
        <v>0.95333809999999997</v>
      </c>
      <c r="AB3215">
        <v>24</v>
      </c>
      <c r="AC3215">
        <v>23.049600000000002</v>
      </c>
      <c r="AD3215">
        <v>-1.1178936800669901</v>
      </c>
      <c r="AE3215">
        <v>-0.633000000000009</v>
      </c>
      <c r="AF3215">
        <v>-6.9986700950849903</v>
      </c>
      <c r="AG3215">
        <v>-1.1178936800669901</v>
      </c>
      <c r="AH3215">
        <v>21.9137577301418</v>
      </c>
      <c r="AI3215">
        <v>92.782108737939197</v>
      </c>
      <c r="AJ3215">
        <v>107.71209610942201</v>
      </c>
      <c r="AK3215">
        <v>23.031366595039898</v>
      </c>
      <c r="AL3215">
        <v>78.814020871445905</v>
      </c>
      <c r="AM3215">
        <v>101.74105758976999</v>
      </c>
      <c r="AN3215">
        <v>1.00000002316074</v>
      </c>
    </row>
    <row r="3216" spans="1:40" x14ac:dyDescent="0.25">
      <c r="A3216" t="str">
        <f>"20190304155119031"</f>
        <v>20190304155119031</v>
      </c>
      <c r="B3216" t="str">
        <f>"1551685879020255"</f>
        <v>1551685879020255</v>
      </c>
      <c r="C3216" t="s">
        <v>40</v>
      </c>
      <c r="D3216">
        <v>4.7470350000000003</v>
      </c>
      <c r="E3216">
        <v>0.45790550000000002</v>
      </c>
      <c r="F3216" t="s">
        <v>70</v>
      </c>
      <c r="G3216">
        <v>-455.85860000000002</v>
      </c>
      <c r="H3216" s="1">
        <v>1.491078E-6</v>
      </c>
      <c r="I3216">
        <v>216.66980000000001</v>
      </c>
      <c r="J3216">
        <v>-478.34140000000002</v>
      </c>
      <c r="K3216">
        <v>1.117637</v>
      </c>
      <c r="L3216">
        <v>217.1574</v>
      </c>
      <c r="M3216">
        <v>0.94762990000000002</v>
      </c>
      <c r="N3216">
        <v>-1.462771E-2</v>
      </c>
      <c r="O3216">
        <v>-0.31903579999999998</v>
      </c>
      <c r="P3216">
        <v>0.97523649999999995</v>
      </c>
      <c r="Q3216">
        <v>0.1838515</v>
      </c>
      <c r="R3216">
        <v>-0.122935199999999</v>
      </c>
      <c r="S3216">
        <v>3.0983890000000001</v>
      </c>
      <c r="T3216">
        <v>-0.15243880000000001</v>
      </c>
      <c r="U3216">
        <v>-7.5897220000000001E-2</v>
      </c>
      <c r="V3216">
        <v>-0.1980044</v>
      </c>
      <c r="W3216">
        <v>0.194579</v>
      </c>
      <c r="X3216">
        <v>0.9606941</v>
      </c>
      <c r="Y3216">
        <v>-0.29512680000000002</v>
      </c>
      <c r="Z3216">
        <v>2.0142400000000001E-2</v>
      </c>
      <c r="AA3216">
        <v>0.95524569999999998</v>
      </c>
      <c r="AB3216">
        <v>24</v>
      </c>
      <c r="AC3216">
        <v>22.482800000000001</v>
      </c>
      <c r="AD3216">
        <v>-1.117635508922</v>
      </c>
      <c r="AE3216">
        <v>-0.48759999999998599</v>
      </c>
      <c r="AF3216">
        <v>-6.6949345799560396</v>
      </c>
      <c r="AG3216">
        <v>-1.117635508922</v>
      </c>
      <c r="AH3216">
        <v>21.410345811886899</v>
      </c>
      <c r="AI3216">
        <v>92.852218186120794</v>
      </c>
      <c r="AJ3216">
        <v>107.364267328339</v>
      </c>
      <c r="AK3216">
        <v>22.460502352914499</v>
      </c>
      <c r="AL3216">
        <v>78.779868337981299</v>
      </c>
      <c r="AM3216">
        <v>101.645902496131</v>
      </c>
      <c r="AN3216">
        <v>0.999999941717583</v>
      </c>
    </row>
    <row r="3217" spans="1:40" x14ac:dyDescent="0.25">
      <c r="A3217" t="str">
        <f>"20190304155119052"</f>
        <v>20190304155119052</v>
      </c>
      <c r="B3217" t="str">
        <f>"1551685879049535"</f>
        <v>1551685879049535</v>
      </c>
      <c r="C3217" t="s">
        <v>40</v>
      </c>
      <c r="D3217">
        <v>4.7550410000000003</v>
      </c>
      <c r="E3217">
        <v>0.47840310000000003</v>
      </c>
      <c r="F3217" t="s">
        <v>70</v>
      </c>
      <c r="G3217">
        <v>-455.63909999999998</v>
      </c>
      <c r="H3217" s="1">
        <v>1.3703949999999999E-6</v>
      </c>
      <c r="I3217">
        <v>216.75919999999999</v>
      </c>
      <c r="J3217">
        <v>-478.1336</v>
      </c>
      <c r="K3217">
        <v>1.1174200000000001</v>
      </c>
      <c r="L3217">
        <v>217.09950000000001</v>
      </c>
      <c r="M3217">
        <v>0.95076559999999999</v>
      </c>
      <c r="N3217">
        <v>-1.457103E-2</v>
      </c>
      <c r="O3217">
        <v>-0.30956830000000002</v>
      </c>
      <c r="P3217">
        <v>0.9761744</v>
      </c>
      <c r="Q3217">
        <v>0.18398220000000001</v>
      </c>
      <c r="R3217">
        <v>-0.11504010000000001</v>
      </c>
      <c r="S3217">
        <v>3.0981139999999998</v>
      </c>
      <c r="T3217">
        <v>-0.15252019999999999</v>
      </c>
      <c r="U3217">
        <v>-5.435181E-2</v>
      </c>
      <c r="V3217">
        <v>-0.19608149999999999</v>
      </c>
      <c r="W3217">
        <v>0.19479469999999999</v>
      </c>
      <c r="X3217">
        <v>0.96104480000000003</v>
      </c>
      <c r="Y3217">
        <v>-0.29224299999999998</v>
      </c>
      <c r="Z3217">
        <v>1.977866E-2</v>
      </c>
      <c r="AA3217">
        <v>0.95613959999999998</v>
      </c>
      <c r="AB3217">
        <v>24</v>
      </c>
      <c r="AC3217">
        <v>22.494499999999999</v>
      </c>
      <c r="AD3217">
        <v>-1.1174186296049999</v>
      </c>
      <c r="AE3217">
        <v>-0.34030000000001298</v>
      </c>
      <c r="AF3217">
        <v>-6.6244005538188899</v>
      </c>
      <c r="AG3217">
        <v>-1.1174186296049999</v>
      </c>
      <c r="AH3217">
        <v>21.441725999662701</v>
      </c>
      <c r="AI3217">
        <v>92.850520005167894</v>
      </c>
      <c r="AJ3217">
        <v>107.168483403305</v>
      </c>
      <c r="AK3217">
        <v>22.4695109189283</v>
      </c>
      <c r="AL3217">
        <v>78.767269422173996</v>
      </c>
      <c r="AM3217">
        <v>101.531753645949</v>
      </c>
      <c r="AN3217">
        <v>1.0000000186986899</v>
      </c>
    </row>
    <row r="3218" spans="1:40" x14ac:dyDescent="0.25">
      <c r="A3218" t="str">
        <f>"20190304155119086"</f>
        <v>20190304155119086</v>
      </c>
      <c r="B3218" t="str">
        <f>"1551685879079791"</f>
        <v>1551685879079791</v>
      </c>
      <c r="C3218" t="s">
        <v>40</v>
      </c>
      <c r="D3218">
        <v>4.7290700000000001</v>
      </c>
      <c r="E3218">
        <v>0.48097040000000002</v>
      </c>
      <c r="F3218" t="s">
        <v>70</v>
      </c>
      <c r="G3218">
        <v>-447.06119999999999</v>
      </c>
      <c r="H3218" s="1">
        <v>2.1970610000000001E-6</v>
      </c>
      <c r="I3218">
        <v>215.15940000000001</v>
      </c>
      <c r="J3218">
        <v>-477.79500000000002</v>
      </c>
      <c r="K3218">
        <v>1.1171180000000001</v>
      </c>
      <c r="L3218">
        <v>217.00909999999999</v>
      </c>
      <c r="M3218">
        <v>0.95550760000000001</v>
      </c>
      <c r="N3218">
        <v>-1.447618E-2</v>
      </c>
      <c r="O3218">
        <v>-0.29461120000000002</v>
      </c>
      <c r="P3218">
        <v>0.97815110000000005</v>
      </c>
      <c r="Q3218">
        <v>0.1809886</v>
      </c>
      <c r="R3218">
        <v>-0.1022923</v>
      </c>
      <c r="S3218">
        <v>3.0714109999999999</v>
      </c>
      <c r="T3218">
        <v>-0.1104531</v>
      </c>
      <c r="U3218">
        <v>-0.19177250000000001</v>
      </c>
      <c r="V3218">
        <v>-0.1935095</v>
      </c>
      <c r="W3218">
        <v>0.19190389999999999</v>
      </c>
      <c r="X3218">
        <v>0.96214710000000003</v>
      </c>
      <c r="Y3218">
        <v>-0.2342466</v>
      </c>
      <c r="Z3218">
        <v>1.20229E-2</v>
      </c>
      <c r="AA3218">
        <v>0.97210289999999999</v>
      </c>
      <c r="AB3218">
        <v>24</v>
      </c>
      <c r="AC3218">
        <v>30.733799999999999</v>
      </c>
      <c r="AD3218">
        <v>-1.117115802939</v>
      </c>
      <c r="AE3218">
        <v>-1.8496999999999799</v>
      </c>
      <c r="AF3218">
        <v>-7.2783013342937499</v>
      </c>
      <c r="AG3218">
        <v>-1.117115802939</v>
      </c>
      <c r="AH3218">
        <v>29.875126888548099</v>
      </c>
      <c r="AI3218">
        <v>92.080653755792994</v>
      </c>
      <c r="AJ3218">
        <v>103.691908606068</v>
      </c>
      <c r="AK3218">
        <v>30.7692187849612</v>
      </c>
      <c r="AL3218">
        <v>78.936085903961796</v>
      </c>
      <c r="AM3218">
        <v>101.37176398058401</v>
      </c>
      <c r="AN3218">
        <v>1.00000003773193</v>
      </c>
    </row>
    <row r="3219" spans="1:40" x14ac:dyDescent="0.25">
      <c r="A3219" t="str">
        <f>"20190304155119110"</f>
        <v>20190304155119110</v>
      </c>
      <c r="B3219" t="str">
        <f>"1551685879100286"</f>
        <v>1551685879100286</v>
      </c>
      <c r="C3219" t="s">
        <v>40</v>
      </c>
      <c r="D3219">
        <v>4.7427429999999999</v>
      </c>
      <c r="E3219">
        <v>0.48281780000000002</v>
      </c>
      <c r="F3219" t="s">
        <v>70</v>
      </c>
      <c r="G3219">
        <v>-447.4486</v>
      </c>
      <c r="H3219" s="1">
        <v>2.396775E-6</v>
      </c>
      <c r="I3219">
        <v>215.30709999999999</v>
      </c>
      <c r="J3219">
        <v>-477.55970000000002</v>
      </c>
      <c r="K3219">
        <v>1.1169370000000001</v>
      </c>
      <c r="L3219">
        <v>216.94919999999999</v>
      </c>
      <c r="M3219">
        <v>0.95854439999999996</v>
      </c>
      <c r="N3219">
        <v>-1.4414079999999999E-2</v>
      </c>
      <c r="O3219">
        <v>-0.2845782</v>
      </c>
      <c r="P3219">
        <v>0.97902319999999998</v>
      </c>
      <c r="Q3219">
        <v>0.18076490000000001</v>
      </c>
      <c r="R3219">
        <v>-9.4008240000000007E-2</v>
      </c>
      <c r="S3219">
        <v>3.0699459999999998</v>
      </c>
      <c r="T3219">
        <v>-0.11301120000000001</v>
      </c>
      <c r="U3219">
        <v>-0.17218020000000001</v>
      </c>
      <c r="V3219">
        <v>-0.19148419999999999</v>
      </c>
      <c r="W3219">
        <v>0.19174150000000001</v>
      </c>
      <c r="X3219">
        <v>0.96258460000000001</v>
      </c>
      <c r="Y3219">
        <v>-0.23019809999999999</v>
      </c>
      <c r="Z3219">
        <v>1.207684E-2</v>
      </c>
      <c r="AA3219">
        <v>0.97306879999999996</v>
      </c>
      <c r="AB3219">
        <v>24</v>
      </c>
      <c r="AC3219">
        <v>30.1111</v>
      </c>
      <c r="AD3219">
        <v>-1.116934603225</v>
      </c>
      <c r="AE3219">
        <v>-1.6420999999999899</v>
      </c>
      <c r="AF3219">
        <v>-6.9860800656473199</v>
      </c>
      <c r="AG3219">
        <v>-1.116934603225</v>
      </c>
      <c r="AH3219">
        <v>29.292995069476898</v>
      </c>
      <c r="AI3219">
        <v>92.1241015402709</v>
      </c>
      <c r="AJ3219">
        <v>103.413888905736</v>
      </c>
      <c r="AK3219">
        <v>30.135235484925602</v>
      </c>
      <c r="AL3219">
        <v>78.945567017039096</v>
      </c>
      <c r="AM3219">
        <v>101.250814106893</v>
      </c>
      <c r="AN3219">
        <v>1.00000005691452</v>
      </c>
    </row>
    <row r="3220" spans="1:40" x14ac:dyDescent="0.25">
      <c r="A3220" t="str">
        <f>"20190304155119132"</f>
        <v>20190304155119132</v>
      </c>
      <c r="B3220" t="str">
        <f>"1551685879129566"</f>
        <v>1551685879129566</v>
      </c>
      <c r="C3220" t="s">
        <v>40</v>
      </c>
      <c r="D3220">
        <v>4.8451060000000004</v>
      </c>
      <c r="E3220">
        <v>0.49460389999999999</v>
      </c>
      <c r="F3220" t="s">
        <v>70</v>
      </c>
      <c r="G3220">
        <v>-447.11219999999997</v>
      </c>
      <c r="H3220" s="1">
        <v>2.2156009999999998E-6</v>
      </c>
      <c r="I3220">
        <v>215.3563</v>
      </c>
      <c r="J3220">
        <v>-477.33089999999999</v>
      </c>
      <c r="K3220">
        <v>1.1167530000000001</v>
      </c>
      <c r="L3220">
        <v>216.89340000000001</v>
      </c>
      <c r="M3220">
        <v>0.96130009999999999</v>
      </c>
      <c r="N3220">
        <v>-1.435321E-2</v>
      </c>
      <c r="O3220">
        <v>-0.27512959999999997</v>
      </c>
      <c r="P3220">
        <v>0.97951909999999998</v>
      </c>
      <c r="Q3220">
        <v>0.18205540000000001</v>
      </c>
      <c r="R3220">
        <v>-8.6012909999999998E-2</v>
      </c>
      <c r="S3220">
        <v>3.0696720000000002</v>
      </c>
      <c r="T3220">
        <v>-0.11260770000000001</v>
      </c>
      <c r="U3220">
        <v>-0.16059880000000001</v>
      </c>
      <c r="V3220">
        <v>-0.1897277</v>
      </c>
      <c r="W3220">
        <v>0.1930877</v>
      </c>
      <c r="X3220">
        <v>0.96266320000000005</v>
      </c>
      <c r="Y3220">
        <v>-0.22428029999999999</v>
      </c>
      <c r="Z3220">
        <v>1.1694690000000001E-2</v>
      </c>
      <c r="AA3220">
        <v>0.9744545</v>
      </c>
      <c r="AB3220">
        <v>24</v>
      </c>
      <c r="AC3220">
        <v>30.218699999999998</v>
      </c>
      <c r="AD3220">
        <v>-1.1167507843989899</v>
      </c>
      <c r="AE3220">
        <v>-1.5370999999999999</v>
      </c>
      <c r="AF3220">
        <v>-6.8278472618509403</v>
      </c>
      <c r="AG3220">
        <v>-1.1167507843989899</v>
      </c>
      <c r="AH3220">
        <v>29.435078231681601</v>
      </c>
      <c r="AI3220">
        <v>92.116584378319203</v>
      </c>
      <c r="AJ3220">
        <v>103.059536092746</v>
      </c>
      <c r="AK3220">
        <v>30.237236332886599</v>
      </c>
      <c r="AL3220">
        <v>78.866965464667999</v>
      </c>
      <c r="AM3220">
        <v>101.14931944276999</v>
      </c>
      <c r="AN3220">
        <v>0.99999994833640804</v>
      </c>
    </row>
    <row r="3221" spans="1:40" x14ac:dyDescent="0.25">
      <c r="A3221" t="str">
        <f>"20190304155119154"</f>
        <v>20190304155119154</v>
      </c>
      <c r="B3221" t="str">
        <f>"1551685879150063"</f>
        <v>1551685879150063</v>
      </c>
      <c r="C3221" t="s">
        <v>40</v>
      </c>
      <c r="D3221">
        <v>4.767855</v>
      </c>
      <c r="E3221">
        <v>0.49634139999999999</v>
      </c>
      <c r="F3221" t="s">
        <v>70</v>
      </c>
      <c r="G3221">
        <v>-448.13729999999998</v>
      </c>
      <c r="H3221" s="1">
        <v>2.7899280000000001E-6</v>
      </c>
      <c r="I3221">
        <v>214.69710000000001</v>
      </c>
      <c r="J3221">
        <v>-477.10590000000002</v>
      </c>
      <c r="K3221">
        <v>1.116579</v>
      </c>
      <c r="L3221">
        <v>216.84030000000001</v>
      </c>
      <c r="M3221">
        <v>0.96384970000000003</v>
      </c>
      <c r="N3221">
        <v>-1.429332E-2</v>
      </c>
      <c r="O3221">
        <v>-0.26606269999999999</v>
      </c>
      <c r="P3221">
        <v>0.98018260000000001</v>
      </c>
      <c r="Q3221">
        <v>0.18202209999999999</v>
      </c>
      <c r="R3221">
        <v>-7.8168329999999994E-2</v>
      </c>
      <c r="S3221">
        <v>3.06427</v>
      </c>
      <c r="T3221">
        <v>-0.117218</v>
      </c>
      <c r="U3221">
        <v>-0.23052980000000001</v>
      </c>
      <c r="V3221">
        <v>-0.18827630000000001</v>
      </c>
      <c r="W3221">
        <v>0.19310550000000001</v>
      </c>
      <c r="X3221">
        <v>0.96294460000000004</v>
      </c>
      <c r="Y3221">
        <v>-0.19276209999999999</v>
      </c>
      <c r="Z3221">
        <v>1.126052E-2</v>
      </c>
      <c r="AA3221">
        <v>0.98118090000000002</v>
      </c>
      <c r="AB3221">
        <v>24</v>
      </c>
      <c r="AC3221">
        <v>28.968599999999999</v>
      </c>
      <c r="AD3221">
        <v>-1.116576210072</v>
      </c>
      <c r="AE3221">
        <v>-2.1432000000000002</v>
      </c>
      <c r="AF3221">
        <v>-5.6339932388031304</v>
      </c>
      <c r="AG3221">
        <v>-1.116576210072</v>
      </c>
      <c r="AH3221">
        <v>28.452473409837499</v>
      </c>
      <c r="AI3221">
        <v>92.204575627407493</v>
      </c>
      <c r="AJ3221">
        <v>101.200487918181</v>
      </c>
      <c r="AK3221">
        <v>29.026399456103601</v>
      </c>
      <c r="AL3221">
        <v>78.865926630980994</v>
      </c>
      <c r="AM3221">
        <v>101.062987211988</v>
      </c>
      <c r="AN3221">
        <v>1.0000000009705501</v>
      </c>
    </row>
    <row r="3222" spans="1:40" x14ac:dyDescent="0.25">
      <c r="A3222" t="str">
        <f>"20190304155119175"</f>
        <v>20190304155119175</v>
      </c>
      <c r="B3222" t="str">
        <f>"1551685879169583"</f>
        <v>1551685879169583</v>
      </c>
      <c r="C3222" t="s">
        <v>40</v>
      </c>
      <c r="D3222">
        <v>4.7740669999999996</v>
      </c>
      <c r="E3222">
        <v>0.49787930000000002</v>
      </c>
      <c r="F3222" t="s">
        <v>70</v>
      </c>
      <c r="G3222">
        <v>-445.06180000000001</v>
      </c>
      <c r="H3222" s="1">
        <v>1.1605280000000001E-6</v>
      </c>
      <c r="I3222">
        <v>214.53210000000001</v>
      </c>
      <c r="J3222">
        <v>-476.90030000000002</v>
      </c>
      <c r="K3222">
        <v>1.1164050000000001</v>
      </c>
      <c r="L3222">
        <v>216.79349999999999</v>
      </c>
      <c r="M3222">
        <v>0.96604380000000001</v>
      </c>
      <c r="N3222">
        <v>-1.4240600000000001E-2</v>
      </c>
      <c r="O3222">
        <v>-0.25798490000000002</v>
      </c>
      <c r="P3222">
        <v>0.98089769999999998</v>
      </c>
      <c r="Q3222">
        <v>0.1804133</v>
      </c>
      <c r="R3222">
        <v>-7.2734939999999998E-2</v>
      </c>
      <c r="S3222">
        <v>3.0628660000000001</v>
      </c>
      <c r="T3222">
        <v>-0.10672570000000001</v>
      </c>
      <c r="U3222">
        <v>-0.22062680000000001</v>
      </c>
      <c r="V3222">
        <v>-0.18551709999999999</v>
      </c>
      <c r="W3222">
        <v>0.19157350000000001</v>
      </c>
      <c r="X3222">
        <v>0.96378580000000003</v>
      </c>
      <c r="Y3222">
        <v>-0.18772030000000001</v>
      </c>
      <c r="Z3222">
        <v>9.7726789999999994E-3</v>
      </c>
      <c r="AA3222">
        <v>0.98217390000000004</v>
      </c>
      <c r="AB3222">
        <v>23</v>
      </c>
      <c r="AC3222">
        <v>31.8385</v>
      </c>
      <c r="AD3222">
        <v>-1.1164038394719999</v>
      </c>
      <c r="AE3222">
        <v>-2.2613999999999801</v>
      </c>
      <c r="AF3222">
        <v>-6.0224857271690597</v>
      </c>
      <c r="AG3222">
        <v>-1.1164038394719999</v>
      </c>
      <c r="AH3222">
        <v>31.305678870909901</v>
      </c>
      <c r="AI3222">
        <v>92.005636218391103</v>
      </c>
      <c r="AJ3222">
        <v>100.889344321412</v>
      </c>
      <c r="AK3222">
        <v>31.899251110884698</v>
      </c>
      <c r="AL3222">
        <v>78.955374267166405</v>
      </c>
      <c r="AM3222">
        <v>100.895483364097</v>
      </c>
      <c r="AN3222">
        <v>1.0000000342881401</v>
      </c>
    </row>
    <row r="3223" spans="1:40" x14ac:dyDescent="0.25">
      <c r="A3223" t="str">
        <f>"20190304155119198"</f>
        <v>20190304155119198</v>
      </c>
      <c r="B3223" t="str">
        <f>"1551685879190079"</f>
        <v>1551685879190079</v>
      </c>
      <c r="C3223" t="s">
        <v>40</v>
      </c>
      <c r="D3223">
        <v>4.7863199999999999</v>
      </c>
      <c r="E3223">
        <v>0.49982680000000002</v>
      </c>
      <c r="F3223" t="s">
        <v>70</v>
      </c>
      <c r="G3223">
        <v>-444.85109999999997</v>
      </c>
      <c r="H3223" s="1">
        <v>1.048606E-6</v>
      </c>
      <c r="I3223">
        <v>214.52809999999999</v>
      </c>
      <c r="J3223">
        <v>-476.66070000000002</v>
      </c>
      <c r="K3223">
        <v>1.116193</v>
      </c>
      <c r="L3223">
        <v>216.74100000000001</v>
      </c>
      <c r="M3223">
        <v>0.96843650000000003</v>
      </c>
      <c r="N3223">
        <v>-1.418148E-2</v>
      </c>
      <c r="O3223">
        <v>-0.2488572</v>
      </c>
      <c r="P3223">
        <v>0.98151169999999999</v>
      </c>
      <c r="Q3223">
        <v>0.17956220000000001</v>
      </c>
      <c r="R3223">
        <v>-6.6277500000000003E-2</v>
      </c>
      <c r="S3223">
        <v>3.0620120000000002</v>
      </c>
      <c r="T3223">
        <v>-0.1066624</v>
      </c>
      <c r="U3223">
        <v>-0.2164459</v>
      </c>
      <c r="V3223">
        <v>-0.1826846</v>
      </c>
      <c r="W3223">
        <v>0.19080730000000001</v>
      </c>
      <c r="X3223">
        <v>0.96447859999999996</v>
      </c>
      <c r="Y3223">
        <v>-0.17976819999999999</v>
      </c>
      <c r="Z3223">
        <v>9.4099869999999999E-3</v>
      </c>
      <c r="AA3223">
        <v>0.98366399999999998</v>
      </c>
      <c r="AB3223">
        <v>23</v>
      </c>
      <c r="AC3223">
        <v>31.8096</v>
      </c>
      <c r="AD3223">
        <v>-1.116191951394</v>
      </c>
      <c r="AE3223">
        <v>-2.2128999999999901</v>
      </c>
      <c r="AF3223">
        <v>-5.7665086041724001</v>
      </c>
      <c r="AG3223">
        <v>-1.116191951394</v>
      </c>
      <c r="AH3223">
        <v>31.321043415771701</v>
      </c>
      <c r="AI3223">
        <v>92.007285087823206</v>
      </c>
      <c r="AJ3223">
        <v>100.431889159584</v>
      </c>
      <c r="AK3223">
        <v>31.867009062775299</v>
      </c>
      <c r="AL3223">
        <v>79.000099282701896</v>
      </c>
      <c r="AM3223">
        <v>100.725492196145</v>
      </c>
      <c r="AN3223">
        <v>1.0000000293342</v>
      </c>
    </row>
    <row r="3224" spans="1:40" x14ac:dyDescent="0.25">
      <c r="A3224" t="str">
        <f>"20190304155119220"</f>
        <v>20190304155119220</v>
      </c>
      <c r="B3224" t="str">
        <f>"1551685879209599"</f>
        <v>1551685879209599</v>
      </c>
      <c r="C3224" t="s">
        <v>40</v>
      </c>
      <c r="D3224">
        <v>4.7064360000000001</v>
      </c>
      <c r="E3224">
        <v>0.50058230000000004</v>
      </c>
      <c r="F3224" t="s">
        <v>70</v>
      </c>
      <c r="G3224">
        <v>-443.22160000000002</v>
      </c>
      <c r="H3224" s="1">
        <v>1.857781E-7</v>
      </c>
      <c r="I3224">
        <v>214.42910000000001</v>
      </c>
      <c r="J3224">
        <v>-476.44060000000002</v>
      </c>
      <c r="K3224">
        <v>1.1159840000000001</v>
      </c>
      <c r="L3224">
        <v>216.6944</v>
      </c>
      <c r="M3224">
        <v>0.97048089999999998</v>
      </c>
      <c r="N3224">
        <v>-1.4127280000000001E-2</v>
      </c>
      <c r="O3224">
        <v>-0.24076439999999999</v>
      </c>
      <c r="P3224">
        <v>0.98167990000000005</v>
      </c>
      <c r="Q3224">
        <v>0.18056559999999999</v>
      </c>
      <c r="R3224">
        <v>-6.0833280000000003E-2</v>
      </c>
      <c r="S3224">
        <v>3.0609440000000001</v>
      </c>
      <c r="T3224">
        <v>-0.1021739</v>
      </c>
      <c r="U3224">
        <v>-0.21162410000000001</v>
      </c>
      <c r="V3224">
        <v>-0.1798457</v>
      </c>
      <c r="W3224">
        <v>0.19189120000000001</v>
      </c>
      <c r="X3224">
        <v>0.96479700000000002</v>
      </c>
      <c r="Y3224">
        <v>-0.1730942</v>
      </c>
      <c r="Z3224">
        <v>8.6283379999999993E-3</v>
      </c>
      <c r="AA3224">
        <v>0.98486750000000001</v>
      </c>
      <c r="AB3224">
        <v>23</v>
      </c>
      <c r="AC3224">
        <v>33.218999999999902</v>
      </c>
      <c r="AD3224">
        <v>-1.1159838142218901</v>
      </c>
      <c r="AE3224">
        <v>-2.2652999999999901</v>
      </c>
      <c r="AF3224">
        <v>-5.7935918847107004</v>
      </c>
      <c r="AG3224">
        <v>-1.1159838142218901</v>
      </c>
      <c r="AH3224">
        <v>32.750285332925699</v>
      </c>
      <c r="AI3224">
        <v>91.921813382383903</v>
      </c>
      <c r="AJ3224">
        <v>100.03195112624</v>
      </c>
      <c r="AK3224">
        <v>33.277504656873496</v>
      </c>
      <c r="AL3224">
        <v>78.9368266912591</v>
      </c>
      <c r="AM3224">
        <v>100.559190983177</v>
      </c>
      <c r="AN3224">
        <v>0.99999997982746403</v>
      </c>
    </row>
    <row r="3225" spans="1:40" x14ac:dyDescent="0.25">
      <c r="A3225" t="str">
        <f>"20190304155119242"</f>
        <v>20190304155119242</v>
      </c>
      <c r="B3225" t="str">
        <f>"1551685879239854"</f>
        <v>1551685879239854</v>
      </c>
      <c r="C3225" t="s">
        <v>40</v>
      </c>
      <c r="D3225">
        <v>4.7665920000000002</v>
      </c>
      <c r="E3225">
        <v>0.50196279999999904</v>
      </c>
      <c r="F3225" t="s">
        <v>70</v>
      </c>
      <c r="G3225">
        <v>-443.53680000000003</v>
      </c>
      <c r="H3225" s="1">
        <v>3.4952859999999998E-7</v>
      </c>
      <c r="I3225">
        <v>214.5206</v>
      </c>
      <c r="J3225">
        <v>-476.2192</v>
      </c>
      <c r="K3225">
        <v>1.115761</v>
      </c>
      <c r="L3225">
        <v>216.6491</v>
      </c>
      <c r="M3225">
        <v>0.97238930000000001</v>
      </c>
      <c r="N3225">
        <v>-1.40719E-2</v>
      </c>
      <c r="O3225">
        <v>-0.23294029999999999</v>
      </c>
      <c r="P3225">
        <v>0.98196629999999996</v>
      </c>
      <c r="Q3225">
        <v>0.1807588</v>
      </c>
      <c r="R3225">
        <v>-5.5393409999999997E-2</v>
      </c>
      <c r="S3225">
        <v>3.062592</v>
      </c>
      <c r="T3225">
        <v>-0.1038729</v>
      </c>
      <c r="U3225">
        <v>-0.2023315</v>
      </c>
      <c r="V3225">
        <v>-0.17730190000000001</v>
      </c>
      <c r="W3225">
        <v>0.19216549999999999</v>
      </c>
      <c r="X3225">
        <v>0.96521319999999999</v>
      </c>
      <c r="Y3225">
        <v>-0.16816970000000001</v>
      </c>
      <c r="Z3225">
        <v>8.5494560000000004E-3</v>
      </c>
      <c r="AA3225">
        <v>0.98572099999999996</v>
      </c>
      <c r="AB3225">
        <v>23</v>
      </c>
      <c r="AC3225">
        <v>32.682399999999902</v>
      </c>
      <c r="AD3225">
        <v>-1.1157606504713999</v>
      </c>
      <c r="AE3225">
        <v>-2.1284999999999998</v>
      </c>
      <c r="AF3225">
        <v>-5.5374392783743103</v>
      </c>
      <c r="AG3225">
        <v>-1.1157606504713999</v>
      </c>
      <c r="AH3225">
        <v>32.2416040605302</v>
      </c>
      <c r="AI3225">
        <v>91.953422005279904</v>
      </c>
      <c r="AJ3225">
        <v>99.745371282380603</v>
      </c>
      <c r="AK3225">
        <v>32.732692953480303</v>
      </c>
      <c r="AL3225">
        <v>78.920813011715396</v>
      </c>
      <c r="AM3225">
        <v>100.408735908675</v>
      </c>
      <c r="AN3225">
        <v>1.0000000322940401</v>
      </c>
    </row>
    <row r="3226" spans="1:40" x14ac:dyDescent="0.25">
      <c r="A3226" t="str">
        <f>"20190304155119265"</f>
        <v>20190304155119265</v>
      </c>
      <c r="B3226" t="str">
        <f>"1551685879260352"</f>
        <v>1551685879260352</v>
      </c>
      <c r="C3226" t="s">
        <v>40</v>
      </c>
      <c r="D3226">
        <v>4.7216570000000004</v>
      </c>
      <c r="E3226">
        <v>0.50343110000000002</v>
      </c>
      <c r="F3226" t="s">
        <v>70</v>
      </c>
      <c r="G3226">
        <v>-442.93459999999999</v>
      </c>
      <c r="H3226" s="1">
        <v>2.9821360000000002E-8</v>
      </c>
      <c r="I3226">
        <v>214.5026</v>
      </c>
      <c r="J3226">
        <v>-475.99259999999998</v>
      </c>
      <c r="K3226">
        <v>1.1155060000000001</v>
      </c>
      <c r="L3226">
        <v>216.60419999999999</v>
      </c>
      <c r="M3226">
        <v>0.97419420000000001</v>
      </c>
      <c r="N3226">
        <v>-1.4015059999999999E-2</v>
      </c>
      <c r="O3226">
        <v>-0.22527659999999999</v>
      </c>
      <c r="P3226">
        <v>0.98255409999999999</v>
      </c>
      <c r="Q3226">
        <v>0.1787455</v>
      </c>
      <c r="R3226">
        <v>-5.1359420000000003E-2</v>
      </c>
      <c r="S3226">
        <v>3.0628660000000001</v>
      </c>
      <c r="T3226">
        <v>-0.10267270000000001</v>
      </c>
      <c r="U3226">
        <v>-0.19752500000000001</v>
      </c>
      <c r="V3226">
        <v>-0.17359810000000001</v>
      </c>
      <c r="W3226">
        <v>0.19026109999999999</v>
      </c>
      <c r="X3226">
        <v>0.96626310000000004</v>
      </c>
      <c r="Y3226">
        <v>-0.1619611</v>
      </c>
      <c r="Z3226">
        <v>8.1467309999999904E-3</v>
      </c>
      <c r="AA3226">
        <v>0.98676350000000002</v>
      </c>
      <c r="AB3226">
        <v>23</v>
      </c>
      <c r="AC3226">
        <v>33.0579999999999</v>
      </c>
      <c r="AD3226">
        <v>-1.1155059701786301</v>
      </c>
      <c r="AE3226">
        <v>-2.1015999999999901</v>
      </c>
      <c r="AF3226">
        <v>-5.39423944881585</v>
      </c>
      <c r="AG3226">
        <v>-1.1155059701786301</v>
      </c>
      <c r="AH3226">
        <v>32.644536868223597</v>
      </c>
      <c r="AI3226">
        <v>91.930944942690203</v>
      </c>
      <c r="AJ3226">
        <v>99.382867096229504</v>
      </c>
      <c r="AK3226">
        <v>33.106010936708699</v>
      </c>
      <c r="AL3226">
        <v>79.0319777211987</v>
      </c>
      <c r="AM3226">
        <v>100.18506155167699</v>
      </c>
      <c r="AN3226">
        <v>0.99999998245921495</v>
      </c>
    </row>
    <row r="3227" spans="1:40" x14ac:dyDescent="0.25">
      <c r="A3227" t="str">
        <f>"20190304155119286"</f>
        <v>20190304155119286</v>
      </c>
      <c r="B3227" t="str">
        <f>"1551685879279872"</f>
        <v>1551685879279872</v>
      </c>
      <c r="C3227" t="s">
        <v>40</v>
      </c>
      <c r="D3227">
        <v>4.7334500000000004</v>
      </c>
      <c r="E3227">
        <v>0.50530589999999997</v>
      </c>
      <c r="F3227" t="s">
        <v>70</v>
      </c>
      <c r="G3227">
        <v>-443.72160000000002</v>
      </c>
      <c r="H3227" s="1">
        <v>4.4703029999999998E-7</v>
      </c>
      <c r="I3227">
        <v>214.53890000000001</v>
      </c>
      <c r="J3227">
        <v>-475.77140000000003</v>
      </c>
      <c r="K3227">
        <v>1.1152489999999999</v>
      </c>
      <c r="L3227">
        <v>216.5617</v>
      </c>
      <c r="M3227">
        <v>0.97581289999999998</v>
      </c>
      <c r="N3227">
        <v>-1.395997E-2</v>
      </c>
      <c r="O3227">
        <v>-0.21816169999999999</v>
      </c>
      <c r="P3227">
        <v>0.98295690000000002</v>
      </c>
      <c r="Q3227">
        <v>0.1776073</v>
      </c>
      <c r="R3227">
        <v>-4.7452099999999997E-2</v>
      </c>
      <c r="S3227">
        <v>3.0623170000000002</v>
      </c>
      <c r="T3227">
        <v>-0.1058543</v>
      </c>
      <c r="U3227">
        <v>-0.19598389999999999</v>
      </c>
      <c r="V3227">
        <v>-0.17029179999999999</v>
      </c>
      <c r="W3227">
        <v>0.18922539999999999</v>
      </c>
      <c r="X3227">
        <v>0.96705450000000004</v>
      </c>
      <c r="Y3227">
        <v>-0.15523509999999999</v>
      </c>
      <c r="Z3227">
        <v>8.1708749999999993E-3</v>
      </c>
      <c r="AA3227">
        <v>0.98784380000000005</v>
      </c>
      <c r="AB3227">
        <v>23</v>
      </c>
      <c r="AC3227">
        <v>32.049799999999998</v>
      </c>
      <c r="AD3227">
        <v>-1.1152485529696901</v>
      </c>
      <c r="AE3227">
        <v>-2.0227999999999802</v>
      </c>
      <c r="AF3227">
        <v>-5.0126075329036199</v>
      </c>
      <c r="AG3227">
        <v>-1.1152485529696901</v>
      </c>
      <c r="AH3227">
        <v>31.680784395188901</v>
      </c>
      <c r="AI3227">
        <v>91.991380503657197</v>
      </c>
      <c r="AJ3227">
        <v>98.990938852113402</v>
      </c>
      <c r="AK3227">
        <v>32.094269169249898</v>
      </c>
      <c r="AL3227">
        <v>79.092416864079794</v>
      </c>
      <c r="AM3227">
        <v>99.987013243223302</v>
      </c>
      <c r="AN3227">
        <v>0.99999997756132397</v>
      </c>
    </row>
    <row r="3228" spans="1:40" x14ac:dyDescent="0.25">
      <c r="A3228" t="str">
        <f>"20190304155119310"</f>
        <v>20190304155119310</v>
      </c>
      <c r="B3228" t="str">
        <f>"1551685879299391"</f>
        <v>1551685879299391</v>
      </c>
      <c r="C3228" t="s">
        <v>40</v>
      </c>
      <c r="D3228">
        <v>4.7458879999999999</v>
      </c>
      <c r="E3228">
        <v>0.52255090000000004</v>
      </c>
      <c r="F3228" t="s">
        <v>70</v>
      </c>
      <c r="G3228">
        <v>-443.1139</v>
      </c>
      <c r="H3228" s="1">
        <v>1.2719739999999999E-7</v>
      </c>
      <c r="I3228">
        <v>214.45769999999999</v>
      </c>
      <c r="J3228">
        <v>-475.53739999999999</v>
      </c>
      <c r="K3228">
        <v>1.114962</v>
      </c>
      <c r="L3228">
        <v>216.51820000000001</v>
      </c>
      <c r="M3228">
        <v>0.9773712</v>
      </c>
      <c r="N3228">
        <v>-1.390222E-2</v>
      </c>
      <c r="O3228">
        <v>-0.21107500000000001</v>
      </c>
      <c r="P3228">
        <v>0.98283010000000004</v>
      </c>
      <c r="Q3228">
        <v>0.17961099999999999</v>
      </c>
      <c r="R3228">
        <v>-4.2250959999999997E-2</v>
      </c>
      <c r="S3228">
        <v>3.06134</v>
      </c>
      <c r="T3228">
        <v>-0.1045444</v>
      </c>
      <c r="U3228">
        <v>-0.1972351</v>
      </c>
      <c r="V3228">
        <v>-0.16819679999999901</v>
      </c>
      <c r="W3228">
        <v>0.19131190000000001</v>
      </c>
      <c r="X3228">
        <v>0.9670107</v>
      </c>
      <c r="Y3228">
        <v>-0.14765149999999999</v>
      </c>
      <c r="Z3228">
        <v>7.7383829999999997E-3</v>
      </c>
      <c r="AA3228">
        <v>0.98900920000000003</v>
      </c>
      <c r="AB3228">
        <v>23</v>
      </c>
      <c r="AC3228">
        <v>32.423499999999898</v>
      </c>
      <c r="AD3228">
        <v>-1.1149618728026001</v>
      </c>
      <c r="AE3228">
        <v>-2.06050000000001</v>
      </c>
      <c r="AF3228">
        <v>-4.8247005253343396</v>
      </c>
      <c r="AG3228">
        <v>-1.1149618728026001</v>
      </c>
      <c r="AH3228">
        <v>32.090019987364698</v>
      </c>
      <c r="AI3228">
        <v>91.9678316304052</v>
      </c>
      <c r="AJ3228">
        <v>98.550317520773305</v>
      </c>
      <c r="AK3228">
        <v>32.469836124107999</v>
      </c>
      <c r="AL3228">
        <v>78.970645477191994</v>
      </c>
      <c r="AM3228">
        <v>99.867016168828499</v>
      </c>
      <c r="AN3228">
        <v>1.0000000502631601</v>
      </c>
    </row>
    <row r="3229" spans="1:40" x14ac:dyDescent="0.25">
      <c r="A3229" t="str">
        <f>"20190304155119333"</f>
        <v>20190304155119333</v>
      </c>
      <c r="B3229" t="str">
        <f>"1551685879329648"</f>
        <v>1551685879329648</v>
      </c>
      <c r="C3229" t="s">
        <v>40</v>
      </c>
      <c r="D3229">
        <v>4.7439429999999998</v>
      </c>
      <c r="E3229">
        <v>0.52355779999999996</v>
      </c>
      <c r="F3229" t="s">
        <v>70</v>
      </c>
      <c r="G3229">
        <v>-391.35140000000001</v>
      </c>
      <c r="H3229">
        <v>8.0001059999999999E-2</v>
      </c>
      <c r="I3229">
        <v>207.72819999999999</v>
      </c>
      <c r="J3229">
        <v>-475.29410000000001</v>
      </c>
      <c r="K3229">
        <v>1.114676</v>
      </c>
      <c r="L3229">
        <v>216.4743</v>
      </c>
      <c r="M3229">
        <v>0.97883699999999996</v>
      </c>
      <c r="N3229">
        <v>-1.384399E-2</v>
      </c>
      <c r="O3229">
        <v>-0.20417250000000001</v>
      </c>
      <c r="P3229">
        <v>0.98281430000000003</v>
      </c>
      <c r="Q3229">
        <v>0.18120600000000001</v>
      </c>
      <c r="R3229">
        <v>-3.5219689999999998E-2</v>
      </c>
      <c r="S3229">
        <v>3.045563</v>
      </c>
      <c r="T3229">
        <v>-3.7441370000000002E-2</v>
      </c>
      <c r="U3229">
        <v>-0.31799319999999998</v>
      </c>
      <c r="V3229">
        <v>-0.16810810000000001</v>
      </c>
      <c r="W3229">
        <v>0.19296650000000001</v>
      </c>
      <c r="X3229">
        <v>0.96669729999999998</v>
      </c>
      <c r="Y3229">
        <v>-0.1014123</v>
      </c>
      <c r="Z3229">
        <v>9.6720010000000002E-4</v>
      </c>
      <c r="AA3229">
        <v>0.99484399999999995</v>
      </c>
      <c r="AB3229">
        <v>23</v>
      </c>
      <c r="AC3229">
        <v>83.942700000000002</v>
      </c>
      <c r="AD3229">
        <v>-1.0346749399999999</v>
      </c>
      <c r="AE3229">
        <v>-8.7461000000000109</v>
      </c>
      <c r="AF3229">
        <v>-8.5773178523151508</v>
      </c>
      <c r="AG3229">
        <v>-1.0346749399999999</v>
      </c>
      <c r="AH3229">
        <v>83.947365325576499</v>
      </c>
      <c r="AI3229">
        <v>90.702493846752105</v>
      </c>
      <c r="AJ3229">
        <v>95.833948021030295</v>
      </c>
      <c r="AK3229">
        <v>84.390764179955795</v>
      </c>
      <c r="AL3229">
        <v>78.874043808969901</v>
      </c>
      <c r="AM3229">
        <v>99.865049301623799</v>
      </c>
      <c r="AN3229">
        <v>1.0000000366175701</v>
      </c>
    </row>
    <row r="3230" spans="1:40" x14ac:dyDescent="0.25">
      <c r="A3230" t="str">
        <f>"20190304155119355"</f>
        <v>20190304155119355</v>
      </c>
      <c r="B3230" t="str">
        <f>"1551685879350143"</f>
        <v>1551685879350143</v>
      </c>
      <c r="C3230" t="s">
        <v>40</v>
      </c>
      <c r="D3230">
        <v>4.7698669999999996</v>
      </c>
      <c r="E3230">
        <v>0.52314749999999999</v>
      </c>
      <c r="F3230" t="s">
        <v>72</v>
      </c>
      <c r="G3230">
        <v>-404.8972</v>
      </c>
      <c r="H3230">
        <v>8.0001030000000001E-2</v>
      </c>
      <c r="I3230">
        <v>209.40549999999999</v>
      </c>
      <c r="J3230">
        <v>-475.06650000000002</v>
      </c>
      <c r="K3230">
        <v>1.1144369999999999</v>
      </c>
      <c r="L3230">
        <v>216.43440000000001</v>
      </c>
      <c r="M3230">
        <v>0.9800951</v>
      </c>
      <c r="N3230">
        <v>-1.3793430000000001E-2</v>
      </c>
      <c r="O3230">
        <v>-0.19804910000000001</v>
      </c>
      <c r="P3230">
        <v>0.98313680000000003</v>
      </c>
      <c r="Q3230">
        <v>0.1804586</v>
      </c>
      <c r="R3230">
        <v>-2.961186E-2</v>
      </c>
      <c r="S3230">
        <v>3.0496829999999999</v>
      </c>
      <c r="T3230">
        <v>-4.4823410000000001E-2</v>
      </c>
      <c r="U3230">
        <v>-0.30622860000000002</v>
      </c>
      <c r="V3230">
        <v>-0.16748679999999999</v>
      </c>
      <c r="W3230">
        <v>0.192275</v>
      </c>
      <c r="X3230">
        <v>0.96694279999999999</v>
      </c>
      <c r="Y3230">
        <v>-9.9124959999999998E-2</v>
      </c>
      <c r="Z3230">
        <v>1.5482709999999999E-3</v>
      </c>
      <c r="AA3230">
        <v>0.99507380000000001</v>
      </c>
      <c r="AB3230">
        <v>23</v>
      </c>
      <c r="AC3230">
        <v>70.169300000000007</v>
      </c>
      <c r="AD3230">
        <v>-1.0344359700000001</v>
      </c>
      <c r="AE3230">
        <v>-7.0289000000000197</v>
      </c>
      <c r="AF3230">
        <v>-7.0071349304911497</v>
      </c>
      <c r="AG3230">
        <v>-1.0344359700000001</v>
      </c>
      <c r="AH3230">
        <v>70.156230890356596</v>
      </c>
      <c r="AI3230">
        <v>90.840568963957196</v>
      </c>
      <c r="AJ3230">
        <v>95.703729510196098</v>
      </c>
      <c r="AK3230">
        <v>70.512883435945</v>
      </c>
      <c r="AL3230">
        <v>78.914418880836706</v>
      </c>
      <c r="AM3230">
        <v>99.826855196287895</v>
      </c>
      <c r="AN3230">
        <v>0.99999994113553803</v>
      </c>
    </row>
    <row r="3231" spans="1:40" x14ac:dyDescent="0.25">
      <c r="A3231" t="str">
        <f>"20190304155119377"</f>
        <v>20190304155119377</v>
      </c>
      <c r="B3231" t="str">
        <f>"1551685879369664"</f>
        <v>1551685879369664</v>
      </c>
      <c r="C3231" t="s">
        <v>40</v>
      </c>
      <c r="D3231">
        <v>4.741689</v>
      </c>
      <c r="E3231">
        <v>0.5242386</v>
      </c>
      <c r="F3231" t="s">
        <v>72</v>
      </c>
      <c r="G3231">
        <v>-421.08429999999998</v>
      </c>
      <c r="H3231" s="1">
        <v>4.0572550000000003E-6</v>
      </c>
      <c r="I3231">
        <v>211.3563</v>
      </c>
      <c r="J3231">
        <v>-474.84840000000003</v>
      </c>
      <c r="K3231">
        <v>1.1142259999999999</v>
      </c>
      <c r="L3231">
        <v>216.39709999999999</v>
      </c>
      <c r="M3231">
        <v>0.98119990000000001</v>
      </c>
      <c r="N3231">
        <v>-1.3748369999999999E-2</v>
      </c>
      <c r="O3231">
        <v>-0.19250419999999999</v>
      </c>
      <c r="P3231">
        <v>0.9835834</v>
      </c>
      <c r="Q3231">
        <v>0.178564</v>
      </c>
      <c r="R3231">
        <v>-2.6055350000000001E-2</v>
      </c>
      <c r="S3231">
        <v>3.0543819999999999</v>
      </c>
      <c r="T3231">
        <v>-6.3056109999999999E-2</v>
      </c>
      <c r="U3231">
        <v>-0.287323</v>
      </c>
      <c r="V3231">
        <v>-0.1654648</v>
      </c>
      <c r="W3231">
        <v>0.19044730000000001</v>
      </c>
      <c r="X3231">
        <v>0.96765239999999997</v>
      </c>
      <c r="Y3231">
        <v>-9.9733489999999994E-2</v>
      </c>
      <c r="Z3231">
        <v>2.992382E-3</v>
      </c>
      <c r="AA3231">
        <v>0.9950097</v>
      </c>
      <c r="AB3231">
        <v>23</v>
      </c>
      <c r="AC3231">
        <v>53.764099999999999</v>
      </c>
      <c r="AD3231">
        <v>-1.114221942745</v>
      </c>
      <c r="AE3231">
        <v>-5.0407999999999902</v>
      </c>
      <c r="AF3231">
        <v>-5.4019931192596804</v>
      </c>
      <c r="AG3231">
        <v>-1.114221942745</v>
      </c>
      <c r="AH3231">
        <v>53.705913897066999</v>
      </c>
      <c r="AI3231">
        <v>91.1825639955958</v>
      </c>
      <c r="AJ3231">
        <v>95.743760239535106</v>
      </c>
      <c r="AK3231">
        <v>53.988408086527201</v>
      </c>
      <c r="AL3231">
        <v>79.021110414697105</v>
      </c>
      <c r="AM3231">
        <v>99.703506208790301</v>
      </c>
      <c r="AN3231">
        <v>0.99999997067104396</v>
      </c>
    </row>
    <row r="3232" spans="1:40" x14ac:dyDescent="0.25">
      <c r="A3232" t="str">
        <f>"20190304155119399"</f>
        <v>20190304155119399</v>
      </c>
      <c r="B3232" t="str">
        <f>"1551685879390159"</f>
        <v>1551685879390159</v>
      </c>
      <c r="C3232" t="s">
        <v>40</v>
      </c>
      <c r="D3232">
        <v>4.7962049999999996</v>
      </c>
      <c r="E3232">
        <v>0.52502519999999997</v>
      </c>
      <c r="F3232" t="s">
        <v>72</v>
      </c>
      <c r="G3232">
        <v>-422.74880000000002</v>
      </c>
      <c r="H3232" s="1">
        <v>3.744157E-6</v>
      </c>
      <c r="I3232">
        <v>211.56049999999999</v>
      </c>
      <c r="J3232">
        <v>-474.62860000000001</v>
      </c>
      <c r="K3232">
        <v>1.114025</v>
      </c>
      <c r="L3232">
        <v>216.3605</v>
      </c>
      <c r="M3232">
        <v>0.98221340000000001</v>
      </c>
      <c r="N3232">
        <v>-1.370442E-2</v>
      </c>
      <c r="O3232">
        <v>-0.18726770000000001</v>
      </c>
      <c r="P3232">
        <v>0.98358950000000001</v>
      </c>
      <c r="Q3232">
        <v>0.1789887</v>
      </c>
      <c r="R3232">
        <v>-2.2684989999999999E-2</v>
      </c>
      <c r="S3232">
        <v>3.0544129999999998</v>
      </c>
      <c r="T3232">
        <v>-6.532288E-2</v>
      </c>
      <c r="U3232">
        <v>-0.28355409999999998</v>
      </c>
      <c r="V3232">
        <v>-0.16350390000000001</v>
      </c>
      <c r="W3232">
        <v>0.19093270000000001</v>
      </c>
      <c r="X3232">
        <v>0.96789009999999998</v>
      </c>
      <c r="Y3232">
        <v>-9.5641669999999998E-2</v>
      </c>
      <c r="Z3232">
        <v>3.0688579999999998E-3</v>
      </c>
      <c r="AA3232">
        <v>0.99541109999999999</v>
      </c>
      <c r="AB3232">
        <v>23</v>
      </c>
      <c r="AC3232">
        <v>51.879799999999904</v>
      </c>
      <c r="AD3232">
        <v>-1.114021255843</v>
      </c>
      <c r="AE3232">
        <v>-4.8000000000000096</v>
      </c>
      <c r="AF3232">
        <v>-4.9989703196812396</v>
      </c>
      <c r="AG3232">
        <v>-1.114021255843</v>
      </c>
      <c r="AH3232">
        <v>51.837086706090297</v>
      </c>
      <c r="AI3232">
        <v>91.225460084480304</v>
      </c>
      <c r="AJ3232">
        <v>95.508352138745806</v>
      </c>
      <c r="AK3232">
        <v>52.0894836391209</v>
      </c>
      <c r="AL3232">
        <v>78.992779872320398</v>
      </c>
      <c r="AM3232">
        <v>99.588348174293799</v>
      </c>
      <c r="AN3232">
        <v>1.00000003346125</v>
      </c>
    </row>
    <row r="3233" spans="1:40" x14ac:dyDescent="0.25">
      <c r="A3233" t="str">
        <f>"20190304155119421"</f>
        <v>20190304155119421</v>
      </c>
      <c r="B3233" t="str">
        <f>"1551685879409682"</f>
        <v>1551685879409682</v>
      </c>
      <c r="C3233" t="s">
        <v>40</v>
      </c>
      <c r="D3233">
        <v>4.797561</v>
      </c>
      <c r="E3233">
        <v>0.52621909999999905</v>
      </c>
      <c r="F3233" t="s">
        <v>72</v>
      </c>
      <c r="G3233">
        <v>-429.86189999999999</v>
      </c>
      <c r="H3233" s="1">
        <v>2.4194710000000001E-6</v>
      </c>
      <c r="I3233">
        <v>212.28039999999999</v>
      </c>
      <c r="J3233">
        <v>-474.40320000000003</v>
      </c>
      <c r="K3233">
        <v>1.113785</v>
      </c>
      <c r="L3233">
        <v>216.3237</v>
      </c>
      <c r="M3233">
        <v>0.98315280000000005</v>
      </c>
      <c r="N3233">
        <v>-1.3659289999999999E-2</v>
      </c>
      <c r="O3233">
        <v>-0.18227470000000001</v>
      </c>
      <c r="P3233">
        <v>0.98353710000000005</v>
      </c>
      <c r="Q3233">
        <v>0.1798024</v>
      </c>
      <c r="R3233">
        <v>-1.8055040000000001E-2</v>
      </c>
      <c r="S3233">
        <v>3.0574650000000001</v>
      </c>
      <c r="T3233">
        <v>-7.608521E-2</v>
      </c>
      <c r="U3233">
        <v>-0.27865600000000001</v>
      </c>
      <c r="V3233">
        <v>-0.16300780000000001</v>
      </c>
      <c r="W3233">
        <v>0.1918009</v>
      </c>
      <c r="X3233">
        <v>0.9678021</v>
      </c>
      <c r="Y3233">
        <v>-9.2242130000000006E-2</v>
      </c>
      <c r="Z3233">
        <v>3.7737980000000001E-3</v>
      </c>
      <c r="AA3233">
        <v>0.99572939999999999</v>
      </c>
      <c r="AB3233">
        <v>23</v>
      </c>
      <c r="AC3233">
        <v>44.5413</v>
      </c>
      <c r="AD3233">
        <v>-1.113782580529</v>
      </c>
      <c r="AE3233">
        <v>-4.0433000000000101</v>
      </c>
      <c r="AF3233">
        <v>-4.1413884661832103</v>
      </c>
      <c r="AG3233">
        <v>-1.113782580529</v>
      </c>
      <c r="AH3233">
        <v>44.504447698599201</v>
      </c>
      <c r="AI3233">
        <v>91.427438852276396</v>
      </c>
      <c r="AJ3233">
        <v>95.316383439922006</v>
      </c>
      <c r="AK3233">
        <v>44.710596898519199</v>
      </c>
      <c r="AL3233">
        <v>78.942098832382001</v>
      </c>
      <c r="AM3233">
        <v>99.560646354623699</v>
      </c>
      <c r="AN3233">
        <v>1.0000000164330201</v>
      </c>
    </row>
    <row r="3234" spans="1:40" x14ac:dyDescent="0.25">
      <c r="A3234" t="str">
        <f>"20190304155119442"</f>
        <v>20190304155119442</v>
      </c>
      <c r="B3234" t="str">
        <f>"1551685879439935"</f>
        <v>1551685879439935</v>
      </c>
      <c r="C3234" t="s">
        <v>40</v>
      </c>
      <c r="D3234">
        <v>5.2967950000000004</v>
      </c>
      <c r="E3234">
        <v>0.52801500000000001</v>
      </c>
      <c r="F3234" t="s">
        <v>72</v>
      </c>
      <c r="G3234">
        <v>-423.2792</v>
      </c>
      <c r="H3234" s="1">
        <v>3.6349269999999998E-6</v>
      </c>
      <c r="I3234">
        <v>211.7338</v>
      </c>
      <c r="J3234">
        <v>-474.1823</v>
      </c>
      <c r="K3234">
        <v>1.113516</v>
      </c>
      <c r="L3234">
        <v>216.2884</v>
      </c>
      <c r="M3234">
        <v>0.98398189999999996</v>
      </c>
      <c r="N3234">
        <v>-1.3616079999999999E-2</v>
      </c>
      <c r="O3234">
        <v>-0.1777484</v>
      </c>
      <c r="P3234">
        <v>0.98382840000000005</v>
      </c>
      <c r="Q3234">
        <v>0.1785398</v>
      </c>
      <c r="R3234">
        <v>-1.434033E-2</v>
      </c>
      <c r="S3234">
        <v>3.0573429999999999</v>
      </c>
      <c r="T3234">
        <v>-6.6606879999999993E-2</v>
      </c>
      <c r="U3234">
        <v>-0.27449040000000002</v>
      </c>
      <c r="V3234">
        <v>-0.1621156</v>
      </c>
      <c r="W3234">
        <v>0.19061159999999999</v>
      </c>
      <c r="X3234">
        <v>0.96818689999999996</v>
      </c>
      <c r="Y3234">
        <v>-8.9016369999999997E-2</v>
      </c>
      <c r="Z3234">
        <v>2.986056E-3</v>
      </c>
      <c r="AA3234">
        <v>0.99602570000000001</v>
      </c>
      <c r="AB3234">
        <v>23</v>
      </c>
      <c r="AC3234">
        <v>50.903100000000002</v>
      </c>
      <c r="AD3234">
        <v>-1.1135123650730001</v>
      </c>
      <c r="AE3234">
        <v>-4.55459999999999</v>
      </c>
      <c r="AF3234">
        <v>-4.5645564579712703</v>
      </c>
      <c r="AG3234">
        <v>-1.1135123650730001</v>
      </c>
      <c r="AH3234">
        <v>50.877861003137902</v>
      </c>
      <c r="AI3234">
        <v>91.248760767998405</v>
      </c>
      <c r="AJ3234">
        <v>95.126620970584696</v>
      </c>
      <c r="AK3234">
        <v>51.094342404025497</v>
      </c>
      <c r="AL3234">
        <v>79.011522066271894</v>
      </c>
      <c r="AM3234">
        <v>99.505565315023901</v>
      </c>
      <c r="AN3234">
        <v>1.00000006157476</v>
      </c>
    </row>
    <row r="3235" spans="1:40" x14ac:dyDescent="0.25">
      <c r="A3235" t="str">
        <f>"20190304155119466"</f>
        <v>20190304155119466</v>
      </c>
      <c r="B3235" t="str">
        <f>"1551685879459455"</f>
        <v>1551685879459455</v>
      </c>
      <c r="C3235" t="s">
        <v>40</v>
      </c>
      <c r="D3235">
        <v>4.9265919999999896</v>
      </c>
      <c r="E3235">
        <v>0.52806319999999995</v>
      </c>
      <c r="F3235" t="s">
        <v>72</v>
      </c>
      <c r="G3235">
        <v>-418.55180000000001</v>
      </c>
      <c r="H3235" s="1">
        <v>4.0183409999999998E-6</v>
      </c>
      <c r="I3235">
        <v>211.2345</v>
      </c>
      <c r="J3235">
        <v>-473.95859999999999</v>
      </c>
      <c r="K3235">
        <v>1.1132299999999999</v>
      </c>
      <c r="L3235">
        <v>216.2533</v>
      </c>
      <c r="M3235">
        <v>0.98473319999999998</v>
      </c>
      <c r="N3235">
        <v>-1.357497E-2</v>
      </c>
      <c r="O3235">
        <v>-0.17354059999999999</v>
      </c>
      <c r="P3235">
        <v>0.98406570000000004</v>
      </c>
      <c r="Q3235">
        <v>0.177458</v>
      </c>
      <c r="R3235">
        <v>-1.1121610000000001E-2</v>
      </c>
      <c r="S3235">
        <v>3.0563660000000001</v>
      </c>
      <c r="T3235">
        <v>-6.1176899999999999E-2</v>
      </c>
      <c r="U3235">
        <v>-0.27766420000000003</v>
      </c>
      <c r="V3235">
        <v>-0.1610364</v>
      </c>
      <c r="W3235">
        <v>0.18961259999999999</v>
      </c>
      <c r="X3235">
        <v>0.96856299999999995</v>
      </c>
      <c r="Y3235">
        <v>-8.3711419999999995E-2</v>
      </c>
      <c r="Z3235">
        <v>2.4869200000000001E-3</v>
      </c>
      <c r="AA3235">
        <v>0.99648700000000001</v>
      </c>
      <c r="AB3235">
        <v>23</v>
      </c>
      <c r="AC3235">
        <v>55.406799999999897</v>
      </c>
      <c r="AD3235">
        <v>-1.113225981659</v>
      </c>
      <c r="AE3235">
        <v>-5.0187999999999899</v>
      </c>
      <c r="AF3235">
        <v>-4.6717102107342097</v>
      </c>
      <c r="AG3235">
        <v>-1.113225981659</v>
      </c>
      <c r="AH3235">
        <v>55.414798628396298</v>
      </c>
      <c r="AI3235">
        <v>91.146791196610593</v>
      </c>
      <c r="AJ3235">
        <v>94.818890375526905</v>
      </c>
      <c r="AK3235">
        <v>55.622513925613198</v>
      </c>
      <c r="AL3235">
        <v>79.069822849395607</v>
      </c>
      <c r="AM3235">
        <v>99.439829516000501</v>
      </c>
      <c r="AN3235">
        <v>0.99999997258635898</v>
      </c>
    </row>
    <row r="3236" spans="1:40" x14ac:dyDescent="0.25">
      <c r="A3236" t="str">
        <f>"20190304155119487"</f>
        <v>20190304155119487</v>
      </c>
      <c r="B3236" t="str">
        <f>"1551685879479951"</f>
        <v>1551685879479951</v>
      </c>
      <c r="C3236" t="s">
        <v>40</v>
      </c>
      <c r="D3236">
        <v>4.8413149999999998</v>
      </c>
      <c r="E3236">
        <v>0.52444389999999996</v>
      </c>
      <c r="F3236" t="s">
        <v>72</v>
      </c>
      <c r="G3236">
        <v>-427.97820000000002</v>
      </c>
      <c r="H3236" s="1">
        <v>2.7591E-6</v>
      </c>
      <c r="I3236">
        <v>212.2176</v>
      </c>
      <c r="J3236">
        <v>-473.73110000000003</v>
      </c>
      <c r="K3236">
        <v>1.1129370000000001</v>
      </c>
      <c r="L3236">
        <v>216.21799999999999</v>
      </c>
      <c r="M3236">
        <v>0.98541049999999997</v>
      </c>
      <c r="N3236">
        <v>-1.353627E-2</v>
      </c>
      <c r="O3236">
        <v>-0.16965539999999901</v>
      </c>
      <c r="P3236">
        <v>0.98412149999999998</v>
      </c>
      <c r="Q3236">
        <v>0.17731540000000001</v>
      </c>
      <c r="R3236">
        <v>-8.0175439999999997E-3</v>
      </c>
      <c r="S3236">
        <v>3.0588679999999999</v>
      </c>
      <c r="T3236">
        <v>-7.4057940000000003E-2</v>
      </c>
      <c r="U3236">
        <v>-0.26847840000000001</v>
      </c>
      <c r="V3236">
        <v>-0.1601371</v>
      </c>
      <c r="W3236">
        <v>0.1895541</v>
      </c>
      <c r="X3236">
        <v>0.96872349999999996</v>
      </c>
      <c r="Y3236">
        <v>-8.2807939999999997E-2</v>
      </c>
      <c r="Z3236">
        <v>3.3338069999999998E-3</v>
      </c>
      <c r="AA3236">
        <v>0.99656</v>
      </c>
      <c r="AB3236">
        <v>23</v>
      </c>
      <c r="AC3236">
        <v>45.752899999999997</v>
      </c>
      <c r="AD3236">
        <v>-1.1129342409</v>
      </c>
      <c r="AE3236">
        <v>-4.0003999999999804</v>
      </c>
      <c r="AF3236">
        <v>-3.8182982010954101</v>
      </c>
      <c r="AG3236">
        <v>-1.1129342409</v>
      </c>
      <c r="AH3236">
        <v>45.741410040138902</v>
      </c>
      <c r="AI3236">
        <v>91.388959635665998</v>
      </c>
      <c r="AJ3236">
        <v>94.771744810892599</v>
      </c>
      <c r="AK3236">
        <v>45.913991508440802</v>
      </c>
      <c r="AL3236">
        <v>79.0732361295982</v>
      </c>
      <c r="AM3236">
        <v>99.386526541184494</v>
      </c>
      <c r="AN3236">
        <v>0.99999993353773198</v>
      </c>
    </row>
    <row r="3237" spans="1:40" x14ac:dyDescent="0.25">
      <c r="A3237" t="str">
        <f>"20190304155119511"</f>
        <v>20190304155119511</v>
      </c>
      <c r="B3237" t="str">
        <f>"1551685879499471"</f>
        <v>1551685879499471</v>
      </c>
      <c r="C3237" t="s">
        <v>40</v>
      </c>
      <c r="D3237">
        <v>4.8910900000000002</v>
      </c>
      <c r="E3237">
        <v>0.52202720000000002</v>
      </c>
      <c r="F3237" t="s">
        <v>72</v>
      </c>
      <c r="G3237">
        <v>-433.84390000000002</v>
      </c>
      <c r="H3237" s="1">
        <v>4.0446939999999998E-6</v>
      </c>
      <c r="I3237">
        <v>213.20820000000001</v>
      </c>
      <c r="J3237">
        <v>-473.4984</v>
      </c>
      <c r="K3237">
        <v>1.1126549999999999</v>
      </c>
      <c r="L3237">
        <v>216.1824</v>
      </c>
      <c r="M3237">
        <v>0.98600739999999998</v>
      </c>
      <c r="N3237">
        <v>-1.3493160000000001E-2</v>
      </c>
      <c r="O3237">
        <v>-0.1661552</v>
      </c>
      <c r="P3237">
        <v>0.98396110000000003</v>
      </c>
      <c r="Q3237">
        <v>0.17829800000000001</v>
      </c>
      <c r="R3237">
        <v>-5.5498780000000003E-3</v>
      </c>
      <c r="S3237">
        <v>3.0619200000000002</v>
      </c>
      <c r="T3237">
        <v>-8.5433720000000005E-2</v>
      </c>
      <c r="U3237">
        <v>-0.23104859999999999</v>
      </c>
      <c r="V3237">
        <v>-0.15896660000000001</v>
      </c>
      <c r="W3237">
        <v>0.19061069999999999</v>
      </c>
      <c r="X3237">
        <v>0.96870900000000004</v>
      </c>
      <c r="Y3237">
        <v>-9.1431600000000002E-2</v>
      </c>
      <c r="Z3237">
        <v>4.2465860000000001E-3</v>
      </c>
      <c r="AA3237">
        <v>0.99580230000000003</v>
      </c>
      <c r="AB3237">
        <v>23</v>
      </c>
      <c r="AC3237">
        <v>39.654499999999899</v>
      </c>
      <c r="AD3237">
        <v>-1.112650955306</v>
      </c>
      <c r="AE3237">
        <v>-2.97419999999999</v>
      </c>
      <c r="AF3237">
        <v>-3.6536902576367898</v>
      </c>
      <c r="AG3237">
        <v>-1.112650955306</v>
      </c>
      <c r="AH3237">
        <v>39.566434052998702</v>
      </c>
      <c r="AI3237">
        <v>91.603974178110803</v>
      </c>
      <c r="AJ3237">
        <v>95.275911946332002</v>
      </c>
      <c r="AK3237">
        <v>39.750347776055797</v>
      </c>
      <c r="AL3237">
        <v>79.011573607656402</v>
      </c>
      <c r="AM3237">
        <v>99.319262023673204</v>
      </c>
      <c r="AN3237">
        <v>0.99999997277552399</v>
      </c>
    </row>
    <row r="3238" spans="1:40" x14ac:dyDescent="0.25">
      <c r="A3238" t="str">
        <f>"20190304155119533"</f>
        <v>20190304155119533</v>
      </c>
      <c r="B3238" t="str">
        <f>"1551685879529726"</f>
        <v>1551685879529726</v>
      </c>
      <c r="C3238" t="s">
        <v>40</v>
      </c>
      <c r="D3238">
        <v>4.9099130000000004</v>
      </c>
      <c r="E3238">
        <v>0.51971780000000001</v>
      </c>
      <c r="F3238" t="s">
        <v>72</v>
      </c>
      <c r="G3238">
        <v>-434.13560000000001</v>
      </c>
      <c r="H3238" s="1">
        <v>4.1440740000000004E-6</v>
      </c>
      <c r="I3238">
        <v>213.55099999999999</v>
      </c>
      <c r="J3238">
        <v>-473.26339999999999</v>
      </c>
      <c r="K3238">
        <v>1.1123909999999999</v>
      </c>
      <c r="L3238">
        <v>216.14680000000001</v>
      </c>
      <c r="M3238">
        <v>0.98652799999999996</v>
      </c>
      <c r="N3238">
        <v>-1.3447560000000001E-2</v>
      </c>
      <c r="O3238">
        <v>-0.16303860000000001</v>
      </c>
      <c r="P3238">
        <v>0.9838443</v>
      </c>
      <c r="Q3238">
        <v>0.17897959999999999</v>
      </c>
      <c r="R3238">
        <v>-4.0637370000000004E-3</v>
      </c>
      <c r="S3238">
        <v>3.0634459999999999</v>
      </c>
      <c r="T3238">
        <v>-8.6593149999999994E-2</v>
      </c>
      <c r="U3238">
        <v>-0.2047882</v>
      </c>
      <c r="V3238">
        <v>-0.1572257</v>
      </c>
      <c r="W3238">
        <v>0.19135820000000001</v>
      </c>
      <c r="X3238">
        <v>0.96884579999999998</v>
      </c>
      <c r="Y3238">
        <v>-9.6808809999999995E-2</v>
      </c>
      <c r="Z3238">
        <v>4.3987699999999998E-3</v>
      </c>
      <c r="AA3238">
        <v>0.99529330000000005</v>
      </c>
      <c r="AB3238">
        <v>23</v>
      </c>
      <c r="AC3238">
        <v>39.127799999999901</v>
      </c>
      <c r="AD3238">
        <v>-1.112386855926</v>
      </c>
      <c r="AE3238">
        <v>-2.5958000000000201</v>
      </c>
      <c r="AF3238">
        <v>-3.8157872591694302</v>
      </c>
      <c r="AG3238">
        <v>-1.112386855926</v>
      </c>
      <c r="AH3238">
        <v>38.996036376175297</v>
      </c>
      <c r="AI3238">
        <v>91.626193180232804</v>
      </c>
      <c r="AJ3238">
        <v>95.588637618502602</v>
      </c>
      <c r="AK3238">
        <v>39.198067426551397</v>
      </c>
      <c r="AL3238">
        <v>78.967942554322406</v>
      </c>
      <c r="AM3238">
        <v>99.217685909152394</v>
      </c>
      <c r="AN3238">
        <v>1.0000000328126799</v>
      </c>
    </row>
    <row r="3239" spans="1:40" x14ac:dyDescent="0.25">
      <c r="A3239" t="str">
        <f>"20190304155119556"</f>
        <v>20190304155119556</v>
      </c>
      <c r="B3239" t="str">
        <f>"1551685879550223"</f>
        <v>1551685879550223</v>
      </c>
      <c r="C3239" t="s">
        <v>40</v>
      </c>
      <c r="D3239">
        <v>4.9335879999999896</v>
      </c>
      <c r="E3239">
        <v>0.51821320000000004</v>
      </c>
      <c r="F3239" t="s">
        <v>72</v>
      </c>
      <c r="G3239">
        <v>-434.39920000000001</v>
      </c>
      <c r="H3239" s="1">
        <v>4.2354710000000002E-6</v>
      </c>
      <c r="I3239">
        <v>213.84280000000001</v>
      </c>
      <c r="J3239">
        <v>-473.03719999999998</v>
      </c>
      <c r="K3239">
        <v>1.1121890000000001</v>
      </c>
      <c r="L3239">
        <v>216.11279999999999</v>
      </c>
      <c r="M3239">
        <v>0.98696870000000003</v>
      </c>
      <c r="N3239">
        <v>-1.340687E-2</v>
      </c>
      <c r="O3239">
        <v>-0.1603531</v>
      </c>
      <c r="P3239">
        <v>0.98406110000000002</v>
      </c>
      <c r="Q3239">
        <v>0.1777984</v>
      </c>
      <c r="R3239">
        <v>-3.3975020000000002E-3</v>
      </c>
      <c r="S3239">
        <v>3.064514</v>
      </c>
      <c r="T3239">
        <v>-8.7713840000000001E-2</v>
      </c>
      <c r="U3239">
        <v>-0.1816711</v>
      </c>
      <c r="V3239">
        <v>-0.1551746</v>
      </c>
      <c r="W3239">
        <v>0.1902297</v>
      </c>
      <c r="X3239">
        <v>0.9693986</v>
      </c>
      <c r="Y3239">
        <v>-0.1015953</v>
      </c>
      <c r="Z3239">
        <v>4.5412559999999996E-3</v>
      </c>
      <c r="AA3239">
        <v>0.99481549999999996</v>
      </c>
      <c r="AB3239">
        <v>23</v>
      </c>
      <c r="AC3239">
        <v>38.637999999999899</v>
      </c>
      <c r="AD3239">
        <v>-1.1121847645289999</v>
      </c>
      <c r="AE3239">
        <v>-2.26999999999998</v>
      </c>
      <c r="AF3239">
        <v>-3.9523959609756099</v>
      </c>
      <c r="AG3239">
        <v>-1.1121847645289999</v>
      </c>
      <c r="AH3239">
        <v>38.470191850307302</v>
      </c>
      <c r="AI3239">
        <v>91.647310561281799</v>
      </c>
      <c r="AJ3239">
        <v>95.865940177295798</v>
      </c>
      <c r="AK3239">
        <v>38.6886811584763</v>
      </c>
      <c r="AL3239">
        <v>79.033811254519705</v>
      </c>
      <c r="AM3239">
        <v>99.094358401384795</v>
      </c>
      <c r="AN3239">
        <v>1.0000000704645999</v>
      </c>
    </row>
    <row r="3240" spans="1:40" x14ac:dyDescent="0.25">
      <c r="A3240" t="str">
        <f>"20190304155119580"</f>
        <v>20190304155119580</v>
      </c>
      <c r="B3240" t="str">
        <f>"1551685879569744"</f>
        <v>1551685879569744</v>
      </c>
      <c r="C3240" t="s">
        <v>40</v>
      </c>
      <c r="D3240">
        <v>4.9519780000000004</v>
      </c>
      <c r="E3240">
        <v>0.51710869999999998</v>
      </c>
      <c r="F3240" t="s">
        <v>72</v>
      </c>
      <c r="G3240">
        <v>-437.22460000000001</v>
      </c>
      <c r="H3240" s="1">
        <v>5.4606080000000001E-6</v>
      </c>
      <c r="I3240">
        <v>214.161</v>
      </c>
      <c r="J3240">
        <v>-472.78570000000002</v>
      </c>
      <c r="K3240">
        <v>1.1120000000000001</v>
      </c>
      <c r="L3240">
        <v>216.0754</v>
      </c>
      <c r="M3240">
        <v>0.98739639999999995</v>
      </c>
      <c r="N3240">
        <v>-1.3363730000000001E-2</v>
      </c>
      <c r="O3240">
        <v>-0.15770200000000001</v>
      </c>
      <c r="P3240">
        <v>0.98424999999999996</v>
      </c>
      <c r="Q3240">
        <v>0.17675629999999901</v>
      </c>
      <c r="R3240">
        <v>-3.032795E-3</v>
      </c>
      <c r="S3240">
        <v>3.0651549999999999</v>
      </c>
      <c r="T3240">
        <v>-9.5190410000000003E-2</v>
      </c>
      <c r="U3240">
        <v>-0.16705320000000001</v>
      </c>
      <c r="V3240">
        <v>-0.15286379999999999</v>
      </c>
      <c r="W3240">
        <v>0.1892315</v>
      </c>
      <c r="X3240">
        <v>0.96996090000000001</v>
      </c>
      <c r="Y3240">
        <v>-0.1036483</v>
      </c>
      <c r="Z3240">
        <v>5.0586549999999996E-3</v>
      </c>
      <c r="AA3240">
        <v>0.99460110000000002</v>
      </c>
      <c r="AB3240">
        <v>23</v>
      </c>
      <c r="AC3240">
        <v>35.561100000000003</v>
      </c>
      <c r="AD3240">
        <v>-1.1119945393919899</v>
      </c>
      <c r="AE3240">
        <v>-1.9144000000000201</v>
      </c>
      <c r="AF3240">
        <v>-3.7144950692067402</v>
      </c>
      <c r="AG3240">
        <v>-1.1119945393919899</v>
      </c>
      <c r="AH3240">
        <v>35.383468390551002</v>
      </c>
      <c r="AI3240">
        <v>91.790208271223605</v>
      </c>
      <c r="AJ3240">
        <v>95.992861119065793</v>
      </c>
      <c r="AK3240">
        <v>35.595278350083397</v>
      </c>
      <c r="AL3240">
        <v>79.092061450056804</v>
      </c>
      <c r="AM3240">
        <v>98.956032001006804</v>
      </c>
      <c r="AN3240">
        <v>1.0000000247357499</v>
      </c>
    </row>
    <row r="3241" spans="1:40" x14ac:dyDescent="0.25">
      <c r="A3241" t="str">
        <f>"20190304155119599"</f>
        <v>20190304155119599</v>
      </c>
      <c r="B3241" t="str">
        <f>"1551685879590239"</f>
        <v>1551685879590239</v>
      </c>
      <c r="C3241" t="s">
        <v>40</v>
      </c>
      <c r="D3241">
        <v>4.936223</v>
      </c>
      <c r="E3241">
        <v>0.5161192</v>
      </c>
      <c r="F3241" t="s">
        <v>70</v>
      </c>
      <c r="G3241">
        <v>-440.01780000000002</v>
      </c>
      <c r="H3241" s="1">
        <v>-1.518119E-6</v>
      </c>
      <c r="I3241">
        <v>214.40620000000001</v>
      </c>
      <c r="J3241">
        <v>-472.59800000000001</v>
      </c>
      <c r="K3241">
        <v>1.1118709999999901</v>
      </c>
      <c r="L3241">
        <v>216.04769999999999</v>
      </c>
      <c r="M3241">
        <v>0.98767439999999995</v>
      </c>
      <c r="N3241">
        <v>-1.332935E-2</v>
      </c>
      <c r="O3241">
        <v>-0.15595400000000001</v>
      </c>
      <c r="P3241">
        <v>0.9839852</v>
      </c>
      <c r="Q3241">
        <v>0.1782366</v>
      </c>
      <c r="R3241">
        <v>-2.2528079999999998E-3</v>
      </c>
      <c r="S3241">
        <v>3.0661930000000002</v>
      </c>
      <c r="T3241">
        <v>-0.10405349999999999</v>
      </c>
      <c r="U3241">
        <v>-0.15618899999999999</v>
      </c>
      <c r="V3241">
        <v>-0.15181529999999999</v>
      </c>
      <c r="W3241">
        <v>0.19072819999999999</v>
      </c>
      <c r="X3241">
        <v>0.96983240000000004</v>
      </c>
      <c r="Y3241">
        <v>-0.10539900000000001</v>
      </c>
      <c r="Z3241">
        <v>5.6702819999999996E-3</v>
      </c>
      <c r="AA3241">
        <v>0.99441389999999996</v>
      </c>
      <c r="AB3241">
        <v>23</v>
      </c>
      <c r="AC3241">
        <v>32.580199999999898</v>
      </c>
      <c r="AD3241">
        <v>-1.1118725181189999</v>
      </c>
      <c r="AE3241">
        <v>-1.64149999999997</v>
      </c>
      <c r="AF3241">
        <v>-3.4560373529302</v>
      </c>
      <c r="AG3241">
        <v>-1.1118725181189999</v>
      </c>
      <c r="AH3241">
        <v>32.399869459820103</v>
      </c>
      <c r="AI3241">
        <v>91.954380450826093</v>
      </c>
      <c r="AJ3241">
        <v>96.0886178124602</v>
      </c>
      <c r="AK3241">
        <v>32.602637864056</v>
      </c>
      <c r="AL3241">
        <v>79.004715927595598</v>
      </c>
      <c r="AM3241">
        <v>98.896747670376698</v>
      </c>
      <c r="AN3241">
        <v>1.0000000078395399</v>
      </c>
    </row>
    <row r="3242" spans="1:40" x14ac:dyDescent="0.25">
      <c r="A3242" t="str">
        <f>"20190304155119622"</f>
        <v>20190304155119622</v>
      </c>
      <c r="B3242" t="str">
        <f>"1551685879620287"</f>
        <v>1551685879620287</v>
      </c>
      <c r="C3242" t="s">
        <v>40</v>
      </c>
      <c r="D3242">
        <v>4.9207589999999897</v>
      </c>
      <c r="E3242">
        <v>0.51476060000000001</v>
      </c>
      <c r="F3242" t="s">
        <v>72</v>
      </c>
      <c r="G3242">
        <v>-439.33319999999998</v>
      </c>
      <c r="H3242" s="1">
        <v>6.3686689999999999E-6</v>
      </c>
      <c r="I3242">
        <v>214.47</v>
      </c>
      <c r="J3242">
        <v>-472.36349999999999</v>
      </c>
      <c r="K3242">
        <v>1.111699</v>
      </c>
      <c r="L3242">
        <v>216.01320000000001</v>
      </c>
      <c r="M3242">
        <v>0.98797829999999998</v>
      </c>
      <c r="N3242">
        <v>-1.328262E-2</v>
      </c>
      <c r="O3242">
        <v>-0.15402109999999999</v>
      </c>
      <c r="P3242">
        <v>0.98376969999999997</v>
      </c>
      <c r="Q3242">
        <v>0.1794316</v>
      </c>
      <c r="R3242">
        <v>-1.0961429999999999E-3</v>
      </c>
      <c r="S3242">
        <v>3.0671080000000002</v>
      </c>
      <c r="T3242">
        <v>-0.102517</v>
      </c>
      <c r="U3242">
        <v>-0.14546199999999901</v>
      </c>
      <c r="V3242">
        <v>-0.150947</v>
      </c>
      <c r="W3242">
        <v>0.1919409</v>
      </c>
      <c r="X3242">
        <v>0.9697287</v>
      </c>
      <c r="Y3242">
        <v>-0.1069402</v>
      </c>
      <c r="Z3242">
        <v>5.5678860000000002E-3</v>
      </c>
      <c r="AA3242">
        <v>0.99424990000000002</v>
      </c>
      <c r="AB3242">
        <v>23</v>
      </c>
      <c r="AC3242">
        <v>33.030299999999997</v>
      </c>
      <c r="AD3242">
        <v>-1.111692631331</v>
      </c>
      <c r="AE3242">
        <v>-1.5432000000000099</v>
      </c>
      <c r="AF3242">
        <v>-3.55900648364933</v>
      </c>
      <c r="AG3242">
        <v>-1.111692631331</v>
      </c>
      <c r="AH3242">
        <v>32.836688635957401</v>
      </c>
      <c r="AI3242">
        <v>91.927738203231399</v>
      </c>
      <c r="AJ3242">
        <v>96.185859517314697</v>
      </c>
      <c r="AK3242">
        <v>33.047700498401198</v>
      </c>
      <c r="AL3242">
        <v>78.933925703553896</v>
      </c>
      <c r="AM3242">
        <v>98.847601387149595</v>
      </c>
      <c r="AN3242">
        <v>1.00000002875274</v>
      </c>
    </row>
    <row r="3243" spans="1:40" x14ac:dyDescent="0.25">
      <c r="A3243" t="str">
        <f>"20190304155119644"</f>
        <v>20190304155119644</v>
      </c>
      <c r="B3243" t="str">
        <f>"1551685879639808"</f>
        <v>1551685879639808</v>
      </c>
      <c r="C3243" t="s">
        <v>40</v>
      </c>
      <c r="D3243">
        <v>4.9095820000000003</v>
      </c>
      <c r="E3243">
        <v>0.51426959999999999</v>
      </c>
      <c r="F3243" t="s">
        <v>72</v>
      </c>
      <c r="G3243">
        <v>-439.2405</v>
      </c>
      <c r="H3243" s="1">
        <v>6.3160759999999997E-6</v>
      </c>
      <c r="I3243">
        <v>214.60130000000001</v>
      </c>
      <c r="J3243">
        <v>-472.14429999999999</v>
      </c>
      <c r="K3243">
        <v>1.111523</v>
      </c>
      <c r="L3243">
        <v>215.9811</v>
      </c>
      <c r="M3243">
        <v>0.98822220000000005</v>
      </c>
      <c r="N3243">
        <v>-1.323707E-2</v>
      </c>
      <c r="O3243">
        <v>-0.15245320000000001</v>
      </c>
      <c r="P3243">
        <v>0.98388529999999996</v>
      </c>
      <c r="Q3243">
        <v>0.17879879999999901</v>
      </c>
      <c r="R3243">
        <v>-8.4420149999999902E-4</v>
      </c>
      <c r="S3243">
        <v>3.068146</v>
      </c>
      <c r="T3243">
        <v>-0.10297480000000001</v>
      </c>
      <c r="U3243">
        <v>-0.13078310000000001</v>
      </c>
      <c r="V3243">
        <v>-0.149592</v>
      </c>
      <c r="W3243">
        <v>0.19133149999999999</v>
      </c>
      <c r="X3243">
        <v>0.970059</v>
      </c>
      <c r="Y3243">
        <v>-0.11012180000000001</v>
      </c>
      <c r="Z3243">
        <v>5.6454649999999997E-3</v>
      </c>
      <c r="AA3243">
        <v>0.99390210000000001</v>
      </c>
      <c r="AB3243">
        <v>23</v>
      </c>
      <c r="AC3243">
        <v>32.903799999999897</v>
      </c>
      <c r="AD3243">
        <v>-1.111516683924</v>
      </c>
      <c r="AE3243">
        <v>-1.3797999999999799</v>
      </c>
      <c r="AF3243">
        <v>-3.6489034849670499</v>
      </c>
      <c r="AG3243">
        <v>-1.111516683924</v>
      </c>
      <c r="AH3243">
        <v>32.6922419370621</v>
      </c>
      <c r="AI3243">
        <v>91.935264295683595</v>
      </c>
      <c r="AJ3243">
        <v>96.368637648576595</v>
      </c>
      <c r="AK3243">
        <v>32.914019032209502</v>
      </c>
      <c r="AL3243">
        <v>78.969500631787099</v>
      </c>
      <c r="AM3243">
        <v>98.766479928177304</v>
      </c>
      <c r="AN3243">
        <v>0.99999998641862498</v>
      </c>
    </row>
    <row r="3244" spans="1:40" x14ac:dyDescent="0.25">
      <c r="A3244" t="str">
        <f>"20190304155119665"</f>
        <v>20190304155119665</v>
      </c>
      <c r="B3244" t="str">
        <f>"1551685879660304"</f>
        <v>1551685879660304</v>
      </c>
      <c r="C3244" t="s">
        <v>40</v>
      </c>
      <c r="D3244">
        <v>4.9202659999999998</v>
      </c>
      <c r="E3244">
        <v>0.51380999999999999</v>
      </c>
      <c r="F3244" t="s">
        <v>70</v>
      </c>
      <c r="G3244">
        <v>-440.12580000000003</v>
      </c>
      <c r="H3244" s="1">
        <v>-1.4720390000000001E-6</v>
      </c>
      <c r="I3244">
        <v>214.66589999999999</v>
      </c>
      <c r="J3244">
        <v>-471.92509999999999</v>
      </c>
      <c r="K3244">
        <v>1.111354</v>
      </c>
      <c r="L3244">
        <v>215.94909999999999</v>
      </c>
      <c r="M3244">
        <v>0.98843060000000005</v>
      </c>
      <c r="N3244">
        <v>-1.318978E-2</v>
      </c>
      <c r="O3244">
        <v>-0.1510995</v>
      </c>
      <c r="P3244">
        <v>0.9840679</v>
      </c>
      <c r="Q3244">
        <v>0.1777879</v>
      </c>
      <c r="R3244">
        <v>-1.414827E-3</v>
      </c>
      <c r="S3244">
        <v>3.0683590000000001</v>
      </c>
      <c r="T3244">
        <v>-0.106518</v>
      </c>
      <c r="U3244">
        <v>-0.1260376</v>
      </c>
      <c r="V3244">
        <v>-0.14764360000000001</v>
      </c>
      <c r="W3244">
        <v>0.19034480000000001</v>
      </c>
      <c r="X3244">
        <v>0.97055150000000001</v>
      </c>
      <c r="Y3244">
        <v>-0.110289</v>
      </c>
      <c r="Z3244">
        <v>5.8642310000000001E-3</v>
      </c>
      <c r="AA3244">
        <v>0.99388220000000005</v>
      </c>
      <c r="AB3244">
        <v>23</v>
      </c>
      <c r="AC3244">
        <v>31.799299999999899</v>
      </c>
      <c r="AD3244">
        <v>-1.111355472039</v>
      </c>
      <c r="AE3244">
        <v>-1.2831999999999899</v>
      </c>
      <c r="AF3244">
        <v>-3.53250399158066</v>
      </c>
      <c r="AG3244">
        <v>-1.111355472039</v>
      </c>
      <c r="AH3244">
        <v>31.5895202154814</v>
      </c>
      <c r="AI3244">
        <v>92.002429170033693</v>
      </c>
      <c r="AJ3244">
        <v>96.380603136495395</v>
      </c>
      <c r="AK3244">
        <v>31.805840389464201</v>
      </c>
      <c r="AL3244">
        <v>79.027092931774703</v>
      </c>
      <c r="AM3244">
        <v>98.649713432154897</v>
      </c>
      <c r="AN3244">
        <v>0.99999999483012503</v>
      </c>
    </row>
    <row r="3245" spans="1:40" x14ac:dyDescent="0.25">
      <c r="A3245" t="str">
        <f>"20190304155119689"</f>
        <v>20190304155119689</v>
      </c>
      <c r="B3245" t="str">
        <f>"1551685879679824"</f>
        <v>1551685879679824</v>
      </c>
      <c r="C3245" t="s">
        <v>40</v>
      </c>
      <c r="D3245">
        <v>4.9113410000000002</v>
      </c>
      <c r="E3245">
        <v>0.51346740000000002</v>
      </c>
      <c r="F3245" t="s">
        <v>70</v>
      </c>
      <c r="G3245">
        <v>-441.24810000000002</v>
      </c>
      <c r="H3245" s="1">
        <v>-8.7679069999999995E-7</v>
      </c>
      <c r="I3245">
        <v>214.71199999999999</v>
      </c>
      <c r="J3245">
        <v>-471.68619999999999</v>
      </c>
      <c r="K3245">
        <v>1.111181</v>
      </c>
      <c r="L3245">
        <v>215.91419999999999</v>
      </c>
      <c r="M3245">
        <v>0.98861900000000003</v>
      </c>
      <c r="N3245">
        <v>-1.313186E-2</v>
      </c>
      <c r="O3245">
        <v>-0.1498679</v>
      </c>
      <c r="P3245">
        <v>0.98395940000000004</v>
      </c>
      <c r="Q3245">
        <v>0.17837729999999999</v>
      </c>
      <c r="R3245">
        <v>-2.3427109999999999E-3</v>
      </c>
      <c r="S3245">
        <v>3.068451</v>
      </c>
      <c r="T3245">
        <v>-0.11116280000000001</v>
      </c>
      <c r="U3245">
        <v>-0.1237335</v>
      </c>
      <c r="V3245">
        <v>-0.1454203</v>
      </c>
      <c r="W3245">
        <v>0.190944</v>
      </c>
      <c r="X3245">
        <v>0.97076949999999995</v>
      </c>
      <c r="Y3245">
        <v>-0.10978549999999999</v>
      </c>
      <c r="Z3245">
        <v>6.1405510000000002E-3</v>
      </c>
      <c r="AA3245">
        <v>0.99393640000000005</v>
      </c>
      <c r="AB3245">
        <v>23</v>
      </c>
      <c r="AC3245">
        <v>30.438099999999899</v>
      </c>
      <c r="AD3245">
        <v>-1.1111818767907</v>
      </c>
      <c r="AE3245">
        <v>-1.20219999999997</v>
      </c>
      <c r="AF3245">
        <v>-3.3689837591975502</v>
      </c>
      <c r="AG3245">
        <v>-1.1111818767907</v>
      </c>
      <c r="AH3245">
        <v>30.2342295208793</v>
      </c>
      <c r="AI3245">
        <v>92.091877427390898</v>
      </c>
      <c r="AJ3245">
        <v>96.358208518346601</v>
      </c>
      <c r="AK3245">
        <v>30.4416394344039</v>
      </c>
      <c r="AL3245">
        <v>78.992120462310794</v>
      </c>
      <c r="AM3245">
        <v>98.519502225467093</v>
      </c>
      <c r="AN3245">
        <v>1.00000004845916</v>
      </c>
    </row>
    <row r="3246" spans="1:40" x14ac:dyDescent="0.25">
      <c r="A3246" t="str">
        <f>"20190304155119712"</f>
        <v>20190304155119712</v>
      </c>
      <c r="B3246" t="str">
        <f>"1551685879699343"</f>
        <v>1551685879699343</v>
      </c>
      <c r="C3246" t="s">
        <v>40</v>
      </c>
      <c r="D3246">
        <v>4.9213279999999999</v>
      </c>
      <c r="E3246">
        <v>0.51317999999999997</v>
      </c>
      <c r="F3246" t="s">
        <v>70</v>
      </c>
      <c r="G3246">
        <v>-441.5634</v>
      </c>
      <c r="H3246" s="1">
        <v>-7.0857129999999995E-7</v>
      </c>
      <c r="I3246">
        <v>214.702</v>
      </c>
      <c r="J3246">
        <v>-471.45400000000001</v>
      </c>
      <c r="K3246">
        <v>1.1110409999999999</v>
      </c>
      <c r="L3246">
        <v>215.88030000000001</v>
      </c>
      <c r="M3246">
        <v>0.98876310000000001</v>
      </c>
      <c r="N3246">
        <v>-1.3067519999999999E-2</v>
      </c>
      <c r="O3246">
        <v>-0.14891860000000001</v>
      </c>
      <c r="P3246">
        <v>0.98373080000000002</v>
      </c>
      <c r="Q3246">
        <v>0.17962310000000001</v>
      </c>
      <c r="R3246">
        <v>-3.0296149999999998E-3</v>
      </c>
      <c r="S3246">
        <v>3.0691220000000001</v>
      </c>
      <c r="T3246">
        <v>-0.11321489999999999</v>
      </c>
      <c r="U3246">
        <v>-0.12350460000000001</v>
      </c>
      <c r="V3246">
        <v>-0.14370959999999999</v>
      </c>
      <c r="W3246">
        <v>0.19217809999999999</v>
      </c>
      <c r="X3246">
        <v>0.97078070000000005</v>
      </c>
      <c r="Y3246">
        <v>-0.1089094</v>
      </c>
      <c r="Z3246">
        <v>6.2374809999999996E-3</v>
      </c>
      <c r="AA3246">
        <v>0.99403209999999997</v>
      </c>
      <c r="AB3246">
        <v>23</v>
      </c>
      <c r="AC3246">
        <v>29.890599999999999</v>
      </c>
      <c r="AD3246">
        <v>-1.1110417085713</v>
      </c>
      <c r="AE3246">
        <v>-1.1782999999999999</v>
      </c>
      <c r="AF3246">
        <v>-3.2819599781112299</v>
      </c>
      <c r="AG3246">
        <v>-1.1110417085713</v>
      </c>
      <c r="AH3246">
        <v>29.691772762543199</v>
      </c>
      <c r="AI3246">
        <v>92.130000678008699</v>
      </c>
      <c r="AJ3246">
        <v>96.307545133277102</v>
      </c>
      <c r="AK3246">
        <v>29.893260858571601</v>
      </c>
      <c r="AL3246">
        <v>78.920077228592802</v>
      </c>
      <c r="AM3246">
        <v>98.420629803391904</v>
      </c>
      <c r="AN3246">
        <v>1.0000000193721299</v>
      </c>
    </row>
    <row r="3247" spans="1:40" x14ac:dyDescent="0.25">
      <c r="A3247" t="str">
        <f>"20190304155119735"</f>
        <v>20190304155119735</v>
      </c>
      <c r="B3247" t="str">
        <f>"1551685879729600"</f>
        <v>1551685879729600</v>
      </c>
      <c r="C3247" t="s">
        <v>40</v>
      </c>
      <c r="D3247">
        <v>4.9323220000000001</v>
      </c>
      <c r="E3247">
        <v>0.51286309999999902</v>
      </c>
      <c r="F3247" t="s">
        <v>70</v>
      </c>
      <c r="G3247">
        <v>-440.49380000000002</v>
      </c>
      <c r="H3247" s="1">
        <v>-1.275203E-6</v>
      </c>
      <c r="I3247">
        <v>214.64359999999999</v>
      </c>
      <c r="J3247">
        <v>-471.21850000000001</v>
      </c>
      <c r="K3247">
        <v>1.1109249999999999</v>
      </c>
      <c r="L3247">
        <v>215.8459</v>
      </c>
      <c r="M3247">
        <v>0.98888100000000001</v>
      </c>
      <c r="N3247">
        <v>-1.3000950000000001E-2</v>
      </c>
      <c r="O3247">
        <v>-0.14814040000000001</v>
      </c>
      <c r="P3247">
        <v>0.98356829999999995</v>
      </c>
      <c r="Q3247">
        <v>0.1805042</v>
      </c>
      <c r="R3247">
        <v>-3.4413989999999999E-3</v>
      </c>
      <c r="S3247">
        <v>3.0693359999999998</v>
      </c>
      <c r="T3247">
        <v>-0.11014649999999999</v>
      </c>
      <c r="U3247">
        <v>-0.1226044</v>
      </c>
      <c r="V3247">
        <v>-0.14246400000000001</v>
      </c>
      <c r="W3247">
        <v>0.19303200000000001</v>
      </c>
      <c r="X3247">
        <v>0.97079490000000002</v>
      </c>
      <c r="Y3247">
        <v>-0.108429399999999</v>
      </c>
      <c r="Z3247">
        <v>6.0116589999999999E-3</v>
      </c>
      <c r="AA3247">
        <v>0.99408600000000003</v>
      </c>
      <c r="AB3247">
        <v>23</v>
      </c>
      <c r="AC3247">
        <v>30.724699999999899</v>
      </c>
      <c r="AD3247">
        <v>-1.110926275203</v>
      </c>
      <c r="AE3247">
        <v>-1.2022999999999999</v>
      </c>
      <c r="AF3247">
        <v>-3.3585374427581902</v>
      </c>
      <c r="AG3247">
        <v>-1.110926275203</v>
      </c>
      <c r="AH3247">
        <v>30.5239160644877</v>
      </c>
      <c r="AI3247">
        <v>92.071882628238299</v>
      </c>
      <c r="AJ3247">
        <v>96.278980038546905</v>
      </c>
      <c r="AK3247">
        <v>30.7282180227757</v>
      </c>
      <c r="AL3247">
        <v>78.870219075878495</v>
      </c>
      <c r="AM3247">
        <v>98.348556873959097</v>
      </c>
      <c r="AN3247">
        <v>1.0000000410929999</v>
      </c>
    </row>
    <row r="3248" spans="1:40" x14ac:dyDescent="0.25">
      <c r="A3248" t="str">
        <f>"20190304155119758"</f>
        <v>20190304155119758</v>
      </c>
      <c r="B3248" t="str">
        <f>"1551685879750095"</f>
        <v>1551685879750095</v>
      </c>
      <c r="C3248" t="s">
        <v>40</v>
      </c>
      <c r="D3248">
        <v>4.9138029999999997</v>
      </c>
      <c r="E3248">
        <v>0.51261829999999997</v>
      </c>
      <c r="F3248" t="s">
        <v>72</v>
      </c>
      <c r="G3248">
        <v>-439.79930000000002</v>
      </c>
      <c r="H3248" s="1">
        <v>6.5635540000000001E-6</v>
      </c>
      <c r="I3248">
        <v>214.6052</v>
      </c>
      <c r="J3248">
        <v>-470.98180000000002</v>
      </c>
      <c r="K3248">
        <v>1.1108370000000001</v>
      </c>
      <c r="L3248">
        <v>215.81120000000001</v>
      </c>
      <c r="M3248">
        <v>0.98897349999999995</v>
      </c>
      <c r="N3248">
        <v>-1.293394E-2</v>
      </c>
      <c r="O3248">
        <v>-0.14752770000000001</v>
      </c>
      <c r="P3248">
        <v>0.98366359999999997</v>
      </c>
      <c r="Q3248">
        <v>0.17999470000000001</v>
      </c>
      <c r="R3248">
        <v>-2.8410969999999999E-3</v>
      </c>
      <c r="S3248">
        <v>3.0696409999999998</v>
      </c>
      <c r="T3248">
        <v>-0.10853640000000001</v>
      </c>
      <c r="U3248">
        <v>-0.1212158</v>
      </c>
      <c r="V3248">
        <v>-0.14243</v>
      </c>
      <c r="W3248">
        <v>0.19248689999999999</v>
      </c>
      <c r="X3248">
        <v>0.97090799999999999</v>
      </c>
      <c r="Y3248">
        <v>-0.10827059999999999</v>
      </c>
      <c r="Z3248">
        <v>5.8943399999999996E-3</v>
      </c>
      <c r="AA3248">
        <v>0.99410399999999999</v>
      </c>
      <c r="AB3248">
        <v>23</v>
      </c>
      <c r="AC3248">
        <v>31.182500000000001</v>
      </c>
      <c r="AD3248">
        <v>-1.110830436446</v>
      </c>
      <c r="AE3248">
        <v>-1.20600000000001</v>
      </c>
      <c r="AF3248">
        <v>-3.4035522460133101</v>
      </c>
      <c r="AG3248">
        <v>-1.110830436446</v>
      </c>
      <c r="AH3248">
        <v>30.979918797002</v>
      </c>
      <c r="AI3248">
        <v>92.041272894726205</v>
      </c>
      <c r="AJ3248">
        <v>96.269552613732202</v>
      </c>
      <c r="AK3248">
        <v>31.186110382968899</v>
      </c>
      <c r="AL3248">
        <v>78.9020466504073</v>
      </c>
      <c r="AM3248">
        <v>98.345633915812499</v>
      </c>
      <c r="AN3248">
        <v>0.99999992801780202</v>
      </c>
    </row>
    <row r="3249" spans="1:40" x14ac:dyDescent="0.25">
      <c r="A3249" t="str">
        <f>"20190304155119778"</f>
        <v>20190304155119778</v>
      </c>
      <c r="B3249" t="str">
        <f>"1551685879769616"</f>
        <v>1551685879769616</v>
      </c>
      <c r="C3249" t="s">
        <v>40</v>
      </c>
      <c r="D3249">
        <v>4.8981659999999998</v>
      </c>
      <c r="E3249">
        <v>0.51243899999999998</v>
      </c>
      <c r="F3249" t="s">
        <v>70</v>
      </c>
      <c r="G3249">
        <v>-440.15629999999999</v>
      </c>
      <c r="H3249" s="1">
        <v>-1.454008E-6</v>
      </c>
      <c r="I3249">
        <v>214.62479999999999</v>
      </c>
      <c r="J3249">
        <v>-470.77519999999998</v>
      </c>
      <c r="K3249">
        <v>1.1107720000000001</v>
      </c>
      <c r="L3249">
        <v>215.78110000000001</v>
      </c>
      <c r="M3249">
        <v>0.98903490000000005</v>
      </c>
      <c r="N3249">
        <v>-1.287777E-2</v>
      </c>
      <c r="O3249">
        <v>-0.1471201</v>
      </c>
      <c r="P3249">
        <v>0.98375729999999995</v>
      </c>
      <c r="Q3249">
        <v>0.17948140000000001</v>
      </c>
      <c r="R3249">
        <v>-2.902295E-3</v>
      </c>
      <c r="S3249">
        <v>3.0697019999999999</v>
      </c>
      <c r="T3249">
        <v>-0.110620899999999</v>
      </c>
      <c r="U3249">
        <v>-0.1181488</v>
      </c>
      <c r="V3249">
        <v>-0.14195279999999999</v>
      </c>
      <c r="W3249">
        <v>0.19194320000000001</v>
      </c>
      <c r="X3249">
        <v>0.97108559999999999</v>
      </c>
      <c r="Y3249">
        <v>-0.1088474</v>
      </c>
      <c r="Z3249">
        <v>6.0409900000000004E-3</v>
      </c>
      <c r="AA3249">
        <v>0.99404009999999998</v>
      </c>
      <c r="AB3249">
        <v>23</v>
      </c>
      <c r="AC3249">
        <v>30.6189</v>
      </c>
      <c r="AD3249">
        <v>-1.1107734540080001</v>
      </c>
      <c r="AE3249">
        <v>-1.1563000000000101</v>
      </c>
      <c r="AF3249">
        <v>-3.3569014223349098</v>
      </c>
      <c r="AG3249">
        <v>-1.1107734540080001</v>
      </c>
      <c r="AH3249">
        <v>30.415826476564899</v>
      </c>
      <c r="AI3249">
        <v>92.078877049618498</v>
      </c>
      <c r="AJ3249">
        <v>96.298069914267998</v>
      </c>
      <c r="AK3249">
        <v>30.620664674005798</v>
      </c>
      <c r="AL3249">
        <v>78.933791283543499</v>
      </c>
      <c r="AM3249">
        <v>98.316564436491305</v>
      </c>
      <c r="AN3249">
        <v>1.0000000159907101</v>
      </c>
    </row>
    <row r="3250" spans="1:40" x14ac:dyDescent="0.25">
      <c r="A3250" t="str">
        <f>"20190304155119800"</f>
        <v>20190304155119800</v>
      </c>
      <c r="B3250" t="str">
        <f>"1551685879790111"</f>
        <v>1551685879790111</v>
      </c>
      <c r="C3250" t="s">
        <v>40</v>
      </c>
      <c r="D3250">
        <v>4.88687</v>
      </c>
      <c r="E3250">
        <v>0.51224959999999997</v>
      </c>
      <c r="F3250" t="s">
        <v>70</v>
      </c>
      <c r="G3250">
        <v>-440.54109999999997</v>
      </c>
      <c r="H3250" s="1">
        <v>-1.2493879999999999E-6</v>
      </c>
      <c r="I3250">
        <v>214.6293</v>
      </c>
      <c r="J3250">
        <v>-470.54939999999999</v>
      </c>
      <c r="K3250">
        <v>1.1106990000000001</v>
      </c>
      <c r="L3250">
        <v>215.74799999999999</v>
      </c>
      <c r="M3250">
        <v>0.98908419999999997</v>
      </c>
      <c r="N3250">
        <v>-1.281799E-2</v>
      </c>
      <c r="O3250">
        <v>-0.146793799999999</v>
      </c>
      <c r="P3250">
        <v>0.98378489999999996</v>
      </c>
      <c r="Q3250">
        <v>0.1793371</v>
      </c>
      <c r="R3250">
        <v>-2.4341990000000002E-3</v>
      </c>
      <c r="S3250">
        <v>3.069763</v>
      </c>
      <c r="T3250">
        <v>-0.11278059999999999</v>
      </c>
      <c r="U3250">
        <v>-0.1169434</v>
      </c>
      <c r="V3250">
        <v>-0.14206569999999999</v>
      </c>
      <c r="W3250">
        <v>0.19176489999999999</v>
      </c>
      <c r="X3250">
        <v>0.97110430000000003</v>
      </c>
      <c r="Y3250">
        <v>-0.10890420000000001</v>
      </c>
      <c r="Z3250">
        <v>6.1815409999999996E-3</v>
      </c>
      <c r="AA3250">
        <v>0.99403300000000006</v>
      </c>
      <c r="AB3250">
        <v>23</v>
      </c>
      <c r="AC3250">
        <v>30.008299999999998</v>
      </c>
      <c r="AD3250">
        <v>-1.1107002493879901</v>
      </c>
      <c r="AE3250">
        <v>-1.11869999999998</v>
      </c>
      <c r="AF3250">
        <v>-3.2943076120636898</v>
      </c>
      <c r="AG3250">
        <v>-1.1107002493879901</v>
      </c>
      <c r="AH3250">
        <v>29.806624092682998</v>
      </c>
      <c r="AI3250">
        <v>92.121152038038304</v>
      </c>
      <c r="AJ3250">
        <v>96.306885441308495</v>
      </c>
      <c r="AK3250">
        <v>30.008681368720701</v>
      </c>
      <c r="AL3250">
        <v>78.944200316986795</v>
      </c>
      <c r="AM3250">
        <v>98.322928237566501</v>
      </c>
      <c r="AN3250">
        <v>1.0000000007334899</v>
      </c>
    </row>
    <row r="3251" spans="1:40" x14ac:dyDescent="0.25">
      <c r="A3251" t="str">
        <f>"20190304155119824"</f>
        <v>20190304155119824</v>
      </c>
      <c r="B3251" t="str">
        <f>"1551685879819393"</f>
        <v>1551685879819393</v>
      </c>
      <c r="C3251" t="s">
        <v>40</v>
      </c>
      <c r="D3251">
        <v>4.9181939999999997</v>
      </c>
      <c r="E3251">
        <v>0.51208909999999996</v>
      </c>
      <c r="F3251" t="s">
        <v>70</v>
      </c>
      <c r="G3251">
        <v>-440.58629999999999</v>
      </c>
      <c r="H3251" s="1">
        <v>-1.225754E-6</v>
      </c>
      <c r="I3251">
        <v>214.6388</v>
      </c>
      <c r="J3251">
        <v>-470.31509999999997</v>
      </c>
      <c r="K3251">
        <v>1.110616</v>
      </c>
      <c r="L3251">
        <v>215.71360000000001</v>
      </c>
      <c r="M3251">
        <v>0.98911850000000001</v>
      </c>
      <c r="N3251">
        <v>-1.275622E-2</v>
      </c>
      <c r="O3251">
        <v>-0.1465678</v>
      </c>
      <c r="P3251">
        <v>0.98377349999999997</v>
      </c>
      <c r="Q3251">
        <v>0.17941070000000001</v>
      </c>
      <c r="R3251">
        <v>-1.246645E-3</v>
      </c>
      <c r="S3251">
        <v>3.0699459999999998</v>
      </c>
      <c r="T3251">
        <v>-0.11379980000000001</v>
      </c>
      <c r="U3251">
        <v>-0.113647499999999</v>
      </c>
      <c r="V3251">
        <v>-0.14298150000000001</v>
      </c>
      <c r="W3251">
        <v>0.19180230000000001</v>
      </c>
      <c r="X3251">
        <v>0.97096249999999995</v>
      </c>
      <c r="Y3251">
        <v>-0.1097413</v>
      </c>
      <c r="Z3251">
        <v>6.2691079999999998E-3</v>
      </c>
      <c r="AA3251">
        <v>0.99394039999999995</v>
      </c>
      <c r="AB3251">
        <v>23</v>
      </c>
      <c r="AC3251">
        <v>29.7287999999999</v>
      </c>
      <c r="AD3251">
        <v>-1.1106172257539999</v>
      </c>
      <c r="AE3251">
        <v>-1.07480000000001</v>
      </c>
      <c r="AF3251">
        <v>-3.2898624122454501</v>
      </c>
      <c r="AG3251">
        <v>-1.1106172257539999</v>
      </c>
      <c r="AH3251">
        <v>29.524087736704299</v>
      </c>
      <c r="AI3251">
        <v>92.141059350635501</v>
      </c>
      <c r="AJ3251">
        <v>96.358226471517398</v>
      </c>
      <c r="AK3251">
        <v>29.727570065483999</v>
      </c>
      <c r="AL3251">
        <v>78.942016961813493</v>
      </c>
      <c r="AM3251">
        <v>98.377027563183404</v>
      </c>
      <c r="AN3251">
        <v>1.0000000040168899</v>
      </c>
    </row>
    <row r="3252" spans="1:40" x14ac:dyDescent="0.25">
      <c r="A3252" t="str">
        <f>"20190304155119843"</f>
        <v>20190304155119843</v>
      </c>
      <c r="B3252" t="str">
        <f>"1551685879839888"</f>
        <v>1551685879839888</v>
      </c>
      <c r="C3252" t="s">
        <v>40</v>
      </c>
      <c r="D3252">
        <v>4.8900930000000002</v>
      </c>
      <c r="E3252">
        <v>0.51193789999999995</v>
      </c>
      <c r="F3252" t="s">
        <v>70</v>
      </c>
      <c r="G3252">
        <v>-440.67520000000002</v>
      </c>
      <c r="H3252" s="1">
        <v>-1.1793239999999999E-6</v>
      </c>
      <c r="I3252">
        <v>214.6585</v>
      </c>
      <c r="J3252">
        <v>-470.1112</v>
      </c>
      <c r="K3252">
        <v>1.1105510000000001</v>
      </c>
      <c r="L3252">
        <v>215.68360000000001</v>
      </c>
      <c r="M3252">
        <v>0.98913530000000005</v>
      </c>
      <c r="N3252">
        <v>-1.2701209999999999E-2</v>
      </c>
      <c r="O3252">
        <v>-0.1464587</v>
      </c>
      <c r="P3252">
        <v>0.98377420000000004</v>
      </c>
      <c r="Q3252">
        <v>0.1794105</v>
      </c>
      <c r="R3252">
        <v>-6.5600079999999996E-4</v>
      </c>
      <c r="S3252">
        <v>3.0703130000000001</v>
      </c>
      <c r="T3252">
        <v>-0.1150458</v>
      </c>
      <c r="U3252">
        <v>-0.1092987</v>
      </c>
      <c r="V3252">
        <v>-0.14342869999999999</v>
      </c>
      <c r="W3252">
        <v>0.19177</v>
      </c>
      <c r="X3252">
        <v>0.97090290000000001</v>
      </c>
      <c r="Y3252">
        <v>-0.1110372</v>
      </c>
      <c r="Z3252">
        <v>6.3849040000000003E-3</v>
      </c>
      <c r="AA3252">
        <v>0.99379580000000001</v>
      </c>
      <c r="AB3252">
        <v>23</v>
      </c>
      <c r="AC3252">
        <v>29.4359999999999</v>
      </c>
      <c r="AD3252">
        <v>-1.1105521793240001</v>
      </c>
      <c r="AE3252">
        <v>-1.0250999999999999</v>
      </c>
      <c r="AF3252">
        <v>-3.2927803006745502</v>
      </c>
      <c r="AG3252">
        <v>-1.1105521793240001</v>
      </c>
      <c r="AH3252">
        <v>29.227129892487699</v>
      </c>
      <c r="AI3252">
        <v>92.162371622404706</v>
      </c>
      <c r="AJ3252">
        <v>96.427939685123604</v>
      </c>
      <c r="AK3252">
        <v>29.432989144901001</v>
      </c>
      <c r="AL3252">
        <v>78.943902384773693</v>
      </c>
      <c r="AM3252">
        <v>98.403363149587804</v>
      </c>
      <c r="AN3252">
        <v>0.99999998305604898</v>
      </c>
    </row>
    <row r="3253" spans="1:40" x14ac:dyDescent="0.25">
      <c r="A3253" t="str">
        <f>"20190304155119866"</f>
        <v>20190304155119866</v>
      </c>
      <c r="B3253" t="str">
        <f>"1551685879859408"</f>
        <v>1551685879859408</v>
      </c>
      <c r="C3253" t="s">
        <v>40</v>
      </c>
      <c r="D3253">
        <v>4.8989250000000002</v>
      </c>
      <c r="E3253">
        <v>0.51189779999999996</v>
      </c>
      <c r="F3253" t="s">
        <v>70</v>
      </c>
      <c r="G3253">
        <v>-440.52379999999999</v>
      </c>
      <c r="H3253" s="1">
        <v>-1.2596500000000001E-6</v>
      </c>
      <c r="I3253">
        <v>214.6532</v>
      </c>
      <c r="J3253">
        <v>-469.88060000000002</v>
      </c>
      <c r="K3253">
        <v>1.1104799999999999</v>
      </c>
      <c r="L3253">
        <v>215.64959999999999</v>
      </c>
      <c r="M3253">
        <v>0.98914230000000003</v>
      </c>
      <c r="N3253">
        <v>-1.2639640000000001E-2</v>
      </c>
      <c r="O3253">
        <v>-0.1464172</v>
      </c>
      <c r="P3253">
        <v>0.98365899999999995</v>
      </c>
      <c r="Q3253">
        <v>0.18003939999999999</v>
      </c>
      <c r="R3253">
        <v>-9.8139189999999995E-4</v>
      </c>
      <c r="S3253">
        <v>3.0704039999999999</v>
      </c>
      <c r="T3253">
        <v>-0.1152465</v>
      </c>
      <c r="U3253">
        <v>-0.1069336</v>
      </c>
      <c r="V3253">
        <v>-0.1430207</v>
      </c>
      <c r="W3253">
        <v>0.19235920000000001</v>
      </c>
      <c r="X3253">
        <v>0.97084649999999995</v>
      </c>
      <c r="Y3253">
        <v>-0.1117597</v>
      </c>
      <c r="Z3253">
        <v>6.420739E-3</v>
      </c>
      <c r="AA3253">
        <v>0.99371449999999995</v>
      </c>
      <c r="AB3253">
        <v>23</v>
      </c>
      <c r="AC3253">
        <v>29.3568</v>
      </c>
      <c r="AD3253">
        <v>-1.11048125965</v>
      </c>
      <c r="AE3253">
        <v>-0.99639999999999396</v>
      </c>
      <c r="AF3253">
        <v>-3.3082949704172102</v>
      </c>
      <c r="AG3253">
        <v>-1.11048125965</v>
      </c>
      <c r="AH3253">
        <v>29.1446160337481</v>
      </c>
      <c r="AI3253">
        <v>92.168143609953603</v>
      </c>
      <c r="AJ3253">
        <v>96.476099703367794</v>
      </c>
      <c r="AK3253">
        <v>29.352795914425698</v>
      </c>
      <c r="AL3253">
        <v>78.909502956923006</v>
      </c>
      <c r="AM3253">
        <v>98.380278586051006</v>
      </c>
      <c r="AN3253">
        <v>0.99999995450768897</v>
      </c>
    </row>
    <row r="3254" spans="1:40" x14ac:dyDescent="0.25">
      <c r="A3254" t="str">
        <f>"20190304155119889"</f>
        <v>20190304155119889</v>
      </c>
      <c r="B3254" t="str">
        <f>"1551685879879904"</f>
        <v>1551685879879904</v>
      </c>
      <c r="C3254" t="s">
        <v>40</v>
      </c>
      <c r="D3254">
        <v>4.9036660000000003</v>
      </c>
      <c r="E3254">
        <v>0.51175809999999999</v>
      </c>
      <c r="F3254" t="s">
        <v>70</v>
      </c>
      <c r="G3254">
        <v>-440.06479999999999</v>
      </c>
      <c r="H3254" s="1">
        <v>-1.5019909999999999E-6</v>
      </c>
      <c r="I3254">
        <v>214.60980000000001</v>
      </c>
      <c r="J3254">
        <v>-469.64370000000002</v>
      </c>
      <c r="K3254">
        <v>1.1104369999999999</v>
      </c>
      <c r="L3254">
        <v>215.61449999999999</v>
      </c>
      <c r="M3254">
        <v>0.98913779999999996</v>
      </c>
      <c r="N3254">
        <v>-1.2580940000000001E-2</v>
      </c>
      <c r="O3254">
        <v>-0.14645269999999999</v>
      </c>
      <c r="P3254">
        <v>0.98359980000000002</v>
      </c>
      <c r="Q3254">
        <v>0.18036240000000001</v>
      </c>
      <c r="R3254">
        <v>-1.102787E-3</v>
      </c>
      <c r="S3254">
        <v>3.0706790000000002</v>
      </c>
      <c r="T3254">
        <v>-0.114367</v>
      </c>
      <c r="U3254">
        <v>-0.10708620000000001</v>
      </c>
      <c r="V3254">
        <v>-0.1429105</v>
      </c>
      <c r="W3254">
        <v>0.19263669999999999</v>
      </c>
      <c r="X3254">
        <v>0.9708078</v>
      </c>
      <c r="Y3254">
        <v>-0.1117514</v>
      </c>
      <c r="Z3254">
        <v>6.3683029999999996E-3</v>
      </c>
      <c r="AA3254">
        <v>0.99371580000000004</v>
      </c>
      <c r="AB3254">
        <v>23</v>
      </c>
      <c r="AC3254">
        <v>29.578900000000001</v>
      </c>
      <c r="AD3254">
        <v>-1.1104385019909999</v>
      </c>
      <c r="AE3254">
        <v>-1.0046999999999799</v>
      </c>
      <c r="AF3254">
        <v>-3.3336938023996501</v>
      </c>
      <c r="AG3254">
        <v>-1.1104385019909999</v>
      </c>
      <c r="AH3254">
        <v>29.365733149429499</v>
      </c>
      <c r="AI3254">
        <v>92.151748169929405</v>
      </c>
      <c r="AJ3254">
        <v>96.476675949050701</v>
      </c>
      <c r="AK3254">
        <v>29.575207039653399</v>
      </c>
      <c r="AL3254">
        <v>78.893301384824198</v>
      </c>
      <c r="AM3254">
        <v>98.374242108071101</v>
      </c>
      <c r="AN3254">
        <v>1.00000004686898</v>
      </c>
    </row>
    <row r="3255" spans="1:40" x14ac:dyDescent="0.25">
      <c r="A3255" t="str">
        <f>"20190304155119912"</f>
        <v>20190304155119912</v>
      </c>
      <c r="B3255" t="str">
        <f>"1551685879910160"</f>
        <v>1551685879910160</v>
      </c>
      <c r="C3255" t="s">
        <v>40</v>
      </c>
      <c r="D3255">
        <v>4.875705</v>
      </c>
      <c r="E3255">
        <v>0.51158649999999894</v>
      </c>
      <c r="F3255" t="s">
        <v>72</v>
      </c>
      <c r="G3255">
        <v>-439.87009999999998</v>
      </c>
      <c r="H3255" s="1">
        <v>6.5967400000000001E-6</v>
      </c>
      <c r="I3255">
        <v>214.5848</v>
      </c>
      <c r="J3255">
        <v>-469.42020000000002</v>
      </c>
      <c r="K3255">
        <v>1.110414</v>
      </c>
      <c r="L3255">
        <v>215.5814</v>
      </c>
      <c r="M3255">
        <v>0.98912750000000005</v>
      </c>
      <c r="N3255">
        <v>-1.2526199999999999E-2</v>
      </c>
      <c r="O3255">
        <v>-0.1465263</v>
      </c>
      <c r="P3255">
        <v>0.983626</v>
      </c>
      <c r="Q3255">
        <v>0.18022050000000001</v>
      </c>
      <c r="R3255">
        <v>-8.3473229999999905E-4</v>
      </c>
      <c r="S3255">
        <v>3.0708920000000002</v>
      </c>
      <c r="T3255">
        <v>-0.11453140000000001</v>
      </c>
      <c r="U3255">
        <v>-0.1062012</v>
      </c>
      <c r="V3255">
        <v>-0.14324690000000001</v>
      </c>
      <c r="W3255">
        <v>0.19244530000000001</v>
      </c>
      <c r="X3255">
        <v>0.97079610000000005</v>
      </c>
      <c r="Y3255">
        <v>-0.1121128</v>
      </c>
      <c r="Z3255">
        <v>6.3944070000000004E-3</v>
      </c>
      <c r="AA3255">
        <v>0.99367490000000003</v>
      </c>
      <c r="AB3255">
        <v>23</v>
      </c>
      <c r="AC3255">
        <v>29.5501</v>
      </c>
      <c r="AD3255">
        <v>-1.11040740326</v>
      </c>
      <c r="AE3255">
        <v>-0.99660000000000004</v>
      </c>
      <c r="AF3255">
        <v>-3.3396542479820202</v>
      </c>
      <c r="AG3255">
        <v>-1.11040740326</v>
      </c>
      <c r="AH3255">
        <v>29.335772178282099</v>
      </c>
      <c r="AI3255">
        <v>92.1538063715346</v>
      </c>
      <c r="AJ3255">
        <v>96.494727048003597</v>
      </c>
      <c r="AK3255">
        <v>29.546130447037399</v>
      </c>
      <c r="AL3255">
        <v>78.904476014110401</v>
      </c>
      <c r="AM3255">
        <v>98.393773623988196</v>
      </c>
      <c r="AN3255">
        <v>0.99999996781345402</v>
      </c>
    </row>
    <row r="3256" spans="1:40" x14ac:dyDescent="0.25">
      <c r="A3256" t="str">
        <f>"20190304155119935"</f>
        <v>20190304155119935</v>
      </c>
      <c r="B3256" t="str">
        <f>"1551685879929812"</f>
        <v>1551685879929812</v>
      </c>
      <c r="C3256" t="s">
        <v>40</v>
      </c>
      <c r="D3256">
        <v>4.8811030000000004</v>
      </c>
      <c r="E3256">
        <v>0.51147480000000001</v>
      </c>
      <c r="F3256" t="s">
        <v>72</v>
      </c>
      <c r="G3256">
        <v>-439.82400000000001</v>
      </c>
      <c r="H3256" s="1">
        <v>6.5769770000000003E-6</v>
      </c>
      <c r="I3256">
        <v>214.57679999999999</v>
      </c>
      <c r="J3256">
        <v>-469.17959999999999</v>
      </c>
      <c r="K3256">
        <v>1.110412</v>
      </c>
      <c r="L3256">
        <v>215.54560000000001</v>
      </c>
      <c r="M3256">
        <v>0.98911550000000004</v>
      </c>
      <c r="N3256">
        <v>-1.2468129999999999E-2</v>
      </c>
      <c r="O3256">
        <v>-0.14661270000000001</v>
      </c>
      <c r="P3256">
        <v>0.98384070000000001</v>
      </c>
      <c r="Q3256">
        <v>0.17904149999999999</v>
      </c>
      <c r="R3256">
        <v>-1.2888159999999999E-3</v>
      </c>
      <c r="S3256">
        <v>3.0709529999999998</v>
      </c>
      <c r="T3256">
        <v>-0.11521770000000001</v>
      </c>
      <c r="U3256">
        <v>-0.1042328</v>
      </c>
      <c r="V3256">
        <v>-0.14291719999999999</v>
      </c>
      <c r="W3256">
        <v>0.19121079999999999</v>
      </c>
      <c r="X3256">
        <v>0.97108859999999997</v>
      </c>
      <c r="Y3256">
        <v>-0.11283360000000001</v>
      </c>
      <c r="Z3256">
        <v>6.4649180000000001E-3</v>
      </c>
      <c r="AA3256">
        <v>0.9935929</v>
      </c>
      <c r="AB3256">
        <v>23</v>
      </c>
      <c r="AC3256">
        <v>29.3555999999999</v>
      </c>
      <c r="AD3256">
        <v>-1.110405423023</v>
      </c>
      <c r="AE3256">
        <v>-0.96880000000001598</v>
      </c>
      <c r="AF3256">
        <v>-3.3411330882122199</v>
      </c>
      <c r="AG3256">
        <v>-1.110405423023</v>
      </c>
      <c r="AH3256">
        <v>29.1387359166952</v>
      </c>
      <c r="AI3256">
        <v>92.168152237029304</v>
      </c>
      <c r="AJ3256">
        <v>96.541135548358</v>
      </c>
      <c r="AK3256">
        <v>29.3506746317615</v>
      </c>
      <c r="AL3256">
        <v>78.976546272319595</v>
      </c>
      <c r="AM3256">
        <v>98.372241866335699</v>
      </c>
      <c r="AN3256">
        <v>0.99999998257121903</v>
      </c>
    </row>
    <row r="3257" spans="1:40" x14ac:dyDescent="0.25">
      <c r="A3257" t="str">
        <f>"20190304155119959"</f>
        <v>20190304155119959</v>
      </c>
      <c r="B3257" t="str">
        <f>"1551685879950307"</f>
        <v>1551685879950307</v>
      </c>
      <c r="C3257" t="s">
        <v>40</v>
      </c>
      <c r="D3257">
        <v>4.9009320000000001</v>
      </c>
      <c r="E3257">
        <v>0.51141179999999997</v>
      </c>
      <c r="F3257" t="s">
        <v>70</v>
      </c>
      <c r="G3257">
        <v>-440.58670000000001</v>
      </c>
      <c r="H3257" s="1">
        <v>-1.2224309999999999E-6</v>
      </c>
      <c r="I3257">
        <v>214.56720000000001</v>
      </c>
      <c r="J3257">
        <v>-468.94290000000001</v>
      </c>
      <c r="K3257">
        <v>1.1104210000000001</v>
      </c>
      <c r="L3257">
        <v>215.51050000000001</v>
      </c>
      <c r="M3257">
        <v>0.98910629999999999</v>
      </c>
      <c r="N3257">
        <v>-1.24134E-2</v>
      </c>
      <c r="O3257">
        <v>-0.14667929999999901</v>
      </c>
      <c r="P3257">
        <v>0.98404150000000001</v>
      </c>
      <c r="Q3257">
        <v>0.1779271</v>
      </c>
      <c r="R3257">
        <v>-2.1239029999999999E-3</v>
      </c>
      <c r="S3257">
        <v>3.070862</v>
      </c>
      <c r="T3257">
        <v>-0.11925760000000001</v>
      </c>
      <c r="U3257">
        <v>-0.10508729999999999</v>
      </c>
      <c r="V3257">
        <v>-0.14219579999999901</v>
      </c>
      <c r="W3257">
        <v>0.19003999999999999</v>
      </c>
      <c r="X3257">
        <v>0.97142430000000002</v>
      </c>
      <c r="Y3257">
        <v>-0.1126119</v>
      </c>
      <c r="Z3257">
        <v>6.7322290000000002E-3</v>
      </c>
      <c r="AA3257">
        <v>0.99361619999999995</v>
      </c>
      <c r="AB3257">
        <v>23</v>
      </c>
      <c r="AC3257">
        <v>28.356200000000001</v>
      </c>
      <c r="AD3257">
        <v>-1.1104222224310001</v>
      </c>
      <c r="AE3257">
        <v>-0.94329999999999303</v>
      </c>
      <c r="AF3257">
        <v>-3.22155714201668</v>
      </c>
      <c r="AG3257">
        <v>-1.1104222224310001</v>
      </c>
      <c r="AH3257">
        <v>28.1447160690626</v>
      </c>
      <c r="AI3257">
        <v>92.244734777496504</v>
      </c>
      <c r="AJ3257">
        <v>96.5298855944298</v>
      </c>
      <c r="AK3257">
        <v>28.3502470983851</v>
      </c>
      <c r="AL3257">
        <v>79.044881536880894</v>
      </c>
      <c r="AM3257">
        <v>98.327737573935494</v>
      </c>
      <c r="AN3257">
        <v>1.0000000088840599</v>
      </c>
    </row>
    <row r="3258" spans="1:40" x14ac:dyDescent="0.25">
      <c r="A3258" t="str">
        <f>"20190304155119979"</f>
        <v>20190304155119979</v>
      </c>
      <c r="B3258" t="str">
        <f>"1551685879969828"</f>
        <v>1551685879969828</v>
      </c>
      <c r="C3258" t="s">
        <v>40</v>
      </c>
      <c r="D3258">
        <v>4.9035630000000001</v>
      </c>
      <c r="E3258">
        <v>0.51132709999999904</v>
      </c>
      <c r="F3258" t="s">
        <v>70</v>
      </c>
      <c r="G3258">
        <v>-441.22320000000002</v>
      </c>
      <c r="H3258" s="1">
        <v>-8.8297010000000002E-7</v>
      </c>
      <c r="I3258">
        <v>214.5504</v>
      </c>
      <c r="J3258">
        <v>-468.73599999999999</v>
      </c>
      <c r="K3258">
        <v>1.1104290000000001</v>
      </c>
      <c r="L3258">
        <v>215.47970000000001</v>
      </c>
      <c r="M3258">
        <v>0.98910129999999996</v>
      </c>
      <c r="N3258">
        <v>-1.2365839999999999E-2</v>
      </c>
      <c r="O3258">
        <v>-0.1467174</v>
      </c>
      <c r="P3258">
        <v>0.98414170000000001</v>
      </c>
      <c r="Q3258">
        <v>0.17735229999999999</v>
      </c>
      <c r="R3258">
        <v>-3.3853970000000001E-3</v>
      </c>
      <c r="S3258">
        <v>3.0706479999999998</v>
      </c>
      <c r="T3258">
        <v>-0.123007199999999</v>
      </c>
      <c r="U3258">
        <v>-0.1063538</v>
      </c>
      <c r="V3258">
        <v>-0.1410101</v>
      </c>
      <c r="W3258">
        <v>0.1894151</v>
      </c>
      <c r="X3258">
        <v>0.97171909999999895</v>
      </c>
      <c r="Y3258">
        <v>-0.1122276</v>
      </c>
      <c r="Z3258">
        <v>6.9749209999999898E-3</v>
      </c>
      <c r="AA3258">
        <v>0.99365809999999999</v>
      </c>
      <c r="AB3258">
        <v>23</v>
      </c>
      <c r="AC3258">
        <v>27.512799999999899</v>
      </c>
      <c r="AD3258">
        <v>-1.1104298829701</v>
      </c>
      <c r="AE3258">
        <v>-0.92930000000001201</v>
      </c>
      <c r="AF3258">
        <v>-3.1126080053313601</v>
      </c>
      <c r="AG3258">
        <v>-1.1104298829701</v>
      </c>
      <c r="AH3258">
        <v>27.306946563243201</v>
      </c>
      <c r="AI3258">
        <v>92.313669415487993</v>
      </c>
      <c r="AJ3258">
        <v>96.502846889966193</v>
      </c>
      <c r="AK3258">
        <v>27.5061940974695</v>
      </c>
      <c r="AL3258">
        <v>79.081347576274297</v>
      </c>
      <c r="AM3258">
        <v>98.256787491212606</v>
      </c>
      <c r="AN3258">
        <v>0.99999996885741405</v>
      </c>
    </row>
    <row r="3259" spans="1:40" x14ac:dyDescent="0.25">
      <c r="A3259" t="str">
        <f>"20190304155120002"</f>
        <v>20190304155120002</v>
      </c>
      <c r="B3259" t="str">
        <f>"1551685880000084"</f>
        <v>1551685880000084</v>
      </c>
      <c r="C3259" t="s">
        <v>40</v>
      </c>
      <c r="D3259">
        <v>4.9011709999999997</v>
      </c>
      <c r="E3259">
        <v>0.51120869999999996</v>
      </c>
      <c r="F3259" t="s">
        <v>70</v>
      </c>
      <c r="G3259">
        <v>-441.51490000000001</v>
      </c>
      <c r="H3259" s="1">
        <v>-7.264013E-7</v>
      </c>
      <c r="I3259">
        <v>214.5189</v>
      </c>
      <c r="J3259">
        <v>-468.50580000000002</v>
      </c>
      <c r="K3259">
        <v>1.110444</v>
      </c>
      <c r="L3259">
        <v>215.44550000000001</v>
      </c>
      <c r="M3259">
        <v>0.9890987</v>
      </c>
      <c r="N3259">
        <v>-1.2315E-2</v>
      </c>
      <c r="O3259">
        <v>-0.14673789999999901</v>
      </c>
      <c r="P3259">
        <v>0.98414509999999999</v>
      </c>
      <c r="Q3259">
        <v>0.1773063</v>
      </c>
      <c r="R3259">
        <v>-4.5595360000000003E-3</v>
      </c>
      <c r="S3259">
        <v>3.0705260000000001</v>
      </c>
      <c r="T3259">
        <v>-0.1252558</v>
      </c>
      <c r="U3259">
        <v>-0.1083832</v>
      </c>
      <c r="V3259">
        <v>-0.13988039999999999</v>
      </c>
      <c r="W3259">
        <v>0.18931339999999999</v>
      </c>
      <c r="X3259">
        <v>0.97190220000000005</v>
      </c>
      <c r="Y3259">
        <v>-0.11158460000000001</v>
      </c>
      <c r="Z3259">
        <v>7.1112049999999998E-3</v>
      </c>
      <c r="AA3259">
        <v>0.99372950000000004</v>
      </c>
      <c r="AB3259">
        <v>23</v>
      </c>
      <c r="AC3259">
        <v>26.9909</v>
      </c>
      <c r="AD3259">
        <v>-1.1104447264013</v>
      </c>
      <c r="AE3259">
        <v>-0.92660000000000697</v>
      </c>
      <c r="AF3259">
        <v>-3.03918200576175</v>
      </c>
      <c r="AG3259">
        <v>-1.1104447264013</v>
      </c>
      <c r="AH3259">
        <v>26.789376777512</v>
      </c>
      <c r="AI3259">
        <v>92.3584933795632</v>
      </c>
      <c r="AJ3259">
        <v>96.472378049762398</v>
      </c>
      <c r="AK3259">
        <v>26.9840772101259</v>
      </c>
      <c r="AL3259">
        <v>79.087282139948897</v>
      </c>
      <c r="AM3259">
        <v>98.190017355414795</v>
      </c>
      <c r="AN3259">
        <v>0.99999998804427903</v>
      </c>
    </row>
    <row r="3260" spans="1:40" x14ac:dyDescent="0.25">
      <c r="A3260" t="str">
        <f>"20190304155120024"</f>
        <v>20190304155120024</v>
      </c>
      <c r="B3260" t="str">
        <f>"1551685880020113"</f>
        <v>1551685880020113</v>
      </c>
      <c r="C3260" t="s">
        <v>40</v>
      </c>
      <c r="D3260">
        <v>4.9210279999999997</v>
      </c>
      <c r="E3260">
        <v>0.5111329</v>
      </c>
      <c r="F3260" t="s">
        <v>70</v>
      </c>
      <c r="G3260">
        <v>-441.43680000000001</v>
      </c>
      <c r="H3260" s="1">
        <v>-7.6615180000000003E-7</v>
      </c>
      <c r="I3260">
        <v>214.4785</v>
      </c>
      <c r="J3260">
        <v>-468.28660000000002</v>
      </c>
      <c r="K3260">
        <v>1.110463</v>
      </c>
      <c r="L3260">
        <v>215.41300000000001</v>
      </c>
      <c r="M3260">
        <v>0.9891008</v>
      </c>
      <c r="N3260">
        <v>-1.22714E-2</v>
      </c>
      <c r="O3260">
        <v>-0.1467282</v>
      </c>
      <c r="P3260">
        <v>0.98396249999999996</v>
      </c>
      <c r="Q3260">
        <v>0.1783131</v>
      </c>
      <c r="R3260">
        <v>-4.7524739999999996E-3</v>
      </c>
      <c r="S3260">
        <v>3.0705260000000001</v>
      </c>
      <c r="T3260">
        <v>-0.1259615</v>
      </c>
      <c r="U3260">
        <v>-0.1096954</v>
      </c>
      <c r="V3260">
        <v>-0.1396636</v>
      </c>
      <c r="W3260">
        <v>0.1902681</v>
      </c>
      <c r="X3260">
        <v>0.97174700000000003</v>
      </c>
      <c r="Y3260">
        <v>-0.11114880000000001</v>
      </c>
      <c r="Z3260">
        <v>7.1495719999999999E-3</v>
      </c>
      <c r="AA3260">
        <v>0.99377800000000005</v>
      </c>
      <c r="AB3260">
        <v>23</v>
      </c>
      <c r="AC3260">
        <v>26.849799999999998</v>
      </c>
      <c r="AD3260">
        <v>-1.1104637661518</v>
      </c>
      <c r="AE3260">
        <v>-0.93449999999998501</v>
      </c>
      <c r="AF3260">
        <v>-3.0103918802298901</v>
      </c>
      <c r="AG3260">
        <v>-1.1104637661518</v>
      </c>
      <c r="AH3260">
        <v>26.650753034408702</v>
      </c>
      <c r="AI3260">
        <v>92.370917455289302</v>
      </c>
      <c r="AJ3260">
        <v>96.444648214931703</v>
      </c>
      <c r="AK3260">
        <v>26.8432156484564</v>
      </c>
      <c r="AL3260">
        <v>79.031569954939798</v>
      </c>
      <c r="AM3260">
        <v>98.178783874437997</v>
      </c>
      <c r="AN3260">
        <v>1.0000000515257801</v>
      </c>
    </row>
    <row r="3261" spans="1:40" x14ac:dyDescent="0.25">
      <c r="A3261" t="str">
        <f>"20190304155120046"</f>
        <v>20190304155120046</v>
      </c>
      <c r="B3261" t="str">
        <f>"1551685880039632"</f>
        <v>1551685880039632</v>
      </c>
      <c r="C3261" t="s">
        <v>40</v>
      </c>
      <c r="D3261">
        <v>4.9460730000000002</v>
      </c>
      <c r="E3261">
        <v>0.51105149999999999</v>
      </c>
      <c r="F3261" t="s">
        <v>70</v>
      </c>
      <c r="G3261">
        <v>-440.55090000000001</v>
      </c>
      <c r="H3261" s="1">
        <v>-1.2347889999999999E-6</v>
      </c>
      <c r="I3261">
        <v>214.41460000000001</v>
      </c>
      <c r="J3261">
        <v>-468.06040000000002</v>
      </c>
      <c r="K3261">
        <v>1.110501</v>
      </c>
      <c r="L3261">
        <v>215.3794</v>
      </c>
      <c r="M3261">
        <v>0.9891105</v>
      </c>
      <c r="N3261">
        <v>-1.223134E-2</v>
      </c>
      <c r="O3261">
        <v>-0.14666680000000001</v>
      </c>
      <c r="P3261">
        <v>0.98374709999999999</v>
      </c>
      <c r="Q3261">
        <v>0.17951729999999999</v>
      </c>
      <c r="R3261">
        <v>-3.963065E-3</v>
      </c>
      <c r="S3261">
        <v>3.0706790000000002</v>
      </c>
      <c r="T3261">
        <v>-0.122942</v>
      </c>
      <c r="U3261">
        <v>-0.1105347</v>
      </c>
      <c r="V3261">
        <v>-0.1403684</v>
      </c>
      <c r="W3261">
        <v>0.19141759999999999</v>
      </c>
      <c r="X3261">
        <v>0.97141960000000005</v>
      </c>
      <c r="Y3261">
        <v>-0.11082699999999999</v>
      </c>
      <c r="Z3261">
        <v>6.9444909999999997E-3</v>
      </c>
      <c r="AA3261">
        <v>0.99381549999999996</v>
      </c>
      <c r="AB3261">
        <v>23</v>
      </c>
      <c r="AC3261">
        <v>27.509499999999999</v>
      </c>
      <c r="AD3261">
        <v>-1.1105022347889999</v>
      </c>
      <c r="AE3261">
        <v>-0.96479999999999599</v>
      </c>
      <c r="AF3261">
        <v>-3.0756606038232399</v>
      </c>
      <c r="AG3261">
        <v>-1.1105022347889999</v>
      </c>
      <c r="AH3261">
        <v>27.309033653794799</v>
      </c>
      <c r="AI3261">
        <v>92.313995433098597</v>
      </c>
      <c r="AJ3261">
        <v>96.425819084672796</v>
      </c>
      <c r="AK3261">
        <v>27.504112828220499</v>
      </c>
      <c r="AL3261">
        <v>78.964474857833594</v>
      </c>
      <c r="AM3261">
        <v>98.222227189660799</v>
      </c>
      <c r="AN3261">
        <v>1.00000001228624</v>
      </c>
    </row>
    <row r="3262" spans="1:40" x14ac:dyDescent="0.25">
      <c r="A3262" t="str">
        <f>"20190304155120068"</f>
        <v>20190304155120068</v>
      </c>
      <c r="B3262" t="str">
        <f>"1551685880060129"</f>
        <v>1551685880060129</v>
      </c>
      <c r="C3262" t="s">
        <v>40</v>
      </c>
      <c r="D3262">
        <v>4.9213940000000003</v>
      </c>
      <c r="E3262">
        <v>0.51100409999999996</v>
      </c>
      <c r="F3262" t="s">
        <v>72</v>
      </c>
      <c r="G3262">
        <v>-439.46190000000001</v>
      </c>
      <c r="H3262" s="1">
        <v>6.4344069999999997E-6</v>
      </c>
      <c r="I3262">
        <v>214.37110000000001</v>
      </c>
      <c r="J3262">
        <v>-467.8254</v>
      </c>
      <c r="K3262">
        <v>1.110552</v>
      </c>
      <c r="L3262">
        <v>215.34469999999999</v>
      </c>
      <c r="M3262">
        <v>0.98913280000000003</v>
      </c>
      <c r="N3262">
        <v>-1.219433E-2</v>
      </c>
      <c r="O3262">
        <v>-0.1465186</v>
      </c>
      <c r="P3262">
        <v>0.9836722</v>
      </c>
      <c r="Q3262">
        <v>0.17993129999999999</v>
      </c>
      <c r="R3262">
        <v>-3.694733E-3</v>
      </c>
      <c r="S3262">
        <v>3.0709230000000001</v>
      </c>
      <c r="T3262">
        <v>-0.11924559999999999</v>
      </c>
      <c r="U3262">
        <v>-0.10827639999999999</v>
      </c>
      <c r="V3262">
        <v>-0.14050389999999999</v>
      </c>
      <c r="W3262">
        <v>0.19177469999999999</v>
      </c>
      <c r="X3262">
        <v>0.97132960000000002</v>
      </c>
      <c r="Y3262">
        <v>-0.11142100000000001</v>
      </c>
      <c r="Z3262">
        <v>6.7163600000000002E-3</v>
      </c>
      <c r="AA3262">
        <v>0.99375060000000004</v>
      </c>
      <c r="AB3262">
        <v>23</v>
      </c>
      <c r="AC3262">
        <v>28.363499999999899</v>
      </c>
      <c r="AD3262">
        <v>-1.1105455655930001</v>
      </c>
      <c r="AE3262">
        <v>-0.97359999999997604</v>
      </c>
      <c r="AF3262">
        <v>-3.18811611821158</v>
      </c>
      <c r="AG3262">
        <v>-1.1105455655930001</v>
      </c>
      <c r="AH3262">
        <v>28.1568992583118</v>
      </c>
      <c r="AI3262">
        <v>92.244325200469405</v>
      </c>
      <c r="AJ3262">
        <v>96.459906563087699</v>
      </c>
      <c r="AK3262">
        <v>28.358567870736699</v>
      </c>
      <c r="AL3262">
        <v>78.943628601989502</v>
      </c>
      <c r="AM3262">
        <v>98.2308076903699</v>
      </c>
      <c r="AN3262">
        <v>1.00000003665572</v>
      </c>
    </row>
    <row r="3263" spans="1:40" x14ac:dyDescent="0.25">
      <c r="A3263" t="str">
        <f>"20190304155120091"</f>
        <v>20190304155120091</v>
      </c>
      <c r="B3263" t="str">
        <f>"1551685880079652"</f>
        <v>1551685880079652</v>
      </c>
      <c r="C3263" t="s">
        <v>40</v>
      </c>
      <c r="D3263">
        <v>4.9458460000000004</v>
      </c>
      <c r="E3263">
        <v>0.51091660000000005</v>
      </c>
      <c r="F3263" t="s">
        <v>72</v>
      </c>
      <c r="G3263">
        <v>-438.97469999999998</v>
      </c>
      <c r="H3263" s="1">
        <v>6.2214189999999997E-6</v>
      </c>
      <c r="I3263">
        <v>214.33600000000001</v>
      </c>
      <c r="J3263">
        <v>-467.60109999999997</v>
      </c>
      <c r="K3263">
        <v>1.1106259999999999</v>
      </c>
      <c r="L3263">
        <v>215.3117</v>
      </c>
      <c r="M3263">
        <v>0.98916959999999998</v>
      </c>
      <c r="N3263">
        <v>-1.21633E-2</v>
      </c>
      <c r="O3263">
        <v>-0.14627329999999999</v>
      </c>
      <c r="P3263">
        <v>0.98382849999999999</v>
      </c>
      <c r="Q3263">
        <v>0.17907129999999999</v>
      </c>
      <c r="R3263">
        <v>-3.9728209999999996E-3</v>
      </c>
      <c r="S3263">
        <v>3.0710139999999999</v>
      </c>
      <c r="T3263">
        <v>-0.11821230000000001</v>
      </c>
      <c r="U3263">
        <v>-0.1073761</v>
      </c>
      <c r="V3263">
        <v>-0.14004659999999999</v>
      </c>
      <c r="W3263">
        <v>0.19086020000000001</v>
      </c>
      <c r="X3263">
        <v>0.97157570000000004</v>
      </c>
      <c r="Y3263">
        <v>-0.1114695</v>
      </c>
      <c r="Z3263">
        <v>6.6461180000000003E-3</v>
      </c>
      <c r="AA3263">
        <v>0.99374560000000001</v>
      </c>
      <c r="AB3263">
        <v>23</v>
      </c>
      <c r="AC3263">
        <v>28.626399999999901</v>
      </c>
      <c r="AD3263">
        <v>-1.1106197785809999</v>
      </c>
      <c r="AE3263">
        <v>-0.975700000000017</v>
      </c>
      <c r="AF3263">
        <v>-3.2175456111815701</v>
      </c>
      <c r="AG3263">
        <v>-1.1106197785809999</v>
      </c>
      <c r="AH3263">
        <v>28.418458217074399</v>
      </c>
      <c r="AI3263">
        <v>92.223839697690707</v>
      </c>
      <c r="AJ3263">
        <v>96.459536314808204</v>
      </c>
      <c r="AK3263">
        <v>28.6215800313018</v>
      </c>
      <c r="AL3263">
        <v>78.997011303516899</v>
      </c>
      <c r="AM3263">
        <v>98.202334154658104</v>
      </c>
      <c r="AN3263">
        <v>1.0000000034730401</v>
      </c>
    </row>
    <row r="3264" spans="1:40" x14ac:dyDescent="0.25">
      <c r="A3264" t="str">
        <f>"20190304155120114"</f>
        <v>20190304155120114</v>
      </c>
      <c r="B3264" t="str">
        <f>"1551685880109904"</f>
        <v>1551685880109904</v>
      </c>
      <c r="C3264" t="s">
        <v>40</v>
      </c>
      <c r="D3264">
        <v>4.9037459999999999</v>
      </c>
      <c r="E3264">
        <v>0.5106579</v>
      </c>
      <c r="F3264" t="s">
        <v>72</v>
      </c>
      <c r="G3264">
        <v>-439.54689999999999</v>
      </c>
      <c r="H3264" s="1">
        <v>6.47551799999999E-6</v>
      </c>
      <c r="I3264">
        <v>214.33189999999999</v>
      </c>
      <c r="J3264">
        <v>-467.37540000000001</v>
      </c>
      <c r="K3264">
        <v>1.1107039999999999</v>
      </c>
      <c r="L3264">
        <v>215.27860000000001</v>
      </c>
      <c r="M3264">
        <v>0.98922080000000001</v>
      </c>
      <c r="N3264">
        <v>-1.2135770000000001E-2</v>
      </c>
      <c r="O3264">
        <v>-0.14592820000000001</v>
      </c>
      <c r="P3264">
        <v>0.98398459999999999</v>
      </c>
      <c r="Q3264">
        <v>0.17820759999999999</v>
      </c>
      <c r="R3264">
        <v>-4.0672720000000002E-3</v>
      </c>
      <c r="S3264">
        <v>3.0710449999999998</v>
      </c>
      <c r="T3264">
        <v>-0.12157759999999999</v>
      </c>
      <c r="U3264">
        <v>-0.107254</v>
      </c>
      <c r="V3264">
        <v>-0.13967679999999999</v>
      </c>
      <c r="W3264">
        <v>0.1899431</v>
      </c>
      <c r="X3264">
        <v>0.97180860000000002</v>
      </c>
      <c r="Y3264">
        <v>-0.1111531</v>
      </c>
      <c r="Z3264">
        <v>6.8516310000000004E-3</v>
      </c>
      <c r="AA3264">
        <v>0.99377969999999904</v>
      </c>
      <c r="AB3264">
        <v>23</v>
      </c>
      <c r="AC3264">
        <v>27.828499999999998</v>
      </c>
      <c r="AD3264">
        <v>-1.1106975244820001</v>
      </c>
      <c r="AE3264">
        <v>-0.94670000000002097</v>
      </c>
      <c r="AF3264">
        <v>-3.1197335728135198</v>
      </c>
      <c r="AG3264">
        <v>-1.1106975244820001</v>
      </c>
      <c r="AH3264">
        <v>27.6247623314114</v>
      </c>
      <c r="AI3264">
        <v>92.287900010380298</v>
      </c>
      <c r="AJ3264">
        <v>96.443256476638496</v>
      </c>
      <c r="AK3264">
        <v>27.822542666391801</v>
      </c>
      <c r="AL3264">
        <v>79.050536094091996</v>
      </c>
      <c r="AM3264">
        <v>98.179034953386093</v>
      </c>
      <c r="AN3264">
        <v>0.99999997236490401</v>
      </c>
    </row>
    <row r="3265" spans="1:40" x14ac:dyDescent="0.25">
      <c r="A3265" t="str">
        <f>"20190304155120136"</f>
        <v>20190304155120136</v>
      </c>
      <c r="B3265" t="str">
        <f>"1551685880129933"</f>
        <v>1551685880129933</v>
      </c>
      <c r="C3265" t="s">
        <v>40</v>
      </c>
      <c r="D3265">
        <v>4.9269040000000004</v>
      </c>
      <c r="E3265">
        <v>0.51052109999999995</v>
      </c>
      <c r="F3265" t="s">
        <v>70</v>
      </c>
      <c r="G3265">
        <v>-440.56029999999998</v>
      </c>
      <c r="H3265" s="1">
        <v>-1.2276319999999999E-6</v>
      </c>
      <c r="I3265">
        <v>214.36500000000001</v>
      </c>
      <c r="J3265">
        <v>-467.14400000000001</v>
      </c>
      <c r="K3265">
        <v>1.1108070000000001</v>
      </c>
      <c r="L3265">
        <v>215.245</v>
      </c>
      <c r="M3265">
        <v>0.98929350000000005</v>
      </c>
      <c r="N3265">
        <v>-1.211126E-2</v>
      </c>
      <c r="O3265">
        <v>-0.14543739999999999</v>
      </c>
      <c r="P3265">
        <v>0.98404519999999995</v>
      </c>
      <c r="Q3265">
        <v>0.17788619999999999</v>
      </c>
      <c r="R3265">
        <v>-3.471741E-3</v>
      </c>
      <c r="S3265">
        <v>3.0714109999999999</v>
      </c>
      <c r="T3265">
        <v>-0.127220899999999</v>
      </c>
      <c r="U3265">
        <v>-0.1046448</v>
      </c>
      <c r="V3265">
        <v>-0.1398355</v>
      </c>
      <c r="W3265">
        <v>0.18956490000000001</v>
      </c>
      <c r="X3265">
        <v>0.97185960000000005</v>
      </c>
      <c r="Y3265">
        <v>-0.1114902</v>
      </c>
      <c r="Z3265">
        <v>7.2168659999999997E-3</v>
      </c>
      <c r="AA3265">
        <v>0.99373929999999999</v>
      </c>
      <c r="AB3265">
        <v>23</v>
      </c>
      <c r="AC3265">
        <v>26.5837</v>
      </c>
      <c r="AD3265">
        <v>-1.1108082276319999</v>
      </c>
      <c r="AE3265">
        <v>-0.87999999999999501</v>
      </c>
      <c r="AF3265">
        <v>-2.99068907472622</v>
      </c>
      <c r="AG3265">
        <v>-1.1108082276319999</v>
      </c>
      <c r="AH3265">
        <v>26.3829857264701</v>
      </c>
      <c r="AI3265">
        <v>92.395587792487007</v>
      </c>
      <c r="AJ3265">
        <v>96.4672558082639</v>
      </c>
      <c r="AK3265">
        <v>26.5751773635359</v>
      </c>
      <c r="AL3265">
        <v>79.072606093533494</v>
      </c>
      <c r="AM3265">
        <v>98.187778118785701</v>
      </c>
      <c r="AN3265">
        <v>0.999999950242208</v>
      </c>
    </row>
    <row r="3266" spans="1:40" x14ac:dyDescent="0.25">
      <c r="A3266" t="str">
        <f>"20190304155120159"</f>
        <v>20190304155120159</v>
      </c>
      <c r="B3266" t="str">
        <f>"1551685880149452"</f>
        <v>1551685880149452</v>
      </c>
      <c r="C3266" t="s">
        <v>40</v>
      </c>
      <c r="D3266">
        <v>4.962205</v>
      </c>
      <c r="E3266">
        <v>0.51040039999999998</v>
      </c>
      <c r="F3266" t="s">
        <v>70</v>
      </c>
      <c r="G3266">
        <v>-440.78390000000002</v>
      </c>
      <c r="H3266" s="1">
        <v>-1.1090709999999999E-6</v>
      </c>
      <c r="I3266">
        <v>214.3742</v>
      </c>
      <c r="J3266">
        <v>-466.916</v>
      </c>
      <c r="K3266">
        <v>1.1109119999999999</v>
      </c>
      <c r="L3266">
        <v>215.21209999999999</v>
      </c>
      <c r="M3266">
        <v>0.98938990000000004</v>
      </c>
      <c r="N3266">
        <v>-1.209066E-2</v>
      </c>
      <c r="O3266">
        <v>-0.1447812</v>
      </c>
      <c r="P3266">
        <v>0.98403910000000006</v>
      </c>
      <c r="Q3266">
        <v>0.17793709999999999</v>
      </c>
      <c r="R3266">
        <v>-2.386647E-3</v>
      </c>
      <c r="S3266">
        <v>3.0717159999999999</v>
      </c>
      <c r="T3266">
        <v>-0.12944130000000001</v>
      </c>
      <c r="U3266">
        <v>-0.1014709</v>
      </c>
      <c r="V3266">
        <v>-0.14031199999999999</v>
      </c>
      <c r="W3266">
        <v>0.18955830000000001</v>
      </c>
      <c r="X3266">
        <v>0.97179230000000005</v>
      </c>
      <c r="Y3266">
        <v>-0.11185290000000001</v>
      </c>
      <c r="Z3266">
        <v>7.3534859999999898E-3</v>
      </c>
      <c r="AA3266">
        <v>0.99369759999999996</v>
      </c>
      <c r="AB3266">
        <v>23</v>
      </c>
      <c r="AC3266">
        <v>26.132099999999902</v>
      </c>
      <c r="AD3266">
        <v>-1.110913109071</v>
      </c>
      <c r="AE3266">
        <v>-0.83789999999998999</v>
      </c>
      <c r="AF3266">
        <v>-2.9493181411992602</v>
      </c>
      <c r="AG3266">
        <v>-1.110913109071</v>
      </c>
      <c r="AH3266">
        <v>25.931229464777399</v>
      </c>
      <c r="AI3266">
        <v>92.437398498558395</v>
      </c>
      <c r="AJ3266">
        <v>96.488717941960203</v>
      </c>
      <c r="AK3266">
        <v>26.1220456126402</v>
      </c>
      <c r="AL3266">
        <v>79.072992225824393</v>
      </c>
      <c r="AM3266">
        <v>98.215859559441597</v>
      </c>
      <c r="AN3266">
        <v>1.00000004039108</v>
      </c>
    </row>
    <row r="3267" spans="1:40" x14ac:dyDescent="0.25">
      <c r="A3267" t="str">
        <f>"20190304155120180"</f>
        <v>20190304155120180</v>
      </c>
      <c r="B3267" t="str">
        <f>"1551685880169949"</f>
        <v>1551685880169949</v>
      </c>
      <c r="C3267" t="s">
        <v>40</v>
      </c>
      <c r="D3267">
        <v>4.9372889999999998</v>
      </c>
      <c r="E3267">
        <v>0.51030949999999997</v>
      </c>
      <c r="F3267" t="s">
        <v>70</v>
      </c>
      <c r="G3267">
        <v>-440.70139999999998</v>
      </c>
      <c r="H3267" s="1">
        <v>-1.1534710000000001E-6</v>
      </c>
      <c r="I3267">
        <v>214.386</v>
      </c>
      <c r="J3267">
        <v>-466.6902</v>
      </c>
      <c r="K3267">
        <v>1.1110359999999999</v>
      </c>
      <c r="L3267">
        <v>215.18</v>
      </c>
      <c r="M3267">
        <v>0.98951339999999999</v>
      </c>
      <c r="N3267">
        <v>-1.207043E-2</v>
      </c>
      <c r="O3267">
        <v>-0.1439366</v>
      </c>
      <c r="P3267">
        <v>0.98392919999999995</v>
      </c>
      <c r="Q3267">
        <v>0.1785553</v>
      </c>
      <c r="R3267">
        <v>-1.2097919999999999E-3</v>
      </c>
      <c r="S3267">
        <v>3.0719599999999998</v>
      </c>
      <c r="T3267">
        <v>-0.13018260000000001</v>
      </c>
      <c r="U3267">
        <v>-9.6817020000000004E-2</v>
      </c>
      <c r="V3267">
        <v>-0.14068729999999999</v>
      </c>
      <c r="W3267">
        <v>0.19011169999999999</v>
      </c>
      <c r="X3267">
        <v>0.97162990000000005</v>
      </c>
      <c r="Y3267">
        <v>-0.11250830000000001</v>
      </c>
      <c r="Z3267">
        <v>7.3959189999999999E-3</v>
      </c>
      <c r="AA3267">
        <v>0.99362329999999999</v>
      </c>
      <c r="AB3267">
        <v>23</v>
      </c>
      <c r="AC3267">
        <v>25.988800000000001</v>
      </c>
      <c r="AD3267">
        <v>-1.111037153471</v>
      </c>
      <c r="AE3267">
        <v>-0.79400000000001103</v>
      </c>
      <c r="AF3267">
        <v>-2.9498946108201598</v>
      </c>
      <c r="AG3267">
        <v>-1.111037153471</v>
      </c>
      <c r="AH3267">
        <v>25.785348968356001</v>
      </c>
      <c r="AI3267">
        <v>92.451261098516795</v>
      </c>
      <c r="AJ3267">
        <v>96.5263765110017</v>
      </c>
      <c r="AK3267">
        <v>25.977307466156699</v>
      </c>
      <c r="AL3267">
        <v>79.040697254683906</v>
      </c>
      <c r="AM3267">
        <v>98.238891710578898</v>
      </c>
      <c r="AN3267">
        <v>1.00000001871609</v>
      </c>
    </row>
    <row r="3268" spans="1:40" x14ac:dyDescent="0.25">
      <c r="A3268" t="str">
        <f>"20190304155120204"</f>
        <v>20190304155120204</v>
      </c>
      <c r="B3268" t="str">
        <f>"1551685880200205"</f>
        <v>1551685880200205</v>
      </c>
      <c r="C3268" t="s">
        <v>40</v>
      </c>
      <c r="D3268">
        <v>4.9846760000000003</v>
      </c>
      <c r="E3268">
        <v>0.51020429999999894</v>
      </c>
      <c r="F3268" t="s">
        <v>70</v>
      </c>
      <c r="G3268">
        <v>-440.1277</v>
      </c>
      <c r="H3268" s="1">
        <v>-1.458497E-6</v>
      </c>
      <c r="I3268">
        <v>214.3793</v>
      </c>
      <c r="J3268">
        <v>-466.45839999999998</v>
      </c>
      <c r="K3268">
        <v>1.1111799999999901</v>
      </c>
      <c r="L3268">
        <v>215.1474</v>
      </c>
      <c r="M3268">
        <v>0.98967050000000001</v>
      </c>
      <c r="N3268">
        <v>-1.2047250000000001E-2</v>
      </c>
      <c r="O3268">
        <v>-0.14285419999999999</v>
      </c>
      <c r="P3268">
        <v>0.98377510000000001</v>
      </c>
      <c r="Q3268">
        <v>0.17940680000000001</v>
      </c>
      <c r="R3268">
        <v>-2.3736800000000001E-4</v>
      </c>
      <c r="S3268">
        <v>3.072235</v>
      </c>
      <c r="T3268">
        <v>-0.12850309999999901</v>
      </c>
      <c r="U3268">
        <v>-9.2605590000000002E-2</v>
      </c>
      <c r="V3268">
        <v>-0.14063139999999999</v>
      </c>
      <c r="W3268">
        <v>0.19088920000000001</v>
      </c>
      <c r="X3268">
        <v>0.9714855</v>
      </c>
      <c r="Y3268">
        <v>-0.1127905</v>
      </c>
      <c r="Z3268">
        <v>7.2643859999999899E-3</v>
      </c>
      <c r="AA3268">
        <v>0.99359229999999998</v>
      </c>
      <c r="AB3268">
        <v>23</v>
      </c>
      <c r="AC3268">
        <v>26.330699999999901</v>
      </c>
      <c r="AD3268">
        <v>-1.1111814584969999</v>
      </c>
      <c r="AE3268">
        <v>-0.768100000000004</v>
      </c>
      <c r="AF3268">
        <v>-2.9961713443075002</v>
      </c>
      <c r="AG3268">
        <v>-1.1111814584969999</v>
      </c>
      <c r="AH3268">
        <v>26.1238554685672</v>
      </c>
      <c r="AI3268">
        <v>92.419771152493695</v>
      </c>
      <c r="AJ3268">
        <v>96.5427229894878</v>
      </c>
      <c r="AK3268">
        <v>26.3185788275268</v>
      </c>
      <c r="AL3268">
        <v>78.995318309979695</v>
      </c>
      <c r="AM3268">
        <v>98.236870363203906</v>
      </c>
      <c r="AN3268">
        <v>0.99999997702642396</v>
      </c>
    </row>
    <row r="3269" spans="1:40" x14ac:dyDescent="0.25">
      <c r="A3269" t="str">
        <f>"20190304155120225"</f>
        <v>20190304155120225</v>
      </c>
      <c r="B3269" t="str">
        <f>"1551685880219725"</f>
        <v>1551685880219725</v>
      </c>
      <c r="C3269" t="s">
        <v>40</v>
      </c>
      <c r="D3269">
        <v>5.0722589999999999</v>
      </c>
      <c r="E3269">
        <v>0.51017679999999999</v>
      </c>
      <c r="F3269" t="s">
        <v>72</v>
      </c>
      <c r="G3269">
        <v>-439.4332</v>
      </c>
      <c r="H3269" s="1">
        <v>6.4212800000000001E-6</v>
      </c>
      <c r="I3269">
        <v>214.37549999999999</v>
      </c>
      <c r="J3269">
        <v>-466.24169999999998</v>
      </c>
      <c r="K3269">
        <v>1.1113230000000001</v>
      </c>
      <c r="L3269">
        <v>215.1174</v>
      </c>
      <c r="M3269">
        <v>0.98984620000000001</v>
      </c>
      <c r="N3269">
        <v>-1.20266E-2</v>
      </c>
      <c r="O3269">
        <v>-0.1416336</v>
      </c>
      <c r="P3269">
        <v>0.98383019999999999</v>
      </c>
      <c r="Q3269">
        <v>0.1791046</v>
      </c>
      <c r="R3269">
        <v>-3.2906230000000002E-4</v>
      </c>
      <c r="S3269">
        <v>3.0725099999999999</v>
      </c>
      <c r="T3269">
        <v>-0.1263301</v>
      </c>
      <c r="U3269">
        <v>-8.7753300000000006E-2</v>
      </c>
      <c r="V3269">
        <v>-0.1394157</v>
      </c>
      <c r="W3269">
        <v>0.1905222</v>
      </c>
      <c r="X3269">
        <v>0.9717327</v>
      </c>
      <c r="Y3269">
        <v>-0.1131424</v>
      </c>
      <c r="Z3269">
        <v>7.0997969999999997E-3</v>
      </c>
      <c r="AA3269">
        <v>0.99355340000000003</v>
      </c>
      <c r="AB3269">
        <v>23</v>
      </c>
      <c r="AC3269">
        <v>26.808499999999899</v>
      </c>
      <c r="AD3269">
        <v>-1.1113165787199999</v>
      </c>
      <c r="AE3269">
        <v>-0.74190000000001499</v>
      </c>
      <c r="AF3269">
        <v>-3.0575884358423999</v>
      </c>
      <c r="AG3269">
        <v>-1.1113165787199999</v>
      </c>
      <c r="AH3269">
        <v>26.5976228115331</v>
      </c>
      <c r="AI3269">
        <v>92.376936161407201</v>
      </c>
      <c r="AJ3269">
        <v>96.557776542875104</v>
      </c>
      <c r="AK3269">
        <v>26.795846894728399</v>
      </c>
      <c r="AL3269">
        <v>79.016738613517006</v>
      </c>
      <c r="AM3269">
        <v>98.164581121502906</v>
      </c>
      <c r="AN3269">
        <v>0.99999994317430796</v>
      </c>
    </row>
    <row r="3270" spans="1:40" x14ac:dyDescent="0.25">
      <c r="A3270" t="str">
        <f>"20190304155120247"</f>
        <v>20190304155120247</v>
      </c>
      <c r="B3270" t="str">
        <f>"1551685880240220"</f>
        <v>1551685880240220</v>
      </c>
      <c r="C3270" t="s">
        <v>40</v>
      </c>
      <c r="D3270">
        <v>4.9905109999999997</v>
      </c>
      <c r="E3270">
        <v>0.51018180000000002</v>
      </c>
      <c r="F3270" t="s">
        <v>72</v>
      </c>
      <c r="G3270">
        <v>-439.44639999999998</v>
      </c>
      <c r="H3270" s="1">
        <v>6.4293789999999999E-6</v>
      </c>
      <c r="I3270">
        <v>214.34960000000001</v>
      </c>
      <c r="J3270">
        <v>-466.0222</v>
      </c>
      <c r="K3270">
        <v>1.1114679999999999</v>
      </c>
      <c r="L3270">
        <v>215.08750000000001</v>
      </c>
      <c r="M3270">
        <v>0.99005180000000004</v>
      </c>
      <c r="N3270">
        <v>-1.2009219999999999E-2</v>
      </c>
      <c r="O3270">
        <v>-0.1401907</v>
      </c>
      <c r="P3270">
        <v>0.98396719999999904</v>
      </c>
      <c r="Q3270">
        <v>0.17835039999999999</v>
      </c>
      <c r="R3270" s="1">
        <v>-7.2014519999999906E-5</v>
      </c>
      <c r="S3270">
        <v>3.0725099999999999</v>
      </c>
      <c r="T3270">
        <v>-0.12743019999999999</v>
      </c>
      <c r="U3270">
        <v>-8.8043209999999997E-2</v>
      </c>
      <c r="V3270">
        <v>-0.1383374</v>
      </c>
      <c r="W3270">
        <v>0.18970619999999999</v>
      </c>
      <c r="X3270">
        <v>0.97204639999999998</v>
      </c>
      <c r="Y3270">
        <v>-0.1115993</v>
      </c>
      <c r="Z3270">
        <v>7.0889079999999997E-3</v>
      </c>
      <c r="AA3270">
        <v>0.99372799999999994</v>
      </c>
      <c r="AB3270">
        <v>23</v>
      </c>
      <c r="AC3270">
        <v>26.575800000000001</v>
      </c>
      <c r="AD3270">
        <v>-1.111461570621</v>
      </c>
      <c r="AE3270">
        <v>-0.737899999999996</v>
      </c>
      <c r="AF3270">
        <v>-2.9901104630854798</v>
      </c>
      <c r="AG3270">
        <v>-1.111461570621</v>
      </c>
      <c r="AH3270">
        <v>26.370677845411102</v>
      </c>
      <c r="AI3270">
        <v>92.398104291993604</v>
      </c>
      <c r="AJ3270">
        <v>96.469007460910504</v>
      </c>
      <c r="AK3270">
        <v>26.562920724778699</v>
      </c>
      <c r="AL3270">
        <v>79.064360480331302</v>
      </c>
      <c r="AM3270">
        <v>98.099694420816903</v>
      </c>
      <c r="AN3270">
        <v>0.99999994115507795</v>
      </c>
    </row>
    <row r="3271" spans="1:40" x14ac:dyDescent="0.25">
      <c r="A3271" t="str">
        <f>"20190304155120270"</f>
        <v>20190304155120270</v>
      </c>
      <c r="B3271" t="str">
        <f>"1551685880259740"</f>
        <v>1551685880259740</v>
      </c>
      <c r="C3271" t="s">
        <v>40</v>
      </c>
      <c r="D3271">
        <v>4.9592609999999997</v>
      </c>
      <c r="E3271">
        <v>0.51012740000000001</v>
      </c>
      <c r="F3271" t="s">
        <v>72</v>
      </c>
      <c r="G3271">
        <v>-439.55149999999998</v>
      </c>
      <c r="H3271" s="1">
        <v>6.4774570000000001E-6</v>
      </c>
      <c r="I3271">
        <v>214.33269999999999</v>
      </c>
      <c r="J3271">
        <v>-465.78890000000001</v>
      </c>
      <c r="K3271">
        <v>1.1116159999999999</v>
      </c>
      <c r="L3271">
        <v>215.0564</v>
      </c>
      <c r="M3271">
        <v>0.99030169999999995</v>
      </c>
      <c r="N3271">
        <v>-1.19937E-2</v>
      </c>
      <c r="O3271">
        <v>-0.13841679999999901</v>
      </c>
      <c r="P3271">
        <v>0.98386759999999995</v>
      </c>
      <c r="Q3271">
        <v>0.17889559999999999</v>
      </c>
      <c r="R3271">
        <v>1.159359E-3</v>
      </c>
      <c r="S3271">
        <v>3.072235</v>
      </c>
      <c r="T3271">
        <v>-0.12899820000000001</v>
      </c>
      <c r="U3271">
        <v>-8.7600709999999998E-2</v>
      </c>
      <c r="V3271">
        <v>-0.1378701</v>
      </c>
      <c r="W3271">
        <v>0.19018560000000001</v>
      </c>
      <c r="X3271">
        <v>0.97201910000000002</v>
      </c>
      <c r="Y3271">
        <v>-0.109957</v>
      </c>
      <c r="Z3271">
        <v>7.0939799999999997E-3</v>
      </c>
      <c r="AA3271">
        <v>0.99391099999999999</v>
      </c>
      <c r="AB3271">
        <v>23</v>
      </c>
      <c r="AC3271">
        <v>26.237400000000001</v>
      </c>
      <c r="AD3271">
        <v>-1.1116095225429901</v>
      </c>
      <c r="AE3271">
        <v>-0.723700000000007</v>
      </c>
      <c r="AF3271">
        <v>-2.9100050689672301</v>
      </c>
      <c r="AG3271">
        <v>-1.1116095225429901</v>
      </c>
      <c r="AH3271">
        <v>26.038280524133899</v>
      </c>
      <c r="AI3271">
        <v>92.429443657877499</v>
      </c>
      <c r="AJ3271">
        <v>96.376842250887606</v>
      </c>
      <c r="AK3271">
        <v>26.223955801623699</v>
      </c>
      <c r="AL3271">
        <v>79.0363834126142</v>
      </c>
      <c r="AM3271">
        <v>98.072918872496899</v>
      </c>
      <c r="AN3271">
        <v>0.99999992884308697</v>
      </c>
    </row>
    <row r="3272" spans="1:40" x14ac:dyDescent="0.25">
      <c r="A3272" t="str">
        <f>"20190304155120291"</f>
        <v>20190304155120291</v>
      </c>
      <c r="B3272" t="str">
        <f>"1551685880280236"</f>
        <v>1551685880280236</v>
      </c>
      <c r="C3272" t="s">
        <v>40</v>
      </c>
      <c r="D3272">
        <v>4.9712529999999999</v>
      </c>
      <c r="E3272">
        <v>0.51007440000000004</v>
      </c>
      <c r="F3272" t="s">
        <v>72</v>
      </c>
      <c r="G3272">
        <v>-438.99009999999998</v>
      </c>
      <c r="H3272" s="1">
        <v>6.2289090000000002E-6</v>
      </c>
      <c r="I3272">
        <v>214.3279</v>
      </c>
      <c r="J3272">
        <v>-465.56779999999998</v>
      </c>
      <c r="K3272">
        <v>1.111745</v>
      </c>
      <c r="L3272">
        <v>215.02760000000001</v>
      </c>
      <c r="M3272">
        <v>0.99056339999999998</v>
      </c>
      <c r="N3272">
        <v>-1.197522E-2</v>
      </c>
      <c r="O3272">
        <v>-0.13653170000000001</v>
      </c>
      <c r="P3272">
        <v>0.9836878</v>
      </c>
      <c r="Q3272">
        <v>0.179863299999999</v>
      </c>
      <c r="R3272">
        <v>2.8108930000000001E-3</v>
      </c>
      <c r="S3272">
        <v>3.0725099999999999</v>
      </c>
      <c r="T3272">
        <v>-0.127447</v>
      </c>
      <c r="U3272">
        <v>-8.3526610000000001E-2</v>
      </c>
      <c r="V3272">
        <v>-0.13769020000000001</v>
      </c>
      <c r="W3272">
        <v>0.19109090000000001</v>
      </c>
      <c r="X3272">
        <v>0.97186709999999998</v>
      </c>
      <c r="Y3272">
        <v>-0.1093908</v>
      </c>
      <c r="Z3272">
        <v>6.9278810000000003E-3</v>
      </c>
      <c r="AA3272">
        <v>0.99397469999999999</v>
      </c>
      <c r="AB3272">
        <v>23</v>
      </c>
      <c r="AC3272">
        <v>26.5777</v>
      </c>
      <c r="AD3272">
        <v>-1.1117387710910001</v>
      </c>
      <c r="AE3272">
        <v>-0.69970000000000698</v>
      </c>
      <c r="AF3272">
        <v>-2.93068727453067</v>
      </c>
      <c r="AG3272">
        <v>-1.1117387710910001</v>
      </c>
      <c r="AH3272">
        <v>26.378198033858201</v>
      </c>
      <c r="AI3272">
        <v>92.398625410604595</v>
      </c>
      <c r="AJ3272">
        <v>96.3397119505197</v>
      </c>
      <c r="AK3272">
        <v>26.5637765106862</v>
      </c>
      <c r="AL3272">
        <v>78.983545191180298</v>
      </c>
      <c r="AM3272">
        <v>98.063767904274997</v>
      </c>
      <c r="AN3272">
        <v>0.99999999165063003</v>
      </c>
    </row>
    <row r="3273" spans="1:40" x14ac:dyDescent="0.25">
      <c r="A3273" t="str">
        <f>"20190304155120313"</f>
        <v>20190304155120313</v>
      </c>
      <c r="B3273" t="str">
        <f>"1551685880309517"</f>
        <v>1551685880309517</v>
      </c>
      <c r="C3273" t="s">
        <v>40</v>
      </c>
      <c r="D3273">
        <v>4.974926</v>
      </c>
      <c r="E3273">
        <v>0.51002409999999998</v>
      </c>
      <c r="F3273" t="s">
        <v>72</v>
      </c>
      <c r="G3273">
        <v>-438.15289999999999</v>
      </c>
      <c r="H3273" s="1">
        <v>5.8579299999999998E-6</v>
      </c>
      <c r="I3273">
        <v>214.32509999999999</v>
      </c>
      <c r="J3273">
        <v>-465.34410000000003</v>
      </c>
      <c r="K3273">
        <v>1.1118479999999999</v>
      </c>
      <c r="L3273">
        <v>214.9991</v>
      </c>
      <c r="M3273">
        <v>0.99084589999999995</v>
      </c>
      <c r="N3273">
        <v>-1.195358E-2</v>
      </c>
      <c r="O3273">
        <v>-0.1344688</v>
      </c>
      <c r="P3273">
        <v>0.98358979999999996</v>
      </c>
      <c r="Q3273">
        <v>0.18034900000000001</v>
      </c>
      <c r="R3273">
        <v>5.0937020000000003E-3</v>
      </c>
      <c r="S3273">
        <v>3.0727540000000002</v>
      </c>
      <c r="T3273">
        <v>-0.1246076</v>
      </c>
      <c r="U3273">
        <v>-7.8735349999999996E-2</v>
      </c>
      <c r="V3273">
        <v>-0.13796020000000001</v>
      </c>
      <c r="W3273">
        <v>0.19151779999999999</v>
      </c>
      <c r="X3273">
        <v>0.97174479999999996</v>
      </c>
      <c r="Y3273">
        <v>-0.1088816</v>
      </c>
      <c r="Z3273">
        <v>6.681724E-3</v>
      </c>
      <c r="AA3273">
        <v>0.99403229999999998</v>
      </c>
      <c r="AB3273">
        <v>23</v>
      </c>
      <c r="AC3273">
        <v>27.191199999999998</v>
      </c>
      <c r="AD3273">
        <v>-1.11184214207</v>
      </c>
      <c r="AE3273">
        <v>-0.67400000000000604</v>
      </c>
      <c r="AF3273">
        <v>-2.9837652057555801</v>
      </c>
      <c r="AG3273">
        <v>-1.11184214207</v>
      </c>
      <c r="AH3273">
        <v>26.989749457927399</v>
      </c>
      <c r="AI3273">
        <v>92.344696102527806</v>
      </c>
      <c r="AJ3273">
        <v>96.308534072482203</v>
      </c>
      <c r="AK3273">
        <v>27.176931827446101</v>
      </c>
      <c r="AL3273">
        <v>78.958625694108406</v>
      </c>
      <c r="AM3273">
        <v>98.080375168409404</v>
      </c>
      <c r="AN3273">
        <v>1.0000000204139501</v>
      </c>
    </row>
    <row r="3274" spans="1:40" x14ac:dyDescent="0.25">
      <c r="A3274" t="str">
        <f>"20190304155120337"</f>
        <v>20190304155120337</v>
      </c>
      <c r="B3274" t="str">
        <f>"1551685880330012"</f>
        <v>1551685880330012</v>
      </c>
      <c r="C3274" t="s">
        <v>40</v>
      </c>
      <c r="D3274">
        <v>4.9575370000000003</v>
      </c>
      <c r="E3274">
        <v>0.50994519999999999</v>
      </c>
      <c r="F3274" t="s">
        <v>72</v>
      </c>
      <c r="G3274">
        <v>-437.73070000000001</v>
      </c>
      <c r="H3274" s="1">
        <v>5.6675039999999996E-6</v>
      </c>
      <c r="I3274">
        <v>214.3614</v>
      </c>
      <c r="J3274">
        <v>-465.1028</v>
      </c>
      <c r="K3274">
        <v>1.111928</v>
      </c>
      <c r="L3274">
        <v>214.9691</v>
      </c>
      <c r="M3274">
        <v>0.99116479999999996</v>
      </c>
      <c r="N3274">
        <v>-1.1931789999999999E-2</v>
      </c>
      <c r="O3274">
        <v>-0.13209949999999901</v>
      </c>
      <c r="P3274">
        <v>0.98361089999999995</v>
      </c>
      <c r="Q3274">
        <v>0.1801343</v>
      </c>
      <c r="R3274">
        <v>7.8513639999999996E-3</v>
      </c>
      <c r="S3274">
        <v>3.0730900000000001</v>
      </c>
      <c r="T3274">
        <v>-0.12373670000000001</v>
      </c>
      <c r="U3274">
        <v>-7.0968630000000005E-2</v>
      </c>
      <c r="V3274">
        <v>-0.1384078</v>
      </c>
      <c r="W3274">
        <v>0.19125149999999999</v>
      </c>
      <c r="X3274">
        <v>0.97173359999999998</v>
      </c>
      <c r="Y3274">
        <v>-0.1090219</v>
      </c>
      <c r="Z3274">
        <v>6.5672380000000004E-3</v>
      </c>
      <c r="AA3274">
        <v>0.9940177</v>
      </c>
      <c r="AB3274">
        <v>23</v>
      </c>
      <c r="AC3274">
        <v>27.3720999999999</v>
      </c>
      <c r="AD3274">
        <v>-1.1119223324959999</v>
      </c>
      <c r="AE3274">
        <v>-0.60769999999999402</v>
      </c>
      <c r="AF3274">
        <v>-3.0087613821942498</v>
      </c>
      <c r="AG3274">
        <v>-1.1119223324959999</v>
      </c>
      <c r="AH3274">
        <v>27.167662291424499</v>
      </c>
      <c r="AI3274">
        <v>92.3294763006068</v>
      </c>
      <c r="AJ3274">
        <v>96.3196339069776</v>
      </c>
      <c r="AK3274">
        <v>27.3563683757435</v>
      </c>
      <c r="AL3274">
        <v>78.974170933256104</v>
      </c>
      <c r="AM3274">
        <v>98.106335548049103</v>
      </c>
      <c r="AN3274">
        <v>1.0000000223610199</v>
      </c>
    </row>
    <row r="3275" spans="1:40" x14ac:dyDescent="0.25">
      <c r="A3275" t="str">
        <f>"20190304155120362"</f>
        <v>20190304155120362</v>
      </c>
      <c r="B3275" t="str">
        <f>"1551685880349533"</f>
        <v>1551685880349533</v>
      </c>
      <c r="C3275" t="s">
        <v>40</v>
      </c>
      <c r="D3275">
        <v>4.9525560000000004</v>
      </c>
      <c r="E3275">
        <v>0.50989859999999998</v>
      </c>
      <c r="F3275" t="s">
        <v>72</v>
      </c>
      <c r="G3275">
        <v>-437.64429999999999</v>
      </c>
      <c r="H3275" s="1">
        <v>5.6244330000000002E-6</v>
      </c>
      <c r="I3275">
        <v>214.416</v>
      </c>
      <c r="J3275">
        <v>-464.85789999999997</v>
      </c>
      <c r="K3275">
        <v>1.1119969999999999</v>
      </c>
      <c r="L3275">
        <v>214.9393</v>
      </c>
      <c r="M3275">
        <v>0.9915001</v>
      </c>
      <c r="N3275">
        <v>-1.191306E-2</v>
      </c>
      <c r="O3275">
        <v>-0.12956029999999999</v>
      </c>
      <c r="P3275">
        <v>0.98359529999999995</v>
      </c>
      <c r="Q3275">
        <v>0.18008579999999999</v>
      </c>
      <c r="R3275">
        <v>1.0495910000000001E-2</v>
      </c>
      <c r="S3275">
        <v>3.073242</v>
      </c>
      <c r="T3275">
        <v>-0.12444959999999999</v>
      </c>
      <c r="U3275">
        <v>-6.190491E-2</v>
      </c>
      <c r="V3275">
        <v>-0.13856499999999999</v>
      </c>
      <c r="W3275">
        <v>0.19116069999999999</v>
      </c>
      <c r="X3275">
        <v>0.97172899999999995</v>
      </c>
      <c r="Y3275">
        <v>-0.10940560000000001</v>
      </c>
      <c r="Z3275">
        <v>6.5504639999999998E-3</v>
      </c>
      <c r="AA3275">
        <v>0.99397559999999996</v>
      </c>
      <c r="AB3275">
        <v>23</v>
      </c>
      <c r="AC3275">
        <v>27.2135999999999</v>
      </c>
      <c r="AD3275">
        <v>-1.1119913755669999</v>
      </c>
      <c r="AE3275">
        <v>-0.52330000000000598</v>
      </c>
      <c r="AF3275">
        <v>-3.00215245989751</v>
      </c>
      <c r="AG3275">
        <v>-1.1119913755669999</v>
      </c>
      <c r="AH3275">
        <v>27.006926455034201</v>
      </c>
      <c r="AI3275">
        <v>92.343364140635401</v>
      </c>
      <c r="AJ3275">
        <v>96.343089706386095</v>
      </c>
      <c r="AK3275">
        <v>27.196020311057101</v>
      </c>
      <c r="AL3275">
        <v>78.979470494634896</v>
      </c>
      <c r="AM3275">
        <v>98.115457840019403</v>
      </c>
      <c r="AN3275">
        <v>0.99999996094524402</v>
      </c>
    </row>
    <row r="3276" spans="1:40" x14ac:dyDescent="0.25">
      <c r="A3276" t="str">
        <f>"20190304155120382"</f>
        <v>20190304155120382</v>
      </c>
      <c r="B3276" t="str">
        <f>"1551685880379789"</f>
        <v>1551685880379789</v>
      </c>
      <c r="C3276" t="s">
        <v>40</v>
      </c>
      <c r="D3276">
        <v>4.9517089999999904</v>
      </c>
      <c r="E3276">
        <v>0.50985649999999905</v>
      </c>
      <c r="F3276" t="s">
        <v>72</v>
      </c>
      <c r="G3276">
        <v>-437.50810000000001</v>
      </c>
      <c r="H3276" s="1">
        <v>5.5601359999999996E-6</v>
      </c>
      <c r="I3276">
        <v>214.46039999999999</v>
      </c>
      <c r="J3276">
        <v>-464.65120000000002</v>
      </c>
      <c r="K3276">
        <v>1.112045</v>
      </c>
      <c r="L3276">
        <v>214.91480000000001</v>
      </c>
      <c r="M3276">
        <v>0.99178909999999998</v>
      </c>
      <c r="N3276">
        <v>-1.189929E-2</v>
      </c>
      <c r="O3276">
        <v>-0.12733050000000001</v>
      </c>
      <c r="P3276">
        <v>0.98351639999999996</v>
      </c>
      <c r="Q3276">
        <v>0.1803942</v>
      </c>
      <c r="R3276">
        <v>1.2399830000000001E-2</v>
      </c>
      <c r="S3276">
        <v>3.0734859999999999</v>
      </c>
      <c r="T3276">
        <v>-0.12496210000000001</v>
      </c>
      <c r="U3276">
        <v>-5.3817749999999998E-2</v>
      </c>
      <c r="V3276">
        <v>-0.1382765</v>
      </c>
      <c r="W3276">
        <v>0.1914401</v>
      </c>
      <c r="X3276">
        <v>0.9717152</v>
      </c>
      <c r="Y3276">
        <v>-0.1097856</v>
      </c>
      <c r="Z3276">
        <v>6.5286600000000004E-3</v>
      </c>
      <c r="AA3276">
        <v>0.99393390000000004</v>
      </c>
      <c r="AB3276">
        <v>23</v>
      </c>
      <c r="AC3276">
        <v>27.1431</v>
      </c>
      <c r="AD3276">
        <v>-1.1120394398639999</v>
      </c>
      <c r="AE3276">
        <v>-0.45440000000002101</v>
      </c>
      <c r="AF3276">
        <v>-3.0006527381604999</v>
      </c>
      <c r="AG3276">
        <v>-1.1120394398639999</v>
      </c>
      <c r="AH3276">
        <v>26.934798831631898</v>
      </c>
      <c r="AI3276">
        <v>92.349671330062804</v>
      </c>
      <c r="AJ3276">
        <v>96.356785528442998</v>
      </c>
      <c r="AK3276">
        <v>27.1242315406598</v>
      </c>
      <c r="AL3276">
        <v>78.963162014279405</v>
      </c>
      <c r="AM3276">
        <v>98.098898894652095</v>
      </c>
      <c r="AN3276">
        <v>1.0000000661256401</v>
      </c>
    </row>
    <row r="3277" spans="1:40" x14ac:dyDescent="0.25">
      <c r="A3277" t="str">
        <f>"20190304155120404"</f>
        <v>20190304155120404</v>
      </c>
      <c r="B3277" t="str">
        <f>"1551685880399309"</f>
        <v>1551685880399309</v>
      </c>
      <c r="C3277" t="s">
        <v>40</v>
      </c>
      <c r="D3277">
        <v>4.9603029999999997</v>
      </c>
      <c r="E3277">
        <v>0.50991189999999997</v>
      </c>
      <c r="F3277" t="s">
        <v>72</v>
      </c>
      <c r="G3277">
        <v>-437.16520000000003</v>
      </c>
      <c r="H3277" s="1">
        <v>5.4054499999999899E-6</v>
      </c>
      <c r="I3277">
        <v>214.49029999999999</v>
      </c>
      <c r="J3277">
        <v>-464.42610000000002</v>
      </c>
      <c r="K3277">
        <v>1.112093</v>
      </c>
      <c r="L3277">
        <v>214.8887</v>
      </c>
      <c r="M3277">
        <v>0.99210659999999895</v>
      </c>
      <c r="N3277">
        <v>-1.188182E-2</v>
      </c>
      <c r="O3277">
        <v>-0.1248346</v>
      </c>
      <c r="P3277">
        <v>0.98318110000000003</v>
      </c>
      <c r="Q3277">
        <v>0.1820599</v>
      </c>
      <c r="R3277">
        <v>1.446417E-2</v>
      </c>
      <c r="S3277">
        <v>3.0737000000000001</v>
      </c>
      <c r="T3277">
        <v>-0.12435649999999999</v>
      </c>
      <c r="U3277">
        <v>-4.747009E-2</v>
      </c>
      <c r="V3277">
        <v>-0.13785999999999901</v>
      </c>
      <c r="W3277">
        <v>0.19307179999999999</v>
      </c>
      <c r="X3277">
        <v>0.97145150000000002</v>
      </c>
      <c r="Y3277">
        <v>-0.1093411</v>
      </c>
      <c r="Z3277">
        <v>6.4118530000000003E-3</v>
      </c>
      <c r="AA3277">
        <v>0.99398359999999997</v>
      </c>
      <c r="AB3277">
        <v>23</v>
      </c>
      <c r="AC3277">
        <v>27.2608999999999</v>
      </c>
      <c r="AD3277">
        <v>-1.1120875945499999</v>
      </c>
      <c r="AE3277">
        <v>-0.39840000000000902</v>
      </c>
      <c r="AF3277">
        <v>-3.00306353775188</v>
      </c>
      <c r="AG3277">
        <v>-1.1120875945499999</v>
      </c>
      <c r="AH3277">
        <v>27.052350777106</v>
      </c>
      <c r="AI3277">
        <v>92.339675144769302</v>
      </c>
      <c r="AJ3277">
        <v>96.334431595730706</v>
      </c>
      <c r="AK3277">
        <v>27.241233672455301</v>
      </c>
      <c r="AL3277">
        <v>78.867895177324698</v>
      </c>
      <c r="AM3277">
        <v>98.076989553410201</v>
      </c>
      <c r="AN3277">
        <v>1.00000005820374</v>
      </c>
    </row>
    <row r="3278" spans="1:40" x14ac:dyDescent="0.25">
      <c r="A3278" t="str">
        <f>"20190304155120425"</f>
        <v>20190304155120425</v>
      </c>
      <c r="B3278" t="str">
        <f>"1551685880419805"</f>
        <v>1551685880419805</v>
      </c>
      <c r="C3278" t="s">
        <v>40</v>
      </c>
      <c r="D3278">
        <v>4.9360600000000003</v>
      </c>
      <c r="E3278">
        <v>0.50989090000000004</v>
      </c>
      <c r="F3278" t="s">
        <v>72</v>
      </c>
      <c r="G3278">
        <v>-435.7079</v>
      </c>
      <c r="H3278" s="1">
        <v>4.7584930000000003E-6</v>
      </c>
      <c r="I3278">
        <v>214.49860000000001</v>
      </c>
      <c r="J3278">
        <v>-464.2115</v>
      </c>
      <c r="K3278">
        <v>1.1121289999999999</v>
      </c>
      <c r="L3278">
        <v>214.86449999999999</v>
      </c>
      <c r="M3278">
        <v>0.99240870000000003</v>
      </c>
      <c r="N3278">
        <v>-1.1861109999999999E-2</v>
      </c>
      <c r="O3278">
        <v>-0.1224104</v>
      </c>
      <c r="P3278">
        <v>0.98297599999999996</v>
      </c>
      <c r="Q3278">
        <v>0.18298590000000001</v>
      </c>
      <c r="R3278">
        <v>1.6566049999999999E-2</v>
      </c>
      <c r="S3278">
        <v>3.073944</v>
      </c>
      <c r="T3278">
        <v>-0.119036</v>
      </c>
      <c r="U3278">
        <v>-4.1763309999999998E-2</v>
      </c>
      <c r="V3278">
        <v>-0.1375615</v>
      </c>
      <c r="W3278">
        <v>0.19396579999999999</v>
      </c>
      <c r="X3278">
        <v>0.97131559999999995</v>
      </c>
      <c r="Y3278">
        <v>-0.1087748</v>
      </c>
      <c r="Z3278">
        <v>6.0244290000000004E-3</v>
      </c>
      <c r="AA3278">
        <v>0.99404820000000005</v>
      </c>
      <c r="AB3278">
        <v>23</v>
      </c>
      <c r="AC3278">
        <v>28.503599999999999</v>
      </c>
      <c r="AD3278">
        <v>-1.1121242415070001</v>
      </c>
      <c r="AE3278">
        <v>-0.36589999999998202</v>
      </c>
      <c r="AF3278">
        <v>-3.1214834922129899</v>
      </c>
      <c r="AG3278">
        <v>-1.1121242415070001</v>
      </c>
      <c r="AH3278">
        <v>28.2909425801871</v>
      </c>
      <c r="AI3278">
        <v>92.2375878870901</v>
      </c>
      <c r="AJ3278">
        <v>96.2962671000505</v>
      </c>
      <c r="AK3278">
        <v>28.484345026630798</v>
      </c>
      <c r="AL3278">
        <v>78.815684547993698</v>
      </c>
      <c r="AM3278">
        <v>98.060843814761299</v>
      </c>
      <c r="AN3278">
        <v>0.99999994632762301</v>
      </c>
    </row>
    <row r="3279" spans="1:40" x14ac:dyDescent="0.25">
      <c r="A3279" t="str">
        <f>"20190304155120448"</f>
        <v>20190304155120448</v>
      </c>
      <c r="B3279" t="str">
        <f>"1551685880440301"</f>
        <v>1551685880440301</v>
      </c>
      <c r="C3279" t="s">
        <v>40</v>
      </c>
      <c r="D3279">
        <v>4.9369829999999997</v>
      </c>
      <c r="E3279">
        <v>0.50989149999999905</v>
      </c>
      <c r="F3279" t="s">
        <v>72</v>
      </c>
      <c r="G3279">
        <v>-434.8768</v>
      </c>
      <c r="H3279" s="1">
        <v>4.3878870000000002E-6</v>
      </c>
      <c r="I3279">
        <v>214.52209999999999</v>
      </c>
      <c r="J3279">
        <v>-463.9787</v>
      </c>
      <c r="K3279">
        <v>1.11215</v>
      </c>
      <c r="L3279">
        <v>214.8389</v>
      </c>
      <c r="M3279">
        <v>0.99273339999999999</v>
      </c>
      <c r="N3279">
        <v>-1.183325E-2</v>
      </c>
      <c r="O3279">
        <v>-0.11975230000000001</v>
      </c>
      <c r="P3279">
        <v>0.98284800000000005</v>
      </c>
      <c r="Q3279">
        <v>0.1833911</v>
      </c>
      <c r="R3279">
        <v>1.9438879999999999E-2</v>
      </c>
      <c r="S3279">
        <v>3.0743100000000001</v>
      </c>
      <c r="T3279">
        <v>-0.1165518</v>
      </c>
      <c r="U3279">
        <v>-3.5888669999999998E-2</v>
      </c>
      <c r="V3279">
        <v>-0.137801799999999</v>
      </c>
      <c r="W3279">
        <v>0.1943349</v>
      </c>
      <c r="X3279">
        <v>0.97120779999999995</v>
      </c>
      <c r="Y3279">
        <v>-0.10802150000000001</v>
      </c>
      <c r="Z3279">
        <v>5.7959919999999998E-3</v>
      </c>
      <c r="AA3279">
        <v>0.99413169999999995</v>
      </c>
      <c r="AB3279">
        <v>23</v>
      </c>
      <c r="AC3279">
        <v>29.101900000000001</v>
      </c>
      <c r="AD3279">
        <v>-1.112145612113</v>
      </c>
      <c r="AE3279">
        <v>-0.31680000000000003</v>
      </c>
      <c r="AF3279">
        <v>-3.1661197871802602</v>
      </c>
      <c r="AG3279">
        <v>-1.112145612113</v>
      </c>
      <c r="AH3279">
        <v>28.888203535712002</v>
      </c>
      <c r="AI3279">
        <v>92.191588695748905</v>
      </c>
      <c r="AJ3279">
        <v>96.254599647744698</v>
      </c>
      <c r="AK3279">
        <v>29.082460107254299</v>
      </c>
      <c r="AL3279">
        <v>78.794126959541202</v>
      </c>
      <c r="AM3279">
        <v>98.075623830096703</v>
      </c>
      <c r="AN3279">
        <v>0.99999999011104501</v>
      </c>
    </row>
    <row r="3280" spans="1:40" x14ac:dyDescent="0.25">
      <c r="A3280" t="str">
        <f>"20190304155120470"</f>
        <v>20190304155120470</v>
      </c>
      <c r="B3280" t="str">
        <f>"1551685880459824"</f>
        <v>1551685880459824</v>
      </c>
      <c r="C3280" t="s">
        <v>40</v>
      </c>
      <c r="D3280">
        <v>4.9387220000000003</v>
      </c>
      <c r="E3280">
        <v>0.50991980000000003</v>
      </c>
      <c r="F3280" t="s">
        <v>72</v>
      </c>
      <c r="G3280">
        <v>-434.34390000000002</v>
      </c>
      <c r="H3280" s="1">
        <v>4.1471270000000002E-6</v>
      </c>
      <c r="I3280">
        <v>214.5729</v>
      </c>
      <c r="J3280">
        <v>-463.74740000000003</v>
      </c>
      <c r="K3280">
        <v>1.1121449999999999</v>
      </c>
      <c r="L3280">
        <v>214.8141</v>
      </c>
      <c r="M3280">
        <v>0.99305060000000001</v>
      </c>
      <c r="N3280">
        <v>-1.1803009999999999E-2</v>
      </c>
      <c r="O3280">
        <v>-0.117095</v>
      </c>
      <c r="P3280">
        <v>0.98276260000000004</v>
      </c>
      <c r="Q3280">
        <v>0.183452</v>
      </c>
      <c r="R3280">
        <v>2.2869609999999999E-2</v>
      </c>
      <c r="S3280">
        <v>3.0744929999999999</v>
      </c>
      <c r="T3280">
        <v>-0.11538080000000001</v>
      </c>
      <c r="U3280">
        <v>-2.758789E-2</v>
      </c>
      <c r="V3280">
        <v>-0.13859389999999999</v>
      </c>
      <c r="W3280">
        <v>0.19436149999999999</v>
      </c>
      <c r="X3280">
        <v>0.9710898</v>
      </c>
      <c r="Y3280">
        <v>-0.1080491</v>
      </c>
      <c r="Z3280">
        <v>5.6649459999999997E-3</v>
      </c>
      <c r="AA3280">
        <v>0.99412940000000005</v>
      </c>
      <c r="AB3280">
        <v>23</v>
      </c>
      <c r="AC3280">
        <v>29.403500000000001</v>
      </c>
      <c r="AD3280">
        <v>-1.1121408528729999</v>
      </c>
      <c r="AE3280">
        <v>-0.241199999999992</v>
      </c>
      <c r="AF3280">
        <v>-3.1991257240540798</v>
      </c>
      <c r="AG3280">
        <v>-1.1121408528729999</v>
      </c>
      <c r="AH3280">
        <v>29.187688631674099</v>
      </c>
      <c r="AI3280">
        <v>92.169112387600194</v>
      </c>
      <c r="AJ3280">
        <v>96.2549539428869</v>
      </c>
      <c r="AK3280">
        <v>29.383540125970001</v>
      </c>
      <c r="AL3280">
        <v>78.792573728070906</v>
      </c>
      <c r="AM3280">
        <v>98.122399557125703</v>
      </c>
      <c r="AN3280">
        <v>1.00000003073174</v>
      </c>
    </row>
    <row r="3281" spans="1:40" x14ac:dyDescent="0.25">
      <c r="A3281" t="str">
        <f>"20190304155120493"</f>
        <v>20190304155120493</v>
      </c>
      <c r="B3281" t="str">
        <f>"1551685880490077"</f>
        <v>1551685880490077</v>
      </c>
      <c r="C3281" t="s">
        <v>40</v>
      </c>
      <c r="D3281">
        <v>5.6448260000000001</v>
      </c>
      <c r="E3281">
        <v>0.51005979999999995</v>
      </c>
      <c r="F3281" t="s">
        <v>72</v>
      </c>
      <c r="G3281">
        <v>-434.15390000000002</v>
      </c>
      <c r="H3281" s="1">
        <v>4.0568419999999997E-6</v>
      </c>
      <c r="I3281">
        <v>214.64189999999999</v>
      </c>
      <c r="J3281">
        <v>-463.52600000000001</v>
      </c>
      <c r="K3281">
        <v>1.112125</v>
      </c>
      <c r="L3281">
        <v>214.79089999999999</v>
      </c>
      <c r="M3281">
        <v>0.99334789999999995</v>
      </c>
      <c r="N3281">
        <v>-1.177567E-2</v>
      </c>
      <c r="O3281">
        <v>-0.1145499</v>
      </c>
      <c r="P3281">
        <v>0.98274059999999996</v>
      </c>
      <c r="Q3281">
        <v>0.1831576</v>
      </c>
      <c r="R3281">
        <v>2.5969099999999998E-2</v>
      </c>
      <c r="S3281">
        <v>3.074554</v>
      </c>
      <c r="T3281">
        <v>-0.1155437</v>
      </c>
      <c r="U3281">
        <v>-1.7883300000000001E-2</v>
      </c>
      <c r="V3281">
        <v>-0.1391696</v>
      </c>
      <c r="W3281">
        <v>0.19404160000000001</v>
      </c>
      <c r="X3281">
        <v>0.97107140000000003</v>
      </c>
      <c r="Y3281">
        <v>-0.10863929999999999</v>
      </c>
      <c r="Z3281">
        <v>5.6254909999999998E-3</v>
      </c>
      <c r="AA3281">
        <v>0.99406530000000004</v>
      </c>
      <c r="AB3281">
        <v>23</v>
      </c>
      <c r="AC3281">
        <v>29.3720999999999</v>
      </c>
      <c r="AD3281">
        <v>-1.1121209431579999</v>
      </c>
      <c r="AE3281">
        <v>-0.14899999999999999</v>
      </c>
      <c r="AF3281">
        <v>-3.2121797542021402</v>
      </c>
      <c r="AG3281">
        <v>-1.1121209431579999</v>
      </c>
      <c r="AH3281">
        <v>29.154005620593502</v>
      </c>
      <c r="AI3281">
        <v>92.1714419252677</v>
      </c>
      <c r="AJ3281">
        <v>96.287471562448303</v>
      </c>
      <c r="AK3281">
        <v>29.3515068691731</v>
      </c>
      <c r="AL3281">
        <v>78.811257933250502</v>
      </c>
      <c r="AM3281">
        <v>98.155838361958303</v>
      </c>
      <c r="AN3281">
        <v>0.99999999199634004</v>
      </c>
    </row>
    <row r="3282" spans="1:40" x14ac:dyDescent="0.25">
      <c r="A3282" t="str">
        <f>"20190304155120515"</f>
        <v>20190304155120515</v>
      </c>
      <c r="B3282" t="str">
        <f>"1551685880509597"</f>
        <v>1551685880509597</v>
      </c>
      <c r="C3282" t="s">
        <v>40</v>
      </c>
      <c r="D3282">
        <v>5.2538910000000003</v>
      </c>
      <c r="E3282">
        <v>0.51019590000000004</v>
      </c>
      <c r="F3282" t="s">
        <v>72</v>
      </c>
      <c r="G3282">
        <v>-433.98910000000001</v>
      </c>
      <c r="H3282" s="1">
        <v>3.9792400000000002E-6</v>
      </c>
      <c r="I3282">
        <v>214.69329999999999</v>
      </c>
      <c r="J3282">
        <v>-463.29289999999997</v>
      </c>
      <c r="K3282">
        <v>1.1120950000000001</v>
      </c>
      <c r="L3282">
        <v>214.7672</v>
      </c>
      <c r="M3282">
        <v>0.99365239999999999</v>
      </c>
      <c r="N3282">
        <v>-1.174802E-2</v>
      </c>
      <c r="O3282">
        <v>-0.1118791</v>
      </c>
      <c r="P3282">
        <v>0.98274399999999995</v>
      </c>
      <c r="Q3282">
        <v>0.182674</v>
      </c>
      <c r="R3282">
        <v>2.906251E-2</v>
      </c>
      <c r="S3282">
        <v>3.0744929999999999</v>
      </c>
      <c r="T3282">
        <v>-0.1157604</v>
      </c>
      <c r="U3282">
        <v>-1.0162350000000001E-2</v>
      </c>
      <c r="V3282">
        <v>-0.13961579999999901</v>
      </c>
      <c r="W3282">
        <v>0.19353590000000001</v>
      </c>
      <c r="X3282">
        <v>0.97110830000000004</v>
      </c>
      <c r="Y3282">
        <v>-0.10846359999999999</v>
      </c>
      <c r="Z3282">
        <v>5.5665519999999998E-3</v>
      </c>
      <c r="AA3282">
        <v>0.99408479999999999</v>
      </c>
      <c r="AB3282">
        <v>23</v>
      </c>
      <c r="AC3282">
        <v>29.303799999999899</v>
      </c>
      <c r="AD3282">
        <v>-1.1120910207600001</v>
      </c>
      <c r="AE3282">
        <v>-7.3900000000008903E-2</v>
      </c>
      <c r="AF3282">
        <v>-3.2006633176422699</v>
      </c>
      <c r="AG3282">
        <v>-1.1120910207600001</v>
      </c>
      <c r="AH3282">
        <v>29.0861779963064</v>
      </c>
      <c r="AI3282">
        <v>92.176475141907005</v>
      </c>
      <c r="AJ3282">
        <v>96.279602403450397</v>
      </c>
      <c r="AK3282">
        <v>29.282874560810701</v>
      </c>
      <c r="AL3282">
        <v>78.840792637316795</v>
      </c>
      <c r="AM3282">
        <v>98.181327143782994</v>
      </c>
      <c r="AN3282">
        <v>1.0000000232636601</v>
      </c>
    </row>
    <row r="3283" spans="1:40" x14ac:dyDescent="0.25">
      <c r="A3283" t="str">
        <f>"20190304155120537"</f>
        <v>20190304155120537</v>
      </c>
      <c r="B3283" t="str">
        <f>"1551685880530093"</f>
        <v>1551685880530093</v>
      </c>
      <c r="C3283" t="s">
        <v>40</v>
      </c>
      <c r="D3283">
        <v>4.9338769999999998</v>
      </c>
      <c r="E3283">
        <v>0.51029599999999997</v>
      </c>
      <c r="F3283" t="s">
        <v>72</v>
      </c>
      <c r="G3283">
        <v>-433.66609999999997</v>
      </c>
      <c r="H3283" s="1">
        <v>3.8312419999999997E-6</v>
      </c>
      <c r="I3283">
        <v>214.74780000000001</v>
      </c>
      <c r="J3283">
        <v>-463.0675</v>
      </c>
      <c r="K3283">
        <v>1.1120669999999999</v>
      </c>
      <c r="L3283">
        <v>214.7448</v>
      </c>
      <c r="M3283">
        <v>0.99393790000000004</v>
      </c>
      <c r="N3283">
        <v>-1.171761E-2</v>
      </c>
      <c r="O3283">
        <v>-0.1093162</v>
      </c>
      <c r="P3283">
        <v>0.98275599999999996</v>
      </c>
      <c r="Q3283">
        <v>0.18210660000000001</v>
      </c>
      <c r="R3283">
        <v>3.2060989999999998E-2</v>
      </c>
      <c r="S3283">
        <v>3.0741879999999999</v>
      </c>
      <c r="T3283">
        <v>-0.1153946</v>
      </c>
      <c r="U3283">
        <v>-2.0141600000000001E-3</v>
      </c>
      <c r="V3283">
        <v>-0.14007559999999999</v>
      </c>
      <c r="W3283">
        <v>0.19294449999999999</v>
      </c>
      <c r="X3283">
        <v>0.97115980000000002</v>
      </c>
      <c r="Y3283">
        <v>-0.1085361</v>
      </c>
      <c r="Z3283">
        <v>5.4856459999999899E-3</v>
      </c>
      <c r="AA3283">
        <v>0.9940774</v>
      </c>
      <c r="AB3283">
        <v>23</v>
      </c>
      <c r="AC3283">
        <v>29.401399999999999</v>
      </c>
      <c r="AD3283">
        <v>-1.1120631687579901</v>
      </c>
      <c r="AE3283">
        <v>3.0000000000143202E-3</v>
      </c>
      <c r="AF3283">
        <v>-3.2126561250919399</v>
      </c>
      <c r="AG3283">
        <v>-1.1120631687579901</v>
      </c>
      <c r="AH3283">
        <v>29.183096137192599</v>
      </c>
      <c r="AI3283">
        <v>92.169188904830804</v>
      </c>
      <c r="AJ3283">
        <v>96.282178230084298</v>
      </c>
      <c r="AK3283">
        <v>29.380451732776699</v>
      </c>
      <c r="AL3283">
        <v>78.875328670179599</v>
      </c>
      <c r="AM3283">
        <v>98.207475044336604</v>
      </c>
      <c r="AN3283">
        <v>1.0000000554658199</v>
      </c>
    </row>
    <row r="3284" spans="1:40" x14ac:dyDescent="0.25">
      <c r="A3284" t="str">
        <f>"20190304155120562"</f>
        <v>20190304155120562</v>
      </c>
      <c r="B3284" t="str">
        <f>"1551685880549614"</f>
        <v>1551685880549614</v>
      </c>
      <c r="C3284" t="s">
        <v>40</v>
      </c>
      <c r="D3284">
        <v>4.8935440000000003</v>
      </c>
      <c r="E3284">
        <v>0.51035180000000002</v>
      </c>
      <c r="F3284" t="s">
        <v>72</v>
      </c>
      <c r="G3284">
        <v>-433.73770000000002</v>
      </c>
      <c r="H3284" s="1">
        <v>3.8577679999999997E-6</v>
      </c>
      <c r="I3284">
        <v>214.80760000000001</v>
      </c>
      <c r="J3284">
        <v>-462.82080000000002</v>
      </c>
      <c r="K3284">
        <v>1.112036</v>
      </c>
      <c r="L3284">
        <v>214.721</v>
      </c>
      <c r="M3284">
        <v>0.99423910000000004</v>
      </c>
      <c r="N3284">
        <v>-1.168282E-2</v>
      </c>
      <c r="O3284">
        <v>-0.106547699999999</v>
      </c>
      <c r="P3284">
        <v>0.98268310000000003</v>
      </c>
      <c r="Q3284">
        <v>0.18189720000000001</v>
      </c>
      <c r="R3284">
        <v>3.5324979999999999E-2</v>
      </c>
      <c r="S3284">
        <v>3.0740660000000002</v>
      </c>
      <c r="T3284">
        <v>-0.1165557</v>
      </c>
      <c r="U3284">
        <v>6.5765379999999998E-3</v>
      </c>
      <c r="V3284">
        <v>-0.140588299999999</v>
      </c>
      <c r="W3284">
        <v>0.19270780000000001</v>
      </c>
      <c r="X3284">
        <v>0.97113260000000001</v>
      </c>
      <c r="Y3284">
        <v>-0.1085435</v>
      </c>
      <c r="Z3284">
        <v>5.4778669999999896E-3</v>
      </c>
      <c r="AA3284">
        <v>0.99407659999999998</v>
      </c>
      <c r="AB3284">
        <v>23</v>
      </c>
      <c r="AC3284">
        <v>29.083100000000002</v>
      </c>
      <c r="AD3284">
        <v>-1.1120321422319901</v>
      </c>
      <c r="AE3284">
        <v>8.6600000000032595E-2</v>
      </c>
      <c r="AF3284">
        <v>-3.1804056538772798</v>
      </c>
      <c r="AG3284">
        <v>-1.1120321422319901</v>
      </c>
      <c r="AH3284">
        <v>28.866094424839801</v>
      </c>
      <c r="AI3284">
        <v>92.192904389594801</v>
      </c>
      <c r="AJ3284">
        <v>96.287369332454006</v>
      </c>
      <c r="AK3284">
        <v>29.062054348451301</v>
      </c>
      <c r="AL3284">
        <v>78.889148739801797</v>
      </c>
      <c r="AM3284">
        <v>98.237331828384399</v>
      </c>
      <c r="AN3284">
        <v>0.99999994653024304</v>
      </c>
    </row>
    <row r="3285" spans="1:40" x14ac:dyDescent="0.25">
      <c r="A3285" t="str">
        <f>"20190304155120582"</f>
        <v>20190304155120582</v>
      </c>
      <c r="B3285" t="str">
        <f>"1551685880579869"</f>
        <v>1551685880579869</v>
      </c>
      <c r="C3285" t="s">
        <v>40</v>
      </c>
      <c r="D3285">
        <v>5.0703389999999997</v>
      </c>
      <c r="E3285">
        <v>0.51031070000000001</v>
      </c>
      <c r="F3285" t="s">
        <v>72</v>
      </c>
      <c r="G3285">
        <v>-433.68579999999997</v>
      </c>
      <c r="H3285" s="1">
        <v>3.8288109999999998E-6</v>
      </c>
      <c r="I3285">
        <v>214.8759</v>
      </c>
      <c r="J3285">
        <v>-462.60680000000002</v>
      </c>
      <c r="K3285">
        <v>1.112004</v>
      </c>
      <c r="L3285">
        <v>214.70079999999999</v>
      </c>
      <c r="M3285">
        <v>0.99448919999999996</v>
      </c>
      <c r="N3285">
        <v>-1.1655E-2</v>
      </c>
      <c r="O3285">
        <v>-0.1041908</v>
      </c>
      <c r="P3285">
        <v>0.98251869999999997</v>
      </c>
      <c r="Q3285">
        <v>0.18219279999999999</v>
      </c>
      <c r="R3285">
        <v>3.825054E-2</v>
      </c>
      <c r="S3285">
        <v>3.0740050000000001</v>
      </c>
      <c r="T3285">
        <v>-0.11732960000000001</v>
      </c>
      <c r="U3285">
        <v>1.6342160000000001E-2</v>
      </c>
      <c r="V3285">
        <v>-0.1411618</v>
      </c>
      <c r="W3285">
        <v>0.1929815</v>
      </c>
      <c r="X3285">
        <v>0.9709951</v>
      </c>
      <c r="Y3285">
        <v>-0.1093433</v>
      </c>
      <c r="Z3285">
        <v>5.4779950000000003E-3</v>
      </c>
      <c r="AA3285">
        <v>0.99398889999999995</v>
      </c>
      <c r="AB3285">
        <v>23</v>
      </c>
      <c r="AC3285">
        <v>28.920999999999999</v>
      </c>
      <c r="AD3285">
        <v>-1.112000171189</v>
      </c>
      <c r="AE3285">
        <v>0.17510000000001399</v>
      </c>
      <c r="AF3285">
        <v>-3.1829477681971898</v>
      </c>
      <c r="AG3285">
        <v>-1.112000171189</v>
      </c>
      <c r="AH3285">
        <v>28.702894087055601</v>
      </c>
      <c r="AI3285">
        <v>92.205125280109201</v>
      </c>
      <c r="AJ3285">
        <v>96.327842537041306</v>
      </c>
      <c r="AK3285">
        <v>28.900239269745299</v>
      </c>
      <c r="AL3285">
        <v>78.873167481181696</v>
      </c>
      <c r="AM3285">
        <v>98.271625326240198</v>
      </c>
      <c r="AN3285">
        <v>0.99999999867275002</v>
      </c>
    </row>
    <row r="3286" spans="1:40" x14ac:dyDescent="0.25">
      <c r="A3286" t="str">
        <f>"20190304155120604"</f>
        <v>20190304155120604</v>
      </c>
      <c r="B3286" t="str">
        <f>"1551685880599389"</f>
        <v>1551685880599389</v>
      </c>
      <c r="C3286" t="s">
        <v>40</v>
      </c>
      <c r="D3286">
        <v>4.9589919999999896</v>
      </c>
      <c r="E3286">
        <v>0.4884734</v>
      </c>
      <c r="F3286" t="s">
        <v>72</v>
      </c>
      <c r="G3286">
        <v>-433.03359999999998</v>
      </c>
      <c r="H3286" s="1">
        <v>3.5332330000000002E-6</v>
      </c>
      <c r="I3286">
        <v>214.9486</v>
      </c>
      <c r="J3286">
        <v>-462.38569999999999</v>
      </c>
      <c r="K3286">
        <v>1.1119589999999999</v>
      </c>
      <c r="L3286">
        <v>214.68049999999999</v>
      </c>
      <c r="M3286">
        <v>0.99473590000000001</v>
      </c>
      <c r="N3286">
        <v>-1.1625180000000001E-2</v>
      </c>
      <c r="O3286">
        <v>-0.1018095</v>
      </c>
      <c r="P3286">
        <v>0.98226449999999998</v>
      </c>
      <c r="Q3286">
        <v>0.18294079999999999</v>
      </c>
      <c r="R3286">
        <v>4.1094810000000002E-2</v>
      </c>
      <c r="S3286">
        <v>3.0737920000000001</v>
      </c>
      <c r="T3286">
        <v>-0.1155796</v>
      </c>
      <c r="U3286">
        <v>2.575684E-2</v>
      </c>
      <c r="V3286">
        <v>-0.1416193</v>
      </c>
      <c r="W3286">
        <v>0.19370989999999999</v>
      </c>
      <c r="X3286">
        <v>0.97078339999999996</v>
      </c>
      <c r="Y3286">
        <v>-0.1100126</v>
      </c>
      <c r="Z3286">
        <v>5.3448559999999899E-3</v>
      </c>
      <c r="AA3286">
        <v>0.99391580000000002</v>
      </c>
      <c r="AB3286">
        <v>23</v>
      </c>
      <c r="AC3286">
        <v>29.3521</v>
      </c>
      <c r="AD3286">
        <v>-1.111955466767</v>
      </c>
      <c r="AE3286">
        <v>0.268100000000004</v>
      </c>
      <c r="AF3286">
        <v>-3.2505669152886298</v>
      </c>
      <c r="AG3286">
        <v>-1.111955466767</v>
      </c>
      <c r="AH3286">
        <v>29.130463258584399</v>
      </c>
      <c r="AI3286">
        <v>92.172537603711106</v>
      </c>
      <c r="AJ3286">
        <v>96.367096875538905</v>
      </c>
      <c r="AK3286">
        <v>29.332345966365899</v>
      </c>
      <c r="AL3286">
        <v>78.830630388303007</v>
      </c>
      <c r="AM3286">
        <v>98.299844998869403</v>
      </c>
      <c r="AN3286">
        <v>0.99999998060302897</v>
      </c>
    </row>
    <row r="3287" spans="1:40" x14ac:dyDescent="0.25">
      <c r="A3287" t="str">
        <f>"20190304155120626"</f>
        <v>20190304155120626</v>
      </c>
      <c r="B3287" t="str">
        <f>"1551685880619885"</f>
        <v>1551685880619885</v>
      </c>
      <c r="C3287" t="s">
        <v>40</v>
      </c>
      <c r="D3287">
        <v>4.9849629999999996</v>
      </c>
      <c r="E3287">
        <v>0.4876143</v>
      </c>
      <c r="F3287" t="s">
        <v>70</v>
      </c>
      <c r="G3287">
        <v>-440.04230000000001</v>
      </c>
      <c r="H3287" s="1">
        <v>-1.5830980000000001E-6</v>
      </c>
      <c r="I3287">
        <v>216.19059999999999</v>
      </c>
      <c r="J3287">
        <v>-462.161</v>
      </c>
      <c r="K3287">
        <v>1.1119030000000001</v>
      </c>
      <c r="L3287">
        <v>214.6602</v>
      </c>
      <c r="M3287">
        <v>0.99497400000000003</v>
      </c>
      <c r="N3287">
        <v>-1.159175E-2</v>
      </c>
      <c r="O3287">
        <v>-9.9460209999999993E-2</v>
      </c>
      <c r="P3287">
        <v>0.98214219999999997</v>
      </c>
      <c r="Q3287">
        <v>0.1829239</v>
      </c>
      <c r="R3287">
        <v>4.3995970000000002E-2</v>
      </c>
      <c r="S3287">
        <v>3.0739749999999999</v>
      </c>
      <c r="T3287">
        <v>-0.1529816</v>
      </c>
      <c r="U3287">
        <v>0.2077637</v>
      </c>
      <c r="V3287">
        <v>-0.14217109999999999</v>
      </c>
      <c r="W3287">
        <v>0.19367490000000001</v>
      </c>
      <c r="X3287">
        <v>0.97070970000000001</v>
      </c>
      <c r="Y3287">
        <v>-0.16601560000000001</v>
      </c>
      <c r="Z3287">
        <v>8.8754070000000001E-3</v>
      </c>
      <c r="AA3287">
        <v>0.98608320000000005</v>
      </c>
      <c r="AB3287">
        <v>23</v>
      </c>
      <c r="AC3287">
        <v>22.118699999999901</v>
      </c>
      <c r="AD3287">
        <v>-1.1119045830979899</v>
      </c>
      <c r="AE3287">
        <v>1.53039999999998</v>
      </c>
      <c r="AF3287">
        <v>-3.7135492977247</v>
      </c>
      <c r="AG3287">
        <v>-1.1119045830979899</v>
      </c>
      <c r="AH3287">
        <v>21.801954015180101</v>
      </c>
      <c r="AI3287">
        <v>92.878185986449495</v>
      </c>
      <c r="AJ3287">
        <v>99.666478226506698</v>
      </c>
      <c r="AK3287">
        <v>22.143892590702599</v>
      </c>
      <c r="AL3287">
        <v>78.832674162203205</v>
      </c>
      <c r="AM3287">
        <v>98.332354784302595</v>
      </c>
      <c r="AN3287">
        <v>0.99999995511965301</v>
      </c>
    </row>
    <row r="3288" spans="1:40" x14ac:dyDescent="0.25">
      <c r="A3288" t="str">
        <f>"20190304155120649"</f>
        <v>20190304155120649</v>
      </c>
      <c r="B3288" t="str">
        <f>"1551685880639405"</f>
        <v>1551685880639405</v>
      </c>
      <c r="C3288" t="s">
        <v>40</v>
      </c>
      <c r="D3288">
        <v>4.963241</v>
      </c>
      <c r="E3288">
        <v>0.48776459999999999</v>
      </c>
      <c r="F3288" t="s">
        <v>70</v>
      </c>
      <c r="G3288">
        <v>-443.43020000000001</v>
      </c>
      <c r="H3288" s="1">
        <v>2.273913E-7</v>
      </c>
      <c r="I3288">
        <v>216.0163</v>
      </c>
      <c r="J3288">
        <v>-461.93009999999998</v>
      </c>
      <c r="K3288">
        <v>1.1118319999999999</v>
      </c>
      <c r="L3288">
        <v>214.63990000000001</v>
      </c>
      <c r="M3288">
        <v>0.99520359999999997</v>
      </c>
      <c r="N3288">
        <v>-1.155753E-2</v>
      </c>
      <c r="O3288">
        <v>-9.7140480000000001E-2</v>
      </c>
      <c r="P3288">
        <v>0.98209690000000005</v>
      </c>
      <c r="Q3288">
        <v>0.1825417</v>
      </c>
      <c r="R3288">
        <v>4.6521010000000002E-2</v>
      </c>
      <c r="S3288">
        <v>3.0786129999999998</v>
      </c>
      <c r="T3288">
        <v>-0.1827532</v>
      </c>
      <c r="U3288">
        <v>0.2228851</v>
      </c>
      <c r="V3288">
        <v>-0.14237910000000001</v>
      </c>
      <c r="W3288">
        <v>0.19328239999999999</v>
      </c>
      <c r="X3288">
        <v>0.97075750000000005</v>
      </c>
      <c r="Y3288">
        <v>-0.1682978</v>
      </c>
      <c r="Z3288">
        <v>1.0590530000000001E-2</v>
      </c>
      <c r="AA3288">
        <v>0.98567930000000004</v>
      </c>
      <c r="AB3288">
        <v>23</v>
      </c>
      <c r="AC3288">
        <v>18.499899999999901</v>
      </c>
      <c r="AD3288">
        <v>-1.1118317726086999</v>
      </c>
      <c r="AE3288">
        <v>1.3763999999999801</v>
      </c>
      <c r="AF3288">
        <v>-3.15576319611456</v>
      </c>
      <c r="AG3288">
        <v>-1.1118317726086999</v>
      </c>
      <c r="AH3288">
        <v>18.2132603743926</v>
      </c>
      <c r="AI3288">
        <v>93.442135255176197</v>
      </c>
      <c r="AJ3288">
        <v>99.829893128583194</v>
      </c>
      <c r="AK3288">
        <v>18.518041600178801</v>
      </c>
      <c r="AL3288">
        <v>78.855596482981596</v>
      </c>
      <c r="AM3288">
        <v>98.343968622464899</v>
      </c>
      <c r="AN3288">
        <v>1.0000000090364001</v>
      </c>
    </row>
    <row r="3289" spans="1:40" x14ac:dyDescent="0.25">
      <c r="A3289" t="str">
        <f>"20190304155120671"</f>
        <v>20190304155120671</v>
      </c>
      <c r="B3289" t="str">
        <f>"1551685880659904"</f>
        <v>1551685880659904</v>
      </c>
      <c r="C3289" t="s">
        <v>40</v>
      </c>
      <c r="D3289">
        <v>4.9449940000000003</v>
      </c>
      <c r="E3289">
        <v>0.48774499999999998</v>
      </c>
      <c r="F3289" t="s">
        <v>70</v>
      </c>
      <c r="G3289">
        <v>-444.8922</v>
      </c>
      <c r="H3289" s="1">
        <v>1.0102450000000001E-6</v>
      </c>
      <c r="I3289">
        <v>215.9057</v>
      </c>
      <c r="J3289">
        <v>-461.7002</v>
      </c>
      <c r="K3289">
        <v>1.111753</v>
      </c>
      <c r="L3289">
        <v>214.62010000000001</v>
      </c>
      <c r="M3289">
        <v>0.99541610000000003</v>
      </c>
      <c r="N3289">
        <v>-1.152708E-2</v>
      </c>
      <c r="O3289">
        <v>-9.4942700000000005E-2</v>
      </c>
      <c r="P3289">
        <v>0.98194000000000004</v>
      </c>
      <c r="Q3289">
        <v>0.18277019999999999</v>
      </c>
      <c r="R3289">
        <v>4.8877869999999997E-2</v>
      </c>
      <c r="S3289">
        <v>3.081207</v>
      </c>
      <c r="T3289">
        <v>-0.201069</v>
      </c>
      <c r="U3289">
        <v>0.22891239999999999</v>
      </c>
      <c r="V3289">
        <v>-0.1425264</v>
      </c>
      <c r="W3289">
        <v>0.1935064</v>
      </c>
      <c r="X3289">
        <v>0.97069130000000003</v>
      </c>
      <c r="Y3289">
        <v>-0.16788739999999999</v>
      </c>
      <c r="Z3289">
        <v>1.1521490000000001E-2</v>
      </c>
      <c r="AA3289">
        <v>0.98573880000000003</v>
      </c>
      <c r="AB3289">
        <v>23</v>
      </c>
      <c r="AC3289">
        <v>16.8079999999999</v>
      </c>
      <c r="AD3289">
        <v>-1.1117519897549999</v>
      </c>
      <c r="AE3289">
        <v>1.2855999999999801</v>
      </c>
      <c r="AF3289">
        <v>-2.8632406253514402</v>
      </c>
      <c r="AG3289">
        <v>-1.1117519897549999</v>
      </c>
      <c r="AH3289">
        <v>16.538063209967898</v>
      </c>
      <c r="AI3289">
        <v>93.789647269706407</v>
      </c>
      <c r="AJ3289">
        <v>99.822272561545006</v>
      </c>
      <c r="AK3289">
        <v>16.820870194561302</v>
      </c>
      <c r="AL3289">
        <v>78.842515740510606</v>
      </c>
      <c r="AM3289">
        <v>98.353040848466705</v>
      </c>
      <c r="AN3289">
        <v>1.0000000507168001</v>
      </c>
    </row>
    <row r="3290" spans="1:40" x14ac:dyDescent="0.25">
      <c r="A3290" t="str">
        <f>"20190304155120693"</f>
        <v>20190304155120693</v>
      </c>
      <c r="B3290" t="str">
        <f>"1551685880690158"</f>
        <v>1551685880690158</v>
      </c>
      <c r="C3290" t="s">
        <v>40</v>
      </c>
      <c r="D3290">
        <v>4.9704309999999996</v>
      </c>
      <c r="E3290">
        <v>0.48857689999999998</v>
      </c>
      <c r="F3290" t="s">
        <v>70</v>
      </c>
      <c r="G3290">
        <v>-444.91930000000002</v>
      </c>
      <c r="H3290" s="1">
        <v>1.0246600000000001E-6</v>
      </c>
      <c r="I3290">
        <v>215.90549999999999</v>
      </c>
      <c r="J3290">
        <v>-461.4753</v>
      </c>
      <c r="K3290">
        <v>1.1116760000000001</v>
      </c>
      <c r="L3290">
        <v>214.6011</v>
      </c>
      <c r="M3290">
        <v>0.99561049999999995</v>
      </c>
      <c r="N3290">
        <v>-1.149915E-2</v>
      </c>
      <c r="O3290">
        <v>-9.2883770000000004E-2</v>
      </c>
      <c r="P3290">
        <v>0.98187080000000004</v>
      </c>
      <c r="Q3290">
        <v>0.18268509999999999</v>
      </c>
      <c r="R3290">
        <v>5.0555030000000001E-2</v>
      </c>
      <c r="S3290">
        <v>3.0814509999999999</v>
      </c>
      <c r="T3290">
        <v>-0.2041492</v>
      </c>
      <c r="U3290">
        <v>0.2360382</v>
      </c>
      <c r="V3290">
        <v>-0.14214370000000001</v>
      </c>
      <c r="W3290">
        <v>0.19342039999999999</v>
      </c>
      <c r="X3290">
        <v>0.97076450000000003</v>
      </c>
      <c r="Y3290">
        <v>-0.1680953</v>
      </c>
      <c r="Z3290">
        <v>1.1594129999999999E-2</v>
      </c>
      <c r="AA3290">
        <v>0.98570259999999998</v>
      </c>
      <c r="AB3290">
        <v>23</v>
      </c>
      <c r="AC3290">
        <v>16.555999999999901</v>
      </c>
      <c r="AD3290">
        <v>-1.1116749753399999</v>
      </c>
      <c r="AE3290">
        <v>1.30439999999998</v>
      </c>
      <c r="AF3290">
        <v>-2.8239919418189099</v>
      </c>
      <c r="AG3290">
        <v>-1.1116749753399999</v>
      </c>
      <c r="AH3290">
        <v>16.290258934236601</v>
      </c>
      <c r="AI3290">
        <v>93.846712449105098</v>
      </c>
      <c r="AJ3290">
        <v>99.834749027488101</v>
      </c>
      <c r="AK3290">
        <v>16.570554845349299</v>
      </c>
      <c r="AL3290">
        <v>78.847537471972402</v>
      </c>
      <c r="AM3290">
        <v>98.330307790933603</v>
      </c>
      <c r="AN3290">
        <v>0.99999999852304999</v>
      </c>
    </row>
    <row r="3291" spans="1:40" x14ac:dyDescent="0.25">
      <c r="A3291" t="str">
        <f>"20190304155120715"</f>
        <v>20190304155120715</v>
      </c>
      <c r="B3291" t="str">
        <f>"1551685880709677"</f>
        <v>1551685880709677</v>
      </c>
      <c r="C3291" t="s">
        <v>40</v>
      </c>
      <c r="D3291">
        <v>4.9446219999999999</v>
      </c>
      <c r="E3291">
        <v>0.48903099999999999</v>
      </c>
      <c r="F3291" t="s">
        <v>70</v>
      </c>
      <c r="G3291">
        <v>-444.83969999999999</v>
      </c>
      <c r="H3291" s="1">
        <v>9.8410249999999999E-7</v>
      </c>
      <c r="I3291">
        <v>215.8648</v>
      </c>
      <c r="J3291">
        <v>-461.24939999999998</v>
      </c>
      <c r="K3291">
        <v>1.1116060000000001</v>
      </c>
      <c r="L3291">
        <v>214.58240000000001</v>
      </c>
      <c r="M3291">
        <v>0.99579269999999998</v>
      </c>
      <c r="N3291">
        <v>-1.146778E-2</v>
      </c>
      <c r="O3291">
        <v>-9.09161E-2</v>
      </c>
      <c r="P3291">
        <v>0.98191649999999997</v>
      </c>
      <c r="Q3291">
        <v>0.1820338</v>
      </c>
      <c r="R3291">
        <v>5.1999160000000003E-2</v>
      </c>
      <c r="S3291">
        <v>3.0816349999999999</v>
      </c>
      <c r="T3291">
        <v>-0.20593110000000001</v>
      </c>
      <c r="U3291">
        <v>0.23410030000000001</v>
      </c>
      <c r="V3291">
        <v>-0.1416299</v>
      </c>
      <c r="W3291">
        <v>0.1927654</v>
      </c>
      <c r="X3291">
        <v>0.97096990000000005</v>
      </c>
      <c r="Y3291">
        <v>-0.1655259</v>
      </c>
      <c r="Z3291">
        <v>1.14869E-2</v>
      </c>
      <c r="AA3291">
        <v>0.98613850000000003</v>
      </c>
      <c r="AB3291">
        <v>23</v>
      </c>
      <c r="AC3291">
        <v>16.409699999999901</v>
      </c>
      <c r="AD3291">
        <v>-1.1116050158974999</v>
      </c>
      <c r="AE3291">
        <v>1.28239999999999</v>
      </c>
      <c r="AF3291">
        <v>-2.7565197373369199</v>
      </c>
      <c r="AG3291">
        <v>-1.1116050158974999</v>
      </c>
      <c r="AH3291">
        <v>16.151466700044502</v>
      </c>
      <c r="AI3291">
        <v>93.881161057656101</v>
      </c>
      <c r="AJ3291">
        <v>99.685175008924801</v>
      </c>
      <c r="AK3291">
        <v>16.422665536883599</v>
      </c>
      <c r="AL3291">
        <v>78.885786465021098</v>
      </c>
      <c r="AM3291">
        <v>98.298885463751702</v>
      </c>
      <c r="AN3291">
        <v>1.00000003735858</v>
      </c>
    </row>
    <row r="3292" spans="1:40" x14ac:dyDescent="0.25">
      <c r="A3292" t="str">
        <f>"20190304155120737"</f>
        <v>20190304155120737</v>
      </c>
      <c r="B3292" t="str">
        <f>"1551685880730173"</f>
        <v>1551685880730173</v>
      </c>
      <c r="C3292" t="s">
        <v>40</v>
      </c>
      <c r="D3292">
        <v>4.992299</v>
      </c>
      <c r="E3292">
        <v>0.4893323</v>
      </c>
      <c r="F3292" t="s">
        <v>70</v>
      </c>
      <c r="G3292">
        <v>-444.85129999999998</v>
      </c>
      <c r="H3292" s="1">
        <v>9.9164669999999996E-7</v>
      </c>
      <c r="I3292">
        <v>215.83320000000001</v>
      </c>
      <c r="J3292">
        <v>-461.01850000000002</v>
      </c>
      <c r="K3292">
        <v>1.1115269999999999</v>
      </c>
      <c r="L3292">
        <v>214.56360000000001</v>
      </c>
      <c r="M3292">
        <v>0.99596430000000002</v>
      </c>
      <c r="N3292">
        <v>-1.1434339999999999E-2</v>
      </c>
      <c r="O3292">
        <v>-8.902032E-2</v>
      </c>
      <c r="P3292">
        <v>0.98184709999999997</v>
      </c>
      <c r="Q3292">
        <v>0.1819606</v>
      </c>
      <c r="R3292">
        <v>5.3544040000000001E-2</v>
      </c>
      <c r="S3292">
        <v>3.0814819999999998</v>
      </c>
      <c r="T3292">
        <v>-0.2088894</v>
      </c>
      <c r="U3292">
        <v>0.23504639999999999</v>
      </c>
      <c r="V3292">
        <v>-0.14127809999999999</v>
      </c>
      <c r="W3292">
        <v>0.19268399999999999</v>
      </c>
      <c r="X3292">
        <v>0.97103729999999999</v>
      </c>
      <c r="Y3292">
        <v>-0.16394400000000001</v>
      </c>
      <c r="Z3292">
        <v>1.148472E-2</v>
      </c>
      <c r="AA3292">
        <v>0.98640280000000002</v>
      </c>
      <c r="AB3292">
        <v>23</v>
      </c>
      <c r="AC3292">
        <v>16.167200000000001</v>
      </c>
      <c r="AD3292">
        <v>-1.1115260083533001</v>
      </c>
      <c r="AE3292">
        <v>1.2695999999999901</v>
      </c>
      <c r="AF3292">
        <v>-2.6912190623209802</v>
      </c>
      <c r="AG3292">
        <v>-1.1115260083533001</v>
      </c>
      <c r="AH3292">
        <v>15.9152098274899</v>
      </c>
      <c r="AI3292">
        <v>93.939334308836095</v>
      </c>
      <c r="AJ3292">
        <v>99.597769860300602</v>
      </c>
      <c r="AK3292">
        <v>16.179371247414998</v>
      </c>
      <c r="AL3292">
        <v>78.890539382321805</v>
      </c>
      <c r="AM3292">
        <v>98.277990940677</v>
      </c>
      <c r="AN3292">
        <v>1.0000000316934401</v>
      </c>
    </row>
    <row r="3293" spans="1:40" x14ac:dyDescent="0.25">
      <c r="A3293" t="str">
        <f>"20190304155120762"</f>
        <v>20190304155120762</v>
      </c>
      <c r="B3293" t="str">
        <f>"1551685880749694"</f>
        <v>1551685880749694</v>
      </c>
      <c r="C3293" t="s">
        <v>40</v>
      </c>
      <c r="D3293">
        <v>4.531479</v>
      </c>
      <c r="E3293">
        <v>0.48955989999999999</v>
      </c>
      <c r="F3293" t="s">
        <v>70</v>
      </c>
      <c r="G3293">
        <v>-444.71</v>
      </c>
      <c r="H3293" s="1">
        <v>9.1704330000000002E-7</v>
      </c>
      <c r="I3293">
        <v>215.81989999999999</v>
      </c>
      <c r="J3293">
        <v>-460.7724</v>
      </c>
      <c r="K3293">
        <v>1.1114470000000001</v>
      </c>
      <c r="L3293">
        <v>214.54390000000001</v>
      </c>
      <c r="M3293">
        <v>0.9961314</v>
      </c>
      <c r="N3293">
        <v>-1.1401690000000001E-2</v>
      </c>
      <c r="O3293">
        <v>-8.713456E-2</v>
      </c>
      <c r="P3293">
        <v>0.98175559999999995</v>
      </c>
      <c r="Q3293">
        <v>0.1819636</v>
      </c>
      <c r="R3293">
        <v>5.518667E-2</v>
      </c>
      <c r="S3293">
        <v>3.0814509999999999</v>
      </c>
      <c r="T3293">
        <v>-0.21002100000000001</v>
      </c>
      <c r="U3293">
        <v>0.23738100000000001</v>
      </c>
      <c r="V3293">
        <v>-0.14102709999999999</v>
      </c>
      <c r="W3293">
        <v>0.19268299999999999</v>
      </c>
      <c r="X3293">
        <v>0.97107390000000005</v>
      </c>
      <c r="Y3293">
        <v>-0.16281999999999999</v>
      </c>
      <c r="Z3293">
        <v>1.1396160000000001E-2</v>
      </c>
      <c r="AA3293">
        <v>0.98658999999999997</v>
      </c>
      <c r="AB3293">
        <v>23</v>
      </c>
      <c r="AC3293">
        <v>16.0624</v>
      </c>
      <c r="AD3293">
        <v>-1.1114460829567001</v>
      </c>
      <c r="AE3293">
        <v>1.27599999999998</v>
      </c>
      <c r="AF3293">
        <v>-2.65817956814701</v>
      </c>
      <c r="AG3293">
        <v>-1.1114460829567001</v>
      </c>
      <c r="AH3293">
        <v>15.814861617346001</v>
      </c>
      <c r="AI3293">
        <v>93.964624801319303</v>
      </c>
      <c r="AJ3293">
        <v>99.5411556525398</v>
      </c>
      <c r="AK3293">
        <v>16.075169641022001</v>
      </c>
      <c r="AL3293">
        <v>78.890596857009797</v>
      </c>
      <c r="AM3293">
        <v>98.2631800733175</v>
      </c>
      <c r="AN3293">
        <v>0.99999995034230804</v>
      </c>
    </row>
    <row r="3294" spans="1:40" x14ac:dyDescent="0.25">
      <c r="A3294" t="str">
        <f>"20190304155120782"</f>
        <v>20190304155120782</v>
      </c>
      <c r="B3294" t="str">
        <f>"1551685880779949"</f>
        <v>1551685880779949</v>
      </c>
      <c r="C3294" t="s">
        <v>40</v>
      </c>
      <c r="D3294">
        <v>4.9657929999999997</v>
      </c>
      <c r="E3294">
        <v>0.49906879999999998</v>
      </c>
      <c r="F3294" t="s">
        <v>70</v>
      </c>
      <c r="G3294">
        <v>-444.47789999999998</v>
      </c>
      <c r="H3294" s="1">
        <v>7.9363769999999997E-7</v>
      </c>
      <c r="I3294">
        <v>215.8176</v>
      </c>
      <c r="J3294">
        <v>-460.55630000000002</v>
      </c>
      <c r="K3294">
        <v>1.111375</v>
      </c>
      <c r="L3294">
        <v>214.52680000000001</v>
      </c>
      <c r="M3294">
        <v>0.99626490000000001</v>
      </c>
      <c r="N3294">
        <v>-1.1376300000000001E-2</v>
      </c>
      <c r="O3294">
        <v>-8.5597019999999996E-2</v>
      </c>
      <c r="P3294">
        <v>0.98165849999999999</v>
      </c>
      <c r="Q3294">
        <v>0.18216399999999999</v>
      </c>
      <c r="R3294">
        <v>5.6238719999999999E-2</v>
      </c>
      <c r="S3294">
        <v>3.0811459999999999</v>
      </c>
      <c r="T3294">
        <v>-0.21016470000000001</v>
      </c>
      <c r="U3294">
        <v>0.24084469999999999</v>
      </c>
      <c r="V3294">
        <v>-0.1405296</v>
      </c>
      <c r="W3294">
        <v>0.19288649999999999</v>
      </c>
      <c r="X3294">
        <v>0.97110569999999896</v>
      </c>
      <c r="Y3294">
        <v>-0.1624099</v>
      </c>
      <c r="Z3294">
        <v>1.130162E-2</v>
      </c>
      <c r="AA3294">
        <v>0.98665860000000005</v>
      </c>
      <c r="AB3294">
        <v>23</v>
      </c>
      <c r="AC3294">
        <v>16.078399999999998</v>
      </c>
      <c r="AD3294">
        <v>-1.1113742063623</v>
      </c>
      <c r="AE3294">
        <v>1.29079999999999</v>
      </c>
      <c r="AF3294">
        <v>-2.64983461469593</v>
      </c>
      <c r="AG3294">
        <v>-1.1113742063623</v>
      </c>
      <c r="AH3294">
        <v>15.833719165767</v>
      </c>
      <c r="AI3294">
        <v>93.960131064208497</v>
      </c>
      <c r="AJ3294">
        <v>99.500629160225301</v>
      </c>
      <c r="AK3294">
        <v>16.092340996019999</v>
      </c>
      <c r="AL3294">
        <v>78.878715106592793</v>
      </c>
      <c r="AM3294">
        <v>98.234164609396302</v>
      </c>
      <c r="AN3294">
        <v>1.00000002546544</v>
      </c>
    </row>
    <row r="3295" spans="1:40" x14ac:dyDescent="0.25">
      <c r="A3295" t="str">
        <f>"20190304155120804"</f>
        <v>20190304155120804</v>
      </c>
      <c r="B3295" t="str">
        <f>"1551685880799469"</f>
        <v>1551685880799469</v>
      </c>
      <c r="C3295" t="s">
        <v>40</v>
      </c>
      <c r="D3295">
        <v>5.0387639999999996</v>
      </c>
      <c r="E3295">
        <v>0.4936757</v>
      </c>
      <c r="F3295" t="s">
        <v>70</v>
      </c>
      <c r="G3295">
        <v>-379.78039999999999</v>
      </c>
      <c r="H3295" s="1">
        <v>3.6678540000000001E-6</v>
      </c>
      <c r="I3295">
        <v>219.04230000000001</v>
      </c>
      <c r="J3295">
        <v>-460.33640000000003</v>
      </c>
      <c r="K3295">
        <v>1.1112899999999999</v>
      </c>
      <c r="L3295">
        <v>214.50970000000001</v>
      </c>
      <c r="M3295">
        <v>0.99638859999999996</v>
      </c>
      <c r="N3295">
        <v>-1.135268E-2</v>
      </c>
      <c r="O3295">
        <v>-8.4150089999999997E-2</v>
      </c>
      <c r="P3295">
        <v>0.98152479999999998</v>
      </c>
      <c r="Q3295">
        <v>0.18243029999999999</v>
      </c>
      <c r="R3295">
        <v>5.7694259999999997E-2</v>
      </c>
      <c r="S3295">
        <v>3.0541079999999998</v>
      </c>
      <c r="T3295">
        <v>-4.2020559999999998E-2</v>
      </c>
      <c r="U3295">
        <v>0.17073060000000001</v>
      </c>
      <c r="V3295">
        <v>-0.1405159</v>
      </c>
      <c r="W3295">
        <v>0.19315840000000001</v>
      </c>
      <c r="X3295">
        <v>0.97105359999999996</v>
      </c>
      <c r="Y3295">
        <v>-0.13961689999999999</v>
      </c>
      <c r="Z3295">
        <v>1.954501E-3</v>
      </c>
      <c r="AA3295">
        <v>0.99020370000000002</v>
      </c>
      <c r="AB3295">
        <v>23</v>
      </c>
      <c r="AC3295">
        <v>80.555999999999997</v>
      </c>
      <c r="AD3295">
        <v>-1.11128633214599</v>
      </c>
      <c r="AE3295">
        <v>4.5326000000000004</v>
      </c>
      <c r="AF3295">
        <v>-11.2936090306551</v>
      </c>
      <c r="AG3295">
        <v>-1.11128633214599</v>
      </c>
      <c r="AH3295">
        <v>79.873642597925496</v>
      </c>
      <c r="AI3295">
        <v>90.789258446941901</v>
      </c>
      <c r="AJ3295">
        <v>98.047898805966298</v>
      </c>
      <c r="AK3295">
        <v>80.675766771134207</v>
      </c>
      <c r="AL3295">
        <v>78.862837399667001</v>
      </c>
      <c r="AM3295">
        <v>98.233808568953194</v>
      </c>
      <c r="AN3295">
        <v>0.99999998985816396</v>
      </c>
    </row>
    <row r="3296" spans="1:40" x14ac:dyDescent="0.25">
      <c r="A3296" t="str">
        <f>"20190304155120828"</f>
        <v>20190304155120828</v>
      </c>
      <c r="B3296" t="str">
        <f>"1551685880819966"</f>
        <v>1551685880819966</v>
      </c>
      <c r="C3296" t="s">
        <v>40</v>
      </c>
      <c r="D3296">
        <v>5.0108699999999997</v>
      </c>
      <c r="E3296">
        <v>0.49414029999999998</v>
      </c>
      <c r="F3296" t="s">
        <v>70</v>
      </c>
      <c r="G3296">
        <v>-442.85210000000001</v>
      </c>
      <c r="H3296" s="1">
        <v>-6.8193729999999995E-8</v>
      </c>
      <c r="I3296">
        <v>215.74100000000001</v>
      </c>
      <c r="J3296">
        <v>-460.08109999999999</v>
      </c>
      <c r="K3296">
        <v>1.111181</v>
      </c>
      <c r="L3296">
        <v>214.49</v>
      </c>
      <c r="M3296">
        <v>0.99651659999999997</v>
      </c>
      <c r="N3296">
        <v>-1.132238E-2</v>
      </c>
      <c r="O3296">
        <v>-8.2622780000000007E-2</v>
      </c>
      <c r="P3296">
        <v>0.98144799999999999</v>
      </c>
      <c r="Q3296">
        <v>0.18233759999999999</v>
      </c>
      <c r="R3296">
        <v>5.9270120000000003E-2</v>
      </c>
      <c r="S3296">
        <v>3.0800779999999999</v>
      </c>
      <c r="T3296">
        <v>-0.19576840000000001</v>
      </c>
      <c r="U3296">
        <v>0.2169189</v>
      </c>
      <c r="V3296">
        <v>-0.14053879999999999</v>
      </c>
      <c r="W3296">
        <v>0.1930714</v>
      </c>
      <c r="X3296">
        <v>0.97106760000000003</v>
      </c>
      <c r="Y3296">
        <v>-0.15196399999999999</v>
      </c>
      <c r="Z3296">
        <v>9.9862800000000002E-3</v>
      </c>
      <c r="AA3296">
        <v>0.98833559999999998</v>
      </c>
      <c r="AB3296">
        <v>23</v>
      </c>
      <c r="AC3296">
        <v>17.2289999999999</v>
      </c>
      <c r="AD3296">
        <v>-1.11118106819373</v>
      </c>
      <c r="AE3296">
        <v>1.2509999999999699</v>
      </c>
      <c r="AF3296">
        <v>-2.6593176073047502</v>
      </c>
      <c r="AG3296">
        <v>-1.11118106819373</v>
      </c>
      <c r="AH3296">
        <v>16.996389851752198</v>
      </c>
      <c r="AI3296">
        <v>93.695693717758999</v>
      </c>
      <c r="AJ3296">
        <v>98.892609631411801</v>
      </c>
      <c r="AK3296">
        <v>17.2390243777186</v>
      </c>
      <c r="AL3296">
        <v>78.867917899055499</v>
      </c>
      <c r="AM3296">
        <v>98.235014938545405</v>
      </c>
      <c r="AN3296">
        <v>1.00000000178658</v>
      </c>
    </row>
    <row r="3297" spans="1:40" x14ac:dyDescent="0.25">
      <c r="A3297" t="str">
        <f>"20190304155120850"</f>
        <v>20190304155120850</v>
      </c>
      <c r="B3297" t="str">
        <f>"1551685880839485"</f>
        <v>1551685880839485</v>
      </c>
      <c r="C3297" t="s">
        <v>40</v>
      </c>
      <c r="D3297">
        <v>4.9523840000000003</v>
      </c>
      <c r="E3297">
        <v>0.49370429999999998</v>
      </c>
      <c r="F3297" t="s">
        <v>70</v>
      </c>
      <c r="G3297">
        <v>-442.38819999999998</v>
      </c>
      <c r="H3297" s="1">
        <v>-3.15102099999999E-7</v>
      </c>
      <c r="I3297">
        <v>215.7413</v>
      </c>
      <c r="J3297">
        <v>-459.85640000000001</v>
      </c>
      <c r="K3297">
        <v>1.1110880000000001</v>
      </c>
      <c r="L3297">
        <v>214.47290000000001</v>
      </c>
      <c r="M3297">
        <v>0.99661549999999999</v>
      </c>
      <c r="N3297">
        <v>-1.129288E-2</v>
      </c>
      <c r="O3297">
        <v>-8.1424930000000006E-2</v>
      </c>
      <c r="P3297">
        <v>0.98128090000000001</v>
      </c>
      <c r="Q3297">
        <v>0.1828292</v>
      </c>
      <c r="R3297">
        <v>6.0508329999999999E-2</v>
      </c>
      <c r="S3297">
        <v>3.079529</v>
      </c>
      <c r="T3297">
        <v>-0.1934061</v>
      </c>
      <c r="U3297">
        <v>0.2177887</v>
      </c>
      <c r="V3297">
        <v>-0.14054800000000001</v>
      </c>
      <c r="W3297">
        <v>0.1935635</v>
      </c>
      <c r="X3297">
        <v>0.97096830000000001</v>
      </c>
      <c r="Y3297">
        <v>-0.15108079999999999</v>
      </c>
      <c r="Z3297">
        <v>9.772869E-3</v>
      </c>
      <c r="AA3297">
        <v>0.98847309999999999</v>
      </c>
      <c r="AB3297">
        <v>23</v>
      </c>
      <c r="AC3297">
        <v>17.4682</v>
      </c>
      <c r="AD3297">
        <v>-1.1110883151020901</v>
      </c>
      <c r="AE3297">
        <v>1.26839999999998</v>
      </c>
      <c r="AF3297">
        <v>-2.6758562646583699</v>
      </c>
      <c r="AG3297">
        <v>-1.1110883151020901</v>
      </c>
      <c r="AH3297">
        <v>17.2375298143664</v>
      </c>
      <c r="AI3297">
        <v>93.644510503106702</v>
      </c>
      <c r="AJ3297">
        <v>98.823843233989507</v>
      </c>
      <c r="AK3297">
        <v>17.4793351731191</v>
      </c>
      <c r="AL3297">
        <v>78.839180579389705</v>
      </c>
      <c r="AM3297">
        <v>98.236377314551703</v>
      </c>
      <c r="AN3297">
        <v>1.0000000042205699</v>
      </c>
    </row>
    <row r="3298" spans="1:40" x14ac:dyDescent="0.25">
      <c r="A3298" t="str">
        <f>"20190304155120883"</f>
        <v>20190304155120883</v>
      </c>
      <c r="B3298" t="str">
        <f>"1551685880879501"</f>
        <v>1551685880879501</v>
      </c>
      <c r="C3298" t="s">
        <v>40</v>
      </c>
      <c r="D3298">
        <v>5.0431730000000003</v>
      </c>
      <c r="E3298">
        <v>0.49422169999999999</v>
      </c>
      <c r="F3298" t="s">
        <v>70</v>
      </c>
      <c r="G3298">
        <v>-442.60270000000003</v>
      </c>
      <c r="H3298" s="1">
        <v>-2.0074780000000001E-7</v>
      </c>
      <c r="I3298">
        <v>215.7363</v>
      </c>
      <c r="J3298">
        <v>-459.51900000000001</v>
      </c>
      <c r="K3298">
        <v>1.110976</v>
      </c>
      <c r="L3298">
        <v>214.44730000000001</v>
      </c>
      <c r="M3298">
        <v>0.99674589999999996</v>
      </c>
      <c r="N3298">
        <v>-1.125311E-2</v>
      </c>
      <c r="O3298">
        <v>-7.9818379999999994E-2</v>
      </c>
      <c r="P3298">
        <v>0.98138979999999998</v>
      </c>
      <c r="Q3298">
        <v>0.18191379999999999</v>
      </c>
      <c r="R3298">
        <v>6.1496469999999998E-2</v>
      </c>
      <c r="S3298">
        <v>3.0803219999999998</v>
      </c>
      <c r="T3298">
        <v>-0.1983627</v>
      </c>
      <c r="U3298">
        <v>0.22557070000000001</v>
      </c>
      <c r="V3298">
        <v>-0.13992180000000001</v>
      </c>
      <c r="W3298">
        <v>0.19264980000000001</v>
      </c>
      <c r="X3298">
        <v>0.9712404</v>
      </c>
      <c r="Y3298">
        <v>-0.15193090000000001</v>
      </c>
      <c r="Z3298">
        <v>9.9685940000000008E-3</v>
      </c>
      <c r="AA3298">
        <v>0.98834089999999997</v>
      </c>
      <c r="AB3298">
        <v>23</v>
      </c>
      <c r="AC3298">
        <v>16.9162999999999</v>
      </c>
      <c r="AD3298">
        <v>-1.1109762007477999</v>
      </c>
      <c r="AE3298">
        <v>1.2889999999999799</v>
      </c>
      <c r="AF3298">
        <v>-2.6239517160238601</v>
      </c>
      <c r="AG3298">
        <v>-1.1109762007477999</v>
      </c>
      <c r="AH3298">
        <v>16.687865539007099</v>
      </c>
      <c r="AI3298">
        <v>93.762688683378897</v>
      </c>
      <c r="AJ3298">
        <v>98.935860062798</v>
      </c>
      <c r="AK3298">
        <v>16.9293900355161</v>
      </c>
      <c r="AL3298">
        <v>78.892535787541902</v>
      </c>
      <c r="AM3298">
        <v>98.197914862281095</v>
      </c>
      <c r="AN3298">
        <v>0.99999998507371901</v>
      </c>
    </row>
    <row r="3299" spans="1:40" x14ac:dyDescent="0.25">
      <c r="A3299" t="str">
        <f>"20190304155120904"</f>
        <v>20190304155120904</v>
      </c>
      <c r="B3299" t="str">
        <f>"1551685880899997"</f>
        <v>1551685880899997</v>
      </c>
      <c r="C3299" t="s">
        <v>40</v>
      </c>
      <c r="D3299">
        <v>5.0613299999999999</v>
      </c>
      <c r="E3299">
        <v>0.49459310000000001</v>
      </c>
      <c r="F3299" t="s">
        <v>70</v>
      </c>
      <c r="G3299">
        <v>-441.95850000000002</v>
      </c>
      <c r="H3299" s="1">
        <v>-5.434285E-7</v>
      </c>
      <c r="I3299">
        <v>215.7338</v>
      </c>
      <c r="J3299">
        <v>-459.2953</v>
      </c>
      <c r="K3299">
        <v>1.110916</v>
      </c>
      <c r="L3299">
        <v>214.4306</v>
      </c>
      <c r="M3299">
        <v>0.99682130000000002</v>
      </c>
      <c r="N3299">
        <v>-1.123066E-2</v>
      </c>
      <c r="O3299">
        <v>-7.8875550000000003E-2</v>
      </c>
      <c r="P3299">
        <v>0.9815258</v>
      </c>
      <c r="Q3299">
        <v>0.1810398</v>
      </c>
      <c r="R3299">
        <v>6.1901280000000003E-2</v>
      </c>
      <c r="S3299">
        <v>3.0788880000000001</v>
      </c>
      <c r="T3299">
        <v>-0.1947873</v>
      </c>
      <c r="U3299">
        <v>0.22555539999999999</v>
      </c>
      <c r="V3299">
        <v>-0.1393875</v>
      </c>
      <c r="W3299">
        <v>0.19177659999999999</v>
      </c>
      <c r="X3299">
        <v>0.97148999999999996</v>
      </c>
      <c r="Y3299">
        <v>-0.1510445</v>
      </c>
      <c r="Z3299">
        <v>9.7113029999999993E-3</v>
      </c>
      <c r="AA3299">
        <v>0.98847929999999995</v>
      </c>
      <c r="AB3299">
        <v>23</v>
      </c>
      <c r="AC3299">
        <v>17.336799999999901</v>
      </c>
      <c r="AD3299">
        <v>-1.1109165434285</v>
      </c>
      <c r="AE3299">
        <v>1.3031999999999999</v>
      </c>
      <c r="AF3299">
        <v>-2.65583136058883</v>
      </c>
      <c r="AG3299">
        <v>-1.1109165434285</v>
      </c>
      <c r="AH3299">
        <v>17.110122387910401</v>
      </c>
      <c r="AI3299">
        <v>93.671016673912106</v>
      </c>
      <c r="AJ3299">
        <v>98.823035910529697</v>
      </c>
      <c r="AK3299">
        <v>17.350615663763101</v>
      </c>
      <c r="AL3299">
        <v>78.943517044440398</v>
      </c>
      <c r="AM3299">
        <v>98.164963703051498</v>
      </c>
      <c r="AN3299">
        <v>0.99999997978190402</v>
      </c>
    </row>
    <row r="3300" spans="1:40" x14ac:dyDescent="0.25">
      <c r="A3300" t="str">
        <f>"20190304155120927"</f>
        <v>20190304155120927</v>
      </c>
      <c r="B3300" t="str">
        <f>"1551685880919518"</f>
        <v>1551685880919518</v>
      </c>
      <c r="C3300" t="s">
        <v>40</v>
      </c>
      <c r="D3300">
        <v>5.0426890000000002</v>
      </c>
      <c r="E3300">
        <v>0.4949228</v>
      </c>
      <c r="F3300" t="s">
        <v>70</v>
      </c>
      <c r="G3300">
        <v>-441.9076</v>
      </c>
      <c r="H3300" s="1">
        <v>-5.6874430000000003E-7</v>
      </c>
      <c r="I3300">
        <v>215.6934</v>
      </c>
      <c r="J3300">
        <v>-459.05829999999997</v>
      </c>
      <c r="K3300">
        <v>1.110857</v>
      </c>
      <c r="L3300">
        <v>214.41290000000001</v>
      </c>
      <c r="M3300">
        <v>0.99689150000000004</v>
      </c>
      <c r="N3300">
        <v>-1.120912E-2</v>
      </c>
      <c r="O3300">
        <v>-7.7984970000000001E-2</v>
      </c>
      <c r="P3300">
        <v>0.9815758</v>
      </c>
      <c r="Q3300">
        <v>0.18075540000000001</v>
      </c>
      <c r="R3300">
        <v>6.1938859999999998E-2</v>
      </c>
      <c r="S3300">
        <v>3.0786739999999999</v>
      </c>
      <c r="T3300">
        <v>-0.19669909999999999</v>
      </c>
      <c r="U3300">
        <v>0.2236023</v>
      </c>
      <c r="V3300">
        <v>-0.1385313</v>
      </c>
      <c r="W3300">
        <v>0.19149389999999999</v>
      </c>
      <c r="X3300">
        <v>0.97166819999999998</v>
      </c>
      <c r="Y3300">
        <v>-0.14953830000000001</v>
      </c>
      <c r="Z3300">
        <v>9.7044729999999999E-3</v>
      </c>
      <c r="AA3300">
        <v>0.98870829999999998</v>
      </c>
      <c r="AB3300">
        <v>23</v>
      </c>
      <c r="AC3300">
        <v>17.150699999999901</v>
      </c>
      <c r="AD3300">
        <v>-1.1108575687443001</v>
      </c>
      <c r="AE3300">
        <v>1.28049999999998</v>
      </c>
      <c r="AF3300">
        <v>-2.6033197591462298</v>
      </c>
      <c r="AG3300">
        <v>-1.1108575687443001</v>
      </c>
      <c r="AH3300">
        <v>16.927972915758701</v>
      </c>
      <c r="AI3300">
        <v>93.711011111621403</v>
      </c>
      <c r="AJ3300">
        <v>98.742909487456103</v>
      </c>
      <c r="AK3300">
        <v>17.162970178353699</v>
      </c>
      <c r="AL3300">
        <v>78.960020242718301</v>
      </c>
      <c r="AM3300">
        <v>98.114011310537506</v>
      </c>
      <c r="AN3300">
        <v>0.999999962854069</v>
      </c>
    </row>
    <row r="3301" spans="1:40" x14ac:dyDescent="0.25">
      <c r="A3301" t="str">
        <f>"20190304155120951"</f>
        <v>20190304155120951</v>
      </c>
      <c r="B3301" t="str">
        <f>"1551685880940016"</f>
        <v>1551685880940016</v>
      </c>
      <c r="C3301" t="s">
        <v>40</v>
      </c>
      <c r="D3301">
        <v>4.9234</v>
      </c>
      <c r="E3301">
        <v>0.5315493</v>
      </c>
      <c r="F3301" t="s">
        <v>70</v>
      </c>
      <c r="G3301">
        <v>-441.74200000000002</v>
      </c>
      <c r="H3301" s="1">
        <v>-6.5530550000000004E-7</v>
      </c>
      <c r="I3301">
        <v>215.6583</v>
      </c>
      <c r="J3301">
        <v>-458.81810000000002</v>
      </c>
      <c r="K3301">
        <v>1.110781</v>
      </c>
      <c r="L3301">
        <v>214.39519999999999</v>
      </c>
      <c r="M3301">
        <v>0.99695339999999999</v>
      </c>
      <c r="N3301">
        <v>-1.118949E-2</v>
      </c>
      <c r="O3301">
        <v>-7.7195280000000005E-2</v>
      </c>
      <c r="P3301">
        <v>0.98154600000000003</v>
      </c>
      <c r="Q3301">
        <v>0.18092920000000001</v>
      </c>
      <c r="R3301">
        <v>6.190553E-2</v>
      </c>
      <c r="S3301">
        <v>3.078735</v>
      </c>
      <c r="T3301">
        <v>-0.19750390000000001</v>
      </c>
      <c r="U3301">
        <v>0.22142029999999999</v>
      </c>
      <c r="V3301">
        <v>-0.1376965</v>
      </c>
      <c r="W3301">
        <v>0.19167129999999999</v>
      </c>
      <c r="X3301">
        <v>0.9717519</v>
      </c>
      <c r="Y3301">
        <v>-0.148057299999999</v>
      </c>
      <c r="Z3301">
        <v>9.6468979999999992E-3</v>
      </c>
      <c r="AA3301">
        <v>0.98893169999999997</v>
      </c>
      <c r="AB3301">
        <v>23</v>
      </c>
      <c r="AC3301">
        <v>17.0761</v>
      </c>
      <c r="AD3301">
        <v>-1.1107816553055001</v>
      </c>
      <c r="AE3301">
        <v>1.2630999999999999</v>
      </c>
      <c r="AF3301">
        <v>-2.5668050416711199</v>
      </c>
      <c r="AG3301">
        <v>-1.1107816553055001</v>
      </c>
      <c r="AH3301">
        <v>16.856688380660501</v>
      </c>
      <c r="AI3301">
        <v>93.727248709790402</v>
      </c>
      <c r="AJ3301">
        <v>98.658045740732106</v>
      </c>
      <c r="AK3301">
        <v>17.087137477365999</v>
      </c>
      <c r="AL3301">
        <v>78.949664379145304</v>
      </c>
      <c r="AM3301">
        <v>98.065075423597307</v>
      </c>
      <c r="AN3301">
        <v>0.99999998425477399</v>
      </c>
    </row>
    <row r="3302" spans="1:40" x14ac:dyDescent="0.25">
      <c r="A3302" t="str">
        <f>"20190304155120975"</f>
        <v>20190304155120975</v>
      </c>
      <c r="B3302" t="str">
        <f>"1551685880970269"</f>
        <v>1551685880970269</v>
      </c>
      <c r="C3302" t="s">
        <v>40</v>
      </c>
      <c r="D3302">
        <v>5.139386</v>
      </c>
      <c r="E3302">
        <v>0.53593930000000001</v>
      </c>
      <c r="F3302" t="s">
        <v>72</v>
      </c>
      <c r="G3302">
        <v>-426.14980000000003</v>
      </c>
      <c r="H3302" s="1">
        <v>2.9572880000000001E-6</v>
      </c>
      <c r="I3302">
        <v>213.66059999999999</v>
      </c>
      <c r="J3302">
        <v>-458.5702</v>
      </c>
      <c r="K3302">
        <v>1.110716</v>
      </c>
      <c r="L3302">
        <v>214.37690000000001</v>
      </c>
      <c r="M3302">
        <v>0.9970099</v>
      </c>
      <c r="N3302">
        <v>-1.117187E-2</v>
      </c>
      <c r="O3302">
        <v>-7.6462569999999994E-2</v>
      </c>
      <c r="P3302">
        <v>0.98155530000000002</v>
      </c>
      <c r="Q3302">
        <v>0.1809665</v>
      </c>
      <c r="R3302">
        <v>6.1647019999999997E-2</v>
      </c>
      <c r="S3302">
        <v>3.0800779999999999</v>
      </c>
      <c r="T3302">
        <v>-0.10472770000000001</v>
      </c>
      <c r="U3302">
        <v>-6.9259639999999997E-2</v>
      </c>
      <c r="V3302">
        <v>-0.13669629999999999</v>
      </c>
      <c r="W3302">
        <v>0.19171340000000001</v>
      </c>
      <c r="X3302">
        <v>0.97188479999999999</v>
      </c>
      <c r="Y3302">
        <v>-5.3971980000000003E-2</v>
      </c>
      <c r="Z3302">
        <v>2.9603530000000002E-3</v>
      </c>
      <c r="AA3302">
        <v>0.99853809999999998</v>
      </c>
      <c r="AB3302">
        <v>23</v>
      </c>
      <c r="AC3302">
        <v>32.420399999999901</v>
      </c>
      <c r="AD3302">
        <v>-1.110713042712</v>
      </c>
      <c r="AE3302">
        <v>-0.71630000000001803</v>
      </c>
      <c r="AF3302">
        <v>-1.76283091626782</v>
      </c>
      <c r="AG3302">
        <v>-1.110713042712</v>
      </c>
      <c r="AH3302">
        <v>32.342306924597104</v>
      </c>
      <c r="AI3302">
        <v>91.963989732205903</v>
      </c>
      <c r="AJ3302">
        <v>93.119843262984006</v>
      </c>
      <c r="AK3302">
        <v>32.409351636640899</v>
      </c>
      <c r="AL3302">
        <v>78.947206660273807</v>
      </c>
      <c r="AM3302">
        <v>98.006174103316695</v>
      </c>
      <c r="AN3302">
        <v>0.99999998532214496</v>
      </c>
    </row>
    <row r="3303" spans="1:40" x14ac:dyDescent="0.25">
      <c r="A3303" t="str">
        <f>"20190304155120997"</f>
        <v>20190304155120997</v>
      </c>
      <c r="B3303" t="str">
        <f>"1551685880989790"</f>
        <v>1551685880989790</v>
      </c>
      <c r="C3303" t="s">
        <v>40</v>
      </c>
      <c r="D3303">
        <v>5.0643419999999999</v>
      </c>
      <c r="E3303">
        <v>0.53758099999999998</v>
      </c>
      <c r="F3303" t="s">
        <v>72</v>
      </c>
      <c r="G3303">
        <v>-428.17860000000002</v>
      </c>
      <c r="H3303" s="1">
        <v>2.6248709999999999E-6</v>
      </c>
      <c r="I3303">
        <v>213.34630000000001</v>
      </c>
      <c r="J3303">
        <v>-458.33249999999998</v>
      </c>
      <c r="K3303">
        <v>1.1106670000000001</v>
      </c>
      <c r="L3303">
        <v>214.3595</v>
      </c>
      <c r="M3303">
        <v>0.99705949999999999</v>
      </c>
      <c r="N3303">
        <v>-1.115493E-2</v>
      </c>
      <c r="O3303">
        <v>-7.5815510000000003E-2</v>
      </c>
      <c r="P3303">
        <v>0.98168069999999996</v>
      </c>
      <c r="Q3303">
        <v>0.18043380000000001</v>
      </c>
      <c r="R3303">
        <v>6.1210809999999997E-2</v>
      </c>
      <c r="S3303">
        <v>3.08371</v>
      </c>
      <c r="T3303">
        <v>-0.1126996</v>
      </c>
      <c r="U3303">
        <v>-0.10456849999999999</v>
      </c>
      <c r="V3303">
        <v>-0.13561819999999999</v>
      </c>
      <c r="W3303">
        <v>0.1911822</v>
      </c>
      <c r="X3303">
        <v>0.97214040000000002</v>
      </c>
      <c r="Y3303">
        <v>-4.1922960000000002E-2</v>
      </c>
      <c r="Z3303">
        <v>2.9196209999999998E-3</v>
      </c>
      <c r="AA3303">
        <v>0.99911660000000002</v>
      </c>
      <c r="AB3303">
        <v>23</v>
      </c>
      <c r="AC3303">
        <v>30.153899999999901</v>
      </c>
      <c r="AD3303">
        <v>-1.110664375129</v>
      </c>
      <c r="AE3303">
        <v>-1.0131999999999799</v>
      </c>
      <c r="AF3303">
        <v>-1.2742651409494501</v>
      </c>
      <c r="AG3303">
        <v>-1.110664375129</v>
      </c>
      <c r="AH3303">
        <v>30.103128792530502</v>
      </c>
      <c r="AI3303">
        <v>92.111098515676005</v>
      </c>
      <c r="AJ3303">
        <v>92.423882738273704</v>
      </c>
      <c r="AK3303">
        <v>30.150550411282701</v>
      </c>
      <c r="AL3303">
        <v>78.978215294589106</v>
      </c>
      <c r="AM3303">
        <v>97.941778041758297</v>
      </c>
      <c r="AN3303">
        <v>0.99999994354011801</v>
      </c>
    </row>
    <row r="3304" spans="1:40" x14ac:dyDescent="0.25">
      <c r="A3304" t="str">
        <f>"20190304155121018"</f>
        <v>20190304155121018</v>
      </c>
      <c r="B3304" t="str">
        <f>"1551685881010286"</f>
        <v>1551685881010286</v>
      </c>
      <c r="C3304" t="s">
        <v>40</v>
      </c>
      <c r="D3304">
        <v>5.150099</v>
      </c>
      <c r="E3304">
        <v>0.536914</v>
      </c>
      <c r="F3304" t="s">
        <v>72</v>
      </c>
      <c r="G3304">
        <v>-427.38920000000002</v>
      </c>
      <c r="H3304" s="1">
        <v>2.7808300000000001E-6</v>
      </c>
      <c r="I3304">
        <v>213.1643</v>
      </c>
      <c r="J3304">
        <v>-458.12439999999998</v>
      </c>
      <c r="K3304">
        <v>1.110638</v>
      </c>
      <c r="L3304">
        <v>214.3443</v>
      </c>
      <c r="M3304">
        <v>0.99709979999999998</v>
      </c>
      <c r="N3304">
        <v>-1.113688E-2</v>
      </c>
      <c r="O3304">
        <v>-7.5286080000000005E-2</v>
      </c>
      <c r="P3304">
        <v>0.98191209999999995</v>
      </c>
      <c r="Q3304">
        <v>0.179465299999999</v>
      </c>
      <c r="R3304">
        <v>6.0338999999999997E-2</v>
      </c>
      <c r="S3304">
        <v>3.0837400000000001</v>
      </c>
      <c r="T3304">
        <v>-0.1106863</v>
      </c>
      <c r="U3304">
        <v>-0.1191101</v>
      </c>
      <c r="V3304">
        <v>-0.1342371</v>
      </c>
      <c r="W3304">
        <v>0.1902095</v>
      </c>
      <c r="X3304">
        <v>0.97252289999999997</v>
      </c>
      <c r="Y3304">
        <v>-3.6693940000000001E-2</v>
      </c>
      <c r="Z3304">
        <v>2.721205E-3</v>
      </c>
      <c r="AA3304">
        <v>0.99932279999999996</v>
      </c>
      <c r="AB3304">
        <v>23</v>
      </c>
      <c r="AC3304">
        <v>30.735199999999899</v>
      </c>
      <c r="AD3304">
        <v>-1.11063521917</v>
      </c>
      <c r="AE3304">
        <v>-1.18</v>
      </c>
      <c r="AF3304">
        <v>-1.1359443687580599</v>
      </c>
      <c r="AG3304">
        <v>-1.11063521917</v>
      </c>
      <c r="AH3304">
        <v>30.696780692014599</v>
      </c>
      <c r="AI3304">
        <v>92.070689335699797</v>
      </c>
      <c r="AJ3304">
        <v>92.119281960137499</v>
      </c>
      <c r="AK3304">
        <v>30.737863052798801</v>
      </c>
      <c r="AL3304">
        <v>79.034989615658105</v>
      </c>
      <c r="AM3304">
        <v>97.858864033152202</v>
      </c>
      <c r="AN3304">
        <v>1.0000000219655301</v>
      </c>
    </row>
    <row r="3305" spans="1:40" x14ac:dyDescent="0.25">
      <c r="A3305" t="str">
        <f>"20190304155121040"</f>
        <v>20190304155121040</v>
      </c>
      <c r="B3305" t="str">
        <f>"1551685881029805"</f>
        <v>1551685881029805</v>
      </c>
      <c r="C3305" t="s">
        <v>40</v>
      </c>
      <c r="D3305">
        <v>5.0389460000000001</v>
      </c>
      <c r="E3305">
        <v>0.53643529999999995</v>
      </c>
      <c r="F3305" t="s">
        <v>72</v>
      </c>
      <c r="G3305">
        <v>-431.14319999999998</v>
      </c>
      <c r="H3305" s="1">
        <v>2.8366410000000002E-6</v>
      </c>
      <c r="I3305">
        <v>213.3272</v>
      </c>
      <c r="J3305">
        <v>-457.88400000000001</v>
      </c>
      <c r="K3305">
        <v>1.1106259999999999</v>
      </c>
      <c r="L3305">
        <v>214.32679999999999</v>
      </c>
      <c r="M3305">
        <v>0.99714389999999997</v>
      </c>
      <c r="N3305">
        <v>-1.1111859999999999E-2</v>
      </c>
      <c r="O3305">
        <v>-7.4704039999999999E-2</v>
      </c>
      <c r="P3305">
        <v>0.98218989999999995</v>
      </c>
      <c r="Q3305">
        <v>0.17822389999999999</v>
      </c>
      <c r="R3305">
        <v>5.949306E-2</v>
      </c>
      <c r="S3305">
        <v>3.0856319999999999</v>
      </c>
      <c r="T3305">
        <v>-0.12701460000000001</v>
      </c>
      <c r="U3305">
        <v>-0.1163177</v>
      </c>
      <c r="V3305">
        <v>-0.13283909999999999</v>
      </c>
      <c r="W3305">
        <v>0.18895290000000001</v>
      </c>
      <c r="X3305">
        <v>0.97295969999999998</v>
      </c>
      <c r="Y3305">
        <v>-3.7017799999999997E-2</v>
      </c>
      <c r="Z3305">
        <v>3.2061419999999999E-3</v>
      </c>
      <c r="AA3305">
        <v>0.99930949999999996</v>
      </c>
      <c r="AB3305">
        <v>23</v>
      </c>
      <c r="AC3305">
        <v>26.7408</v>
      </c>
      <c r="AD3305">
        <v>-1.110623163359</v>
      </c>
      <c r="AE3305">
        <v>-0.99959999999998606</v>
      </c>
      <c r="AF3305">
        <v>-0.99924121792279796</v>
      </c>
      <c r="AG3305">
        <v>-1.110623163359</v>
      </c>
      <c r="AH3305">
        <v>26.694765289546599</v>
      </c>
      <c r="AI3305">
        <v>92.380724636044505</v>
      </c>
      <c r="AJ3305">
        <v>92.143700699913495</v>
      </c>
      <c r="AK3305">
        <v>26.736537933819498</v>
      </c>
      <c r="AL3305">
        <v>79.108317062906806</v>
      </c>
      <c r="AM3305">
        <v>97.774576465565602</v>
      </c>
      <c r="AN3305">
        <v>1.00000000136565</v>
      </c>
    </row>
    <row r="3306" spans="1:40" x14ac:dyDescent="0.25">
      <c r="A3306" t="str">
        <f>"20190304155121062"</f>
        <v>20190304155121062</v>
      </c>
      <c r="B3306" t="str">
        <f>"1551685881050301"</f>
        <v>1551685881050301</v>
      </c>
      <c r="C3306" t="s">
        <v>40</v>
      </c>
      <c r="D3306">
        <v>4.8915689999999996</v>
      </c>
      <c r="E3306">
        <v>0.53862509999999997</v>
      </c>
      <c r="F3306" t="s">
        <v>72</v>
      </c>
      <c r="G3306">
        <v>-431.93060000000003</v>
      </c>
      <c r="H3306" s="1">
        <v>3.182183E-6</v>
      </c>
      <c r="I3306">
        <v>213.3691</v>
      </c>
      <c r="J3306">
        <v>-457.65980000000002</v>
      </c>
      <c r="K3306">
        <v>1.110622</v>
      </c>
      <c r="L3306">
        <v>214.31059999999999</v>
      </c>
      <c r="M3306">
        <v>0.99718370000000001</v>
      </c>
      <c r="N3306">
        <v>-1.1085299999999999E-2</v>
      </c>
      <c r="O3306">
        <v>-7.4176530000000004E-2</v>
      </c>
      <c r="P3306">
        <v>0.98225019999999996</v>
      </c>
      <c r="Q3306">
        <v>0.17807020000000001</v>
      </c>
      <c r="R3306">
        <v>5.8957170000000003E-2</v>
      </c>
      <c r="S3306">
        <v>3.0852970000000002</v>
      </c>
      <c r="T3306">
        <v>-0.13202910000000001</v>
      </c>
      <c r="U3306">
        <v>-0.1138458</v>
      </c>
      <c r="V3306">
        <v>-0.1317932</v>
      </c>
      <c r="W3306">
        <v>0.1887759</v>
      </c>
      <c r="X3306">
        <v>0.97313620000000001</v>
      </c>
      <c r="Y3306">
        <v>-3.7277879999999999E-2</v>
      </c>
      <c r="Z3306">
        <v>3.3496429999999998E-3</v>
      </c>
      <c r="AA3306">
        <v>0.9992993</v>
      </c>
      <c r="AB3306">
        <v>23</v>
      </c>
      <c r="AC3306">
        <v>25.729199999999899</v>
      </c>
      <c r="AD3306">
        <v>-1.110618817817</v>
      </c>
      <c r="AE3306">
        <v>-0.94149999999999001</v>
      </c>
      <c r="AF3306">
        <v>-0.967912646209657</v>
      </c>
      <c r="AG3306">
        <v>-1.110618817817</v>
      </c>
      <c r="AH3306">
        <v>25.6803664368576</v>
      </c>
      <c r="AI3306">
        <v>92.4746171781931</v>
      </c>
      <c r="AJ3306">
        <v>92.158500007911599</v>
      </c>
      <c r="AK3306">
        <v>25.722588310286099</v>
      </c>
      <c r="AL3306">
        <v>79.118643441327393</v>
      </c>
      <c r="AM3306">
        <v>97.712721485854402</v>
      </c>
      <c r="AN3306">
        <v>0.99999992586874198</v>
      </c>
    </row>
    <row r="3307" spans="1:40" x14ac:dyDescent="0.25">
      <c r="A3307" t="str">
        <f>"20190304155121085"</f>
        <v>20190304155121085</v>
      </c>
      <c r="B3307" t="str">
        <f>"1551685881079582"</f>
        <v>1551685881079582</v>
      </c>
      <c r="C3307" t="s">
        <v>40</v>
      </c>
      <c r="D3307">
        <v>5.0138439999999997</v>
      </c>
      <c r="E3307">
        <v>0.54017389999999998</v>
      </c>
      <c r="F3307" t="s">
        <v>72</v>
      </c>
      <c r="G3307">
        <v>-429.24329999999998</v>
      </c>
      <c r="H3307" s="1">
        <v>2.458929E-6</v>
      </c>
      <c r="I3307">
        <v>213.08420000000001</v>
      </c>
      <c r="J3307">
        <v>-457.41820000000001</v>
      </c>
      <c r="K3307">
        <v>1.110619</v>
      </c>
      <c r="L3307">
        <v>214.29329999999999</v>
      </c>
      <c r="M3307">
        <v>0.9972261</v>
      </c>
      <c r="N3307">
        <v>-1.105741E-2</v>
      </c>
      <c r="O3307">
        <v>-7.3607560000000002E-2</v>
      </c>
      <c r="P3307">
        <v>0.98228170000000004</v>
      </c>
      <c r="Q3307">
        <v>0.1779047</v>
      </c>
      <c r="R3307">
        <v>5.8931440000000002E-2</v>
      </c>
      <c r="S3307">
        <v>3.084076</v>
      </c>
      <c r="T3307">
        <v>-0.1205368</v>
      </c>
      <c r="U3307">
        <v>-0.13310239999999901</v>
      </c>
      <c r="V3307">
        <v>-0.13121669999999999</v>
      </c>
      <c r="W3307">
        <v>0.18858249999999999</v>
      </c>
      <c r="X3307">
        <v>0.97325159999999999</v>
      </c>
      <c r="Y3307">
        <v>-3.0484230000000001E-2</v>
      </c>
      <c r="Z3307">
        <v>2.82103E-3</v>
      </c>
      <c r="AA3307">
        <v>0.99953130000000001</v>
      </c>
      <c r="AB3307">
        <v>23</v>
      </c>
      <c r="AC3307">
        <v>28.174900000000001</v>
      </c>
      <c r="AD3307">
        <v>-1.1106165410710001</v>
      </c>
      <c r="AE3307">
        <v>-1.2090999999999701</v>
      </c>
      <c r="AF3307">
        <v>-0.86684808164875704</v>
      </c>
      <c r="AG3307">
        <v>-1.1106165410710001</v>
      </c>
      <c r="AH3307">
        <v>28.1438141766473</v>
      </c>
      <c r="AI3307">
        <v>92.258774299511501</v>
      </c>
      <c r="AJ3307">
        <v>91.764190142148195</v>
      </c>
      <c r="AK3307">
        <v>28.1790555396665</v>
      </c>
      <c r="AL3307">
        <v>79.129927152102098</v>
      </c>
      <c r="AM3307">
        <v>97.678487674295795</v>
      </c>
      <c r="AN3307">
        <v>0.99999992928384696</v>
      </c>
    </row>
    <row r="3308" spans="1:40" x14ac:dyDescent="0.25">
      <c r="A3308" t="str">
        <f>"20190304155121105"</f>
        <v>20190304155121105</v>
      </c>
      <c r="B3308" t="str">
        <f>"1551685881100078"</f>
        <v>1551685881100078</v>
      </c>
      <c r="C3308" t="s">
        <v>40</v>
      </c>
      <c r="D3308">
        <v>5.2760939999999996</v>
      </c>
      <c r="E3308">
        <v>0.54075030000000002</v>
      </c>
      <c r="F3308" t="s">
        <v>72</v>
      </c>
      <c r="G3308">
        <v>-429.14350000000002</v>
      </c>
      <c r="H3308" s="1">
        <v>2.487364E-6</v>
      </c>
      <c r="I3308">
        <v>212.9615</v>
      </c>
      <c r="J3308">
        <v>-457.20389999999998</v>
      </c>
      <c r="K3308">
        <v>1.1106309999999999</v>
      </c>
      <c r="L3308">
        <v>214.27809999999999</v>
      </c>
      <c r="M3308">
        <v>0.99726409999999999</v>
      </c>
      <c r="N3308">
        <v>-1.1030699999999999E-2</v>
      </c>
      <c r="O3308">
        <v>-7.3094119999999999E-2</v>
      </c>
      <c r="P3308">
        <v>0.98209780000000002</v>
      </c>
      <c r="Q3308">
        <v>0.1787579</v>
      </c>
      <c r="R3308">
        <v>5.9413720000000003E-2</v>
      </c>
      <c r="S3308">
        <v>3.0848080000000002</v>
      </c>
      <c r="T3308">
        <v>-0.121169899999999</v>
      </c>
      <c r="U3308">
        <v>-0.14530940000000001</v>
      </c>
      <c r="V3308">
        <v>-0.1311882</v>
      </c>
      <c r="W3308">
        <v>0.1894043</v>
      </c>
      <c r="X3308">
        <v>0.97309599999999996</v>
      </c>
      <c r="Y3308">
        <v>-2.6036179999999999E-2</v>
      </c>
      <c r="Z3308">
        <v>2.7133529999999999E-3</v>
      </c>
      <c r="AA3308">
        <v>0.99965729999999997</v>
      </c>
      <c r="AB3308">
        <v>23</v>
      </c>
      <c r="AC3308">
        <v>28.060399999999898</v>
      </c>
      <c r="AD3308">
        <v>-1.1106285126359901</v>
      </c>
      <c r="AE3308">
        <v>-1.31659999999999</v>
      </c>
      <c r="AF3308">
        <v>-0.73694525471649697</v>
      </c>
      <c r="AG3308">
        <v>-1.1106285126359901</v>
      </c>
      <c r="AH3308">
        <v>28.0377455643759</v>
      </c>
      <c r="AI3308">
        <v>92.267626670369694</v>
      </c>
      <c r="AJ3308">
        <v>91.505617964111906</v>
      </c>
      <c r="AK3308">
        <v>28.069409689806601</v>
      </c>
      <c r="AL3308">
        <v>79.081978995265303</v>
      </c>
      <c r="AM3308">
        <v>97.678052712766004</v>
      </c>
      <c r="AN3308">
        <v>1.0000000789468599</v>
      </c>
    </row>
    <row r="3309" spans="1:40" x14ac:dyDescent="0.25">
      <c r="A3309" t="str">
        <f>"20190304155121129"</f>
        <v>20190304155121129</v>
      </c>
      <c r="B3309" t="str">
        <f>"1551685881119597"</f>
        <v>1551685881119597</v>
      </c>
      <c r="C3309" t="s">
        <v>40</v>
      </c>
      <c r="D3309">
        <v>5.0303779999999998</v>
      </c>
      <c r="E3309">
        <v>0.5421068</v>
      </c>
      <c r="F3309" t="s">
        <v>72</v>
      </c>
      <c r="G3309">
        <v>-428.5496</v>
      </c>
      <c r="H3309" s="1">
        <v>2.5977999999999999E-6</v>
      </c>
      <c r="I3309">
        <v>212.9033</v>
      </c>
      <c r="J3309">
        <v>-456.96379999999999</v>
      </c>
      <c r="K3309">
        <v>1.1106339999999999</v>
      </c>
      <c r="L3309">
        <v>214.2612</v>
      </c>
      <c r="M3309">
        <v>0.99730750000000001</v>
      </c>
      <c r="N3309">
        <v>-1.0998269999999999E-2</v>
      </c>
      <c r="O3309">
        <v>-7.2505070000000005E-2</v>
      </c>
      <c r="P3309">
        <v>0.98205790000000004</v>
      </c>
      <c r="Q3309">
        <v>0.17873139999999901</v>
      </c>
      <c r="R3309">
        <v>6.0148170000000001E-2</v>
      </c>
      <c r="S3309">
        <v>3.0854189999999999</v>
      </c>
      <c r="T3309">
        <v>-0.11958969999999999</v>
      </c>
      <c r="U3309">
        <v>-0.1480408</v>
      </c>
      <c r="V3309">
        <v>-0.13134660000000001</v>
      </c>
      <c r="W3309">
        <v>0.18934239999999999</v>
      </c>
      <c r="X3309">
        <v>0.97308660000000002</v>
      </c>
      <c r="Y3309">
        <v>-2.457527E-2</v>
      </c>
      <c r="Z3309">
        <v>2.6179799999999998E-3</v>
      </c>
      <c r="AA3309">
        <v>0.99969450000000004</v>
      </c>
      <c r="AB3309">
        <v>23</v>
      </c>
      <c r="AC3309">
        <v>28.414199999999902</v>
      </c>
      <c r="AD3309">
        <v>-1.1106314021999999</v>
      </c>
      <c r="AE3309">
        <v>-1.3579000000000001</v>
      </c>
      <c r="AF3309">
        <v>-0.704897840286833</v>
      </c>
      <c r="AG3309">
        <v>-1.1106314021999999</v>
      </c>
      <c r="AH3309">
        <v>28.3945839589658</v>
      </c>
      <c r="AI3309">
        <v>92.239247470333893</v>
      </c>
      <c r="AJ3309">
        <v>91.422080266932099</v>
      </c>
      <c r="AK3309">
        <v>28.425037929254401</v>
      </c>
      <c r="AL3309">
        <v>79.085590116360805</v>
      </c>
      <c r="AM3309">
        <v>97.687285973233998</v>
      </c>
      <c r="AN3309">
        <v>1.00000000243444</v>
      </c>
    </row>
    <row r="3310" spans="1:40" x14ac:dyDescent="0.25">
      <c r="A3310" t="str">
        <f>"20190304155121152"</f>
        <v>20190304155121152</v>
      </c>
      <c r="B3310" t="str">
        <f>"1551685881140170"</f>
        <v>1551685881140170</v>
      </c>
      <c r="C3310" t="s">
        <v>40</v>
      </c>
      <c r="D3310">
        <v>5.0126119999999998</v>
      </c>
      <c r="E3310">
        <v>0.543126</v>
      </c>
      <c r="F3310" t="s">
        <v>72</v>
      </c>
      <c r="G3310">
        <v>-426.98469999999998</v>
      </c>
      <c r="H3310" s="1">
        <v>2.8894030000000001E-6</v>
      </c>
      <c r="I3310">
        <v>212.74289999999999</v>
      </c>
      <c r="J3310">
        <v>-456.72340000000003</v>
      </c>
      <c r="K3310">
        <v>1.1106370000000001</v>
      </c>
      <c r="L3310">
        <v>214.24440000000001</v>
      </c>
      <c r="M3310">
        <v>0.9973514</v>
      </c>
      <c r="N3310">
        <v>-1.0967019999999999E-2</v>
      </c>
      <c r="O3310">
        <v>-7.1901859999999998E-2</v>
      </c>
      <c r="P3310">
        <v>0.98220010000000002</v>
      </c>
      <c r="Q3310">
        <v>0.17740629999999999</v>
      </c>
      <c r="R3310">
        <v>6.1725250000000002E-2</v>
      </c>
      <c r="S3310">
        <v>3.0852050000000002</v>
      </c>
      <c r="T3310">
        <v>-0.1142973</v>
      </c>
      <c r="U3310">
        <v>-0.15625</v>
      </c>
      <c r="V3310">
        <v>-0.13234360000000001</v>
      </c>
      <c r="W3310">
        <v>0.18798400000000001</v>
      </c>
      <c r="X3310">
        <v>0.97321489999999999</v>
      </c>
      <c r="Y3310">
        <v>-2.132179E-2</v>
      </c>
      <c r="Z3310">
        <v>2.3810559999999999E-3</v>
      </c>
      <c r="AA3310">
        <v>0.99976980000000004</v>
      </c>
      <c r="AB3310">
        <v>23</v>
      </c>
      <c r="AC3310">
        <v>29.738700000000001</v>
      </c>
      <c r="AD3310">
        <v>-1.1106341105969999</v>
      </c>
      <c r="AE3310">
        <v>-1.50150000000002</v>
      </c>
      <c r="AF3310">
        <v>-0.63989303863665803</v>
      </c>
      <c r="AG3310">
        <v>-1.1106341105969999</v>
      </c>
      <c r="AH3310">
        <v>29.728327219225498</v>
      </c>
      <c r="AI3310">
        <v>92.139049067419194</v>
      </c>
      <c r="AJ3310">
        <v>91.233083502847606</v>
      </c>
      <c r="AK3310">
        <v>29.7559474808291</v>
      </c>
      <c r="AL3310">
        <v>79.164844233357499</v>
      </c>
      <c r="AM3310">
        <v>97.743922890576997</v>
      </c>
      <c r="AN3310">
        <v>1.00000002714948</v>
      </c>
    </row>
    <row r="3311" spans="1:40" x14ac:dyDescent="0.25">
      <c r="A3311" t="str">
        <f>"20190304155121176"</f>
        <v>20190304155121176</v>
      </c>
      <c r="B3311" t="str">
        <f>"1551685881169450"</f>
        <v>1551685881169450</v>
      </c>
      <c r="C3311" t="s">
        <v>40</v>
      </c>
      <c r="D3311">
        <v>5.1041970000000001</v>
      </c>
      <c r="E3311">
        <v>0.54267509999999997</v>
      </c>
      <c r="F3311" t="s">
        <v>72</v>
      </c>
      <c r="G3311">
        <v>-426.22089999999997</v>
      </c>
      <c r="H3311" s="1">
        <v>3.0322170000000002E-6</v>
      </c>
      <c r="I3311">
        <v>212.6593</v>
      </c>
      <c r="J3311">
        <v>-456.48149999999998</v>
      </c>
      <c r="K3311">
        <v>1.110643</v>
      </c>
      <c r="L3311">
        <v>214.2277</v>
      </c>
      <c r="M3311">
        <v>0.99739610000000001</v>
      </c>
      <c r="N3311">
        <v>-1.0939020000000001E-2</v>
      </c>
      <c r="O3311">
        <v>-7.1286279999999994E-2</v>
      </c>
      <c r="P3311">
        <v>0.98228280000000001</v>
      </c>
      <c r="Q3311">
        <v>0.17627770000000001</v>
      </c>
      <c r="R3311">
        <v>6.3613900000000001E-2</v>
      </c>
      <c r="S3311">
        <v>3.0847470000000001</v>
      </c>
      <c r="T3311">
        <v>-0.11231910000000001</v>
      </c>
      <c r="U3311">
        <v>-0.1603088</v>
      </c>
      <c r="V3311">
        <v>-0.1336349</v>
      </c>
      <c r="W3311">
        <v>0.1868243</v>
      </c>
      <c r="X3311">
        <v>0.97326170000000001</v>
      </c>
      <c r="Y3311">
        <v>-1.938871E-2</v>
      </c>
      <c r="Z3311">
        <v>2.2689730000000001E-3</v>
      </c>
      <c r="AA3311">
        <v>0.99980939999999996</v>
      </c>
      <c r="AB3311">
        <v>23</v>
      </c>
      <c r="AC3311">
        <v>30.2606</v>
      </c>
      <c r="AD3311">
        <v>-1.1106399677829999</v>
      </c>
      <c r="AE3311">
        <v>-1.56839999999999</v>
      </c>
      <c r="AF3311">
        <v>-0.59208947218965802</v>
      </c>
      <c r="AG3311">
        <v>-1.1106399677829999</v>
      </c>
      <c r="AH3311">
        <v>30.254770555873801</v>
      </c>
      <c r="AI3311">
        <v>92.101957941297002</v>
      </c>
      <c r="AJ3311">
        <v>91.121142132203701</v>
      </c>
      <c r="AK3311">
        <v>30.2809384344291</v>
      </c>
      <c r="AL3311">
        <v>79.232488003487006</v>
      </c>
      <c r="AM3311">
        <v>97.818180326989307</v>
      </c>
      <c r="AN3311">
        <v>0.99999997112769401</v>
      </c>
    </row>
    <row r="3312" spans="1:40" x14ac:dyDescent="0.25">
      <c r="A3312" t="str">
        <f>"20190304155121197"</f>
        <v>20190304155121197</v>
      </c>
      <c r="B3312" t="str">
        <f>"1551685881189947"</f>
        <v>1551685881189947</v>
      </c>
      <c r="C3312" t="s">
        <v>40</v>
      </c>
      <c r="D3312">
        <v>5.0149480000000004</v>
      </c>
      <c r="E3312">
        <v>0.54318029999999995</v>
      </c>
      <c r="F3312" t="s">
        <v>72</v>
      </c>
      <c r="G3312">
        <v>-427.32100000000003</v>
      </c>
      <c r="H3312" s="1">
        <v>2.8253669999999998E-6</v>
      </c>
      <c r="I3312">
        <v>212.79300000000001</v>
      </c>
      <c r="J3312">
        <v>-456.25060000000002</v>
      </c>
      <c r="K3312">
        <v>1.110646</v>
      </c>
      <c r="L3312">
        <v>214.21180000000001</v>
      </c>
      <c r="M3312">
        <v>0.99743839999999995</v>
      </c>
      <c r="N3312">
        <v>-1.0915090000000001E-2</v>
      </c>
      <c r="O3312">
        <v>-7.0694099999999996E-2</v>
      </c>
      <c r="P3312">
        <v>0.98228090000000001</v>
      </c>
      <c r="Q3312">
        <v>0.17574670000000001</v>
      </c>
      <c r="R3312">
        <v>6.5098669999999997E-2</v>
      </c>
      <c r="S3312">
        <v>3.0850219999999999</v>
      </c>
      <c r="T3312">
        <v>-0.1174998</v>
      </c>
      <c r="U3312">
        <v>-0.1517792</v>
      </c>
      <c r="V3312">
        <v>-0.13453950000000001</v>
      </c>
      <c r="W3312">
        <v>0.18626680000000001</v>
      </c>
      <c r="X3312">
        <v>0.973244</v>
      </c>
      <c r="Y3312">
        <v>-2.1550590000000001E-2</v>
      </c>
      <c r="Z3312">
        <v>2.4430239999999998E-3</v>
      </c>
      <c r="AA3312">
        <v>0.99976480000000001</v>
      </c>
      <c r="AB3312">
        <v>23</v>
      </c>
      <c r="AC3312">
        <v>28.929600000000001</v>
      </c>
      <c r="AD3312">
        <v>-1.1106431746330001</v>
      </c>
      <c r="AE3312">
        <v>-1.4188000000000001</v>
      </c>
      <c r="AF3312">
        <v>-0.62909891943302998</v>
      </c>
      <c r="AG3312">
        <v>-1.1106431746330001</v>
      </c>
      <c r="AH3312">
        <v>28.9150023022044</v>
      </c>
      <c r="AI3312">
        <v>92.199165144590296</v>
      </c>
      <c r="AJ3312">
        <v>91.246378154999704</v>
      </c>
      <c r="AK3312">
        <v>28.943162436891299</v>
      </c>
      <c r="AL3312">
        <v>79.265001882801002</v>
      </c>
      <c r="AM3312">
        <v>97.870583370271405</v>
      </c>
      <c r="AN3312">
        <v>1.00000004068924</v>
      </c>
    </row>
    <row r="3313" spans="1:40" x14ac:dyDescent="0.25">
      <c r="A3313" t="str">
        <f>"20190304155121218"</f>
        <v>20190304155121218</v>
      </c>
      <c r="B3313" t="str">
        <f>"1551685881210443"</f>
        <v>1551685881210443</v>
      </c>
      <c r="C3313" t="s">
        <v>40</v>
      </c>
      <c r="D3313">
        <v>5.1582100000000004</v>
      </c>
      <c r="E3313">
        <v>0.54291709999999904</v>
      </c>
      <c r="F3313" t="s">
        <v>72</v>
      </c>
      <c r="G3313">
        <v>-427.9862</v>
      </c>
      <c r="H3313" s="1">
        <v>2.7045460000000001E-6</v>
      </c>
      <c r="I3313">
        <v>212.8254</v>
      </c>
      <c r="J3313">
        <v>-456.02339999999998</v>
      </c>
      <c r="K3313">
        <v>1.110638</v>
      </c>
      <c r="L3313">
        <v>214.19640000000001</v>
      </c>
      <c r="M3313">
        <v>0.99748000000000003</v>
      </c>
      <c r="N3313">
        <v>-1.0891069999999999E-2</v>
      </c>
      <c r="O3313">
        <v>-7.0109809999999995E-2</v>
      </c>
      <c r="P3313">
        <v>0.98228349999999998</v>
      </c>
      <c r="Q3313">
        <v>0.17546139999999999</v>
      </c>
      <c r="R3313">
        <v>6.5823000000000007E-2</v>
      </c>
      <c r="S3313">
        <v>3.0859070000000002</v>
      </c>
      <c r="T3313">
        <v>-0.1212599</v>
      </c>
      <c r="U3313">
        <v>-0.15136720000000001</v>
      </c>
      <c r="V3313">
        <v>-0.13469329999999999</v>
      </c>
      <c r="W3313">
        <v>0.18595619999999999</v>
      </c>
      <c r="X3313">
        <v>0.97328210000000004</v>
      </c>
      <c r="Y3313">
        <v>-2.1109269999999999E-2</v>
      </c>
      <c r="Z3313">
        <v>2.5150480000000002E-3</v>
      </c>
      <c r="AA3313">
        <v>0.99977400000000005</v>
      </c>
      <c r="AB3313">
        <v>24</v>
      </c>
      <c r="AC3313">
        <v>28.037199999999899</v>
      </c>
      <c r="AD3313">
        <v>-1.110635295454</v>
      </c>
      <c r="AE3313">
        <v>-1.371</v>
      </c>
      <c r="AF3313">
        <v>-0.59723811671914195</v>
      </c>
      <c r="AG3313">
        <v>-1.110635295454</v>
      </c>
      <c r="AH3313">
        <v>28.020462002733101</v>
      </c>
      <c r="AI3313">
        <v>92.269305718818103</v>
      </c>
      <c r="AJ3313">
        <v>91.2210377869403</v>
      </c>
      <c r="AK3313">
        <v>28.048823415148401</v>
      </c>
      <c r="AL3313">
        <v>79.283114175050798</v>
      </c>
      <c r="AM3313">
        <v>97.879163171799306</v>
      </c>
      <c r="AN3313">
        <v>1.0000000197818699</v>
      </c>
    </row>
    <row r="3314" spans="1:40" x14ac:dyDescent="0.25">
      <c r="A3314" t="str">
        <f>"20190304155121240"</f>
        <v>20190304155121240</v>
      </c>
      <c r="B3314" t="str">
        <f>"1551685881229966"</f>
        <v>1551685881229966</v>
      </c>
      <c r="C3314" t="s">
        <v>40</v>
      </c>
      <c r="D3314">
        <v>5.0769260000000003</v>
      </c>
      <c r="E3314">
        <v>0.54333069999999895</v>
      </c>
      <c r="F3314" t="s">
        <v>72</v>
      </c>
      <c r="G3314">
        <v>-429.05759999999998</v>
      </c>
      <c r="H3314" s="1">
        <v>2.5071059999999998E-6</v>
      </c>
      <c r="I3314">
        <v>212.91</v>
      </c>
      <c r="J3314">
        <v>-455.78710000000001</v>
      </c>
      <c r="K3314">
        <v>1.1106370000000001</v>
      </c>
      <c r="L3314">
        <v>214.18049999999999</v>
      </c>
      <c r="M3314">
        <v>0.99752260000000004</v>
      </c>
      <c r="N3314">
        <v>-1.086317E-2</v>
      </c>
      <c r="O3314">
        <v>-6.9502030000000006E-2</v>
      </c>
      <c r="P3314">
        <v>0.98235680000000003</v>
      </c>
      <c r="Q3314">
        <v>0.1751076</v>
      </c>
      <c r="R3314">
        <v>6.5671859999999999E-2</v>
      </c>
      <c r="S3314">
        <v>3.0866389999999999</v>
      </c>
      <c r="T3314">
        <v>-0.12712899999999999</v>
      </c>
      <c r="U3314">
        <v>-0.1472473</v>
      </c>
      <c r="V3314">
        <v>-0.1339553</v>
      </c>
      <c r="W3314">
        <v>0.1855762</v>
      </c>
      <c r="X3314">
        <v>0.9734564</v>
      </c>
      <c r="Y3314">
        <v>-2.183678E-2</v>
      </c>
      <c r="Z3314">
        <v>2.6696689999999999E-3</v>
      </c>
      <c r="AA3314">
        <v>0.99975800000000004</v>
      </c>
      <c r="AB3314">
        <v>24</v>
      </c>
      <c r="AC3314">
        <v>26.729500000000002</v>
      </c>
      <c r="AD3314">
        <v>-1.110634492894</v>
      </c>
      <c r="AE3314">
        <v>-1.27049999999999</v>
      </c>
      <c r="AF3314">
        <v>-0.58942159429548102</v>
      </c>
      <c r="AG3314">
        <v>-1.110634492894</v>
      </c>
      <c r="AH3314">
        <v>26.707157553585201</v>
      </c>
      <c r="AI3314">
        <v>92.380731056818803</v>
      </c>
      <c r="AJ3314">
        <v>91.264301083569805</v>
      </c>
      <c r="AK3314">
        <v>26.736738607852899</v>
      </c>
      <c r="AL3314">
        <v>79.305271560069897</v>
      </c>
      <c r="AM3314">
        <v>97.835144445632807</v>
      </c>
      <c r="AN3314">
        <v>0.99999995555274401</v>
      </c>
    </row>
    <row r="3315" spans="1:40" x14ac:dyDescent="0.25">
      <c r="A3315" t="str">
        <f>"20190304155121262"</f>
        <v>20190304155121262</v>
      </c>
      <c r="B3315" t="str">
        <f>"1551685881249482"</f>
        <v>1551685881249482</v>
      </c>
      <c r="C3315" t="s">
        <v>40</v>
      </c>
      <c r="D3315">
        <v>5.0691119999999996</v>
      </c>
      <c r="E3315">
        <v>0.54301390000000005</v>
      </c>
      <c r="F3315" t="s">
        <v>72</v>
      </c>
      <c r="G3315">
        <v>-429.40280000000001</v>
      </c>
      <c r="H3315" s="1">
        <v>2.4470800000000001E-6</v>
      </c>
      <c r="I3315">
        <v>212.89619999999999</v>
      </c>
      <c r="J3315">
        <v>-455.56889999999999</v>
      </c>
      <c r="K3315">
        <v>1.110636</v>
      </c>
      <c r="L3315">
        <v>214.16589999999999</v>
      </c>
      <c r="M3315">
        <v>0.9975619</v>
      </c>
      <c r="N3315">
        <v>-1.083747E-2</v>
      </c>
      <c r="O3315">
        <v>-6.8940409999999994E-2</v>
      </c>
      <c r="P3315">
        <v>0.98225810000000002</v>
      </c>
      <c r="Q3315">
        <v>0.1759627</v>
      </c>
      <c r="R3315">
        <v>6.4854369999999995E-2</v>
      </c>
      <c r="S3315">
        <v>3.087097</v>
      </c>
      <c r="T3315">
        <v>-0.1299497</v>
      </c>
      <c r="U3315">
        <v>-0.1502686</v>
      </c>
      <c r="V3315">
        <v>-0.13258599999999901</v>
      </c>
      <c r="W3315">
        <v>0.18640689999999999</v>
      </c>
      <c r="X3315">
        <v>0.97348520000000005</v>
      </c>
      <c r="Y3315">
        <v>-2.0303829999999998E-2</v>
      </c>
      <c r="Z3315">
        <v>2.6858860000000002E-3</v>
      </c>
      <c r="AA3315">
        <v>0.99979030000000002</v>
      </c>
      <c r="AB3315">
        <v>24</v>
      </c>
      <c r="AC3315">
        <v>26.166099999999901</v>
      </c>
      <c r="AD3315">
        <v>-1.11063355292</v>
      </c>
      <c r="AE3315">
        <v>-1.2697000000000001</v>
      </c>
      <c r="AF3315">
        <v>-0.53636482363775895</v>
      </c>
      <c r="AG3315">
        <v>-1.11063355292</v>
      </c>
      <c r="AH3315">
        <v>26.144384897540402</v>
      </c>
      <c r="AI3315">
        <v>92.431995055015406</v>
      </c>
      <c r="AJ3315">
        <v>91.175286028431699</v>
      </c>
      <c r="AK3315">
        <v>26.173460905727499</v>
      </c>
      <c r="AL3315">
        <v>79.256831286145598</v>
      </c>
      <c r="AM3315">
        <v>97.755806194877593</v>
      </c>
      <c r="AN3315">
        <v>1.00000000719132</v>
      </c>
    </row>
    <row r="3316" spans="1:40" x14ac:dyDescent="0.25">
      <c r="A3316" t="str">
        <f>"20190304155121284"</f>
        <v>20190304155121284</v>
      </c>
      <c r="B3316" t="str">
        <f>"1551685881279738"</f>
        <v>1551685881279738</v>
      </c>
      <c r="C3316" t="s">
        <v>40</v>
      </c>
      <c r="D3316">
        <v>4.9162429999999997</v>
      </c>
      <c r="E3316">
        <v>0.5429988</v>
      </c>
      <c r="F3316" t="s">
        <v>72</v>
      </c>
      <c r="G3316">
        <v>-429.21039999999999</v>
      </c>
      <c r="H3316" s="1">
        <v>2.482224E-6</v>
      </c>
      <c r="I3316">
        <v>212.88460000000001</v>
      </c>
      <c r="J3316">
        <v>-455.32799999999997</v>
      </c>
      <c r="K3316">
        <v>1.1106389999999999</v>
      </c>
      <c r="L3316">
        <v>214.1499</v>
      </c>
      <c r="M3316">
        <v>0.99760499999999996</v>
      </c>
      <c r="N3316">
        <v>-1.0812240000000001E-2</v>
      </c>
      <c r="O3316">
        <v>-6.8320149999999996E-2</v>
      </c>
      <c r="P3316">
        <v>0.98232339999999996</v>
      </c>
      <c r="Q3316">
        <v>0.17587539999999999</v>
      </c>
      <c r="R3316">
        <v>6.4100439999999995E-2</v>
      </c>
      <c r="S3316">
        <v>3.087402</v>
      </c>
      <c r="T3316">
        <v>-0.13008980000000001</v>
      </c>
      <c r="U3316">
        <v>-0.15008540000000001</v>
      </c>
      <c r="V3316">
        <v>-0.13123319999999999</v>
      </c>
      <c r="W3316">
        <v>0.18629770000000001</v>
      </c>
      <c r="X3316">
        <v>0.97368940000000004</v>
      </c>
      <c r="Y3316">
        <v>-1.974687E-2</v>
      </c>
      <c r="Z3316">
        <v>2.6565669999999999E-3</v>
      </c>
      <c r="AA3316">
        <v>0.99980150000000001</v>
      </c>
      <c r="AB3316">
        <v>24</v>
      </c>
      <c r="AC3316">
        <v>26.117599999999999</v>
      </c>
      <c r="AD3316">
        <v>-1.110636517776</v>
      </c>
      <c r="AE3316">
        <v>-1.2652999999999901</v>
      </c>
      <c r="AF3316">
        <v>-0.52117893309572605</v>
      </c>
      <c r="AG3316">
        <v>-1.110636517776</v>
      </c>
      <c r="AH3316">
        <v>26.095938755324202</v>
      </c>
      <c r="AI3316">
        <v>92.436537804953502</v>
      </c>
      <c r="AJ3316">
        <v>91.144139102774105</v>
      </c>
      <c r="AK3316">
        <v>26.1247614434381</v>
      </c>
      <c r="AL3316">
        <v>79.263199641712404</v>
      </c>
      <c r="AM3316">
        <v>97.676029963150896</v>
      </c>
      <c r="AN3316">
        <v>1.0000000167399401</v>
      </c>
    </row>
    <row r="3317" spans="1:40" x14ac:dyDescent="0.25">
      <c r="A3317" t="str">
        <f>"20190304155121307"</f>
        <v>20190304155121307</v>
      </c>
      <c r="B3317" t="str">
        <f>"1551685881300236"</f>
        <v>1551685881300236</v>
      </c>
      <c r="C3317" t="s">
        <v>40</v>
      </c>
      <c r="D3317">
        <v>4.9143169999999996</v>
      </c>
      <c r="E3317">
        <v>0.54359380000000002</v>
      </c>
      <c r="F3317" t="s">
        <v>72</v>
      </c>
      <c r="G3317">
        <v>-428.93959999999998</v>
      </c>
      <c r="H3317" s="1">
        <v>2.5327389999999999E-6</v>
      </c>
      <c r="I3317">
        <v>212.8562</v>
      </c>
      <c r="J3317">
        <v>-455.09160000000003</v>
      </c>
      <c r="K3317">
        <v>1.1106370000000001</v>
      </c>
      <c r="L3317">
        <v>214.1344</v>
      </c>
      <c r="M3317">
        <v>0.99764660000000005</v>
      </c>
      <c r="N3317">
        <v>-1.079083E-2</v>
      </c>
      <c r="O3317">
        <v>-6.7711110000000005E-2</v>
      </c>
      <c r="P3317">
        <v>0.98254589999999997</v>
      </c>
      <c r="Q3317">
        <v>0.17486279999999901</v>
      </c>
      <c r="R3317">
        <v>6.3455120000000004E-2</v>
      </c>
      <c r="S3317">
        <v>3.0871279999999999</v>
      </c>
      <c r="T3317">
        <v>-0.12993109999999999</v>
      </c>
      <c r="U3317">
        <v>-0.15135190000000001</v>
      </c>
      <c r="V3317">
        <v>-0.13000900000000001</v>
      </c>
      <c r="W3317">
        <v>0.18526790000000001</v>
      </c>
      <c r="X3317">
        <v>0.97404999999999997</v>
      </c>
      <c r="Y3317">
        <v>-1.872451E-2</v>
      </c>
      <c r="Z3317">
        <v>2.6080930000000001E-3</v>
      </c>
      <c r="AA3317">
        <v>0.99982130000000002</v>
      </c>
      <c r="AB3317">
        <v>24</v>
      </c>
      <c r="AC3317">
        <v>26.152000000000001</v>
      </c>
      <c r="AD3317">
        <v>-1.110634467261</v>
      </c>
      <c r="AE3317">
        <v>-1.27819999999999</v>
      </c>
      <c r="AF3317">
        <v>-0.49472777835245402</v>
      </c>
      <c r="AG3317">
        <v>-1.110634467261</v>
      </c>
      <c r="AH3317">
        <v>26.131509105553501</v>
      </c>
      <c r="AI3317">
        <v>92.433269797987904</v>
      </c>
      <c r="AJ3317">
        <v>91.084607385803295</v>
      </c>
      <c r="AK3317">
        <v>26.1597789101545</v>
      </c>
      <c r="AL3317">
        <v>79.323247713998398</v>
      </c>
      <c r="AM3317">
        <v>97.602484047067506</v>
      </c>
      <c r="AN3317">
        <v>0.99999996867570395</v>
      </c>
    </row>
    <row r="3318" spans="1:40" x14ac:dyDescent="0.25">
      <c r="A3318" t="str">
        <f>"20190304155121331"</f>
        <v>20190304155121331</v>
      </c>
      <c r="B3318" t="str">
        <f>"1551685881319754"</f>
        <v>1551685881319754</v>
      </c>
      <c r="C3318" t="s">
        <v>40</v>
      </c>
      <c r="D3318">
        <v>4.93696</v>
      </c>
      <c r="E3318">
        <v>0.54347599999999996</v>
      </c>
      <c r="F3318" t="s">
        <v>72</v>
      </c>
      <c r="G3318">
        <v>-428.97820000000002</v>
      </c>
      <c r="H3318" s="1">
        <v>2.5309499999999999E-6</v>
      </c>
      <c r="I3318">
        <v>212.79830000000001</v>
      </c>
      <c r="J3318">
        <v>-454.84120000000001</v>
      </c>
      <c r="K3318">
        <v>1.1106309999999999</v>
      </c>
      <c r="L3318">
        <v>214.1182</v>
      </c>
      <c r="M3318">
        <v>0.99769070000000004</v>
      </c>
      <c r="N3318">
        <v>-1.077062E-2</v>
      </c>
      <c r="O3318">
        <v>-6.7062479999999994E-2</v>
      </c>
      <c r="P3318">
        <v>0.98272680000000001</v>
      </c>
      <c r="Q3318">
        <v>0.17356150000000001</v>
      </c>
      <c r="R3318">
        <v>6.422477E-2</v>
      </c>
      <c r="S3318">
        <v>3.086884</v>
      </c>
      <c r="T3318">
        <v>-0.13128889999999999</v>
      </c>
      <c r="U3318">
        <v>-0.15794369999999999</v>
      </c>
      <c r="V3318">
        <v>-0.13015560000000001</v>
      </c>
      <c r="W3318">
        <v>0.18394769999999999</v>
      </c>
      <c r="X3318">
        <v>0.9742807</v>
      </c>
      <c r="Y3318">
        <v>-1.5942950000000001E-2</v>
      </c>
      <c r="Z3318">
        <v>2.5485740000000001E-3</v>
      </c>
      <c r="AA3318">
        <v>0.99986960000000003</v>
      </c>
      <c r="AB3318">
        <v>24</v>
      </c>
      <c r="AC3318">
        <v>25.863</v>
      </c>
      <c r="AD3318">
        <v>-1.1106284690499999</v>
      </c>
      <c r="AE3318">
        <v>-1.3198999999999901</v>
      </c>
      <c r="AF3318">
        <v>-0.41684247047406398</v>
      </c>
      <c r="AG3318">
        <v>-1.1106284690499999</v>
      </c>
      <c r="AH3318">
        <v>25.8457529545272</v>
      </c>
      <c r="AI3318">
        <v>92.460247153656596</v>
      </c>
      <c r="AJ3318">
        <v>90.923991026365002</v>
      </c>
      <c r="AK3318">
        <v>25.8729627029436</v>
      </c>
      <c r="AL3318">
        <v>79.400213433572901</v>
      </c>
      <c r="AM3318">
        <v>97.609175200774999</v>
      </c>
      <c r="AN3318">
        <v>1.0000000594695599</v>
      </c>
    </row>
    <row r="3319" spans="1:40" x14ac:dyDescent="0.25">
      <c r="A3319" t="str">
        <f>"20190304155121352"</f>
        <v>20190304155121352</v>
      </c>
      <c r="B3319" t="str">
        <f>"1551685881350010"</f>
        <v>1551685881350010</v>
      </c>
      <c r="C3319" t="s">
        <v>40</v>
      </c>
      <c r="D3319">
        <v>5.1004290000000001</v>
      </c>
      <c r="E3319">
        <v>0.54316009999999904</v>
      </c>
      <c r="F3319" t="s">
        <v>72</v>
      </c>
      <c r="G3319">
        <v>-429.73939999999999</v>
      </c>
      <c r="H3319" s="1">
        <v>2.3908710000000001E-6</v>
      </c>
      <c r="I3319">
        <v>212.8561</v>
      </c>
      <c r="J3319">
        <v>-454.61200000000002</v>
      </c>
      <c r="K3319">
        <v>1.110627</v>
      </c>
      <c r="L3319">
        <v>214.1035</v>
      </c>
      <c r="M3319">
        <v>0.99773100000000003</v>
      </c>
      <c r="N3319">
        <v>-1.075399E-2</v>
      </c>
      <c r="O3319">
        <v>-6.6461300000000001E-2</v>
      </c>
      <c r="P3319">
        <v>0.98278989999999999</v>
      </c>
      <c r="Q3319">
        <v>0.17260989999999901</v>
      </c>
      <c r="R3319">
        <v>6.5800940000000002E-2</v>
      </c>
      <c r="S3319">
        <v>3.0870060000000001</v>
      </c>
      <c r="T3319">
        <v>-0.1365846</v>
      </c>
      <c r="U3319">
        <v>-0.1552124</v>
      </c>
      <c r="V3319">
        <v>-0.1311455</v>
      </c>
      <c r="W3319">
        <v>0.18297740000000001</v>
      </c>
      <c r="X3319">
        <v>0.97433060000000005</v>
      </c>
      <c r="Y3319">
        <v>-1.6219790000000001E-2</v>
      </c>
      <c r="Z3319">
        <v>2.6654629999999999E-3</v>
      </c>
      <c r="AA3319">
        <v>0.99986489999999995</v>
      </c>
      <c r="AB3319">
        <v>24</v>
      </c>
      <c r="AC3319">
        <v>24.872599999999899</v>
      </c>
      <c r="AD3319">
        <v>-1.110624609129</v>
      </c>
      <c r="AE3319">
        <v>-1.2473999999999901</v>
      </c>
      <c r="AF3319">
        <v>-0.40770845464127697</v>
      </c>
      <c r="AG3319">
        <v>-1.110624609129</v>
      </c>
      <c r="AH3319">
        <v>24.851084030122401</v>
      </c>
      <c r="AI3319">
        <v>92.558570192502899</v>
      </c>
      <c r="AJ3319">
        <v>90.939913855849895</v>
      </c>
      <c r="AK3319">
        <v>24.879230106227102</v>
      </c>
      <c r="AL3319">
        <v>79.456766743671096</v>
      </c>
      <c r="AM3319">
        <v>97.665973202590095</v>
      </c>
      <c r="AN3319">
        <v>0.99999999458868405</v>
      </c>
    </row>
    <row r="3320" spans="1:40" x14ac:dyDescent="0.25">
      <c r="A3320" t="str">
        <f>"20190304155121377"</f>
        <v>20190304155121377</v>
      </c>
      <c r="B3320" t="str">
        <f>"1551685881369531"</f>
        <v>1551685881369531</v>
      </c>
      <c r="C3320" t="s">
        <v>40</v>
      </c>
      <c r="D3320">
        <v>4.9117189999999997</v>
      </c>
      <c r="E3320">
        <v>0.54184119999999902</v>
      </c>
      <c r="F3320" t="s">
        <v>72</v>
      </c>
      <c r="G3320">
        <v>-430.4427</v>
      </c>
      <c r="H3320" s="1">
        <v>2.5598099999999999E-6</v>
      </c>
      <c r="I3320">
        <v>212.94030000000001</v>
      </c>
      <c r="J3320">
        <v>-454.36</v>
      </c>
      <c r="K3320">
        <v>1.1106309999999999</v>
      </c>
      <c r="L3320">
        <v>214.08750000000001</v>
      </c>
      <c r="M3320">
        <v>0.99777579999999999</v>
      </c>
      <c r="N3320">
        <v>-1.07381E-2</v>
      </c>
      <c r="O3320">
        <v>-6.5789639999999996E-2</v>
      </c>
      <c r="P3320">
        <v>0.98262629999999995</v>
      </c>
      <c r="Q3320">
        <v>0.1727553</v>
      </c>
      <c r="R3320">
        <v>6.7833069999999995E-2</v>
      </c>
      <c r="S3320">
        <v>3.0874329999999999</v>
      </c>
      <c r="T3320">
        <v>-0.1418729</v>
      </c>
      <c r="U3320">
        <v>-0.1485901</v>
      </c>
      <c r="V3320">
        <v>-0.13250960000000001</v>
      </c>
      <c r="W3320">
        <v>0.18310119999999999</v>
      </c>
      <c r="X3320">
        <v>0.97412279999999996</v>
      </c>
      <c r="Y3320">
        <v>-1.7686259999999999E-2</v>
      </c>
      <c r="Z3320">
        <v>2.8115179999999998E-3</v>
      </c>
      <c r="AA3320">
        <v>0.99983960000000005</v>
      </c>
      <c r="AB3320">
        <v>24</v>
      </c>
      <c r="AC3320">
        <v>23.917300000000001</v>
      </c>
      <c r="AD3320">
        <v>-1.11062844019</v>
      </c>
      <c r="AE3320">
        <v>-1.14719999999999</v>
      </c>
      <c r="AF3320">
        <v>-0.42796614465921201</v>
      </c>
      <c r="AG3320">
        <v>-1.11062844019</v>
      </c>
      <c r="AH3320">
        <v>23.889560468709899</v>
      </c>
      <c r="AI3320">
        <v>92.661344494090201</v>
      </c>
      <c r="AJ3320">
        <v>91.026307340810106</v>
      </c>
      <c r="AK3320">
        <v>23.919192083790801</v>
      </c>
      <c r="AL3320">
        <v>79.449552078423693</v>
      </c>
      <c r="AM3320">
        <v>97.746379459417994</v>
      </c>
      <c r="AN3320">
        <v>1.0000000365067101</v>
      </c>
    </row>
    <row r="3321" spans="1:40" x14ac:dyDescent="0.25">
      <c r="A3321" t="str">
        <f>"20190304155121398"</f>
        <v>20190304155121398</v>
      </c>
      <c r="B3321" t="str">
        <f>"1551685881390027"</f>
        <v>1551685881390027</v>
      </c>
      <c r="C3321" t="s">
        <v>40</v>
      </c>
      <c r="D3321">
        <v>4.9524350000000004</v>
      </c>
      <c r="E3321">
        <v>0.54077050000000004</v>
      </c>
      <c r="F3321" t="s">
        <v>72</v>
      </c>
      <c r="G3321">
        <v>-430.49889999999999</v>
      </c>
      <c r="H3321" s="1">
        <v>2.5734280000000001E-6</v>
      </c>
      <c r="I3321">
        <v>213.06960000000001</v>
      </c>
      <c r="J3321">
        <v>-454.12790000000001</v>
      </c>
      <c r="K3321">
        <v>1.110636</v>
      </c>
      <c r="L3321">
        <v>214.0729</v>
      </c>
      <c r="M3321">
        <v>0.99781770000000003</v>
      </c>
      <c r="N3321">
        <v>-1.072553E-2</v>
      </c>
      <c r="O3321">
        <v>-6.515145E-2</v>
      </c>
      <c r="P3321">
        <v>0.98254490000000005</v>
      </c>
      <c r="Q3321">
        <v>0.172518</v>
      </c>
      <c r="R3321">
        <v>6.9593879999999997E-2</v>
      </c>
      <c r="S3321">
        <v>3.0873719999999998</v>
      </c>
      <c r="T3321">
        <v>-0.14370329999999901</v>
      </c>
      <c r="U3321">
        <v>-0.1316986</v>
      </c>
      <c r="V3321">
        <v>-0.13364239999999999</v>
      </c>
      <c r="W3321">
        <v>0.1828457</v>
      </c>
      <c r="X3321">
        <v>0.97401599999999999</v>
      </c>
      <c r="Y3321">
        <v>-2.2496639999999998E-2</v>
      </c>
      <c r="Z3321">
        <v>2.9718409999999998E-3</v>
      </c>
      <c r="AA3321">
        <v>0.99974249999999998</v>
      </c>
      <c r="AB3321">
        <v>24</v>
      </c>
      <c r="AC3321">
        <v>23.629000000000001</v>
      </c>
      <c r="AD3321">
        <v>-1.1106334265719999</v>
      </c>
      <c r="AE3321">
        <v>-1.0032999999999901</v>
      </c>
      <c r="AF3321">
        <v>-0.5371994174179</v>
      </c>
      <c r="AG3321">
        <v>-1.1106334265719999</v>
      </c>
      <c r="AH3321">
        <v>23.592134119268199</v>
      </c>
      <c r="AI3321">
        <v>92.694593345253693</v>
      </c>
      <c r="AJ3321">
        <v>91.304415333536696</v>
      </c>
      <c r="AK3321">
        <v>23.624370512753</v>
      </c>
      <c r="AL3321">
        <v>79.464442193148599</v>
      </c>
      <c r="AM3321">
        <v>97.812633571832905</v>
      </c>
      <c r="AN3321">
        <v>1.0000000046711199</v>
      </c>
    </row>
    <row r="3322" spans="1:40" x14ac:dyDescent="0.25">
      <c r="A3322" t="str">
        <f>"20190304155121421"</f>
        <v>20190304155121421</v>
      </c>
      <c r="B3322" t="str">
        <f>"1551685881409546"</f>
        <v>1551685881409546</v>
      </c>
      <c r="C3322" t="s">
        <v>40</v>
      </c>
      <c r="D3322">
        <v>5.2840059999999998</v>
      </c>
      <c r="E3322">
        <v>0.53967089999999995</v>
      </c>
      <c r="F3322" t="s">
        <v>72</v>
      </c>
      <c r="G3322">
        <v>-430.76780000000002</v>
      </c>
      <c r="H3322" s="1">
        <v>2.683117E-6</v>
      </c>
      <c r="I3322">
        <v>213.17930000000001</v>
      </c>
      <c r="J3322">
        <v>-453.89260000000002</v>
      </c>
      <c r="K3322">
        <v>1.1106590000000001</v>
      </c>
      <c r="L3322">
        <v>214.0583</v>
      </c>
      <c r="M3322">
        <v>0.99786229999999998</v>
      </c>
      <c r="N3322">
        <v>-1.0714649999999999E-2</v>
      </c>
      <c r="O3322">
        <v>-6.4470479999999997E-2</v>
      </c>
      <c r="P3322">
        <v>0.98245450000000001</v>
      </c>
      <c r="Q3322">
        <v>0.17240810000000001</v>
      </c>
      <c r="R3322">
        <v>7.1127709999999997E-2</v>
      </c>
      <c r="S3322">
        <v>3.0874329999999999</v>
      </c>
      <c r="T3322">
        <v>-0.146789</v>
      </c>
      <c r="U3322">
        <v>-0.118103</v>
      </c>
      <c r="V3322">
        <v>-0.1345104</v>
      </c>
      <c r="W3322">
        <v>0.1827163</v>
      </c>
      <c r="X3322">
        <v>0.97392080000000003</v>
      </c>
      <c r="Y3322">
        <v>-2.6202E-2</v>
      </c>
      <c r="Z3322">
        <v>3.1318029999999998E-3</v>
      </c>
      <c r="AA3322">
        <v>0.99965179999999998</v>
      </c>
      <c r="AB3322">
        <v>24</v>
      </c>
      <c r="AC3322">
        <v>23.1248</v>
      </c>
      <c r="AD3322">
        <v>-1.1106563168829999</v>
      </c>
      <c r="AE3322">
        <v>-0.87899999999999001</v>
      </c>
      <c r="AF3322">
        <v>-0.61237054255005996</v>
      </c>
      <c r="AG3322">
        <v>-1.1106563168829999</v>
      </c>
      <c r="AH3322">
        <v>23.0801950080916</v>
      </c>
      <c r="AI3322">
        <v>92.754072574805207</v>
      </c>
      <c r="AJ3322">
        <v>91.519831956074597</v>
      </c>
      <c r="AK3322">
        <v>23.1150158283994</v>
      </c>
      <c r="AL3322">
        <v>79.471983356852306</v>
      </c>
      <c r="AM3322">
        <v>97.863502493662196</v>
      </c>
      <c r="AN3322">
        <v>1.00000000933324</v>
      </c>
    </row>
    <row r="3323" spans="1:40" x14ac:dyDescent="0.25">
      <c r="A3323" t="str">
        <f>"20190304155121441"</f>
        <v>20190304155121441</v>
      </c>
      <c r="B3323" t="str">
        <f>"1551685881439803"</f>
        <v>1551685881439803</v>
      </c>
      <c r="C3323" t="s">
        <v>40</v>
      </c>
      <c r="D3323">
        <v>5.0319479999999999</v>
      </c>
      <c r="E3323">
        <v>0.53804490000000005</v>
      </c>
      <c r="F3323" t="s">
        <v>72</v>
      </c>
      <c r="G3323">
        <v>-431.37860000000001</v>
      </c>
      <c r="H3323" s="1">
        <v>2.944118E-6</v>
      </c>
      <c r="I3323">
        <v>213.2921</v>
      </c>
      <c r="J3323">
        <v>-453.666</v>
      </c>
      <c r="K3323">
        <v>1.1106910000000001</v>
      </c>
      <c r="L3323">
        <v>214.0444</v>
      </c>
      <c r="M3323">
        <v>0.99790760000000001</v>
      </c>
      <c r="N3323">
        <v>-1.070583E-2</v>
      </c>
      <c r="O3323">
        <v>-6.3765199999999994E-2</v>
      </c>
      <c r="P3323">
        <v>0.98235950000000005</v>
      </c>
      <c r="Q3323">
        <v>0.17266239999999999</v>
      </c>
      <c r="R3323">
        <v>7.1816850000000002E-2</v>
      </c>
      <c r="S3323">
        <v>3.0878909999999999</v>
      </c>
      <c r="T3323">
        <v>-0.1523311</v>
      </c>
      <c r="U3323">
        <v>-0.10508729999999999</v>
      </c>
      <c r="V3323">
        <v>-0.13451749999999901</v>
      </c>
      <c r="W3323">
        <v>0.18295030000000001</v>
      </c>
      <c r="X3323">
        <v>0.97387590000000002</v>
      </c>
      <c r="Y3323">
        <v>-2.9697560000000001E-2</v>
      </c>
      <c r="Z3323">
        <v>3.3486840000000002E-3</v>
      </c>
      <c r="AA3323">
        <v>0.99955329999999998</v>
      </c>
      <c r="AB3323">
        <v>24</v>
      </c>
      <c r="AC3323">
        <v>22.287399999999899</v>
      </c>
      <c r="AD3323">
        <v>-1.110688055882</v>
      </c>
      <c r="AE3323">
        <v>-0.75229999999999098</v>
      </c>
      <c r="AF3323">
        <v>-0.66881387663152603</v>
      </c>
      <c r="AG3323">
        <v>-1.110688055882</v>
      </c>
      <c r="AH3323">
        <v>22.2348540937931</v>
      </c>
      <c r="AI3323">
        <v>92.8584036577126</v>
      </c>
      <c r="AJ3323">
        <v>91.722910410175999</v>
      </c>
      <c r="AK3323">
        <v>22.272621680694002</v>
      </c>
      <c r="AL3323">
        <v>79.458346383627898</v>
      </c>
      <c r="AM3323">
        <v>97.864270392844503</v>
      </c>
      <c r="AN3323">
        <v>1.0000000193385701</v>
      </c>
    </row>
    <row r="3324" spans="1:40" x14ac:dyDescent="0.25">
      <c r="A3324" t="str">
        <f>"20190304155121464"</f>
        <v>20190304155121464</v>
      </c>
      <c r="B3324" t="str">
        <f>"1551685881460299"</f>
        <v>1551685881460299</v>
      </c>
      <c r="C3324" t="s">
        <v>40</v>
      </c>
      <c r="D3324">
        <v>4.9121290000000002</v>
      </c>
      <c r="E3324">
        <v>0.53707309999999997</v>
      </c>
      <c r="F3324" t="s">
        <v>72</v>
      </c>
      <c r="G3324">
        <v>-432.03890000000001</v>
      </c>
      <c r="H3324" s="1">
        <v>3.2264059999999999E-6</v>
      </c>
      <c r="I3324">
        <v>213.4126</v>
      </c>
      <c r="J3324">
        <v>-453.43430000000001</v>
      </c>
      <c r="K3324">
        <v>1.1107419999999999</v>
      </c>
      <c r="L3324">
        <v>214.03049999999999</v>
      </c>
      <c r="M3324">
        <v>0.9979576</v>
      </c>
      <c r="N3324">
        <v>-1.069846E-2</v>
      </c>
      <c r="O3324">
        <v>-6.2977489999999997E-2</v>
      </c>
      <c r="P3324">
        <v>0.98221119999999995</v>
      </c>
      <c r="Q3324">
        <v>0.17334289999999999</v>
      </c>
      <c r="R3324">
        <v>7.2207389999999996E-2</v>
      </c>
      <c r="S3324">
        <v>3.0883180000000001</v>
      </c>
      <c r="T3324">
        <v>-0.1586052</v>
      </c>
      <c r="U3324">
        <v>-9.0225219999999995E-2</v>
      </c>
      <c r="V3324">
        <v>-0.1341492</v>
      </c>
      <c r="W3324">
        <v>0.1836074</v>
      </c>
      <c r="X3324">
        <v>0.97380299999999997</v>
      </c>
      <c r="Y3324">
        <v>-3.3704199999999997E-2</v>
      </c>
      <c r="Z3324">
        <v>3.600551E-3</v>
      </c>
      <c r="AA3324">
        <v>0.99942540000000002</v>
      </c>
      <c r="AB3324">
        <v>24</v>
      </c>
      <c r="AC3324">
        <v>21.395399999999899</v>
      </c>
      <c r="AD3324">
        <v>-1.110738773594</v>
      </c>
      <c r="AE3324">
        <v>-0.61789999999999101</v>
      </c>
      <c r="AF3324">
        <v>-0.72886964042226399</v>
      </c>
      <c r="AG3324">
        <v>-1.110738773594</v>
      </c>
      <c r="AH3324">
        <v>21.334388689188899</v>
      </c>
      <c r="AI3324">
        <v>92.978582115163405</v>
      </c>
      <c r="AJ3324">
        <v>91.956696230603697</v>
      </c>
      <c r="AK3324">
        <v>21.375713609544999</v>
      </c>
      <c r="AL3324">
        <v>79.4200482212607</v>
      </c>
      <c r="AM3324">
        <v>97.843586698453805</v>
      </c>
      <c r="AN3324">
        <v>0.99999998400219903</v>
      </c>
    </row>
    <row r="3325" spans="1:40" x14ac:dyDescent="0.25">
      <c r="A3325" t="str">
        <f>"20190304155121486"</f>
        <v>20190304155121486</v>
      </c>
      <c r="B3325" t="str">
        <f>"1551685881479819"</f>
        <v>1551685881479819</v>
      </c>
      <c r="C3325" t="s">
        <v>40</v>
      </c>
      <c r="D3325">
        <v>4.9034839999999997</v>
      </c>
      <c r="E3325">
        <v>0.53642959999999995</v>
      </c>
      <c r="F3325" t="s">
        <v>72</v>
      </c>
      <c r="G3325">
        <v>-431.83359999999999</v>
      </c>
      <c r="H3325" s="1">
        <v>3.130663E-6</v>
      </c>
      <c r="I3325">
        <v>213.46619999999999</v>
      </c>
      <c r="J3325">
        <v>-453.19549999999998</v>
      </c>
      <c r="K3325">
        <v>1.110806</v>
      </c>
      <c r="L3325">
        <v>214.0164</v>
      </c>
      <c r="M3325">
        <v>0.99801410000000002</v>
      </c>
      <c r="N3325">
        <v>-1.069227E-2</v>
      </c>
      <c r="O3325">
        <v>-6.2079000000000002E-2</v>
      </c>
      <c r="P3325">
        <v>0.98202789999999995</v>
      </c>
      <c r="Q3325">
        <v>0.17423449999999999</v>
      </c>
      <c r="R3325">
        <v>7.2550359999999994E-2</v>
      </c>
      <c r="S3325">
        <v>3.0882869999999998</v>
      </c>
      <c r="T3325">
        <v>-0.15880449999999999</v>
      </c>
      <c r="U3325">
        <v>-8.0673220000000004E-2</v>
      </c>
      <c r="V3325">
        <v>-0.13363169999999999</v>
      </c>
      <c r="W3325">
        <v>0.18447269999999999</v>
      </c>
      <c r="X3325">
        <v>0.97371070000000004</v>
      </c>
      <c r="Y3325">
        <v>-3.5889799999999999E-2</v>
      </c>
      <c r="Z3325">
        <v>3.6376350000000002E-3</v>
      </c>
      <c r="AA3325">
        <v>0.99934909999999999</v>
      </c>
      <c r="AB3325">
        <v>24</v>
      </c>
      <c r="AC3325">
        <v>21.361899999999899</v>
      </c>
      <c r="AD3325">
        <v>-1.110802869337</v>
      </c>
      <c r="AE3325">
        <v>-0.55020000000001801</v>
      </c>
      <c r="AF3325">
        <v>-0.77496828209022905</v>
      </c>
      <c r="AG3325">
        <v>-1.110802869337</v>
      </c>
      <c r="AH3325">
        <v>21.297303026528802</v>
      </c>
      <c r="AI3325">
        <v>92.983697937101894</v>
      </c>
      <c r="AJ3325">
        <v>92.083964794615895</v>
      </c>
      <c r="AK3325">
        <v>21.340327435551899</v>
      </c>
      <c r="AL3325">
        <v>79.369609509878799</v>
      </c>
      <c r="AM3325">
        <v>97.814434925451906</v>
      </c>
      <c r="AN3325">
        <v>1.00000006779233</v>
      </c>
    </row>
    <row r="3326" spans="1:40" x14ac:dyDescent="0.25">
      <c r="A3326" t="str">
        <f>"20190304155121509"</f>
        <v>20190304155121509</v>
      </c>
      <c r="B3326" t="str">
        <f>"1551685881500316"</f>
        <v>1551685881500316</v>
      </c>
      <c r="C3326" t="s">
        <v>40</v>
      </c>
      <c r="D3326">
        <v>4.9106899999999998</v>
      </c>
      <c r="E3326">
        <v>0.53586180000000005</v>
      </c>
      <c r="F3326" t="s">
        <v>72</v>
      </c>
      <c r="G3326">
        <v>-431.38389999999998</v>
      </c>
      <c r="H3326" s="1">
        <v>2.9289940000000001E-6</v>
      </c>
      <c r="I3326">
        <v>213.49160000000001</v>
      </c>
      <c r="J3326">
        <v>-452.96440000000001</v>
      </c>
      <c r="K3326">
        <v>1.1108830000000001</v>
      </c>
      <c r="L3326">
        <v>214.00309999999999</v>
      </c>
      <c r="M3326">
        <v>0.99807429999999997</v>
      </c>
      <c r="N3326">
        <v>-1.068767E-2</v>
      </c>
      <c r="O3326">
        <v>-6.1102940000000001E-2</v>
      </c>
      <c r="P3326">
        <v>0.98188569999999997</v>
      </c>
      <c r="Q3326">
        <v>0.17509759999999999</v>
      </c>
      <c r="R3326">
        <v>7.2398680000000007E-2</v>
      </c>
      <c r="S3326">
        <v>3.0882869999999998</v>
      </c>
      <c r="T3326">
        <v>-0.1572771</v>
      </c>
      <c r="U3326">
        <v>-7.4310299999999996E-2</v>
      </c>
      <c r="V3326">
        <v>-0.132551799999999</v>
      </c>
      <c r="W3326">
        <v>0.18530820000000001</v>
      </c>
      <c r="X3326">
        <v>0.9736996</v>
      </c>
      <c r="Y3326">
        <v>-3.6971450000000003E-2</v>
      </c>
      <c r="Z3326">
        <v>3.5926690000000002E-3</v>
      </c>
      <c r="AA3326">
        <v>0.99930980000000003</v>
      </c>
      <c r="AB3326">
        <v>24</v>
      </c>
      <c r="AC3326">
        <v>21.580500000000001</v>
      </c>
      <c r="AD3326">
        <v>-1.1108800710060001</v>
      </c>
      <c r="AE3326">
        <v>-0.51149999999998297</v>
      </c>
      <c r="AF3326">
        <v>-0.80602850175949103</v>
      </c>
      <c r="AG3326">
        <v>-1.1108800710060001</v>
      </c>
      <c r="AH3326">
        <v>21.5144507582628</v>
      </c>
      <c r="AI3326">
        <v>92.953724615541404</v>
      </c>
      <c r="AJ3326">
        <v>92.145555242633407</v>
      </c>
      <c r="AK3326">
        <v>21.558184708075999</v>
      </c>
      <c r="AL3326">
        <v>79.320898452000705</v>
      </c>
      <c r="AM3326">
        <v>97.7521433951147</v>
      </c>
      <c r="AN3326">
        <v>1.0000000098553199</v>
      </c>
    </row>
    <row r="3327" spans="1:40" x14ac:dyDescent="0.25">
      <c r="A3327" t="str">
        <f>"20190304155121531"</f>
        <v>20190304155121531</v>
      </c>
      <c r="B3327" t="str">
        <f>"1551685881519838"</f>
        <v>1551685881519838</v>
      </c>
      <c r="C3327" t="s">
        <v>40</v>
      </c>
      <c r="D3327">
        <v>4.9186370000000004</v>
      </c>
      <c r="E3327">
        <v>0.53530759999999999</v>
      </c>
      <c r="F3327" t="s">
        <v>72</v>
      </c>
      <c r="G3327">
        <v>-430.96300000000002</v>
      </c>
      <c r="H3327" s="1">
        <v>2.741548E-6</v>
      </c>
      <c r="I3327">
        <v>213.5008</v>
      </c>
      <c r="J3327">
        <v>-452.72129999999999</v>
      </c>
      <c r="K3327">
        <v>1.110975</v>
      </c>
      <c r="L3327">
        <v>213.98949999999999</v>
      </c>
      <c r="M3327">
        <v>0.9981449</v>
      </c>
      <c r="N3327">
        <v>-1.068465E-2</v>
      </c>
      <c r="O3327">
        <v>-5.994091E-2</v>
      </c>
      <c r="P3327">
        <v>0.9817903</v>
      </c>
      <c r="Q3327">
        <v>0.1757495</v>
      </c>
      <c r="R3327">
        <v>7.2110389999999996E-2</v>
      </c>
      <c r="S3327">
        <v>3.0883479999999999</v>
      </c>
      <c r="T3327">
        <v>-0.15593489999999999</v>
      </c>
      <c r="U3327">
        <v>-7.0510859999999995E-2</v>
      </c>
      <c r="V3327">
        <v>-0.1311631</v>
      </c>
      <c r="W3327">
        <v>0.18593229999999999</v>
      </c>
      <c r="X3327">
        <v>0.97376870000000004</v>
      </c>
      <c r="Y3327">
        <v>-3.703998E-2</v>
      </c>
      <c r="Z3327">
        <v>3.514288E-3</v>
      </c>
      <c r="AA3327">
        <v>0.99930759999999996</v>
      </c>
      <c r="AB3327">
        <v>24</v>
      </c>
      <c r="AC3327">
        <v>21.758299999999899</v>
      </c>
      <c r="AD3327">
        <v>-1.1109722584520001</v>
      </c>
      <c r="AE3327">
        <v>-0.48869999999999397</v>
      </c>
      <c r="AF3327">
        <v>-0.81434336803210505</v>
      </c>
      <c r="AG3327">
        <v>-1.1109722584520001</v>
      </c>
      <c r="AH3327">
        <v>21.6919429269449</v>
      </c>
      <c r="AI3327">
        <v>92.929832616069206</v>
      </c>
      <c r="AJ3327">
        <v>92.149947444171403</v>
      </c>
      <c r="AK3327">
        <v>21.7356343920748</v>
      </c>
      <c r="AL3327">
        <v>79.284507960666701</v>
      </c>
      <c r="AM3327">
        <v>97.671361218874594</v>
      </c>
      <c r="AN3327">
        <v>1.00000003004229</v>
      </c>
    </row>
    <row r="3328" spans="1:40" x14ac:dyDescent="0.25">
      <c r="A3328" t="str">
        <f>"20190304155121551"</f>
        <v>20190304155121551</v>
      </c>
      <c r="B3328" t="str">
        <f>"1551685881550025"</f>
        <v>1551685881550025</v>
      </c>
      <c r="C3328" t="s">
        <v>40</v>
      </c>
      <c r="D3328">
        <v>5.3090919999999997</v>
      </c>
      <c r="E3328">
        <v>0.53503299999999998</v>
      </c>
      <c r="F3328" t="s">
        <v>72</v>
      </c>
      <c r="G3328">
        <v>-430.50549999999998</v>
      </c>
      <c r="H3328" s="1">
        <v>2.5382129999999998E-6</v>
      </c>
      <c r="I3328">
        <v>213.5061</v>
      </c>
      <c r="J3328">
        <v>-452.49349999999998</v>
      </c>
      <c r="K3328">
        <v>1.1110580000000001</v>
      </c>
      <c r="L3328">
        <v>213.97710000000001</v>
      </c>
      <c r="M3328">
        <v>0.99821559999999998</v>
      </c>
      <c r="N3328">
        <v>-1.068264E-2</v>
      </c>
      <c r="O3328">
        <v>-5.8750400000000001E-2</v>
      </c>
      <c r="P3328">
        <v>0.98172230000000005</v>
      </c>
      <c r="Q3328">
        <v>0.176289</v>
      </c>
      <c r="R3328">
        <v>7.1718760000000006E-2</v>
      </c>
      <c r="S3328">
        <v>3.088257</v>
      </c>
      <c r="T3328">
        <v>-0.15443850000000001</v>
      </c>
      <c r="U3328">
        <v>-6.7199709999999996E-2</v>
      </c>
      <c r="V3328">
        <v>-0.129640899999999</v>
      </c>
      <c r="W3328">
        <v>0.18644910000000001</v>
      </c>
      <c r="X3328">
        <v>0.97387369999999995</v>
      </c>
      <c r="Y3328">
        <v>-3.6921580000000002E-2</v>
      </c>
      <c r="Z3328">
        <v>3.426367E-3</v>
      </c>
      <c r="AA3328">
        <v>0.99931230000000004</v>
      </c>
      <c r="AB3328">
        <v>24</v>
      </c>
      <c r="AC3328">
        <v>21.988</v>
      </c>
      <c r="AD3328">
        <v>-1.1110554617870001</v>
      </c>
      <c r="AE3328">
        <v>-0.47100000000000303</v>
      </c>
      <c r="AF3328">
        <v>-0.81959937345705003</v>
      </c>
      <c r="AG3328">
        <v>-1.1110554617870001</v>
      </c>
      <c r="AH3328">
        <v>21.921742008168</v>
      </c>
      <c r="AI3328">
        <v>92.899406135388503</v>
      </c>
      <c r="AJ3328">
        <v>92.141149314827103</v>
      </c>
      <c r="AK3328">
        <v>21.9651760758892</v>
      </c>
      <c r="AL3328">
        <v>79.254370253713802</v>
      </c>
      <c r="AM3328">
        <v>97.582565978184206</v>
      </c>
      <c r="AN3328">
        <v>1.00000000669765</v>
      </c>
    </row>
    <row r="3329" spans="1:40" x14ac:dyDescent="0.25">
      <c r="A3329" t="str">
        <f>"20190304155121576"</f>
        <v>20190304155121576</v>
      </c>
      <c r="B3329" t="str">
        <f>"1551685881569545"</f>
        <v>1551685881569545</v>
      </c>
      <c r="C3329" t="s">
        <v>40</v>
      </c>
      <c r="D3329">
        <v>4.9388829999999997</v>
      </c>
      <c r="E3329">
        <v>0.53444729999999996</v>
      </c>
      <c r="F3329" t="s">
        <v>72</v>
      </c>
      <c r="G3329">
        <v>-430.50900000000001</v>
      </c>
      <c r="H3329" s="1">
        <v>2.5392749999999999E-6</v>
      </c>
      <c r="I3329">
        <v>213.5119</v>
      </c>
      <c r="J3329">
        <v>-452.24329999999998</v>
      </c>
      <c r="K3329">
        <v>1.11114</v>
      </c>
      <c r="L3329">
        <v>213.964</v>
      </c>
      <c r="M3329">
        <v>0.99829860000000004</v>
      </c>
      <c r="N3329">
        <v>-1.068124E-2</v>
      </c>
      <c r="O3329">
        <v>-5.7323399999999997E-2</v>
      </c>
      <c r="P3329">
        <v>0.98169890000000004</v>
      </c>
      <c r="Q3329">
        <v>0.17639839999999901</v>
      </c>
      <c r="R3329">
        <v>7.1771699999999994E-2</v>
      </c>
      <c r="S3329">
        <v>3.0886840000000002</v>
      </c>
      <c r="T3329">
        <v>-0.15609629999999999</v>
      </c>
      <c r="U3329">
        <v>-6.536865E-2</v>
      </c>
      <c r="V3329">
        <v>-0.1283328</v>
      </c>
      <c r="W3329">
        <v>0.18653710000000001</v>
      </c>
      <c r="X3329">
        <v>0.97403010000000001</v>
      </c>
      <c r="Y3329">
        <v>-3.6088290000000002E-2</v>
      </c>
      <c r="Z3329">
        <v>3.3850899999999999E-3</v>
      </c>
      <c r="AA3329">
        <v>0.99934290000000003</v>
      </c>
      <c r="AB3329">
        <v>24</v>
      </c>
      <c r="AC3329">
        <v>21.734299999999902</v>
      </c>
      <c r="AD3329">
        <v>-1.111137460725</v>
      </c>
      <c r="AE3329">
        <v>-0.45210000000002898</v>
      </c>
      <c r="AF3329">
        <v>-0.79252796262670899</v>
      </c>
      <c r="AG3329">
        <v>-1.111137460725</v>
      </c>
      <c r="AH3329">
        <v>21.667867458652101</v>
      </c>
      <c r="AI3329">
        <v>92.933622294847495</v>
      </c>
      <c r="AJ3329">
        <v>92.094727332947699</v>
      </c>
      <c r="AK3329">
        <v>21.710808534780199</v>
      </c>
      <c r="AL3329">
        <v>79.249238295907105</v>
      </c>
      <c r="AM3329">
        <v>97.505741839708307</v>
      </c>
      <c r="AN3329">
        <v>1.0000000164691201</v>
      </c>
    </row>
    <row r="3330" spans="1:40" x14ac:dyDescent="0.25">
      <c r="A3330" t="str">
        <f>"20190304155121599"</f>
        <v>20190304155121599</v>
      </c>
      <c r="B3330" t="str">
        <f>"1551685881590041"</f>
        <v>1551685881590041</v>
      </c>
      <c r="C3330" t="s">
        <v>40</v>
      </c>
      <c r="D3330">
        <v>5.3156349999999897</v>
      </c>
      <c r="E3330">
        <v>0.53427760000000002</v>
      </c>
      <c r="F3330" t="s">
        <v>72</v>
      </c>
      <c r="G3330">
        <v>-430.48520000000002</v>
      </c>
      <c r="H3330" s="1">
        <v>2.5268199999999998E-6</v>
      </c>
      <c r="I3330">
        <v>213.53360000000001</v>
      </c>
      <c r="J3330">
        <v>-451.99099999999999</v>
      </c>
      <c r="K3330">
        <v>1.11121</v>
      </c>
      <c r="L3330">
        <v>213.9512</v>
      </c>
      <c r="M3330">
        <v>0.99838720000000003</v>
      </c>
      <c r="N3330">
        <v>-1.0680520000000001E-2</v>
      </c>
      <c r="O3330">
        <v>-5.5757580000000001E-2</v>
      </c>
      <c r="P3330">
        <v>0.98165939999999996</v>
      </c>
      <c r="Q3330">
        <v>0.17627509999999999</v>
      </c>
      <c r="R3330">
        <v>7.2608309999999995E-2</v>
      </c>
      <c r="S3330">
        <v>3.0887150000000001</v>
      </c>
      <c r="T3330">
        <v>-0.15773380000000001</v>
      </c>
      <c r="U3330">
        <v>-6.1096190000000002E-2</v>
      </c>
      <c r="V3330">
        <v>-0.12766930000000001</v>
      </c>
      <c r="W3330">
        <v>0.1863928</v>
      </c>
      <c r="X3330">
        <v>0.97414489999999998</v>
      </c>
      <c r="Y3330">
        <v>-3.5902150000000001E-2</v>
      </c>
      <c r="Z3330">
        <v>3.3562359999999999E-3</v>
      </c>
      <c r="AA3330">
        <v>0.99934970000000001</v>
      </c>
      <c r="AB3330">
        <v>24</v>
      </c>
      <c r="AC3330">
        <v>21.505799999999901</v>
      </c>
      <c r="AD3330">
        <v>-1.1112074731799999</v>
      </c>
      <c r="AE3330">
        <v>-0.41759999999999298</v>
      </c>
      <c r="AF3330">
        <v>-0.78014743888450799</v>
      </c>
      <c r="AG3330">
        <v>-1.1112074731799999</v>
      </c>
      <c r="AH3330">
        <v>21.4384113301113</v>
      </c>
      <c r="AI3330">
        <v>92.965171784858299</v>
      </c>
      <c r="AJ3330">
        <v>92.084083552185305</v>
      </c>
      <c r="AK3330">
        <v>21.481361512574001</v>
      </c>
      <c r="AL3330">
        <v>79.257653556379907</v>
      </c>
      <c r="AM3330">
        <v>97.466505004316801</v>
      </c>
      <c r="AN3330">
        <v>1.0000000061251699</v>
      </c>
    </row>
    <row r="3331" spans="1:40" x14ac:dyDescent="0.25">
      <c r="A3331" t="str">
        <f>"20190304155121622"</f>
        <v>20190304155121622</v>
      </c>
      <c r="B3331" t="str">
        <f>"1551685881620297"</f>
        <v>1551685881620297</v>
      </c>
      <c r="C3331" t="s">
        <v>40</v>
      </c>
      <c r="D3331">
        <v>5.0334479999999999</v>
      </c>
      <c r="E3331">
        <v>0.53360430000000003</v>
      </c>
      <c r="F3331" t="s">
        <v>72</v>
      </c>
      <c r="G3331">
        <v>-430.75209999999998</v>
      </c>
      <c r="H3331" s="1">
        <v>2.643239E-6</v>
      </c>
      <c r="I3331">
        <v>213.5558</v>
      </c>
      <c r="J3331">
        <v>-451.74930000000001</v>
      </c>
      <c r="K3331">
        <v>1.1112789999999999</v>
      </c>
      <c r="L3331">
        <v>213.93950000000001</v>
      </c>
      <c r="M3331">
        <v>0.99847609999999998</v>
      </c>
      <c r="N3331">
        <v>-1.068064E-2</v>
      </c>
      <c r="O3331">
        <v>-5.414186E-2</v>
      </c>
      <c r="P3331">
        <v>0.98150899999999996</v>
      </c>
      <c r="Q3331">
        <v>0.17684749999999999</v>
      </c>
      <c r="R3331">
        <v>7.3245959999999999E-2</v>
      </c>
      <c r="S3331">
        <v>3.0893250000000001</v>
      </c>
      <c r="T3331">
        <v>-0.1616319</v>
      </c>
      <c r="U3331">
        <v>-5.751038E-2</v>
      </c>
      <c r="V3331">
        <v>-0.12675230000000001</v>
      </c>
      <c r="W3331">
        <v>0.18694520000000001</v>
      </c>
      <c r="X3331">
        <v>0.97415879999999999</v>
      </c>
      <c r="Y3331">
        <v>-3.5445099999999903E-2</v>
      </c>
      <c r="Z3331">
        <v>3.3668790000000001E-3</v>
      </c>
      <c r="AA3331">
        <v>0.99936590000000003</v>
      </c>
      <c r="AB3331">
        <v>24</v>
      </c>
      <c r="AC3331">
        <v>20.997199999999999</v>
      </c>
      <c r="AD3331">
        <v>-1.111276356761</v>
      </c>
      <c r="AE3331">
        <v>-0.38370000000000398</v>
      </c>
      <c r="AF3331">
        <v>-0.75165048974399595</v>
      </c>
      <c r="AG3331">
        <v>-1.111276356761</v>
      </c>
      <c r="AH3331">
        <v>20.928571859702998</v>
      </c>
      <c r="AI3331">
        <v>93.037512419549003</v>
      </c>
      <c r="AJ3331">
        <v>92.056896111365504</v>
      </c>
      <c r="AK3331">
        <v>20.971529121324998</v>
      </c>
      <c r="AL3331">
        <v>79.225437141962203</v>
      </c>
      <c r="AM3331">
        <v>97.413370013795102</v>
      </c>
      <c r="AN3331">
        <v>1.0000000104878799</v>
      </c>
    </row>
    <row r="3332" spans="1:40" x14ac:dyDescent="0.25">
      <c r="A3332" t="str">
        <f>"20190304155121642"</f>
        <v>20190304155121642</v>
      </c>
      <c r="B3332" t="str">
        <f>"1551685881640194"</f>
        <v>1551685881640194</v>
      </c>
      <c r="C3332" t="s">
        <v>40</v>
      </c>
      <c r="D3332">
        <v>5.0543279999999999</v>
      </c>
      <c r="E3332">
        <v>0.53286499999999903</v>
      </c>
      <c r="F3332" t="s">
        <v>72</v>
      </c>
      <c r="G3332">
        <v>-430.66309999999999</v>
      </c>
      <c r="H3332" s="1">
        <v>2.6003549999999999E-6</v>
      </c>
      <c r="I3332">
        <v>213.59469999999999</v>
      </c>
      <c r="J3332">
        <v>-451.53379999999999</v>
      </c>
      <c r="K3332">
        <v>1.1113459999999999</v>
      </c>
      <c r="L3332">
        <v>213.92939999999999</v>
      </c>
      <c r="M3332">
        <v>0.99855799999999995</v>
      </c>
      <c r="N3332">
        <v>-1.068154E-2</v>
      </c>
      <c r="O3332">
        <v>-5.261064E-2</v>
      </c>
      <c r="P3332">
        <v>0.98135539999999999</v>
      </c>
      <c r="Q3332">
        <v>0.1771856</v>
      </c>
      <c r="R3332">
        <v>7.4477970000000004E-2</v>
      </c>
      <c r="S3332">
        <v>3.0895999999999999</v>
      </c>
      <c r="T3332">
        <v>-0.16282639999999901</v>
      </c>
      <c r="U3332">
        <v>-5.052185E-2</v>
      </c>
      <c r="V3332">
        <v>-0.12650749999999999</v>
      </c>
      <c r="W3332">
        <v>0.1872646</v>
      </c>
      <c r="X3332">
        <v>0.97412929999999998</v>
      </c>
      <c r="Y3332">
        <v>-3.6172509999999998E-2</v>
      </c>
      <c r="Z3332">
        <v>3.3532229999999998E-3</v>
      </c>
      <c r="AA3332">
        <v>0.99933989999999995</v>
      </c>
      <c r="AB3332">
        <v>24</v>
      </c>
      <c r="AC3332">
        <v>20.870699999999999</v>
      </c>
      <c r="AD3332">
        <v>-1.111343399645</v>
      </c>
      <c r="AE3332">
        <v>-0.334699999999998</v>
      </c>
      <c r="AF3332">
        <v>-0.76168790263053698</v>
      </c>
      <c r="AG3332">
        <v>-1.111343399645</v>
      </c>
      <c r="AH3332">
        <v>20.800439169064301</v>
      </c>
      <c r="AI3332">
        <v>93.056294690184899</v>
      </c>
      <c r="AJ3332">
        <v>92.097167784965905</v>
      </c>
      <c r="AK3332">
        <v>20.844028455144901</v>
      </c>
      <c r="AL3332">
        <v>79.2068081498102</v>
      </c>
      <c r="AM3332">
        <v>97.399432777760396</v>
      </c>
      <c r="AN3332">
        <v>1.00000003554394</v>
      </c>
    </row>
    <row r="3333" spans="1:40" x14ac:dyDescent="0.25">
      <c r="A3333" t="str">
        <f>"20190304155121664"</f>
        <v>20190304155121664</v>
      </c>
      <c r="B3333" t="str">
        <f>"1551685881659714"</f>
        <v>1551685881659714</v>
      </c>
      <c r="C3333" t="s">
        <v>40</v>
      </c>
      <c r="D3333">
        <v>4.9756960000000001</v>
      </c>
      <c r="E3333">
        <v>0.53241349999999998</v>
      </c>
      <c r="F3333" t="s">
        <v>72</v>
      </c>
      <c r="G3333">
        <v>-430.74400000000003</v>
      </c>
      <c r="H3333" s="1">
        <v>2.6310220000000001E-6</v>
      </c>
      <c r="I3333">
        <v>213.65430000000001</v>
      </c>
      <c r="J3333">
        <v>-451.29750000000001</v>
      </c>
      <c r="K3333">
        <v>1.111413</v>
      </c>
      <c r="L3333">
        <v>213.91890000000001</v>
      </c>
      <c r="M3333">
        <v>0.99864949999999997</v>
      </c>
      <c r="N3333">
        <v>-1.0683170000000001E-2</v>
      </c>
      <c r="O3333">
        <v>-5.0847290000000003E-2</v>
      </c>
      <c r="P3333">
        <v>0.98121369999999997</v>
      </c>
      <c r="Q3333">
        <v>0.17738880000000001</v>
      </c>
      <c r="R3333">
        <v>7.5848750000000006E-2</v>
      </c>
      <c r="S3333">
        <v>3.089966</v>
      </c>
      <c r="T3333">
        <v>-0.16517809999999999</v>
      </c>
      <c r="U3333">
        <v>-4.0893550000000001E-2</v>
      </c>
      <c r="V3333">
        <v>-0.12617780000000001</v>
      </c>
      <c r="W3333">
        <v>0.18744920000000001</v>
      </c>
      <c r="X3333">
        <v>0.97413649999999996</v>
      </c>
      <c r="Y3333">
        <v>-3.7519030000000002E-2</v>
      </c>
      <c r="Z3333">
        <v>3.3744790000000001E-3</v>
      </c>
      <c r="AA3333">
        <v>0.99929020000000002</v>
      </c>
      <c r="AB3333">
        <v>24</v>
      </c>
      <c r="AC3333">
        <v>20.5534999999999</v>
      </c>
      <c r="AD3333">
        <v>-1.1114103689779999</v>
      </c>
      <c r="AE3333">
        <v>-0.264600000000001</v>
      </c>
      <c r="AF3333">
        <v>-0.77861523028941804</v>
      </c>
      <c r="AG3333">
        <v>-1.1114103689779999</v>
      </c>
      <c r="AH3333">
        <v>20.4804897233353</v>
      </c>
      <c r="AI3333">
        <v>93.103973173563404</v>
      </c>
      <c r="AJ3333">
        <v>92.177188786023393</v>
      </c>
      <c r="AK3333">
        <v>20.5253972919589</v>
      </c>
      <c r="AL3333">
        <v>79.196040072916304</v>
      </c>
      <c r="AM3333">
        <v>97.380307533341494</v>
      </c>
      <c r="AN3333">
        <v>0.99999998021286396</v>
      </c>
    </row>
    <row r="3334" spans="1:40" x14ac:dyDescent="0.25">
      <c r="A3334" t="str">
        <f>"20190304155121687"</f>
        <v>20190304155121687</v>
      </c>
      <c r="B3334" t="str">
        <f>"1551685881680209"</f>
        <v>1551685881680209</v>
      </c>
      <c r="C3334" t="s">
        <v>40</v>
      </c>
      <c r="D3334">
        <v>4.9994249999999996</v>
      </c>
      <c r="E3334">
        <v>0.53207979999999999</v>
      </c>
      <c r="F3334" t="s">
        <v>72</v>
      </c>
      <c r="G3334">
        <v>-430.52870000000001</v>
      </c>
      <c r="H3334" s="1">
        <v>2.5319479999999999E-6</v>
      </c>
      <c r="I3334">
        <v>213.69560000000001</v>
      </c>
      <c r="J3334">
        <v>-451.05439999999999</v>
      </c>
      <c r="K3334">
        <v>1.111477</v>
      </c>
      <c r="L3334">
        <v>213.90860000000001</v>
      </c>
      <c r="M3334">
        <v>0.99874399999999997</v>
      </c>
      <c r="N3334">
        <v>-1.068509E-2</v>
      </c>
      <c r="O3334">
        <v>-4.8951210000000002E-2</v>
      </c>
      <c r="P3334">
        <v>0.98116930000000002</v>
      </c>
      <c r="Q3334">
        <v>0.17720839999999999</v>
      </c>
      <c r="R3334">
        <v>7.6836669999999996E-2</v>
      </c>
      <c r="S3334">
        <v>3.089874</v>
      </c>
      <c r="T3334">
        <v>-0.16535039999999901</v>
      </c>
      <c r="U3334">
        <v>-3.3218379999999999E-2</v>
      </c>
      <c r="V3334">
        <v>-0.12533710000000001</v>
      </c>
      <c r="W3334">
        <v>0.1872557</v>
      </c>
      <c r="X3334">
        <v>0.97428230000000005</v>
      </c>
      <c r="Y3334">
        <v>-3.810376E-2</v>
      </c>
      <c r="Z3334">
        <v>3.3162460000000001E-3</v>
      </c>
      <c r="AA3334">
        <v>0.9992683</v>
      </c>
      <c r="AB3334">
        <v>24</v>
      </c>
      <c r="AC3334">
        <v>20.525699999999901</v>
      </c>
      <c r="AD3334">
        <v>-1.1114744680519999</v>
      </c>
      <c r="AE3334">
        <v>-0.212999999999993</v>
      </c>
      <c r="AF3334">
        <v>-0.78975508737326705</v>
      </c>
      <c r="AG3334">
        <v>-1.1114744680519999</v>
      </c>
      <c r="AH3334">
        <v>20.451554690345599</v>
      </c>
      <c r="AI3334">
        <v>93.108463974686401</v>
      </c>
      <c r="AJ3334">
        <v>92.211429020879606</v>
      </c>
      <c r="AK3334">
        <v>20.4969553310574</v>
      </c>
      <c r="AL3334">
        <v>79.207327346151899</v>
      </c>
      <c r="AM3334">
        <v>97.330585426418395</v>
      </c>
      <c r="AN3334">
        <v>1.00000004295609</v>
      </c>
    </row>
    <row r="3335" spans="1:40" x14ac:dyDescent="0.25">
      <c r="A3335" t="str">
        <f>"20190304155121711"</f>
        <v>20190304155121711</v>
      </c>
      <c r="B3335" t="str">
        <f>"1551685881699733"</f>
        <v>1551685881699733</v>
      </c>
      <c r="C3335" t="s">
        <v>40</v>
      </c>
      <c r="D3335">
        <v>4.9698869999999999</v>
      </c>
      <c r="E3335">
        <v>0.53164230000000001</v>
      </c>
      <c r="F3335" t="s">
        <v>72</v>
      </c>
      <c r="G3335">
        <v>-430.51799999999997</v>
      </c>
      <c r="H3335" s="1">
        <v>2.5243749999999999E-6</v>
      </c>
      <c r="I3335">
        <v>213.7277</v>
      </c>
      <c r="J3335">
        <v>-450.80680000000001</v>
      </c>
      <c r="K3335">
        <v>1.1115269999999999</v>
      </c>
      <c r="L3335">
        <v>213.89869999999999</v>
      </c>
      <c r="M3335">
        <v>0.99884050000000002</v>
      </c>
      <c r="N3335">
        <v>-1.0687139999999999E-2</v>
      </c>
      <c r="O3335">
        <v>-4.6942009999999999E-2</v>
      </c>
      <c r="P3335">
        <v>0.98091759999999995</v>
      </c>
      <c r="Q3335">
        <v>0.17795569999999999</v>
      </c>
      <c r="R3335">
        <v>7.8310160000000004E-2</v>
      </c>
      <c r="S3335">
        <v>3.0899049999999999</v>
      </c>
      <c r="T3335">
        <v>-0.16723180000000001</v>
      </c>
      <c r="U3335">
        <v>-2.7221680000000002E-2</v>
      </c>
      <c r="V3335">
        <v>-0.12485889999999999</v>
      </c>
      <c r="W3335">
        <v>0.18799009999999999</v>
      </c>
      <c r="X3335">
        <v>0.97420220000000002</v>
      </c>
      <c r="Y3335">
        <v>-3.803219E-2</v>
      </c>
      <c r="Z3335">
        <v>3.2681379999999999E-3</v>
      </c>
      <c r="AA3335">
        <v>0.99927120000000003</v>
      </c>
      <c r="AB3335">
        <v>24</v>
      </c>
      <c r="AC3335">
        <v>20.288799999999899</v>
      </c>
      <c r="AD3335">
        <v>-1.111524475625</v>
      </c>
      <c r="AE3335">
        <v>-0.17099999999999199</v>
      </c>
      <c r="AF3335">
        <v>-0.77930108608839599</v>
      </c>
      <c r="AG3335">
        <v>-1.111524475625</v>
      </c>
      <c r="AH3335">
        <v>20.2137933700471</v>
      </c>
      <c r="AI3335">
        <v>93.145102612884401</v>
      </c>
      <c r="AJ3335">
        <v>92.207827112716302</v>
      </c>
      <c r="AK3335">
        <v>20.259324748116601</v>
      </c>
      <c r="AL3335">
        <v>79.164487807990895</v>
      </c>
      <c r="AM3335">
        <v>97.303513438857706</v>
      </c>
      <c r="AN3335">
        <v>0.99999997454602896</v>
      </c>
    </row>
    <row r="3336" spans="1:40" x14ac:dyDescent="0.25">
      <c r="A3336" t="str">
        <f>"20190304155121731"</f>
        <v>20190304155121731</v>
      </c>
      <c r="B3336" t="str">
        <f>"1551685881720226"</f>
        <v>1551685881720226</v>
      </c>
      <c r="C3336" t="s">
        <v>40</v>
      </c>
      <c r="D3336">
        <v>5.7196800000000003</v>
      </c>
      <c r="E3336">
        <v>0.53128039999999999</v>
      </c>
      <c r="F3336" t="s">
        <v>72</v>
      </c>
      <c r="G3336">
        <v>-430.0788</v>
      </c>
      <c r="H3336" s="1">
        <v>2.3256740000000002E-6</v>
      </c>
      <c r="I3336">
        <v>213.77289999999999</v>
      </c>
      <c r="J3336">
        <v>-450.5797</v>
      </c>
      <c r="K3336">
        <v>1.1115649999999999</v>
      </c>
      <c r="L3336">
        <v>213.89009999999999</v>
      </c>
      <c r="M3336">
        <v>0.99892740000000002</v>
      </c>
      <c r="N3336">
        <v>-1.0688659999999999E-2</v>
      </c>
      <c r="O3336">
        <v>-4.5053379999999997E-2</v>
      </c>
      <c r="P3336">
        <v>0.98059079999999998</v>
      </c>
      <c r="Q3336">
        <v>0.17911589999999999</v>
      </c>
      <c r="R3336">
        <v>7.9745289999999996E-2</v>
      </c>
      <c r="S3336">
        <v>3.0899049999999999</v>
      </c>
      <c r="T3336">
        <v>-0.16569449999999999</v>
      </c>
      <c r="U3336">
        <v>-1.875305E-2</v>
      </c>
      <c r="V3336">
        <v>-0.1244504</v>
      </c>
      <c r="W3336">
        <v>0.18914159999999999</v>
      </c>
      <c r="X3336">
        <v>0.9740316</v>
      </c>
      <c r="Y3336">
        <v>-3.8883800000000003E-2</v>
      </c>
      <c r="Z3336">
        <v>3.1818770000000001E-3</v>
      </c>
      <c r="AA3336">
        <v>0.99923870000000004</v>
      </c>
      <c r="AB3336">
        <v>24</v>
      </c>
      <c r="AC3336">
        <v>20.500900000000001</v>
      </c>
      <c r="AD3336">
        <v>-1.1115626743260001</v>
      </c>
      <c r="AE3336">
        <v>-0.117199999999996</v>
      </c>
      <c r="AF3336">
        <v>-0.80424236476745603</v>
      </c>
      <c r="AG3336">
        <v>-1.1115626743260001</v>
      </c>
      <c r="AH3336">
        <v>20.425316200901602</v>
      </c>
      <c r="AI3336">
        <v>93.112604006269905</v>
      </c>
      <c r="AJ3336">
        <v>92.254844003586697</v>
      </c>
      <c r="AK3336">
        <v>20.471343855913599</v>
      </c>
      <c r="AL3336">
        <v>79.097306823298396</v>
      </c>
      <c r="AM3336">
        <v>97.281136712047001</v>
      </c>
      <c r="AN3336">
        <v>1.00000000235463</v>
      </c>
    </row>
    <row r="3337" spans="1:40" x14ac:dyDescent="0.25">
      <c r="A3337" t="str">
        <f>"20190304155121753"</f>
        <v>20190304155121753</v>
      </c>
      <c r="B3337" t="str">
        <f>"1551685881750014"</f>
        <v>1551685881750014</v>
      </c>
      <c r="C3337" t="s">
        <v>40</v>
      </c>
      <c r="D3337">
        <v>4.9311499999999997</v>
      </c>
      <c r="E3337">
        <v>0.53083530000000001</v>
      </c>
      <c r="F3337" t="s">
        <v>72</v>
      </c>
      <c r="G3337">
        <v>-429.30259999999998</v>
      </c>
      <c r="H3337" s="1">
        <v>2.3848739999999999E-6</v>
      </c>
      <c r="I3337">
        <v>213.81110000000001</v>
      </c>
      <c r="J3337">
        <v>-450.34140000000002</v>
      </c>
      <c r="K3337">
        <v>1.111588</v>
      </c>
      <c r="L3337">
        <v>213.8817</v>
      </c>
      <c r="M3337">
        <v>0.99901629999999997</v>
      </c>
      <c r="N3337">
        <v>-1.069024E-2</v>
      </c>
      <c r="O3337">
        <v>-4.3040660000000001E-2</v>
      </c>
      <c r="P3337">
        <v>0.98019780000000001</v>
      </c>
      <c r="Q3337">
        <v>0.18021529999999999</v>
      </c>
      <c r="R3337">
        <v>8.2068440000000006E-2</v>
      </c>
      <c r="S3337">
        <v>3.0898129999999999</v>
      </c>
      <c r="T3337">
        <v>-0.16141810000000001</v>
      </c>
      <c r="U3337">
        <v>-1.147461E-2</v>
      </c>
      <c r="V3337">
        <v>-0.1248002</v>
      </c>
      <c r="W3337">
        <v>0.19023290000000001</v>
      </c>
      <c r="X3337">
        <v>0.97377429999999998</v>
      </c>
      <c r="Y3337">
        <v>-3.9231040000000002E-2</v>
      </c>
      <c r="Z3337">
        <v>3.0203579999999999E-3</v>
      </c>
      <c r="AA3337">
        <v>0.99922560000000005</v>
      </c>
      <c r="AB3337">
        <v>24</v>
      </c>
      <c r="AC3337">
        <v>21.038799999999998</v>
      </c>
      <c r="AD3337">
        <v>-1.111585615126</v>
      </c>
      <c r="AE3337">
        <v>-7.0599999999984606E-2</v>
      </c>
      <c r="AF3337">
        <v>-0.83271632290432795</v>
      </c>
      <c r="AG3337">
        <v>-1.111585615126</v>
      </c>
      <c r="AH3337">
        <v>20.963819726848101</v>
      </c>
      <c r="AI3337">
        <v>93.032821916462595</v>
      </c>
      <c r="AJ3337">
        <v>92.274683823389495</v>
      </c>
      <c r="AK3337">
        <v>21.0097781186278</v>
      </c>
      <c r="AL3337">
        <v>79.033623901390698</v>
      </c>
      <c r="AM3337">
        <v>97.303290102528095</v>
      </c>
      <c r="AN3337">
        <v>1.00000001675146</v>
      </c>
    </row>
    <row r="3338" spans="1:40" x14ac:dyDescent="0.25">
      <c r="A3338" t="str">
        <f>"20190304155121777"</f>
        <v>20190304155121777</v>
      </c>
      <c r="B3338" t="str">
        <f>"1551685881769534"</f>
        <v>1551685881769534</v>
      </c>
      <c r="C3338" t="s">
        <v>40</v>
      </c>
      <c r="D3338">
        <v>4.938599</v>
      </c>
      <c r="E3338">
        <v>0.53049840000000004</v>
      </c>
      <c r="F3338" t="s">
        <v>72</v>
      </c>
      <c r="G3338">
        <v>-428.31670000000003</v>
      </c>
      <c r="H3338" s="1">
        <v>2.5543950000000001E-6</v>
      </c>
      <c r="I3338">
        <v>213.8724</v>
      </c>
      <c r="J3338">
        <v>-450.0883</v>
      </c>
      <c r="K3338">
        <v>1.1115900000000001</v>
      </c>
      <c r="L3338">
        <v>213.8732</v>
      </c>
      <c r="M3338">
        <v>0.99910659999999896</v>
      </c>
      <c r="N3338">
        <v>-1.068935E-2</v>
      </c>
      <c r="O3338">
        <v>-4.0889639999999998E-2</v>
      </c>
      <c r="P3338">
        <v>0.97982990000000003</v>
      </c>
      <c r="Q3338">
        <v>0.1811575</v>
      </c>
      <c r="R3338">
        <v>8.4353220000000007E-2</v>
      </c>
      <c r="S3338">
        <v>3.0893860000000002</v>
      </c>
      <c r="T3338">
        <v>-0.15592120000000001</v>
      </c>
      <c r="U3338">
        <v>-1.296997E-3</v>
      </c>
      <c r="V3338">
        <v>-0.1249725</v>
      </c>
      <c r="W3338">
        <v>0.1911696</v>
      </c>
      <c r="X3338">
        <v>0.97356869999999995</v>
      </c>
      <c r="Y3338">
        <v>-4.0377900000000001E-2</v>
      </c>
      <c r="Z3338">
        <v>2.8592470000000001E-3</v>
      </c>
      <c r="AA3338">
        <v>0.99918039999999997</v>
      </c>
      <c r="AB3338">
        <v>24</v>
      </c>
      <c r="AC3338">
        <v>21.7715999999999</v>
      </c>
      <c r="AD3338">
        <v>-1.1115874456049999</v>
      </c>
      <c r="AE3338">
        <v>-7.9999999999813499E-4</v>
      </c>
      <c r="AF3338">
        <v>-0.88717164743917598</v>
      </c>
      <c r="AG3338">
        <v>-1.1115874456049999</v>
      </c>
      <c r="AH3338">
        <v>21.696863136447799</v>
      </c>
      <c r="AI3338">
        <v>92.930405019596705</v>
      </c>
      <c r="AJ3338">
        <v>92.341485505051693</v>
      </c>
      <c r="AK3338">
        <v>21.743425906305401</v>
      </c>
      <c r="AL3338">
        <v>78.978951167884404</v>
      </c>
      <c r="AM3338">
        <v>97.314791692250694</v>
      </c>
      <c r="AN3338">
        <v>0.999999977670049</v>
      </c>
    </row>
    <row r="3339" spans="1:40" x14ac:dyDescent="0.25">
      <c r="A3339" t="str">
        <f>"20190304155121800"</f>
        <v>20190304155121800</v>
      </c>
      <c r="B3339" t="str">
        <f>"1551685881790030"</f>
        <v>1551685881790030</v>
      </c>
      <c r="C3339" t="s">
        <v>40</v>
      </c>
      <c r="D3339">
        <v>5.3630250000000004</v>
      </c>
      <c r="E3339">
        <v>0.53023430000000005</v>
      </c>
      <c r="F3339" t="s">
        <v>72</v>
      </c>
      <c r="G3339">
        <v>-427.74770000000001</v>
      </c>
      <c r="H3339" s="1">
        <v>2.6504769999999999E-6</v>
      </c>
      <c r="I3339">
        <v>213.92779999999999</v>
      </c>
      <c r="J3339">
        <v>-449.83920000000001</v>
      </c>
      <c r="K3339">
        <v>1.1115969999999999</v>
      </c>
      <c r="L3339">
        <v>213.86539999999999</v>
      </c>
      <c r="M3339">
        <v>0.99919100000000005</v>
      </c>
      <c r="N3339">
        <v>-1.0682479999999999E-2</v>
      </c>
      <c r="O3339">
        <v>-3.8772180000000003E-2</v>
      </c>
      <c r="P3339">
        <v>0.9793229</v>
      </c>
      <c r="Q3339">
        <v>0.18260029999999999</v>
      </c>
      <c r="R3339">
        <v>8.7087689999999995E-2</v>
      </c>
      <c r="S3339">
        <v>3.0895389999999998</v>
      </c>
      <c r="T3339">
        <v>-0.153724</v>
      </c>
      <c r="U3339">
        <v>7.55310099999999E-3</v>
      </c>
      <c r="V3339">
        <v>-0.12562100000000001</v>
      </c>
      <c r="W3339">
        <v>0.19260070000000001</v>
      </c>
      <c r="X3339">
        <v>0.97320309999999999</v>
      </c>
      <c r="Y3339">
        <v>-4.1125790000000002E-2</v>
      </c>
      <c r="Z3339">
        <v>2.7558919999999998E-3</v>
      </c>
      <c r="AA3339">
        <v>0.99915019999999999</v>
      </c>
      <c r="AB3339">
        <v>24</v>
      </c>
      <c r="AC3339">
        <v>22.0915</v>
      </c>
      <c r="AD3339">
        <v>-1.1115943495229901</v>
      </c>
      <c r="AE3339">
        <v>6.2399999999996597E-2</v>
      </c>
      <c r="AF3339">
        <v>-0.91661680241872501</v>
      </c>
      <c r="AG3339">
        <v>-1.1115943495229901</v>
      </c>
      <c r="AH3339">
        <v>22.016724312816699</v>
      </c>
      <c r="AI3339">
        <v>92.887834030519997</v>
      </c>
      <c r="AJ3339">
        <v>92.384004174193393</v>
      </c>
      <c r="AK3339">
        <v>22.0638160304817</v>
      </c>
      <c r="AL3339">
        <v>78.895402526377595</v>
      </c>
      <c r="AM3339">
        <v>97.3550667066351</v>
      </c>
      <c r="AN3339">
        <v>0.99999996956554904</v>
      </c>
    </row>
    <row r="3340" spans="1:40" x14ac:dyDescent="0.25">
      <c r="A3340" t="str">
        <f>"20190304155121822"</f>
        <v>20190304155121822</v>
      </c>
      <c r="B3340" t="str">
        <f>"1551685881820285"</f>
        <v>1551685881820285</v>
      </c>
      <c r="C3340" t="s">
        <v>40</v>
      </c>
      <c r="D3340">
        <v>5.1181260000000002</v>
      </c>
      <c r="E3340">
        <v>0.48614760000000001</v>
      </c>
      <c r="F3340" t="s">
        <v>72</v>
      </c>
      <c r="G3340">
        <v>-426.96800000000002</v>
      </c>
      <c r="H3340" s="1">
        <v>2.7822580000000001E-6</v>
      </c>
      <c r="I3340">
        <v>214.00239999999999</v>
      </c>
      <c r="J3340">
        <v>-449.60210000000001</v>
      </c>
      <c r="K3340">
        <v>1.1115919999999999</v>
      </c>
      <c r="L3340">
        <v>213.85839999999999</v>
      </c>
      <c r="M3340">
        <v>0.99926700000000002</v>
      </c>
      <c r="N3340">
        <v>-1.067007E-2</v>
      </c>
      <c r="O3340">
        <v>-3.6764280000000003E-2</v>
      </c>
      <c r="P3340">
        <v>0.9789156</v>
      </c>
      <c r="Q3340">
        <v>0.1835936</v>
      </c>
      <c r="R3340">
        <v>8.9541609999999994E-2</v>
      </c>
      <c r="S3340">
        <v>3.0897220000000001</v>
      </c>
      <c r="T3340">
        <v>-0.15016779999999999</v>
      </c>
      <c r="U3340">
        <v>1.850891E-2</v>
      </c>
      <c r="V3340">
        <v>-0.12609880000000001</v>
      </c>
      <c r="W3340">
        <v>0.19357940000000001</v>
      </c>
      <c r="X3340">
        <v>0.97294709999999995</v>
      </c>
      <c r="Y3340">
        <v>-4.2664189999999998E-2</v>
      </c>
      <c r="Z3340">
        <v>2.657305E-3</v>
      </c>
      <c r="AA3340">
        <v>0.99908600000000003</v>
      </c>
      <c r="AB3340">
        <v>24</v>
      </c>
      <c r="AC3340">
        <v>22.634099999999901</v>
      </c>
      <c r="AD3340">
        <v>-1.1115892177419999</v>
      </c>
      <c r="AE3340">
        <v>0.14400000000000501</v>
      </c>
      <c r="AF3340">
        <v>-0.97372794786203598</v>
      </c>
      <c r="AG3340">
        <v>-1.1115892177419999</v>
      </c>
      <c r="AH3340">
        <v>22.5590940244042</v>
      </c>
      <c r="AI3340">
        <v>92.818322268108602</v>
      </c>
      <c r="AJ3340">
        <v>92.471548414104205</v>
      </c>
      <c r="AK3340">
        <v>22.607443462438599</v>
      </c>
      <c r="AL3340">
        <v>78.83825168832</v>
      </c>
      <c r="AM3340">
        <v>97.384654779142494</v>
      </c>
      <c r="AN3340">
        <v>0.99999997543210395</v>
      </c>
    </row>
    <row r="3341" spans="1:40" x14ac:dyDescent="0.25">
      <c r="A3341" t="str">
        <f>"20190304155121843"</f>
        <v>20190304155121843</v>
      </c>
      <c r="B3341" t="str">
        <f>"1551685881839806"</f>
        <v>1551685881839806</v>
      </c>
      <c r="C3341" t="s">
        <v>40</v>
      </c>
      <c r="D3341">
        <v>5.0067159999999999</v>
      </c>
      <c r="E3341">
        <v>0.48533959999999998</v>
      </c>
      <c r="F3341" t="s">
        <v>72</v>
      </c>
      <c r="G3341">
        <v>-427.63</v>
      </c>
      <c r="H3341" s="1">
        <v>2.4406290000000001E-6</v>
      </c>
      <c r="I3341">
        <v>216.56710000000001</v>
      </c>
      <c r="J3341">
        <v>-449.37369999999999</v>
      </c>
      <c r="K3341">
        <v>1.1115839999999999</v>
      </c>
      <c r="L3341">
        <v>213.85220000000001</v>
      </c>
      <c r="M3341">
        <v>0.99933620000000001</v>
      </c>
      <c r="N3341">
        <v>-1.0650069999999999E-2</v>
      </c>
      <c r="O3341">
        <v>-3.484218E-2</v>
      </c>
      <c r="P3341">
        <v>0.97868469999999996</v>
      </c>
      <c r="Q3341">
        <v>0.18351909999999999</v>
      </c>
      <c r="R3341">
        <v>9.2179639999999993E-2</v>
      </c>
      <c r="S3341">
        <v>3.0591430000000002</v>
      </c>
      <c r="T3341">
        <v>-0.15476509999999999</v>
      </c>
      <c r="U3341">
        <v>0.37712099999999998</v>
      </c>
      <c r="V3341">
        <v>-0.12684809999999999</v>
      </c>
      <c r="W3341">
        <v>0.1934845</v>
      </c>
      <c r="X3341">
        <v>0.97286859999999997</v>
      </c>
      <c r="Y3341">
        <v>-0.1565916</v>
      </c>
      <c r="Z3341">
        <v>6.1675559999999898E-3</v>
      </c>
      <c r="AA3341">
        <v>0.98764419999999997</v>
      </c>
      <c r="AB3341">
        <v>24</v>
      </c>
      <c r="AC3341">
        <v>21.743699999999901</v>
      </c>
      <c r="AD3341">
        <v>-1.1115815593709999</v>
      </c>
      <c r="AE3341">
        <v>2.7149000000000001</v>
      </c>
      <c r="AF3341">
        <v>-3.4619833195880498</v>
      </c>
      <c r="AG3341">
        <v>-1.1115815593709999</v>
      </c>
      <c r="AH3341">
        <v>21.5803642789344</v>
      </c>
      <c r="AI3341">
        <v>92.911477738936597</v>
      </c>
      <c r="AJ3341">
        <v>99.113897563706701</v>
      </c>
      <c r="AK3341">
        <v>21.884539393821999</v>
      </c>
      <c r="AL3341">
        <v>78.843794144267505</v>
      </c>
      <c r="AM3341">
        <v>97.428639678669398</v>
      </c>
      <c r="AN3341">
        <v>1.0000000025399101</v>
      </c>
    </row>
    <row r="3342" spans="1:40" x14ac:dyDescent="0.25">
      <c r="A3342" t="str">
        <f>"20190304155121865"</f>
        <v>20190304155121865</v>
      </c>
      <c r="B3342" t="str">
        <f>"1551685881860302"</f>
        <v>1551685881860302</v>
      </c>
      <c r="C3342" t="s">
        <v>40</v>
      </c>
      <c r="D3342">
        <v>4.9331670000000001</v>
      </c>
      <c r="E3342">
        <v>0.48499789999999998</v>
      </c>
      <c r="F3342" t="s">
        <v>72</v>
      </c>
      <c r="G3342">
        <v>-428.6986</v>
      </c>
      <c r="H3342" s="1">
        <v>2.2566530000000001E-6</v>
      </c>
      <c r="I3342">
        <v>216.5033</v>
      </c>
      <c r="J3342">
        <v>-449.13850000000002</v>
      </c>
      <c r="K3342">
        <v>1.1115630000000001</v>
      </c>
      <c r="L3342">
        <v>213.84620000000001</v>
      </c>
      <c r="M3342">
        <v>0.99940320000000005</v>
      </c>
      <c r="N3342">
        <v>-1.06198E-2</v>
      </c>
      <c r="O3342">
        <v>-3.2873310000000003E-2</v>
      </c>
      <c r="P3342">
        <v>0.97862389999999999</v>
      </c>
      <c r="Q3342">
        <v>0.18257399999999999</v>
      </c>
      <c r="R3342">
        <v>9.4668390000000005E-2</v>
      </c>
      <c r="S3342">
        <v>3.0592039999999998</v>
      </c>
      <c r="T3342">
        <v>-0.16447539999999999</v>
      </c>
      <c r="U3342">
        <v>0.39227289999999998</v>
      </c>
      <c r="V3342">
        <v>-0.12740689999999999</v>
      </c>
      <c r="W3342">
        <v>0.19251080000000001</v>
      </c>
      <c r="X3342">
        <v>0.97298870000000004</v>
      </c>
      <c r="Y3342">
        <v>-0.15942300000000001</v>
      </c>
      <c r="Z3342">
        <v>6.5280929999999996E-3</v>
      </c>
      <c r="AA3342">
        <v>0.98718879999999998</v>
      </c>
      <c r="AB3342">
        <v>24</v>
      </c>
      <c r="AC3342">
        <v>20.439900000000002</v>
      </c>
      <c r="AD3342">
        <v>-1.1115607433469901</v>
      </c>
      <c r="AE3342">
        <v>2.6570999999999798</v>
      </c>
      <c r="AF3342">
        <v>-3.3179792459539899</v>
      </c>
      <c r="AG3342">
        <v>-1.1115607433469901</v>
      </c>
      <c r="AH3342">
        <v>20.282512416391199</v>
      </c>
      <c r="AI3342">
        <v>93.095825353517796</v>
      </c>
      <c r="AJ3342">
        <v>99.290619728563897</v>
      </c>
      <c r="AK3342">
        <v>20.582149146379098</v>
      </c>
      <c r="AL3342">
        <v>78.900651634858207</v>
      </c>
      <c r="AM3342">
        <v>97.460086366997004</v>
      </c>
      <c r="AN3342">
        <v>0.99999996830596904</v>
      </c>
    </row>
    <row r="3343" spans="1:40" x14ac:dyDescent="0.25">
      <c r="A3343" t="str">
        <f>"20190304155121888"</f>
        <v>20190304155121888</v>
      </c>
      <c r="B3343" t="str">
        <f>"1551685881879822"</f>
        <v>1551685881879822</v>
      </c>
      <c r="C3343" t="s">
        <v>40</v>
      </c>
      <c r="D3343">
        <v>5.0258279999999997</v>
      </c>
      <c r="E3343">
        <v>0.48492790000000002</v>
      </c>
      <c r="F3343" t="s">
        <v>72</v>
      </c>
      <c r="G3343">
        <v>-430.38569999999999</v>
      </c>
      <c r="H3343" s="1">
        <v>2.2395030000000002E-6</v>
      </c>
      <c r="I3343">
        <v>216.3152</v>
      </c>
      <c r="J3343">
        <v>-448.8904</v>
      </c>
      <c r="K3343">
        <v>1.1115429999999999</v>
      </c>
      <c r="L3343">
        <v>213.84039999999999</v>
      </c>
      <c r="M3343">
        <v>0.99946939999999995</v>
      </c>
      <c r="N3343">
        <v>-1.0582640000000001E-2</v>
      </c>
      <c r="O3343">
        <v>-3.080869E-2</v>
      </c>
      <c r="P3343">
        <v>0.97849299999999995</v>
      </c>
      <c r="Q3343">
        <v>0.18223439999999999</v>
      </c>
      <c r="R3343">
        <v>9.6656510000000001E-2</v>
      </c>
      <c r="S3343">
        <v>3.060425</v>
      </c>
      <c r="T3343">
        <v>-0.18140510000000001</v>
      </c>
      <c r="U3343">
        <v>0.40293879999999999</v>
      </c>
      <c r="V3343">
        <v>-0.12737229999999999</v>
      </c>
      <c r="W3343">
        <v>0.19213740000000001</v>
      </c>
      <c r="X3343">
        <v>0.97306700000000002</v>
      </c>
      <c r="Y3343">
        <v>-0.16065579999999999</v>
      </c>
      <c r="Z3343">
        <v>7.0846169999999997E-3</v>
      </c>
      <c r="AA3343">
        <v>0.98698509999999995</v>
      </c>
      <c r="AB3343">
        <v>24</v>
      </c>
      <c r="AC3343">
        <v>18.5047</v>
      </c>
      <c r="AD3343">
        <v>-1.111540760497</v>
      </c>
      <c r="AE3343">
        <v>2.4748000000000099</v>
      </c>
      <c r="AF3343">
        <v>-3.03301118832906</v>
      </c>
      <c r="AG3343">
        <v>-1.111540760497</v>
      </c>
      <c r="AH3343">
        <v>18.354602464446</v>
      </c>
      <c r="AI3343">
        <v>93.419299373057996</v>
      </c>
      <c r="AJ3343">
        <v>99.3830648849775</v>
      </c>
      <c r="AK3343">
        <v>18.636687242067001</v>
      </c>
      <c r="AL3343">
        <v>78.922452502192996</v>
      </c>
      <c r="AM3343">
        <v>97.457489859295407</v>
      </c>
      <c r="AN3343">
        <v>0.99999993488752204</v>
      </c>
    </row>
    <row r="3344" spans="1:40" x14ac:dyDescent="0.25">
      <c r="A3344" t="str">
        <f>"20190304155121921"</f>
        <v>20190304155121921</v>
      </c>
      <c r="B3344" t="str">
        <f>"1551685881910081"</f>
        <v>1551685881910081</v>
      </c>
      <c r="C3344" t="s">
        <v>40</v>
      </c>
      <c r="D3344">
        <v>4.9593930000000004</v>
      </c>
      <c r="E3344">
        <v>0.48621399999999998</v>
      </c>
      <c r="F3344" t="s">
        <v>72</v>
      </c>
      <c r="G3344">
        <v>-430.13249999999999</v>
      </c>
      <c r="H3344" s="1">
        <v>2.1236310000000001E-6</v>
      </c>
      <c r="I3344">
        <v>216.35650000000001</v>
      </c>
      <c r="J3344">
        <v>-448.53070000000002</v>
      </c>
      <c r="K3344">
        <v>1.111521</v>
      </c>
      <c r="L3344">
        <v>213.83279999999999</v>
      </c>
      <c r="M3344">
        <v>0.99955709999999998</v>
      </c>
      <c r="N3344">
        <v>-1.0532639999999999E-2</v>
      </c>
      <c r="O3344">
        <v>-2.783857E-2</v>
      </c>
      <c r="P3344">
        <v>0.97838800000000004</v>
      </c>
      <c r="Q3344">
        <v>0.18160760000000001</v>
      </c>
      <c r="R3344">
        <v>9.8874669999999998E-2</v>
      </c>
      <c r="S3344">
        <v>3.0591740000000001</v>
      </c>
      <c r="T3344">
        <v>-0.18127869999999999</v>
      </c>
      <c r="U3344">
        <v>0.41035460000000001</v>
      </c>
      <c r="V3344">
        <v>-0.12668299999999999</v>
      </c>
      <c r="W3344">
        <v>0.19146859999999999</v>
      </c>
      <c r="X3344">
        <v>0.97328879999999995</v>
      </c>
      <c r="Y3344">
        <v>-0.1601312</v>
      </c>
      <c r="Z3344">
        <v>6.9170580000000002E-3</v>
      </c>
      <c r="AA3344">
        <v>0.98707149999999999</v>
      </c>
      <c r="AB3344">
        <v>24</v>
      </c>
      <c r="AC3344">
        <v>18.398199999999999</v>
      </c>
      <c r="AD3344">
        <v>-1.11151887636899</v>
      </c>
      <c r="AE3344">
        <v>2.5237000000000198</v>
      </c>
      <c r="AF3344">
        <v>-3.0240958442841399</v>
      </c>
      <c r="AG3344">
        <v>-1.11151887636899</v>
      </c>
      <c r="AH3344">
        <v>18.255408403513702</v>
      </c>
      <c r="AI3344">
        <v>93.437540620931998</v>
      </c>
      <c r="AJ3344">
        <v>99.405903628706497</v>
      </c>
      <c r="AK3344">
        <v>18.5375447637226</v>
      </c>
      <c r="AL3344">
        <v>78.961496985438401</v>
      </c>
      <c r="AM3344">
        <v>97.415911274060505</v>
      </c>
      <c r="AN3344">
        <v>0.99999994774019796</v>
      </c>
    </row>
    <row r="3345" spans="1:40" x14ac:dyDescent="0.25">
      <c r="A3345" t="str">
        <f>"20190304155121943"</f>
        <v>20190304155121943</v>
      </c>
      <c r="B3345" t="str">
        <f>"1551685881940334"</f>
        <v>1551685881940334</v>
      </c>
      <c r="C3345" t="s">
        <v>40</v>
      </c>
      <c r="D3345">
        <v>4.9632329999999998</v>
      </c>
      <c r="E3345">
        <v>0.48619669999999998</v>
      </c>
      <c r="F3345" t="s">
        <v>72</v>
      </c>
      <c r="G3345">
        <v>-429.18040000000002</v>
      </c>
      <c r="H3345" s="1">
        <v>2.1792409999999999E-6</v>
      </c>
      <c r="I3345">
        <v>216.4111</v>
      </c>
      <c r="J3345">
        <v>-448.28989999999999</v>
      </c>
      <c r="K3345">
        <v>1.1115029999999999</v>
      </c>
      <c r="L3345">
        <v>213.82839999999999</v>
      </c>
      <c r="M3345">
        <v>0.99961040000000001</v>
      </c>
      <c r="N3345">
        <v>-1.049889E-2</v>
      </c>
      <c r="O3345">
        <v>-2.5862309999999999E-2</v>
      </c>
      <c r="P3345">
        <v>0.97852810000000001</v>
      </c>
      <c r="Q3345">
        <v>0.18058389999999999</v>
      </c>
      <c r="R3345">
        <v>9.9358399999999999E-2</v>
      </c>
      <c r="S3345">
        <v>3.0576479999999999</v>
      </c>
      <c r="T3345">
        <v>-0.17563709999999999</v>
      </c>
      <c r="U3345">
        <v>0.40740969999999999</v>
      </c>
      <c r="V3345">
        <v>-0.12523480000000001</v>
      </c>
      <c r="W3345">
        <v>0.19042300000000001</v>
      </c>
      <c r="X3345">
        <v>0.97368129999999997</v>
      </c>
      <c r="Y3345">
        <v>-0.15733820000000001</v>
      </c>
      <c r="Z3345">
        <v>6.534041E-3</v>
      </c>
      <c r="AA3345">
        <v>0.98752309999999999</v>
      </c>
      <c r="AB3345">
        <v>24</v>
      </c>
      <c r="AC3345">
        <v>19.109499999999901</v>
      </c>
      <c r="AD3345">
        <v>-1.111500820759</v>
      </c>
      <c r="AE3345">
        <v>2.5827000000000102</v>
      </c>
      <c r="AF3345">
        <v>-3.0658927710801001</v>
      </c>
      <c r="AG3345">
        <v>-1.111500820759</v>
      </c>
      <c r="AH3345">
        <v>18.9732712682356</v>
      </c>
      <c r="AI3345">
        <v>93.309858899790498</v>
      </c>
      <c r="AJ3345">
        <v>99.179086651126298</v>
      </c>
      <c r="AK3345">
        <v>19.251497478803199</v>
      </c>
      <c r="AL3345">
        <v>79.022528693481107</v>
      </c>
      <c r="AM3345">
        <v>97.329139184945902</v>
      </c>
      <c r="AN3345">
        <v>0.99999997401486396</v>
      </c>
    </row>
    <row r="3346" spans="1:40" x14ac:dyDescent="0.25">
      <c r="A3346" t="str">
        <f>"20190304155121965"</f>
        <v>20190304155121965</v>
      </c>
      <c r="B3346" t="str">
        <f>"1551685881959854"</f>
        <v>1551685881959854</v>
      </c>
      <c r="C3346" t="s">
        <v>40</v>
      </c>
      <c r="D3346">
        <v>4.9548889999999997</v>
      </c>
      <c r="E3346">
        <v>0.48604989999999998</v>
      </c>
      <c r="F3346" t="s">
        <v>72</v>
      </c>
      <c r="G3346">
        <v>-429.26929999999999</v>
      </c>
      <c r="H3346" s="1">
        <v>2.1670000000000002E-6</v>
      </c>
      <c r="I3346">
        <v>216.37090000000001</v>
      </c>
      <c r="J3346">
        <v>-448.05180000000001</v>
      </c>
      <c r="K3346">
        <v>1.11148</v>
      </c>
      <c r="L3346">
        <v>213.8244</v>
      </c>
      <c r="M3346">
        <v>0.99965899999999996</v>
      </c>
      <c r="N3346">
        <v>-1.045803E-2</v>
      </c>
      <c r="O3346">
        <v>-2.3930170000000001E-2</v>
      </c>
      <c r="P3346">
        <v>0.97869360000000005</v>
      </c>
      <c r="Q3346">
        <v>0.17962800000000001</v>
      </c>
      <c r="R3346">
        <v>9.9463369999999995E-2</v>
      </c>
      <c r="S3346">
        <v>3.057312</v>
      </c>
      <c r="T3346">
        <v>-0.1786586</v>
      </c>
      <c r="U3346">
        <v>0.40867609999999999</v>
      </c>
      <c r="V3346">
        <v>-0.1234492</v>
      </c>
      <c r="W3346">
        <v>0.18944079999999999</v>
      </c>
      <c r="X3346">
        <v>0.97410090000000005</v>
      </c>
      <c r="Y3346">
        <v>-0.155839899999999</v>
      </c>
      <c r="Z3346">
        <v>6.4913030000000004E-3</v>
      </c>
      <c r="AA3346">
        <v>0.987761</v>
      </c>
      <c r="AB3346">
        <v>24</v>
      </c>
      <c r="AC3346">
        <v>18.782499999999999</v>
      </c>
      <c r="AD3346">
        <v>-1.1114778329999999</v>
      </c>
      <c r="AE3346">
        <v>2.5465</v>
      </c>
      <c r="AF3346">
        <v>-2.9849993715598</v>
      </c>
      <c r="AG3346">
        <v>-1.1114778329999999</v>
      </c>
      <c r="AH3346">
        <v>18.652041903448001</v>
      </c>
      <c r="AI3346">
        <v>93.367480856673097</v>
      </c>
      <c r="AJ3346">
        <v>99.092291646501096</v>
      </c>
      <c r="AK3346">
        <v>18.922057800076701</v>
      </c>
      <c r="AL3346">
        <v>79.079848737339006</v>
      </c>
      <c r="AM3346">
        <v>97.222672864375795</v>
      </c>
      <c r="AN3346">
        <v>1.00000004253304</v>
      </c>
    </row>
    <row r="3347" spans="1:40" x14ac:dyDescent="0.25">
      <c r="A3347" t="str">
        <f>"20190304155121991"</f>
        <v>20190304155121991</v>
      </c>
      <c r="B3347" t="str">
        <f>"1551685881980350"</f>
        <v>1551685881980350</v>
      </c>
      <c r="C3347" t="s">
        <v>40</v>
      </c>
      <c r="D3347">
        <v>4.8894299999999999</v>
      </c>
      <c r="E3347">
        <v>0.48598469999999999</v>
      </c>
      <c r="F3347" t="s">
        <v>72</v>
      </c>
      <c r="G3347">
        <v>-429.72879999999998</v>
      </c>
      <c r="H3347" s="1">
        <v>2.0932850000000002E-6</v>
      </c>
      <c r="I3347">
        <v>216.2817</v>
      </c>
      <c r="J3347">
        <v>-447.78570000000002</v>
      </c>
      <c r="K3347">
        <v>1.111445</v>
      </c>
      <c r="L3347">
        <v>213.82040000000001</v>
      </c>
      <c r="M3347">
        <v>0.99970800000000004</v>
      </c>
      <c r="N3347">
        <v>-1.0407649999999999E-2</v>
      </c>
      <c r="O3347">
        <v>-2.1812149999999999E-2</v>
      </c>
      <c r="P3347">
        <v>0.9787825</v>
      </c>
      <c r="Q3347">
        <v>0.179316899999999</v>
      </c>
      <c r="R3347">
        <v>9.9147879999999994E-2</v>
      </c>
      <c r="S3347">
        <v>3.0576780000000001</v>
      </c>
      <c r="T3347">
        <v>-0.18547920000000001</v>
      </c>
      <c r="U3347">
        <v>0.4100647</v>
      </c>
      <c r="V3347">
        <v>-0.121055</v>
      </c>
      <c r="W3347">
        <v>0.18909899999999999</v>
      </c>
      <c r="X3347">
        <v>0.97446770000000005</v>
      </c>
      <c r="Y3347">
        <v>-0.15415390000000001</v>
      </c>
      <c r="Z3347">
        <v>6.5477510000000001E-3</v>
      </c>
      <c r="AA3347">
        <v>0.98802520000000005</v>
      </c>
      <c r="AB3347">
        <v>24</v>
      </c>
      <c r="AC3347">
        <v>18.056899999999999</v>
      </c>
      <c r="AD3347">
        <v>-1.111442906715</v>
      </c>
      <c r="AE3347">
        <v>2.4612999999999898</v>
      </c>
      <c r="AF3347">
        <v>-2.8440169481277899</v>
      </c>
      <c r="AG3347">
        <v>-1.111442906715</v>
      </c>
      <c r="AH3347">
        <v>17.932214269295599</v>
      </c>
      <c r="AI3347">
        <v>93.502997666392702</v>
      </c>
      <c r="AJ3347">
        <v>99.011947548170198</v>
      </c>
      <c r="AK3347">
        <v>18.190328373508098</v>
      </c>
      <c r="AL3347">
        <v>79.099792692019705</v>
      </c>
      <c r="AM3347">
        <v>97.081392428661701</v>
      </c>
      <c r="AN3347">
        <v>1.0000000215846401</v>
      </c>
    </row>
    <row r="3348" spans="1:40" x14ac:dyDescent="0.25">
      <c r="A3348" t="str">
        <f>"20190304155122012"</f>
        <v>20190304155122012</v>
      </c>
      <c r="B3348" t="str">
        <f>"1551685882009630"</f>
        <v>1551685882009630</v>
      </c>
      <c r="C3348" t="s">
        <v>40</v>
      </c>
      <c r="D3348">
        <v>4.9344599999999996</v>
      </c>
      <c r="E3348">
        <v>0.48623349999999999</v>
      </c>
      <c r="F3348" t="s">
        <v>72</v>
      </c>
      <c r="G3348">
        <v>-429.83269999999999</v>
      </c>
      <c r="H3348" s="1">
        <v>2.0802649999999999E-6</v>
      </c>
      <c r="I3348">
        <v>216.21969999999999</v>
      </c>
      <c r="J3348">
        <v>-447.54059999999998</v>
      </c>
      <c r="K3348">
        <v>1.111397</v>
      </c>
      <c r="L3348">
        <v>213.81729999999999</v>
      </c>
      <c r="M3348">
        <v>0.99974810000000003</v>
      </c>
      <c r="N3348">
        <v>-1.0364780000000001E-2</v>
      </c>
      <c r="O3348">
        <v>-1.9912369999999999E-2</v>
      </c>
      <c r="P3348">
        <v>0.97885949999999999</v>
      </c>
      <c r="Q3348">
        <v>0.17936969999999999</v>
      </c>
      <c r="R3348">
        <v>9.8288979999999998E-2</v>
      </c>
      <c r="S3348">
        <v>3.0583499999999999</v>
      </c>
      <c r="T3348">
        <v>-0.18933759999999999</v>
      </c>
      <c r="U3348">
        <v>0.40872190000000003</v>
      </c>
      <c r="V3348">
        <v>-0.1183276</v>
      </c>
      <c r="W3348">
        <v>0.18913079999999999</v>
      </c>
      <c r="X3348">
        <v>0.97479640000000001</v>
      </c>
      <c r="Y3348">
        <v>-0.15181510000000001</v>
      </c>
      <c r="Z3348">
        <v>6.4864529999999997E-3</v>
      </c>
      <c r="AA3348">
        <v>0.98838760000000003</v>
      </c>
      <c r="AB3348">
        <v>24</v>
      </c>
      <c r="AC3348">
        <v>17.707899999999899</v>
      </c>
      <c r="AD3348">
        <v>-1.1113949197349999</v>
      </c>
      <c r="AE3348">
        <v>2.4024000000000001</v>
      </c>
      <c r="AF3348">
        <v>-2.74393535899994</v>
      </c>
      <c r="AG3348">
        <v>-1.1113949197349999</v>
      </c>
      <c r="AH3348">
        <v>17.588516967261601</v>
      </c>
      <c r="AI3348">
        <v>93.572537445318602</v>
      </c>
      <c r="AJ3348">
        <v>98.867079010335601</v>
      </c>
      <c r="AK3348">
        <v>17.8359274788174</v>
      </c>
      <c r="AL3348">
        <v>79.097936424340304</v>
      </c>
      <c r="AM3348">
        <v>96.921101031414594</v>
      </c>
      <c r="AN3348">
        <v>0.99999995094167804</v>
      </c>
    </row>
    <row r="3349" spans="1:40" x14ac:dyDescent="0.25">
      <c r="A3349" t="str">
        <f>"20190304155122034"</f>
        <v>20190304155122034</v>
      </c>
      <c r="B3349" t="str">
        <f>"1551685882030126"</f>
        <v>1551685882030126</v>
      </c>
      <c r="C3349" t="s">
        <v>40</v>
      </c>
      <c r="D3349">
        <v>4.9413289999999996</v>
      </c>
      <c r="E3349">
        <v>0.48658610000000002</v>
      </c>
      <c r="F3349" t="s">
        <v>72</v>
      </c>
      <c r="G3349">
        <v>-429.49349999999998</v>
      </c>
      <c r="H3349" s="1">
        <v>2.1423619999999998E-6</v>
      </c>
      <c r="I3349">
        <v>216.1978</v>
      </c>
      <c r="J3349">
        <v>-447.30840000000001</v>
      </c>
      <c r="K3349">
        <v>1.111362</v>
      </c>
      <c r="L3349">
        <v>213.81460000000001</v>
      </c>
      <c r="M3349">
        <v>0.99978199999999995</v>
      </c>
      <c r="N3349">
        <v>-1.0328510000000001E-2</v>
      </c>
      <c r="O3349">
        <v>-1.8155310000000001E-2</v>
      </c>
      <c r="P3349">
        <v>0.97883580000000003</v>
      </c>
      <c r="Q3349">
        <v>0.179333299999999</v>
      </c>
      <c r="R3349">
        <v>9.8591479999999995E-2</v>
      </c>
      <c r="S3349">
        <v>3.0588380000000002</v>
      </c>
      <c r="T3349">
        <v>-0.1883726</v>
      </c>
      <c r="U3349">
        <v>0.40347290000000002</v>
      </c>
      <c r="V3349">
        <v>-0.1168976</v>
      </c>
      <c r="W3349">
        <v>0.18907460000000001</v>
      </c>
      <c r="X3349">
        <v>0.97497990000000001</v>
      </c>
      <c r="Y3349">
        <v>-0.14840309999999901</v>
      </c>
      <c r="Z3349">
        <v>6.2421169999999897E-3</v>
      </c>
      <c r="AA3349">
        <v>0.98890730000000004</v>
      </c>
      <c r="AB3349">
        <v>24</v>
      </c>
      <c r="AC3349">
        <v>17.814900000000002</v>
      </c>
      <c r="AD3349">
        <v>-1.1113598576379999</v>
      </c>
      <c r="AE3349">
        <v>2.38319999999998</v>
      </c>
      <c r="AF3349">
        <v>-2.6959519324324601</v>
      </c>
      <c r="AG3349">
        <v>-1.1113598576379999</v>
      </c>
      <c r="AH3349">
        <v>17.701016943296199</v>
      </c>
      <c r="AI3349">
        <v>93.551752907228206</v>
      </c>
      <c r="AJ3349">
        <v>98.659877791616694</v>
      </c>
      <c r="AK3349">
        <v>17.9396008423269</v>
      </c>
      <c r="AL3349">
        <v>79.101216477439905</v>
      </c>
      <c r="AM3349">
        <v>96.836980848132001</v>
      </c>
      <c r="AN3349">
        <v>1.00000002932746</v>
      </c>
    </row>
    <row r="3350" spans="1:40" x14ac:dyDescent="0.25">
      <c r="A3350" t="str">
        <f>"20190304155122055"</f>
        <v>20190304155122055</v>
      </c>
      <c r="B3350" t="str">
        <f>"1551685882049646"</f>
        <v>1551685882049646</v>
      </c>
      <c r="C3350" t="s">
        <v>40</v>
      </c>
      <c r="D3350">
        <v>5.0108990000000002</v>
      </c>
      <c r="E3350">
        <v>0.48706369999999999</v>
      </c>
      <c r="F3350" t="s">
        <v>72</v>
      </c>
      <c r="G3350">
        <v>-428.88589999999999</v>
      </c>
      <c r="H3350" s="1">
        <v>2.2471480000000001E-6</v>
      </c>
      <c r="I3350">
        <v>216.232</v>
      </c>
      <c r="J3350">
        <v>-447.07060000000001</v>
      </c>
      <c r="K3350">
        <v>1.1113200000000001</v>
      </c>
      <c r="L3350">
        <v>213.81229999999999</v>
      </c>
      <c r="M3350">
        <v>0.99981229999999999</v>
      </c>
      <c r="N3350">
        <v>-1.029469E-2</v>
      </c>
      <c r="O3350">
        <v>-1.6412599999999899E-2</v>
      </c>
      <c r="P3350">
        <v>0.97887539999999995</v>
      </c>
      <c r="Q3350">
        <v>0.1788981</v>
      </c>
      <c r="R3350">
        <v>9.8988339999999994E-2</v>
      </c>
      <c r="S3350">
        <v>3.0582889999999998</v>
      </c>
      <c r="T3350">
        <v>-0.18449450000000001</v>
      </c>
      <c r="U3350">
        <v>0.4013062</v>
      </c>
      <c r="V3350">
        <v>-0.11557389999999999</v>
      </c>
      <c r="W3350">
        <v>0.18862280000000001</v>
      </c>
      <c r="X3350">
        <v>0.97522520000000001</v>
      </c>
      <c r="Y3350">
        <v>-0.14603369999999999</v>
      </c>
      <c r="Z3350">
        <v>5.9549370000000004E-3</v>
      </c>
      <c r="AA3350">
        <v>0.98926170000000002</v>
      </c>
      <c r="AB3350">
        <v>25</v>
      </c>
      <c r="AC3350">
        <v>18.184699999999999</v>
      </c>
      <c r="AD3350">
        <v>-1.111317752852</v>
      </c>
      <c r="AE3350">
        <v>2.4197000000000002</v>
      </c>
      <c r="AF3350">
        <v>-2.7079105850262799</v>
      </c>
      <c r="AG3350">
        <v>-1.111317752852</v>
      </c>
      <c r="AH3350">
        <v>18.076198682757202</v>
      </c>
      <c r="AI3350">
        <v>93.479366738166803</v>
      </c>
      <c r="AJ3350">
        <v>98.519855962838506</v>
      </c>
      <c r="AK3350">
        <v>18.311656552666498</v>
      </c>
      <c r="AL3350">
        <v>79.127577141938303</v>
      </c>
      <c r="AM3350">
        <v>96.7585975843635</v>
      </c>
      <c r="AN3350">
        <v>1.0000000388780399</v>
      </c>
    </row>
    <row r="3351" spans="1:40" x14ac:dyDescent="0.25">
      <c r="A3351" t="str">
        <f>"20190304155122077"</f>
        <v>20190304155122077</v>
      </c>
      <c r="B3351" t="str">
        <f>"1551685882070143"</f>
        <v>1551685882070143</v>
      </c>
      <c r="C3351" t="s">
        <v>40</v>
      </c>
      <c r="D3351">
        <v>4.92225</v>
      </c>
      <c r="E3351">
        <v>0.48718739999999999</v>
      </c>
      <c r="F3351" t="s">
        <v>72</v>
      </c>
      <c r="G3351">
        <v>-428.84010000000001</v>
      </c>
      <c r="H3351" s="1">
        <v>2.2595020000000002E-6</v>
      </c>
      <c r="I3351">
        <v>216.18360000000001</v>
      </c>
      <c r="J3351">
        <v>-446.82369999999997</v>
      </c>
      <c r="K3351">
        <v>1.1112660000000001</v>
      </c>
      <c r="L3351">
        <v>213.81030000000001</v>
      </c>
      <c r="M3351">
        <v>0.99983949999999999</v>
      </c>
      <c r="N3351">
        <v>-1.0262530000000001E-2</v>
      </c>
      <c r="O3351">
        <v>-1.468333E-2</v>
      </c>
      <c r="P3351">
        <v>0.97888050000000004</v>
      </c>
      <c r="Q3351">
        <v>0.17828339999999901</v>
      </c>
      <c r="R3351">
        <v>0.1000422</v>
      </c>
      <c r="S3351">
        <v>3.0585939999999998</v>
      </c>
      <c r="T3351">
        <v>-0.1864498</v>
      </c>
      <c r="U3351">
        <v>0.39784239999999998</v>
      </c>
      <c r="V3351">
        <v>-0.11491510000000001</v>
      </c>
      <c r="W3351">
        <v>0.1879934</v>
      </c>
      <c r="X3351">
        <v>0.97542450000000003</v>
      </c>
      <c r="Y3351">
        <v>-0.1432098</v>
      </c>
      <c r="Z3351">
        <v>5.8222200000000003E-3</v>
      </c>
      <c r="AA3351">
        <v>0.98967519999999998</v>
      </c>
      <c r="AB3351">
        <v>25</v>
      </c>
      <c r="AC3351">
        <v>17.9835999999999</v>
      </c>
      <c r="AD3351">
        <v>-1.1112637404979999</v>
      </c>
      <c r="AE3351">
        <v>2.3733</v>
      </c>
      <c r="AF3351">
        <v>-2.6272569818507798</v>
      </c>
      <c r="AG3351">
        <v>-1.1112637404979999</v>
      </c>
      <c r="AH3351">
        <v>17.879708137721501</v>
      </c>
      <c r="AI3351">
        <v>93.518796913624996</v>
      </c>
      <c r="AJ3351">
        <v>98.359261777435094</v>
      </c>
      <c r="AK3351">
        <v>18.1058374409949</v>
      </c>
      <c r="AL3351">
        <v>79.164295325705595</v>
      </c>
      <c r="AM3351">
        <v>96.719064701517496</v>
      </c>
      <c r="AN3351">
        <v>0.99999997692590903</v>
      </c>
    </row>
    <row r="3352" spans="1:40" x14ac:dyDescent="0.25">
      <c r="A3352" t="str">
        <f>"20190304155122100"</f>
        <v>20190304155122100</v>
      </c>
      <c r="B3352" t="str">
        <f>"1551685882089662"</f>
        <v>1551685882089662</v>
      </c>
      <c r="C3352" t="s">
        <v>40</v>
      </c>
      <c r="D3352">
        <v>4.926469</v>
      </c>
      <c r="E3352">
        <v>0.48728729999999998</v>
      </c>
      <c r="F3352" t="s">
        <v>72</v>
      </c>
      <c r="G3352">
        <v>-428.58240000000001</v>
      </c>
      <c r="H3352" s="1">
        <v>2.3043180000000002E-6</v>
      </c>
      <c r="I3352">
        <v>216.19390000000001</v>
      </c>
      <c r="J3352">
        <v>-446.57150000000001</v>
      </c>
      <c r="K3352">
        <v>1.1111979999999999</v>
      </c>
      <c r="L3352">
        <v>213.80850000000001</v>
      </c>
      <c r="M3352">
        <v>0.99986299999999995</v>
      </c>
      <c r="N3352">
        <v>-1.023287E-2</v>
      </c>
      <c r="O3352">
        <v>-1.3014619999999999E-2</v>
      </c>
      <c r="P3352">
        <v>0.97890600000000005</v>
      </c>
      <c r="Q3352">
        <v>0.17745610000000001</v>
      </c>
      <c r="R3352">
        <v>0.1012554</v>
      </c>
      <c r="S3352">
        <v>3.0578310000000002</v>
      </c>
      <c r="T3352">
        <v>-0.18628359999999999</v>
      </c>
      <c r="U3352">
        <v>0.3995667</v>
      </c>
      <c r="V3352">
        <v>-0.1144686</v>
      </c>
      <c r="W3352">
        <v>0.1871564</v>
      </c>
      <c r="X3352">
        <v>0.97563800000000001</v>
      </c>
      <c r="Y3352">
        <v>-0.1421432</v>
      </c>
      <c r="Z3352">
        <v>5.6950019999999898E-3</v>
      </c>
      <c r="AA3352">
        <v>0.98982969999999904</v>
      </c>
      <c r="AB3352">
        <v>25</v>
      </c>
      <c r="AC3352">
        <v>17.989100000000001</v>
      </c>
      <c r="AD3352">
        <v>-1.1111956956819999</v>
      </c>
      <c r="AE3352">
        <v>2.3854000000000002</v>
      </c>
      <c r="AF3352">
        <v>-2.6095465771617099</v>
      </c>
      <c r="AG3352">
        <v>-1.1111956956819999</v>
      </c>
      <c r="AH3352">
        <v>17.889450173749498</v>
      </c>
      <c r="AI3352">
        <v>93.517208725357605</v>
      </c>
      <c r="AJ3352">
        <v>98.299241194078604</v>
      </c>
      <c r="AK3352">
        <v>18.112893659808901</v>
      </c>
      <c r="AL3352">
        <v>79.213119210846898</v>
      </c>
      <c r="AM3352">
        <v>96.691743852508694</v>
      </c>
      <c r="AN3352">
        <v>1.0000000427454501</v>
      </c>
    </row>
    <row r="3353" spans="1:40" x14ac:dyDescent="0.25">
      <c r="A3353" t="str">
        <f>"20190304155122121"</f>
        <v>20190304155122121</v>
      </c>
      <c r="B3353" t="str">
        <f>"1551685882110168"</f>
        <v>1551685882110168</v>
      </c>
      <c r="C3353" t="s">
        <v>40</v>
      </c>
      <c r="D3353">
        <v>4.9252909999999996</v>
      </c>
      <c r="E3353">
        <v>0.48739399999999999</v>
      </c>
      <c r="F3353" t="s">
        <v>72</v>
      </c>
      <c r="G3353">
        <v>-428.31139999999999</v>
      </c>
      <c r="H3353" s="1">
        <v>2.35103E-6</v>
      </c>
      <c r="I3353">
        <v>216.20930000000001</v>
      </c>
      <c r="J3353">
        <v>-446.34269999999998</v>
      </c>
      <c r="K3353">
        <v>1.1111340000000001</v>
      </c>
      <c r="L3353">
        <v>213.80709999999999</v>
      </c>
      <c r="M3353">
        <v>0.99988060000000001</v>
      </c>
      <c r="N3353">
        <v>-1.020915E-2</v>
      </c>
      <c r="O3353">
        <v>-1.159895E-2</v>
      </c>
      <c r="P3353">
        <v>0.97892000000000001</v>
      </c>
      <c r="Q3353">
        <v>0.1768865</v>
      </c>
      <c r="R3353">
        <v>0.1021114</v>
      </c>
      <c r="S3353">
        <v>3.0568240000000002</v>
      </c>
      <c r="T3353">
        <v>-0.1860195</v>
      </c>
      <c r="U3353">
        <v>0.40190120000000001</v>
      </c>
      <c r="V3353">
        <v>-0.1139109</v>
      </c>
      <c r="W3353">
        <v>0.186584</v>
      </c>
      <c r="X3353">
        <v>0.97581289999999998</v>
      </c>
      <c r="Y3353">
        <v>-0.14153080000000001</v>
      </c>
      <c r="Z3353">
        <v>5.5948179999999997E-3</v>
      </c>
      <c r="AA3353">
        <v>0.98991810000000002</v>
      </c>
      <c r="AB3353">
        <v>25</v>
      </c>
      <c r="AC3353">
        <v>18.031299999999899</v>
      </c>
      <c r="AD3353">
        <v>-1.1111316489700001</v>
      </c>
      <c r="AE3353">
        <v>2.4022000000000201</v>
      </c>
      <c r="AF3353">
        <v>-2.60148703830547</v>
      </c>
      <c r="AG3353">
        <v>-1.1111316489700001</v>
      </c>
      <c r="AH3353">
        <v>17.935304112084399</v>
      </c>
      <c r="AI3353">
        <v>93.508447216209603</v>
      </c>
      <c r="AJ3353">
        <v>98.253102825513693</v>
      </c>
      <c r="AK3353">
        <v>18.157022937276</v>
      </c>
      <c r="AL3353">
        <v>79.246503457382801</v>
      </c>
      <c r="AM3353">
        <v>96.658251802750996</v>
      </c>
      <c r="AN3353">
        <v>1.0000000490006</v>
      </c>
    </row>
    <row r="3354" spans="1:40" x14ac:dyDescent="0.25">
      <c r="A3354" t="str">
        <f>"20190304155122146"</f>
        <v>20190304155122146</v>
      </c>
      <c r="B3354" t="str">
        <f>"1551685882140415"</f>
        <v>1551685882140415</v>
      </c>
      <c r="C3354" t="s">
        <v>40</v>
      </c>
      <c r="D3354">
        <v>4.888611</v>
      </c>
      <c r="E3354">
        <v>0.56730230000000004</v>
      </c>
      <c r="F3354" t="s">
        <v>72</v>
      </c>
      <c r="G3354">
        <v>-428.29939999999999</v>
      </c>
      <c r="H3354" s="1">
        <v>2.3549920000000001E-6</v>
      </c>
      <c r="I3354">
        <v>216.1884</v>
      </c>
      <c r="J3354">
        <v>-446.08249999999998</v>
      </c>
      <c r="K3354">
        <v>1.111049</v>
      </c>
      <c r="L3354">
        <v>213.80590000000001</v>
      </c>
      <c r="M3354">
        <v>0.99989709999999998</v>
      </c>
      <c r="N3354">
        <v>-1.0185390000000001E-2</v>
      </c>
      <c r="O3354">
        <v>-1.0110050000000001E-2</v>
      </c>
      <c r="P3354">
        <v>0.97872689999999996</v>
      </c>
      <c r="Q3354">
        <v>0.17747929999999901</v>
      </c>
      <c r="R3354">
        <v>0.1029322</v>
      </c>
      <c r="S3354">
        <v>3.056549</v>
      </c>
      <c r="T3354">
        <v>-0.18822630000000001</v>
      </c>
      <c r="U3354">
        <v>0.4033813</v>
      </c>
      <c r="V3354">
        <v>-0.11323709999999999</v>
      </c>
      <c r="W3354">
        <v>0.1871775</v>
      </c>
      <c r="X3354">
        <v>0.97577760000000002</v>
      </c>
      <c r="Y3354">
        <v>-0.14053650000000001</v>
      </c>
      <c r="Z3354">
        <v>5.5410829999999996E-3</v>
      </c>
      <c r="AA3354">
        <v>0.99006000000000005</v>
      </c>
      <c r="AB3354">
        <v>25</v>
      </c>
      <c r="AC3354">
        <v>17.783099999999902</v>
      </c>
      <c r="AD3354">
        <v>-1.1110466450080001</v>
      </c>
      <c r="AE3354">
        <v>2.3824999999999901</v>
      </c>
      <c r="AF3354">
        <v>-2.5523881013588898</v>
      </c>
      <c r="AG3354">
        <v>-1.1110466450080001</v>
      </c>
      <c r="AH3354">
        <v>17.690266984143001</v>
      </c>
      <c r="AI3354">
        <v>93.5570344669664</v>
      </c>
      <c r="AJ3354">
        <v>98.210095054449198</v>
      </c>
      <c r="AK3354">
        <v>17.907949509578199</v>
      </c>
      <c r="AL3354">
        <v>79.211887956341499</v>
      </c>
      <c r="AM3354">
        <v>96.619455103673502</v>
      </c>
      <c r="AN3354">
        <v>0.99999999099220904</v>
      </c>
    </row>
    <row r="3355" spans="1:40" x14ac:dyDescent="0.25">
      <c r="A3355" t="str">
        <f>"20190304155122166"</f>
        <v>20190304155122166</v>
      </c>
      <c r="B3355" t="str">
        <f>"1551685882159935"</f>
        <v>1551685882159935</v>
      </c>
      <c r="C3355" t="s">
        <v>40</v>
      </c>
      <c r="D3355">
        <v>5.1105099999999997</v>
      </c>
      <c r="E3355">
        <v>0.57582049999999996</v>
      </c>
      <c r="F3355" t="s">
        <v>70</v>
      </c>
      <c r="G3355">
        <v>-380.76319999999998</v>
      </c>
      <c r="H3355">
        <v>8.000148E-2</v>
      </c>
      <c r="I3355">
        <v>209.0059</v>
      </c>
      <c r="J3355">
        <v>-445.84440000000001</v>
      </c>
      <c r="K3355">
        <v>1.110967</v>
      </c>
      <c r="L3355">
        <v>213.8049</v>
      </c>
      <c r="M3355">
        <v>0.99990900000000005</v>
      </c>
      <c r="N3355">
        <v>-1.016648E-2</v>
      </c>
      <c r="O3355">
        <v>-8.8749880000000003E-3</v>
      </c>
      <c r="P3355">
        <v>0.97860290000000005</v>
      </c>
      <c r="Q3355">
        <v>0.17778139999999901</v>
      </c>
      <c r="R3355">
        <v>0.1035861</v>
      </c>
      <c r="S3355">
        <v>3.0980530000000002</v>
      </c>
      <c r="T3355">
        <v>-4.8901920000000001E-2</v>
      </c>
      <c r="U3355">
        <v>-0.22766110000000001</v>
      </c>
      <c r="V3355">
        <v>-0.1126441</v>
      </c>
      <c r="W3355">
        <v>0.18748570000000001</v>
      </c>
      <c r="X3355">
        <v>0.97578710000000002</v>
      </c>
      <c r="Y3355">
        <v>6.4420149999999995E-2</v>
      </c>
      <c r="Z3355">
        <v>-7.8589250000000001E-4</v>
      </c>
      <c r="AA3355">
        <v>0.99792250000000005</v>
      </c>
      <c r="AB3355">
        <v>25</v>
      </c>
      <c r="AC3355">
        <v>65.081199999999995</v>
      </c>
      <c r="AD3355">
        <v>-1.0309655200000001</v>
      </c>
      <c r="AE3355">
        <v>-4.7990000000000004</v>
      </c>
      <c r="AF3355">
        <v>4.2201330055473196</v>
      </c>
      <c r="AG3355">
        <v>-1.0309655200000001</v>
      </c>
      <c r="AH3355">
        <v>65.104980513281106</v>
      </c>
      <c r="AI3355">
        <v>90.905327975683093</v>
      </c>
      <c r="AJ3355">
        <v>86.291251310398394</v>
      </c>
      <c r="AK3355">
        <v>65.2497578548967</v>
      </c>
      <c r="AL3355">
        <v>79.193911495905098</v>
      </c>
      <c r="AM3355">
        <v>96.585032045013705</v>
      </c>
      <c r="AN3355">
        <v>1.00000002274785</v>
      </c>
    </row>
    <row r="3356" spans="1:40" x14ac:dyDescent="0.25">
      <c r="A3356" t="str">
        <f>"20190304155122192"</f>
        <v>20190304155122192</v>
      </c>
      <c r="B3356" t="str">
        <f>"1551685882179454"</f>
        <v>1551685882179454</v>
      </c>
      <c r="C3356" t="s">
        <v>40</v>
      </c>
      <c r="D3356">
        <v>4.8429909999999996</v>
      </c>
      <c r="E3356">
        <v>0.57468140000000001</v>
      </c>
      <c r="F3356" t="s">
        <v>70</v>
      </c>
      <c r="G3356">
        <v>-393.96550000000002</v>
      </c>
      <c r="H3356">
        <v>8.0000299999999996E-2</v>
      </c>
      <c r="I3356">
        <v>208.90729999999999</v>
      </c>
      <c r="J3356">
        <v>-445.57929999999999</v>
      </c>
      <c r="K3356">
        <v>1.1108659999999999</v>
      </c>
      <c r="L3356">
        <v>213.804</v>
      </c>
      <c r="M3356">
        <v>0.99991929999999996</v>
      </c>
      <c r="N3356">
        <v>-1.014841E-2</v>
      </c>
      <c r="O3356">
        <v>-7.660605E-3</v>
      </c>
      <c r="P3356">
        <v>0.97849640000000004</v>
      </c>
      <c r="Q3356">
        <v>0.17808360000000001</v>
      </c>
      <c r="R3356">
        <v>0.1040744</v>
      </c>
      <c r="S3356">
        <v>3.1078800000000002</v>
      </c>
      <c r="T3356">
        <v>-6.1761499999999997E-2</v>
      </c>
      <c r="U3356">
        <v>-0.29339599999999999</v>
      </c>
      <c r="V3356">
        <v>-0.11189929999999999</v>
      </c>
      <c r="W3356">
        <v>0.18779899999999999</v>
      </c>
      <c r="X3356">
        <v>0.97581260000000003</v>
      </c>
      <c r="Y3356">
        <v>8.6330970000000007E-2</v>
      </c>
      <c r="Z3356">
        <v>-1.220638E-3</v>
      </c>
      <c r="AA3356">
        <v>0.99626579999999998</v>
      </c>
      <c r="AB3356">
        <v>25</v>
      </c>
      <c r="AC3356">
        <v>51.613799999999898</v>
      </c>
      <c r="AD3356">
        <v>-1.0308657000000001</v>
      </c>
      <c r="AE3356">
        <v>-4.8967000000000098</v>
      </c>
      <c r="AF3356">
        <v>4.49936424017221</v>
      </c>
      <c r="AG3356">
        <v>-1.0308657000000001</v>
      </c>
      <c r="AH3356">
        <v>51.629387312961299</v>
      </c>
      <c r="AI3356">
        <v>91.139534698555096</v>
      </c>
      <c r="AJ3356">
        <v>85.019407901430299</v>
      </c>
      <c r="AK3356">
        <v>51.835321904748902</v>
      </c>
      <c r="AL3356">
        <v>79.175636672318007</v>
      </c>
      <c r="AM3356">
        <v>96.541701163239907</v>
      </c>
      <c r="AN3356">
        <v>1.00000007403012</v>
      </c>
    </row>
    <row r="3357" spans="1:40" x14ac:dyDescent="0.25">
      <c r="A3357" t="str">
        <f>"20190304155122215"</f>
        <v>20190304155122215</v>
      </c>
      <c r="B3357" t="str">
        <f>"1551685882209711"</f>
        <v>1551685882209711</v>
      </c>
      <c r="C3357" t="s">
        <v>40</v>
      </c>
      <c r="D3357">
        <v>4.8368929999999999</v>
      </c>
      <c r="E3357">
        <v>0.57332680000000003</v>
      </c>
      <c r="F3357" t="s">
        <v>70</v>
      </c>
      <c r="G3357">
        <v>-389.36810000000003</v>
      </c>
      <c r="H3357">
        <v>8.0000440000000006E-2</v>
      </c>
      <c r="I3357">
        <v>208.6934</v>
      </c>
      <c r="J3357">
        <v>-445.31959999999998</v>
      </c>
      <c r="K3357">
        <v>1.1107769999999999</v>
      </c>
      <c r="L3357">
        <v>213.80330000000001</v>
      </c>
      <c r="M3357">
        <v>0.99992689999999995</v>
      </c>
      <c r="N3357">
        <v>-1.013325E-2</v>
      </c>
      <c r="O3357">
        <v>-6.6251549999999998E-3</v>
      </c>
      <c r="P3357">
        <v>0.97826579999999996</v>
      </c>
      <c r="Q3357">
        <v>0.17936629999999901</v>
      </c>
      <c r="R3357">
        <v>0.1040399</v>
      </c>
      <c r="S3357">
        <v>3.1063230000000002</v>
      </c>
      <c r="T3357">
        <v>-5.6967259999999999E-2</v>
      </c>
      <c r="U3357">
        <v>-0.28242489999999998</v>
      </c>
      <c r="V3357">
        <v>-0.1108084</v>
      </c>
      <c r="W3357">
        <v>0.18909339999999999</v>
      </c>
      <c r="X3357">
        <v>0.97568699999999997</v>
      </c>
      <c r="Y3357">
        <v>8.3924070000000003E-2</v>
      </c>
      <c r="Z3357">
        <v>-1.1398230000000001E-3</v>
      </c>
      <c r="AA3357">
        <v>0.99647149999999995</v>
      </c>
      <c r="AB3357">
        <v>25</v>
      </c>
      <c r="AC3357">
        <v>55.951499999999903</v>
      </c>
      <c r="AD3357">
        <v>-1.0307765600000001</v>
      </c>
      <c r="AE3357">
        <v>-5.1098999999999997</v>
      </c>
      <c r="AF3357">
        <v>4.7374869411383598</v>
      </c>
      <c r="AG3357">
        <v>-1.0307765600000001</v>
      </c>
      <c r="AH3357">
        <v>55.965290310171198</v>
      </c>
      <c r="AI3357">
        <v>91.051402948521996</v>
      </c>
      <c r="AJ3357">
        <v>85.161421813127603</v>
      </c>
      <c r="AK3357">
        <v>56.174905450172702</v>
      </c>
      <c r="AL3357">
        <v>79.1001188599665</v>
      </c>
      <c r="AM3357">
        <v>96.479298182203806</v>
      </c>
      <c r="AN3357">
        <v>0.99999996870155905</v>
      </c>
    </row>
    <row r="3358" spans="1:40" x14ac:dyDescent="0.25">
      <c r="A3358" t="str">
        <f>"20190304155122234"</f>
        <v>20190304155122234</v>
      </c>
      <c r="B3358" t="str">
        <f>"1551685882230206"</f>
        <v>1551685882230206</v>
      </c>
      <c r="C3358" t="s">
        <v>40</v>
      </c>
      <c r="D3358">
        <v>4.8665469999999997</v>
      </c>
      <c r="E3358">
        <v>0.57270869999999996</v>
      </c>
      <c r="F3358" t="s">
        <v>70</v>
      </c>
      <c r="G3358">
        <v>-374.74189999999999</v>
      </c>
      <c r="H3358">
        <v>8.0000070000000006E-2</v>
      </c>
      <c r="I3358">
        <v>207.62479999999999</v>
      </c>
      <c r="J3358">
        <v>-445.09949999999998</v>
      </c>
      <c r="K3358">
        <v>1.1107129999999901</v>
      </c>
      <c r="L3358">
        <v>213.80279999999999</v>
      </c>
      <c r="M3358">
        <v>0.99993180000000004</v>
      </c>
      <c r="N3358">
        <v>-1.01221E-2</v>
      </c>
      <c r="O3358">
        <v>-5.8438739999999998E-3</v>
      </c>
      <c r="P3358">
        <v>0.97806349999999997</v>
      </c>
      <c r="Q3358">
        <v>0.18070749999999999</v>
      </c>
      <c r="R3358">
        <v>0.103618</v>
      </c>
      <c r="S3358">
        <v>3.10379</v>
      </c>
      <c r="T3358">
        <v>-4.5330410000000002E-2</v>
      </c>
      <c r="U3358">
        <v>-0.27171329999999999</v>
      </c>
      <c r="V3358">
        <v>-0.10959049999999999</v>
      </c>
      <c r="W3358">
        <v>0.19044359999999999</v>
      </c>
      <c r="X3358">
        <v>0.97556200000000004</v>
      </c>
      <c r="Y3358">
        <v>8.1370919999999999E-2</v>
      </c>
      <c r="Z3358">
        <v>-9.7956400000000004E-4</v>
      </c>
      <c r="AA3358">
        <v>0.9966834</v>
      </c>
      <c r="AB3358">
        <v>25</v>
      </c>
      <c r="AC3358">
        <v>70.357599999999906</v>
      </c>
      <c r="AD3358">
        <v>-1.03071292999999</v>
      </c>
      <c r="AE3358">
        <v>-6.1779999999999902</v>
      </c>
      <c r="AF3358">
        <v>5.7654846526754602</v>
      </c>
      <c r="AG3358">
        <v>-1.03071292999999</v>
      </c>
      <c r="AH3358">
        <v>70.377515505707194</v>
      </c>
      <c r="AI3358">
        <v>90.836263462944601</v>
      </c>
      <c r="AJ3358">
        <v>85.316658985132804</v>
      </c>
      <c r="AK3358">
        <v>70.620803388097698</v>
      </c>
      <c r="AL3358">
        <v>79.021327011472195</v>
      </c>
      <c r="AM3358">
        <v>96.409493987587098</v>
      </c>
      <c r="AN3358">
        <v>1.0000000291575999</v>
      </c>
    </row>
    <row r="3359" spans="1:40" x14ac:dyDescent="0.25">
      <c r="A3359" t="str">
        <f>"20190304155122256"</f>
        <v>20190304155122256</v>
      </c>
      <c r="B3359" t="str">
        <f>"1551685882249727"</f>
        <v>1551685882249727</v>
      </c>
      <c r="C3359" t="s">
        <v>40</v>
      </c>
      <c r="D3359">
        <v>4.8627880000000001</v>
      </c>
      <c r="E3359">
        <v>0.57315680000000002</v>
      </c>
      <c r="F3359" t="s">
        <v>70</v>
      </c>
      <c r="G3359">
        <v>-357.55509999999998</v>
      </c>
      <c r="H3359">
        <v>8.0001080000000002E-2</v>
      </c>
      <c r="I3359">
        <v>206.2765</v>
      </c>
      <c r="J3359">
        <v>-444.85640000000001</v>
      </c>
      <c r="K3359">
        <v>1.1106400000000001</v>
      </c>
      <c r="L3359">
        <v>213.8023</v>
      </c>
      <c r="M3359">
        <v>0.99993600000000005</v>
      </c>
      <c r="N3359">
        <v>-1.011167E-2</v>
      </c>
      <c r="O3359">
        <v>-5.0883589999999998E-3</v>
      </c>
      <c r="P3359">
        <v>0.97814699999999999</v>
      </c>
      <c r="Q3359">
        <v>0.18080540000000001</v>
      </c>
      <c r="R3359">
        <v>0.1026556</v>
      </c>
      <c r="S3359">
        <v>3.1022949999999998</v>
      </c>
      <c r="T3359">
        <v>-3.6525130000000003E-2</v>
      </c>
      <c r="U3359">
        <v>-0.26670840000000001</v>
      </c>
      <c r="V3359">
        <v>-0.10785649999999999</v>
      </c>
      <c r="W3359">
        <v>0.19055449999999999</v>
      </c>
      <c r="X3359">
        <v>0.97573350000000003</v>
      </c>
      <c r="Y3359">
        <v>8.0574000000000007E-2</v>
      </c>
      <c r="Z3359">
        <v>-8.7315690000000002E-4</v>
      </c>
      <c r="AA3359">
        <v>0.99674830000000003</v>
      </c>
      <c r="AB3359">
        <v>25</v>
      </c>
      <c r="AC3359">
        <v>87.301299999999998</v>
      </c>
      <c r="AD3359">
        <v>-1.0306389199999999</v>
      </c>
      <c r="AE3359">
        <v>-7.5258000000000003</v>
      </c>
      <c r="AF3359">
        <v>7.0804799942649197</v>
      </c>
      <c r="AG3359">
        <v>-1.0306389199999999</v>
      </c>
      <c r="AH3359">
        <v>87.326384661122702</v>
      </c>
      <c r="AI3359">
        <v>90.673970347435997</v>
      </c>
      <c r="AJ3359">
        <v>85.364561134511604</v>
      </c>
      <c r="AK3359">
        <v>87.619021174143299</v>
      </c>
      <c r="AL3359">
        <v>79.014853526754806</v>
      </c>
      <c r="AM3359">
        <v>96.307803802641899</v>
      </c>
      <c r="AN3359">
        <v>0.99999995254237395</v>
      </c>
    </row>
    <row r="3360" spans="1:40" x14ac:dyDescent="0.25">
      <c r="A3360" t="str">
        <f>"20190304155122279"</f>
        <v>20190304155122279</v>
      </c>
      <c r="B3360" t="str">
        <f>"1551685882270224"</f>
        <v>1551685882270224</v>
      </c>
      <c r="C3360" t="s">
        <v>40</v>
      </c>
      <c r="D3360">
        <v>4.8355169999999896</v>
      </c>
      <c r="E3360">
        <v>0.57374890000000001</v>
      </c>
      <c r="F3360" t="s">
        <v>70</v>
      </c>
      <c r="G3360">
        <v>-350.63709999999998</v>
      </c>
      <c r="H3360">
        <v>8.0001669999999997E-2</v>
      </c>
      <c r="I3360">
        <v>205.5361</v>
      </c>
      <c r="J3360">
        <v>-444.59829999999999</v>
      </c>
      <c r="K3360">
        <v>1.1105659999999999</v>
      </c>
      <c r="L3360">
        <v>213.80179999999999</v>
      </c>
      <c r="M3360">
        <v>0.99993929999999998</v>
      </c>
      <c r="N3360">
        <v>-1.01023E-2</v>
      </c>
      <c r="O3360">
        <v>-4.4089369999999999E-3</v>
      </c>
      <c r="P3360">
        <v>0.97834429999999994</v>
      </c>
      <c r="Q3360">
        <v>0.18022460000000001</v>
      </c>
      <c r="R3360">
        <v>0.1017931</v>
      </c>
      <c r="S3360">
        <v>3.1018979999999998</v>
      </c>
      <c r="T3360">
        <v>-3.3930780000000001E-2</v>
      </c>
      <c r="U3360">
        <v>-0.27214050000000001</v>
      </c>
      <c r="V3360">
        <v>-0.10629570000000001</v>
      </c>
      <c r="W3360">
        <v>0.18998809999999999</v>
      </c>
      <c r="X3360">
        <v>0.97601530000000003</v>
      </c>
      <c r="Y3360">
        <v>8.2995180000000002E-2</v>
      </c>
      <c r="Z3360">
        <v>-8.6943280000000001E-4</v>
      </c>
      <c r="AA3360">
        <v>0.99654949999999998</v>
      </c>
      <c r="AB3360">
        <v>25</v>
      </c>
      <c r="AC3360">
        <v>93.961200000000005</v>
      </c>
      <c r="AD3360">
        <v>-1.03056433</v>
      </c>
      <c r="AE3360">
        <v>-8.2656999999999794</v>
      </c>
      <c r="AF3360">
        <v>7.8503923993296096</v>
      </c>
      <c r="AG3360">
        <v>-1.03056433</v>
      </c>
      <c r="AH3360">
        <v>93.985512158595895</v>
      </c>
      <c r="AI3360">
        <v>90.6260511157558</v>
      </c>
      <c r="AJ3360">
        <v>85.225299665905297</v>
      </c>
      <c r="AK3360">
        <v>94.318435204234007</v>
      </c>
      <c r="AL3360">
        <v>79.047910934694102</v>
      </c>
      <c r="AM3360">
        <v>96.215462082565296</v>
      </c>
      <c r="AN3360">
        <v>1.00000005990709</v>
      </c>
    </row>
    <row r="3361" spans="1:40" x14ac:dyDescent="0.25">
      <c r="A3361" t="str">
        <f>"20190304155122301"</f>
        <v>20190304155122301</v>
      </c>
      <c r="B3361" t="str">
        <f>"1551685882289742"</f>
        <v>1551685882289742</v>
      </c>
      <c r="C3361" t="s">
        <v>40</v>
      </c>
      <c r="D3361">
        <v>4.8419080000000001</v>
      </c>
      <c r="E3361">
        <v>0.57397600000000004</v>
      </c>
      <c r="F3361" t="s">
        <v>70</v>
      </c>
      <c r="G3361">
        <v>-351.31580000000002</v>
      </c>
      <c r="H3361">
        <v>8.000148E-2</v>
      </c>
      <c r="I3361">
        <v>205.4118</v>
      </c>
      <c r="J3361">
        <v>-444.35329999999999</v>
      </c>
      <c r="K3361">
        <v>1.1104879999999999</v>
      </c>
      <c r="L3361">
        <v>213.8014</v>
      </c>
      <c r="M3361">
        <v>0.99994170000000004</v>
      </c>
      <c r="N3361">
        <v>-1.0094880000000001E-2</v>
      </c>
      <c r="O3361">
        <v>-3.8759020000000001E-3</v>
      </c>
      <c r="P3361">
        <v>0.97856410000000005</v>
      </c>
      <c r="Q3361">
        <v>0.17962330000000001</v>
      </c>
      <c r="R3361">
        <v>0.1007377</v>
      </c>
      <c r="S3361">
        <v>3.1017459999999999</v>
      </c>
      <c r="T3361">
        <v>-3.4267430000000001E-2</v>
      </c>
      <c r="U3361">
        <v>-0.27897640000000001</v>
      </c>
      <c r="V3361">
        <v>-0.10468619999999999</v>
      </c>
      <c r="W3361">
        <v>0.1894024</v>
      </c>
      <c r="X3361">
        <v>0.97630300000000003</v>
      </c>
      <c r="Y3361">
        <v>8.5709010000000002E-2</v>
      </c>
      <c r="Z3361">
        <v>-9.023182E-4</v>
      </c>
      <c r="AA3361">
        <v>0.99631979999999998</v>
      </c>
      <c r="AB3361">
        <v>25</v>
      </c>
      <c r="AC3361">
        <v>93.037499999999895</v>
      </c>
      <c r="AD3361">
        <v>-1.03048652</v>
      </c>
      <c r="AE3361">
        <v>-8.3895999999999997</v>
      </c>
      <c r="AF3361">
        <v>8.0279375168683593</v>
      </c>
      <c r="AG3361">
        <v>-1.03048652</v>
      </c>
      <c r="AH3361">
        <v>93.057995875164707</v>
      </c>
      <c r="AI3361">
        <v>90.632096762657397</v>
      </c>
      <c r="AJ3361">
        <v>85.069408614399194</v>
      </c>
      <c r="AK3361">
        <v>93.409315807069405</v>
      </c>
      <c r="AL3361">
        <v>79.082089087692196</v>
      </c>
      <c r="AM3361">
        <v>96.120279018798897</v>
      </c>
      <c r="AN3361">
        <v>1.0000000087026</v>
      </c>
    </row>
    <row r="3362" spans="1:40" x14ac:dyDescent="0.25">
      <c r="A3362" t="str">
        <f>"20190304155122323"</f>
        <v>20190304155122323</v>
      </c>
      <c r="B3362" t="str">
        <f>"1551685882319998"</f>
        <v>1551685882319998</v>
      </c>
      <c r="C3362" t="s">
        <v>40</v>
      </c>
      <c r="D3362">
        <v>4.8725110000000003</v>
      </c>
      <c r="E3362">
        <v>0.57416859999999903</v>
      </c>
      <c r="F3362" t="s">
        <v>70</v>
      </c>
      <c r="G3362">
        <v>-345.57580000000002</v>
      </c>
      <c r="H3362">
        <v>8.0001290000000003E-2</v>
      </c>
      <c r="I3362">
        <v>204.7535</v>
      </c>
      <c r="J3362">
        <v>-444.10379999999998</v>
      </c>
      <c r="K3362">
        <v>1.110409</v>
      </c>
      <c r="L3362">
        <v>213.80099999999999</v>
      </c>
      <c r="M3362">
        <v>0.99994340000000004</v>
      </c>
      <c r="N3362">
        <v>-1.0088679999999999E-2</v>
      </c>
      <c r="O3362">
        <v>-3.4385269999999998E-3</v>
      </c>
      <c r="P3362">
        <v>0.97865020000000003</v>
      </c>
      <c r="Q3362">
        <v>0.1799897</v>
      </c>
      <c r="R3362">
        <v>9.9237119999999998E-2</v>
      </c>
      <c r="S3362">
        <v>3.1009220000000002</v>
      </c>
      <c r="T3362">
        <v>-3.235006E-2</v>
      </c>
      <c r="U3362">
        <v>-0.28404239999999997</v>
      </c>
      <c r="V3362">
        <v>-0.10272340000000001</v>
      </c>
      <c r="W3362">
        <v>0.18978490000000001</v>
      </c>
      <c r="X3362">
        <v>0.97643720000000001</v>
      </c>
      <c r="Y3362">
        <v>8.778321E-2</v>
      </c>
      <c r="Z3362">
        <v>-8.9951940000000002E-4</v>
      </c>
      <c r="AA3362">
        <v>0.9961392</v>
      </c>
      <c r="AB3362">
        <v>25</v>
      </c>
      <c r="AC3362">
        <v>98.527999999999906</v>
      </c>
      <c r="AD3362">
        <v>-1.03040771</v>
      </c>
      <c r="AE3362">
        <v>-9.0474999999999799</v>
      </c>
      <c r="AF3362">
        <v>8.7076937476546803</v>
      </c>
      <c r="AG3362">
        <v>-1.03040771</v>
      </c>
      <c r="AH3362">
        <v>98.547841047658494</v>
      </c>
      <c r="AI3362">
        <v>90.596733090277098</v>
      </c>
      <c r="AJ3362">
        <v>84.950455328749101</v>
      </c>
      <c r="AK3362">
        <v>98.937165138315606</v>
      </c>
      <c r="AL3362">
        <v>79.059768580695902</v>
      </c>
      <c r="AM3362">
        <v>96.005554970079004</v>
      </c>
      <c r="AN3362">
        <v>1.0000000053597</v>
      </c>
    </row>
    <row r="3363" spans="1:40" x14ac:dyDescent="0.25">
      <c r="A3363" t="str">
        <f>"20190304155122347"</f>
        <v>20190304155122347</v>
      </c>
      <c r="B3363" t="str">
        <f>"1551685882339519"</f>
        <v>1551685882339519</v>
      </c>
      <c r="C3363" t="s">
        <v>40</v>
      </c>
      <c r="D3363">
        <v>4.9195349999999998</v>
      </c>
      <c r="E3363">
        <v>0.57417050000000003</v>
      </c>
      <c r="F3363" t="s">
        <v>42</v>
      </c>
      <c r="G3363">
        <v>-319.7559</v>
      </c>
      <c r="H3363">
        <v>-0.05</v>
      </c>
      <c r="I3363">
        <v>202.15950000000001</v>
      </c>
      <c r="J3363">
        <v>-443.83819999999997</v>
      </c>
      <c r="K3363">
        <v>1.1103179999999999</v>
      </c>
      <c r="L3363">
        <v>213.8006</v>
      </c>
      <c r="M3363">
        <v>0.99994459999999996</v>
      </c>
      <c r="N3363">
        <v>-1.0083369999999999E-2</v>
      </c>
      <c r="O3363">
        <v>-3.0822940000000002E-3</v>
      </c>
      <c r="P3363">
        <v>0.97892579999999996</v>
      </c>
      <c r="Q3363">
        <v>0.17944450000000001</v>
      </c>
      <c r="R3363">
        <v>9.7490389999999996E-2</v>
      </c>
      <c r="S3363">
        <v>3.1001590000000001</v>
      </c>
      <c r="T3363">
        <v>-2.8930540000000001E-2</v>
      </c>
      <c r="U3363">
        <v>-0.29023739999999998</v>
      </c>
      <c r="V3363">
        <v>-0.1005918</v>
      </c>
      <c r="W3363">
        <v>0.1892587</v>
      </c>
      <c r="X3363">
        <v>0.9767612</v>
      </c>
      <c r="Y3363">
        <v>9.0134989999999998E-2</v>
      </c>
      <c r="Z3363">
        <v>-8.7741169999999995E-4</v>
      </c>
      <c r="AA3363">
        <v>0.99592919999999996</v>
      </c>
      <c r="AB3363">
        <v>25</v>
      </c>
      <c r="AC3363">
        <v>124.08229999999899</v>
      </c>
      <c r="AD3363">
        <v>-1.160318</v>
      </c>
      <c r="AE3363">
        <v>-11.6410999999999</v>
      </c>
      <c r="AF3363">
        <v>11.257591365101</v>
      </c>
      <c r="AG3363">
        <v>-1.160318</v>
      </c>
      <c r="AH3363">
        <v>124.106835804895</v>
      </c>
      <c r="AI3363">
        <v>90.533472466950798</v>
      </c>
      <c r="AJ3363">
        <v>84.816948836656806</v>
      </c>
      <c r="AK3363">
        <v>124.62177335725799</v>
      </c>
      <c r="AL3363">
        <v>79.090474094043302</v>
      </c>
      <c r="AM3363">
        <v>95.879879945593103</v>
      </c>
      <c r="AN3363">
        <v>1.0000000037891801</v>
      </c>
    </row>
    <row r="3364" spans="1:40" x14ac:dyDescent="0.25">
      <c r="A3364" t="str">
        <f>"20190304155122368"</f>
        <v>20190304155122368</v>
      </c>
      <c r="B3364" t="str">
        <f>"1551685882360015"</f>
        <v>1551685882360015</v>
      </c>
      <c r="C3364" t="s">
        <v>40</v>
      </c>
      <c r="D3364">
        <v>4.9091120000000004</v>
      </c>
      <c r="E3364">
        <v>0.57435389999999997</v>
      </c>
      <c r="F3364" t="s">
        <v>42</v>
      </c>
      <c r="G3364">
        <v>-327.76510000000002</v>
      </c>
      <c r="H3364">
        <v>-0.05</v>
      </c>
      <c r="I3364">
        <v>202.72800000000001</v>
      </c>
      <c r="J3364">
        <v>-443.59859999999998</v>
      </c>
      <c r="K3364">
        <v>1.110239</v>
      </c>
      <c r="L3364">
        <v>213.80019999999999</v>
      </c>
      <c r="M3364">
        <v>0.99994530000000004</v>
      </c>
      <c r="N3364">
        <v>-1.0079660000000001E-2</v>
      </c>
      <c r="O3364">
        <v>-2.8679360000000002E-3</v>
      </c>
      <c r="P3364">
        <v>0.97924509999999998</v>
      </c>
      <c r="Q3364">
        <v>0.1787715</v>
      </c>
      <c r="R3364">
        <v>9.549908E-2</v>
      </c>
      <c r="S3364">
        <v>3.09964</v>
      </c>
      <c r="T3364">
        <v>-3.098536E-2</v>
      </c>
      <c r="U3364">
        <v>-0.29568480000000003</v>
      </c>
      <c r="V3364">
        <v>-9.8359260000000004E-2</v>
      </c>
      <c r="W3364">
        <v>0.1886031</v>
      </c>
      <c r="X3364">
        <v>0.97711530000000002</v>
      </c>
      <c r="Y3364">
        <v>9.2097479999999995E-2</v>
      </c>
      <c r="Z3364">
        <v>-9.2475290000000002E-4</v>
      </c>
      <c r="AA3364">
        <v>0.99574960000000001</v>
      </c>
      <c r="AB3364">
        <v>25</v>
      </c>
      <c r="AC3364">
        <v>115.83349999999901</v>
      </c>
      <c r="AD3364">
        <v>-1.160239</v>
      </c>
      <c r="AE3364">
        <v>-11.0722</v>
      </c>
      <c r="AF3364">
        <v>10.738866925002499</v>
      </c>
      <c r="AG3364">
        <v>-1.160239</v>
      </c>
      <c r="AH3364">
        <v>115.853261346567</v>
      </c>
      <c r="AI3364">
        <v>90.571333444805205</v>
      </c>
      <c r="AJ3364">
        <v>84.704175321986796</v>
      </c>
      <c r="AK3364">
        <v>116.35569423971501</v>
      </c>
      <c r="AL3364">
        <v>79.128725975813794</v>
      </c>
      <c r="AM3364">
        <v>95.7481959986725</v>
      </c>
      <c r="AN3364">
        <v>0.99999999142572304</v>
      </c>
    </row>
    <row r="3365" spans="1:40" x14ac:dyDescent="0.25">
      <c r="A3365" t="str">
        <f>"20190304155122392"</f>
        <v>20190304155122392</v>
      </c>
      <c r="B3365" t="str">
        <f>"1551685882390270"</f>
        <v>1551685882390270</v>
      </c>
      <c r="C3365" t="s">
        <v>40</v>
      </c>
      <c r="D3365">
        <v>4.8974989999999998</v>
      </c>
      <c r="E3365">
        <v>0.574936</v>
      </c>
      <c r="F3365" t="s">
        <v>42</v>
      </c>
      <c r="G3365">
        <v>-329.43939999999998</v>
      </c>
      <c r="H3365">
        <v>-0.05</v>
      </c>
      <c r="I3365">
        <v>202.6148</v>
      </c>
      <c r="J3365">
        <v>-443.33600000000001</v>
      </c>
      <c r="K3365">
        <v>1.1101669999999999</v>
      </c>
      <c r="L3365">
        <v>213.7996</v>
      </c>
      <c r="M3365">
        <v>0.99994550000000004</v>
      </c>
      <c r="N3365">
        <v>-1.00766E-2</v>
      </c>
      <c r="O3365">
        <v>-2.7433779999999999E-3</v>
      </c>
      <c r="P3365">
        <v>0.97957550000000004</v>
      </c>
      <c r="Q3365">
        <v>0.1778497</v>
      </c>
      <c r="R3365">
        <v>9.3817079999999997E-2</v>
      </c>
      <c r="S3365">
        <v>3.098938</v>
      </c>
      <c r="T3365">
        <v>-3.1495570000000001E-2</v>
      </c>
      <c r="U3365">
        <v>-0.30363459999999998</v>
      </c>
      <c r="V3365">
        <v>-9.6523590000000006E-2</v>
      </c>
      <c r="W3365">
        <v>0.18769930000000001</v>
      </c>
      <c r="X3365">
        <v>0.97747240000000002</v>
      </c>
      <c r="Y3365">
        <v>9.4772780000000001E-2</v>
      </c>
      <c r="Z3365">
        <v>-9.5887849999999998E-4</v>
      </c>
      <c r="AA3365">
        <v>0.99549849999999995</v>
      </c>
      <c r="AB3365">
        <v>25</v>
      </c>
      <c r="AC3365">
        <v>113.89660000000001</v>
      </c>
      <c r="AD3365">
        <v>-1.1601669999999999</v>
      </c>
      <c r="AE3365">
        <v>-11.1847999999999</v>
      </c>
      <c r="AF3365">
        <v>10.8711634346712</v>
      </c>
      <c r="AG3365">
        <v>-1.1601669999999999</v>
      </c>
      <c r="AH3365">
        <v>113.915150389011</v>
      </c>
      <c r="AI3365">
        <v>90.580868869502495</v>
      </c>
      <c r="AJ3365">
        <v>84.548651729360103</v>
      </c>
      <c r="AK3365">
        <v>114.43858470831501</v>
      </c>
      <c r="AL3365">
        <v>79.181452348653707</v>
      </c>
      <c r="AM3365">
        <v>95.639568736530094</v>
      </c>
      <c r="AN3365">
        <v>1.0000000617043601</v>
      </c>
    </row>
    <row r="3366" spans="1:40" x14ac:dyDescent="0.25">
      <c r="A3366" t="str">
        <f>"20190304155122415"</f>
        <v>20190304155122415</v>
      </c>
      <c r="B3366" t="str">
        <f>"1551685882409790"</f>
        <v>1551685882409790</v>
      </c>
      <c r="C3366" t="s">
        <v>40</v>
      </c>
      <c r="D3366">
        <v>4.2598539999999998</v>
      </c>
      <c r="E3366">
        <v>0.5771946</v>
      </c>
      <c r="F3366" t="s">
        <v>42</v>
      </c>
      <c r="G3366">
        <v>-326.9323</v>
      </c>
      <c r="H3366">
        <v>-0.05</v>
      </c>
      <c r="I3366">
        <v>202.00640000000001</v>
      </c>
      <c r="J3366">
        <v>-443.07350000000002</v>
      </c>
      <c r="K3366">
        <v>1.1101129999999999</v>
      </c>
      <c r="L3366">
        <v>213.79900000000001</v>
      </c>
      <c r="M3366">
        <v>0.99994559999999999</v>
      </c>
      <c r="N3366">
        <v>-1.0074369999999999E-2</v>
      </c>
      <c r="O3366">
        <v>-2.7006700000000001E-3</v>
      </c>
      <c r="P3366">
        <v>0.97964070000000003</v>
      </c>
      <c r="Q3366">
        <v>0.17792939999999999</v>
      </c>
      <c r="R3366">
        <v>9.29812E-2</v>
      </c>
      <c r="S3366">
        <v>3.0982059999999998</v>
      </c>
      <c r="T3366">
        <v>-3.087902E-2</v>
      </c>
      <c r="U3366">
        <v>-0.31388850000000001</v>
      </c>
      <c r="V3366">
        <v>-9.561994E-2</v>
      </c>
      <c r="W3366">
        <v>0.1877906</v>
      </c>
      <c r="X3366">
        <v>0.97754359999999996</v>
      </c>
      <c r="Y3366">
        <v>9.8099870000000006E-2</v>
      </c>
      <c r="Z3366">
        <v>-9.833470999999999E-4</v>
      </c>
      <c r="AA3366">
        <v>0.99517610000000001</v>
      </c>
      <c r="AB3366">
        <v>25</v>
      </c>
      <c r="AC3366">
        <v>116.1412</v>
      </c>
      <c r="AD3366">
        <v>-1.1601129999999999</v>
      </c>
      <c r="AE3366">
        <v>-11.792599999999901</v>
      </c>
      <c r="AF3366">
        <v>11.4777484931433</v>
      </c>
      <c r="AG3366">
        <v>-1.1601129999999999</v>
      </c>
      <c r="AH3366">
        <v>116.161154075168</v>
      </c>
      <c r="AI3366">
        <v>90.569426850953505</v>
      </c>
      <c r="AJ3366">
        <v>84.356987707488301</v>
      </c>
      <c r="AK3366">
        <v>116.732593086591</v>
      </c>
      <c r="AL3366">
        <v>79.176125711994203</v>
      </c>
      <c r="AM3366">
        <v>95.586702575176602</v>
      </c>
      <c r="AN3366">
        <v>0.99999998613746099</v>
      </c>
    </row>
    <row r="3367" spans="1:40" x14ac:dyDescent="0.25">
      <c r="A3367" t="str">
        <f>"20190304155122502"</f>
        <v>20190304155122502</v>
      </c>
      <c r="B3367" t="str">
        <f>"1551685882499583"</f>
        <v>1551685882499583</v>
      </c>
      <c r="C3367" t="s">
        <v>40</v>
      </c>
      <c r="D3367">
        <v>4.6833830000000001</v>
      </c>
      <c r="E3367">
        <v>0.57555429999999996</v>
      </c>
      <c r="F3367" t="s">
        <v>41</v>
      </c>
      <c r="G3367">
        <v>-292.50040000000001</v>
      </c>
      <c r="H3367" s="1">
        <v>-4.7128470000000002E-6</v>
      </c>
      <c r="I3367">
        <v>197.51759999999999</v>
      </c>
      <c r="J3367">
        <v>-442.09699999999998</v>
      </c>
      <c r="K3367">
        <v>1.1099810000000001</v>
      </c>
      <c r="L3367">
        <v>213.7961</v>
      </c>
      <c r="M3367">
        <v>0.99994439999999996</v>
      </c>
      <c r="N3367">
        <v>-1.0071510000000001E-2</v>
      </c>
      <c r="O3367">
        <v>-3.107598E-3</v>
      </c>
      <c r="P3367">
        <v>0.97962190000000005</v>
      </c>
      <c r="Q3367">
        <v>0.1793409</v>
      </c>
      <c r="R3367">
        <v>9.0429629999999997E-2</v>
      </c>
      <c r="S3367">
        <v>3.098328</v>
      </c>
      <c r="T3367">
        <v>-2.284276E-2</v>
      </c>
      <c r="U3367">
        <v>-0.33502199999999999</v>
      </c>
      <c r="V3367">
        <v>-9.340213E-2</v>
      </c>
      <c r="W3367">
        <v>0.18923100000000001</v>
      </c>
      <c r="X3367">
        <v>0.97748020000000002</v>
      </c>
      <c r="Y3367">
        <v>0.104406399999999</v>
      </c>
      <c r="Z3367">
        <v>-9.194397E-4</v>
      </c>
      <c r="AA3367">
        <v>0.99453429999999998</v>
      </c>
      <c r="AB3367">
        <v>25</v>
      </c>
      <c r="AC3367">
        <v>149.596599999999</v>
      </c>
      <c r="AD3367">
        <v>-1.1099857128470001</v>
      </c>
      <c r="AE3367">
        <v>-16.278500000000001</v>
      </c>
      <c r="AF3367">
        <v>15.8126513236855</v>
      </c>
      <c r="AG3367">
        <v>-1.1099857128470001</v>
      </c>
      <c r="AH3367">
        <v>149.63832535970201</v>
      </c>
      <c r="AI3367">
        <v>90.422647137055307</v>
      </c>
      <c r="AJ3367">
        <v>83.967800229502501</v>
      </c>
      <c r="AK3367">
        <v>150.47558083165299</v>
      </c>
      <c r="AL3367">
        <v>79.092089637776695</v>
      </c>
      <c r="AM3367">
        <v>95.458268051591403</v>
      </c>
      <c r="AN3367">
        <v>0.99999993532078602</v>
      </c>
    </row>
    <row r="3368" spans="1:40" x14ac:dyDescent="0.25">
      <c r="A3368" t="str">
        <f>"20190304155122523"</f>
        <v>20190304155122523</v>
      </c>
      <c r="B3368" t="str">
        <f>"1551685882520078"</f>
        <v>1551685882520078</v>
      </c>
      <c r="C3368" t="s">
        <v>40</v>
      </c>
      <c r="D3368">
        <v>4.8285980000000004</v>
      </c>
      <c r="E3368">
        <v>0.57445599999999997</v>
      </c>
      <c r="F3368" t="s">
        <v>70</v>
      </c>
      <c r="G3368">
        <v>-370.8621</v>
      </c>
      <c r="H3368">
        <v>8.0001210000000003E-2</v>
      </c>
      <c r="I3368">
        <v>206.16909999999999</v>
      </c>
      <c r="J3368">
        <v>-441.84949999999998</v>
      </c>
      <c r="K3368">
        <v>1.109931</v>
      </c>
      <c r="L3368">
        <v>213.79509999999999</v>
      </c>
      <c r="M3368">
        <v>0.99994369999999999</v>
      </c>
      <c r="N3368">
        <v>-1.0072040000000001E-2</v>
      </c>
      <c r="O3368">
        <v>-3.3639410000000001E-3</v>
      </c>
      <c r="P3368">
        <v>0.9796475</v>
      </c>
      <c r="Q3368">
        <v>0.17907049999999999</v>
      </c>
      <c r="R3368">
        <v>9.0689430000000001E-2</v>
      </c>
      <c r="S3368">
        <v>3.1012569999999999</v>
      </c>
      <c r="T3368">
        <v>-4.4840810000000002E-2</v>
      </c>
      <c r="U3368">
        <v>-0.33204650000000002</v>
      </c>
      <c r="V3368">
        <v>-9.3889749999999994E-2</v>
      </c>
      <c r="W3368">
        <v>0.18897259999999999</v>
      </c>
      <c r="X3368">
        <v>0.97748360000000001</v>
      </c>
      <c r="Y3368">
        <v>0.1030962</v>
      </c>
      <c r="Z3368">
        <v>-1.249191E-3</v>
      </c>
      <c r="AA3368">
        <v>0.99467059999999996</v>
      </c>
      <c r="AB3368">
        <v>25</v>
      </c>
      <c r="AC3368">
        <v>70.987399999999894</v>
      </c>
      <c r="AD3368">
        <v>-1.02992979</v>
      </c>
      <c r="AE3368">
        <v>-7.6260000000000003</v>
      </c>
      <c r="AF3368">
        <v>7.38561039230646</v>
      </c>
      <c r="AG3368">
        <v>-1.02992979</v>
      </c>
      <c r="AH3368">
        <v>70.997878455557498</v>
      </c>
      <c r="AI3368">
        <v>90.826642137652399</v>
      </c>
      <c r="AJ3368">
        <v>84.061122059460899</v>
      </c>
      <c r="AK3368">
        <v>71.388421620241701</v>
      </c>
      <c r="AL3368">
        <v>79.107168257953305</v>
      </c>
      <c r="AM3368">
        <v>95.486571367321403</v>
      </c>
      <c r="AN3368">
        <v>1.0000000584873801</v>
      </c>
    </row>
    <row r="3369" spans="1:40" x14ac:dyDescent="0.25">
      <c r="A3369" t="str">
        <f>"20190304155122569"</f>
        <v>20190304155122569</v>
      </c>
      <c r="B3369" t="str">
        <f>"1551685882560094"</f>
        <v>1551685882560094</v>
      </c>
      <c r="C3369" t="s">
        <v>40</v>
      </c>
      <c r="D3369">
        <v>4.8299909999999997</v>
      </c>
      <c r="E3369">
        <v>0.5725943</v>
      </c>
      <c r="F3369" t="s">
        <v>70</v>
      </c>
      <c r="G3369">
        <v>-372.23700000000002</v>
      </c>
      <c r="H3369">
        <v>8.0000810000000006E-2</v>
      </c>
      <c r="I3369">
        <v>206.55940000000001</v>
      </c>
      <c r="J3369">
        <v>-441.33510000000001</v>
      </c>
      <c r="K3369">
        <v>1.109823</v>
      </c>
      <c r="L3369">
        <v>213.79249999999999</v>
      </c>
      <c r="M3369">
        <v>0.99994090000000002</v>
      </c>
      <c r="N3369">
        <v>-1.0074339999999999E-2</v>
      </c>
      <c r="O3369">
        <v>-4.1089909999999898E-3</v>
      </c>
      <c r="P3369">
        <v>0.97973739999999998</v>
      </c>
      <c r="Q3369">
        <v>0.17810570000000001</v>
      </c>
      <c r="R3369">
        <v>9.1615589999999997E-2</v>
      </c>
      <c r="S3369">
        <v>3.1005859999999998</v>
      </c>
      <c r="T3369">
        <v>-4.587376E-2</v>
      </c>
      <c r="U3369">
        <v>-0.32228089999999998</v>
      </c>
      <c r="V3369">
        <v>-9.5496040000000004E-2</v>
      </c>
      <c r="W3369">
        <v>0.1880365</v>
      </c>
      <c r="X3369">
        <v>0.9775085</v>
      </c>
      <c r="Y3369">
        <v>9.9278820000000004E-2</v>
      </c>
      <c r="Z3369">
        <v>-1.214562E-3</v>
      </c>
      <c r="AA3369">
        <v>0.99505889999999997</v>
      </c>
      <c r="AB3369">
        <v>25</v>
      </c>
      <c r="AC3369">
        <v>69.098100000000002</v>
      </c>
      <c r="AD3369">
        <v>-1.02982219</v>
      </c>
      <c r="AE3369">
        <v>-7.2330999999999701</v>
      </c>
      <c r="AF3369">
        <v>6.9475745927809403</v>
      </c>
      <c r="AG3369">
        <v>-1.02982219</v>
      </c>
      <c r="AH3369">
        <v>69.112053925866505</v>
      </c>
      <c r="AI3369">
        <v>90.849407100438796</v>
      </c>
      <c r="AJ3369">
        <v>84.259555885990906</v>
      </c>
      <c r="AK3369">
        <v>69.468016556665503</v>
      </c>
      <c r="AL3369">
        <v>79.161781766027303</v>
      </c>
      <c r="AM3369">
        <v>95.579708368549404</v>
      </c>
      <c r="AN3369">
        <v>1.00000004328009</v>
      </c>
    </row>
    <row r="3370" spans="1:40" x14ac:dyDescent="0.25">
      <c r="A3370" t="str">
        <f>"20190304155122592"</f>
        <v>20190304155122592</v>
      </c>
      <c r="B3370" t="str">
        <f>"1551685882590350"</f>
        <v>1551685882590350</v>
      </c>
      <c r="C3370" t="s">
        <v>40</v>
      </c>
      <c r="D3370">
        <v>4.8262029999999996</v>
      </c>
      <c r="E3370">
        <v>0.56913389999999997</v>
      </c>
      <c r="F3370" t="s">
        <v>70</v>
      </c>
      <c r="G3370">
        <v>-370.92219999999998</v>
      </c>
      <c r="H3370">
        <v>8.000119E-2</v>
      </c>
      <c r="I3370">
        <v>206.85550000000001</v>
      </c>
      <c r="J3370">
        <v>-441.07839999999999</v>
      </c>
      <c r="K3370">
        <v>1.109782</v>
      </c>
      <c r="L3370">
        <v>213.791</v>
      </c>
      <c r="M3370">
        <v>0.99993880000000002</v>
      </c>
      <c r="N3370">
        <v>-1.007624E-2</v>
      </c>
      <c r="O3370">
        <v>-4.5855660000000001E-3</v>
      </c>
      <c r="P3370">
        <v>0.97966710000000001</v>
      </c>
      <c r="Q3370">
        <v>0.178309</v>
      </c>
      <c r="R3370">
        <v>9.197023E-2</v>
      </c>
      <c r="S3370">
        <v>3.0988769999999999</v>
      </c>
      <c r="T3370">
        <v>-4.5322540000000001E-2</v>
      </c>
      <c r="U3370">
        <v>-0.30529790000000001</v>
      </c>
      <c r="V3370">
        <v>-9.6296950000000006E-2</v>
      </c>
      <c r="W3370">
        <v>0.1882509</v>
      </c>
      <c r="X3370">
        <v>0.97738860000000005</v>
      </c>
      <c r="Y3370">
        <v>9.3462760000000006E-2</v>
      </c>
      <c r="Z3370">
        <v>-1.13305E-3</v>
      </c>
      <c r="AA3370">
        <v>0.99562220000000001</v>
      </c>
      <c r="AB3370">
        <v>25</v>
      </c>
      <c r="AC3370">
        <v>70.156199999999998</v>
      </c>
      <c r="AD3370">
        <v>-1.0297808100000001</v>
      </c>
      <c r="AE3370">
        <v>-6.9354999999999896</v>
      </c>
      <c r="AF3370">
        <v>6.6122940157863397</v>
      </c>
      <c r="AG3370">
        <v>-1.0297808100000001</v>
      </c>
      <c r="AH3370">
        <v>70.172294448142196</v>
      </c>
      <c r="AI3370">
        <v>90.837049749446706</v>
      </c>
      <c r="AJ3370">
        <v>84.616947228396896</v>
      </c>
      <c r="AK3370">
        <v>70.490664550595795</v>
      </c>
      <c r="AL3370">
        <v>79.149273596163994</v>
      </c>
      <c r="AM3370">
        <v>95.626891245564096</v>
      </c>
      <c r="AN3370">
        <v>0.999999989670036</v>
      </c>
    </row>
    <row r="3371" spans="1:40" x14ac:dyDescent="0.25">
      <c r="A3371" t="str">
        <f>"20190304155122614"</f>
        <v>20190304155122614</v>
      </c>
      <c r="B3371" t="str">
        <f>"1551685882609870"</f>
        <v>1551685882609870</v>
      </c>
      <c r="C3371" t="s">
        <v>40</v>
      </c>
      <c r="D3371">
        <v>4.7491890000000003</v>
      </c>
      <c r="E3371">
        <v>0.56718440000000003</v>
      </c>
      <c r="F3371" t="s">
        <v>70</v>
      </c>
      <c r="G3371">
        <v>-368.6551</v>
      </c>
      <c r="H3371">
        <v>8.0000390000000005E-2</v>
      </c>
      <c r="I3371">
        <v>207.31800000000001</v>
      </c>
      <c r="J3371">
        <v>-440.82380000000001</v>
      </c>
      <c r="K3371">
        <v>1.1097509999999999</v>
      </c>
      <c r="L3371">
        <v>213.7893</v>
      </c>
      <c r="M3371">
        <v>0.9999363</v>
      </c>
      <c r="N3371">
        <v>-1.0077890000000001E-2</v>
      </c>
      <c r="O3371">
        <v>-5.1065479999999998E-3</v>
      </c>
      <c r="P3371">
        <v>0.97969119999999998</v>
      </c>
      <c r="Q3371">
        <v>0.1778122</v>
      </c>
      <c r="R3371">
        <v>9.2673259999999993E-2</v>
      </c>
      <c r="S3371">
        <v>3.0962830000000001</v>
      </c>
      <c r="T3371">
        <v>-4.402578E-2</v>
      </c>
      <c r="U3371">
        <v>-0.27673340000000002</v>
      </c>
      <c r="V3371">
        <v>-9.7497810000000004E-2</v>
      </c>
      <c r="W3371">
        <v>0.1877643</v>
      </c>
      <c r="X3371">
        <v>0.97736319999999999</v>
      </c>
      <c r="Y3371">
        <v>8.3919090000000002E-2</v>
      </c>
      <c r="Z3371">
        <v>-9.9806200000000008E-4</v>
      </c>
      <c r="AA3371">
        <v>0.99647209999999997</v>
      </c>
      <c r="AB3371">
        <v>25</v>
      </c>
      <c r="AC3371">
        <v>72.168700000000001</v>
      </c>
      <c r="AD3371">
        <v>-1.02975061</v>
      </c>
      <c r="AE3371">
        <v>-6.47130000000001</v>
      </c>
      <c r="AF3371">
        <v>6.1014317032366598</v>
      </c>
      <c r="AG3371">
        <v>-1.02975061</v>
      </c>
      <c r="AH3371">
        <v>72.186227109061704</v>
      </c>
      <c r="AI3371">
        <v>90.814376563646803</v>
      </c>
      <c r="AJ3371">
        <v>85.168644450693805</v>
      </c>
      <c r="AK3371">
        <v>72.450943674938401</v>
      </c>
      <c r="AL3371">
        <v>79.177660471515495</v>
      </c>
      <c r="AM3371">
        <v>95.696749113189597</v>
      </c>
      <c r="AN3371">
        <v>1.0000000400117599</v>
      </c>
    </row>
    <row r="3372" spans="1:40" x14ac:dyDescent="0.25">
      <c r="A3372" t="str">
        <f>"20190304155122637"</f>
        <v>20190304155122637</v>
      </c>
      <c r="B3372" t="str">
        <f>"1551685882630367"</f>
        <v>1551685882630367</v>
      </c>
      <c r="C3372" t="s">
        <v>40</v>
      </c>
      <c r="D3372">
        <v>4.7802369999999996</v>
      </c>
      <c r="E3372">
        <v>0.56564840000000005</v>
      </c>
      <c r="F3372" t="s">
        <v>70</v>
      </c>
      <c r="G3372">
        <v>-371.1918</v>
      </c>
      <c r="H3372">
        <v>8.000111E-2</v>
      </c>
      <c r="I3372">
        <v>207.9512</v>
      </c>
      <c r="J3372">
        <v>-440.56939999999997</v>
      </c>
      <c r="K3372">
        <v>1.1097319999999999</v>
      </c>
      <c r="L3372">
        <v>213.78739999999999</v>
      </c>
      <c r="M3372">
        <v>0.99993319999999997</v>
      </c>
      <c r="N3372">
        <v>-1.007925E-2</v>
      </c>
      <c r="O3372">
        <v>-5.661831E-3</v>
      </c>
      <c r="P3372">
        <v>0.97977599999999998</v>
      </c>
      <c r="Q3372">
        <v>0.17714759999999999</v>
      </c>
      <c r="R3372">
        <v>9.3048430000000001E-2</v>
      </c>
      <c r="S3372">
        <v>3.0950319999999998</v>
      </c>
      <c r="T3372">
        <v>-4.5770760000000001E-2</v>
      </c>
      <c r="U3372">
        <v>-0.25949100000000003</v>
      </c>
      <c r="V3372">
        <v>-9.8408910000000002E-2</v>
      </c>
      <c r="W3372">
        <v>0.1871063</v>
      </c>
      <c r="X3372">
        <v>0.97739799999999999</v>
      </c>
      <c r="Y3372">
        <v>7.7890150000000005E-2</v>
      </c>
      <c r="Z3372">
        <v>-9.4156619999999998E-4</v>
      </c>
      <c r="AA3372">
        <v>0.99696149999999994</v>
      </c>
      <c r="AB3372">
        <v>25</v>
      </c>
      <c r="AC3372">
        <v>69.377599999999902</v>
      </c>
      <c r="AD3372">
        <v>-1.02973089</v>
      </c>
      <c r="AE3372">
        <v>-5.8361999999999901</v>
      </c>
      <c r="AF3372">
        <v>5.4420918025813796</v>
      </c>
      <c r="AG3372">
        <v>-1.02973089</v>
      </c>
      <c r="AH3372">
        <v>69.394353179830205</v>
      </c>
      <c r="AI3372">
        <v>90.847537985817794</v>
      </c>
      <c r="AJ3372">
        <v>85.515888459307703</v>
      </c>
      <c r="AK3372">
        <v>69.615034023841105</v>
      </c>
      <c r="AL3372">
        <v>79.216040508716404</v>
      </c>
      <c r="AM3372">
        <v>95.749425859254501</v>
      </c>
      <c r="AN3372">
        <v>0.99999996573553795</v>
      </c>
    </row>
    <row r="3373" spans="1:40" x14ac:dyDescent="0.25">
      <c r="A3373" t="str">
        <f>"20190304155122658"</f>
        <v>20190304155122658</v>
      </c>
      <c r="B3373" t="str">
        <f>"1551685882649887"</f>
        <v>1551685882649887</v>
      </c>
      <c r="C3373" t="s">
        <v>40</v>
      </c>
      <c r="D3373">
        <v>4.9023830000000004</v>
      </c>
      <c r="E3373">
        <v>0.56398749999999997</v>
      </c>
      <c r="F3373" t="s">
        <v>70</v>
      </c>
      <c r="G3373">
        <v>-372.3408</v>
      </c>
      <c r="H3373">
        <v>8.0000769999999999E-2</v>
      </c>
      <c r="I3373">
        <v>208.3544</v>
      </c>
      <c r="J3373">
        <v>-440.32170000000002</v>
      </c>
      <c r="K3373">
        <v>1.109712</v>
      </c>
      <c r="L3373">
        <v>213.78540000000001</v>
      </c>
      <c r="M3373">
        <v>0.99992990000000004</v>
      </c>
      <c r="N3373">
        <v>-1.0080759999999999E-2</v>
      </c>
      <c r="O3373">
        <v>-6.2233269999999999E-3</v>
      </c>
      <c r="P3373">
        <v>0.97990270000000002</v>
      </c>
      <c r="Q3373">
        <v>0.17645669999999999</v>
      </c>
      <c r="R3373">
        <v>9.3025769999999994E-2</v>
      </c>
      <c r="S3373">
        <v>3.0937809999999999</v>
      </c>
      <c r="T3373">
        <v>-4.6692490000000003E-2</v>
      </c>
      <c r="U3373">
        <v>-0.24635309999999999</v>
      </c>
      <c r="V3373">
        <v>-9.8932809999999996E-2</v>
      </c>
      <c r="W3373">
        <v>0.1864209</v>
      </c>
      <c r="X3373">
        <v>0.97747609999999996</v>
      </c>
      <c r="Y3373">
        <v>7.3157959999999994E-2</v>
      </c>
      <c r="Z3373">
        <v>-8.8940769999999996E-4</v>
      </c>
      <c r="AA3373">
        <v>0.99731999999999998</v>
      </c>
      <c r="AB3373">
        <v>25</v>
      </c>
      <c r="AC3373">
        <v>67.980900000000005</v>
      </c>
      <c r="AD3373">
        <v>-1.02971123</v>
      </c>
      <c r="AE3373">
        <v>-5.4310000000000098</v>
      </c>
      <c r="AF3373">
        <v>5.0066645698734398</v>
      </c>
      <c r="AG3373">
        <v>-1.02971123</v>
      </c>
      <c r="AH3373">
        <v>67.997881953930303</v>
      </c>
      <c r="AI3373">
        <v>90.865238096123804</v>
      </c>
      <c r="AJ3373">
        <v>85.788927075391598</v>
      </c>
      <c r="AK3373">
        <v>68.189727566203501</v>
      </c>
      <c r="AL3373">
        <v>79.256014641136602</v>
      </c>
      <c r="AM3373">
        <v>95.779368741210504</v>
      </c>
      <c r="AN3373">
        <v>0.99999998946125701</v>
      </c>
    </row>
    <row r="3374" spans="1:40" x14ac:dyDescent="0.25">
      <c r="A3374" t="str">
        <f>"20190304155122681"</f>
        <v>20190304155122681</v>
      </c>
      <c r="B3374" t="str">
        <f>"1551685882670401"</f>
        <v>1551685882670401</v>
      </c>
      <c r="C3374" t="s">
        <v>40</v>
      </c>
      <c r="D3374">
        <v>5.0929469999999997</v>
      </c>
      <c r="E3374">
        <v>0.56232199999999999</v>
      </c>
      <c r="F3374" t="s">
        <v>70</v>
      </c>
      <c r="G3374">
        <v>-375.97579999999999</v>
      </c>
      <c r="H3374">
        <v>8.0001180000000005E-2</v>
      </c>
      <c r="I3374">
        <v>208.91650000000001</v>
      </c>
      <c r="J3374">
        <v>-440.06099999999998</v>
      </c>
      <c r="K3374">
        <v>1.109707</v>
      </c>
      <c r="L3374">
        <v>213.78309999999999</v>
      </c>
      <c r="M3374">
        <v>0.99992590000000003</v>
      </c>
      <c r="N3374">
        <v>-1.008268E-2</v>
      </c>
      <c r="O3374">
        <v>-6.8229069999999996E-3</v>
      </c>
      <c r="P3374">
        <v>0.98013470000000003</v>
      </c>
      <c r="Q3374">
        <v>0.17534530000000001</v>
      </c>
      <c r="R3374">
        <v>9.2682940000000005E-2</v>
      </c>
      <c r="S3374">
        <v>3.0926209999999998</v>
      </c>
      <c r="T3374">
        <v>-4.9490449999999998E-2</v>
      </c>
      <c r="U3374">
        <v>-0.23400879999999999</v>
      </c>
      <c r="V3374">
        <v>-9.9177180000000004E-2</v>
      </c>
      <c r="W3374">
        <v>0.1853148</v>
      </c>
      <c r="X3374">
        <v>0.97766169999999997</v>
      </c>
      <c r="Y3374">
        <v>6.8631419999999999E-2</v>
      </c>
      <c r="Z3374">
        <v>-8.5454520000000003E-4</v>
      </c>
      <c r="AA3374">
        <v>0.99764169999999996</v>
      </c>
      <c r="AB3374">
        <v>25</v>
      </c>
      <c r="AC3374">
        <v>64.085199999999901</v>
      </c>
      <c r="AD3374">
        <v>-1.02970582</v>
      </c>
      <c r="AE3374">
        <v>-4.8665999999999698</v>
      </c>
      <c r="AF3374">
        <v>4.4280804732171699</v>
      </c>
      <c r="AG3374">
        <v>-1.02970582</v>
      </c>
      <c r="AH3374">
        <v>64.1004601075621</v>
      </c>
      <c r="AI3374">
        <v>90.918128981042898</v>
      </c>
      <c r="AJ3374">
        <v>86.048267088821206</v>
      </c>
      <c r="AK3374">
        <v>64.261475058966596</v>
      </c>
      <c r="AL3374">
        <v>79.320514002494093</v>
      </c>
      <c r="AM3374">
        <v>95.792454769451993</v>
      </c>
      <c r="AN3374">
        <v>1.0000000438893399</v>
      </c>
    </row>
    <row r="3375" spans="1:40" x14ac:dyDescent="0.25">
      <c r="A3375" t="str">
        <f>"20190304155122702"</f>
        <v>20190304155122702</v>
      </c>
      <c r="B3375" t="str">
        <f>"1551685882699663"</f>
        <v>1551685882699663</v>
      </c>
      <c r="C3375" t="s">
        <v>40</v>
      </c>
      <c r="D3375">
        <v>4.9168620000000001</v>
      </c>
      <c r="E3375">
        <v>0.55993000000000004</v>
      </c>
      <c r="F3375" t="s">
        <v>70</v>
      </c>
      <c r="G3375">
        <v>-379.07479999999998</v>
      </c>
      <c r="H3375">
        <v>8.0000269999999998E-2</v>
      </c>
      <c r="I3375">
        <v>209.39570000000001</v>
      </c>
      <c r="J3375">
        <v>-439.81599999999997</v>
      </c>
      <c r="K3375">
        <v>1.1097140000000001</v>
      </c>
      <c r="L3375">
        <v>213.7809</v>
      </c>
      <c r="M3375">
        <v>0.99992190000000003</v>
      </c>
      <c r="N3375">
        <v>-1.008453E-2</v>
      </c>
      <c r="O3375">
        <v>-7.3859609999999999E-3</v>
      </c>
      <c r="P3375">
        <v>0.98016919999999996</v>
      </c>
      <c r="Q3375">
        <v>0.17538909999999999</v>
      </c>
      <c r="R3375">
        <v>9.2233399999999993E-2</v>
      </c>
      <c r="S3375">
        <v>3.0911559999999998</v>
      </c>
      <c r="T3375">
        <v>-5.2191849999999998E-2</v>
      </c>
      <c r="U3375">
        <v>-0.22238160000000001</v>
      </c>
      <c r="V3375">
        <v>-9.9278409999999997E-2</v>
      </c>
      <c r="W3375">
        <v>0.18536069999999999</v>
      </c>
      <c r="X3375">
        <v>0.97764269999999998</v>
      </c>
      <c r="Y3375">
        <v>6.4372109999999996E-2</v>
      </c>
      <c r="Z3375">
        <v>-8.1760820000000001E-4</v>
      </c>
      <c r="AA3375">
        <v>0.99792559999999997</v>
      </c>
      <c r="AB3375">
        <v>26</v>
      </c>
      <c r="AC3375">
        <v>60.7411999999999</v>
      </c>
      <c r="AD3375">
        <v>-1.0297137300000001</v>
      </c>
      <c r="AE3375">
        <v>-4.3851999999999904</v>
      </c>
      <c r="AF3375">
        <v>3.9353003508301598</v>
      </c>
      <c r="AG3375">
        <v>-1.0297137300000001</v>
      </c>
      <c r="AH3375">
        <v>60.754564075196903</v>
      </c>
      <c r="AI3375">
        <v>90.968968492413495</v>
      </c>
      <c r="AJ3375">
        <v>86.293915404595694</v>
      </c>
      <c r="AK3375">
        <v>60.890590038069099</v>
      </c>
      <c r="AL3375">
        <v>79.317837505489194</v>
      </c>
      <c r="AM3375">
        <v>95.798438774862404</v>
      </c>
      <c r="AN3375">
        <v>1.0000000203299499</v>
      </c>
    </row>
    <row r="3376" spans="1:40" x14ac:dyDescent="0.25">
      <c r="A3376" t="str">
        <f>"20190304155122725"</f>
        <v>20190304155122725</v>
      </c>
      <c r="B3376" t="str">
        <f>"1551685882720158"</f>
        <v>1551685882720158</v>
      </c>
      <c r="C3376" t="s">
        <v>40</v>
      </c>
      <c r="D3376">
        <v>5.0622509999999998</v>
      </c>
      <c r="E3376">
        <v>0.55891590000000002</v>
      </c>
      <c r="F3376" t="s">
        <v>70</v>
      </c>
      <c r="G3376">
        <v>-376.75009999999997</v>
      </c>
      <c r="H3376">
        <v>6.9114949999999994E-2</v>
      </c>
      <c r="I3376">
        <v>209.59719999999999</v>
      </c>
      <c r="J3376">
        <v>-439.5641</v>
      </c>
      <c r="K3376">
        <v>1.1097189999999999</v>
      </c>
      <c r="L3376">
        <v>213.7784</v>
      </c>
      <c r="M3376">
        <v>0.99991759999999996</v>
      </c>
      <c r="N3376">
        <v>-1.008647E-2</v>
      </c>
      <c r="O3376">
        <v>-7.96031E-3</v>
      </c>
      <c r="P3376">
        <v>0.97998430000000003</v>
      </c>
      <c r="Q3376">
        <v>0.17672499999999999</v>
      </c>
      <c r="R3376">
        <v>9.1646820000000004E-2</v>
      </c>
      <c r="S3376">
        <v>3.0891109999999999</v>
      </c>
      <c r="T3376">
        <v>-5.0970910000000001E-2</v>
      </c>
      <c r="U3376">
        <v>-0.20492550000000001</v>
      </c>
      <c r="V3376">
        <v>-9.9251439999999996E-2</v>
      </c>
      <c r="W3376">
        <v>0.18669630000000001</v>
      </c>
      <c r="X3376">
        <v>0.97739120000000002</v>
      </c>
      <c r="Y3376">
        <v>5.8234620000000001E-2</v>
      </c>
      <c r="Z3376">
        <v>-7.2295919999999997E-4</v>
      </c>
      <c r="AA3376">
        <v>0.99830260000000004</v>
      </c>
      <c r="AB3376">
        <v>26</v>
      </c>
      <c r="AC3376">
        <v>62.814</v>
      </c>
      <c r="AD3376">
        <v>-1.04060405</v>
      </c>
      <c r="AE3376">
        <v>-4.1812000000000102</v>
      </c>
      <c r="AF3376">
        <v>3.6800177248109098</v>
      </c>
      <c r="AG3376">
        <v>-1.04060405</v>
      </c>
      <c r="AH3376">
        <v>62.828128037613403</v>
      </c>
      <c r="AI3376">
        <v>90.947263372735904</v>
      </c>
      <c r="AJ3376">
        <v>86.647857249154399</v>
      </c>
      <c r="AK3376">
        <v>62.944412460158397</v>
      </c>
      <c r="AL3376">
        <v>79.2399530594856</v>
      </c>
      <c r="AM3376">
        <v>95.798355774097999</v>
      </c>
      <c r="AN3376">
        <v>0.99999995730659996</v>
      </c>
    </row>
    <row r="3377" spans="1:40" x14ac:dyDescent="0.25">
      <c r="A3377" t="str">
        <f>"20190304155122751"</f>
        <v>20190304155122751</v>
      </c>
      <c r="B3377" t="str">
        <f>"1551685882739679"</f>
        <v>1551685882739679</v>
      </c>
      <c r="C3377" t="s">
        <v>40</v>
      </c>
      <c r="D3377">
        <v>4.8939430000000002</v>
      </c>
      <c r="E3377">
        <v>0.55790969999999995</v>
      </c>
      <c r="F3377" t="s">
        <v>70</v>
      </c>
      <c r="G3377">
        <v>-371.36700000000002</v>
      </c>
      <c r="H3377">
        <v>8.0001059999999999E-2</v>
      </c>
      <c r="I3377">
        <v>209.37450000000001</v>
      </c>
      <c r="J3377">
        <v>-439.25900000000001</v>
      </c>
      <c r="K3377">
        <v>1.1097239999999999</v>
      </c>
      <c r="L3377">
        <v>213.77520000000001</v>
      </c>
      <c r="M3377">
        <v>0.99991169999999996</v>
      </c>
      <c r="N3377">
        <v>-1.00889E-2</v>
      </c>
      <c r="O3377">
        <v>-8.6481179999999998E-3</v>
      </c>
      <c r="P3377">
        <v>0.9799717</v>
      </c>
      <c r="Q3377">
        <v>0.17678170000000001</v>
      </c>
      <c r="R3377">
        <v>9.1672459999999997E-2</v>
      </c>
      <c r="S3377">
        <v>3.0883180000000001</v>
      </c>
      <c r="T3377">
        <v>-4.6630980000000002E-2</v>
      </c>
      <c r="U3377">
        <v>-0.19943240000000001</v>
      </c>
      <c r="V3377">
        <v>-9.995126E-2</v>
      </c>
      <c r="W3377">
        <v>0.186755</v>
      </c>
      <c r="X3377">
        <v>0.97730870000000003</v>
      </c>
      <c r="Y3377">
        <v>5.5798689999999998E-2</v>
      </c>
      <c r="Z3377">
        <v>-6.5933579999999999E-4</v>
      </c>
      <c r="AA3377">
        <v>0.99844180000000005</v>
      </c>
      <c r="AB3377">
        <v>26</v>
      </c>
      <c r="AC3377">
        <v>67.891999999999996</v>
      </c>
      <c r="AD3377">
        <v>-1.0297229400000001</v>
      </c>
      <c r="AE3377">
        <v>-4.4006999999999996</v>
      </c>
      <c r="AF3377">
        <v>3.8124941434315098</v>
      </c>
      <c r="AG3377">
        <v>-1.0297229400000001</v>
      </c>
      <c r="AH3377">
        <v>67.911963472577398</v>
      </c>
      <c r="AI3377">
        <v>90.867321839761104</v>
      </c>
      <c r="AJ3377">
        <v>86.786858012783895</v>
      </c>
      <c r="AK3377">
        <v>68.0266875838266</v>
      </c>
      <c r="AL3377">
        <v>79.236529938703598</v>
      </c>
      <c r="AM3377">
        <v>95.839447860881705</v>
      </c>
      <c r="AN3377">
        <v>0.99999998974813797</v>
      </c>
    </row>
    <row r="3378" spans="1:40" x14ac:dyDescent="0.25">
      <c r="A3378" t="str">
        <f>"20190304155122769"</f>
        <v>20190304155122769</v>
      </c>
      <c r="B3378" t="str">
        <f>"1551685882760174"</f>
        <v>1551685882760174</v>
      </c>
      <c r="C3378" t="s">
        <v>40</v>
      </c>
      <c r="D3378">
        <v>5.0306579999999999</v>
      </c>
      <c r="E3378">
        <v>0.55660690000000002</v>
      </c>
      <c r="F3378" t="s">
        <v>70</v>
      </c>
      <c r="G3378">
        <v>-370.43970000000002</v>
      </c>
      <c r="H3378">
        <v>8.0001340000000004E-2</v>
      </c>
      <c r="I3378">
        <v>209.49610000000001</v>
      </c>
      <c r="J3378">
        <v>-439.04129999999998</v>
      </c>
      <c r="K3378">
        <v>1.1097189999999999</v>
      </c>
      <c r="L3378">
        <v>213.77279999999999</v>
      </c>
      <c r="M3378">
        <v>0.99990749999999995</v>
      </c>
      <c r="N3378">
        <v>-1.0090709999999999E-2</v>
      </c>
      <c r="O3378">
        <v>-9.1345809999999993E-3</v>
      </c>
      <c r="P3378">
        <v>0.9800799</v>
      </c>
      <c r="Q3378">
        <v>0.17616760000000001</v>
      </c>
      <c r="R3378">
        <v>9.1697719999999996E-2</v>
      </c>
      <c r="S3378">
        <v>3.0876459999999999</v>
      </c>
      <c r="T3378">
        <v>-4.6199560000000001E-2</v>
      </c>
      <c r="U3378">
        <v>-0.19198609999999999</v>
      </c>
      <c r="V3378">
        <v>-0.10045569999999999</v>
      </c>
      <c r="W3378">
        <v>0.18614310000000001</v>
      </c>
      <c r="X3378">
        <v>0.97737370000000001</v>
      </c>
      <c r="Y3378">
        <v>5.2929120000000003E-2</v>
      </c>
      <c r="Z3378">
        <v>-6.1847940000000004E-4</v>
      </c>
      <c r="AA3378">
        <v>0.99859810000000004</v>
      </c>
      <c r="AB3378">
        <v>26</v>
      </c>
      <c r="AC3378">
        <v>68.601599999999905</v>
      </c>
      <c r="AD3378">
        <v>-1.02971766</v>
      </c>
      <c r="AE3378">
        <v>-4.2766999999999697</v>
      </c>
      <c r="AF3378">
        <v>3.6490239055321099</v>
      </c>
      <c r="AG3378">
        <v>-1.02971766</v>
      </c>
      <c r="AH3378">
        <v>68.622404408183698</v>
      </c>
      <c r="AI3378">
        <v>90.858478093332096</v>
      </c>
      <c r="AJ3378">
        <v>86.956140723178905</v>
      </c>
      <c r="AK3378">
        <v>68.727069489996197</v>
      </c>
      <c r="AL3378">
        <v>79.272214821707706</v>
      </c>
      <c r="AM3378">
        <v>95.868325974597099</v>
      </c>
      <c r="AN3378">
        <v>0.99999997539589403</v>
      </c>
    </row>
    <row r="3379" spans="1:40" x14ac:dyDescent="0.25">
      <c r="A3379" t="str">
        <f>"20190304155122793"</f>
        <v>20190304155122793</v>
      </c>
      <c r="B3379" t="str">
        <f>"1551685882789456"</f>
        <v>1551685882789456</v>
      </c>
      <c r="C3379" t="s">
        <v>40</v>
      </c>
      <c r="D3379">
        <v>4.9277110000000004</v>
      </c>
      <c r="E3379">
        <v>0.55510190000000004</v>
      </c>
      <c r="F3379" t="s">
        <v>70</v>
      </c>
      <c r="G3379">
        <v>-371.76130000000001</v>
      </c>
      <c r="H3379" s="1">
        <v>-5.9951089999999998E-7</v>
      </c>
      <c r="I3379">
        <v>209.79429999999999</v>
      </c>
      <c r="J3379">
        <v>-438.77940000000001</v>
      </c>
      <c r="K3379">
        <v>1.1097140000000001</v>
      </c>
      <c r="L3379">
        <v>213.7698</v>
      </c>
      <c r="M3379">
        <v>0.99990179999999995</v>
      </c>
      <c r="N3379">
        <v>-1.009297E-2</v>
      </c>
      <c r="O3379">
        <v>-9.7160449999999995E-3</v>
      </c>
      <c r="P3379">
        <v>0.98027839999999999</v>
      </c>
      <c r="Q3379">
        <v>0.17491660000000001</v>
      </c>
      <c r="R3379">
        <v>9.1968620000000001E-2</v>
      </c>
      <c r="S3379">
        <v>3.0872190000000002</v>
      </c>
      <c r="T3379">
        <v>-5.0920720000000003E-2</v>
      </c>
      <c r="U3379">
        <v>-0.1825562</v>
      </c>
      <c r="V3379">
        <v>-0.10130020000000001</v>
      </c>
      <c r="W3379">
        <v>0.1848958</v>
      </c>
      <c r="X3379">
        <v>0.97752329999999998</v>
      </c>
      <c r="Y3379">
        <v>4.9316789999999999E-2</v>
      </c>
      <c r="Z3379">
        <v>-5.9335490000000002E-4</v>
      </c>
      <c r="AA3379">
        <v>0.99878299999999998</v>
      </c>
      <c r="AB3379">
        <v>26</v>
      </c>
      <c r="AC3379">
        <v>67.018100000000004</v>
      </c>
      <c r="AD3379">
        <v>-1.1097145995108999</v>
      </c>
      <c r="AE3379">
        <v>-3.97550000000001</v>
      </c>
      <c r="AF3379">
        <v>3.3232202757796001</v>
      </c>
      <c r="AG3379">
        <v>-1.1097145995108999</v>
      </c>
      <c r="AH3379">
        <v>67.035249017893406</v>
      </c>
      <c r="AI3379">
        <v>90.947235854272904</v>
      </c>
      <c r="AJ3379">
        <v>87.1619297703282</v>
      </c>
      <c r="AK3379">
        <v>67.126744821901696</v>
      </c>
      <c r="AL3379">
        <v>79.344942569843099</v>
      </c>
      <c r="AM3379">
        <v>95.916411412780107</v>
      </c>
      <c r="AN3379">
        <v>0.999999994710284</v>
      </c>
    </row>
    <row r="3380" spans="1:40" x14ac:dyDescent="0.25">
      <c r="A3380" t="str">
        <f>"20190304155122815"</f>
        <v>20190304155122815</v>
      </c>
      <c r="B3380" t="str">
        <f>"1551685882809951"</f>
        <v>1551685882809951</v>
      </c>
      <c r="C3380" t="s">
        <v>40</v>
      </c>
      <c r="D3380">
        <v>4.9931859999999997</v>
      </c>
      <c r="E3380">
        <v>0.51290119999999995</v>
      </c>
      <c r="F3380" t="s">
        <v>70</v>
      </c>
      <c r="G3380">
        <v>-381.22250000000003</v>
      </c>
      <c r="H3380" s="1">
        <v>-7.0991689999999997E-7</v>
      </c>
      <c r="I3380">
        <v>210.58279999999999</v>
      </c>
      <c r="J3380">
        <v>-438.51339999999999</v>
      </c>
      <c r="K3380">
        <v>1.109712</v>
      </c>
      <c r="L3380">
        <v>213.76650000000001</v>
      </c>
      <c r="M3380">
        <v>0.99989600000000001</v>
      </c>
      <c r="N3380">
        <v>-1.0095450000000001E-2</v>
      </c>
      <c r="O3380">
        <v>-1.030359E-2</v>
      </c>
      <c r="P3380">
        <v>0.98039529999999997</v>
      </c>
      <c r="Q3380">
        <v>0.1740254</v>
      </c>
      <c r="R3380">
        <v>9.2413309999999999E-2</v>
      </c>
      <c r="S3380">
        <v>3.0870359999999999</v>
      </c>
      <c r="T3380">
        <v>-5.9519049999999997E-2</v>
      </c>
      <c r="U3380">
        <v>-0.170929</v>
      </c>
      <c r="V3380">
        <v>-0.10232330000000001</v>
      </c>
      <c r="W3380">
        <v>0.18400820000000001</v>
      </c>
      <c r="X3380">
        <v>0.97758420000000001</v>
      </c>
      <c r="Y3380">
        <v>4.4981670000000001E-2</v>
      </c>
      <c r="Z3380">
        <v>-5.6600239999999896E-4</v>
      </c>
      <c r="AA3380">
        <v>0.99898770000000003</v>
      </c>
      <c r="AB3380">
        <v>26</v>
      </c>
      <c r="AC3380">
        <v>57.290899999999901</v>
      </c>
      <c r="AD3380">
        <v>-1.1097127099169</v>
      </c>
      <c r="AE3380">
        <v>-3.1837000000000102</v>
      </c>
      <c r="AF3380">
        <v>2.5922293995694701</v>
      </c>
      <c r="AG3380">
        <v>-1.1097127099169</v>
      </c>
      <c r="AH3380">
        <v>57.299231860290497</v>
      </c>
      <c r="AI3380">
        <v>91.108373765988702</v>
      </c>
      <c r="AJ3380">
        <v>87.409692995632298</v>
      </c>
      <c r="AK3380">
        <v>57.368572296492403</v>
      </c>
      <c r="AL3380">
        <v>79.396685900513901</v>
      </c>
      <c r="AM3380">
        <v>95.975365479577107</v>
      </c>
      <c r="AN3380">
        <v>0.99999997173988397</v>
      </c>
    </row>
    <row r="3381" spans="1:40" x14ac:dyDescent="0.25">
      <c r="A3381" t="str">
        <f>"20190304155122838"</f>
        <v>20190304155122838</v>
      </c>
      <c r="B3381" t="str">
        <f>"1551685882830448"</f>
        <v>1551685882830448</v>
      </c>
      <c r="C3381" t="s">
        <v>40</v>
      </c>
      <c r="D3381">
        <v>4.8689109999999998</v>
      </c>
      <c r="E3381">
        <v>0.52014199999999999</v>
      </c>
      <c r="F3381" t="s">
        <v>72</v>
      </c>
      <c r="G3381">
        <v>-418.32510000000002</v>
      </c>
      <c r="H3381" s="1">
        <v>3.662951E-6</v>
      </c>
      <c r="I3381">
        <v>214.8398</v>
      </c>
      <c r="J3381">
        <v>-438.25510000000003</v>
      </c>
      <c r="K3381">
        <v>1.1097129999999999</v>
      </c>
      <c r="L3381">
        <v>213.76320000000001</v>
      </c>
      <c r="M3381">
        <v>0.99988999999999995</v>
      </c>
      <c r="N3381">
        <v>-1.0098080000000001E-2</v>
      </c>
      <c r="O3381">
        <v>-1.0872440000000001E-2</v>
      </c>
      <c r="P3381">
        <v>0.98035910000000004</v>
      </c>
      <c r="Q3381">
        <v>0.17414360000000001</v>
      </c>
      <c r="R3381">
        <v>9.2575649999999995E-2</v>
      </c>
      <c r="S3381">
        <v>3.0745849999999999</v>
      </c>
      <c r="T3381">
        <v>-0.16900319999999999</v>
      </c>
      <c r="U3381">
        <v>0.16345209999999999</v>
      </c>
      <c r="V3381">
        <v>-0.1030435</v>
      </c>
      <c r="W3381">
        <v>0.1841286</v>
      </c>
      <c r="X3381">
        <v>0.97748590000000002</v>
      </c>
      <c r="Y3381">
        <v>-6.3817189999999996E-2</v>
      </c>
      <c r="Z3381">
        <v>2.5612819999999998E-3</v>
      </c>
      <c r="AA3381">
        <v>0.99795829999999996</v>
      </c>
      <c r="AB3381">
        <v>26</v>
      </c>
      <c r="AC3381">
        <v>19.93</v>
      </c>
      <c r="AD3381">
        <v>-1.1097093370490001</v>
      </c>
      <c r="AE3381">
        <v>1.07659999999998</v>
      </c>
      <c r="AF3381">
        <v>-1.28924968372112</v>
      </c>
      <c r="AG3381">
        <v>-1.1097093370490001</v>
      </c>
      <c r="AH3381">
        <v>19.8557363654627</v>
      </c>
      <c r="AI3381">
        <v>93.192145138555901</v>
      </c>
      <c r="AJ3381">
        <v>93.715048173514504</v>
      </c>
      <c r="AK3381">
        <v>19.9284692381142</v>
      </c>
      <c r="AL3381">
        <v>79.389667813203999</v>
      </c>
      <c r="AM3381">
        <v>96.017716122639996</v>
      </c>
      <c r="AN3381">
        <v>0.99999999446450905</v>
      </c>
    </row>
    <row r="3382" spans="1:40" x14ac:dyDescent="0.25">
      <c r="A3382" t="str">
        <f>"20190304155122859"</f>
        <v>20190304155122859</v>
      </c>
      <c r="B3382" t="str">
        <f>"1551685882849970"</f>
        <v>1551685882849970</v>
      </c>
      <c r="C3382" t="s">
        <v>40</v>
      </c>
      <c r="D3382">
        <v>5.006831</v>
      </c>
      <c r="E3382">
        <v>0.51947659999999996</v>
      </c>
      <c r="F3382" t="s">
        <v>72</v>
      </c>
      <c r="G3382">
        <v>-412.54430000000002</v>
      </c>
      <c r="H3382" s="1">
        <v>2.6538290000000001E-6</v>
      </c>
      <c r="I3382">
        <v>214.6533</v>
      </c>
      <c r="J3382">
        <v>-438.00970000000001</v>
      </c>
      <c r="K3382">
        <v>1.109715</v>
      </c>
      <c r="L3382">
        <v>213.76</v>
      </c>
      <c r="M3382">
        <v>0.99988379999999999</v>
      </c>
      <c r="N3382">
        <v>-1.010053E-2</v>
      </c>
      <c r="O3382">
        <v>-1.1412439999999999E-2</v>
      </c>
      <c r="P3382">
        <v>0.98030280000000003</v>
      </c>
      <c r="Q3382">
        <v>0.17433770000000001</v>
      </c>
      <c r="R3382">
        <v>9.2804600000000001E-2</v>
      </c>
      <c r="S3382">
        <v>3.0736080000000001</v>
      </c>
      <c r="T3382">
        <v>-0.13266059999999999</v>
      </c>
      <c r="U3382">
        <v>0.10639949999999999</v>
      </c>
      <c r="V3382">
        <v>-0.1038007</v>
      </c>
      <c r="W3382">
        <v>0.18432409999999999</v>
      </c>
      <c r="X3382">
        <v>0.97736900000000004</v>
      </c>
      <c r="Y3382">
        <v>-4.5941389999999999E-2</v>
      </c>
      <c r="Z3382">
        <v>1.5999289999999999E-3</v>
      </c>
      <c r="AA3382">
        <v>0.99894289999999997</v>
      </c>
      <c r="AB3382">
        <v>26</v>
      </c>
      <c r="AC3382">
        <v>25.465399999999899</v>
      </c>
      <c r="AD3382">
        <v>-1.1097123461709999</v>
      </c>
      <c r="AE3382">
        <v>0.89330000000000997</v>
      </c>
      <c r="AF3382">
        <v>-1.18163786598946</v>
      </c>
      <c r="AG3382">
        <v>-1.1097123461709999</v>
      </c>
      <c r="AH3382">
        <v>25.405361250619301</v>
      </c>
      <c r="AI3382">
        <v>92.498406172522095</v>
      </c>
      <c r="AJ3382">
        <v>92.662985365845202</v>
      </c>
      <c r="AK3382">
        <v>25.457024763551001</v>
      </c>
      <c r="AL3382">
        <v>79.378272137178001</v>
      </c>
      <c r="AM3382">
        <v>96.062328000006204</v>
      </c>
      <c r="AN3382">
        <v>1.0000000606611401</v>
      </c>
    </row>
    <row r="3383" spans="1:40" x14ac:dyDescent="0.25">
      <c r="A3383" t="str">
        <f>"20190304155122882"</f>
        <v>20190304155122882</v>
      </c>
      <c r="B3383" t="str">
        <f>"1551685882880223"</f>
        <v>1551685882880223</v>
      </c>
      <c r="C3383" t="s">
        <v>40</v>
      </c>
      <c r="D3383">
        <v>5.023129</v>
      </c>
      <c r="E3383">
        <v>0.51769449999999995</v>
      </c>
      <c r="F3383" t="s">
        <v>72</v>
      </c>
      <c r="G3383">
        <v>-412.68810000000002</v>
      </c>
      <c r="H3383" s="1">
        <v>2.6766360000000001E-6</v>
      </c>
      <c r="I3383">
        <v>214.6842</v>
      </c>
      <c r="J3383">
        <v>-437.74930000000001</v>
      </c>
      <c r="K3383">
        <v>1.10972</v>
      </c>
      <c r="L3383">
        <v>213.75640000000001</v>
      </c>
      <c r="M3383">
        <v>0.99987720000000002</v>
      </c>
      <c r="N3383">
        <v>-1.010309E-2</v>
      </c>
      <c r="O3383">
        <v>-1.198487E-2</v>
      </c>
      <c r="P3383">
        <v>0.98043919999999996</v>
      </c>
      <c r="Q3383">
        <v>0.17354639999999999</v>
      </c>
      <c r="R3383">
        <v>9.2846559999999995E-2</v>
      </c>
      <c r="S3383">
        <v>3.0736080000000001</v>
      </c>
      <c r="T3383">
        <v>-0.13470009999999999</v>
      </c>
      <c r="U3383">
        <v>0.11218259999999999</v>
      </c>
      <c r="V3383">
        <v>-0.1044059</v>
      </c>
      <c r="W3383">
        <v>0.18353620000000001</v>
      </c>
      <c r="X3383">
        <v>0.97745280000000001</v>
      </c>
      <c r="Y3383">
        <v>-4.8385379999999999E-2</v>
      </c>
      <c r="Z3383">
        <v>1.7078589999999999E-3</v>
      </c>
      <c r="AA3383">
        <v>0.99882729999999997</v>
      </c>
      <c r="AB3383">
        <v>26</v>
      </c>
      <c r="AC3383">
        <v>25.0611999999999</v>
      </c>
      <c r="AD3383">
        <v>-1.1097173233640001</v>
      </c>
      <c r="AE3383">
        <v>0.92779999999998997</v>
      </c>
      <c r="AF3383">
        <v>-1.2257038902841699</v>
      </c>
      <c r="AG3383">
        <v>-1.1097173233640001</v>
      </c>
      <c r="AH3383">
        <v>24.999329555658601</v>
      </c>
      <c r="AI3383">
        <v>92.538638941143901</v>
      </c>
      <c r="AJ3383">
        <v>92.806933983954906</v>
      </c>
      <c r="AK3383">
        <v>25.053947808616002</v>
      </c>
      <c r="AL3383">
        <v>79.424198936569098</v>
      </c>
      <c r="AM3383">
        <v>96.096889509490694</v>
      </c>
      <c r="AN3383">
        <v>1.00000005244654</v>
      </c>
    </row>
    <row r="3384" spans="1:40" x14ac:dyDescent="0.25">
      <c r="A3384" t="str">
        <f>"20190304155122903"</f>
        <v>20190304155122903</v>
      </c>
      <c r="B3384" t="str">
        <f>"1551685882899743"</f>
        <v>1551685882899743</v>
      </c>
      <c r="C3384" t="s">
        <v>40</v>
      </c>
      <c r="D3384">
        <v>4.961856</v>
      </c>
      <c r="E3384">
        <v>0.51718509999999995</v>
      </c>
      <c r="F3384" t="s">
        <v>72</v>
      </c>
      <c r="G3384">
        <v>-415.62459999999999</v>
      </c>
      <c r="H3384" s="1">
        <v>3.1996919999999998E-6</v>
      </c>
      <c r="I3384">
        <v>214.65950000000001</v>
      </c>
      <c r="J3384">
        <v>-437.5018</v>
      </c>
      <c r="K3384">
        <v>1.109712</v>
      </c>
      <c r="L3384">
        <v>213.75280000000001</v>
      </c>
      <c r="M3384">
        <v>0.99987060000000005</v>
      </c>
      <c r="N3384">
        <v>-1.0105599999999999E-2</v>
      </c>
      <c r="O3384">
        <v>-1.252929E-2</v>
      </c>
      <c r="P3384">
        <v>0.9804813</v>
      </c>
      <c r="Q3384">
        <v>0.17332829999999999</v>
      </c>
      <c r="R3384">
        <v>9.2811340000000006E-2</v>
      </c>
      <c r="S3384">
        <v>3.075256</v>
      </c>
      <c r="T3384">
        <v>-0.15424689999999999</v>
      </c>
      <c r="U3384">
        <v>0.12553410000000001</v>
      </c>
      <c r="V3384">
        <v>-0.1049047</v>
      </c>
      <c r="W3384">
        <v>0.18332100000000001</v>
      </c>
      <c r="X3384">
        <v>0.97743970000000002</v>
      </c>
      <c r="Y3384">
        <v>-5.3212710000000003E-2</v>
      </c>
      <c r="Z3384">
        <v>2.1036200000000001E-3</v>
      </c>
      <c r="AA3384">
        <v>0.99858100000000005</v>
      </c>
      <c r="AB3384">
        <v>26</v>
      </c>
      <c r="AC3384">
        <v>21.877199999999998</v>
      </c>
      <c r="AD3384">
        <v>-1.109708800308</v>
      </c>
      <c r="AE3384">
        <v>0.90669999999999995</v>
      </c>
      <c r="AF3384">
        <v>-1.17772350771126</v>
      </c>
      <c r="AG3384">
        <v>-1.109708800308</v>
      </c>
      <c r="AH3384">
        <v>21.808106327916398</v>
      </c>
      <c r="AI3384">
        <v>92.9087607598223</v>
      </c>
      <c r="AJ3384">
        <v>93.091194678772794</v>
      </c>
      <c r="AK3384">
        <v>21.868058621921701</v>
      </c>
      <c r="AL3384">
        <v>79.436740986617195</v>
      </c>
      <c r="AM3384">
        <v>96.125877977478098</v>
      </c>
      <c r="AN3384">
        <v>0.99999997612958902</v>
      </c>
    </row>
    <row r="3385" spans="1:40" x14ac:dyDescent="0.25">
      <c r="A3385" t="str">
        <f>"20190304155122926"</f>
        <v>20190304155122926</v>
      </c>
      <c r="B3385" t="str">
        <f>"1551685882920239"</f>
        <v>1551685882920239</v>
      </c>
      <c r="C3385" t="s">
        <v>40</v>
      </c>
      <c r="D3385">
        <v>4.974361</v>
      </c>
      <c r="E3385">
        <v>0.51640109999999995</v>
      </c>
      <c r="F3385" t="s">
        <v>72</v>
      </c>
      <c r="G3385">
        <v>-415.94810000000001</v>
      </c>
      <c r="H3385" s="1">
        <v>3.2572919999999999E-6</v>
      </c>
      <c r="I3385">
        <v>214.65700000000001</v>
      </c>
      <c r="J3385">
        <v>-437.2441</v>
      </c>
      <c r="K3385">
        <v>1.109704</v>
      </c>
      <c r="L3385">
        <v>213.749</v>
      </c>
      <c r="M3385">
        <v>0.99986330000000001</v>
      </c>
      <c r="N3385">
        <v>-1.0108290000000001E-2</v>
      </c>
      <c r="O3385">
        <v>-1.309685E-2</v>
      </c>
      <c r="P3385">
        <v>0.98053820000000003</v>
      </c>
      <c r="Q3385">
        <v>0.17292750000000001</v>
      </c>
      <c r="R3385">
        <v>9.2958840000000001E-2</v>
      </c>
      <c r="S3385">
        <v>3.0754999999999999</v>
      </c>
      <c r="T3385">
        <v>-0.15834429999999999</v>
      </c>
      <c r="U3385">
        <v>0.12901309999999999</v>
      </c>
      <c r="V3385">
        <v>-0.10560940000000001</v>
      </c>
      <c r="W3385">
        <v>0.18292349999999999</v>
      </c>
      <c r="X3385">
        <v>0.97743829999999998</v>
      </c>
      <c r="Y3385">
        <v>-5.4896130000000001E-2</v>
      </c>
      <c r="Z3385">
        <v>2.2307640000000001E-3</v>
      </c>
      <c r="AA3385">
        <v>0.99848959999999998</v>
      </c>
      <c r="AB3385">
        <v>26</v>
      </c>
      <c r="AC3385">
        <v>21.2959999999999</v>
      </c>
      <c r="AD3385">
        <v>-1.1097007427079999</v>
      </c>
      <c r="AE3385">
        <v>0.90799999999998704</v>
      </c>
      <c r="AF3385">
        <v>-1.18363875159772</v>
      </c>
      <c r="AG3385">
        <v>-1.1097007427079999</v>
      </c>
      <c r="AH3385">
        <v>21.224754054326301</v>
      </c>
      <c r="AI3385">
        <v>92.988254241995094</v>
      </c>
      <c r="AJ3385">
        <v>93.191901903794502</v>
      </c>
      <c r="AK3385">
        <v>21.286677079790799</v>
      </c>
      <c r="AL3385">
        <v>79.459907968525101</v>
      </c>
      <c r="AM3385">
        <v>96.166721468033799</v>
      </c>
      <c r="AN3385">
        <v>0.99999999126374906</v>
      </c>
    </row>
    <row r="3386" spans="1:40" x14ac:dyDescent="0.25">
      <c r="A3386" t="str">
        <f>"20190304155122960"</f>
        <v>20190304155122960</v>
      </c>
      <c r="B3386" t="str">
        <f>"1551685882949519"</f>
        <v>1551685882949519</v>
      </c>
      <c r="C3386" t="s">
        <v>40</v>
      </c>
      <c r="D3386">
        <v>4.9332770000000004</v>
      </c>
      <c r="E3386">
        <v>0.5164204</v>
      </c>
      <c r="F3386" t="s">
        <v>72</v>
      </c>
      <c r="G3386">
        <v>-416.09699999999998</v>
      </c>
      <c r="H3386" s="1">
        <v>3.282044E-6</v>
      </c>
      <c r="I3386">
        <v>214.67590000000001</v>
      </c>
      <c r="J3386">
        <v>-436.84679999999997</v>
      </c>
      <c r="K3386">
        <v>1.10971</v>
      </c>
      <c r="L3386">
        <v>213.74270000000001</v>
      </c>
      <c r="M3386">
        <v>0.9998513</v>
      </c>
      <c r="N3386">
        <v>-1.0112640000000001E-2</v>
      </c>
      <c r="O3386">
        <v>-1.3972099999999999E-2</v>
      </c>
      <c r="P3386">
        <v>0.98082199999999997</v>
      </c>
      <c r="Q3386">
        <v>0.171784299999999</v>
      </c>
      <c r="R3386">
        <v>9.2079079999999994E-2</v>
      </c>
      <c r="S3386">
        <v>3.0752259999999998</v>
      </c>
      <c r="T3386">
        <v>-0.1613734</v>
      </c>
      <c r="U3386">
        <v>0.1347961</v>
      </c>
      <c r="V3386">
        <v>-0.1055915</v>
      </c>
      <c r="W3386">
        <v>0.181787</v>
      </c>
      <c r="X3386">
        <v>0.97765230000000003</v>
      </c>
      <c r="Y3386">
        <v>-5.7639040000000002E-2</v>
      </c>
      <c r="Z3386">
        <v>2.3936040000000001E-3</v>
      </c>
      <c r="AA3386">
        <v>0.99833459999999996</v>
      </c>
      <c r="AB3386">
        <v>26</v>
      </c>
      <c r="AC3386">
        <v>20.7498</v>
      </c>
      <c r="AD3386">
        <v>-1.1097067179560001</v>
      </c>
      <c r="AE3386">
        <v>0.93319999999999903</v>
      </c>
      <c r="AF3386">
        <v>-1.2195609028865799</v>
      </c>
      <c r="AG3386">
        <v>-1.1097067179560001</v>
      </c>
      <c r="AH3386">
        <v>20.675718622259598</v>
      </c>
      <c r="AI3386">
        <v>93.066909611305107</v>
      </c>
      <c r="AJ3386">
        <v>93.375690309219905</v>
      </c>
      <c r="AK3386">
        <v>20.7413624996667</v>
      </c>
      <c r="AL3386">
        <v>79.526135686826095</v>
      </c>
      <c r="AM3386">
        <v>96.164345080764903</v>
      </c>
      <c r="AN3386">
        <v>1.0000000489682599</v>
      </c>
    </row>
    <row r="3387" spans="1:40" x14ac:dyDescent="0.25">
      <c r="A3387" t="str">
        <f>"20190304155122981"</f>
        <v>20190304155122981</v>
      </c>
      <c r="B3387" t="str">
        <f>"1551685882970018"</f>
        <v>1551685882970018</v>
      </c>
      <c r="C3387" t="s">
        <v>40</v>
      </c>
      <c r="D3387">
        <v>4.87453</v>
      </c>
      <c r="E3387">
        <v>0.5163354</v>
      </c>
      <c r="F3387" t="s">
        <v>72</v>
      </c>
      <c r="G3387">
        <v>-416.09589999999997</v>
      </c>
      <c r="H3387" s="1">
        <v>3.2854349999999998E-6</v>
      </c>
      <c r="I3387">
        <v>214.63489999999999</v>
      </c>
      <c r="J3387">
        <v>-436.59809999999999</v>
      </c>
      <c r="K3387">
        <v>1.1097159999999999</v>
      </c>
      <c r="L3387">
        <v>213.73859999999999</v>
      </c>
      <c r="M3387">
        <v>0.99984340000000005</v>
      </c>
      <c r="N3387">
        <v>-1.011541E-2</v>
      </c>
      <c r="O3387">
        <v>-1.4519999999999899E-2</v>
      </c>
      <c r="P3387">
        <v>0.98093589999999997</v>
      </c>
      <c r="Q3387">
        <v>0.1717263</v>
      </c>
      <c r="R3387">
        <v>9.0966370000000005E-2</v>
      </c>
      <c r="S3387">
        <v>3.0750120000000001</v>
      </c>
      <c r="T3387">
        <v>-0.1644437</v>
      </c>
      <c r="U3387">
        <v>0.13220209999999999</v>
      </c>
      <c r="V3387">
        <v>-0.10501729999999999</v>
      </c>
      <c r="W3387">
        <v>0.18173220000000001</v>
      </c>
      <c r="X3387">
        <v>0.97772429999999999</v>
      </c>
      <c r="Y3387">
        <v>-5.7344600000000003E-2</v>
      </c>
      <c r="Z3387">
        <v>2.450841E-3</v>
      </c>
      <c r="AA3387">
        <v>0.99835149999999995</v>
      </c>
      <c r="AB3387">
        <v>26</v>
      </c>
      <c r="AC3387">
        <v>20.502199999999998</v>
      </c>
      <c r="AD3387">
        <v>-1.1097127145650001</v>
      </c>
      <c r="AE3387">
        <v>0.89629999999999599</v>
      </c>
      <c r="AF3387">
        <v>-1.19043174914087</v>
      </c>
      <c r="AG3387">
        <v>-1.1097127145650001</v>
      </c>
      <c r="AH3387">
        <v>20.427292207344902</v>
      </c>
      <c r="AI3387">
        <v>93.104280335722805</v>
      </c>
      <c r="AJ3387">
        <v>93.335227096296094</v>
      </c>
      <c r="AK3387">
        <v>20.492019348577699</v>
      </c>
      <c r="AL3387">
        <v>79.529328335326099</v>
      </c>
      <c r="AM3387">
        <v>96.130631696547795</v>
      </c>
      <c r="AN3387">
        <v>1.0000000163133</v>
      </c>
    </row>
    <row r="3388" spans="1:40" x14ac:dyDescent="0.25">
      <c r="A3388" t="str">
        <f>"20190304155123006"</f>
        <v>20190304155123006</v>
      </c>
      <c r="B3388" t="str">
        <f>"1551685883000271"</f>
        <v>1551685883000271</v>
      </c>
      <c r="C3388" t="s">
        <v>40</v>
      </c>
      <c r="D3388">
        <v>4.8282749999999997</v>
      </c>
      <c r="E3388">
        <v>0.51608259999999995</v>
      </c>
      <c r="F3388" t="s">
        <v>72</v>
      </c>
      <c r="G3388">
        <v>-415.7149</v>
      </c>
      <c r="H3388" s="1">
        <v>3.2192769999999998E-6</v>
      </c>
      <c r="I3388">
        <v>214.61859999999999</v>
      </c>
      <c r="J3388">
        <v>-436.31439999999998</v>
      </c>
      <c r="K3388">
        <v>1.1097170000000001</v>
      </c>
      <c r="L3388">
        <v>213.7338</v>
      </c>
      <c r="M3388">
        <v>0.99983420000000001</v>
      </c>
      <c r="N3388">
        <v>-1.011428E-2</v>
      </c>
      <c r="O3388">
        <v>-1.514512E-2</v>
      </c>
      <c r="P3388">
        <v>0.98114939999999995</v>
      </c>
      <c r="Q3388">
        <v>0.17112330000000001</v>
      </c>
      <c r="R3388">
        <v>8.9793819999999996E-2</v>
      </c>
      <c r="S3388">
        <v>3.0748899999999999</v>
      </c>
      <c r="T3388">
        <v>-0.1633965</v>
      </c>
      <c r="U3388">
        <v>0.12956239999999999</v>
      </c>
      <c r="V3388">
        <v>-0.10446030000000001</v>
      </c>
      <c r="W3388">
        <v>0.1811296</v>
      </c>
      <c r="X3388">
        <v>0.97789570000000003</v>
      </c>
      <c r="Y3388">
        <v>-5.7116100000000003E-2</v>
      </c>
      <c r="Z3388">
        <v>2.4559170000000002E-3</v>
      </c>
      <c r="AA3388">
        <v>0.99836449999999999</v>
      </c>
      <c r="AB3388">
        <v>26</v>
      </c>
      <c r="AC3388">
        <v>20.5994999999999</v>
      </c>
      <c r="AD3388">
        <v>-1.109713780723</v>
      </c>
      <c r="AE3388">
        <v>0.88479999999998404</v>
      </c>
      <c r="AF3388">
        <v>-1.1932398567011</v>
      </c>
      <c r="AG3388">
        <v>-1.109713780723</v>
      </c>
      <c r="AH3388">
        <v>20.5242827174113</v>
      </c>
      <c r="AI3388">
        <v>93.089666844099398</v>
      </c>
      <c r="AJ3388">
        <v>93.327314114106201</v>
      </c>
      <c r="AK3388">
        <v>20.588867552514301</v>
      </c>
      <c r="AL3388">
        <v>79.564436681900304</v>
      </c>
      <c r="AM3388">
        <v>96.097300346250094</v>
      </c>
      <c r="AN3388">
        <v>0.999999943175368</v>
      </c>
    </row>
    <row r="3389" spans="1:40" x14ac:dyDescent="0.25">
      <c r="A3389" t="str">
        <f>"20190304155123029"</f>
        <v>20190304155123029</v>
      </c>
      <c r="B3389" t="str">
        <f>"1551685883019791"</f>
        <v>1551685883019791</v>
      </c>
      <c r="C3389" t="s">
        <v>40</v>
      </c>
      <c r="D3389">
        <v>4.801857</v>
      </c>
      <c r="E3389">
        <v>0.51621879999999998</v>
      </c>
      <c r="F3389" t="s">
        <v>72</v>
      </c>
      <c r="G3389">
        <v>-415.36720000000003</v>
      </c>
      <c r="H3389" s="1">
        <v>3.1586289999999999E-6</v>
      </c>
      <c r="I3389">
        <v>214.6069</v>
      </c>
      <c r="J3389">
        <v>-436.05079999999998</v>
      </c>
      <c r="K3389">
        <v>1.109712</v>
      </c>
      <c r="L3389">
        <v>213.72919999999999</v>
      </c>
      <c r="M3389">
        <v>0.99982519999999997</v>
      </c>
      <c r="N3389">
        <v>-1.010782E-2</v>
      </c>
      <c r="O3389">
        <v>-1.5726110000000001E-2</v>
      </c>
      <c r="P3389">
        <v>0.98126440000000004</v>
      </c>
      <c r="Q3389">
        <v>0.1709233</v>
      </c>
      <c r="R3389">
        <v>8.8912720000000001E-2</v>
      </c>
      <c r="S3389">
        <v>3.0742799999999999</v>
      </c>
      <c r="T3389">
        <v>-0.16286500000000001</v>
      </c>
      <c r="U3389">
        <v>0.12812809999999999</v>
      </c>
      <c r="V3389">
        <v>-0.10415000000000001</v>
      </c>
      <c r="W3389">
        <v>0.18092369999999999</v>
      </c>
      <c r="X3389">
        <v>0.97796700000000003</v>
      </c>
      <c r="Y3389">
        <v>-5.723951E-2</v>
      </c>
      <c r="Z3389">
        <v>2.477539E-3</v>
      </c>
      <c r="AA3389">
        <v>0.99835739999999995</v>
      </c>
      <c r="AB3389">
        <v>26</v>
      </c>
      <c r="AC3389">
        <v>20.683599999999899</v>
      </c>
      <c r="AD3389">
        <v>-1.1097088413709999</v>
      </c>
      <c r="AE3389">
        <v>0.87770000000000403</v>
      </c>
      <c r="AF3389">
        <v>-1.1994342884820699</v>
      </c>
      <c r="AG3389">
        <v>-1.1097088413709999</v>
      </c>
      <c r="AH3389">
        <v>20.608024912267201</v>
      </c>
      <c r="AI3389">
        <v>93.077110812460404</v>
      </c>
      <c r="AJ3389">
        <v>93.330987847108403</v>
      </c>
      <c r="AK3389">
        <v>20.672706332496201</v>
      </c>
      <c r="AL3389">
        <v>79.576432988529703</v>
      </c>
      <c r="AM3389">
        <v>96.078884205632406</v>
      </c>
      <c r="AN3389">
        <v>1.00000003040534</v>
      </c>
    </row>
    <row r="3390" spans="1:40" x14ac:dyDescent="0.25">
      <c r="A3390" t="str">
        <f>"20190304155123051"</f>
        <v>20190304155123051</v>
      </c>
      <c r="B3390" t="str">
        <f>"1551685883040287"</f>
        <v>1551685883040287</v>
      </c>
      <c r="C3390" t="s">
        <v>40</v>
      </c>
      <c r="D3390">
        <v>4.7348129999999999</v>
      </c>
      <c r="E3390">
        <v>0.5165535</v>
      </c>
      <c r="F3390" t="s">
        <v>72</v>
      </c>
      <c r="G3390">
        <v>-415.09609999999998</v>
      </c>
      <c r="H3390" s="1">
        <v>3.113389E-6</v>
      </c>
      <c r="I3390">
        <v>214.57429999999999</v>
      </c>
      <c r="J3390">
        <v>-435.78989999999999</v>
      </c>
      <c r="K3390">
        <v>1.10971</v>
      </c>
      <c r="L3390">
        <v>213.72450000000001</v>
      </c>
      <c r="M3390">
        <v>0.99981620000000004</v>
      </c>
      <c r="N3390">
        <v>-1.010051E-2</v>
      </c>
      <c r="O3390">
        <v>-1.6301260000000001E-2</v>
      </c>
      <c r="P3390">
        <v>0.98140039999999995</v>
      </c>
      <c r="Q3390">
        <v>0.17070160000000001</v>
      </c>
      <c r="R3390">
        <v>8.7831770000000003E-2</v>
      </c>
      <c r="S3390">
        <v>3.0744319999999998</v>
      </c>
      <c r="T3390">
        <v>-0.1628146</v>
      </c>
      <c r="U3390">
        <v>0.1239929</v>
      </c>
      <c r="V3390">
        <v>-0.1036354</v>
      </c>
      <c r="W3390">
        <v>0.18069579999999999</v>
      </c>
      <c r="X3390">
        <v>0.97806380000000004</v>
      </c>
      <c r="Y3390">
        <v>-5.6472010000000003E-2</v>
      </c>
      <c r="Z3390">
        <v>2.477094E-3</v>
      </c>
      <c r="AA3390">
        <v>0.99840110000000004</v>
      </c>
      <c r="AB3390">
        <v>26</v>
      </c>
      <c r="AC3390">
        <v>20.6938</v>
      </c>
      <c r="AD3390">
        <v>-1.109706886611</v>
      </c>
      <c r="AE3390">
        <v>0.84979999999998701</v>
      </c>
      <c r="AF3390">
        <v>-1.1836412556414</v>
      </c>
      <c r="AG3390">
        <v>-1.109706886611</v>
      </c>
      <c r="AH3390">
        <v>20.618006170008201</v>
      </c>
      <c r="AI3390">
        <v>93.075759078046204</v>
      </c>
      <c r="AJ3390">
        <v>93.285637454692903</v>
      </c>
      <c r="AK3390">
        <v>20.681746406499201</v>
      </c>
      <c r="AL3390">
        <v>79.589709541666807</v>
      </c>
      <c r="AM3390">
        <v>96.048477734162503</v>
      </c>
      <c r="AN3390">
        <v>1.00000003257061</v>
      </c>
    </row>
    <row r="3391" spans="1:40" x14ac:dyDescent="0.25">
      <c r="A3391" t="str">
        <f>"20190304155123072"</f>
        <v>20190304155123072</v>
      </c>
      <c r="B3391" t="str">
        <f>"1551685883059810"</f>
        <v>1551685883059810</v>
      </c>
      <c r="C3391" t="s">
        <v>40</v>
      </c>
      <c r="D3391">
        <v>4.7260879999999998</v>
      </c>
      <c r="E3391">
        <v>0.51689300000000005</v>
      </c>
      <c r="F3391" t="s">
        <v>72</v>
      </c>
      <c r="G3391">
        <v>-414.69470000000001</v>
      </c>
      <c r="H3391" s="1">
        <v>3.0459560000000002E-6</v>
      </c>
      <c r="I3391">
        <v>214.53110000000001</v>
      </c>
      <c r="J3391">
        <v>-435.53859999999997</v>
      </c>
      <c r="K3391">
        <v>1.109702</v>
      </c>
      <c r="L3391">
        <v>213.71969999999999</v>
      </c>
      <c r="M3391">
        <v>0.99980709999999995</v>
      </c>
      <c r="N3391">
        <v>-1.0093309999999999E-2</v>
      </c>
      <c r="O3391">
        <v>-1.6855180000000001E-2</v>
      </c>
      <c r="P3391">
        <v>0.98155539999999997</v>
      </c>
      <c r="Q3391">
        <v>0.17038689999999901</v>
      </c>
      <c r="R3391">
        <v>8.6703909999999995E-2</v>
      </c>
      <c r="S3391">
        <v>3.0744630000000002</v>
      </c>
      <c r="T3391">
        <v>-0.16173100000000001</v>
      </c>
      <c r="U3391">
        <v>0.11756900000000001</v>
      </c>
      <c r="V3391">
        <v>-0.10305250000000001</v>
      </c>
      <c r="W3391">
        <v>0.18037449999999999</v>
      </c>
      <c r="X3391">
        <v>0.97818459999999996</v>
      </c>
      <c r="Y3391">
        <v>-5.4945189999999998E-2</v>
      </c>
      <c r="Z3391">
        <v>2.4370870000000001E-3</v>
      </c>
      <c r="AA3391">
        <v>0.9984864</v>
      </c>
      <c r="AB3391">
        <v>26</v>
      </c>
      <c r="AC3391">
        <v>20.843899999999898</v>
      </c>
      <c r="AD3391">
        <v>-1.1096989540440001</v>
      </c>
      <c r="AE3391">
        <v>0.81140000000001999</v>
      </c>
      <c r="AF3391">
        <v>-1.1593492472207101</v>
      </c>
      <c r="AG3391">
        <v>-1.1096989540440001</v>
      </c>
      <c r="AH3391">
        <v>20.7684857103337</v>
      </c>
      <c r="AI3391">
        <v>93.0537667188337</v>
      </c>
      <c r="AJ3391">
        <v>93.195078870864705</v>
      </c>
      <c r="AK3391">
        <v>20.830398967517901</v>
      </c>
      <c r="AL3391">
        <v>79.608425295762302</v>
      </c>
      <c r="AM3391">
        <v>96.013970657466004</v>
      </c>
      <c r="AN3391">
        <v>0.99999994484182797</v>
      </c>
    </row>
    <row r="3392" spans="1:40" x14ac:dyDescent="0.25">
      <c r="A3392" t="str">
        <f>"20190304155123094"</f>
        <v>20190304155123094</v>
      </c>
      <c r="B3392" t="str">
        <f>"1551685883090063"</f>
        <v>1551685883090063</v>
      </c>
      <c r="C3392" t="s">
        <v>40</v>
      </c>
      <c r="D3392">
        <v>4.8124529999999996</v>
      </c>
      <c r="E3392">
        <v>0.51746259999999999</v>
      </c>
      <c r="F3392" t="s">
        <v>72</v>
      </c>
      <c r="G3392">
        <v>-414.2747</v>
      </c>
      <c r="H3392" s="1">
        <v>2.9750770000000001E-6</v>
      </c>
      <c r="I3392">
        <v>214.4897</v>
      </c>
      <c r="J3392">
        <v>-435.27789999999999</v>
      </c>
      <c r="K3392">
        <v>1.109691</v>
      </c>
      <c r="L3392">
        <v>213.71469999999999</v>
      </c>
      <c r="M3392">
        <v>0.9997973</v>
      </c>
      <c r="N3392">
        <v>-1.0079690000000001E-2</v>
      </c>
      <c r="O3392">
        <v>-1.742981E-2</v>
      </c>
      <c r="P3392">
        <v>0.98189919999999997</v>
      </c>
      <c r="Q3392">
        <v>0.16888829999999999</v>
      </c>
      <c r="R3392">
        <v>8.5736220000000002E-2</v>
      </c>
      <c r="S3392">
        <v>3.0744020000000001</v>
      </c>
      <c r="T3392">
        <v>-0.1604438</v>
      </c>
      <c r="U3392">
        <v>0.1113281</v>
      </c>
      <c r="V3392">
        <v>-0.10265539999999899</v>
      </c>
      <c r="W3392">
        <v>0.17886550000000001</v>
      </c>
      <c r="X3392">
        <v>0.97850349999999997</v>
      </c>
      <c r="Y3392">
        <v>-5.3499159999999997E-2</v>
      </c>
      <c r="Z3392">
        <v>2.3977170000000002E-3</v>
      </c>
      <c r="AA3392">
        <v>0.99856500000000004</v>
      </c>
      <c r="AB3392">
        <v>26</v>
      </c>
      <c r="AC3392">
        <v>21.0032</v>
      </c>
      <c r="AD3392">
        <v>-1.1096880249229999</v>
      </c>
      <c r="AE3392">
        <v>0.77500000000000502</v>
      </c>
      <c r="AF3392">
        <v>-1.1378108030679499</v>
      </c>
      <c r="AG3392">
        <v>-1.1096880249229999</v>
      </c>
      <c r="AH3392">
        <v>20.9281596631585</v>
      </c>
      <c r="AI3392">
        <v>93.030723204715599</v>
      </c>
      <c r="AJ3392">
        <v>93.111962060542893</v>
      </c>
      <c r="AK3392">
        <v>20.9884227092674</v>
      </c>
      <c r="AL3392">
        <v>79.696315141608594</v>
      </c>
      <c r="AM3392">
        <v>95.989027136755993</v>
      </c>
      <c r="AN3392">
        <v>1.0000000488758201</v>
      </c>
    </row>
    <row r="3393" spans="1:40" x14ac:dyDescent="0.25">
      <c r="A3393" t="str">
        <f>"20190304155123115"</f>
        <v>20190304155123115</v>
      </c>
      <c r="B3393" t="str">
        <f>"1551685883109583"</f>
        <v>1551685883109583</v>
      </c>
      <c r="C3393" t="s">
        <v>40</v>
      </c>
      <c r="D3393">
        <v>4.7056319999999996</v>
      </c>
      <c r="E3393">
        <v>0.51775979999999999</v>
      </c>
      <c r="F3393" t="s">
        <v>72</v>
      </c>
      <c r="G3393">
        <v>-414.4846</v>
      </c>
      <c r="H3393" s="1">
        <v>3.0185119999999999E-6</v>
      </c>
      <c r="I3393">
        <v>214.41890000000001</v>
      </c>
      <c r="J3393">
        <v>-435.02659999999997</v>
      </c>
      <c r="K3393">
        <v>1.1096760000000001</v>
      </c>
      <c r="L3393">
        <v>213.7097</v>
      </c>
      <c r="M3393">
        <v>0.99978769999999995</v>
      </c>
      <c r="N3393">
        <v>-1.005871E-2</v>
      </c>
      <c r="O3393">
        <v>-1.7983430000000002E-2</v>
      </c>
      <c r="P3393">
        <v>0.98219939999999994</v>
      </c>
      <c r="Q3393">
        <v>0.16748669999999999</v>
      </c>
      <c r="R3393">
        <v>8.5043289999999994E-2</v>
      </c>
      <c r="S3393">
        <v>3.0744020000000001</v>
      </c>
      <c r="T3393">
        <v>-0.16407359999999999</v>
      </c>
      <c r="U3393">
        <v>0.1041107</v>
      </c>
      <c r="V3393">
        <v>-0.1025114</v>
      </c>
      <c r="W3393">
        <v>0.1774462</v>
      </c>
      <c r="X3393">
        <v>0.97877689999999995</v>
      </c>
      <c r="Y3393">
        <v>-5.1708659999999997E-2</v>
      </c>
      <c r="Z3393">
        <v>2.4168499999999999E-3</v>
      </c>
      <c r="AA3393">
        <v>0.99865930000000003</v>
      </c>
      <c r="AB3393">
        <v>26</v>
      </c>
      <c r="AC3393">
        <v>20.541999999999899</v>
      </c>
      <c r="AD3393">
        <v>-1.109672981488</v>
      </c>
      <c r="AE3393">
        <v>0.70920000000000905</v>
      </c>
      <c r="AF3393">
        <v>-1.0753852265634001</v>
      </c>
      <c r="AG3393">
        <v>-1.109672981488</v>
      </c>
      <c r="AH3393">
        <v>20.4662710918649</v>
      </c>
      <c r="AI3393">
        <v>93.099248227791193</v>
      </c>
      <c r="AJ3393">
        <v>93.007798733179897</v>
      </c>
      <c r="AK3393">
        <v>20.524523865782101</v>
      </c>
      <c r="AL3393">
        <v>79.778956421824702</v>
      </c>
      <c r="AM3393">
        <v>95.979028483346596</v>
      </c>
      <c r="AN3393">
        <v>0.99999998049900396</v>
      </c>
    </row>
    <row r="3394" spans="1:40" x14ac:dyDescent="0.25">
      <c r="A3394" t="str">
        <f>"20190304155123138"</f>
        <v>20190304155123138</v>
      </c>
      <c r="B3394" t="str">
        <f>"1551685883130079"</f>
        <v>1551685883130079</v>
      </c>
      <c r="C3394" t="s">
        <v>40</v>
      </c>
      <c r="D3394">
        <v>4.6722299999999999</v>
      </c>
      <c r="E3394">
        <v>0.51798350000000004</v>
      </c>
      <c r="F3394" t="s">
        <v>72</v>
      </c>
      <c r="G3394">
        <v>-414.67360000000002</v>
      </c>
      <c r="H3394" s="1">
        <v>3.056658E-6</v>
      </c>
      <c r="I3394">
        <v>214.36600000000001</v>
      </c>
      <c r="J3394">
        <v>-434.76089999999999</v>
      </c>
      <c r="K3394">
        <v>1.109664</v>
      </c>
      <c r="L3394">
        <v>213.70429999999999</v>
      </c>
      <c r="M3394">
        <v>0.99977740000000004</v>
      </c>
      <c r="N3394">
        <v>-1.0031379999999999E-2</v>
      </c>
      <c r="O3394">
        <v>-1.8568950000000001E-2</v>
      </c>
      <c r="P3394">
        <v>0.982298</v>
      </c>
      <c r="Q3394">
        <v>0.1670082</v>
      </c>
      <c r="R3394">
        <v>8.4847320000000004E-2</v>
      </c>
      <c r="S3394">
        <v>3.074341</v>
      </c>
      <c r="T3394">
        <v>-0.1676174</v>
      </c>
      <c r="U3394">
        <v>9.9136349999999998E-2</v>
      </c>
      <c r="V3394">
        <v>-0.102891899999999</v>
      </c>
      <c r="W3394">
        <v>0.17694170000000001</v>
      </c>
      <c r="X3394">
        <v>0.97882829999999998</v>
      </c>
      <c r="Y3394">
        <v>-5.0676899999999997E-2</v>
      </c>
      <c r="Z3394">
        <v>2.4598950000000001E-3</v>
      </c>
      <c r="AA3394">
        <v>0.99871209999999999</v>
      </c>
      <c r="AB3394">
        <v>26</v>
      </c>
      <c r="AC3394">
        <v>20.0872999999999</v>
      </c>
      <c r="AD3394">
        <v>-1.1096609433419999</v>
      </c>
      <c r="AE3394">
        <v>0.66169999999999596</v>
      </c>
      <c r="AF3394">
        <v>-1.0314604204948601</v>
      </c>
      <c r="AG3394">
        <v>-1.1096609433419999</v>
      </c>
      <c r="AH3394">
        <v>20.0105491664543</v>
      </c>
      <c r="AI3394">
        <v>93.169818056975302</v>
      </c>
      <c r="AJ3394">
        <v>92.950747165178399</v>
      </c>
      <c r="AK3394">
        <v>20.067818415346299</v>
      </c>
      <c r="AL3394">
        <v>79.808326842494097</v>
      </c>
      <c r="AM3394">
        <v>96.000746855108005</v>
      </c>
      <c r="AN3394">
        <v>0.99999997458269396</v>
      </c>
    </row>
    <row r="3395" spans="1:40" x14ac:dyDescent="0.25">
      <c r="A3395" t="str">
        <f>"20190304155123161"</f>
        <v>20190304155123161</v>
      </c>
      <c r="B3395" t="str">
        <f>"1551685883150198"</f>
        <v>1551685883150198</v>
      </c>
      <c r="C3395" t="s">
        <v>40</v>
      </c>
      <c r="D3395">
        <v>4.6053839999999999</v>
      </c>
      <c r="E3395">
        <v>0.51815859999999903</v>
      </c>
      <c r="F3395" t="s">
        <v>72</v>
      </c>
      <c r="G3395">
        <v>-414.47300000000001</v>
      </c>
      <c r="H3395" s="1">
        <v>3.023518E-6</v>
      </c>
      <c r="I3395">
        <v>214.3381</v>
      </c>
      <c r="J3395">
        <v>-434.49020000000002</v>
      </c>
      <c r="K3395">
        <v>1.1096539999999999</v>
      </c>
      <c r="L3395">
        <v>213.6986</v>
      </c>
      <c r="M3395">
        <v>0.9997663</v>
      </c>
      <c r="N3395">
        <v>-9.9999749999999995E-3</v>
      </c>
      <c r="O3395">
        <v>-1.916518E-2</v>
      </c>
      <c r="P3395">
        <v>0.9824387</v>
      </c>
      <c r="Q3395">
        <v>0.1662701</v>
      </c>
      <c r="R3395">
        <v>8.4667729999999997E-2</v>
      </c>
      <c r="S3395">
        <v>3.0743710000000002</v>
      </c>
      <c r="T3395">
        <v>-0.16815529999999901</v>
      </c>
      <c r="U3395">
        <v>9.6038819999999997E-2</v>
      </c>
      <c r="V3395">
        <v>-0.1033003</v>
      </c>
      <c r="W3395">
        <v>0.17617479999999999</v>
      </c>
      <c r="X3395">
        <v>0.9789236</v>
      </c>
      <c r="Y3395">
        <v>-5.0266409999999997E-2</v>
      </c>
      <c r="Z3395">
        <v>2.4807029999999999E-3</v>
      </c>
      <c r="AA3395">
        <v>0.99873270000000003</v>
      </c>
      <c r="AB3395">
        <v>26</v>
      </c>
      <c r="AC3395">
        <v>20.017199999999999</v>
      </c>
      <c r="AD3395">
        <v>-1.109650976482</v>
      </c>
      <c r="AE3395">
        <v>0.63949999999999796</v>
      </c>
      <c r="AF3395">
        <v>-1.01990396896302</v>
      </c>
      <c r="AG3395">
        <v>-1.109650976482</v>
      </c>
      <c r="AH3395">
        <v>19.940052539359002</v>
      </c>
      <c r="AI3395">
        <v>93.181037828289703</v>
      </c>
      <c r="AJ3395">
        <v>92.928042089407299</v>
      </c>
      <c r="AK3395">
        <v>19.996930381133801</v>
      </c>
      <c r="AL3395">
        <v>79.852968171822894</v>
      </c>
      <c r="AM3395">
        <v>96.023808112819907</v>
      </c>
      <c r="AN3395">
        <v>0.99999996338604402</v>
      </c>
    </row>
    <row r="3396" spans="1:40" x14ac:dyDescent="0.25">
      <c r="A3396" t="str">
        <f>"20190304155123183"</f>
        <v>20190304155123183</v>
      </c>
      <c r="B3396" t="str">
        <f>"1551685883179478"</f>
        <v>1551685883179478</v>
      </c>
      <c r="C3396" t="s">
        <v>40</v>
      </c>
      <c r="D3396">
        <v>4.6425979999999996</v>
      </c>
      <c r="E3396">
        <v>0.51825200000000005</v>
      </c>
      <c r="F3396" t="s">
        <v>72</v>
      </c>
      <c r="G3396">
        <v>-414.68299999999999</v>
      </c>
      <c r="H3396" s="1">
        <v>3.063946E-6</v>
      </c>
      <c r="I3396">
        <v>214.30170000000001</v>
      </c>
      <c r="J3396">
        <v>-434.23790000000002</v>
      </c>
      <c r="K3396">
        <v>1.10965</v>
      </c>
      <c r="L3396">
        <v>213.69319999999999</v>
      </c>
      <c r="M3396">
        <v>0.99975590000000003</v>
      </c>
      <c r="N3396">
        <v>-9.97083E-3</v>
      </c>
      <c r="O3396">
        <v>-1.972078E-2</v>
      </c>
      <c r="P3396">
        <v>0.98257479999999997</v>
      </c>
      <c r="Q3396">
        <v>0.165470899999999</v>
      </c>
      <c r="R3396">
        <v>8.4654770000000004E-2</v>
      </c>
      <c r="S3396">
        <v>3.0747070000000001</v>
      </c>
      <c r="T3396">
        <v>-0.17225309999999999</v>
      </c>
      <c r="U3396">
        <v>9.3612669999999995E-2</v>
      </c>
      <c r="V3396">
        <v>-0.10383539999999999</v>
      </c>
      <c r="W3396">
        <v>0.17534859999999999</v>
      </c>
      <c r="X3396">
        <v>0.97901539999999998</v>
      </c>
      <c r="Y3396">
        <v>-5.0025420000000001E-2</v>
      </c>
      <c r="Z3396">
        <v>2.556806E-3</v>
      </c>
      <c r="AA3396">
        <v>0.99874470000000004</v>
      </c>
      <c r="AB3396">
        <v>26</v>
      </c>
      <c r="AC3396">
        <v>19.5548999999999</v>
      </c>
      <c r="AD3396">
        <v>-1.109646936054</v>
      </c>
      <c r="AE3396">
        <v>0.60850000000002002</v>
      </c>
      <c r="AF3396">
        <v>-0.99085119378033204</v>
      </c>
      <c r="AG3396">
        <v>-1.109646936054</v>
      </c>
      <c r="AH3396">
        <v>19.476442176156301</v>
      </c>
      <c r="AI3396">
        <v>93.256630541152603</v>
      </c>
      <c r="AJ3396">
        <v>92.912374252704893</v>
      </c>
      <c r="AK3396">
        <v>19.533174402847902</v>
      </c>
      <c r="AL3396">
        <v>79.901055278344103</v>
      </c>
      <c r="AM3396">
        <v>96.054216972359995</v>
      </c>
      <c r="AN3396">
        <v>1.00000003762613</v>
      </c>
    </row>
    <row r="3397" spans="1:40" x14ac:dyDescent="0.25">
      <c r="A3397" t="str">
        <f>"20190304155123205"</f>
        <v>20190304155123205</v>
      </c>
      <c r="B3397" t="str">
        <f>"1551685883199974"</f>
        <v>1551685883199974</v>
      </c>
      <c r="C3397" t="s">
        <v>40</v>
      </c>
      <c r="D3397">
        <v>4.6377860000000002</v>
      </c>
      <c r="E3397">
        <v>0.51828129999999994</v>
      </c>
      <c r="F3397" t="s">
        <v>72</v>
      </c>
      <c r="G3397">
        <v>-414.40179999999998</v>
      </c>
      <c r="H3397" s="1">
        <v>3.0147959999999998E-6</v>
      </c>
      <c r="I3397">
        <v>214.29339999999999</v>
      </c>
      <c r="J3397">
        <v>-433.96850000000001</v>
      </c>
      <c r="K3397">
        <v>1.1096490000000001</v>
      </c>
      <c r="L3397">
        <v>213.68719999999999</v>
      </c>
      <c r="M3397">
        <v>0.99974430000000003</v>
      </c>
      <c r="N3397">
        <v>-9.94161E-3</v>
      </c>
      <c r="O3397">
        <v>-2.0314169999999999E-2</v>
      </c>
      <c r="P3397">
        <v>0.98246270000000002</v>
      </c>
      <c r="Q3397">
        <v>0.16623969999999999</v>
      </c>
      <c r="R3397">
        <v>8.4447910000000001E-2</v>
      </c>
      <c r="S3397">
        <v>3.0741580000000002</v>
      </c>
      <c r="T3397">
        <v>-0.17197100000000001</v>
      </c>
      <c r="U3397">
        <v>9.3017580000000002E-2</v>
      </c>
      <c r="V3397">
        <v>-0.10420699999999999</v>
      </c>
      <c r="W3397">
        <v>0.17608789999999999</v>
      </c>
      <c r="X3397">
        <v>0.97884320000000002</v>
      </c>
      <c r="Y3397">
        <v>-5.0429429999999997E-2</v>
      </c>
      <c r="Z3397">
        <v>2.5935720000000002E-3</v>
      </c>
      <c r="AA3397">
        <v>0.99872430000000001</v>
      </c>
      <c r="AB3397">
        <v>26</v>
      </c>
      <c r="AC3397">
        <v>19.566700000000001</v>
      </c>
      <c r="AD3397">
        <v>-1.1096459852039999</v>
      </c>
      <c r="AE3397">
        <v>0.60620000000000096</v>
      </c>
      <c r="AF3397">
        <v>-1.00036156832527</v>
      </c>
      <c r="AG3397">
        <v>-1.1096459852039999</v>
      </c>
      <c r="AH3397">
        <v>19.487731879451601</v>
      </c>
      <c r="AI3397">
        <v>93.254669265967493</v>
      </c>
      <c r="AJ3397">
        <v>92.938578558749597</v>
      </c>
      <c r="AK3397">
        <v>19.544915740039801</v>
      </c>
      <c r="AL3397">
        <v>79.858026920085507</v>
      </c>
      <c r="AM3397">
        <v>96.076782530116205</v>
      </c>
      <c r="AN3397">
        <v>1.0000000287808199</v>
      </c>
    </row>
    <row r="3398" spans="1:40" x14ac:dyDescent="0.25">
      <c r="A3398" t="str">
        <f>"20190304155123229"</f>
        <v>20190304155123229</v>
      </c>
      <c r="B3398" t="str">
        <f>"1551685883219496"</f>
        <v>1551685883219496</v>
      </c>
      <c r="C3398" t="s">
        <v>40</v>
      </c>
      <c r="D3398">
        <v>4.5711199999999996</v>
      </c>
      <c r="E3398">
        <v>0.51828169999999996</v>
      </c>
      <c r="F3398" t="s">
        <v>72</v>
      </c>
      <c r="G3398">
        <v>-413.6644</v>
      </c>
      <c r="H3398" s="1">
        <v>2.8838350000000001E-6</v>
      </c>
      <c r="I3398">
        <v>214.29509999999999</v>
      </c>
      <c r="J3398">
        <v>-433.68990000000002</v>
      </c>
      <c r="K3398">
        <v>1.109645</v>
      </c>
      <c r="L3398">
        <v>213.68090000000001</v>
      </c>
      <c r="M3398">
        <v>0.99973199999999995</v>
      </c>
      <c r="N3398">
        <v>-9.9138209999999997E-3</v>
      </c>
      <c r="O3398">
        <v>-2.0927359999999999E-2</v>
      </c>
      <c r="P3398">
        <v>0.98256869999999996</v>
      </c>
      <c r="Q3398">
        <v>0.1659139</v>
      </c>
      <c r="R3398">
        <v>8.3854139999999994E-2</v>
      </c>
      <c r="S3398">
        <v>3.074036</v>
      </c>
      <c r="T3398">
        <v>-0.16799990000000001</v>
      </c>
      <c r="U3398">
        <v>9.2025759999999998E-2</v>
      </c>
      <c r="V3398">
        <v>-0.1042164</v>
      </c>
      <c r="W3398">
        <v>0.1757358</v>
      </c>
      <c r="X3398">
        <v>0.97890540000000004</v>
      </c>
      <c r="Y3398">
        <v>-5.0725220000000001E-2</v>
      </c>
      <c r="Z3398">
        <v>2.5718070000000002E-3</v>
      </c>
      <c r="AA3398">
        <v>0.99870930000000002</v>
      </c>
      <c r="AB3398">
        <v>26</v>
      </c>
      <c r="AC3398">
        <v>20.025500000000001</v>
      </c>
      <c r="AD3398">
        <v>-1.1096421161650001</v>
      </c>
      <c r="AE3398">
        <v>0.61419999999998198</v>
      </c>
      <c r="AF3398">
        <v>-1.0300072625291801</v>
      </c>
      <c r="AG3398">
        <v>-1.1096421161650001</v>
      </c>
      <c r="AH3398">
        <v>19.947071232657098</v>
      </c>
      <c r="AI3398">
        <v>93.179816029315006</v>
      </c>
      <c r="AJ3398">
        <v>92.955957786865099</v>
      </c>
      <c r="AK3398">
        <v>20.0044462894509</v>
      </c>
      <c r="AL3398">
        <v>79.878519592975394</v>
      </c>
      <c r="AM3398">
        <v>96.076943318772194</v>
      </c>
      <c r="AN3398">
        <v>0.99999995578987899</v>
      </c>
    </row>
    <row r="3399" spans="1:40" x14ac:dyDescent="0.25">
      <c r="A3399" t="str">
        <f>"20190304155123250"</f>
        <v>20190304155123250</v>
      </c>
      <c r="B3399" t="str">
        <f>"1551685883239649"</f>
        <v>1551685883239649</v>
      </c>
      <c r="C3399" t="s">
        <v>40</v>
      </c>
      <c r="D3399">
        <v>4.6131799999999998</v>
      </c>
      <c r="E3399">
        <v>0.51841019999999904</v>
      </c>
      <c r="F3399" t="s">
        <v>72</v>
      </c>
      <c r="G3399">
        <v>-413.33580000000001</v>
      </c>
      <c r="H3399" s="1">
        <v>2.8266199999999999E-6</v>
      </c>
      <c r="I3399">
        <v>214.28280000000001</v>
      </c>
      <c r="J3399">
        <v>-433.43360000000001</v>
      </c>
      <c r="K3399">
        <v>1.109631</v>
      </c>
      <c r="L3399">
        <v>213.67490000000001</v>
      </c>
      <c r="M3399">
        <v>0.99972030000000001</v>
      </c>
      <c r="N3399">
        <v>-9.8856320000000001E-3</v>
      </c>
      <c r="O3399">
        <v>-2.149059E-2</v>
      </c>
      <c r="P3399">
        <v>0.98264119999999999</v>
      </c>
      <c r="Q3399">
        <v>0.1658491</v>
      </c>
      <c r="R3399">
        <v>8.3129939999999999E-2</v>
      </c>
      <c r="S3399">
        <v>3.0737299999999999</v>
      </c>
      <c r="T3399">
        <v>-0.1675701</v>
      </c>
      <c r="U3399">
        <v>9.0896610000000003E-2</v>
      </c>
      <c r="V3399">
        <v>-0.104045899999999</v>
      </c>
      <c r="W3399">
        <v>0.17564379999999999</v>
      </c>
      <c r="X3399">
        <v>0.97894009999999998</v>
      </c>
      <c r="Y3399">
        <v>-5.0923910000000003E-2</v>
      </c>
      <c r="Z3399">
        <v>2.59699E-3</v>
      </c>
      <c r="AA3399">
        <v>0.99869920000000001</v>
      </c>
      <c r="AB3399">
        <v>26</v>
      </c>
      <c r="AC3399">
        <v>20.097799999999999</v>
      </c>
      <c r="AD3399">
        <v>-1.10962817338</v>
      </c>
      <c r="AE3399">
        <v>0.6079</v>
      </c>
      <c r="AF3399">
        <v>-1.0365374336501201</v>
      </c>
      <c r="AG3399">
        <v>-1.10962817338</v>
      </c>
      <c r="AH3399">
        <v>20.019124659223401</v>
      </c>
      <c r="AI3399">
        <v>93.168331887057803</v>
      </c>
      <c r="AJ3399">
        <v>92.963977415686998</v>
      </c>
      <c r="AK3399">
        <v>20.076629115866101</v>
      </c>
      <c r="AL3399">
        <v>79.883874610334502</v>
      </c>
      <c r="AM3399">
        <v>96.066862083814399</v>
      </c>
      <c r="AN3399">
        <v>1.0000000065866299</v>
      </c>
    </row>
    <row r="3400" spans="1:40" x14ac:dyDescent="0.25">
      <c r="A3400" t="str">
        <f>"20190304155123271"</f>
        <v>20190304155123271</v>
      </c>
      <c r="B3400" t="str">
        <f>"1551685883260149"</f>
        <v>1551685883260149</v>
      </c>
      <c r="C3400" t="s">
        <v>40</v>
      </c>
      <c r="D3400">
        <v>4.6386770000000004</v>
      </c>
      <c r="E3400">
        <v>0.51839069999999998</v>
      </c>
      <c r="F3400" t="s">
        <v>72</v>
      </c>
      <c r="G3400">
        <v>-413.024</v>
      </c>
      <c r="H3400" s="1">
        <v>2.773706E-6</v>
      </c>
      <c r="I3400">
        <v>214.25559999999999</v>
      </c>
      <c r="J3400">
        <v>-433.18200000000002</v>
      </c>
      <c r="K3400">
        <v>1.109626</v>
      </c>
      <c r="L3400">
        <v>213.66890000000001</v>
      </c>
      <c r="M3400">
        <v>0.9997085</v>
      </c>
      <c r="N3400">
        <v>-9.8567870000000005E-3</v>
      </c>
      <c r="O3400">
        <v>-2.2043090000000001E-2</v>
      </c>
      <c r="P3400">
        <v>0.98270670000000004</v>
      </c>
      <c r="Q3400">
        <v>0.1657902</v>
      </c>
      <c r="R3400">
        <v>8.2471020000000006E-2</v>
      </c>
      <c r="S3400">
        <v>3.0737920000000001</v>
      </c>
      <c r="T3400">
        <v>-0.167116299999999</v>
      </c>
      <c r="U3400">
        <v>8.7448120000000004E-2</v>
      </c>
      <c r="V3400">
        <v>-0.10393040000000001</v>
      </c>
      <c r="W3400">
        <v>0.17555699999999999</v>
      </c>
      <c r="X3400">
        <v>0.9789679</v>
      </c>
      <c r="Y3400">
        <v>-5.0356810000000002E-2</v>
      </c>
      <c r="Z3400">
        <v>2.5963039999999998E-3</v>
      </c>
      <c r="AA3400">
        <v>0.9987279</v>
      </c>
      <c r="AB3400">
        <v>26</v>
      </c>
      <c r="AC3400">
        <v>20.157999999999902</v>
      </c>
      <c r="AD3400">
        <v>-1.109623226294</v>
      </c>
      <c r="AE3400">
        <v>0.58669999999997902</v>
      </c>
      <c r="AF3400">
        <v>-1.0278118637754801</v>
      </c>
      <c r="AG3400">
        <v>-1.109623226294</v>
      </c>
      <c r="AH3400">
        <v>20.079377339573401</v>
      </c>
      <c r="AI3400">
        <v>93.158925313523397</v>
      </c>
      <c r="AJ3400">
        <v>92.930266643677498</v>
      </c>
      <c r="AK3400">
        <v>20.136262197255601</v>
      </c>
      <c r="AL3400">
        <v>79.888925994288996</v>
      </c>
      <c r="AM3400">
        <v>96.060006671660204</v>
      </c>
      <c r="AN3400">
        <v>0.99999996876178399</v>
      </c>
    </row>
    <row r="3401" spans="1:40" x14ac:dyDescent="0.25">
      <c r="A3401" t="str">
        <f>"20190304155123295"</f>
        <v>20190304155123295</v>
      </c>
      <c r="B3401" t="str">
        <f>"1551685883290401"</f>
        <v>1551685883290401</v>
      </c>
      <c r="C3401" t="s">
        <v>40</v>
      </c>
      <c r="D3401">
        <v>4.6545009999999998</v>
      </c>
      <c r="E3401">
        <v>0.51841800000000005</v>
      </c>
      <c r="F3401" t="s">
        <v>72</v>
      </c>
      <c r="G3401">
        <v>-412.6524</v>
      </c>
      <c r="H3401" s="1">
        <v>2.709636E-6</v>
      </c>
      <c r="I3401">
        <v>214.23429999999999</v>
      </c>
      <c r="J3401">
        <v>-432.90789999999998</v>
      </c>
      <c r="K3401">
        <v>1.109621</v>
      </c>
      <c r="L3401">
        <v>213.66220000000001</v>
      </c>
      <c r="M3401">
        <v>0.99969540000000001</v>
      </c>
      <c r="N3401">
        <v>-9.8278879999999999E-3</v>
      </c>
      <c r="O3401">
        <v>-2.2642780000000001E-2</v>
      </c>
      <c r="P3401">
        <v>0.98298799999999997</v>
      </c>
      <c r="Q3401">
        <v>0.164539299999999</v>
      </c>
      <c r="R3401">
        <v>8.1619049999999999E-2</v>
      </c>
      <c r="S3401">
        <v>3.0737299999999999</v>
      </c>
      <c r="T3401">
        <v>-0.1661348</v>
      </c>
      <c r="U3401">
        <v>8.4655759999999997E-2</v>
      </c>
      <c r="V3401">
        <v>-0.10367469999999999</v>
      </c>
      <c r="W3401">
        <v>0.1742805</v>
      </c>
      <c r="X3401">
        <v>0.97922310000000001</v>
      </c>
      <c r="Y3401">
        <v>-5.0051070000000003E-2</v>
      </c>
      <c r="Z3401">
        <v>2.5979729999999999E-3</v>
      </c>
      <c r="AA3401">
        <v>0.9987433</v>
      </c>
      <c r="AB3401">
        <v>27</v>
      </c>
      <c r="AC3401">
        <v>20.255499999999898</v>
      </c>
      <c r="AD3401">
        <v>-1.1096182903639999</v>
      </c>
      <c r="AE3401">
        <v>0.57209999999997696</v>
      </c>
      <c r="AF3401">
        <v>-1.02753511014043</v>
      </c>
      <c r="AG3401">
        <v>-1.1096182903639999</v>
      </c>
      <c r="AH3401">
        <v>20.176850018066901</v>
      </c>
      <c r="AI3401">
        <v>93.143723235776505</v>
      </c>
      <c r="AJ3401">
        <v>92.915351404958997</v>
      </c>
      <c r="AK3401">
        <v>20.2334465132475</v>
      </c>
      <c r="AL3401">
        <v>79.9632096963214</v>
      </c>
      <c r="AM3401">
        <v>96.043643963716903</v>
      </c>
      <c r="AN3401">
        <v>1.00000000783697</v>
      </c>
    </row>
    <row r="3402" spans="1:40" x14ac:dyDescent="0.25">
      <c r="A3402" t="str">
        <f>"20190304155123317"</f>
        <v>20190304155123317</v>
      </c>
      <c r="B3402" t="str">
        <f>"1551685883309923"</f>
        <v>1551685883309923</v>
      </c>
      <c r="C3402" t="s">
        <v>40</v>
      </c>
      <c r="D3402">
        <v>4.5801879999999997</v>
      </c>
      <c r="E3402">
        <v>0.56758949999999997</v>
      </c>
      <c r="F3402" t="s">
        <v>72</v>
      </c>
      <c r="G3402">
        <v>-412.61160000000001</v>
      </c>
      <c r="H3402" s="1">
        <v>2.7056239999999998E-6</v>
      </c>
      <c r="I3402">
        <v>214.19739999999999</v>
      </c>
      <c r="J3402">
        <v>-432.64</v>
      </c>
      <c r="K3402">
        <v>1.1096079999999999</v>
      </c>
      <c r="L3402">
        <v>213.65549999999999</v>
      </c>
      <c r="M3402">
        <v>0.99968219999999997</v>
      </c>
      <c r="N3402">
        <v>-9.8032060000000001E-3</v>
      </c>
      <c r="O3402">
        <v>-2.3222679999999999E-2</v>
      </c>
      <c r="P3402">
        <v>0.98328070000000001</v>
      </c>
      <c r="Q3402">
        <v>0.16349540000000001</v>
      </c>
      <c r="R3402">
        <v>8.0178449999999998E-2</v>
      </c>
      <c r="S3402">
        <v>3.0732729999999999</v>
      </c>
      <c r="T3402">
        <v>-0.16801869999999999</v>
      </c>
      <c r="U3402">
        <v>8.1039429999999996E-2</v>
      </c>
      <c r="V3402">
        <v>-0.1028123</v>
      </c>
      <c r="W3402">
        <v>0.1732136</v>
      </c>
      <c r="X3402">
        <v>0.97950329999999997</v>
      </c>
      <c r="Y3402">
        <v>-4.9458130000000003E-2</v>
      </c>
      <c r="Z3402">
        <v>2.6343730000000002E-3</v>
      </c>
      <c r="AA3402">
        <v>0.99877269999999896</v>
      </c>
      <c r="AB3402">
        <v>27</v>
      </c>
      <c r="AC3402">
        <v>20.028399999999898</v>
      </c>
      <c r="AD3402">
        <v>-1.109605294376</v>
      </c>
      <c r="AE3402">
        <v>0.54189999999999805</v>
      </c>
      <c r="AF3402">
        <v>-1.00381056519449</v>
      </c>
      <c r="AG3402">
        <v>-1.109605294376</v>
      </c>
      <c r="AH3402">
        <v>19.949227087221299</v>
      </c>
      <c r="AI3402">
        <v>93.179580565488493</v>
      </c>
      <c r="AJ3402">
        <v>92.880594904369701</v>
      </c>
      <c r="AK3402">
        <v>20.005262331137502</v>
      </c>
      <c r="AL3402">
        <v>80.025282774004694</v>
      </c>
      <c r="AM3402">
        <v>95.992036332606006</v>
      </c>
      <c r="AN3402">
        <v>1.0000000174835699</v>
      </c>
    </row>
    <row r="3403" spans="1:40" x14ac:dyDescent="0.25">
      <c r="A3403" t="str">
        <f>"20190304155123341"</f>
        <v>20190304155123341</v>
      </c>
      <c r="B3403" t="str">
        <f>"1551685883330417"</f>
        <v>1551685883330417</v>
      </c>
      <c r="C3403" t="s">
        <v>40</v>
      </c>
      <c r="D3403">
        <v>4.8484299999999996</v>
      </c>
      <c r="E3403">
        <v>0.56421480000000002</v>
      </c>
      <c r="F3403" t="s">
        <v>80</v>
      </c>
      <c r="G3403">
        <v>-253.727</v>
      </c>
      <c r="H3403">
        <v>3.7525970000000002</v>
      </c>
      <c r="I3403">
        <v>195.63849999999999</v>
      </c>
      <c r="J3403">
        <v>-432.3612</v>
      </c>
      <c r="K3403">
        <v>1.1096090000000001</v>
      </c>
      <c r="L3403">
        <v>213.64840000000001</v>
      </c>
      <c r="M3403">
        <v>0.99966869999999997</v>
      </c>
      <c r="N3403">
        <v>-9.7805089999999997E-3</v>
      </c>
      <c r="O3403">
        <v>-2.381339E-2</v>
      </c>
      <c r="P3403">
        <v>0.98343259999999999</v>
      </c>
      <c r="Q3403">
        <v>0.16310369999999999</v>
      </c>
      <c r="R3403">
        <v>7.9107040000000003E-2</v>
      </c>
      <c r="S3403">
        <v>3.0686650000000002</v>
      </c>
      <c r="T3403">
        <v>4.5333619999999998E-2</v>
      </c>
      <c r="U3403">
        <v>-0.30902099999999999</v>
      </c>
      <c r="V3403">
        <v>-0.1023275</v>
      </c>
      <c r="W3403">
        <v>0.17279839999999999</v>
      </c>
      <c r="X3403">
        <v>0.97962740000000004</v>
      </c>
      <c r="Y3403">
        <v>7.647661E-2</v>
      </c>
      <c r="Z3403">
        <v>-3.9465829999999998E-4</v>
      </c>
      <c r="AA3403">
        <v>0.99707129999999999</v>
      </c>
      <c r="AB3403">
        <v>27</v>
      </c>
      <c r="AC3403">
        <v>178.63419999999999</v>
      </c>
      <c r="AD3403">
        <v>2.6429879999999999</v>
      </c>
      <c r="AE3403">
        <v>-18.009899999999998</v>
      </c>
      <c r="AF3403">
        <v>13.7477242587234</v>
      </c>
      <c r="AG3403">
        <v>2.6429879999999999</v>
      </c>
      <c r="AH3403">
        <v>178.973651005427</v>
      </c>
      <c r="AI3403">
        <v>89.156432483428901</v>
      </c>
      <c r="AJ3403">
        <v>85.607494141370296</v>
      </c>
      <c r="AK3403">
        <v>179.520341638697</v>
      </c>
      <c r="AL3403">
        <v>80.049436257551804</v>
      </c>
      <c r="AM3403">
        <v>95.963235599958907</v>
      </c>
      <c r="AN3403">
        <v>1.0000000235647799</v>
      </c>
    </row>
    <row r="3404" spans="1:40" x14ac:dyDescent="0.25">
      <c r="A3404" t="str">
        <f>"20190304155123363"</f>
        <v>20190304155123363</v>
      </c>
      <c r="B3404" t="str">
        <f>"1551685883359988"</f>
        <v>1551685883359988</v>
      </c>
      <c r="C3404" t="s">
        <v>40</v>
      </c>
      <c r="D3404">
        <v>4.7636320000000003</v>
      </c>
      <c r="E3404">
        <v>0.56312090000000004</v>
      </c>
      <c r="F3404" t="s">
        <v>44</v>
      </c>
      <c r="G3404">
        <v>-356.98070000000001</v>
      </c>
      <c r="H3404">
        <v>0.16727639999999999</v>
      </c>
      <c r="I3404">
        <v>206.60980000000001</v>
      </c>
      <c r="J3404">
        <v>-432.0942</v>
      </c>
      <c r="K3404">
        <v>1.1096159999999999</v>
      </c>
      <c r="L3404">
        <v>213.6414</v>
      </c>
      <c r="M3404">
        <v>0.99965579999999998</v>
      </c>
      <c r="N3404">
        <v>-9.7610619999999992E-3</v>
      </c>
      <c r="O3404">
        <v>-2.435706E-2</v>
      </c>
      <c r="P3404">
        <v>0.98370930000000001</v>
      </c>
      <c r="Q3404">
        <v>0.1620212</v>
      </c>
      <c r="R3404">
        <v>7.7880900000000003E-2</v>
      </c>
      <c r="S3404">
        <v>3.0800480000000001</v>
      </c>
      <c r="T3404">
        <v>-3.850174E-2</v>
      </c>
      <c r="U3404">
        <v>-0.28759770000000001</v>
      </c>
      <c r="V3404">
        <v>-0.10164860000000001</v>
      </c>
      <c r="W3404">
        <v>0.1716955</v>
      </c>
      <c r="X3404">
        <v>0.97989199999999999</v>
      </c>
      <c r="Y3404">
        <v>6.8680290000000005E-2</v>
      </c>
      <c r="Z3404">
        <v>-6.9790379999999999E-4</v>
      </c>
      <c r="AA3404">
        <v>0.99763849999999998</v>
      </c>
      <c r="AB3404">
        <v>27</v>
      </c>
      <c r="AC3404">
        <v>75.113499999999902</v>
      </c>
      <c r="AD3404">
        <v>-0.94233960000000005</v>
      </c>
      <c r="AE3404">
        <v>-7.0315999999999903</v>
      </c>
      <c r="AF3404">
        <v>5.19907156015688</v>
      </c>
      <c r="AG3404">
        <v>-0.94233960000000005</v>
      </c>
      <c r="AH3404">
        <v>75.250749786566701</v>
      </c>
      <c r="AI3404">
        <v>90.715752017708994</v>
      </c>
      <c r="AJ3404">
        <v>86.047717335788207</v>
      </c>
      <c r="AK3404">
        <v>75.436023837751506</v>
      </c>
      <c r="AL3404">
        <v>80.113586913596706</v>
      </c>
      <c r="AM3404">
        <v>95.922366045938105</v>
      </c>
      <c r="AN3404">
        <v>1.0000000571331</v>
      </c>
    </row>
    <row r="3405" spans="1:40" x14ac:dyDescent="0.25">
      <c r="A3405" t="str">
        <f>"20190304155123385"</f>
        <v>20190304155123385</v>
      </c>
      <c r="B3405" t="str">
        <f>"1551685883379508"</f>
        <v>1551685883379508</v>
      </c>
      <c r="C3405" t="s">
        <v>40</v>
      </c>
      <c r="D3405">
        <v>4.7649239999999997</v>
      </c>
      <c r="E3405">
        <v>0.56245480000000003</v>
      </c>
      <c r="F3405" t="s">
        <v>70</v>
      </c>
      <c r="G3405">
        <v>-388.40589999999997</v>
      </c>
      <c r="H3405">
        <v>3.8126479999999997E-2</v>
      </c>
      <c r="I3405">
        <v>209.6163</v>
      </c>
      <c r="J3405">
        <v>-431.83690000000001</v>
      </c>
      <c r="K3405">
        <v>1.109632</v>
      </c>
      <c r="L3405">
        <v>213.63460000000001</v>
      </c>
      <c r="M3405">
        <v>0.99964370000000002</v>
      </c>
      <c r="N3405">
        <v>-9.7448429999999996E-3</v>
      </c>
      <c r="O3405">
        <v>-2.4849630000000001E-2</v>
      </c>
      <c r="P3405">
        <v>0.98392650000000004</v>
      </c>
      <c r="Q3405">
        <v>0.16117860000000001</v>
      </c>
      <c r="R3405">
        <v>7.6878580000000002E-2</v>
      </c>
      <c r="S3405">
        <v>3.0846559999999998</v>
      </c>
      <c r="T3405">
        <v>-7.565355E-2</v>
      </c>
      <c r="U3405">
        <v>-0.28419489999999997</v>
      </c>
      <c r="V3405">
        <v>-0.10114480000000001</v>
      </c>
      <c r="W3405">
        <v>0.1708335</v>
      </c>
      <c r="X3405">
        <v>0.98009469999999999</v>
      </c>
      <c r="Y3405">
        <v>6.6943680000000005E-2</v>
      </c>
      <c r="Z3405">
        <v>-7.7986750000000001E-4</v>
      </c>
      <c r="AA3405">
        <v>0.99775639999999999</v>
      </c>
      <c r="AB3405">
        <v>27</v>
      </c>
      <c r="AC3405">
        <v>43.430999999999997</v>
      </c>
      <c r="AD3405">
        <v>-1.0715055200000001</v>
      </c>
      <c r="AE3405">
        <v>-4.0183000000000098</v>
      </c>
      <c r="AF3405">
        <v>2.9359915886778101</v>
      </c>
      <c r="AG3405">
        <v>-1.0715055200000001</v>
      </c>
      <c r="AH3405">
        <v>43.491197709165903</v>
      </c>
      <c r="AI3405">
        <v>91.408123906164704</v>
      </c>
      <c r="AJ3405">
        <v>86.137952284789094</v>
      </c>
      <c r="AK3405">
        <v>43.603353642419897</v>
      </c>
      <c r="AL3405">
        <v>80.163715849676706</v>
      </c>
      <c r="AM3405">
        <v>95.892009932731099</v>
      </c>
      <c r="AN3405">
        <v>0.99999998812868895</v>
      </c>
    </row>
    <row r="3406" spans="1:40" x14ac:dyDescent="0.25">
      <c r="A3406" t="str">
        <f>"20190304155123408"</f>
        <v>20190304155123408</v>
      </c>
      <c r="B3406" t="str">
        <f>"1551685883400004"</f>
        <v>1551685883400004</v>
      </c>
      <c r="C3406" t="s">
        <v>40</v>
      </c>
      <c r="D3406">
        <v>4.6914540000000002</v>
      </c>
      <c r="E3406">
        <v>0.56140699999999999</v>
      </c>
      <c r="F3406" t="s">
        <v>70</v>
      </c>
      <c r="G3406">
        <v>-395.52409999999998</v>
      </c>
      <c r="H3406" s="1">
        <v>1.4028809999999901E-6</v>
      </c>
      <c r="I3406">
        <v>210.31100000000001</v>
      </c>
      <c r="J3406">
        <v>-431.56169999999997</v>
      </c>
      <c r="K3406">
        <v>1.1096619999999999</v>
      </c>
      <c r="L3406">
        <v>213.62719999999999</v>
      </c>
      <c r="M3406">
        <v>0.99963170000000001</v>
      </c>
      <c r="N3406">
        <v>-9.7298279999999994E-3</v>
      </c>
      <c r="O3406">
        <v>-2.5331579999999999E-2</v>
      </c>
      <c r="P3406">
        <v>0.98423780000000005</v>
      </c>
      <c r="Q3406">
        <v>0.15986420000000001</v>
      </c>
      <c r="R3406">
        <v>7.5624109999999994E-2</v>
      </c>
      <c r="S3406">
        <v>3.0865170000000002</v>
      </c>
      <c r="T3406">
        <v>-9.43166E-2</v>
      </c>
      <c r="U3406">
        <v>-0.28250120000000001</v>
      </c>
      <c r="V3406">
        <v>-0.1003855</v>
      </c>
      <c r="W3406">
        <v>0.16949900000000001</v>
      </c>
      <c r="X3406">
        <v>0.98040439999999995</v>
      </c>
      <c r="Y3406">
        <v>6.5855120000000003E-2</v>
      </c>
      <c r="Z3406">
        <v>-7.9903159999999995E-4</v>
      </c>
      <c r="AA3406">
        <v>0.99782890000000002</v>
      </c>
      <c r="AB3406">
        <v>27</v>
      </c>
      <c r="AC3406">
        <v>36.037599999999998</v>
      </c>
      <c r="AD3406">
        <v>-1.1096605971189999</v>
      </c>
      <c r="AE3406">
        <v>-3.3161999999999998</v>
      </c>
      <c r="AF3406">
        <v>2.3999467747694299</v>
      </c>
      <c r="AG3406">
        <v>-1.1096605971189999</v>
      </c>
      <c r="AH3406">
        <v>36.076125444332</v>
      </c>
      <c r="AI3406">
        <v>91.757914456296803</v>
      </c>
      <c r="AJ3406">
        <v>86.194033852345797</v>
      </c>
      <c r="AK3406">
        <v>36.172889271354897</v>
      </c>
      <c r="AL3406">
        <v>80.241308595059806</v>
      </c>
      <c r="AM3406">
        <v>95.846251420119799</v>
      </c>
      <c r="AN3406">
        <v>0.99999997357530401</v>
      </c>
    </row>
    <row r="3407" spans="1:40" x14ac:dyDescent="0.25">
      <c r="A3407" t="str">
        <f>"20190304155123432"</f>
        <v>20190304155123432</v>
      </c>
      <c r="B3407" t="str">
        <f>"1551685883419525"</f>
        <v>1551685883419525</v>
      </c>
      <c r="C3407" t="s">
        <v>40</v>
      </c>
      <c r="D3407">
        <v>4.6904139999999996</v>
      </c>
      <c r="E3407">
        <v>0.56230119999999995</v>
      </c>
      <c r="F3407" t="s">
        <v>70</v>
      </c>
      <c r="G3407">
        <v>-399.50380000000001</v>
      </c>
      <c r="H3407" s="1">
        <v>3.5206790000000001E-6</v>
      </c>
      <c r="I3407">
        <v>210.73869999999999</v>
      </c>
      <c r="J3407">
        <v>-431.2774</v>
      </c>
      <c r="K3407">
        <v>1.1097049999999999</v>
      </c>
      <c r="L3407">
        <v>213.61949999999999</v>
      </c>
      <c r="M3407">
        <v>0.99962099999999998</v>
      </c>
      <c r="N3407">
        <v>-9.7170009999999994E-3</v>
      </c>
      <c r="O3407">
        <v>-2.5759399999999998E-2</v>
      </c>
      <c r="P3407">
        <v>0.98442660000000004</v>
      </c>
      <c r="Q3407">
        <v>0.15921270000000001</v>
      </c>
      <c r="R3407">
        <v>7.4536580000000005E-2</v>
      </c>
      <c r="S3407">
        <v>3.0867610000000001</v>
      </c>
      <c r="T3407">
        <v>-0.106846</v>
      </c>
      <c r="U3407">
        <v>-0.27812189999999998</v>
      </c>
      <c r="V3407">
        <v>-9.9741720000000006E-2</v>
      </c>
      <c r="W3407">
        <v>0.16882549999999999</v>
      </c>
      <c r="X3407">
        <v>0.98058630000000002</v>
      </c>
      <c r="Y3407">
        <v>6.4010700000000004E-2</v>
      </c>
      <c r="Z3407">
        <v>-7.7762369999999999E-4</v>
      </c>
      <c r="AA3407">
        <v>0.99794890000000003</v>
      </c>
      <c r="AB3407">
        <v>27</v>
      </c>
      <c r="AC3407">
        <v>31.773599999999899</v>
      </c>
      <c r="AD3407">
        <v>-1.1097014793210001</v>
      </c>
      <c r="AE3407">
        <v>-2.88079999999999</v>
      </c>
      <c r="AF3407">
        <v>2.0588456580074102</v>
      </c>
      <c r="AG3407">
        <v>-1.1097014793210001</v>
      </c>
      <c r="AH3407">
        <v>31.798795695705799</v>
      </c>
      <c r="AI3407">
        <v>91.9945010233983</v>
      </c>
      <c r="AJ3407">
        <v>86.295496671845001</v>
      </c>
      <c r="AK3407">
        <v>31.884693671320498</v>
      </c>
      <c r="AL3407">
        <v>80.280461591930205</v>
      </c>
      <c r="AM3407">
        <v>95.807945962959394</v>
      </c>
      <c r="AN3407">
        <v>0.99999997595324897</v>
      </c>
    </row>
    <row r="3408" spans="1:40" x14ac:dyDescent="0.25">
      <c r="A3408" t="str">
        <f>"20190304155123453"</f>
        <v>20190304155123453</v>
      </c>
      <c r="B3408" t="str">
        <f>"1551685883450287"</f>
        <v>1551685883450287</v>
      </c>
      <c r="C3408" t="s">
        <v>40</v>
      </c>
      <c r="D3408">
        <v>4.7118390000000003</v>
      </c>
      <c r="E3408">
        <v>0.56358219999999903</v>
      </c>
      <c r="F3408" t="s">
        <v>70</v>
      </c>
      <c r="G3408">
        <v>-399.83749999999998</v>
      </c>
      <c r="H3408" s="1">
        <v>3.6982220000000002E-6</v>
      </c>
      <c r="I3408">
        <v>210.68279999999999</v>
      </c>
      <c r="J3408">
        <v>-431.02140000000003</v>
      </c>
      <c r="K3408">
        <v>1.1097349999999999</v>
      </c>
      <c r="L3408">
        <v>213.61250000000001</v>
      </c>
      <c r="M3408">
        <v>0.99961230000000001</v>
      </c>
      <c r="N3408">
        <v>-9.7073200000000002E-3</v>
      </c>
      <c r="O3408">
        <v>-2.6094530000000001E-2</v>
      </c>
      <c r="P3408">
        <v>0.98433320000000002</v>
      </c>
      <c r="Q3408">
        <v>0.15986210000000001</v>
      </c>
      <c r="R3408">
        <v>7.4379310000000004E-2</v>
      </c>
      <c r="S3408">
        <v>3.0869450000000001</v>
      </c>
      <c r="T3408">
        <v>-0.1089567</v>
      </c>
      <c r="U3408">
        <v>-0.28834530000000003</v>
      </c>
      <c r="V3408">
        <v>-9.9927160000000001E-2</v>
      </c>
      <c r="W3408">
        <v>0.169455299999999</v>
      </c>
      <c r="X3408">
        <v>0.98045879999999996</v>
      </c>
      <c r="Y3408">
        <v>6.6944519999999993E-2</v>
      </c>
      <c r="Z3408">
        <v>-8.3868889999999996E-4</v>
      </c>
      <c r="AA3408">
        <v>0.99775639999999999</v>
      </c>
      <c r="AB3408">
        <v>27</v>
      </c>
      <c r="AC3408">
        <v>31.183900000000001</v>
      </c>
      <c r="AD3408">
        <v>-1.1097313017779999</v>
      </c>
      <c r="AE3408">
        <v>-2.92970000000002</v>
      </c>
      <c r="AF3408">
        <v>2.11228307433755</v>
      </c>
      <c r="AG3408">
        <v>-1.1097313017779999</v>
      </c>
      <c r="AH3408">
        <v>31.210553415054498</v>
      </c>
      <c r="AI3408">
        <v>92.031723334560496</v>
      </c>
      <c r="AJ3408">
        <v>86.128212469607107</v>
      </c>
      <c r="AK3408">
        <v>31.301627558678899</v>
      </c>
      <c r="AL3408">
        <v>80.243849405625795</v>
      </c>
      <c r="AM3408">
        <v>95.819421558390999</v>
      </c>
      <c r="AN3408">
        <v>0.99999999725059696</v>
      </c>
    </row>
    <row r="3409" spans="1:40" x14ac:dyDescent="0.25">
      <c r="A3409" t="str">
        <f>"20190304155123471"</f>
        <v>20190304155123471</v>
      </c>
      <c r="B3409" t="str">
        <f>"1551685883460046"</f>
        <v>1551685883460046</v>
      </c>
      <c r="C3409" t="s">
        <v>40</v>
      </c>
      <c r="D3409">
        <v>4.7052199999999997</v>
      </c>
      <c r="E3409">
        <v>0.5639518</v>
      </c>
      <c r="F3409" t="s">
        <v>70</v>
      </c>
      <c r="G3409">
        <v>-399.93979999999999</v>
      </c>
      <c r="H3409" s="1">
        <v>3.75268E-6</v>
      </c>
      <c r="I3409">
        <v>210.6054</v>
      </c>
      <c r="J3409">
        <v>-430.7921</v>
      </c>
      <c r="K3409">
        <v>1.1097709999999901</v>
      </c>
      <c r="L3409">
        <v>213.6062</v>
      </c>
      <c r="M3409">
        <v>0.99960590000000005</v>
      </c>
      <c r="N3409">
        <v>-9.7000379999999994E-3</v>
      </c>
      <c r="O3409">
        <v>-2.6349620000000001E-2</v>
      </c>
      <c r="P3409">
        <v>0.98443729999999996</v>
      </c>
      <c r="Q3409">
        <v>0.1593368</v>
      </c>
      <c r="R3409">
        <v>7.4131630000000004E-2</v>
      </c>
      <c r="S3409">
        <v>3.0882260000000001</v>
      </c>
      <c r="T3409">
        <v>-0.11026130000000001</v>
      </c>
      <c r="U3409">
        <v>-0.2987823</v>
      </c>
      <c r="V3409">
        <v>-9.9947770000000005E-2</v>
      </c>
      <c r="W3409">
        <v>0.1689148</v>
      </c>
      <c r="X3409">
        <v>0.98054989999999997</v>
      </c>
      <c r="Y3409">
        <v>6.9989930000000006E-2</v>
      </c>
      <c r="Z3409">
        <v>-9.0367029999999997E-4</v>
      </c>
      <c r="AA3409">
        <v>0.99754730000000003</v>
      </c>
      <c r="AB3409">
        <v>27</v>
      </c>
      <c r="AC3409">
        <v>30.8523</v>
      </c>
      <c r="AD3409">
        <v>-1.10976724731999</v>
      </c>
      <c r="AE3409">
        <v>-3.0007999999999901</v>
      </c>
      <c r="AF3409">
        <v>2.1839742180228598</v>
      </c>
      <c r="AG3409">
        <v>-1.10976724731999</v>
      </c>
      <c r="AH3409">
        <v>30.881078891170201</v>
      </c>
      <c r="AI3409">
        <v>92.053018052934306</v>
      </c>
      <c r="AJ3409">
        <v>85.954658576475296</v>
      </c>
      <c r="AK3409">
        <v>30.978094844759099</v>
      </c>
      <c r="AL3409">
        <v>80.275270137705206</v>
      </c>
      <c r="AM3409">
        <v>95.820076511719193</v>
      </c>
      <c r="AN3409">
        <v>0.99999993638850904</v>
      </c>
    </row>
    <row r="3410" spans="1:40" x14ac:dyDescent="0.25">
      <c r="A3410" t="str">
        <f>"20190304155123497"</f>
        <v>20190304155123497</v>
      </c>
      <c r="B3410" t="str">
        <f>"1551685883490302"</f>
        <v>1551685883490302</v>
      </c>
      <c r="C3410" t="s">
        <v>40</v>
      </c>
      <c r="D3410">
        <v>4.6786339999999997</v>
      </c>
      <c r="E3410">
        <v>0.56475030000000004</v>
      </c>
      <c r="F3410" t="s">
        <v>70</v>
      </c>
      <c r="G3410">
        <v>-399.78840000000002</v>
      </c>
      <c r="H3410" s="1">
        <v>3.6720830000000001E-6</v>
      </c>
      <c r="I3410">
        <v>210.571</v>
      </c>
      <c r="J3410">
        <v>-430.49689999999998</v>
      </c>
      <c r="K3410">
        <v>1.109818</v>
      </c>
      <c r="L3410">
        <v>213.59809999999999</v>
      </c>
      <c r="M3410">
        <v>0.99959929999999997</v>
      </c>
      <c r="N3410">
        <v>-9.6922959999999996E-3</v>
      </c>
      <c r="O3410">
        <v>-2.6597760000000002E-2</v>
      </c>
      <c r="P3410">
        <v>0.98444350000000003</v>
      </c>
      <c r="Q3410">
        <v>0.1593647</v>
      </c>
      <c r="R3410">
        <v>7.3985800000000004E-2</v>
      </c>
      <c r="S3410">
        <v>3.088104</v>
      </c>
      <c r="T3410">
        <v>-0.1105375</v>
      </c>
      <c r="U3410">
        <v>-0.30232239999999999</v>
      </c>
      <c r="V3410">
        <v>-0.1000664</v>
      </c>
      <c r="W3410">
        <v>0.16892279999999901</v>
      </c>
      <c r="X3410">
        <v>0.98053650000000003</v>
      </c>
      <c r="Y3410">
        <v>7.0878060000000007E-2</v>
      </c>
      <c r="Z3410">
        <v>-9.1769020000000005E-4</v>
      </c>
      <c r="AA3410">
        <v>0.99748460000000005</v>
      </c>
      <c r="AB3410">
        <v>27</v>
      </c>
      <c r="AC3410">
        <v>30.708499999999901</v>
      </c>
      <c r="AD3410">
        <v>-1.1098143279170001</v>
      </c>
      <c r="AE3410">
        <v>-3.0270999999999901</v>
      </c>
      <c r="AF3410">
        <v>2.2063593015704601</v>
      </c>
      <c r="AG3410">
        <v>-1.1098143279170001</v>
      </c>
      <c r="AH3410">
        <v>30.738390997775301</v>
      </c>
      <c r="AI3410">
        <v>92.062473046506</v>
      </c>
      <c r="AJ3410">
        <v>85.894429192794505</v>
      </c>
      <c r="AK3410">
        <v>30.837451099956201</v>
      </c>
      <c r="AL3410">
        <v>80.274805834102494</v>
      </c>
      <c r="AM3410">
        <v>95.8270160542219</v>
      </c>
      <c r="AN3410">
        <v>1.0000000123005199</v>
      </c>
    </row>
    <row r="3411" spans="1:40" x14ac:dyDescent="0.25">
      <c r="A3411" t="str">
        <f>"20190304155123519"</f>
        <v>20190304155123519</v>
      </c>
      <c r="B3411" t="str">
        <f>"1551685883509823"</f>
        <v>1551685883509823</v>
      </c>
      <c r="C3411" t="s">
        <v>40</v>
      </c>
      <c r="D3411">
        <v>4.7123100000000004</v>
      </c>
      <c r="E3411">
        <v>0.56520130000000002</v>
      </c>
      <c r="F3411" t="s">
        <v>70</v>
      </c>
      <c r="G3411">
        <v>-398.44319999999999</v>
      </c>
      <c r="H3411" s="1">
        <v>2.9562799999999998E-6</v>
      </c>
      <c r="I3411">
        <v>210.39089999999999</v>
      </c>
      <c r="J3411">
        <v>-430.21420000000001</v>
      </c>
      <c r="K3411">
        <v>1.1098669999999999</v>
      </c>
      <c r="L3411">
        <v>213.59039999999999</v>
      </c>
      <c r="M3411">
        <v>0.99959529999999996</v>
      </c>
      <c r="N3411">
        <v>-9.6863880000000006E-3</v>
      </c>
      <c r="O3411">
        <v>-2.675456E-2</v>
      </c>
      <c r="P3411">
        <v>0.98453500000000005</v>
      </c>
      <c r="Q3411">
        <v>0.15896769999999999</v>
      </c>
      <c r="R3411">
        <v>7.3624889999999998E-2</v>
      </c>
      <c r="S3411">
        <v>3.087952</v>
      </c>
      <c r="T3411">
        <v>-0.1069162</v>
      </c>
      <c r="U3411">
        <v>-0.30897520000000001</v>
      </c>
      <c r="V3411">
        <v>-9.9883760000000002E-2</v>
      </c>
      <c r="W3411">
        <v>0.16850780000000001</v>
      </c>
      <c r="X3411">
        <v>0.98062649999999996</v>
      </c>
      <c r="Y3411">
        <v>7.2855470000000006E-2</v>
      </c>
      <c r="Z3411">
        <v>-9.4682299999999996E-4</v>
      </c>
      <c r="AA3411">
        <v>0.99734210000000001</v>
      </c>
      <c r="AB3411">
        <v>27</v>
      </c>
      <c r="AC3411">
        <v>31.771000000000001</v>
      </c>
      <c r="AD3411">
        <v>-1.10986404372</v>
      </c>
      <c r="AE3411">
        <v>-3.1995</v>
      </c>
      <c r="AF3411">
        <v>2.3454622342236799</v>
      </c>
      <c r="AG3411">
        <v>-1.10986404372</v>
      </c>
      <c r="AH3411">
        <v>31.806806015657401</v>
      </c>
      <c r="AI3411">
        <v>91.993056216973002</v>
      </c>
      <c r="AJ3411">
        <v>85.7825914420673</v>
      </c>
      <c r="AK3411">
        <v>31.912472486558698</v>
      </c>
      <c r="AL3411">
        <v>80.298929163281699</v>
      </c>
      <c r="AM3411">
        <v>95.815923475265905</v>
      </c>
      <c r="AN3411">
        <v>0.99999998833741299</v>
      </c>
    </row>
    <row r="3412" spans="1:40" x14ac:dyDescent="0.25">
      <c r="A3412" t="str">
        <f>"20190304155123540"</f>
        <v>20190304155123540</v>
      </c>
      <c r="B3412" t="str">
        <f>"1551685883530318"</f>
        <v>1551685883530318</v>
      </c>
      <c r="C3412" t="s">
        <v>40</v>
      </c>
      <c r="D3412">
        <v>4.750508</v>
      </c>
      <c r="E3412">
        <v>0.56538889999999997</v>
      </c>
      <c r="F3412" t="s">
        <v>70</v>
      </c>
      <c r="G3412">
        <v>-398.13920000000002</v>
      </c>
      <c r="H3412" s="1">
        <v>2.7944969999999998E-6</v>
      </c>
      <c r="I3412">
        <v>210.3329</v>
      </c>
      <c r="J3412">
        <v>-429.96140000000003</v>
      </c>
      <c r="K3412">
        <v>1.1099060000000001</v>
      </c>
      <c r="L3412">
        <v>213.58349999999999</v>
      </c>
      <c r="M3412">
        <v>0.99959310000000001</v>
      </c>
      <c r="N3412">
        <v>-9.6822539999999995E-3</v>
      </c>
      <c r="O3412">
        <v>-2.6834090000000001E-2</v>
      </c>
      <c r="P3412">
        <v>0.98460510000000001</v>
      </c>
      <c r="Q3412">
        <v>0.15880529999999901</v>
      </c>
      <c r="R3412">
        <v>7.3033310000000004E-2</v>
      </c>
      <c r="S3412">
        <v>3.087799</v>
      </c>
      <c r="T3412">
        <v>-0.1068447</v>
      </c>
      <c r="U3412">
        <v>-0.31359860000000001</v>
      </c>
      <c r="V3412">
        <v>-9.9391140000000003E-2</v>
      </c>
      <c r="W3412">
        <v>0.16833110000000001</v>
      </c>
      <c r="X3412">
        <v>0.98070690000000005</v>
      </c>
      <c r="Y3412">
        <v>7.4258270000000001E-2</v>
      </c>
      <c r="Z3412">
        <v>-9.7538129999999998E-4</v>
      </c>
      <c r="AA3412">
        <v>0.99723859999999998</v>
      </c>
      <c r="AB3412">
        <v>27</v>
      </c>
      <c r="AC3412">
        <v>31.822199999999999</v>
      </c>
      <c r="AD3412">
        <v>-1.109903205503</v>
      </c>
      <c r="AE3412">
        <v>-3.2505999999999902</v>
      </c>
      <c r="AF3412">
        <v>2.3925891091487501</v>
      </c>
      <c r="AG3412">
        <v>-1.109903205503</v>
      </c>
      <c r="AH3412">
        <v>31.859613972664299</v>
      </c>
      <c r="AI3412">
        <v>91.989625830117106</v>
      </c>
      <c r="AJ3412">
        <v>85.705270610064304</v>
      </c>
      <c r="AK3412">
        <v>31.968599754415099</v>
      </c>
      <c r="AL3412">
        <v>80.309200067177201</v>
      </c>
      <c r="AM3412">
        <v>95.7869636736785</v>
      </c>
      <c r="AN3412">
        <v>0.999999990822659</v>
      </c>
    </row>
    <row r="3413" spans="1:40" x14ac:dyDescent="0.25">
      <c r="A3413" t="str">
        <f>"20190304155123563"</f>
        <v>20190304155123563</v>
      </c>
      <c r="B3413" t="str">
        <f>"1551685883560574"</f>
        <v>1551685883560574</v>
      </c>
      <c r="C3413" t="s">
        <v>40</v>
      </c>
      <c r="D3413">
        <v>4.7560070000000003</v>
      </c>
      <c r="E3413">
        <v>0.56476319999999902</v>
      </c>
      <c r="F3413" t="s">
        <v>70</v>
      </c>
      <c r="G3413">
        <v>-397.85579999999999</v>
      </c>
      <c r="H3413" s="1">
        <v>2.6436859999999998E-6</v>
      </c>
      <c r="I3413">
        <v>210.28749999999999</v>
      </c>
      <c r="J3413">
        <v>-429.6902</v>
      </c>
      <c r="K3413">
        <v>1.109953</v>
      </c>
      <c r="L3413">
        <v>213.5762</v>
      </c>
      <c r="M3413">
        <v>0.99959219999999904</v>
      </c>
      <c r="N3413">
        <v>-9.6788599999999992E-3</v>
      </c>
      <c r="O3413">
        <v>-2.6871590000000001E-2</v>
      </c>
      <c r="P3413">
        <v>0.98465939999999996</v>
      </c>
      <c r="Q3413">
        <v>0.15846299999999999</v>
      </c>
      <c r="R3413">
        <v>7.3045830000000006E-2</v>
      </c>
      <c r="S3413">
        <v>3.0876459999999999</v>
      </c>
      <c r="T3413">
        <v>-0.10674119999999999</v>
      </c>
      <c r="U3413">
        <v>-0.31698609999999999</v>
      </c>
      <c r="V3413">
        <v>-9.9459439999999996E-2</v>
      </c>
      <c r="W3413">
        <v>0.16797619999999999</v>
      </c>
      <c r="X3413">
        <v>0.98076079999999999</v>
      </c>
      <c r="Y3413">
        <v>7.5307849999999996E-2</v>
      </c>
      <c r="Z3413">
        <v>-9.9708210000000008E-4</v>
      </c>
      <c r="AA3413">
        <v>0.99715980000000004</v>
      </c>
      <c r="AB3413">
        <v>27</v>
      </c>
      <c r="AC3413">
        <v>31.834399999999999</v>
      </c>
      <c r="AD3413">
        <v>-1.1099503563140001</v>
      </c>
      <c r="AE3413">
        <v>-3.2887</v>
      </c>
      <c r="AF3413">
        <v>2.4291096423155301</v>
      </c>
      <c r="AG3413">
        <v>-1.1099503563140001</v>
      </c>
      <c r="AH3413">
        <v>31.872942385417399</v>
      </c>
      <c r="AI3413">
        <v>91.988712320958101</v>
      </c>
      <c r="AJ3413">
        <v>85.641782881416901</v>
      </c>
      <c r="AK3413">
        <v>31.984637245903102</v>
      </c>
      <c r="AL3413">
        <v>80.329827817627205</v>
      </c>
      <c r="AM3413">
        <v>95.790597274459699</v>
      </c>
      <c r="AN3413">
        <v>0.99999996539409597</v>
      </c>
    </row>
    <row r="3414" spans="1:40" x14ac:dyDescent="0.25">
      <c r="A3414" t="str">
        <f>"20190304155123584"</f>
        <v>20190304155123584</v>
      </c>
      <c r="B3414" t="str">
        <f>"1551685883580095"</f>
        <v>1551685883580095</v>
      </c>
      <c r="C3414" t="s">
        <v>40</v>
      </c>
      <c r="D3414">
        <v>4.7546350000000004</v>
      </c>
      <c r="E3414">
        <v>0.56434449999999903</v>
      </c>
      <c r="F3414" t="s">
        <v>70</v>
      </c>
      <c r="G3414">
        <v>-398.70729999999998</v>
      </c>
      <c r="H3414" s="1">
        <v>3.0968090000000002E-6</v>
      </c>
      <c r="I3414">
        <v>210.44059999999999</v>
      </c>
      <c r="J3414">
        <v>-429.42259999999999</v>
      </c>
      <c r="K3414">
        <v>1.1099870000000001</v>
      </c>
      <c r="L3414">
        <v>213.56890000000001</v>
      </c>
      <c r="M3414">
        <v>0.99959240000000005</v>
      </c>
      <c r="N3414">
        <v>-9.6763960000000003E-3</v>
      </c>
      <c r="O3414">
        <v>-2.6862939999999998E-2</v>
      </c>
      <c r="P3414">
        <v>0.98473370000000005</v>
      </c>
      <c r="Q3414">
        <v>0.15801979999999999</v>
      </c>
      <c r="R3414">
        <v>7.3003670000000007E-2</v>
      </c>
      <c r="S3414">
        <v>3.0877379999999999</v>
      </c>
      <c r="T3414">
        <v>-0.11061699999999999</v>
      </c>
      <c r="U3414">
        <v>-0.3124847</v>
      </c>
      <c r="V3414">
        <v>-9.9424680000000001E-2</v>
      </c>
      <c r="W3414">
        <v>0.16752249999999999</v>
      </c>
      <c r="X3414">
        <v>0.98084190000000004</v>
      </c>
      <c r="Y3414">
        <v>7.3872919999999995E-2</v>
      </c>
      <c r="Z3414">
        <v>-9.7806470000000008E-4</v>
      </c>
      <c r="AA3414">
        <v>0.99726720000000002</v>
      </c>
      <c r="AB3414">
        <v>27</v>
      </c>
      <c r="AC3414">
        <v>30.715299999999999</v>
      </c>
      <c r="AD3414">
        <v>-1.1099839031909999</v>
      </c>
      <c r="AE3414">
        <v>-3.1283000000000198</v>
      </c>
      <c r="AF3414">
        <v>2.2990575592395501</v>
      </c>
      <c r="AG3414">
        <v>-1.1099839031909999</v>
      </c>
      <c r="AH3414">
        <v>30.748510370821201</v>
      </c>
      <c r="AI3414">
        <v>92.061660530219697</v>
      </c>
      <c r="AJ3414">
        <v>85.723967077193905</v>
      </c>
      <c r="AK3414">
        <v>30.854312825771</v>
      </c>
      <c r="AL3414">
        <v>80.356196358335396</v>
      </c>
      <c r="AM3414">
        <v>95.788111894452896</v>
      </c>
      <c r="AN3414">
        <v>0.99999994389747904</v>
      </c>
    </row>
    <row r="3415" spans="1:40" x14ac:dyDescent="0.25">
      <c r="A3415" t="str">
        <f>"20190304155123607"</f>
        <v>20190304155123607</v>
      </c>
      <c r="B3415" t="str">
        <f>"1551685883599615"</f>
        <v>1551685883599615</v>
      </c>
      <c r="C3415" t="s">
        <v>40</v>
      </c>
      <c r="D3415">
        <v>4.8016620000000003</v>
      </c>
      <c r="E3415">
        <v>0.56395709999999999</v>
      </c>
      <c r="F3415" t="s">
        <v>70</v>
      </c>
      <c r="G3415">
        <v>-399.30509999999998</v>
      </c>
      <c r="H3415" s="1">
        <v>3.4149020000000002E-6</v>
      </c>
      <c r="I3415">
        <v>210.54689999999999</v>
      </c>
      <c r="J3415">
        <v>-429.15260000000001</v>
      </c>
      <c r="K3415">
        <v>1.1100159999999999</v>
      </c>
      <c r="L3415">
        <v>213.5617</v>
      </c>
      <c r="M3415">
        <v>0.99959399999999998</v>
      </c>
      <c r="N3415">
        <v>-9.6747059999999999E-3</v>
      </c>
      <c r="O3415">
        <v>-2.680631E-2</v>
      </c>
      <c r="P3415">
        <v>0.98475900000000005</v>
      </c>
      <c r="Q3415">
        <v>0.15773509999999999</v>
      </c>
      <c r="R3415">
        <v>7.3278620000000003E-2</v>
      </c>
      <c r="S3415">
        <v>3.0877690000000002</v>
      </c>
      <c r="T3415">
        <v>-0.1137999</v>
      </c>
      <c r="U3415">
        <v>-0.30982969999999999</v>
      </c>
      <c r="V3415">
        <v>-9.9657010000000004E-2</v>
      </c>
      <c r="W3415">
        <v>0.16722870000000001</v>
      </c>
      <c r="X3415">
        <v>0.98086850000000003</v>
      </c>
      <c r="Y3415">
        <v>7.3077829999999996E-2</v>
      </c>
      <c r="Z3415">
        <v>-9.7138879999999995E-4</v>
      </c>
      <c r="AA3415">
        <v>0.99732580000000004</v>
      </c>
      <c r="AB3415">
        <v>27</v>
      </c>
      <c r="AC3415">
        <v>29.8475</v>
      </c>
      <c r="AD3415">
        <v>-1.1100125850979901</v>
      </c>
      <c r="AE3415">
        <v>-3.0148000000000001</v>
      </c>
      <c r="AF3415">
        <v>2.21055143120596</v>
      </c>
      <c r="AG3415">
        <v>-1.1100125850979901</v>
      </c>
      <c r="AH3415">
        <v>29.876688793035999</v>
      </c>
      <c r="AI3415">
        <v>92.121944119572504</v>
      </c>
      <c r="AJ3415">
        <v>85.768443282006203</v>
      </c>
      <c r="AK3415">
        <v>29.9789125687542</v>
      </c>
      <c r="AL3415">
        <v>80.373271133351196</v>
      </c>
      <c r="AM3415">
        <v>95.801388818314095</v>
      </c>
      <c r="AN3415">
        <v>0.99999998601904005</v>
      </c>
    </row>
    <row r="3416" spans="1:40" x14ac:dyDescent="0.25">
      <c r="A3416" t="str">
        <f>"20190304155123633"</f>
        <v>20190304155123633</v>
      </c>
      <c r="B3416" t="str">
        <f>"1551685883629871"</f>
        <v>1551685883629871</v>
      </c>
      <c r="C3416" t="s">
        <v>40</v>
      </c>
      <c r="D3416">
        <v>4.5341279999999999</v>
      </c>
      <c r="E3416">
        <v>0.56240699999999999</v>
      </c>
      <c r="F3416" t="s">
        <v>70</v>
      </c>
      <c r="G3416">
        <v>-399.69929999999999</v>
      </c>
      <c r="H3416" s="1">
        <v>3.6246949999999999E-6</v>
      </c>
      <c r="I3416">
        <v>210.642</v>
      </c>
      <c r="J3416">
        <v>-428.84030000000001</v>
      </c>
      <c r="K3416">
        <v>1.110047</v>
      </c>
      <c r="L3416">
        <v>213.55340000000001</v>
      </c>
      <c r="M3416">
        <v>0.99959739999999997</v>
      </c>
      <c r="N3416">
        <v>-9.6737609999999995E-3</v>
      </c>
      <c r="O3416">
        <v>-2.667593E-2</v>
      </c>
      <c r="P3416">
        <v>0.98478569999999999</v>
      </c>
      <c r="Q3416">
        <v>0.15748719999999999</v>
      </c>
      <c r="R3416">
        <v>7.3451660000000002E-2</v>
      </c>
      <c r="S3416">
        <v>3.0878909999999999</v>
      </c>
      <c r="T3416">
        <v>-0.11637400000000001</v>
      </c>
      <c r="U3416">
        <v>-0.30610660000000001</v>
      </c>
      <c r="V3416">
        <v>-9.9718009999999996E-2</v>
      </c>
      <c r="W3416">
        <v>0.1669716</v>
      </c>
      <c r="X3416">
        <v>0.9809061</v>
      </c>
      <c r="Y3416">
        <v>7.201225E-2</v>
      </c>
      <c r="Z3416">
        <v>-9.5786649999999999E-4</v>
      </c>
      <c r="AA3416">
        <v>0.99740329999999999</v>
      </c>
      <c r="AB3416">
        <v>27</v>
      </c>
      <c r="AC3416">
        <v>29.140999999999998</v>
      </c>
      <c r="AD3416">
        <v>-1.1100433753049901</v>
      </c>
      <c r="AE3416">
        <v>-2.9114000000000102</v>
      </c>
      <c r="AF3416">
        <v>2.1299042672912898</v>
      </c>
      <c r="AG3416">
        <v>-1.1100433753049901</v>
      </c>
      <c r="AH3416">
        <v>29.166394134558502</v>
      </c>
      <c r="AI3416">
        <v>92.173784409147203</v>
      </c>
      <c r="AJ3416">
        <v>85.823333939737196</v>
      </c>
      <c r="AK3416">
        <v>29.265119772440599</v>
      </c>
      <c r="AL3416">
        <v>80.388211955723705</v>
      </c>
      <c r="AM3416">
        <v>95.804694608172298</v>
      </c>
      <c r="AN3416">
        <v>0.99999998687106495</v>
      </c>
    </row>
    <row r="3417" spans="1:40" x14ac:dyDescent="0.25">
      <c r="A3417" t="str">
        <f>"20190304155123654"</f>
        <v>20190304155123654</v>
      </c>
      <c r="B3417" t="str">
        <f>"1551685883650367"</f>
        <v>1551685883650367</v>
      </c>
      <c r="C3417" t="s">
        <v>40</v>
      </c>
      <c r="D3417">
        <v>4.5398050000000003</v>
      </c>
      <c r="E3417">
        <v>0.51162609999999997</v>
      </c>
      <c r="F3417" t="s">
        <v>70</v>
      </c>
      <c r="G3417">
        <v>-398.82889999999998</v>
      </c>
      <c r="H3417" s="1">
        <v>3.1614969999999998E-6</v>
      </c>
      <c r="I3417">
        <v>210.70189999999999</v>
      </c>
      <c r="J3417">
        <v>-428.58629999999999</v>
      </c>
      <c r="K3417">
        <v>1.1100760000000001</v>
      </c>
      <c r="L3417">
        <v>213.54679999999999</v>
      </c>
      <c r="M3417">
        <v>0.99960130000000003</v>
      </c>
      <c r="N3417">
        <v>-9.6736180000000001E-3</v>
      </c>
      <c r="O3417">
        <v>-2.6530370000000001E-2</v>
      </c>
      <c r="P3417">
        <v>0.98472400000000004</v>
      </c>
      <c r="Q3417">
        <v>0.15760370000000001</v>
      </c>
      <c r="R3417">
        <v>7.4027689999999993E-2</v>
      </c>
      <c r="S3417">
        <v>3.086487</v>
      </c>
      <c r="T3417">
        <v>-0.114160999999999</v>
      </c>
      <c r="U3417">
        <v>-0.29325869999999998</v>
      </c>
      <c r="V3417">
        <v>-0.100162399999999</v>
      </c>
      <c r="W3417">
        <v>0.16707929999999999</v>
      </c>
      <c r="X3417">
        <v>0.98084249999999995</v>
      </c>
      <c r="Y3417">
        <v>6.8093299999999995E-2</v>
      </c>
      <c r="Z3417">
        <v>-8.6403879999999997E-4</v>
      </c>
      <c r="AA3417">
        <v>0.99767859999999997</v>
      </c>
      <c r="AB3417">
        <v>27</v>
      </c>
      <c r="AC3417">
        <v>29.757400000000001</v>
      </c>
      <c r="AD3417">
        <v>-1.1100728385030001</v>
      </c>
      <c r="AE3417">
        <v>-2.8448999999999902</v>
      </c>
      <c r="AF3417">
        <v>2.0515577475399001</v>
      </c>
      <c r="AG3417">
        <v>-1.1100728385030001</v>
      </c>
      <c r="AH3417">
        <v>29.7813362131911</v>
      </c>
      <c r="AI3417">
        <v>92.129618645307502</v>
      </c>
      <c r="AJ3417">
        <v>86.059270449939007</v>
      </c>
      <c r="AK3417">
        <v>29.872548226447002</v>
      </c>
      <c r="AL3417">
        <v>80.381953451551098</v>
      </c>
      <c r="AM3417">
        <v>95.830760669765496</v>
      </c>
      <c r="AN3417">
        <v>1.0000000043342401</v>
      </c>
    </row>
    <row r="3418" spans="1:40" x14ac:dyDescent="0.25">
      <c r="A3418" t="str">
        <f>"20190304155123675"</f>
        <v>20190304155123675</v>
      </c>
      <c r="B3418" t="str">
        <f>"1551685883669887"</f>
        <v>1551685883669887</v>
      </c>
      <c r="C3418" t="s">
        <v>40</v>
      </c>
      <c r="D3418">
        <v>4.470167</v>
      </c>
      <c r="E3418">
        <v>0.51216819999999996</v>
      </c>
      <c r="F3418" t="s">
        <v>70</v>
      </c>
      <c r="G3418">
        <v>-399.78100000000001</v>
      </c>
      <c r="H3418" s="1">
        <v>3.6681979999999998E-6</v>
      </c>
      <c r="I3418">
        <v>214.6104</v>
      </c>
      <c r="J3418">
        <v>-428.32499999999999</v>
      </c>
      <c r="K3418">
        <v>1.110107</v>
      </c>
      <c r="L3418">
        <v>213.54</v>
      </c>
      <c r="M3418">
        <v>0.99960599999999999</v>
      </c>
      <c r="N3418">
        <v>-9.6740000000000003E-3</v>
      </c>
      <c r="O3418">
        <v>-2.634966E-2</v>
      </c>
      <c r="P3418">
        <v>0.98467420000000005</v>
      </c>
      <c r="Q3418">
        <v>0.15772639999999999</v>
      </c>
      <c r="R3418">
        <v>7.4426119999999998E-2</v>
      </c>
      <c r="S3418">
        <v>3.056915</v>
      </c>
      <c r="T3418">
        <v>-0.1178048</v>
      </c>
      <c r="U3418">
        <v>0.11286930000000001</v>
      </c>
      <c r="V3418">
        <v>-0.1003942</v>
      </c>
      <c r="W3418">
        <v>0.16719439999999999</v>
      </c>
      <c r="X3418">
        <v>0.98079919999999998</v>
      </c>
      <c r="Y3418">
        <v>-6.3148049999999997E-2</v>
      </c>
      <c r="Z3418">
        <v>2.2816149999999999E-3</v>
      </c>
      <c r="AA3418">
        <v>0.99800160000000004</v>
      </c>
      <c r="AB3418">
        <v>27</v>
      </c>
      <c r="AC3418">
        <v>28.543999999999901</v>
      </c>
      <c r="AD3418">
        <v>-1.1101033318019999</v>
      </c>
      <c r="AE3418">
        <v>1.0704</v>
      </c>
      <c r="AF3418">
        <v>-1.8194401334089401</v>
      </c>
      <c r="AG3418">
        <v>-1.1101033318019999</v>
      </c>
      <c r="AH3418">
        <v>28.462892396726399</v>
      </c>
      <c r="AI3418">
        <v>92.228960362153401</v>
      </c>
      <c r="AJ3418">
        <v>93.657555133351906</v>
      </c>
      <c r="AK3418">
        <v>28.54258109201</v>
      </c>
      <c r="AL3418">
        <v>80.375264740952503</v>
      </c>
      <c r="AM3418">
        <v>95.844417387796597</v>
      </c>
      <c r="AN3418">
        <v>1.00000001675281</v>
      </c>
    </row>
    <row r="3419" spans="1:40" x14ac:dyDescent="0.25">
      <c r="A3419" t="str">
        <f>"20190304155123698"</f>
        <v>20190304155123698</v>
      </c>
      <c r="B3419" t="str">
        <f>"1551685883690383"</f>
        <v>1551685883690383</v>
      </c>
      <c r="C3419" t="s">
        <v>40</v>
      </c>
      <c r="D3419">
        <v>4.5542179999999997</v>
      </c>
      <c r="E3419">
        <v>0.5132852</v>
      </c>
      <c r="F3419" t="s">
        <v>70</v>
      </c>
      <c r="G3419">
        <v>-399.28949999999998</v>
      </c>
      <c r="H3419" s="1">
        <v>3.4066160000000001E-6</v>
      </c>
      <c r="I3419">
        <v>214.58680000000001</v>
      </c>
      <c r="J3419">
        <v>-428.05160000000001</v>
      </c>
      <c r="K3419">
        <v>1.110144</v>
      </c>
      <c r="L3419">
        <v>213.53299999999999</v>
      </c>
      <c r="M3419">
        <v>0.99961199999999995</v>
      </c>
      <c r="N3419">
        <v>-9.6748830000000004E-3</v>
      </c>
      <c r="O3419">
        <v>-2.6125929999999999E-2</v>
      </c>
      <c r="P3419">
        <v>0.98463210000000001</v>
      </c>
      <c r="Q3419">
        <v>0.157838899999999</v>
      </c>
      <c r="R3419">
        <v>7.4746030000000005E-2</v>
      </c>
      <c r="S3419">
        <v>3.0571290000000002</v>
      </c>
      <c r="T3419">
        <v>-0.116882</v>
      </c>
      <c r="U3419">
        <v>0.1102142</v>
      </c>
      <c r="V3419">
        <v>-0.1005051</v>
      </c>
      <c r="W3419">
        <v>0.16730020000000001</v>
      </c>
      <c r="X3419">
        <v>0.98076980000000002</v>
      </c>
      <c r="Y3419">
        <v>-6.2058620000000002E-2</v>
      </c>
      <c r="Z3419">
        <v>2.2315529999999998E-3</v>
      </c>
      <c r="AA3419">
        <v>0.99807000000000001</v>
      </c>
      <c r="AB3419">
        <v>27</v>
      </c>
      <c r="AC3419">
        <v>28.7621</v>
      </c>
      <c r="AD3419">
        <v>-1.1101405933840001</v>
      </c>
      <c r="AE3419">
        <v>1.0538000000000201</v>
      </c>
      <c r="AF3419">
        <v>-1.80223064224792</v>
      </c>
      <c r="AG3419">
        <v>-1.1101405933840001</v>
      </c>
      <c r="AH3419">
        <v>28.682076650558599</v>
      </c>
      <c r="AI3419">
        <v>92.212169974511895</v>
      </c>
      <c r="AJ3419">
        <v>93.595438166612496</v>
      </c>
      <c r="AK3419">
        <v>28.7600759458917</v>
      </c>
      <c r="AL3419">
        <v>80.369116241665594</v>
      </c>
      <c r="AM3419">
        <v>95.851002804368804</v>
      </c>
      <c r="AN3419">
        <v>1.0000000163190399</v>
      </c>
    </row>
    <row r="3420" spans="1:40" x14ac:dyDescent="0.25">
      <c r="A3420" t="str">
        <f>"20190304155123719"</f>
        <v>20190304155123719</v>
      </c>
      <c r="B3420" t="str">
        <f>"1551685883709906"</f>
        <v>1551685883709906</v>
      </c>
      <c r="C3420" t="s">
        <v>40</v>
      </c>
      <c r="D3420">
        <v>4.5620989999999999</v>
      </c>
      <c r="E3420">
        <v>0.51356629999999903</v>
      </c>
      <c r="F3420" t="s">
        <v>70</v>
      </c>
      <c r="G3420">
        <v>-396.57920000000001</v>
      </c>
      <c r="H3420" s="1">
        <v>1.9643349999999999E-6</v>
      </c>
      <c r="I3420">
        <v>214.59020000000001</v>
      </c>
      <c r="J3420">
        <v>-427.78280000000001</v>
      </c>
      <c r="K3420">
        <v>1.110171</v>
      </c>
      <c r="L3420">
        <v>213.52619999999999</v>
      </c>
      <c r="M3420">
        <v>0.99961849999999997</v>
      </c>
      <c r="N3420">
        <v>-9.6761509999999992E-3</v>
      </c>
      <c r="O3420">
        <v>-2.5870049999999999E-2</v>
      </c>
      <c r="P3420">
        <v>0.98458190000000001</v>
      </c>
      <c r="Q3420">
        <v>0.1580685</v>
      </c>
      <c r="R3420">
        <v>7.4920870000000001E-2</v>
      </c>
      <c r="S3420">
        <v>3.0562740000000002</v>
      </c>
      <c r="T3420">
        <v>-0.1078055</v>
      </c>
      <c r="U3420">
        <v>0.10266110000000001</v>
      </c>
      <c r="V3420">
        <v>-0.1004381</v>
      </c>
      <c r="W3420">
        <v>0.16752400000000001</v>
      </c>
      <c r="X3420">
        <v>0.98073849999999996</v>
      </c>
      <c r="Y3420">
        <v>-5.936131E-2</v>
      </c>
      <c r="Z3420">
        <v>1.9955300000000001E-3</v>
      </c>
      <c r="AA3420">
        <v>0.99823459999999997</v>
      </c>
      <c r="AB3420">
        <v>27</v>
      </c>
      <c r="AC3420">
        <v>31.203599999999899</v>
      </c>
      <c r="AD3420">
        <v>-1.110169035665</v>
      </c>
      <c r="AE3420">
        <v>1.06400000000002</v>
      </c>
      <c r="AF3420">
        <v>-1.8685578387092301</v>
      </c>
      <c r="AG3420">
        <v>-1.110169035665</v>
      </c>
      <c r="AH3420">
        <v>31.126274382359401</v>
      </c>
      <c r="AI3420">
        <v>92.039013312666697</v>
      </c>
      <c r="AJ3420">
        <v>93.435430349371998</v>
      </c>
      <c r="AK3420">
        <v>31.202066287511698</v>
      </c>
      <c r="AL3420">
        <v>80.356110254128893</v>
      </c>
      <c r="AM3420">
        <v>95.847314683931998</v>
      </c>
      <c r="AN3420">
        <v>1.0000000539449201</v>
      </c>
    </row>
    <row r="3421" spans="1:40" x14ac:dyDescent="0.25">
      <c r="A3421" t="str">
        <f>"20190304155123741"</f>
        <v>20190304155123741</v>
      </c>
      <c r="B3421" t="str">
        <f>"1551685883730415"</f>
        <v>1551685883730415</v>
      </c>
      <c r="C3421" t="s">
        <v>40</v>
      </c>
      <c r="D3421">
        <v>4.6025910000000003</v>
      </c>
      <c r="E3421">
        <v>0.51430100000000001</v>
      </c>
      <c r="F3421" t="s">
        <v>70</v>
      </c>
      <c r="G3421">
        <v>-395.0865</v>
      </c>
      <c r="H3421" s="1">
        <v>1.170001E-6</v>
      </c>
      <c r="I3421">
        <v>214.61170000000001</v>
      </c>
      <c r="J3421">
        <v>-427.51350000000002</v>
      </c>
      <c r="K3421">
        <v>1.110193</v>
      </c>
      <c r="L3421">
        <v>213.51949999999999</v>
      </c>
      <c r="M3421">
        <v>0.99962600000000001</v>
      </c>
      <c r="N3421">
        <v>-9.6777709999999999E-3</v>
      </c>
      <c r="O3421">
        <v>-2.5581070000000001E-2</v>
      </c>
      <c r="P3421">
        <v>0.98463639999999997</v>
      </c>
      <c r="Q3421">
        <v>0.15781789999999901</v>
      </c>
      <c r="R3421">
        <v>7.4731889999999995E-2</v>
      </c>
      <c r="S3421">
        <v>3.0559080000000001</v>
      </c>
      <c r="T3421">
        <v>-0.1037604</v>
      </c>
      <c r="U3421">
        <v>0.1014557</v>
      </c>
      <c r="V3421">
        <v>-9.9976670000000004E-2</v>
      </c>
      <c r="W3421">
        <v>0.16727059999999999</v>
      </c>
      <c r="X3421">
        <v>0.98082879999999995</v>
      </c>
      <c r="Y3421">
        <v>-5.8687929999999999E-2</v>
      </c>
      <c r="Z3421">
        <v>1.900622E-3</v>
      </c>
      <c r="AA3421">
        <v>0.99827460000000001</v>
      </c>
      <c r="AB3421">
        <v>27</v>
      </c>
      <c r="AC3421">
        <v>32.427</v>
      </c>
      <c r="AD3421">
        <v>-1.1101918299989999</v>
      </c>
      <c r="AE3421">
        <v>1.0922000000000101</v>
      </c>
      <c r="AF3421">
        <v>-1.9191516907697199</v>
      </c>
      <c r="AG3421">
        <v>-1.1101918299989999</v>
      </c>
      <c r="AH3421">
        <v>32.350569659253303</v>
      </c>
      <c r="AI3421">
        <v>91.962031883775296</v>
      </c>
      <c r="AJ3421">
        <v>93.3950119640091</v>
      </c>
      <c r="AK3421">
        <v>32.426455655680002</v>
      </c>
      <c r="AL3421">
        <v>80.370835904310795</v>
      </c>
      <c r="AM3421">
        <v>95.820103779138805</v>
      </c>
      <c r="AN3421">
        <v>0.99999996153904303</v>
      </c>
    </row>
    <row r="3422" spans="1:40" x14ac:dyDescent="0.25">
      <c r="A3422" t="str">
        <f>"20190304155123763"</f>
        <v>20190304155123763</v>
      </c>
      <c r="B3422" t="str">
        <f>"1551685883759679"</f>
        <v>1551685883759679</v>
      </c>
      <c r="C3422" t="s">
        <v>40</v>
      </c>
      <c r="D3422">
        <v>4.578951</v>
      </c>
      <c r="E3422">
        <v>0.51504110000000003</v>
      </c>
      <c r="F3422" t="s">
        <v>70</v>
      </c>
      <c r="G3422">
        <v>-397.19909999999999</v>
      </c>
      <c r="H3422" s="1">
        <v>2.294225E-6</v>
      </c>
      <c r="I3422">
        <v>214.45580000000001</v>
      </c>
      <c r="J3422">
        <v>-427.24270000000001</v>
      </c>
      <c r="K3422">
        <v>1.1102179999999999</v>
      </c>
      <c r="L3422">
        <v>213.5129</v>
      </c>
      <c r="M3422">
        <v>0.99963409999999997</v>
      </c>
      <c r="N3422">
        <v>-9.6797180000000003E-3</v>
      </c>
      <c r="O3422">
        <v>-2.526219E-2</v>
      </c>
      <c r="P3422">
        <v>0.98468679999999997</v>
      </c>
      <c r="Q3422">
        <v>0.1578003</v>
      </c>
      <c r="R3422">
        <v>7.4104450000000002E-2</v>
      </c>
      <c r="S3422">
        <v>3.0575869999999998</v>
      </c>
      <c r="T3422">
        <v>-0.1119767</v>
      </c>
      <c r="U3422">
        <v>9.4436649999999997E-2</v>
      </c>
      <c r="V3422">
        <v>-9.904578E-2</v>
      </c>
      <c r="W3422">
        <v>0.16725039999999999</v>
      </c>
      <c r="X3422">
        <v>0.98092679999999999</v>
      </c>
      <c r="Y3422">
        <v>-5.6056120000000001E-2</v>
      </c>
      <c r="Z3422">
        <v>1.9775999999999999E-3</v>
      </c>
      <c r="AA3422">
        <v>0.99842569999999997</v>
      </c>
      <c r="AB3422">
        <v>27</v>
      </c>
      <c r="AC3422">
        <v>30.043600000000001</v>
      </c>
      <c r="AD3422">
        <v>-1.110215705775</v>
      </c>
      <c r="AE3422">
        <v>0.94290000000000795</v>
      </c>
      <c r="AF3422">
        <v>-1.6992834755978501</v>
      </c>
      <c r="AG3422">
        <v>-1.110215705775</v>
      </c>
      <c r="AH3422">
        <v>29.969305540259501</v>
      </c>
      <c r="AI3422">
        <v>92.118158247432604</v>
      </c>
      <c r="AJ3422">
        <v>93.245241478835695</v>
      </c>
      <c r="AK3422">
        <v>30.037966272855702</v>
      </c>
      <c r="AL3422">
        <v>80.372010918110206</v>
      </c>
      <c r="AM3422">
        <v>95.7657070467111</v>
      </c>
      <c r="AN3422">
        <v>1.0000000748971001</v>
      </c>
    </row>
    <row r="3423" spans="1:40" x14ac:dyDescent="0.25">
      <c r="A3423" t="str">
        <f>"20190304155123786"</f>
        <v>20190304155123786</v>
      </c>
      <c r="B3423" t="str">
        <f>"1551685883780175"</f>
        <v>1551685883780175</v>
      </c>
      <c r="C3423" t="s">
        <v>40</v>
      </c>
      <c r="D3423">
        <v>5.2231649999999998</v>
      </c>
      <c r="E3423">
        <v>0.51509890000000003</v>
      </c>
      <c r="F3423" t="s">
        <v>70</v>
      </c>
      <c r="G3423">
        <v>-397.0256</v>
      </c>
      <c r="H3423" s="1">
        <v>2.2018880000000001E-6</v>
      </c>
      <c r="I3423">
        <v>214.36930000000001</v>
      </c>
      <c r="J3423">
        <v>-426.96890000000002</v>
      </c>
      <c r="K3423">
        <v>1.110236</v>
      </c>
      <c r="L3423">
        <v>213.50640000000001</v>
      </c>
      <c r="M3423">
        <v>0.99964280000000005</v>
      </c>
      <c r="N3423">
        <v>-9.6818040000000005E-3</v>
      </c>
      <c r="O3423">
        <v>-2.4915570000000001E-2</v>
      </c>
      <c r="P3423">
        <v>0.98477890000000001</v>
      </c>
      <c r="Q3423">
        <v>0.157753799999999</v>
      </c>
      <c r="R3423">
        <v>7.2969729999999997E-2</v>
      </c>
      <c r="S3423">
        <v>3.0581049999999999</v>
      </c>
      <c r="T3423">
        <v>-0.11235870000000001</v>
      </c>
      <c r="U3423">
        <v>8.6669919999999998E-2</v>
      </c>
      <c r="V3423">
        <v>-9.7581029999999999E-2</v>
      </c>
      <c r="W3423">
        <v>0.16720380000000001</v>
      </c>
      <c r="X3423">
        <v>0.98108150000000005</v>
      </c>
      <c r="Y3423">
        <v>-5.3173199999999997E-2</v>
      </c>
      <c r="Z3423">
        <v>1.9076989999999999E-3</v>
      </c>
      <c r="AA3423">
        <v>0.99858349999999996</v>
      </c>
      <c r="AB3423">
        <v>27</v>
      </c>
      <c r="AC3423">
        <v>29.943300000000001</v>
      </c>
      <c r="AD3423">
        <v>-1.1102337981119901</v>
      </c>
      <c r="AE3423">
        <v>0.862899999999996</v>
      </c>
      <c r="AF3423">
        <v>-1.6065146051438799</v>
      </c>
      <c r="AG3423">
        <v>-1.1102337981119901</v>
      </c>
      <c r="AH3423">
        <v>29.871470572146901</v>
      </c>
      <c r="AI3423">
        <v>92.125465330821299</v>
      </c>
      <c r="AJ3423">
        <v>93.078452914347295</v>
      </c>
      <c r="AK3423">
        <v>29.9352344638496</v>
      </c>
      <c r="AL3423">
        <v>80.374718686038193</v>
      </c>
      <c r="AM3423">
        <v>95.680112171300493</v>
      </c>
      <c r="AN3423">
        <v>1.00000003889627</v>
      </c>
    </row>
    <row r="3424" spans="1:40" x14ac:dyDescent="0.25">
      <c r="A3424" t="str">
        <f>"20190304155123809"</f>
        <v>20190304155123809</v>
      </c>
      <c r="B3424" t="str">
        <f>"1551685883799694"</f>
        <v>1551685883799694</v>
      </c>
      <c r="C3424" t="s">
        <v>40</v>
      </c>
      <c r="D3424">
        <v>4.6642070000000002</v>
      </c>
      <c r="E3424">
        <v>0.51483820000000002</v>
      </c>
      <c r="F3424" t="s">
        <v>70</v>
      </c>
      <c r="G3424">
        <v>-396.06299999999999</v>
      </c>
      <c r="H3424" s="1">
        <v>1.6896699999999999E-6</v>
      </c>
      <c r="I3424">
        <v>214.35560000000001</v>
      </c>
      <c r="J3424">
        <v>-426.68299999999999</v>
      </c>
      <c r="K3424">
        <v>1.11025</v>
      </c>
      <c r="L3424">
        <v>213.49969999999999</v>
      </c>
      <c r="M3424">
        <v>0.99965230000000005</v>
      </c>
      <c r="N3424">
        <v>-9.6840299999999997E-3</v>
      </c>
      <c r="O3424">
        <v>-2.4532269999999998E-2</v>
      </c>
      <c r="P3424">
        <v>0.98479919999999999</v>
      </c>
      <c r="Q3424">
        <v>0.15817329999999999</v>
      </c>
      <c r="R3424">
        <v>7.1776350000000003E-2</v>
      </c>
      <c r="S3424">
        <v>3.057709</v>
      </c>
      <c r="T3424">
        <v>-0.1098425</v>
      </c>
      <c r="U3424">
        <v>8.4014889999999995E-2</v>
      </c>
      <c r="V3424">
        <v>-9.6018950000000006E-2</v>
      </c>
      <c r="W3424">
        <v>0.1676232</v>
      </c>
      <c r="X3424">
        <v>0.98116400000000004</v>
      </c>
      <c r="Y3424">
        <v>-5.193101E-2</v>
      </c>
      <c r="Z3424">
        <v>1.827253E-3</v>
      </c>
      <c r="AA3424">
        <v>0.99864900000000001</v>
      </c>
      <c r="AB3424">
        <v>27</v>
      </c>
      <c r="AC3424">
        <v>30.62</v>
      </c>
      <c r="AD3424">
        <v>-1.1102483103299901</v>
      </c>
      <c r="AE3424">
        <v>0.85590000000001898</v>
      </c>
      <c r="AF3424">
        <v>-1.60474746059532</v>
      </c>
      <c r="AG3424">
        <v>-1.1102483103299901</v>
      </c>
      <c r="AH3424">
        <v>30.549652980380699</v>
      </c>
      <c r="AI3424">
        <v>92.078488154115007</v>
      </c>
      <c r="AJ3424">
        <v>93.006935231520302</v>
      </c>
      <c r="AK3424">
        <v>30.611912108598499</v>
      </c>
      <c r="AL3424">
        <v>80.350344322189898</v>
      </c>
      <c r="AM3424">
        <v>95.5892982344172</v>
      </c>
      <c r="AN3424">
        <v>0.99999998541667101</v>
      </c>
    </row>
    <row r="3425" spans="1:40" x14ac:dyDescent="0.25">
      <c r="A3425" t="str">
        <f>"20190304155123832"</f>
        <v>20190304155123832</v>
      </c>
      <c r="B3425" t="str">
        <f>"1551685883829951"</f>
        <v>1551685883829951</v>
      </c>
      <c r="C3425" t="s">
        <v>40</v>
      </c>
      <c r="D3425">
        <v>4.6410019999999896</v>
      </c>
      <c r="E3425">
        <v>0.51489629999999997</v>
      </c>
      <c r="F3425" t="s">
        <v>70</v>
      </c>
      <c r="G3425">
        <v>-395.197</v>
      </c>
      <c r="H3425" s="1">
        <v>1.2288E-6</v>
      </c>
      <c r="I3425">
        <v>214.35810000000001</v>
      </c>
      <c r="J3425">
        <v>-426.38749999999999</v>
      </c>
      <c r="K3425">
        <v>1.1102510000000001</v>
      </c>
      <c r="L3425">
        <v>213.49289999999999</v>
      </c>
      <c r="M3425">
        <v>0.9996623</v>
      </c>
      <c r="N3425">
        <v>-9.6804049999999996E-3</v>
      </c>
      <c r="O3425">
        <v>-2.41199E-2</v>
      </c>
      <c r="P3425">
        <v>0.98490489999999997</v>
      </c>
      <c r="Q3425">
        <v>0.15808120000000001</v>
      </c>
      <c r="R3425">
        <v>7.0518559999999994E-2</v>
      </c>
      <c r="S3425">
        <v>3.0575869999999998</v>
      </c>
      <c r="T3425">
        <v>-0.1078156</v>
      </c>
      <c r="U3425">
        <v>8.3358760000000004E-2</v>
      </c>
      <c r="V3425">
        <v>-9.436369E-2</v>
      </c>
      <c r="W3425">
        <v>0.16752779999999901</v>
      </c>
      <c r="X3425">
        <v>0.98134089999999996</v>
      </c>
      <c r="Y3425">
        <v>-5.1308439999999997E-2</v>
      </c>
      <c r="Z3425">
        <v>1.7693520000000001E-3</v>
      </c>
      <c r="AA3425">
        <v>0.99868129999999999</v>
      </c>
      <c r="AB3425">
        <v>28</v>
      </c>
      <c r="AC3425">
        <v>31.1905</v>
      </c>
      <c r="AD3425">
        <v>-1.1102497711999999</v>
      </c>
      <c r="AE3425">
        <v>0.86520000000001496</v>
      </c>
      <c r="AF3425">
        <v>-1.6152501434297299</v>
      </c>
      <c r="AG3425">
        <v>-1.1102497711999999</v>
      </c>
      <c r="AH3425">
        <v>31.121153468313199</v>
      </c>
      <c r="AI3425">
        <v>92.040421180285804</v>
      </c>
      <c r="AJ3425">
        <v>92.971099661571898</v>
      </c>
      <c r="AK3425">
        <v>31.1828138688381</v>
      </c>
      <c r="AL3425">
        <v>80.355889038594697</v>
      </c>
      <c r="AM3425">
        <v>95.492555268627399</v>
      </c>
      <c r="AN3425">
        <v>1.00000001588803</v>
      </c>
    </row>
    <row r="3426" spans="1:40" x14ac:dyDescent="0.25">
      <c r="A3426" t="str">
        <f>"20190304155123856"</f>
        <v>20190304155123856</v>
      </c>
      <c r="B3426" t="str">
        <f>"1551685883850446"</f>
        <v>1551685883850446</v>
      </c>
      <c r="C3426" t="s">
        <v>40</v>
      </c>
      <c r="D3426">
        <v>4.7039479999999996</v>
      </c>
      <c r="E3426">
        <v>0.51492689999999997</v>
      </c>
      <c r="F3426" t="s">
        <v>70</v>
      </c>
      <c r="G3426">
        <v>-395.9504</v>
      </c>
      <c r="H3426" s="1">
        <v>1.6297010000000001E-6</v>
      </c>
      <c r="I3426">
        <v>214.2876</v>
      </c>
      <c r="J3426">
        <v>-426.11900000000003</v>
      </c>
      <c r="K3426">
        <v>1.1102529999999999</v>
      </c>
      <c r="L3426">
        <v>213.48679999999999</v>
      </c>
      <c r="M3426">
        <v>0.99967159999999999</v>
      </c>
      <c r="N3426">
        <v>-9.6740560000000003E-3</v>
      </c>
      <c r="O3426">
        <v>-2.3737620000000001E-2</v>
      </c>
      <c r="P3426">
        <v>0.98506550000000004</v>
      </c>
      <c r="Q3426">
        <v>0.15775210000000001</v>
      </c>
      <c r="R3426">
        <v>6.8996890000000005E-2</v>
      </c>
      <c r="S3426">
        <v>3.0581670000000001</v>
      </c>
      <c r="T3426">
        <v>-0.1115522</v>
      </c>
      <c r="U3426">
        <v>7.9849240000000002E-2</v>
      </c>
      <c r="V3426">
        <v>-9.2473189999999997E-2</v>
      </c>
      <c r="W3426">
        <v>0.16719439999999999</v>
      </c>
      <c r="X3426">
        <v>0.9815777</v>
      </c>
      <c r="Y3426">
        <v>-4.977417E-2</v>
      </c>
      <c r="Z3426">
        <v>1.7841489999999901E-3</v>
      </c>
      <c r="AA3426">
        <v>0.99875890000000001</v>
      </c>
      <c r="AB3426">
        <v>28</v>
      </c>
      <c r="AC3426">
        <v>30.168600000000001</v>
      </c>
      <c r="AD3426">
        <v>-1.110251370299</v>
      </c>
      <c r="AE3426">
        <v>0.80080000000000895</v>
      </c>
      <c r="AF3426">
        <v>-1.5146884943598</v>
      </c>
      <c r="AG3426">
        <v>-1.110251370299</v>
      </c>
      <c r="AH3426">
        <v>30.100350579018201</v>
      </c>
      <c r="AI3426">
        <v>92.109730027093804</v>
      </c>
      <c r="AJ3426">
        <v>92.880767630734695</v>
      </c>
      <c r="AK3426">
        <v>30.1588800242979</v>
      </c>
      <c r="AL3426">
        <v>80.375264769575693</v>
      </c>
      <c r="AM3426">
        <v>95.381878316459606</v>
      </c>
      <c r="AN3426">
        <v>1.00000001969871</v>
      </c>
    </row>
    <row r="3427" spans="1:40" x14ac:dyDescent="0.25">
      <c r="A3427" t="str">
        <f>"20190304155123875"</f>
        <v>20190304155123875</v>
      </c>
      <c r="B3427" t="str">
        <f>"1551685883869967"</f>
        <v>1551685883869967</v>
      </c>
      <c r="C3427" t="s">
        <v>40</v>
      </c>
      <c r="D3427">
        <v>4.6410839999999904</v>
      </c>
      <c r="E3427">
        <v>0.51470090000000002</v>
      </c>
      <c r="F3427" t="s">
        <v>70</v>
      </c>
      <c r="G3427">
        <v>-396.58199999999999</v>
      </c>
      <c r="H3427" s="1">
        <v>1.9658170000000001E-6</v>
      </c>
      <c r="I3427">
        <v>214.21340000000001</v>
      </c>
      <c r="J3427">
        <v>-425.85739999999998</v>
      </c>
      <c r="K3427">
        <v>1.11025</v>
      </c>
      <c r="L3427">
        <v>213.48099999999999</v>
      </c>
      <c r="M3427">
        <v>0.99968040000000002</v>
      </c>
      <c r="N3427">
        <v>-9.6659099999999998E-3</v>
      </c>
      <c r="O3427">
        <v>-2.3360599999999999E-2</v>
      </c>
      <c r="P3427">
        <v>0.98516939999999997</v>
      </c>
      <c r="Q3427">
        <v>0.15762689999999999</v>
      </c>
      <c r="R3427">
        <v>6.778729E-2</v>
      </c>
      <c r="S3427">
        <v>3.058624</v>
      </c>
      <c r="T3427">
        <v>-0.114968899999999</v>
      </c>
      <c r="U3427">
        <v>7.5241089999999997E-2</v>
      </c>
      <c r="V3427">
        <v>-9.0897329999999998E-2</v>
      </c>
      <c r="W3427">
        <v>0.16706279999999901</v>
      </c>
      <c r="X3427">
        <v>0.98174729999999999</v>
      </c>
      <c r="Y3427">
        <v>-4.7888529999999999E-2</v>
      </c>
      <c r="Z3427">
        <v>1.7830960000000001E-3</v>
      </c>
      <c r="AA3427">
        <v>0.99885109999999999</v>
      </c>
      <c r="AB3427">
        <v>28</v>
      </c>
      <c r="AC3427">
        <v>29.275399999999902</v>
      </c>
      <c r="AD3427">
        <v>-1.1102480341830001</v>
      </c>
      <c r="AE3427">
        <v>0.73240000000001204</v>
      </c>
      <c r="AF3427">
        <v>-1.4140904114277899</v>
      </c>
      <c r="AG3427">
        <v>-1.1102480341830001</v>
      </c>
      <c r="AH3427">
        <v>29.2083174270232</v>
      </c>
      <c r="AI3427">
        <v>92.174298573819897</v>
      </c>
      <c r="AJ3427">
        <v>92.771751544868593</v>
      </c>
      <c r="AK3427">
        <v>29.263596998777199</v>
      </c>
      <c r="AL3427">
        <v>80.382912581268201</v>
      </c>
      <c r="AM3427">
        <v>95.289780436191705</v>
      </c>
      <c r="AN3427">
        <v>1.00000003240112</v>
      </c>
    </row>
    <row r="3428" spans="1:40" x14ac:dyDescent="0.25">
      <c r="A3428" t="str">
        <f>"20190304155123898"</f>
        <v>20190304155123898</v>
      </c>
      <c r="B3428" t="str">
        <f>"1551685883890465"</f>
        <v>1551685883890465</v>
      </c>
      <c r="C3428" t="s">
        <v>40</v>
      </c>
      <c r="D3428">
        <v>4.6205239999999996</v>
      </c>
      <c r="E3428">
        <v>0.51437909999999998</v>
      </c>
      <c r="F3428" t="s">
        <v>70</v>
      </c>
      <c r="G3428">
        <v>-396.80579999999998</v>
      </c>
      <c r="H3428" s="1">
        <v>2.0849059999999999E-6</v>
      </c>
      <c r="I3428">
        <v>214.1756</v>
      </c>
      <c r="J3428">
        <v>-425.5779</v>
      </c>
      <c r="K3428">
        <v>1.1102529999999999</v>
      </c>
      <c r="L3428">
        <v>213.47489999999999</v>
      </c>
      <c r="M3428">
        <v>0.99968999999999997</v>
      </c>
      <c r="N3428">
        <v>-9.6503509999999997E-3</v>
      </c>
      <c r="O3428">
        <v>-2.2955670000000001E-2</v>
      </c>
      <c r="P3428">
        <v>0.98516950000000003</v>
      </c>
      <c r="Q3428">
        <v>0.1581158</v>
      </c>
      <c r="R3428">
        <v>6.6639229999999994E-2</v>
      </c>
      <c r="S3428">
        <v>3.0588069999999998</v>
      </c>
      <c r="T3428">
        <v>-0.11689670000000001</v>
      </c>
      <c r="U3428">
        <v>7.313538E-2</v>
      </c>
      <c r="V3428">
        <v>-8.9353050000000003E-2</v>
      </c>
      <c r="W3428">
        <v>0.1675372</v>
      </c>
      <c r="X3428">
        <v>0.98180820000000002</v>
      </c>
      <c r="Y3428">
        <v>-4.6794679999999998E-2</v>
      </c>
      <c r="Z3428">
        <v>1.775041E-3</v>
      </c>
      <c r="AA3428">
        <v>0.99890299999999999</v>
      </c>
      <c r="AB3428">
        <v>28</v>
      </c>
      <c r="AC3428">
        <v>28.772099999999998</v>
      </c>
      <c r="AD3428">
        <v>-1.1102509150939901</v>
      </c>
      <c r="AE3428">
        <v>0.70070000000001098</v>
      </c>
      <c r="AF3428">
        <v>-1.3590064830694799</v>
      </c>
      <c r="AG3428">
        <v>-1.1102509150939901</v>
      </c>
      <c r="AH3428">
        <v>28.705713686707199</v>
      </c>
      <c r="AI3428">
        <v>92.212449351659899</v>
      </c>
      <c r="AJ3428">
        <v>92.710514036403694</v>
      </c>
      <c r="AK3428">
        <v>28.759303781188802</v>
      </c>
      <c r="AL3428">
        <v>80.3553426920692</v>
      </c>
      <c r="AM3428">
        <v>95.200087061830899</v>
      </c>
      <c r="AN3428">
        <v>1.0000000112576899</v>
      </c>
    </row>
    <row r="3429" spans="1:40" x14ac:dyDescent="0.25">
      <c r="A3429" t="str">
        <f>"20190304155123920"</f>
        <v>20190304155123920</v>
      </c>
      <c r="B3429" t="str">
        <f>"1551685883909982"</f>
        <v>1551685883909982</v>
      </c>
      <c r="C3429" t="s">
        <v>40</v>
      </c>
      <c r="D3429">
        <v>4.698226</v>
      </c>
      <c r="E3429">
        <v>0.51413739999999997</v>
      </c>
      <c r="F3429" t="s">
        <v>70</v>
      </c>
      <c r="G3429">
        <v>-396.72230000000002</v>
      </c>
      <c r="H3429" s="1">
        <v>2.040494E-6</v>
      </c>
      <c r="I3429">
        <v>214.1585</v>
      </c>
      <c r="J3429">
        <v>-425.3039</v>
      </c>
      <c r="K3429">
        <v>1.110255</v>
      </c>
      <c r="L3429">
        <v>213.46899999999999</v>
      </c>
      <c r="M3429">
        <v>0.99969920000000001</v>
      </c>
      <c r="N3429">
        <v>-9.6281319999999993E-3</v>
      </c>
      <c r="O3429">
        <v>-2.2558600000000002E-2</v>
      </c>
      <c r="P3429">
        <v>0.98494950000000003</v>
      </c>
      <c r="Q3429">
        <v>0.15980249999999999</v>
      </c>
      <c r="R3429">
        <v>6.5860230000000006E-2</v>
      </c>
      <c r="S3429">
        <v>3.0592039999999998</v>
      </c>
      <c r="T3429">
        <v>-0.1177064</v>
      </c>
      <c r="U3429">
        <v>7.2479249999999995E-2</v>
      </c>
      <c r="V3429">
        <v>-8.8180090000000003E-2</v>
      </c>
      <c r="W3429">
        <v>0.16920109999999999</v>
      </c>
      <c r="X3429">
        <v>0.98162890000000003</v>
      </c>
      <c r="Y3429">
        <v>-4.6180739999999998E-2</v>
      </c>
      <c r="Z3429">
        <v>1.7608490000000001E-3</v>
      </c>
      <c r="AA3429">
        <v>0.99893149999999997</v>
      </c>
      <c r="AB3429">
        <v>28</v>
      </c>
      <c r="AC3429">
        <v>28.581599999999899</v>
      </c>
      <c r="AD3429">
        <v>-1.110252959506</v>
      </c>
      <c r="AE3429">
        <v>0.68949999999998102</v>
      </c>
      <c r="AF3429">
        <v>-1.3321063697725699</v>
      </c>
      <c r="AG3429">
        <v>-1.110252959506</v>
      </c>
      <c r="AH3429">
        <v>28.515767633818399</v>
      </c>
      <c r="AI3429">
        <v>92.227241543759504</v>
      </c>
      <c r="AJ3429">
        <v>92.674612397034593</v>
      </c>
      <c r="AK3429">
        <v>28.568447153466501</v>
      </c>
      <c r="AL3429">
        <v>80.258627604211497</v>
      </c>
      <c r="AM3429">
        <v>95.1331235778473</v>
      </c>
      <c r="AN3429">
        <v>1.00000001891441</v>
      </c>
    </row>
    <row r="3430" spans="1:40" x14ac:dyDescent="0.25">
      <c r="A3430" t="str">
        <f>"20190304155123942"</f>
        <v>20190304155123942</v>
      </c>
      <c r="B3430" t="str">
        <f>"1551685883940239"</f>
        <v>1551685883940239</v>
      </c>
      <c r="C3430" t="s">
        <v>40</v>
      </c>
      <c r="D3430">
        <v>4.731865</v>
      </c>
      <c r="E3430">
        <v>0.5137195</v>
      </c>
      <c r="F3430" t="s">
        <v>70</v>
      </c>
      <c r="G3430">
        <v>-395.18700000000001</v>
      </c>
      <c r="H3430" s="1">
        <v>1.22347E-6</v>
      </c>
      <c r="I3430">
        <v>214.17769999999999</v>
      </c>
      <c r="J3430">
        <v>-425.03089999999997</v>
      </c>
      <c r="K3430">
        <v>1.110269</v>
      </c>
      <c r="L3430">
        <v>213.4633</v>
      </c>
      <c r="M3430">
        <v>0.99970820000000005</v>
      </c>
      <c r="N3430">
        <v>-9.6046139999999992E-3</v>
      </c>
      <c r="O3430">
        <v>-2.2164030000000001E-2</v>
      </c>
      <c r="P3430">
        <v>0.98459140000000001</v>
      </c>
      <c r="Q3430">
        <v>0.16190959999999999</v>
      </c>
      <c r="R3430">
        <v>6.6068929999999998E-2</v>
      </c>
      <c r="S3430">
        <v>3.0593569999999999</v>
      </c>
      <c r="T3430">
        <v>-0.1127826</v>
      </c>
      <c r="U3430">
        <v>7.1990970000000001E-2</v>
      </c>
      <c r="V3430">
        <v>-8.7994909999999996E-2</v>
      </c>
      <c r="W3430">
        <v>0.17128170000000001</v>
      </c>
      <c r="X3430">
        <v>0.98128459999999995</v>
      </c>
      <c r="Y3430">
        <v>-4.5630749999999998E-2</v>
      </c>
      <c r="Z3430">
        <v>1.6638320000000001E-3</v>
      </c>
      <c r="AA3430">
        <v>0.99895699999999998</v>
      </c>
      <c r="AB3430">
        <v>28</v>
      </c>
      <c r="AC3430">
        <v>29.843900000000001</v>
      </c>
      <c r="AD3430">
        <v>-1.11026777653</v>
      </c>
      <c r="AE3430">
        <v>0.71439999999998305</v>
      </c>
      <c r="AF3430">
        <v>-1.37381579538845</v>
      </c>
      <c r="AG3430">
        <v>-1.11026777653</v>
      </c>
      <c r="AH3430">
        <v>29.7795413254584</v>
      </c>
      <c r="AI3430">
        <v>92.132897746413207</v>
      </c>
      <c r="AJ3430">
        <v>92.641346169096195</v>
      </c>
      <c r="AK3430">
        <v>29.831881367589698</v>
      </c>
      <c r="AL3430">
        <v>80.137651796468205</v>
      </c>
      <c r="AM3430">
        <v>95.124189034136506</v>
      </c>
      <c r="AN3430">
        <v>0.99999999556897901</v>
      </c>
    </row>
    <row r="3431" spans="1:40" x14ac:dyDescent="0.25">
      <c r="A3431" t="str">
        <f>"20190304155123964"</f>
        <v>20190304155123964</v>
      </c>
      <c r="B3431" t="str">
        <f>"1551685883959759"</f>
        <v>1551685883959759</v>
      </c>
      <c r="C3431" t="s">
        <v>40</v>
      </c>
      <c r="D3431">
        <v>4.7989730000000002</v>
      </c>
      <c r="E3431">
        <v>0.5136944</v>
      </c>
      <c r="F3431" t="s">
        <v>70</v>
      </c>
      <c r="G3431">
        <v>-393.78969999999998</v>
      </c>
      <c r="H3431" s="1">
        <v>4.7989779999999896E-7</v>
      </c>
      <c r="I3431">
        <v>214.23500000000001</v>
      </c>
      <c r="J3431">
        <v>-424.75470000000001</v>
      </c>
      <c r="K3431">
        <v>1.1102719999999999</v>
      </c>
      <c r="L3431">
        <v>213.45760000000001</v>
      </c>
      <c r="M3431">
        <v>0.99971719999999997</v>
      </c>
      <c r="N3431">
        <v>-9.5826290000000005E-3</v>
      </c>
      <c r="O3431">
        <v>-2.1766489999999999E-2</v>
      </c>
      <c r="P3431">
        <v>0.98407860000000003</v>
      </c>
      <c r="Q3431">
        <v>0.16463159999999999</v>
      </c>
      <c r="R3431">
        <v>6.6974919999999993E-2</v>
      </c>
      <c r="S3431">
        <v>3.059723</v>
      </c>
      <c r="T3431">
        <v>-0.1087384</v>
      </c>
      <c r="U3431">
        <v>7.5576779999999996E-2</v>
      </c>
      <c r="V3431">
        <v>-8.8500389999999998E-2</v>
      </c>
      <c r="W3431">
        <v>0.17397670000000001</v>
      </c>
      <c r="X3431">
        <v>0.98076490000000005</v>
      </c>
      <c r="Y3431">
        <v>-4.64035E-2</v>
      </c>
      <c r="Z3431">
        <v>1.611328E-3</v>
      </c>
      <c r="AA3431">
        <v>0.99892150000000002</v>
      </c>
      <c r="AB3431">
        <v>28</v>
      </c>
      <c r="AC3431">
        <v>30.965</v>
      </c>
      <c r="AD3431">
        <v>-1.1102715201022</v>
      </c>
      <c r="AE3431">
        <v>0.77739999999999998</v>
      </c>
      <c r="AF3431">
        <v>-1.4493838856085299</v>
      </c>
      <c r="AG3431">
        <v>-1.1102715201022</v>
      </c>
      <c r="AH3431">
        <v>30.901038812569201</v>
      </c>
      <c r="AI3431">
        <v>92.055489130166094</v>
      </c>
      <c r="AJ3431">
        <v>92.685435980174503</v>
      </c>
      <c r="AK3431">
        <v>30.9549287867396</v>
      </c>
      <c r="AL3431">
        <v>79.980886121321305</v>
      </c>
      <c r="AM3431">
        <v>95.156182559845107</v>
      </c>
      <c r="AN3431">
        <v>1.00000000012252</v>
      </c>
    </row>
    <row r="3432" spans="1:40" x14ac:dyDescent="0.25">
      <c r="A3432" t="str">
        <f>"20190304155123998"</f>
        <v>20190304155123998</v>
      </c>
      <c r="B3432" t="str">
        <f>"1551685883990014"</f>
        <v>1551685883990014</v>
      </c>
      <c r="C3432" t="s">
        <v>40</v>
      </c>
      <c r="D3432">
        <v>4.7441319999999996</v>
      </c>
      <c r="E3432">
        <v>0.51366559999999895</v>
      </c>
      <c r="F3432" t="s">
        <v>70</v>
      </c>
      <c r="G3432">
        <v>-391.06729999999999</v>
      </c>
      <c r="H3432" s="1">
        <v>-9.6881559999999999E-7</v>
      </c>
      <c r="I3432">
        <v>214.3227</v>
      </c>
      <c r="J3432">
        <v>-424.33</v>
      </c>
      <c r="K3432">
        <v>1.110277</v>
      </c>
      <c r="L3432">
        <v>213.44909999999999</v>
      </c>
      <c r="M3432">
        <v>0.99973069999999997</v>
      </c>
      <c r="N3432">
        <v>-9.5435850000000003E-3</v>
      </c>
      <c r="O3432">
        <v>-2.1157289999999999E-2</v>
      </c>
      <c r="P3432">
        <v>0.98312619999999895</v>
      </c>
      <c r="Q3432">
        <v>0.1688326</v>
      </c>
      <c r="R3432">
        <v>7.0417750000000001E-2</v>
      </c>
      <c r="S3432">
        <v>3.0600589999999999</v>
      </c>
      <c r="T3432">
        <v>-0.10085379999999999</v>
      </c>
      <c r="U3432">
        <v>7.8582760000000001E-2</v>
      </c>
      <c r="V3432">
        <v>-9.1326859999999996E-2</v>
      </c>
      <c r="W3432">
        <v>0.17812800000000001</v>
      </c>
      <c r="X3432">
        <v>0.97976010000000002</v>
      </c>
      <c r="Y3432">
        <v>-4.6778680000000003E-2</v>
      </c>
      <c r="Z3432">
        <v>1.4890329999999901E-3</v>
      </c>
      <c r="AA3432">
        <v>0.99890420000000002</v>
      </c>
      <c r="AB3432">
        <v>28</v>
      </c>
      <c r="AC3432">
        <v>33.262699999999903</v>
      </c>
      <c r="AD3432">
        <v>-1.1102779688155999</v>
      </c>
      <c r="AE3432">
        <v>0.87360000000001004</v>
      </c>
      <c r="AF3432">
        <v>-1.5754309357965699</v>
      </c>
      <c r="AG3432">
        <v>-1.1102779688155999</v>
      </c>
      <c r="AH3432">
        <v>33.199805461434799</v>
      </c>
      <c r="AI3432">
        <v>91.913237719073607</v>
      </c>
      <c r="AJ3432">
        <v>92.716819592561293</v>
      </c>
      <c r="AK3432">
        <v>33.2557030068321</v>
      </c>
      <c r="AL3432">
        <v>79.739260123930507</v>
      </c>
      <c r="AM3432">
        <v>95.325351686944003</v>
      </c>
      <c r="AN3432">
        <v>1.00000001664673</v>
      </c>
    </row>
    <row r="3433" spans="1:40" x14ac:dyDescent="0.25">
      <c r="A3433" t="str">
        <f>"20190304155124022"</f>
        <v>20190304155124022</v>
      </c>
      <c r="B3433" t="str">
        <f>"1551685884010510"</f>
        <v>1551685884010510</v>
      </c>
      <c r="C3433" t="s">
        <v>40</v>
      </c>
      <c r="D3433">
        <v>4.79054</v>
      </c>
      <c r="E3433">
        <v>0.5247638</v>
      </c>
      <c r="F3433" t="s">
        <v>70</v>
      </c>
      <c r="G3433">
        <v>-387.4864</v>
      </c>
      <c r="H3433" s="1">
        <v>2.4515970000000001E-6</v>
      </c>
      <c r="I3433">
        <v>214.5138</v>
      </c>
      <c r="J3433">
        <v>-424.03710000000001</v>
      </c>
      <c r="K3433">
        <v>1.1102829999999999</v>
      </c>
      <c r="L3433">
        <v>213.4434</v>
      </c>
      <c r="M3433">
        <v>0.99973959999999995</v>
      </c>
      <c r="N3433">
        <v>-9.5152670000000009E-3</v>
      </c>
      <c r="O3433">
        <v>-2.0738510000000002E-2</v>
      </c>
      <c r="P3433">
        <v>0.98258639999999997</v>
      </c>
      <c r="Q3433">
        <v>0.17078380000000001</v>
      </c>
      <c r="R3433">
        <v>7.3190450000000004E-2</v>
      </c>
      <c r="S3433">
        <v>3.0609739999999999</v>
      </c>
      <c r="T3433">
        <v>-9.2242000000000005E-2</v>
      </c>
      <c r="U3433">
        <v>8.8455199999999998E-2</v>
      </c>
      <c r="V3433">
        <v>-9.3678360000000002E-2</v>
      </c>
      <c r="W3433">
        <v>0.18004439999999999</v>
      </c>
      <c r="X3433">
        <v>0.97918760000000005</v>
      </c>
      <c r="Y3433">
        <v>-4.9576259999999997E-2</v>
      </c>
      <c r="Z3433">
        <v>1.410084E-3</v>
      </c>
      <c r="AA3433">
        <v>0.99876929999999997</v>
      </c>
      <c r="AB3433">
        <v>28</v>
      </c>
      <c r="AC3433">
        <v>36.550699999999999</v>
      </c>
      <c r="AD3433">
        <v>-1.1102805484029901</v>
      </c>
      <c r="AE3433">
        <v>1.0704</v>
      </c>
      <c r="AF3433">
        <v>-1.8265272425078001</v>
      </c>
      <c r="AG3433">
        <v>-1.1102805484029901</v>
      </c>
      <c r="AH3433">
        <v>36.4870002108471</v>
      </c>
      <c r="AI3433">
        <v>91.740764669205205</v>
      </c>
      <c r="AJ3433">
        <v>92.865815611828694</v>
      </c>
      <c r="AK3433">
        <v>36.549556892664803</v>
      </c>
      <c r="AL3433">
        <v>79.627653890157802</v>
      </c>
      <c r="AM3433">
        <v>95.464824893756202</v>
      </c>
      <c r="AN3433">
        <v>0.99999998854870398</v>
      </c>
    </row>
    <row r="3434" spans="1:40" x14ac:dyDescent="0.25">
      <c r="A3434" t="str">
        <f>"20190304155124045"</f>
        <v>20190304155124045</v>
      </c>
      <c r="B3434" t="str">
        <f>"1551685884039790"</f>
        <v>1551685884039790</v>
      </c>
      <c r="C3434" t="s">
        <v>40</v>
      </c>
      <c r="D3434">
        <v>4.7145149999999996</v>
      </c>
      <c r="E3434">
        <v>0.51947639999999995</v>
      </c>
      <c r="F3434" t="s">
        <v>72</v>
      </c>
      <c r="G3434">
        <v>-401.54050000000001</v>
      </c>
      <c r="H3434" s="1">
        <v>7.9522339999999995E-6</v>
      </c>
      <c r="I3434">
        <v>213.4881</v>
      </c>
      <c r="J3434">
        <v>-423.75279999999998</v>
      </c>
      <c r="K3434">
        <v>1.110285</v>
      </c>
      <c r="L3434">
        <v>213.43790000000001</v>
      </c>
      <c r="M3434">
        <v>0.99974830000000003</v>
      </c>
      <c r="N3434">
        <v>-9.4902130000000008E-3</v>
      </c>
      <c r="O3434">
        <v>-2.0332380000000001E-2</v>
      </c>
      <c r="P3434">
        <v>0.98202579999999995</v>
      </c>
      <c r="Q3434">
        <v>0.1728083</v>
      </c>
      <c r="R3434">
        <v>7.5912160000000006E-2</v>
      </c>
      <c r="S3434">
        <v>3.0791930000000001</v>
      </c>
      <c r="T3434">
        <v>-0.151967299999999</v>
      </c>
      <c r="U3434">
        <v>6.1187739999999996E-3</v>
      </c>
      <c r="V3434">
        <v>-9.599133E-2</v>
      </c>
      <c r="W3434">
        <v>0.18203649999999999</v>
      </c>
      <c r="X3434">
        <v>0.97859510000000005</v>
      </c>
      <c r="Y3434">
        <v>-2.2271510000000001E-2</v>
      </c>
      <c r="Z3434">
        <v>1.4649349999999999E-3</v>
      </c>
      <c r="AA3434">
        <v>0.9997509</v>
      </c>
      <c r="AB3434">
        <v>28</v>
      </c>
      <c r="AC3434">
        <v>22.2122999999999</v>
      </c>
      <c r="AD3434">
        <v>-1.110277047766</v>
      </c>
      <c r="AE3434">
        <v>5.0199999999989503E-2</v>
      </c>
      <c r="AF3434">
        <v>-0.500588152387346</v>
      </c>
      <c r="AG3434">
        <v>-1.110277047766</v>
      </c>
      <c r="AH3434">
        <v>22.1513426589079</v>
      </c>
      <c r="AI3434">
        <v>92.868665872991997</v>
      </c>
      <c r="AJ3434">
        <v>91.294581002836196</v>
      </c>
      <c r="AK3434">
        <v>22.184798516404399</v>
      </c>
      <c r="AL3434">
        <v>79.511597265126795</v>
      </c>
      <c r="AM3434">
        <v>95.602275664802306</v>
      </c>
      <c r="AN3434">
        <v>0.99999999625571401</v>
      </c>
    </row>
    <row r="3435" spans="1:40" x14ac:dyDescent="0.25">
      <c r="A3435" t="str">
        <f>"20190304155124067"</f>
        <v>20190304155124067</v>
      </c>
      <c r="B3435" t="str">
        <f>"1551685884060287"</f>
        <v>1551685884060287</v>
      </c>
      <c r="C3435" t="s">
        <v>40</v>
      </c>
      <c r="D3435">
        <v>4.6548389999999999</v>
      </c>
      <c r="E3435">
        <v>0.51829060000000005</v>
      </c>
      <c r="F3435" t="s">
        <v>70</v>
      </c>
      <c r="G3435">
        <v>-396.76870000000002</v>
      </c>
      <c r="H3435" s="1">
        <v>2.0651590000000001E-6</v>
      </c>
      <c r="I3435">
        <v>213.93559999999999</v>
      </c>
      <c r="J3435">
        <v>-423.47179999999997</v>
      </c>
      <c r="K3435">
        <v>1.11029</v>
      </c>
      <c r="L3435">
        <v>213.43260000000001</v>
      </c>
      <c r="M3435">
        <v>0.9997566</v>
      </c>
      <c r="N3435">
        <v>-9.4682459999999996E-3</v>
      </c>
      <c r="O3435">
        <v>-1.9931270000000001E-2</v>
      </c>
      <c r="P3435">
        <v>0.9815043</v>
      </c>
      <c r="Q3435">
        <v>0.17471979999999901</v>
      </c>
      <c r="R3435">
        <v>7.8246979999999994E-2</v>
      </c>
      <c r="S3435">
        <v>3.072784</v>
      </c>
      <c r="T3435">
        <v>-0.12643219999999999</v>
      </c>
      <c r="U3435">
        <v>5.6671140000000002E-2</v>
      </c>
      <c r="V3435">
        <v>-9.7923049999999998E-2</v>
      </c>
      <c r="W3435">
        <v>0.1839201</v>
      </c>
      <c r="X3435">
        <v>0.97805140000000002</v>
      </c>
      <c r="Y3435">
        <v>-3.831503E-2</v>
      </c>
      <c r="Z3435">
        <v>1.60038E-3</v>
      </c>
      <c r="AA3435">
        <v>0.99926440000000005</v>
      </c>
      <c r="AB3435">
        <v>28</v>
      </c>
      <c r="AC3435">
        <v>26.7030999999999</v>
      </c>
      <c r="AD3435">
        <v>-1.110287934841</v>
      </c>
      <c r="AE3435">
        <v>0.50299999999998501</v>
      </c>
      <c r="AF3435">
        <v>-1.03336472200666</v>
      </c>
      <c r="AG3435">
        <v>-1.110287934841</v>
      </c>
      <c r="AH3435">
        <v>26.641726932139601</v>
      </c>
      <c r="AI3435">
        <v>92.384616669562703</v>
      </c>
      <c r="AJ3435">
        <v>92.221243852720093</v>
      </c>
      <c r="AK3435">
        <v>26.6848682941032</v>
      </c>
      <c r="AL3435">
        <v>79.401821972216098</v>
      </c>
      <c r="AM3435">
        <v>95.717432018282196</v>
      </c>
      <c r="AN3435">
        <v>1.0000000339736299</v>
      </c>
    </row>
    <row r="3436" spans="1:40" x14ac:dyDescent="0.25">
      <c r="A3436" t="str">
        <f>"20190304155124087"</f>
        <v>20190304155124087</v>
      </c>
      <c r="B3436" t="str">
        <f>"1551685884079808"</f>
        <v>1551685884079808</v>
      </c>
      <c r="C3436" t="s">
        <v>40</v>
      </c>
      <c r="D3436">
        <v>4.6881440000000003</v>
      </c>
      <c r="E3436">
        <v>0.51813699999999996</v>
      </c>
      <c r="F3436" t="s">
        <v>70</v>
      </c>
      <c r="G3436">
        <v>-395.49</v>
      </c>
      <c r="H3436" s="1">
        <v>1.3847219999999901E-6</v>
      </c>
      <c r="I3436">
        <v>214.09440000000001</v>
      </c>
      <c r="J3436">
        <v>-423.21129999999999</v>
      </c>
      <c r="K3436">
        <v>1.1102959999999999</v>
      </c>
      <c r="L3436">
        <v>213.42779999999999</v>
      </c>
      <c r="M3436">
        <v>0.99976410000000004</v>
      </c>
      <c r="N3436">
        <v>-9.4501329999999995E-3</v>
      </c>
      <c r="O3436">
        <v>-1.9559739999999999E-2</v>
      </c>
      <c r="P3436">
        <v>0.98094919999999997</v>
      </c>
      <c r="Q3436">
        <v>0.17692099999999999</v>
      </c>
      <c r="R3436">
        <v>8.0235280000000006E-2</v>
      </c>
      <c r="S3436">
        <v>3.0724490000000002</v>
      </c>
      <c r="T3436">
        <v>-0.1219118</v>
      </c>
      <c r="U3436">
        <v>7.2662350000000001E-2</v>
      </c>
      <c r="V3436">
        <v>-9.9537929999999997E-2</v>
      </c>
      <c r="W3436">
        <v>0.18609719999999999</v>
      </c>
      <c r="X3436">
        <v>0.97747640000000002</v>
      </c>
      <c r="Y3436">
        <v>-4.3142720000000002E-2</v>
      </c>
      <c r="Z3436">
        <v>1.6504009999999999E-3</v>
      </c>
      <c r="AA3436">
        <v>0.9990675</v>
      </c>
      <c r="AB3436">
        <v>28</v>
      </c>
      <c r="AC3436">
        <v>27.7212999999999</v>
      </c>
      <c r="AD3436">
        <v>-1.110294615278</v>
      </c>
      <c r="AE3436">
        <v>0.66660000000001596</v>
      </c>
      <c r="AF3436">
        <v>-1.2067832940613501</v>
      </c>
      <c r="AG3436">
        <v>-1.110294615278</v>
      </c>
      <c r="AH3436">
        <v>27.658613696541501</v>
      </c>
      <c r="AI3436">
        <v>92.296596996738202</v>
      </c>
      <c r="AJ3436">
        <v>92.498308997019194</v>
      </c>
      <c r="AK3436">
        <v>27.707183033755999</v>
      </c>
      <c r="AL3436">
        <v>79.274892167725795</v>
      </c>
      <c r="AM3436">
        <v>95.8144748594014</v>
      </c>
      <c r="AN3436">
        <v>1.0000000399567399</v>
      </c>
    </row>
    <row r="3437" spans="1:40" x14ac:dyDescent="0.25">
      <c r="A3437" t="str">
        <f>"20190304155124111"</f>
        <v>20190304155124111</v>
      </c>
      <c r="B3437" t="str">
        <f>"1551685884100303"</f>
        <v>1551685884100303</v>
      </c>
      <c r="C3437" t="s">
        <v>40</v>
      </c>
      <c r="D3437">
        <v>4.7416130000000001</v>
      </c>
      <c r="E3437">
        <v>0.51883679999999999</v>
      </c>
      <c r="F3437" t="s">
        <v>70</v>
      </c>
      <c r="G3437">
        <v>-392.64229999999998</v>
      </c>
      <c r="H3437" s="1">
        <v>-1.307034E-7</v>
      </c>
      <c r="I3437">
        <v>214.21850000000001</v>
      </c>
      <c r="J3437">
        <v>-422.91829999999999</v>
      </c>
      <c r="K3437">
        <v>1.110303</v>
      </c>
      <c r="L3437">
        <v>213.42250000000001</v>
      </c>
      <c r="M3437">
        <v>0.99977229999999995</v>
      </c>
      <c r="N3437">
        <v>-9.4322039999999996E-3</v>
      </c>
      <c r="O3437">
        <v>-1.9141829999999999E-2</v>
      </c>
      <c r="P3437">
        <v>0.98043639999999999</v>
      </c>
      <c r="Q3437">
        <v>0.17905270000000001</v>
      </c>
      <c r="R3437">
        <v>8.1759079999999998E-2</v>
      </c>
      <c r="S3437">
        <v>3.071869</v>
      </c>
      <c r="T3437">
        <v>-0.1115733</v>
      </c>
      <c r="U3437">
        <v>7.9452510000000004E-2</v>
      </c>
      <c r="V3437">
        <v>-0.1006442</v>
      </c>
      <c r="W3437">
        <v>0.1882055</v>
      </c>
      <c r="X3437">
        <v>0.97695929999999997</v>
      </c>
      <c r="Y3437">
        <v>-4.4943219999999999E-2</v>
      </c>
      <c r="Z3437">
        <v>1.542311E-3</v>
      </c>
      <c r="AA3437">
        <v>0.99898830000000005</v>
      </c>
      <c r="AB3437">
        <v>28</v>
      </c>
      <c r="AC3437">
        <v>30.276</v>
      </c>
      <c r="AD3437">
        <v>-1.1103031307033999</v>
      </c>
      <c r="AE3437">
        <v>0.79599999999999205</v>
      </c>
      <c r="AF3437">
        <v>-1.37357193660236</v>
      </c>
      <c r="AG3437">
        <v>-1.1103031307033999</v>
      </c>
      <c r="AH3437">
        <v>30.214607519354299</v>
      </c>
      <c r="AI3437">
        <v>92.102344900502899</v>
      </c>
      <c r="AJ3437">
        <v>92.602904129201704</v>
      </c>
      <c r="AK3437">
        <v>30.2661854295465</v>
      </c>
      <c r="AL3437">
        <v>79.151922494898301</v>
      </c>
      <c r="AM3437">
        <v>95.881736871988196</v>
      </c>
      <c r="AN3437">
        <v>1.0000000195401899</v>
      </c>
    </row>
    <row r="3438" spans="1:40" x14ac:dyDescent="0.25">
      <c r="A3438" t="str">
        <f>"20190304155124132"</f>
        <v>20190304155124132</v>
      </c>
      <c r="B3438" t="str">
        <f>"1551685884129583"</f>
        <v>1551685884129583</v>
      </c>
      <c r="C3438" t="s">
        <v>40</v>
      </c>
      <c r="D3438">
        <v>4.6774750000000003</v>
      </c>
      <c r="E3438">
        <v>0.51890119999999995</v>
      </c>
      <c r="F3438" t="s">
        <v>70</v>
      </c>
      <c r="G3438">
        <v>-391.46420000000001</v>
      </c>
      <c r="H3438" s="1">
        <v>-7.5762399999999998E-7</v>
      </c>
      <c r="I3438">
        <v>214.2167</v>
      </c>
      <c r="J3438">
        <v>-422.64339999999999</v>
      </c>
      <c r="K3438">
        <v>1.1103080000000001</v>
      </c>
      <c r="L3438">
        <v>213.4177</v>
      </c>
      <c r="M3438">
        <v>0.99977990000000005</v>
      </c>
      <c r="N3438">
        <v>-9.4178490000000007E-3</v>
      </c>
      <c r="O3438">
        <v>-1.8749809999999999E-2</v>
      </c>
      <c r="P3438">
        <v>0.98003479999999998</v>
      </c>
      <c r="Q3438">
        <v>0.18055289999999999</v>
      </c>
      <c r="R3438">
        <v>8.3261459999999995E-2</v>
      </c>
      <c r="S3438">
        <v>3.0732119999999998</v>
      </c>
      <c r="T3438">
        <v>-0.1084816</v>
      </c>
      <c r="U3438">
        <v>7.7590939999999997E-2</v>
      </c>
      <c r="V3438">
        <v>-0.1017564</v>
      </c>
      <c r="W3438">
        <v>0.1896871</v>
      </c>
      <c r="X3438">
        <v>0.97655740000000002</v>
      </c>
      <c r="Y3438">
        <v>-4.3938770000000002E-2</v>
      </c>
      <c r="Z3438">
        <v>1.4671930000000001E-3</v>
      </c>
      <c r="AA3438">
        <v>0.99903319999999995</v>
      </c>
      <c r="AB3438">
        <v>28</v>
      </c>
      <c r="AC3438">
        <v>31.179199999999899</v>
      </c>
      <c r="AD3438">
        <v>-1.1103087576240001</v>
      </c>
      <c r="AE3438">
        <v>0.79900000000000604</v>
      </c>
      <c r="AF3438">
        <v>-1.3817384542122799</v>
      </c>
      <c r="AG3438">
        <v>-1.1103087576240001</v>
      </c>
      <c r="AH3438">
        <v>31.119299805026799</v>
      </c>
      <c r="AI3438">
        <v>92.041385754523304</v>
      </c>
      <c r="AJ3438">
        <v>92.542339252684002</v>
      </c>
      <c r="AK3438">
        <v>31.169741850843799</v>
      </c>
      <c r="AL3438">
        <v>79.065475255983699</v>
      </c>
      <c r="AM3438">
        <v>95.948701267182798</v>
      </c>
      <c r="AN3438">
        <v>0.99999995817106402</v>
      </c>
    </row>
    <row r="3439" spans="1:40" x14ac:dyDescent="0.25">
      <c r="A3439" t="str">
        <f>"20190304155124154"</f>
        <v>20190304155124154</v>
      </c>
      <c r="B3439" t="str">
        <f>"1551685884150079"</f>
        <v>1551685884150079</v>
      </c>
      <c r="C3439" t="s">
        <v>40</v>
      </c>
      <c r="D3439">
        <v>4.6867679999999998</v>
      </c>
      <c r="E3439">
        <v>0.51904669999999997</v>
      </c>
      <c r="F3439" t="s">
        <v>70</v>
      </c>
      <c r="G3439">
        <v>-389.3125</v>
      </c>
      <c r="H3439" s="1">
        <v>3.432823E-6</v>
      </c>
      <c r="I3439">
        <v>214.297</v>
      </c>
      <c r="J3439">
        <v>-422.36500000000001</v>
      </c>
      <c r="K3439">
        <v>1.110317</v>
      </c>
      <c r="L3439">
        <v>213.41290000000001</v>
      </c>
      <c r="M3439">
        <v>0.99978739999999999</v>
      </c>
      <c r="N3439">
        <v>-9.4055030000000008E-3</v>
      </c>
      <c r="O3439">
        <v>-1.835291E-2</v>
      </c>
      <c r="P3439">
        <v>0.97951860000000002</v>
      </c>
      <c r="Q3439">
        <v>0.18269579999999999</v>
      </c>
      <c r="R3439">
        <v>8.4650989999999995E-2</v>
      </c>
      <c r="S3439">
        <v>3.0730900000000001</v>
      </c>
      <c r="T3439">
        <v>-0.1023694</v>
      </c>
      <c r="U3439">
        <v>8.1069950000000002E-2</v>
      </c>
      <c r="V3439">
        <v>-0.1027497</v>
      </c>
      <c r="W3439">
        <v>0.1918117</v>
      </c>
      <c r="X3439">
        <v>0.97603830000000003</v>
      </c>
      <c r="Y3439">
        <v>-4.4677309999999998E-2</v>
      </c>
      <c r="Z3439">
        <v>1.3925669999999999E-3</v>
      </c>
      <c r="AA3439">
        <v>0.99900049999999996</v>
      </c>
      <c r="AB3439">
        <v>28</v>
      </c>
      <c r="AC3439">
        <v>33.052500000000002</v>
      </c>
      <c r="AD3439">
        <v>-1.1103135671769999</v>
      </c>
      <c r="AE3439">
        <v>0.88409999999998901</v>
      </c>
      <c r="AF3439">
        <v>-1.48890846916282</v>
      </c>
      <c r="AG3439">
        <v>-1.1103135671769999</v>
      </c>
      <c r="AH3439">
        <v>32.993501063089496</v>
      </c>
      <c r="AI3439">
        <v>91.925460348609704</v>
      </c>
      <c r="AJ3439">
        <v>92.583852272079099</v>
      </c>
      <c r="AK3439">
        <v>33.045737350633999</v>
      </c>
      <c r="AL3439">
        <v>78.941468103501506</v>
      </c>
      <c r="AM3439">
        <v>96.009518404739694</v>
      </c>
      <c r="AN3439">
        <v>0.99999999608693402</v>
      </c>
    </row>
    <row r="3440" spans="1:40" x14ac:dyDescent="0.25">
      <c r="A3440" t="str">
        <f>"20190304155124177"</f>
        <v>20190304155124177</v>
      </c>
      <c r="B3440" t="str">
        <f>"1551685884169599"</f>
        <v>1551685884169599</v>
      </c>
      <c r="C3440" t="s">
        <v>40</v>
      </c>
      <c r="D3440">
        <v>4.7142160000000004</v>
      </c>
      <c r="E3440">
        <v>0.51928059999999998</v>
      </c>
      <c r="F3440" t="s">
        <v>70</v>
      </c>
      <c r="G3440">
        <v>-386.49009999999998</v>
      </c>
      <c r="H3440" s="1">
        <v>1.9267070000000001E-6</v>
      </c>
      <c r="I3440">
        <v>214.3929</v>
      </c>
      <c r="J3440">
        <v>-422.0822</v>
      </c>
      <c r="K3440">
        <v>1.11032999999999</v>
      </c>
      <c r="L3440">
        <v>213.40809999999999</v>
      </c>
      <c r="M3440">
        <v>0.99979479999999998</v>
      </c>
      <c r="N3440">
        <v>-9.3950820000000008E-3</v>
      </c>
      <c r="O3440">
        <v>-1.7949340000000001E-2</v>
      </c>
      <c r="P3440">
        <v>0.97895370000000004</v>
      </c>
      <c r="Q3440">
        <v>0.18520919999999999</v>
      </c>
      <c r="R3440">
        <v>8.5718299999999997E-2</v>
      </c>
      <c r="S3440">
        <v>3.0732119999999998</v>
      </c>
      <c r="T3440">
        <v>-9.5114950000000004E-2</v>
      </c>
      <c r="U3440">
        <v>8.3953860000000005E-2</v>
      </c>
      <c r="V3440">
        <v>-0.10341409999999999</v>
      </c>
      <c r="W3440">
        <v>0.19430919999999999</v>
      </c>
      <c r="X3440">
        <v>0.97547399999999995</v>
      </c>
      <c r="Y3440">
        <v>-4.521443E-2</v>
      </c>
      <c r="Z3440">
        <v>1.298621E-3</v>
      </c>
      <c r="AA3440">
        <v>0.99897650000000004</v>
      </c>
      <c r="AB3440">
        <v>28</v>
      </c>
      <c r="AC3440">
        <v>35.592100000000002</v>
      </c>
      <c r="AD3440">
        <v>-1.1103280732930001</v>
      </c>
      <c r="AE3440">
        <v>0.984800000000007</v>
      </c>
      <c r="AF3440">
        <v>-1.6219469582939301</v>
      </c>
      <c r="AG3440">
        <v>-1.1103280732930001</v>
      </c>
      <c r="AH3440">
        <v>35.534133400904103</v>
      </c>
      <c r="AI3440">
        <v>91.787867342137403</v>
      </c>
      <c r="AJ3440">
        <v>92.613438075617594</v>
      </c>
      <c r="AK3440">
        <v>35.588455669206901</v>
      </c>
      <c r="AL3440">
        <v>78.795628562220699</v>
      </c>
      <c r="AM3440">
        <v>96.051562834422498</v>
      </c>
      <c r="AN3440">
        <v>1.0000000329797201</v>
      </c>
    </row>
    <row r="3441" spans="1:40" x14ac:dyDescent="0.25">
      <c r="A3441" t="str">
        <f>"20190304155124199"</f>
        <v>20190304155124199</v>
      </c>
      <c r="B3441" t="str">
        <f>"1551685884190098"</f>
        <v>1551685884190098</v>
      </c>
      <c r="C3441" t="s">
        <v>40</v>
      </c>
      <c r="D3441">
        <v>4.8775309999999896</v>
      </c>
      <c r="E3441">
        <v>0.51972200000000002</v>
      </c>
      <c r="F3441" t="s">
        <v>70</v>
      </c>
      <c r="G3441">
        <v>-382.86399999999998</v>
      </c>
      <c r="H3441" s="1">
        <v>-7.7890919999999907E-9</v>
      </c>
      <c r="I3441">
        <v>214.50319999999999</v>
      </c>
      <c r="J3441">
        <v>-421.79239999999999</v>
      </c>
      <c r="K3441">
        <v>1.1103350000000001</v>
      </c>
      <c r="L3441">
        <v>213.4034</v>
      </c>
      <c r="M3441">
        <v>0.99980230000000003</v>
      </c>
      <c r="N3441">
        <v>-9.386363E-3</v>
      </c>
      <c r="O3441">
        <v>-1.753648E-2</v>
      </c>
      <c r="P3441">
        <v>0.97844889999999995</v>
      </c>
      <c r="Q3441">
        <v>0.18743299999999999</v>
      </c>
      <c r="R3441">
        <v>8.6642239999999995E-2</v>
      </c>
      <c r="S3441">
        <v>3.0734859999999999</v>
      </c>
      <c r="T3441">
        <v>-8.7015149999999999E-2</v>
      </c>
      <c r="U3441">
        <v>8.5815429999999998E-2</v>
      </c>
      <c r="V3441">
        <v>-0.1039284</v>
      </c>
      <c r="W3441">
        <v>0.1965192</v>
      </c>
      <c r="X3441">
        <v>0.97497650000000002</v>
      </c>
      <c r="Y3441">
        <v>-4.5409100000000001E-2</v>
      </c>
      <c r="Z3441">
        <v>1.187514E-3</v>
      </c>
      <c r="AA3441">
        <v>0.99896779999999996</v>
      </c>
      <c r="AB3441">
        <v>28</v>
      </c>
      <c r="AC3441">
        <v>38.928399999999897</v>
      </c>
      <c r="AD3441">
        <v>-1.1103350077890899</v>
      </c>
      <c r="AE3441">
        <v>1.0997999999999799</v>
      </c>
      <c r="AF3441">
        <v>-1.78088030399706</v>
      </c>
      <c r="AG3441">
        <v>-1.1103350077890899</v>
      </c>
      <c r="AH3441">
        <v>38.8715277228048</v>
      </c>
      <c r="AI3441">
        <v>91.634451059860993</v>
      </c>
      <c r="AJ3441">
        <v>92.623144243803694</v>
      </c>
      <c r="AK3441">
        <v>38.928139513614902</v>
      </c>
      <c r="AL3441">
        <v>78.666515773499199</v>
      </c>
      <c r="AM3441">
        <v>96.084513441530902</v>
      </c>
      <c r="AN3441">
        <v>1.0000000419237201</v>
      </c>
    </row>
    <row r="3442" spans="1:40" x14ac:dyDescent="0.25">
      <c r="A3442" t="str">
        <f>"20190304155124222"</f>
        <v>20190304155124222</v>
      </c>
      <c r="B3442" t="str">
        <f>"1551685884220351"</f>
        <v>1551685884220351</v>
      </c>
      <c r="C3442" t="s">
        <v>40</v>
      </c>
      <c r="D3442">
        <v>4.6870180000000001</v>
      </c>
      <c r="E3442">
        <v>0.52018359999999997</v>
      </c>
      <c r="F3442" t="s">
        <v>70</v>
      </c>
      <c r="G3442">
        <v>-377.73719999999997</v>
      </c>
      <c r="H3442" s="1">
        <v>2.5805800000000002E-6</v>
      </c>
      <c r="I3442">
        <v>214.6276</v>
      </c>
      <c r="J3442">
        <v>-421.50319999999999</v>
      </c>
      <c r="K3442">
        <v>1.1103419999999999</v>
      </c>
      <c r="L3442">
        <v>213.39869999999999</v>
      </c>
      <c r="M3442">
        <v>0.99980939999999996</v>
      </c>
      <c r="N3442">
        <v>-9.3793290000000005E-3</v>
      </c>
      <c r="O3442">
        <v>-1.7124460000000001E-2</v>
      </c>
      <c r="P3442">
        <v>0.97804230000000003</v>
      </c>
      <c r="Q3442">
        <v>0.1892258</v>
      </c>
      <c r="R3442">
        <v>8.7333110000000005E-2</v>
      </c>
      <c r="S3442">
        <v>3.0733950000000001</v>
      </c>
      <c r="T3442">
        <v>-7.7459449999999999E-2</v>
      </c>
      <c r="U3442">
        <v>8.5403439999999997E-2</v>
      </c>
      <c r="V3442">
        <v>-0.104210999999999</v>
      </c>
      <c r="W3442">
        <v>0.19830120000000001</v>
      </c>
      <c r="X3442">
        <v>0.97458540000000005</v>
      </c>
      <c r="Y3442">
        <v>-4.4870109999999998E-2</v>
      </c>
      <c r="Z3442">
        <v>1.046635E-3</v>
      </c>
      <c r="AA3442">
        <v>0.99899230000000006</v>
      </c>
      <c r="AB3442">
        <v>28</v>
      </c>
      <c r="AC3442">
        <v>43.765999999999998</v>
      </c>
      <c r="AD3442">
        <v>-1.11033941942</v>
      </c>
      <c r="AE3442">
        <v>1.2289000000000001</v>
      </c>
      <c r="AF3442">
        <v>-1.97695042249292</v>
      </c>
      <c r="AG3442">
        <v>-1.11033941942</v>
      </c>
      <c r="AH3442">
        <v>43.710425387818603</v>
      </c>
      <c r="AI3442">
        <v>91.453638506021093</v>
      </c>
      <c r="AJ3442">
        <v>92.589628752629096</v>
      </c>
      <c r="AK3442">
        <v>43.769195493901499</v>
      </c>
      <c r="AL3442">
        <v>78.562364615278995</v>
      </c>
      <c r="AM3442">
        <v>96.103363539512898</v>
      </c>
      <c r="AN3442">
        <v>1.0000000001678</v>
      </c>
    </row>
    <row r="3443" spans="1:40" x14ac:dyDescent="0.25">
      <c r="A3443" t="str">
        <f>"20190304155124246"</f>
        <v>20190304155124246</v>
      </c>
      <c r="B3443" t="str">
        <f>"1551685884239871"</f>
        <v>1551685884239871</v>
      </c>
      <c r="C3443" t="s">
        <v>40</v>
      </c>
      <c r="D3443">
        <v>4.6569609999999999</v>
      </c>
      <c r="E3443">
        <v>0.52011540000000001</v>
      </c>
      <c r="F3443" t="s">
        <v>70</v>
      </c>
      <c r="G3443">
        <v>-373.17919999999998</v>
      </c>
      <c r="H3443" s="1">
        <v>1.5500260000000001E-7</v>
      </c>
      <c r="I3443">
        <v>214.7192</v>
      </c>
      <c r="J3443">
        <v>-421.20549999999997</v>
      </c>
      <c r="K3443">
        <v>1.1103479999999999</v>
      </c>
      <c r="L3443">
        <v>213.39410000000001</v>
      </c>
      <c r="M3443">
        <v>0.9998167</v>
      </c>
      <c r="N3443">
        <v>-9.3736770000000004E-3</v>
      </c>
      <c r="O3443">
        <v>-1.6699930000000002E-2</v>
      </c>
      <c r="P3443">
        <v>0.97760619999999998</v>
      </c>
      <c r="Q3443">
        <v>0.19114999999999999</v>
      </c>
      <c r="R3443">
        <v>8.8021520000000006E-2</v>
      </c>
      <c r="S3443">
        <v>3.0734859999999999</v>
      </c>
      <c r="T3443">
        <v>-7.0619580000000001E-2</v>
      </c>
      <c r="U3443">
        <v>8.3984379999999997E-2</v>
      </c>
      <c r="V3443">
        <v>-0.1044795</v>
      </c>
      <c r="W3443">
        <v>0.20021559999999999</v>
      </c>
      <c r="X3443">
        <v>0.97416510000000001</v>
      </c>
      <c r="Y3443">
        <v>-4.3987999999999999E-2</v>
      </c>
      <c r="Z3443">
        <v>9.3854449999999999E-4</v>
      </c>
      <c r="AA3443">
        <v>0.99903160000000002</v>
      </c>
      <c r="AB3443">
        <v>28</v>
      </c>
      <c r="AC3443">
        <v>48.0262999999999</v>
      </c>
      <c r="AD3443">
        <v>-1.11034784499739</v>
      </c>
      <c r="AE3443">
        <v>1.32509999999999</v>
      </c>
      <c r="AF3443">
        <v>-2.1258507704812901</v>
      </c>
      <c r="AG3443">
        <v>-1.11034784499739</v>
      </c>
      <c r="AH3443">
        <v>47.971849761961202</v>
      </c>
      <c r="AI3443">
        <v>91.324621578917601</v>
      </c>
      <c r="AJ3443">
        <v>92.537376409717595</v>
      </c>
      <c r="AK3443">
        <v>48.031765358139999</v>
      </c>
      <c r="AL3443">
        <v>78.4504323687935</v>
      </c>
      <c r="AM3443">
        <v>96.121589697757202</v>
      </c>
      <c r="AN3443">
        <v>0.99999994723080798</v>
      </c>
    </row>
    <row r="3444" spans="1:40" x14ac:dyDescent="0.25">
      <c r="A3444" t="str">
        <f>"20190304155124269"</f>
        <v>20190304155124269</v>
      </c>
      <c r="B3444" t="str">
        <f>"1551685884260367"</f>
        <v>1551685884260367</v>
      </c>
      <c r="C3444" t="s">
        <v>40</v>
      </c>
      <c r="D3444">
        <v>4.7036949999999997</v>
      </c>
      <c r="E3444">
        <v>0.52035829999999905</v>
      </c>
      <c r="F3444" t="s">
        <v>70</v>
      </c>
      <c r="G3444">
        <v>-370.34019999999998</v>
      </c>
      <c r="H3444" s="1">
        <v>-1.3557349999999999E-6</v>
      </c>
      <c r="I3444">
        <v>214.8287</v>
      </c>
      <c r="J3444">
        <v>-420.92570000000001</v>
      </c>
      <c r="K3444">
        <v>1.1103559999999999</v>
      </c>
      <c r="L3444">
        <v>213.38980000000001</v>
      </c>
      <c r="M3444">
        <v>0.99982329999999997</v>
      </c>
      <c r="N3444">
        <v>-9.3697229999999999E-3</v>
      </c>
      <c r="O3444">
        <v>-1.6299000000000001E-2</v>
      </c>
      <c r="P3444">
        <v>0.97734109999999996</v>
      </c>
      <c r="Q3444">
        <v>0.19254660000000001</v>
      </c>
      <c r="R3444">
        <v>8.7922739999999999E-2</v>
      </c>
      <c r="S3444">
        <v>3.0740050000000001</v>
      </c>
      <c r="T3444">
        <v>-6.710315E-2</v>
      </c>
      <c r="U3444">
        <v>8.6700440000000004E-2</v>
      </c>
      <c r="V3444">
        <v>-0.103986999999999</v>
      </c>
      <c r="W3444">
        <v>0.20160620000000001</v>
      </c>
      <c r="X3444">
        <v>0.97393099999999999</v>
      </c>
      <c r="Y3444">
        <v>-4.4466279999999997E-2</v>
      </c>
      <c r="Z3444">
        <v>8.9659179999999905E-4</v>
      </c>
      <c r="AA3444">
        <v>0.99901050000000002</v>
      </c>
      <c r="AB3444">
        <v>29</v>
      </c>
      <c r="AC3444">
        <v>50.585500000000003</v>
      </c>
      <c r="AD3444">
        <v>-1.1103573557349999</v>
      </c>
      <c r="AE3444">
        <v>1.4388999999999801</v>
      </c>
      <c r="AF3444">
        <v>-2.2621490299525999</v>
      </c>
      <c r="AG3444">
        <v>-1.1103573557349999</v>
      </c>
      <c r="AH3444">
        <v>50.530999572341202</v>
      </c>
      <c r="AI3444">
        <v>91.257543496683198</v>
      </c>
      <c r="AJ3444">
        <v>92.563280180493294</v>
      </c>
      <c r="AK3444">
        <v>50.593795365351902</v>
      </c>
      <c r="AL3444">
        <v>78.369098727779203</v>
      </c>
      <c r="AM3444">
        <v>96.0944045671433</v>
      </c>
      <c r="AN3444">
        <v>0.99999997440421895</v>
      </c>
    </row>
    <row r="3445" spans="1:40" x14ac:dyDescent="0.25">
      <c r="A3445" t="str">
        <f>"20190304155124289"</f>
        <v>20190304155124289</v>
      </c>
      <c r="B3445" t="str">
        <f>"1551685884279887"</f>
        <v>1551685884279887</v>
      </c>
      <c r="C3445" t="s">
        <v>40</v>
      </c>
      <c r="D3445">
        <v>4.9381870000000001</v>
      </c>
      <c r="E3445">
        <v>0.52110639999999997</v>
      </c>
      <c r="F3445" t="s">
        <v>70</v>
      </c>
      <c r="G3445">
        <v>-368.74450000000002</v>
      </c>
      <c r="H3445" s="1">
        <v>3.1165990000000001E-6</v>
      </c>
      <c r="I3445">
        <v>214.8203</v>
      </c>
      <c r="J3445">
        <v>-420.64980000000003</v>
      </c>
      <c r="K3445">
        <v>1.1103609999999999</v>
      </c>
      <c r="L3445">
        <v>213.38570000000001</v>
      </c>
      <c r="M3445">
        <v>0.99982990000000005</v>
      </c>
      <c r="N3445">
        <v>-9.3670279999999995E-3</v>
      </c>
      <c r="O3445">
        <v>-1.589482E-2</v>
      </c>
      <c r="P3445">
        <v>0.97717759999999998</v>
      </c>
      <c r="Q3445">
        <v>0.1934312</v>
      </c>
      <c r="R3445">
        <v>8.7799000000000002E-2</v>
      </c>
      <c r="S3445">
        <v>3.0748289999999998</v>
      </c>
      <c r="T3445">
        <v>-6.5428609999999998E-2</v>
      </c>
      <c r="U3445">
        <v>8.4289550000000005E-2</v>
      </c>
      <c r="V3445">
        <v>-0.10346950000000001</v>
      </c>
      <c r="W3445">
        <v>0.202486</v>
      </c>
      <c r="X3445">
        <v>0.97380359999999999</v>
      </c>
      <c r="Y3445">
        <v>-4.3273329999999999E-2</v>
      </c>
      <c r="Z3445">
        <v>8.5228880000000004E-4</v>
      </c>
      <c r="AA3445">
        <v>0.99906289999999998</v>
      </c>
      <c r="AB3445">
        <v>29</v>
      </c>
      <c r="AC3445">
        <v>51.905299999999997</v>
      </c>
      <c r="AD3445">
        <v>-1.1103578834009999</v>
      </c>
      <c r="AE3445">
        <v>1.4345999999999799</v>
      </c>
      <c r="AF3445">
        <v>-2.2584475425706398</v>
      </c>
      <c r="AG3445">
        <v>-1.1103578834009999</v>
      </c>
      <c r="AH3445">
        <v>51.852228119422399</v>
      </c>
      <c r="AI3445">
        <v>91.225576404313699</v>
      </c>
      <c r="AJ3445">
        <v>92.493967629905896</v>
      </c>
      <c r="AK3445">
        <v>51.913264594710199</v>
      </c>
      <c r="AL3445">
        <v>78.317628493358995</v>
      </c>
      <c r="AM3445">
        <v>96.065089277402805</v>
      </c>
      <c r="AN3445">
        <v>0.99999998449960403</v>
      </c>
    </row>
    <row r="3446" spans="1:40" x14ac:dyDescent="0.25">
      <c r="A3446" t="str">
        <f>"20190304155124312"</f>
        <v>20190304155124312</v>
      </c>
      <c r="B3446" t="str">
        <f>"1551685884300382"</f>
        <v>1551685884300382</v>
      </c>
      <c r="C3446" t="s">
        <v>40</v>
      </c>
      <c r="D3446">
        <v>4.7223560000000004</v>
      </c>
      <c r="E3446">
        <v>0.52148700000000003</v>
      </c>
      <c r="F3446" t="s">
        <v>70</v>
      </c>
      <c r="G3446">
        <v>-366.20589999999999</v>
      </c>
      <c r="H3446" s="1">
        <v>1.765688E-6</v>
      </c>
      <c r="I3446">
        <v>214.77799999999999</v>
      </c>
      <c r="J3446">
        <v>-420.36079999999998</v>
      </c>
      <c r="K3446">
        <v>1.1103700000000001</v>
      </c>
      <c r="L3446">
        <v>213.38159999999999</v>
      </c>
      <c r="M3446">
        <v>0.99983659999999996</v>
      </c>
      <c r="N3446">
        <v>-9.3653020000000007E-3</v>
      </c>
      <c r="O3446">
        <v>-1.5462119999999999E-2</v>
      </c>
      <c r="P3446">
        <v>0.97719149999999999</v>
      </c>
      <c r="Q3446">
        <v>0.19374469999999999</v>
      </c>
      <c r="R3446">
        <v>8.6948839999999999E-2</v>
      </c>
      <c r="S3446">
        <v>3.0754090000000001</v>
      </c>
      <c r="T3446">
        <v>-6.2721609999999997E-2</v>
      </c>
      <c r="U3446">
        <v>7.86438E-2</v>
      </c>
      <c r="V3446">
        <v>-0.102202</v>
      </c>
      <c r="W3446">
        <v>0.20279749999999999</v>
      </c>
      <c r="X3446">
        <v>0.97387270000000004</v>
      </c>
      <c r="Y3446">
        <v>-4.1004770000000003E-2</v>
      </c>
      <c r="Z3446">
        <v>7.8059020000000002E-4</v>
      </c>
      <c r="AA3446">
        <v>0.99915860000000001</v>
      </c>
      <c r="AB3446">
        <v>29</v>
      </c>
      <c r="AC3446">
        <v>54.154899999999998</v>
      </c>
      <c r="AD3446">
        <v>-1.110368234312</v>
      </c>
      <c r="AE3446">
        <v>1.3964000000000001</v>
      </c>
      <c r="AF3446">
        <v>-2.2326813460940702</v>
      </c>
      <c r="AG3446">
        <v>-1.110368234312</v>
      </c>
      <c r="AH3446">
        <v>54.104103160323298</v>
      </c>
      <c r="AI3446">
        <v>91.174705850667607</v>
      </c>
      <c r="AJ3446">
        <v>92.3630495770756</v>
      </c>
      <c r="AK3446">
        <v>54.161533973770297</v>
      </c>
      <c r="AL3446">
        <v>78.299403566807101</v>
      </c>
      <c r="AM3446">
        <v>95.990913732638703</v>
      </c>
      <c r="AN3446">
        <v>1.0000000553077599</v>
      </c>
    </row>
    <row r="3447" spans="1:40" x14ac:dyDescent="0.25">
      <c r="A3447" t="str">
        <f>"20190304155124334"</f>
        <v>20190304155124334</v>
      </c>
      <c r="B3447" t="str">
        <f>"1551685884329663"</f>
        <v>1551685884329663</v>
      </c>
      <c r="C3447" t="s">
        <v>40</v>
      </c>
      <c r="D3447">
        <v>4.684145</v>
      </c>
      <c r="E3447">
        <v>0.52216200000000002</v>
      </c>
      <c r="F3447" t="s">
        <v>70</v>
      </c>
      <c r="G3447">
        <v>-362.25400000000002</v>
      </c>
      <c r="H3447" s="1">
        <v>-3.373275E-7</v>
      </c>
      <c r="I3447">
        <v>214.76990000000001</v>
      </c>
      <c r="J3447">
        <v>-420.07089999999999</v>
      </c>
      <c r="K3447">
        <v>1.110376</v>
      </c>
      <c r="L3447">
        <v>213.3776</v>
      </c>
      <c r="M3447">
        <v>0.99984360000000005</v>
      </c>
      <c r="N3447">
        <v>-9.3646030000000009E-3</v>
      </c>
      <c r="O3447">
        <v>-1.5013540000000001E-2</v>
      </c>
      <c r="P3447">
        <v>0.97732410000000003</v>
      </c>
      <c r="Q3447">
        <v>0.19353319999999999</v>
      </c>
      <c r="R3447">
        <v>8.5922960000000007E-2</v>
      </c>
      <c r="S3447">
        <v>3.0751650000000001</v>
      </c>
      <c r="T3447">
        <v>-5.8763740000000002E-2</v>
      </c>
      <c r="U3447">
        <v>7.3471069999999999E-2</v>
      </c>
      <c r="V3447">
        <v>-0.1007459</v>
      </c>
      <c r="W3447">
        <v>0.20258499999999999</v>
      </c>
      <c r="X3447">
        <v>0.97406859999999995</v>
      </c>
      <c r="Y3447">
        <v>-3.8880869999999998E-2</v>
      </c>
      <c r="Z3447">
        <v>6.9977310000000003E-4</v>
      </c>
      <c r="AA3447">
        <v>0.99924360000000001</v>
      </c>
      <c r="AB3447">
        <v>29</v>
      </c>
      <c r="AC3447">
        <v>57.816899999999897</v>
      </c>
      <c r="AD3447">
        <v>-1.1103763373275</v>
      </c>
      <c r="AE3447">
        <v>1.3923000000000001</v>
      </c>
      <c r="AF3447">
        <v>-2.2593844693668901</v>
      </c>
      <c r="AG3447">
        <v>-1.1103763373275</v>
      </c>
      <c r="AH3447">
        <v>57.768184135242798</v>
      </c>
      <c r="AI3447">
        <v>91.100319492100198</v>
      </c>
      <c r="AJ3447">
        <v>92.239766563233204</v>
      </c>
      <c r="AK3447">
        <v>57.823013170140399</v>
      </c>
      <c r="AL3447">
        <v>78.311836680814594</v>
      </c>
      <c r="AM3447">
        <v>95.904987781982001</v>
      </c>
      <c r="AN3447">
        <v>1.0000000280488801</v>
      </c>
    </row>
    <row r="3448" spans="1:40" x14ac:dyDescent="0.25">
      <c r="A3448" t="str">
        <f>"20190304155124356"</f>
        <v>20190304155124356</v>
      </c>
      <c r="B3448" t="str">
        <f>"1551685884350160"</f>
        <v>1551685884350160</v>
      </c>
      <c r="C3448" t="s">
        <v>40</v>
      </c>
      <c r="D3448">
        <v>4.6294789999999999</v>
      </c>
      <c r="E3448">
        <v>0.52206379999999997</v>
      </c>
      <c r="F3448" t="s">
        <v>70</v>
      </c>
      <c r="G3448">
        <v>-354.58449999999999</v>
      </c>
      <c r="H3448" s="1">
        <v>8.9581269999999902E-7</v>
      </c>
      <c r="I3448">
        <v>214.77719999999999</v>
      </c>
      <c r="J3448">
        <v>-419.78730000000002</v>
      </c>
      <c r="K3448">
        <v>1.1103909999999999</v>
      </c>
      <c r="L3448">
        <v>213.37379999999999</v>
      </c>
      <c r="M3448">
        <v>0.99985029999999997</v>
      </c>
      <c r="N3448">
        <v>-9.3646119999999996E-3</v>
      </c>
      <c r="O3448">
        <v>-1.455384E-2</v>
      </c>
      <c r="P3448">
        <v>0.97733460000000005</v>
      </c>
      <c r="Q3448">
        <v>0.1940501</v>
      </c>
      <c r="R3448">
        <v>8.4627450000000007E-2</v>
      </c>
      <c r="S3448">
        <v>3.0741879999999999</v>
      </c>
      <c r="T3448">
        <v>-5.2125329999999997E-2</v>
      </c>
      <c r="U3448">
        <v>6.5704349999999995E-2</v>
      </c>
      <c r="V3448">
        <v>-9.9009929999999996E-2</v>
      </c>
      <c r="W3448">
        <v>0.20310049999999999</v>
      </c>
      <c r="X3448">
        <v>0.97413919999999998</v>
      </c>
      <c r="Y3448">
        <v>-3.5908490000000001E-2</v>
      </c>
      <c r="Z3448">
        <v>5.8300500000000005E-4</v>
      </c>
      <c r="AA3448">
        <v>0.99935490000000005</v>
      </c>
      <c r="AB3448">
        <v>29</v>
      </c>
      <c r="AC3448">
        <v>65.202799999999996</v>
      </c>
      <c r="AD3448">
        <v>-1.1103901041873001</v>
      </c>
      <c r="AE3448">
        <v>1.4034</v>
      </c>
      <c r="AF3448">
        <v>-2.3515623474346401</v>
      </c>
      <c r="AG3448">
        <v>-1.1103901041873001</v>
      </c>
      <c r="AH3448">
        <v>65.156580276897699</v>
      </c>
      <c r="AI3448">
        <v>90.975697712627607</v>
      </c>
      <c r="AJ3448">
        <v>92.066961511557594</v>
      </c>
      <c r="AK3448">
        <v>65.2084562387208</v>
      </c>
      <c r="AL3448">
        <v>78.281673088503595</v>
      </c>
      <c r="AM3448">
        <v>95.803520801967196</v>
      </c>
      <c r="AN3448">
        <v>0.99999998015774705</v>
      </c>
    </row>
    <row r="3449" spans="1:40" x14ac:dyDescent="0.25">
      <c r="A3449" t="str">
        <f>"20190304155124380"</f>
        <v>20190304155124380</v>
      </c>
      <c r="B3449" t="str">
        <f>"1551685884369680"</f>
        <v>1551685884369680</v>
      </c>
      <c r="C3449" t="s">
        <v>40</v>
      </c>
      <c r="D3449">
        <v>4.6946779999999997</v>
      </c>
      <c r="E3449">
        <v>0.52208480000000002</v>
      </c>
      <c r="F3449" t="s">
        <v>70</v>
      </c>
      <c r="G3449">
        <v>-354.65710000000001</v>
      </c>
      <c r="H3449" s="1">
        <v>9.3731510000000004E-7</v>
      </c>
      <c r="I3449">
        <v>214.7123</v>
      </c>
      <c r="J3449">
        <v>-419.48160000000001</v>
      </c>
      <c r="K3449">
        <v>1.1104080000000001</v>
      </c>
      <c r="L3449">
        <v>213.3699</v>
      </c>
      <c r="M3449">
        <v>0.99985780000000002</v>
      </c>
      <c r="N3449">
        <v>-9.3651840000000004E-3</v>
      </c>
      <c r="O3449">
        <v>-1.4028270000000001E-2</v>
      </c>
      <c r="P3449">
        <v>0.9774024</v>
      </c>
      <c r="Q3449">
        <v>0.19406689999999999</v>
      </c>
      <c r="R3449">
        <v>8.3802360000000006E-2</v>
      </c>
      <c r="S3449">
        <v>3.0744630000000002</v>
      </c>
      <c r="T3449">
        <v>-5.241585E-2</v>
      </c>
      <c r="U3449">
        <v>6.3186649999999997E-2</v>
      </c>
      <c r="V3449">
        <v>-9.7683359999999997E-2</v>
      </c>
      <c r="W3449">
        <v>0.20311499999999999</v>
      </c>
      <c r="X3449">
        <v>0.97427010000000003</v>
      </c>
      <c r="Y3449">
        <v>-3.4563459999999997E-2</v>
      </c>
      <c r="Z3449">
        <v>5.6422999999999998E-4</v>
      </c>
      <c r="AA3449">
        <v>0.99940229999999997</v>
      </c>
      <c r="AB3449">
        <v>29</v>
      </c>
      <c r="AC3449">
        <v>64.8245</v>
      </c>
      <c r="AD3449">
        <v>-1.1104070626848901</v>
      </c>
      <c r="AE3449">
        <v>1.34239999999999</v>
      </c>
      <c r="AF3449">
        <v>-2.2510231045031501</v>
      </c>
      <c r="AG3449">
        <v>-1.1104070626848901</v>
      </c>
      <c r="AH3449">
        <v>64.780288744098897</v>
      </c>
      <c r="AI3449">
        <v>90.981425756187505</v>
      </c>
      <c r="AJ3449">
        <v>91.990146277793897</v>
      </c>
      <c r="AK3449">
        <v>64.828897249842896</v>
      </c>
      <c r="AL3449">
        <v>78.280824670786004</v>
      </c>
      <c r="AM3449">
        <v>95.725519152793893</v>
      </c>
      <c r="AN3449">
        <v>0.99999998489994901</v>
      </c>
    </row>
    <row r="3450" spans="1:40" x14ac:dyDescent="0.25">
      <c r="A3450" t="str">
        <f>"20190304155124400"</f>
        <v>20190304155124400</v>
      </c>
      <c r="B3450" t="str">
        <f>"1551685884390175"</f>
        <v>1551685884390175</v>
      </c>
      <c r="C3450" t="s">
        <v>40</v>
      </c>
      <c r="D3450">
        <v>4.8057049999999997</v>
      </c>
      <c r="E3450">
        <v>0.52231359999999905</v>
      </c>
      <c r="F3450" t="s">
        <v>70</v>
      </c>
      <c r="G3450">
        <v>-356.84559999999999</v>
      </c>
      <c r="H3450" s="1">
        <v>2.1067110000000002E-6</v>
      </c>
      <c r="I3450">
        <v>214.60290000000001</v>
      </c>
      <c r="J3450">
        <v>-419.21350000000001</v>
      </c>
      <c r="K3450">
        <v>1.1104339999999999</v>
      </c>
      <c r="L3450">
        <v>213.36660000000001</v>
      </c>
      <c r="M3450">
        <v>0.99986450000000004</v>
      </c>
      <c r="N3450">
        <v>-9.3663029999999994E-3</v>
      </c>
      <c r="O3450">
        <v>-1.3540740000000001E-2</v>
      </c>
      <c r="P3450">
        <v>0.97738639999999999</v>
      </c>
      <c r="Q3450">
        <v>0.1945298</v>
      </c>
      <c r="R3450">
        <v>8.2909259999999999E-2</v>
      </c>
      <c r="S3450">
        <v>3.074951</v>
      </c>
      <c r="T3450">
        <v>-5.4512499999999998E-2</v>
      </c>
      <c r="U3450">
        <v>6.0531620000000001E-2</v>
      </c>
      <c r="V3450">
        <v>-9.6325220000000003E-2</v>
      </c>
      <c r="W3450">
        <v>0.2035758</v>
      </c>
      <c r="X3450">
        <v>0.97430910000000004</v>
      </c>
      <c r="Y3450">
        <v>-3.3210040000000003E-2</v>
      </c>
      <c r="Z3450">
        <v>5.6308420000000001E-4</v>
      </c>
      <c r="AA3450">
        <v>0.99944820000000001</v>
      </c>
      <c r="AB3450">
        <v>29</v>
      </c>
      <c r="AC3450">
        <v>62.367899999999999</v>
      </c>
      <c r="AD3450">
        <v>-1.1104318932889901</v>
      </c>
      <c r="AE3450">
        <v>1.2363</v>
      </c>
      <c r="AF3450">
        <v>-2.0800720414224299</v>
      </c>
      <c r="AG3450">
        <v>-1.1104318932889901</v>
      </c>
      <c r="AH3450">
        <v>62.325690867514801</v>
      </c>
      <c r="AI3450">
        <v>91.020140125264703</v>
      </c>
      <c r="AJ3450">
        <v>91.911493126900197</v>
      </c>
      <c r="AK3450">
        <v>62.370277382741797</v>
      </c>
      <c r="AL3450">
        <v>78.253858836514496</v>
      </c>
      <c r="AM3450">
        <v>95.646207870765195</v>
      </c>
      <c r="AN3450">
        <v>0.99999993834824696</v>
      </c>
    </row>
    <row r="3451" spans="1:40" x14ac:dyDescent="0.25">
      <c r="A3451" t="str">
        <f>"20190304155124422"</f>
        <v>20190304155124422</v>
      </c>
      <c r="B3451" t="str">
        <f>"1551685884420431"</f>
        <v>1551685884420431</v>
      </c>
      <c r="C3451" t="s">
        <v>40</v>
      </c>
      <c r="D3451">
        <v>4.5617999999999999</v>
      </c>
      <c r="E3451">
        <v>0.52197570000000004</v>
      </c>
      <c r="F3451" t="s">
        <v>70</v>
      </c>
      <c r="G3451">
        <v>-356.82319999999999</v>
      </c>
      <c r="H3451" s="1">
        <v>2.098704E-6</v>
      </c>
      <c r="I3451">
        <v>214.51249999999999</v>
      </c>
      <c r="J3451">
        <v>-418.93520000000001</v>
      </c>
      <c r="K3451">
        <v>1.1104609999999999</v>
      </c>
      <c r="L3451">
        <v>213.36340000000001</v>
      </c>
      <c r="M3451">
        <v>0.99987150000000002</v>
      </c>
      <c r="N3451">
        <v>-9.3679929999999998E-3</v>
      </c>
      <c r="O3451">
        <v>-1.301209E-2</v>
      </c>
      <c r="P3451">
        <v>0.97718479999999996</v>
      </c>
      <c r="Q3451">
        <v>0.19585630000000001</v>
      </c>
      <c r="R3451">
        <v>8.2159919999999997E-2</v>
      </c>
      <c r="S3451">
        <v>3.0755620000000001</v>
      </c>
      <c r="T3451">
        <v>-5.4739240000000002E-2</v>
      </c>
      <c r="U3451">
        <v>5.6488040000000003E-2</v>
      </c>
      <c r="V3451">
        <v>-9.5069039999999994E-2</v>
      </c>
      <c r="W3451">
        <v>0.2048982</v>
      </c>
      <c r="X3451">
        <v>0.97415529999999995</v>
      </c>
      <c r="Y3451">
        <v>-3.136452E-2</v>
      </c>
      <c r="Z3451">
        <v>5.3568500000000005E-4</v>
      </c>
      <c r="AA3451">
        <v>0.99950779999999995</v>
      </c>
      <c r="AB3451">
        <v>29</v>
      </c>
      <c r="AC3451">
        <v>62.112000000000002</v>
      </c>
      <c r="AD3451">
        <v>-1.110458901296</v>
      </c>
      <c r="AE3451">
        <v>1.14909999999997</v>
      </c>
      <c r="AF3451">
        <v>-1.95661988179887</v>
      </c>
      <c r="AG3451">
        <v>-1.110458901296</v>
      </c>
      <c r="AH3451">
        <v>62.071954673911897</v>
      </c>
      <c r="AI3451">
        <v>91.024395744330803</v>
      </c>
      <c r="AJ3451">
        <v>91.805468405541006</v>
      </c>
      <c r="AK3451">
        <v>62.112712365291898</v>
      </c>
      <c r="AL3451">
        <v>78.176459819638893</v>
      </c>
      <c r="AM3451">
        <v>95.573916422557303</v>
      </c>
      <c r="AN3451">
        <v>0.99999997162392495</v>
      </c>
    </row>
    <row r="3452" spans="1:40" x14ac:dyDescent="0.25">
      <c r="A3452" t="str">
        <f>"20190304155124445"</f>
        <v>20190304155124445</v>
      </c>
      <c r="B3452" t="str">
        <f>"1551685884439951"</f>
        <v>1551685884439951</v>
      </c>
      <c r="C3452" t="s">
        <v>40</v>
      </c>
      <c r="D3452">
        <v>4.7332190000000001</v>
      </c>
      <c r="E3452">
        <v>0.52220049999999996</v>
      </c>
      <c r="F3452" t="s">
        <v>70</v>
      </c>
      <c r="G3452">
        <v>-357.45639999999997</v>
      </c>
      <c r="H3452" s="1">
        <v>2.4354590000000002E-6</v>
      </c>
      <c r="I3452">
        <v>214.51730000000001</v>
      </c>
      <c r="J3452">
        <v>-418.63589999999999</v>
      </c>
      <c r="K3452">
        <v>1.1104849999999999</v>
      </c>
      <c r="L3452">
        <v>213.36009999999999</v>
      </c>
      <c r="M3452">
        <v>0.99987899999999996</v>
      </c>
      <c r="N3452">
        <v>-9.370214E-3</v>
      </c>
      <c r="O3452">
        <v>-1.242327E-2</v>
      </c>
      <c r="P3452">
        <v>0.97710580000000002</v>
      </c>
      <c r="Q3452">
        <v>0.19626740000000001</v>
      </c>
      <c r="R3452">
        <v>8.2119990000000004E-2</v>
      </c>
      <c r="S3452">
        <v>3.076263</v>
      </c>
      <c r="T3452">
        <v>-5.5564879999999997E-2</v>
      </c>
      <c r="U3452">
        <v>5.7739260000000001E-2</v>
      </c>
      <c r="V3452">
        <v>-9.4462439999999995E-2</v>
      </c>
      <c r="W3452">
        <v>0.20530789999999999</v>
      </c>
      <c r="X3452">
        <v>0.97412810000000005</v>
      </c>
      <c r="Y3452">
        <v>-3.1177969999999999E-2</v>
      </c>
      <c r="Z3452">
        <v>5.3559759999999995E-4</v>
      </c>
      <c r="AA3452">
        <v>0.99951369999999895</v>
      </c>
      <c r="AB3452">
        <v>29</v>
      </c>
      <c r="AC3452">
        <v>61.179499999999997</v>
      </c>
      <c r="AD3452">
        <v>-1.1104825645409999</v>
      </c>
      <c r="AE3452">
        <v>1.15720000000001</v>
      </c>
      <c r="AF3452">
        <v>-1.91656222865496</v>
      </c>
      <c r="AG3452">
        <v>-1.1104825645409999</v>
      </c>
      <c r="AH3452">
        <v>61.140264933657498</v>
      </c>
      <c r="AI3452">
        <v>91.040030525631494</v>
      </c>
      <c r="AJ3452">
        <v>91.795461309336403</v>
      </c>
      <c r="AK3452">
        <v>61.180375762659999</v>
      </c>
      <c r="AL3452">
        <v>78.152476438807199</v>
      </c>
      <c r="AM3452">
        <v>95.538726879472406</v>
      </c>
      <c r="AN3452">
        <v>1.00000002079138</v>
      </c>
    </row>
    <row r="3453" spans="1:40" x14ac:dyDescent="0.25">
      <c r="A3453" t="str">
        <f>"20190304155124469"</f>
        <v>20190304155124469</v>
      </c>
      <c r="B3453" t="str">
        <f>"1551685884460447"</f>
        <v>1551685884460447</v>
      </c>
      <c r="C3453" t="s">
        <v>40</v>
      </c>
      <c r="D3453">
        <v>4.6803949999999999</v>
      </c>
      <c r="E3453">
        <v>0.52220329999999904</v>
      </c>
      <c r="F3453" t="s">
        <v>70</v>
      </c>
      <c r="G3453">
        <v>-355.6345</v>
      </c>
      <c r="H3453" s="1">
        <v>1.466719E-6</v>
      </c>
      <c r="I3453">
        <v>214.49969999999999</v>
      </c>
      <c r="J3453">
        <v>-418.32670000000002</v>
      </c>
      <c r="K3453">
        <v>1.1104940000000001</v>
      </c>
      <c r="L3453">
        <v>213.3569</v>
      </c>
      <c r="M3453">
        <v>0.99988650000000001</v>
      </c>
      <c r="N3453">
        <v>-9.3728560000000006E-3</v>
      </c>
      <c r="O3453">
        <v>-1.179816E-2</v>
      </c>
      <c r="P3453">
        <v>0.97718490000000002</v>
      </c>
      <c r="Q3453">
        <v>0.19582730000000001</v>
      </c>
      <c r="R3453">
        <v>8.2227919999999996E-2</v>
      </c>
      <c r="S3453">
        <v>3.0765380000000002</v>
      </c>
      <c r="T3453">
        <v>-5.4228070000000003E-2</v>
      </c>
      <c r="U3453">
        <v>5.5648799999999998E-2</v>
      </c>
      <c r="V3453">
        <v>-9.3966800000000003E-2</v>
      </c>
      <c r="W3453">
        <v>0.20486969999999999</v>
      </c>
      <c r="X3453">
        <v>0.97426829999999998</v>
      </c>
      <c r="Y3453">
        <v>-2.9873139999999999E-2</v>
      </c>
      <c r="Z3453">
        <v>5.006206E-4</v>
      </c>
      <c r="AA3453">
        <v>0.99955360000000004</v>
      </c>
      <c r="AB3453">
        <v>29</v>
      </c>
      <c r="AC3453">
        <v>62.6922</v>
      </c>
      <c r="AD3453">
        <v>-1.1104925332810001</v>
      </c>
      <c r="AE3453">
        <v>1.14279999999999</v>
      </c>
      <c r="AF3453">
        <v>-1.8818152777410799</v>
      </c>
      <c r="AG3453">
        <v>-1.1104925332810001</v>
      </c>
      <c r="AH3453">
        <v>62.654700354683897</v>
      </c>
      <c r="AI3453">
        <v>91.014947064790903</v>
      </c>
      <c r="AJ3453">
        <v>91.720344511530996</v>
      </c>
      <c r="AK3453">
        <v>62.6927898481255</v>
      </c>
      <c r="AL3453">
        <v>78.178128923929293</v>
      </c>
      <c r="AM3453">
        <v>95.509056737999003</v>
      </c>
      <c r="AN3453">
        <v>1.0000000369326001</v>
      </c>
    </row>
    <row r="3454" spans="1:40" x14ac:dyDescent="0.25">
      <c r="A3454" t="str">
        <f>"20190304155124490"</f>
        <v>20190304155124490</v>
      </c>
      <c r="B3454" t="str">
        <f>"1551685884479967"</f>
        <v>1551685884479967</v>
      </c>
      <c r="C3454" t="s">
        <v>40</v>
      </c>
      <c r="D3454">
        <v>4.6181960000000002</v>
      </c>
      <c r="E3454">
        <v>0.52206390000000003</v>
      </c>
      <c r="F3454" t="s">
        <v>70</v>
      </c>
      <c r="G3454">
        <v>-358.2901</v>
      </c>
      <c r="H3454" s="1">
        <v>2.8821119999999998E-6</v>
      </c>
      <c r="I3454">
        <v>214.44929999999999</v>
      </c>
      <c r="J3454">
        <v>-418.05149999999998</v>
      </c>
      <c r="K3454">
        <v>1.1104989999999999</v>
      </c>
      <c r="L3454">
        <v>213.35419999999999</v>
      </c>
      <c r="M3454">
        <v>0.99989309999999998</v>
      </c>
      <c r="N3454">
        <v>-9.3755379999999992E-3</v>
      </c>
      <c r="O3454">
        <v>-1.123354E-2</v>
      </c>
      <c r="P3454">
        <v>0.97729169999999999</v>
      </c>
      <c r="Q3454">
        <v>0.1953278</v>
      </c>
      <c r="R3454">
        <v>8.2148659999999998E-2</v>
      </c>
      <c r="S3454">
        <v>3.076721</v>
      </c>
      <c r="T3454">
        <v>-5.6909920000000003E-2</v>
      </c>
      <c r="U3454">
        <v>5.59845E-2</v>
      </c>
      <c r="V3454">
        <v>-9.3340670000000001E-2</v>
      </c>
      <c r="W3454">
        <v>0.20437359999999999</v>
      </c>
      <c r="X3454">
        <v>0.97443259999999998</v>
      </c>
      <c r="Y3454">
        <v>-2.941612E-2</v>
      </c>
      <c r="Z3454">
        <v>5.1238100000000001E-4</v>
      </c>
      <c r="AA3454">
        <v>0.99956710000000004</v>
      </c>
      <c r="AB3454">
        <v>29</v>
      </c>
      <c r="AC3454">
        <v>59.761399999999902</v>
      </c>
      <c r="AD3454">
        <v>-1.110496117888</v>
      </c>
      <c r="AE3454">
        <v>1.0951</v>
      </c>
      <c r="AF3454">
        <v>-1.76578286292951</v>
      </c>
      <c r="AG3454">
        <v>-1.110496117888</v>
      </c>
      <c r="AH3454">
        <v>59.724710614960202</v>
      </c>
      <c r="AI3454">
        <v>91.064745707812705</v>
      </c>
      <c r="AJ3454">
        <v>91.693477314609495</v>
      </c>
      <c r="AK3454">
        <v>59.761126568929399</v>
      </c>
      <c r="AL3454">
        <v>78.207166993914797</v>
      </c>
      <c r="AM3454">
        <v>95.471654639887106</v>
      </c>
      <c r="AN3454">
        <v>0.99999997049788303</v>
      </c>
    </row>
    <row r="3455" spans="1:40" x14ac:dyDescent="0.25">
      <c r="A3455" t="str">
        <f>"20190304155124512"</f>
        <v>20190304155124512</v>
      </c>
      <c r="B3455" t="str">
        <f>"1551685884510224"</f>
        <v>1551685884510224</v>
      </c>
      <c r="C3455" t="s">
        <v>40</v>
      </c>
      <c r="D3455">
        <v>4.6620860000000004</v>
      </c>
      <c r="E3455">
        <v>0.52188840000000003</v>
      </c>
      <c r="F3455" t="s">
        <v>70</v>
      </c>
      <c r="G3455">
        <v>-361.88189999999997</v>
      </c>
      <c r="H3455" s="1">
        <v>-5.3531630000000003E-7</v>
      </c>
      <c r="I3455">
        <v>214.4127</v>
      </c>
      <c r="J3455">
        <v>-417.77229999999997</v>
      </c>
      <c r="K3455">
        <v>1.110501</v>
      </c>
      <c r="L3455">
        <v>213.35169999999999</v>
      </c>
      <c r="M3455">
        <v>0.99989930000000005</v>
      </c>
      <c r="N3455">
        <v>-9.3784999999999997E-3</v>
      </c>
      <c r="O3455">
        <v>-1.06575E-2</v>
      </c>
      <c r="P3455">
        <v>0.97729310000000003</v>
      </c>
      <c r="Q3455">
        <v>0.1951368</v>
      </c>
      <c r="R3455">
        <v>8.2584290000000005E-2</v>
      </c>
      <c r="S3455">
        <v>3.0769959999999998</v>
      </c>
      <c r="T3455">
        <v>-6.0833690000000003E-2</v>
      </c>
      <c r="U3455">
        <v>5.7983399999999997E-2</v>
      </c>
      <c r="V3455">
        <v>-9.3215729999999997E-2</v>
      </c>
      <c r="W3455">
        <v>0.20418449999999999</v>
      </c>
      <c r="X3455">
        <v>0.97448420000000002</v>
      </c>
      <c r="Y3455">
        <v>-2.9486749999999999E-2</v>
      </c>
      <c r="Z3455">
        <v>5.4046390000000001E-4</v>
      </c>
      <c r="AA3455">
        <v>0.99956500000000004</v>
      </c>
      <c r="AB3455">
        <v>29</v>
      </c>
      <c r="AC3455">
        <v>55.8904</v>
      </c>
      <c r="AD3455">
        <v>-1.1105015353162999</v>
      </c>
      <c r="AE3455">
        <v>1.0609999999999999</v>
      </c>
      <c r="AF3455">
        <v>-1.6559643094297101</v>
      </c>
      <c r="AG3455">
        <v>-1.1105015353162999</v>
      </c>
      <c r="AH3455">
        <v>55.853874953539602</v>
      </c>
      <c r="AI3455">
        <v>91.138519647818001</v>
      </c>
      <c r="AJ3455">
        <v>91.698216650176406</v>
      </c>
      <c r="AK3455">
        <v>55.889451408827497</v>
      </c>
      <c r="AL3455">
        <v>78.218235005551406</v>
      </c>
      <c r="AM3455">
        <v>95.464087390823295</v>
      </c>
      <c r="AN3455">
        <v>0.99999996920466006</v>
      </c>
    </row>
    <row r="3456" spans="1:40" x14ac:dyDescent="0.25">
      <c r="A3456" t="str">
        <f>"20190304155124534"</f>
        <v>20190304155124534</v>
      </c>
      <c r="B3456" t="str">
        <f>"1551685884529745"</f>
        <v>1551685884529745</v>
      </c>
      <c r="C3456" t="s">
        <v>40</v>
      </c>
      <c r="D3456">
        <v>4.6973039999999999</v>
      </c>
      <c r="E3456">
        <v>0.52169989999999999</v>
      </c>
      <c r="F3456" t="s">
        <v>70</v>
      </c>
      <c r="G3456">
        <v>-365.26990000000001</v>
      </c>
      <c r="H3456" s="1">
        <v>1.2675909999999999E-6</v>
      </c>
      <c r="I3456">
        <v>214.39529999999999</v>
      </c>
      <c r="J3456">
        <v>-417.48480000000001</v>
      </c>
      <c r="K3456">
        <v>1.1105020000000001</v>
      </c>
      <c r="L3456">
        <v>213.3492</v>
      </c>
      <c r="M3456">
        <v>0.9999055</v>
      </c>
      <c r="N3456">
        <v>-9.3818679999999998E-3</v>
      </c>
      <c r="O3456">
        <v>-1.0064429999999999E-2</v>
      </c>
      <c r="P3456">
        <v>0.97729429999999995</v>
      </c>
      <c r="Q3456">
        <v>0.19500729999999999</v>
      </c>
      <c r="R3456">
        <v>8.2874950000000003E-2</v>
      </c>
      <c r="S3456">
        <v>3.0775450000000002</v>
      </c>
      <c r="T3456">
        <v>-6.5094470000000001E-2</v>
      </c>
      <c r="U3456">
        <v>6.1172490000000003E-2</v>
      </c>
      <c r="V3456">
        <v>-9.2928709999999998E-2</v>
      </c>
      <c r="W3456">
        <v>0.20405899999999999</v>
      </c>
      <c r="X3456">
        <v>0.97453800000000002</v>
      </c>
      <c r="Y3456">
        <v>-2.9924639999999999E-2</v>
      </c>
      <c r="Z3456">
        <v>5.7524799999999999E-4</v>
      </c>
      <c r="AA3456">
        <v>0.999552</v>
      </c>
      <c r="AB3456">
        <v>29</v>
      </c>
      <c r="AC3456">
        <v>52.2149</v>
      </c>
      <c r="AD3456">
        <v>-1.1105007324089999</v>
      </c>
      <c r="AE3456">
        <v>1.04609999999999</v>
      </c>
      <c r="AF3456">
        <v>-1.57087300656007</v>
      </c>
      <c r="AG3456">
        <v>-1.1105007324089999</v>
      </c>
      <c r="AH3456">
        <v>52.178134435943498</v>
      </c>
      <c r="AI3456">
        <v>91.2186828720085</v>
      </c>
      <c r="AJ3456">
        <v>91.724423779797306</v>
      </c>
      <c r="AK3456">
        <v>52.2135860394094</v>
      </c>
      <c r="AL3456">
        <v>78.225581445437001</v>
      </c>
      <c r="AM3456">
        <v>95.447065392737102</v>
      </c>
      <c r="AN3456">
        <v>1.00000006703362</v>
      </c>
    </row>
    <row r="3457" spans="1:40" x14ac:dyDescent="0.25">
      <c r="A3457" t="str">
        <f>"20190304155124556"</f>
        <v>20190304155124556</v>
      </c>
      <c r="B3457" t="str">
        <f>"1551685884550239"</f>
        <v>1551685884550239</v>
      </c>
      <c r="C3457" t="s">
        <v>40</v>
      </c>
      <c r="D3457">
        <v>4.623507</v>
      </c>
      <c r="E3457">
        <v>0.52178199999999997</v>
      </c>
      <c r="F3457" t="s">
        <v>70</v>
      </c>
      <c r="G3457">
        <v>-366.32080000000002</v>
      </c>
      <c r="H3457" s="1">
        <v>1.826845E-6</v>
      </c>
      <c r="I3457">
        <v>214.4162</v>
      </c>
      <c r="J3457">
        <v>-417.19549999999998</v>
      </c>
      <c r="K3457">
        <v>1.110501</v>
      </c>
      <c r="L3457">
        <v>213.34690000000001</v>
      </c>
      <c r="M3457">
        <v>0.9999112</v>
      </c>
      <c r="N3457">
        <v>-9.3853029999999994E-3</v>
      </c>
      <c r="O3457">
        <v>-9.4702980000000003E-3</v>
      </c>
      <c r="P3457">
        <v>0.97723450000000001</v>
      </c>
      <c r="Q3457">
        <v>0.19518669999999999</v>
      </c>
      <c r="R3457">
        <v>8.3158620000000003E-2</v>
      </c>
      <c r="S3457">
        <v>3.0775760000000001</v>
      </c>
      <c r="T3457">
        <v>-6.6797969999999998E-2</v>
      </c>
      <c r="U3457">
        <v>6.4178470000000001E-2</v>
      </c>
      <c r="V3457">
        <v>-9.2632820000000005E-2</v>
      </c>
      <c r="W3457">
        <v>0.20424100000000001</v>
      </c>
      <c r="X3457">
        <v>0.97452799999999995</v>
      </c>
      <c r="Y3457">
        <v>-3.0305829999999999E-2</v>
      </c>
      <c r="Z3457">
        <v>5.8771259999999999E-4</v>
      </c>
      <c r="AA3457">
        <v>0.99954050000000005</v>
      </c>
      <c r="AB3457">
        <v>29</v>
      </c>
      <c r="AC3457">
        <v>50.874699999999898</v>
      </c>
      <c r="AD3457">
        <v>-1.110499173155</v>
      </c>
      <c r="AE3457">
        <v>1.0692999999999899</v>
      </c>
      <c r="AF3457">
        <v>-1.5503334348262401</v>
      </c>
      <c r="AG3457">
        <v>-1.110499173155</v>
      </c>
      <c r="AH3457">
        <v>50.838079358352701</v>
      </c>
      <c r="AI3457">
        <v>91.250779897319703</v>
      </c>
      <c r="AJ3457">
        <v>91.746722993497201</v>
      </c>
      <c r="AK3457">
        <v>50.873834679714101</v>
      </c>
      <c r="AL3457">
        <v>78.214928762322799</v>
      </c>
      <c r="AM3457">
        <v>95.429880849504002</v>
      </c>
      <c r="AN3457">
        <v>1.00000002410307</v>
      </c>
    </row>
    <row r="3458" spans="1:40" x14ac:dyDescent="0.25">
      <c r="A3458" t="str">
        <f>"20190304155124579"</f>
        <v>20190304155124579</v>
      </c>
      <c r="B3458" t="str">
        <f>"1551685884569759"</f>
        <v>1551685884569759</v>
      </c>
      <c r="C3458" t="s">
        <v>40</v>
      </c>
      <c r="D3458">
        <v>4.6995310000000003</v>
      </c>
      <c r="E3458">
        <v>0.52234239999999998</v>
      </c>
      <c r="F3458" t="s">
        <v>70</v>
      </c>
      <c r="G3458">
        <v>-367.86880000000002</v>
      </c>
      <c r="H3458" s="1">
        <v>2.6506040000000002E-6</v>
      </c>
      <c r="I3458">
        <v>214.38</v>
      </c>
      <c r="J3458">
        <v>-416.89150000000001</v>
      </c>
      <c r="K3458">
        <v>1.110498</v>
      </c>
      <c r="L3458">
        <v>213.34469999999999</v>
      </c>
      <c r="M3458">
        <v>0.99991680000000005</v>
      </c>
      <c r="N3458">
        <v>-9.3890680000000004E-3</v>
      </c>
      <c r="O3458">
        <v>-8.849104E-3</v>
      </c>
      <c r="P3458">
        <v>0.97722549999999997</v>
      </c>
      <c r="Q3458">
        <v>0.19513549999999999</v>
      </c>
      <c r="R3458">
        <v>8.3382170000000005E-2</v>
      </c>
      <c r="S3458">
        <v>3.078217</v>
      </c>
      <c r="T3458">
        <v>-6.9300290000000001E-2</v>
      </c>
      <c r="U3458">
        <v>6.4468380000000006E-2</v>
      </c>
      <c r="V3458">
        <v>-9.2250369999999998E-2</v>
      </c>
      <c r="W3458">
        <v>0.20419380000000001</v>
      </c>
      <c r="X3458">
        <v>0.9745741</v>
      </c>
      <c r="Y3458">
        <v>-2.9774109999999999E-2</v>
      </c>
      <c r="Z3458">
        <v>5.9100050000000001E-4</v>
      </c>
      <c r="AA3458">
        <v>0.99955649999999996</v>
      </c>
      <c r="AB3458">
        <v>29</v>
      </c>
      <c r="AC3458">
        <v>49.022699999999901</v>
      </c>
      <c r="AD3458">
        <v>-1.1104953493959999</v>
      </c>
      <c r="AE3458">
        <v>1.0353000000000001</v>
      </c>
      <c r="AF3458">
        <v>-1.4683324086966101</v>
      </c>
      <c r="AG3458">
        <v>-1.1104953493959999</v>
      </c>
      <c r="AH3458">
        <v>48.986492605194101</v>
      </c>
      <c r="AI3458">
        <v>91.298056840254901</v>
      </c>
      <c r="AJ3458">
        <v>91.716882830499202</v>
      </c>
      <c r="AK3458">
        <v>49.021073608624597</v>
      </c>
      <c r="AL3458">
        <v>78.217690547577803</v>
      </c>
      <c r="AM3458">
        <v>95.407341570477698</v>
      </c>
      <c r="AN3458">
        <v>0.99999995755719195</v>
      </c>
    </row>
    <row r="3459" spans="1:40" x14ac:dyDescent="0.25">
      <c r="A3459" t="str">
        <f>"20190304155124600"</f>
        <v>20190304155124600</v>
      </c>
      <c r="B3459" t="str">
        <f>"1551685884590255"</f>
        <v>1551685884590255</v>
      </c>
      <c r="C3459" t="s">
        <v>40</v>
      </c>
      <c r="D3459">
        <v>4.6462459999999997</v>
      </c>
      <c r="E3459">
        <v>0.52297879999999997</v>
      </c>
      <c r="F3459" t="s">
        <v>70</v>
      </c>
      <c r="G3459">
        <v>-367.19670000000002</v>
      </c>
      <c r="H3459" s="1">
        <v>2.292944E-6</v>
      </c>
      <c r="I3459">
        <v>214.33439999999999</v>
      </c>
      <c r="J3459">
        <v>-416.60579999999999</v>
      </c>
      <c r="K3459">
        <v>1.1105080000000001</v>
      </c>
      <c r="L3459">
        <v>213.34270000000001</v>
      </c>
      <c r="M3459">
        <v>0.99992190000000003</v>
      </c>
      <c r="N3459">
        <v>-9.3928129999999999E-3</v>
      </c>
      <c r="O3459">
        <v>-8.2673709999999904E-3</v>
      </c>
      <c r="P3459">
        <v>0.97719239999999996</v>
      </c>
      <c r="Q3459">
        <v>0.19531480000000001</v>
      </c>
      <c r="R3459">
        <v>8.3351480000000006E-2</v>
      </c>
      <c r="S3459">
        <v>3.07843</v>
      </c>
      <c r="T3459">
        <v>-6.879151E-2</v>
      </c>
      <c r="U3459">
        <v>6.1309809999999999E-2</v>
      </c>
      <c r="V3459">
        <v>-9.165239E-2</v>
      </c>
      <c r="W3459">
        <v>0.2043778</v>
      </c>
      <c r="X3459">
        <v>0.97459200000000001</v>
      </c>
      <c r="Y3459">
        <v>-2.8166719999999999E-2</v>
      </c>
      <c r="Z3459">
        <v>5.5402689999999998E-4</v>
      </c>
      <c r="AA3459">
        <v>0.99960309999999997</v>
      </c>
      <c r="AB3459">
        <v>29</v>
      </c>
      <c r="AC3459">
        <v>49.409099999999903</v>
      </c>
      <c r="AD3459">
        <v>-1.1105057070559901</v>
      </c>
      <c r="AE3459">
        <v>0.99169999999998004</v>
      </c>
      <c r="AF3459">
        <v>-1.3994607436734801</v>
      </c>
      <c r="AG3459">
        <v>-1.1105057070559901</v>
      </c>
      <c r="AH3459">
        <v>49.374280373346302</v>
      </c>
      <c r="AI3459">
        <v>91.287938452177698</v>
      </c>
      <c r="AJ3459">
        <v>91.623552413849595</v>
      </c>
      <c r="AK3459">
        <v>49.406591419407697</v>
      </c>
      <c r="AL3459">
        <v>78.206921588585502</v>
      </c>
      <c r="AM3459">
        <v>95.372398074414306</v>
      </c>
      <c r="AN3459">
        <v>1.00000000609477</v>
      </c>
    </row>
    <row r="3460" spans="1:40" x14ac:dyDescent="0.25">
      <c r="A3460" t="str">
        <f>"20190304155124624"</f>
        <v>20190304155124624</v>
      </c>
      <c r="B3460" t="str">
        <f>"1551685884619535"</f>
        <v>1551685884619535</v>
      </c>
      <c r="C3460" t="s">
        <v>40</v>
      </c>
      <c r="D3460">
        <v>4.6591630000000004</v>
      </c>
      <c r="E3460">
        <v>0.52394030000000003</v>
      </c>
      <c r="F3460" t="s">
        <v>70</v>
      </c>
      <c r="G3460">
        <v>-365.3997</v>
      </c>
      <c r="H3460" s="1">
        <v>1.336644E-6</v>
      </c>
      <c r="I3460">
        <v>214.28049999999999</v>
      </c>
      <c r="J3460">
        <v>-416.31200000000001</v>
      </c>
      <c r="K3460">
        <v>1.1105080000000001</v>
      </c>
      <c r="L3460">
        <v>213.3409</v>
      </c>
      <c r="M3460">
        <v>0.99992639999999999</v>
      </c>
      <c r="N3460">
        <v>-9.3968019999999992E-3</v>
      </c>
      <c r="O3460">
        <v>-7.6702630000000001E-3</v>
      </c>
      <c r="P3460">
        <v>0.97705839999999999</v>
      </c>
      <c r="Q3460">
        <v>0.1959399</v>
      </c>
      <c r="R3460">
        <v>8.3453029999999997E-2</v>
      </c>
      <c r="S3460">
        <v>3.0785520000000002</v>
      </c>
      <c r="T3460">
        <v>-6.6764470000000006E-2</v>
      </c>
      <c r="U3460">
        <v>5.6381229999999997E-2</v>
      </c>
      <c r="V3460">
        <v>-9.1171710000000003E-2</v>
      </c>
      <c r="W3460">
        <v>0.20500599999999999</v>
      </c>
      <c r="X3460">
        <v>0.97450510000000001</v>
      </c>
      <c r="Y3460">
        <v>-2.597058E-2</v>
      </c>
      <c r="Z3460">
        <v>4.9785569999999998E-4</v>
      </c>
      <c r="AA3460">
        <v>0.99966259999999996</v>
      </c>
      <c r="AB3460">
        <v>29</v>
      </c>
      <c r="AC3460">
        <v>50.912299999999902</v>
      </c>
      <c r="AD3460">
        <v>-1.1105066633559999</v>
      </c>
      <c r="AE3460">
        <v>0.939599999999984</v>
      </c>
      <c r="AF3460">
        <v>-1.32946803717474</v>
      </c>
      <c r="AG3460">
        <v>-1.1105066633559999</v>
      </c>
      <c r="AH3460">
        <v>50.879396248076297</v>
      </c>
      <c r="AI3460">
        <v>91.249927258404398</v>
      </c>
      <c r="AJ3460">
        <v>91.496786207203598</v>
      </c>
      <c r="AK3460">
        <v>50.908876169878098</v>
      </c>
      <c r="AL3460">
        <v>78.170149300864495</v>
      </c>
      <c r="AM3460">
        <v>95.344859395092101</v>
      </c>
      <c r="AN3460">
        <v>0.99999996533316604</v>
      </c>
    </row>
    <row r="3461" spans="1:40" x14ac:dyDescent="0.25">
      <c r="A3461" t="str">
        <f>"20190304155124646"</f>
        <v>20190304155124646</v>
      </c>
      <c r="B3461" t="str">
        <f>"1551685884640031"</f>
        <v>1551685884640031</v>
      </c>
      <c r="C3461" t="s">
        <v>40</v>
      </c>
      <c r="D3461">
        <v>4.6499509999999997</v>
      </c>
      <c r="E3461">
        <v>0.52453260000000002</v>
      </c>
      <c r="F3461" t="s">
        <v>70</v>
      </c>
      <c r="G3461">
        <v>-361.5958</v>
      </c>
      <c r="H3461" s="1">
        <v>-6.8758539999999997E-7</v>
      </c>
      <c r="I3461">
        <v>214.21299999999999</v>
      </c>
      <c r="J3461">
        <v>-416.01150000000001</v>
      </c>
      <c r="K3461">
        <v>1.1105149999999999</v>
      </c>
      <c r="L3461">
        <v>213.33920000000001</v>
      </c>
      <c r="M3461">
        <v>0.99993100000000001</v>
      </c>
      <c r="N3461">
        <v>-9.4010699999999992E-3</v>
      </c>
      <c r="O3461">
        <v>-7.0607619999999999E-3</v>
      </c>
      <c r="P3461">
        <v>0.97691709999999998</v>
      </c>
      <c r="Q3461">
        <v>0.1966397</v>
      </c>
      <c r="R3461">
        <v>8.3461839999999995E-2</v>
      </c>
      <c r="S3461">
        <v>3.0787960000000001</v>
      </c>
      <c r="T3461">
        <v>-6.2486649999999998E-2</v>
      </c>
      <c r="U3461">
        <v>4.9072270000000001E-2</v>
      </c>
      <c r="V3461">
        <v>-9.0586020000000003E-2</v>
      </c>
      <c r="W3461">
        <v>0.2057088</v>
      </c>
      <c r="X3461">
        <v>0.97441169999999999</v>
      </c>
      <c r="Y3461">
        <v>-2.2989200000000001E-2</v>
      </c>
      <c r="Z3461">
        <v>4.1824970000000001E-4</v>
      </c>
      <c r="AA3461">
        <v>0.9997357</v>
      </c>
      <c r="AB3461">
        <v>29</v>
      </c>
      <c r="AC3461">
        <v>54.415700000000001</v>
      </c>
      <c r="AD3461">
        <v>-1.1105156875854001</v>
      </c>
      <c r="AE3461">
        <v>0.87379999999998803</v>
      </c>
      <c r="AF3461">
        <v>-1.25748786516184</v>
      </c>
      <c r="AG3461">
        <v>-1.1105156875854001</v>
      </c>
      <c r="AH3461">
        <v>54.385528467158302</v>
      </c>
      <c r="AI3461">
        <v>91.169466005111403</v>
      </c>
      <c r="AJ3461">
        <v>91.324541917123497</v>
      </c>
      <c r="AK3461">
        <v>54.411397955534099</v>
      </c>
      <c r="AL3461">
        <v>78.129005927062195</v>
      </c>
      <c r="AM3461">
        <v>95.311226932692193</v>
      </c>
      <c r="AN3461">
        <v>1.0000000492568799</v>
      </c>
    </row>
    <row r="3462" spans="1:40" x14ac:dyDescent="0.25">
      <c r="A3462" t="str">
        <f>"20190304155124671"</f>
        <v>20190304155124671</v>
      </c>
      <c r="B3462" t="str">
        <f>"1551685884659551"</f>
        <v>1551685884659551</v>
      </c>
      <c r="C3462" t="s">
        <v>40</v>
      </c>
      <c r="D3462">
        <v>4.6672789999999997</v>
      </c>
      <c r="E3462">
        <v>0.5251825</v>
      </c>
      <c r="F3462" t="s">
        <v>70</v>
      </c>
      <c r="G3462">
        <v>-358.23070000000001</v>
      </c>
      <c r="H3462" s="1">
        <v>2.86268E-6</v>
      </c>
      <c r="I3462">
        <v>214.17</v>
      </c>
      <c r="J3462">
        <v>-415.6995</v>
      </c>
      <c r="K3462">
        <v>1.1105179999999999</v>
      </c>
      <c r="L3462">
        <v>213.33770000000001</v>
      </c>
      <c r="M3462">
        <v>0.99993520000000002</v>
      </c>
      <c r="N3462">
        <v>-9.4057140000000008E-3</v>
      </c>
      <c r="O3462">
        <v>-6.4279009999999998E-3</v>
      </c>
      <c r="P3462">
        <v>0.97675319999999999</v>
      </c>
      <c r="Q3462">
        <v>0.19746530000000001</v>
      </c>
      <c r="R3462">
        <v>8.3429260000000005E-2</v>
      </c>
      <c r="S3462">
        <v>3.0789789999999999</v>
      </c>
      <c r="T3462">
        <v>-5.9176090000000001E-2</v>
      </c>
      <c r="U3462">
        <v>4.426575E-2</v>
      </c>
      <c r="V3462">
        <v>-8.9935710000000002E-2</v>
      </c>
      <c r="W3462">
        <v>0.2065389</v>
      </c>
      <c r="X3462">
        <v>0.9742963</v>
      </c>
      <c r="Y3462">
        <v>-2.0796470000000001E-2</v>
      </c>
      <c r="Z3462">
        <v>3.6071170000000002E-4</v>
      </c>
      <c r="AA3462">
        <v>0.99978370000000005</v>
      </c>
      <c r="AB3462">
        <v>29</v>
      </c>
      <c r="AC3462">
        <v>57.468799999999902</v>
      </c>
      <c r="AD3462">
        <v>-1.11051513732</v>
      </c>
      <c r="AE3462">
        <v>0.83229999999997495</v>
      </c>
      <c r="AF3462">
        <v>-1.20125440195084</v>
      </c>
      <c r="AG3462">
        <v>-1.11051513732</v>
      </c>
      <c r="AH3462">
        <v>57.440818042462404</v>
      </c>
      <c r="AI3462">
        <v>91.107331039175804</v>
      </c>
      <c r="AJ3462">
        <v>91.198046590177796</v>
      </c>
      <c r="AK3462">
        <v>57.4641090890279</v>
      </c>
      <c r="AL3462">
        <v>78.080400535483093</v>
      </c>
      <c r="AM3462">
        <v>95.273934845966707</v>
      </c>
      <c r="AN3462">
        <v>1.0000000146700501</v>
      </c>
    </row>
    <row r="3463" spans="1:40" x14ac:dyDescent="0.25">
      <c r="A3463" t="str">
        <f>"20190304155124691"</f>
        <v>20190304155124691</v>
      </c>
      <c r="B3463" t="str">
        <f>"1551685884680048"</f>
        <v>1551685884680048</v>
      </c>
      <c r="C3463" t="s">
        <v>40</v>
      </c>
      <c r="D3463">
        <v>4.6278670000000002</v>
      </c>
      <c r="E3463">
        <v>0.52570869999999903</v>
      </c>
      <c r="F3463" t="s">
        <v>70</v>
      </c>
      <c r="G3463">
        <v>-354.0059</v>
      </c>
      <c r="H3463" s="1">
        <v>6.16061E-7</v>
      </c>
      <c r="I3463">
        <v>214.1335</v>
      </c>
      <c r="J3463">
        <v>-415.4169</v>
      </c>
      <c r="K3463">
        <v>1.110517</v>
      </c>
      <c r="L3463">
        <v>213.3365</v>
      </c>
      <c r="M3463">
        <v>0.99993869999999896</v>
      </c>
      <c r="N3463">
        <v>-9.409845E-3</v>
      </c>
      <c r="O3463">
        <v>-5.8567960000000001E-3</v>
      </c>
      <c r="P3463">
        <v>0.97663219999999995</v>
      </c>
      <c r="Q3463">
        <v>0.1982015</v>
      </c>
      <c r="R3463">
        <v>8.3103060000000006E-2</v>
      </c>
      <c r="S3463">
        <v>3.079224</v>
      </c>
      <c r="T3463">
        <v>-5.5427669999999998E-2</v>
      </c>
      <c r="U3463">
        <v>3.9718629999999998E-2</v>
      </c>
      <c r="V3463">
        <v>-8.9052179999999995E-2</v>
      </c>
      <c r="W3463">
        <v>0.2072792</v>
      </c>
      <c r="X3463">
        <v>0.97422019999999998</v>
      </c>
      <c r="Y3463">
        <v>-1.874934E-2</v>
      </c>
      <c r="Z3463">
        <v>3.0726419999999998E-4</v>
      </c>
      <c r="AA3463">
        <v>0.99982420000000005</v>
      </c>
      <c r="AB3463">
        <v>29</v>
      </c>
      <c r="AC3463">
        <v>61.411000000000001</v>
      </c>
      <c r="AD3463">
        <v>-1.110516383939</v>
      </c>
      <c r="AE3463">
        <v>0.79699999999999704</v>
      </c>
      <c r="AF3463">
        <v>-1.1562958543288999</v>
      </c>
      <c r="AG3463">
        <v>-1.110516383939</v>
      </c>
      <c r="AH3463">
        <v>61.385208525595097</v>
      </c>
      <c r="AI3463">
        <v>91.036237910556196</v>
      </c>
      <c r="AJ3463">
        <v>91.079136812043302</v>
      </c>
      <c r="AK3463">
        <v>61.406140511129102</v>
      </c>
      <c r="AL3463">
        <v>78.037045843868896</v>
      </c>
      <c r="AM3463">
        <v>95.222817200793699</v>
      </c>
      <c r="AN3463">
        <v>0.99999997780171501</v>
      </c>
    </row>
    <row r="3464" spans="1:40" x14ac:dyDescent="0.25">
      <c r="A3464" t="str">
        <f>"20190304155124713"</f>
        <v>20190304155124713</v>
      </c>
      <c r="B3464" t="str">
        <f>"1551685884710303"</f>
        <v>1551685884710303</v>
      </c>
      <c r="C3464" t="s">
        <v>40</v>
      </c>
      <c r="D3464">
        <v>4.6311429999999998</v>
      </c>
      <c r="E3464">
        <v>0.52614329999999998</v>
      </c>
      <c r="F3464" t="s">
        <v>70</v>
      </c>
      <c r="G3464">
        <v>-349.5958</v>
      </c>
      <c r="H3464" s="1">
        <v>3.5696289999999998E-6</v>
      </c>
      <c r="I3464">
        <v>214.07259999999999</v>
      </c>
      <c r="J3464">
        <v>-415.13529999999997</v>
      </c>
      <c r="K3464">
        <v>1.110514</v>
      </c>
      <c r="L3464">
        <v>213.33539999999999</v>
      </c>
      <c r="M3464">
        <v>0.99994170000000004</v>
      </c>
      <c r="N3464">
        <v>-9.4140249999999995E-3</v>
      </c>
      <c r="O3464">
        <v>-5.2896319999999998E-3</v>
      </c>
      <c r="P3464">
        <v>0.97669969999999995</v>
      </c>
      <c r="Q3464">
        <v>0.1978925</v>
      </c>
      <c r="R3464">
        <v>8.3045530000000006E-2</v>
      </c>
      <c r="S3464">
        <v>3.079437</v>
      </c>
      <c r="T3464">
        <v>-5.1955340000000003E-2</v>
      </c>
      <c r="U3464">
        <v>3.4439089999999999E-2</v>
      </c>
      <c r="V3464">
        <v>-8.8441060000000002E-2</v>
      </c>
      <c r="W3464">
        <v>0.2069761</v>
      </c>
      <c r="X3464">
        <v>0.97434030000000005</v>
      </c>
      <c r="Y3464">
        <v>-1.6468449999999999E-2</v>
      </c>
      <c r="Z3464">
        <v>2.5588290000000001E-4</v>
      </c>
      <c r="AA3464">
        <v>0.99986430000000004</v>
      </c>
      <c r="AB3464">
        <v>30</v>
      </c>
      <c r="AC3464">
        <v>65.539499999999904</v>
      </c>
      <c r="AD3464">
        <v>-1.1105104303710001</v>
      </c>
      <c r="AE3464">
        <v>0.73720000000000097</v>
      </c>
      <c r="AF3464">
        <v>-1.0835738248776401</v>
      </c>
      <c r="AG3464">
        <v>-1.1105104303710001</v>
      </c>
      <c r="AH3464">
        <v>65.515875836942001</v>
      </c>
      <c r="AI3464">
        <v>90.970951990676795</v>
      </c>
      <c r="AJ3464">
        <v>90.947534413823504</v>
      </c>
      <c r="AK3464">
        <v>65.534245645551707</v>
      </c>
      <c r="AL3464">
        <v>78.054797100787397</v>
      </c>
      <c r="AM3464">
        <v>95.186535947015798</v>
      </c>
      <c r="AN3464">
        <v>0.99999997363461102</v>
      </c>
    </row>
    <row r="3465" spans="1:40" x14ac:dyDescent="0.25">
      <c r="A3465" t="str">
        <f>"20190304155124735"</f>
        <v>20190304155124735</v>
      </c>
      <c r="B3465" t="str">
        <f>"1551685884729824"</f>
        <v>1551685884729824</v>
      </c>
      <c r="C3465" t="s">
        <v>40</v>
      </c>
      <c r="D3465">
        <v>4.6938649999999997</v>
      </c>
      <c r="E3465">
        <v>0.54993840000000005</v>
      </c>
      <c r="F3465" t="s">
        <v>70</v>
      </c>
      <c r="G3465">
        <v>-349.10129999999998</v>
      </c>
      <c r="H3465" s="1">
        <v>3.3064990000000002E-6</v>
      </c>
      <c r="I3465">
        <v>213.9931</v>
      </c>
      <c r="J3465">
        <v>-414.84050000000002</v>
      </c>
      <c r="K3465">
        <v>1.1105080000000001</v>
      </c>
      <c r="L3465">
        <v>213.33449999999999</v>
      </c>
      <c r="M3465">
        <v>0.99994459999999996</v>
      </c>
      <c r="N3465">
        <v>-9.4185239999999993E-3</v>
      </c>
      <c r="O3465">
        <v>-4.7021040000000004E-3</v>
      </c>
      <c r="P3465">
        <v>0.97677789999999998</v>
      </c>
      <c r="Q3465">
        <v>0.19735349999999999</v>
      </c>
      <c r="R3465">
        <v>8.3408270000000007E-2</v>
      </c>
      <c r="S3465">
        <v>3.079437</v>
      </c>
      <c r="T3465">
        <v>-5.1787729999999997E-2</v>
      </c>
      <c r="U3465">
        <v>3.067017E-2</v>
      </c>
      <c r="V3465">
        <v>-8.8229119999999994E-2</v>
      </c>
      <c r="W3465">
        <v>0.2064433</v>
      </c>
      <c r="X3465">
        <v>0.97447260000000002</v>
      </c>
      <c r="Y3465">
        <v>-1.465778E-2</v>
      </c>
      <c r="Z3465">
        <v>2.2706239999999999E-4</v>
      </c>
      <c r="AA3465">
        <v>0.99989249999999996</v>
      </c>
      <c r="AB3465">
        <v>30</v>
      </c>
      <c r="AC3465">
        <v>65.739199999999997</v>
      </c>
      <c r="AD3465">
        <v>-1.1105046935009999</v>
      </c>
      <c r="AE3465">
        <v>0.65860000000000696</v>
      </c>
      <c r="AF3465">
        <v>-0.96744294081266102</v>
      </c>
      <c r="AG3465">
        <v>-1.1105046935009999</v>
      </c>
      <c r="AH3465">
        <v>65.716625283356507</v>
      </c>
      <c r="AI3465">
        <v>90.968009006652196</v>
      </c>
      <c r="AJ3465">
        <v>90.843415093315201</v>
      </c>
      <c r="AK3465">
        <v>65.733127151772607</v>
      </c>
      <c r="AL3465">
        <v>78.085998856715804</v>
      </c>
      <c r="AM3465">
        <v>95.173475822576506</v>
      </c>
      <c r="AN3465">
        <v>1.0000000309408099</v>
      </c>
    </row>
    <row r="3466" spans="1:40" x14ac:dyDescent="0.25">
      <c r="A3466" t="str">
        <f>"20190304155124758"</f>
        <v>20190304155124758</v>
      </c>
      <c r="B3466" t="str">
        <f>"1551685884750320"</f>
        <v>1551685884750320</v>
      </c>
      <c r="C3466" t="s">
        <v>40</v>
      </c>
      <c r="D3466">
        <v>4.6374380000000004</v>
      </c>
      <c r="E3466">
        <v>0.54704149999999996</v>
      </c>
      <c r="F3466" t="s">
        <v>58</v>
      </c>
      <c r="G3466">
        <v>-168.4126</v>
      </c>
      <c r="H3466">
        <v>0.60391139999999999</v>
      </c>
      <c r="I3466">
        <v>200.83750000000001</v>
      </c>
      <c r="J3466">
        <v>-414.5471</v>
      </c>
      <c r="K3466">
        <v>1.110501</v>
      </c>
      <c r="L3466">
        <v>213.33369999999999</v>
      </c>
      <c r="M3466">
        <v>0.99994720000000004</v>
      </c>
      <c r="N3466">
        <v>-9.423051E-3</v>
      </c>
      <c r="O3466">
        <v>-4.1281999999999899E-3</v>
      </c>
      <c r="P3466">
        <v>0.97672139999999996</v>
      </c>
      <c r="Q3466">
        <v>0.197238</v>
      </c>
      <c r="R3466">
        <v>8.4335789999999994E-2</v>
      </c>
      <c r="S3466">
        <v>3.0859070000000002</v>
      </c>
      <c r="T3466">
        <v>-6.3434839999999999E-3</v>
      </c>
      <c r="U3466">
        <v>-0.1564941</v>
      </c>
      <c r="V3466">
        <v>-8.8592740000000003E-2</v>
      </c>
      <c r="W3466">
        <v>0.20633270000000001</v>
      </c>
      <c r="X3466">
        <v>0.97446299999999997</v>
      </c>
      <c r="Y3466">
        <v>4.6523490000000001E-2</v>
      </c>
      <c r="Z3466">
        <v>-2.9752730000000001E-4</v>
      </c>
      <c r="AA3466">
        <v>0.99891719999999895</v>
      </c>
      <c r="AB3466">
        <v>30</v>
      </c>
      <c r="AC3466">
        <v>246.1345</v>
      </c>
      <c r="AD3466">
        <v>-0.50658959999999897</v>
      </c>
      <c r="AE3466">
        <v>-12.4961999999999</v>
      </c>
      <c r="AF3466">
        <v>11.479907568602</v>
      </c>
      <c r="AG3466">
        <v>-0.50658959999999897</v>
      </c>
      <c r="AH3466">
        <v>246.18295140832399</v>
      </c>
      <c r="AI3466">
        <v>90.117773787252602</v>
      </c>
      <c r="AJ3466">
        <v>87.330139600169105</v>
      </c>
      <c r="AK3466">
        <v>246.450990005964</v>
      </c>
      <c r="AL3466">
        <v>78.092474800192605</v>
      </c>
      <c r="AM3466">
        <v>95.194731829277799</v>
      </c>
      <c r="AN3466">
        <v>0.99999999751949797</v>
      </c>
    </row>
    <row r="3467" spans="1:40" x14ac:dyDescent="0.25">
      <c r="A3467" t="str">
        <f>"20190304155124781"</f>
        <v>20190304155124781</v>
      </c>
      <c r="B3467" t="str">
        <f>"1551685884769848"</f>
        <v>1551685884769848</v>
      </c>
      <c r="C3467" t="s">
        <v>40</v>
      </c>
      <c r="D3467">
        <v>4.6408820000000004</v>
      </c>
      <c r="E3467">
        <v>0.54643750000000002</v>
      </c>
      <c r="F3467" t="s">
        <v>58</v>
      </c>
      <c r="G3467">
        <v>-168.4117</v>
      </c>
      <c r="H3467">
        <v>0.2086182</v>
      </c>
      <c r="I3467">
        <v>202.93950000000001</v>
      </c>
      <c r="J3467">
        <v>-414.23079999999999</v>
      </c>
      <c r="K3467">
        <v>1.110487</v>
      </c>
      <c r="L3467">
        <v>213.333</v>
      </c>
      <c r="M3467">
        <v>0.99994939999999999</v>
      </c>
      <c r="N3467">
        <v>-9.4278399999999998E-3</v>
      </c>
      <c r="O3467">
        <v>-3.528125E-3</v>
      </c>
      <c r="P3467">
        <v>0.97659300000000004</v>
      </c>
      <c r="Q3467">
        <v>0.19728960000000001</v>
      </c>
      <c r="R3467">
        <v>8.5692199999999996E-2</v>
      </c>
      <c r="S3467">
        <v>3.0850219999999999</v>
      </c>
      <c r="T3467">
        <v>-1.130366E-2</v>
      </c>
      <c r="U3467">
        <v>-0.13027949999999999</v>
      </c>
      <c r="V3467">
        <v>-8.9357370000000005E-2</v>
      </c>
      <c r="W3467">
        <v>0.20639009999999999</v>
      </c>
      <c r="X3467">
        <v>0.97438100000000005</v>
      </c>
      <c r="Y3467">
        <v>3.8665819999999997E-2</v>
      </c>
      <c r="Z3467">
        <v>-2.7348820000000002E-4</v>
      </c>
      <c r="AA3467">
        <v>0.99925209999999998</v>
      </c>
      <c r="AB3467">
        <v>30</v>
      </c>
      <c r="AC3467">
        <v>245.81909999999999</v>
      </c>
      <c r="AD3467">
        <v>-0.90186880000000003</v>
      </c>
      <c r="AE3467">
        <v>-10.3934999999999</v>
      </c>
      <c r="AF3467">
        <v>9.5259883123603792</v>
      </c>
      <c r="AG3467">
        <v>-0.90186880000000003</v>
      </c>
      <c r="AH3467">
        <v>245.850937789249</v>
      </c>
      <c r="AI3467">
        <v>90.210022786169404</v>
      </c>
      <c r="AJ3467">
        <v>87.7810699640808</v>
      </c>
      <c r="AK3467">
        <v>246.03707328878801</v>
      </c>
      <c r="AL3467">
        <v>78.089113381442303</v>
      </c>
      <c r="AM3467">
        <v>95.2397567477378</v>
      </c>
      <c r="AN3467">
        <v>0.99999997305616295</v>
      </c>
    </row>
    <row r="3468" spans="1:40" x14ac:dyDescent="0.25">
      <c r="A3468" t="str">
        <f>"20190304155124803"</f>
        <v>20190304155124803</v>
      </c>
      <c r="B3468" t="str">
        <f>"1551685884800096"</f>
        <v>1551685884800096</v>
      </c>
      <c r="C3468" t="s">
        <v>40</v>
      </c>
      <c r="D3468">
        <v>4.590122</v>
      </c>
      <c r="E3468">
        <v>0.54621489999999995</v>
      </c>
      <c r="F3468" t="s">
        <v>70</v>
      </c>
      <c r="G3468">
        <v>-231.26679999999999</v>
      </c>
      <c r="H3468">
        <v>8.0001459999999996E-2</v>
      </c>
      <c r="I3468">
        <v>206.15450000000001</v>
      </c>
      <c r="J3468">
        <v>-413.9452</v>
      </c>
      <c r="K3468">
        <v>1.1104719999999999</v>
      </c>
      <c r="L3468">
        <v>213.33260000000001</v>
      </c>
      <c r="M3468">
        <v>0.99995109999999998</v>
      </c>
      <c r="N3468">
        <v>-9.4320329999999994E-3</v>
      </c>
      <c r="O3468">
        <v>-3.0095059999999999E-3</v>
      </c>
      <c r="P3468">
        <v>0.97653789999999996</v>
      </c>
      <c r="Q3468">
        <v>0.19712089999999999</v>
      </c>
      <c r="R3468">
        <v>8.6701360000000005E-2</v>
      </c>
      <c r="S3468">
        <v>3.0860289999999999</v>
      </c>
      <c r="T3468">
        <v>-1.7381069999999998E-2</v>
      </c>
      <c r="U3468">
        <v>-0.12107850000000001</v>
      </c>
      <c r="V3468">
        <v>-8.9852059999999997E-2</v>
      </c>
      <c r="W3468">
        <v>0.2062282</v>
      </c>
      <c r="X3468">
        <v>0.97436979999999995</v>
      </c>
      <c r="Y3468">
        <v>3.619522E-2</v>
      </c>
      <c r="Z3468">
        <v>-2.840923E-4</v>
      </c>
      <c r="AA3468">
        <v>0.99934469999999997</v>
      </c>
      <c r="AB3468">
        <v>30</v>
      </c>
      <c r="AC3468">
        <v>182.67840000000001</v>
      </c>
      <c r="AD3468">
        <v>-1.0304705399999901</v>
      </c>
      <c r="AE3468">
        <v>-7.1780999999999997</v>
      </c>
      <c r="AF3468">
        <v>6.6280607764574402</v>
      </c>
      <c r="AG3468">
        <v>-1.0304705399999901</v>
      </c>
      <c r="AH3468">
        <v>182.69337185199299</v>
      </c>
      <c r="AI3468">
        <v>90.322957367928893</v>
      </c>
      <c r="AJ3468">
        <v>87.922237566595498</v>
      </c>
      <c r="AK3468">
        <v>182.81646856298499</v>
      </c>
      <c r="AL3468">
        <v>78.098593662002401</v>
      </c>
      <c r="AM3468">
        <v>95.268661909143702</v>
      </c>
      <c r="AN3468">
        <v>0.99999998515676103</v>
      </c>
    </row>
    <row r="3469" spans="1:40" x14ac:dyDescent="0.25">
      <c r="A3469" t="str">
        <f>"20190304155124825"</f>
        <v>20190304155124825</v>
      </c>
      <c r="B3469" t="str">
        <f>"1551685884819615"</f>
        <v>1551685884819615</v>
      </c>
      <c r="C3469" t="s">
        <v>40</v>
      </c>
      <c r="D3469">
        <v>4.5967880000000001</v>
      </c>
      <c r="E3469">
        <v>0.54581440000000003</v>
      </c>
      <c r="F3469" t="s">
        <v>70</v>
      </c>
      <c r="G3469">
        <v>-235.55619999999999</v>
      </c>
      <c r="H3469">
        <v>8.0001639999999999E-2</v>
      </c>
      <c r="I3469">
        <v>206.63159999999999</v>
      </c>
      <c r="J3469">
        <v>-413.64640000000003</v>
      </c>
      <c r="K3469">
        <v>1.110447</v>
      </c>
      <c r="L3469">
        <v>213.3322</v>
      </c>
      <c r="M3469">
        <v>0.99995250000000002</v>
      </c>
      <c r="N3469">
        <v>-9.4365000000000004E-3</v>
      </c>
      <c r="O3469">
        <v>-2.496673E-3</v>
      </c>
      <c r="P3469">
        <v>0.97657870000000002</v>
      </c>
      <c r="Q3469">
        <v>0.1965664</v>
      </c>
      <c r="R3469">
        <v>8.7498149999999997E-2</v>
      </c>
      <c r="S3469">
        <v>3.0859679999999998</v>
      </c>
      <c r="T3469">
        <v>-1.78262E-2</v>
      </c>
      <c r="U3469">
        <v>-0.115921</v>
      </c>
      <c r="V3469">
        <v>-9.0137679999999998E-2</v>
      </c>
      <c r="W3469">
        <v>0.2056827</v>
      </c>
      <c r="X3469">
        <v>0.97445879999999996</v>
      </c>
      <c r="Y3469">
        <v>3.5040769999999999E-2</v>
      </c>
      <c r="Z3469">
        <v>-2.7570300000000003E-4</v>
      </c>
      <c r="AA3469">
        <v>0.99938579999999999</v>
      </c>
      <c r="AB3469">
        <v>30</v>
      </c>
      <c r="AC3469">
        <v>178.09020000000001</v>
      </c>
      <c r="AD3469">
        <v>-1.0304453600000001</v>
      </c>
      <c r="AE3469">
        <v>-6.7005999999999997</v>
      </c>
      <c r="AF3469">
        <v>6.2557172475808702</v>
      </c>
      <c r="AG3469">
        <v>-1.0304453600000001</v>
      </c>
      <c r="AH3469">
        <v>178.10042068824001</v>
      </c>
      <c r="AI3469">
        <v>90.331291334732299</v>
      </c>
      <c r="AJ3469">
        <v>87.988332077288504</v>
      </c>
      <c r="AK3469">
        <v>178.21323089279699</v>
      </c>
      <c r="AL3469">
        <v>78.130534197182499</v>
      </c>
      <c r="AM3469">
        <v>95.284835142500398</v>
      </c>
      <c r="AN3469">
        <v>1.00000006366625</v>
      </c>
    </row>
    <row r="3470" spans="1:40" x14ac:dyDescent="0.25">
      <c r="A3470" t="str">
        <f>"20190304155124846"</f>
        <v>20190304155124846</v>
      </c>
      <c r="B3470" t="str">
        <f>"1551685884840112"</f>
        <v>1551685884840112</v>
      </c>
      <c r="C3470" t="s">
        <v>40</v>
      </c>
      <c r="D3470">
        <v>4.6013010000000003</v>
      </c>
      <c r="E3470">
        <v>0.54562739999999998</v>
      </c>
      <c r="F3470" t="s">
        <v>70</v>
      </c>
      <c r="G3470">
        <v>-237.94739999999999</v>
      </c>
      <c r="H3470">
        <v>8.0000929999999998E-2</v>
      </c>
      <c r="I3470">
        <v>207.05439999999999</v>
      </c>
      <c r="J3470">
        <v>-413.3596</v>
      </c>
      <c r="K3470">
        <v>1.1104240000000001</v>
      </c>
      <c r="L3470">
        <v>213.33199999999999</v>
      </c>
      <c r="M3470">
        <v>0.99995339999999999</v>
      </c>
      <c r="N3470">
        <v>-9.4408530000000008E-3</v>
      </c>
      <c r="O3470">
        <v>-2.0397879999999998E-3</v>
      </c>
      <c r="P3470">
        <v>0.97656849999999995</v>
      </c>
      <c r="Q3470">
        <v>0.1962914</v>
      </c>
      <c r="R3470">
        <v>8.8225750000000006E-2</v>
      </c>
      <c r="S3470">
        <v>3.08548</v>
      </c>
      <c r="T3470">
        <v>-1.809585E-2</v>
      </c>
      <c r="U3470">
        <v>-0.1102448</v>
      </c>
      <c r="V3470">
        <v>-9.0406280000000006E-2</v>
      </c>
      <c r="W3470">
        <v>0.20541760000000001</v>
      </c>
      <c r="X3470">
        <v>0.97448970000000001</v>
      </c>
      <c r="Y3470">
        <v>3.3667250000000003E-2</v>
      </c>
      <c r="Z3470">
        <v>-2.649687E-4</v>
      </c>
      <c r="AA3470">
        <v>0.99943300000000002</v>
      </c>
      <c r="AB3470">
        <v>30</v>
      </c>
      <c r="AC3470">
        <v>175.41220000000001</v>
      </c>
      <c r="AD3470">
        <v>-1.0304230700000001</v>
      </c>
      <c r="AE3470">
        <v>-6.2775999999999996</v>
      </c>
      <c r="AF3470">
        <v>5.91956330139638</v>
      </c>
      <c r="AG3470">
        <v>-1.0304230700000001</v>
      </c>
      <c r="AH3470">
        <v>175.41859510121901</v>
      </c>
      <c r="AI3470">
        <v>90.336364731209201</v>
      </c>
      <c r="AJ3470">
        <v>88.067266815361293</v>
      </c>
      <c r="AK3470">
        <v>175.52147022136</v>
      </c>
      <c r="AL3470">
        <v>78.146053123735101</v>
      </c>
      <c r="AM3470">
        <v>95.300326666360107</v>
      </c>
      <c r="AN3470">
        <v>0.99999993062964099</v>
      </c>
    </row>
    <row r="3471" spans="1:40" x14ac:dyDescent="0.25">
      <c r="A3471" t="str">
        <f>"20190304155124872"</f>
        <v>20190304155124872</v>
      </c>
      <c r="B3471" t="str">
        <f>"1551685884859612"</f>
        <v>1551685884859612</v>
      </c>
      <c r="C3471" t="s">
        <v>40</v>
      </c>
      <c r="D3471">
        <v>4.5510919999999997</v>
      </c>
      <c r="E3471">
        <v>0.54576499999999994</v>
      </c>
      <c r="F3471" t="s">
        <v>70</v>
      </c>
      <c r="G3471">
        <v>-238.4092</v>
      </c>
      <c r="H3471">
        <v>8.0000779999999994E-2</v>
      </c>
      <c r="I3471">
        <v>207.30109999999999</v>
      </c>
      <c r="J3471">
        <v>-413.03190000000001</v>
      </c>
      <c r="K3471">
        <v>1.110384</v>
      </c>
      <c r="L3471">
        <v>213.33179999999999</v>
      </c>
      <c r="M3471">
        <v>0.99995420000000002</v>
      </c>
      <c r="N3471">
        <v>-9.4458549999999995E-3</v>
      </c>
      <c r="O3471">
        <v>-1.569885E-3</v>
      </c>
      <c r="P3471">
        <v>0.97655320000000001</v>
      </c>
      <c r="Q3471">
        <v>0.19604969999999999</v>
      </c>
      <c r="R3471">
        <v>8.8929209999999995E-2</v>
      </c>
      <c r="S3471">
        <v>3.0852360000000001</v>
      </c>
      <c r="T3471">
        <v>-1.8171429999999999E-2</v>
      </c>
      <c r="U3471">
        <v>-0.1063538</v>
      </c>
      <c r="V3471">
        <v>-9.0633790000000006E-2</v>
      </c>
      <c r="W3471">
        <v>0.20518800000000001</v>
      </c>
      <c r="X3471">
        <v>0.97451699999999997</v>
      </c>
      <c r="Y3471">
        <v>3.2880850000000003E-2</v>
      </c>
      <c r="Z3471">
        <v>-2.577298E-4</v>
      </c>
      <c r="AA3471">
        <v>0.99945930000000005</v>
      </c>
      <c r="AB3471">
        <v>30</v>
      </c>
      <c r="AC3471">
        <v>174.62270000000001</v>
      </c>
      <c r="AD3471">
        <v>-1.03038322</v>
      </c>
      <c r="AE3471">
        <v>-6.0306999999999897</v>
      </c>
      <c r="AF3471">
        <v>5.7563426102364597</v>
      </c>
      <c r="AG3471">
        <v>-1.03038322</v>
      </c>
      <c r="AH3471">
        <v>174.62587995234799</v>
      </c>
      <c r="AI3471">
        <v>90.337887355801996</v>
      </c>
      <c r="AJ3471">
        <v>88.111993740653205</v>
      </c>
      <c r="AK3471">
        <v>174.72376804246801</v>
      </c>
      <c r="AL3471">
        <v>78.159495286682102</v>
      </c>
      <c r="AM3471">
        <v>95.313440835498795</v>
      </c>
      <c r="AN3471">
        <v>0.99999999126138195</v>
      </c>
    </row>
    <row r="3472" spans="1:40" x14ac:dyDescent="0.25">
      <c r="A3472" t="str">
        <f>"20190304155124894"</f>
        <v>20190304155124894</v>
      </c>
      <c r="B3472" t="str">
        <f>"1551685884889867"</f>
        <v>1551685884889867</v>
      </c>
      <c r="C3472" t="s">
        <v>40</v>
      </c>
      <c r="D3472">
        <v>4.5663229999999997</v>
      </c>
      <c r="E3472">
        <v>0.54590229999999995</v>
      </c>
      <c r="F3472" t="s">
        <v>70</v>
      </c>
      <c r="G3472">
        <v>-248.7851</v>
      </c>
      <c r="H3472">
        <v>8.0000639999999998E-2</v>
      </c>
      <c r="I3472">
        <v>207.71680000000001</v>
      </c>
      <c r="J3472">
        <v>-412.73110000000003</v>
      </c>
      <c r="K3472">
        <v>1.1103459999999901</v>
      </c>
      <c r="L3472">
        <v>213.33179999999999</v>
      </c>
      <c r="M3472">
        <v>0.99995460000000003</v>
      </c>
      <c r="N3472">
        <v>-9.4504519999999998E-3</v>
      </c>
      <c r="O3472">
        <v>-1.188323E-3</v>
      </c>
      <c r="P3472">
        <v>0.97662320000000002</v>
      </c>
      <c r="Q3472">
        <v>0.19563040000000001</v>
      </c>
      <c r="R3472">
        <v>8.9085170000000005E-2</v>
      </c>
      <c r="S3472">
        <v>3.0855100000000002</v>
      </c>
      <c r="T3472">
        <v>-1.935661E-2</v>
      </c>
      <c r="U3472">
        <v>-0.10548399999999999</v>
      </c>
      <c r="V3472">
        <v>-9.0400460000000002E-2</v>
      </c>
      <c r="W3472">
        <v>0.20478199999999999</v>
      </c>
      <c r="X3472">
        <v>0.97462409999999999</v>
      </c>
      <c r="Y3472">
        <v>3.2977609999999997E-2</v>
      </c>
      <c r="Z3472">
        <v>-2.6306369999999998E-4</v>
      </c>
      <c r="AA3472">
        <v>0.99945600000000001</v>
      </c>
      <c r="AB3472">
        <v>30</v>
      </c>
      <c r="AC3472">
        <v>163.946</v>
      </c>
      <c r="AD3472">
        <v>-1.0303453600000001</v>
      </c>
      <c r="AE3472">
        <v>-5.6149999999999798</v>
      </c>
      <c r="AF3472">
        <v>5.4199527038894999</v>
      </c>
      <c r="AG3472">
        <v>-1.0303453600000001</v>
      </c>
      <c r="AH3472">
        <v>163.94608917629901</v>
      </c>
      <c r="AI3472">
        <v>90.359883125918003</v>
      </c>
      <c r="AJ3472">
        <v>88.106527830527796</v>
      </c>
      <c r="AK3472">
        <v>164.03889067863301</v>
      </c>
      <c r="AL3472">
        <v>78.183262444641201</v>
      </c>
      <c r="AM3472">
        <v>95.299260691925198</v>
      </c>
      <c r="AN3472">
        <v>1.0000000234965101</v>
      </c>
    </row>
    <row r="3473" spans="1:40" x14ac:dyDescent="0.25">
      <c r="A3473" t="str">
        <f>"20190304155124914"</f>
        <v>20190304155124914</v>
      </c>
      <c r="B3473" t="str">
        <f>"1551685884910363"</f>
        <v>1551685884910363</v>
      </c>
      <c r="C3473" t="s">
        <v>40</v>
      </c>
      <c r="D3473">
        <v>4.5978589999999997</v>
      </c>
      <c r="E3473">
        <v>0.54614750000000001</v>
      </c>
      <c r="F3473" t="s">
        <v>70</v>
      </c>
      <c r="G3473">
        <v>-256.851</v>
      </c>
      <c r="H3473">
        <v>8.0001210000000003E-2</v>
      </c>
      <c r="I3473">
        <v>207.9674</v>
      </c>
      <c r="J3473">
        <v>-412.45830000000001</v>
      </c>
      <c r="K3473">
        <v>1.1103160000000001</v>
      </c>
      <c r="L3473">
        <v>213.33179999999999</v>
      </c>
      <c r="M3473">
        <v>0.99995509999999999</v>
      </c>
      <c r="N3473">
        <v>-9.4546549999999993E-3</v>
      </c>
      <c r="O3473">
        <v>-8.7836199999999896E-4</v>
      </c>
      <c r="P3473">
        <v>0.97678359999999997</v>
      </c>
      <c r="Q3473">
        <v>0.1948491</v>
      </c>
      <c r="R3473">
        <v>8.9037519999999995E-2</v>
      </c>
      <c r="S3473">
        <v>3.0855709999999998</v>
      </c>
      <c r="T3473">
        <v>-2.0395159999999999E-2</v>
      </c>
      <c r="U3473">
        <v>-0.1061859</v>
      </c>
      <c r="V3473">
        <v>-9.0034580000000003E-2</v>
      </c>
      <c r="W3473">
        <v>0.20401369999999999</v>
      </c>
      <c r="X3473">
        <v>0.97481910000000005</v>
      </c>
      <c r="Y3473">
        <v>3.3513670000000002E-2</v>
      </c>
      <c r="Z3473">
        <v>-2.7170930000000002E-4</v>
      </c>
      <c r="AA3473">
        <v>0.99943820000000005</v>
      </c>
      <c r="AB3473">
        <v>30</v>
      </c>
      <c r="AC3473">
        <v>155.60730000000001</v>
      </c>
      <c r="AD3473">
        <v>-1.03031479</v>
      </c>
      <c r="AE3473">
        <v>-5.3643999999999803</v>
      </c>
      <c r="AF3473">
        <v>5.2274834009655002</v>
      </c>
      <c r="AG3473">
        <v>-1.03031479</v>
      </c>
      <c r="AH3473">
        <v>155.60513828358501</v>
      </c>
      <c r="AI3473">
        <v>90.379155500159797</v>
      </c>
      <c r="AJ3473">
        <v>88.075898136330295</v>
      </c>
      <c r="AK3473">
        <v>155.69633005156999</v>
      </c>
      <c r="AL3473">
        <v>78.228232473530198</v>
      </c>
      <c r="AM3473">
        <v>95.276884412052894</v>
      </c>
      <c r="AN3473">
        <v>1.0000000465541301</v>
      </c>
    </row>
    <row r="3474" spans="1:40" x14ac:dyDescent="0.25">
      <c r="A3474" t="str">
        <f>"20190304155124937"</f>
        <v>20190304155124937</v>
      </c>
      <c r="B3474" t="str">
        <f>"1551685884929884"</f>
        <v>1551685884929884</v>
      </c>
      <c r="C3474" t="s">
        <v>40</v>
      </c>
      <c r="D3474">
        <v>4.6050700000000004</v>
      </c>
      <c r="E3474">
        <v>0.5461454</v>
      </c>
      <c r="F3474" t="s">
        <v>70</v>
      </c>
      <c r="G3474">
        <v>-277.71230000000003</v>
      </c>
      <c r="H3474">
        <v>8.0000929999999998E-2</v>
      </c>
      <c r="I3474">
        <v>208.6105</v>
      </c>
      <c r="J3474">
        <v>-412.14769999999999</v>
      </c>
      <c r="K3474">
        <v>1.1102780000000001</v>
      </c>
      <c r="L3474">
        <v>213.33179999999999</v>
      </c>
      <c r="M3474">
        <v>0.99995520000000004</v>
      </c>
      <c r="N3474">
        <v>-9.4594589999999999E-3</v>
      </c>
      <c r="O3474">
        <v>-5.7071369999999995E-4</v>
      </c>
      <c r="P3474">
        <v>0.9768947</v>
      </c>
      <c r="Q3474">
        <v>0.1943443</v>
      </c>
      <c r="R3474">
        <v>8.8923890000000005E-2</v>
      </c>
      <c r="S3474">
        <v>3.0858759999999998</v>
      </c>
      <c r="T3474">
        <v>-2.3595689999999999E-2</v>
      </c>
      <c r="U3474">
        <v>-0.10812380000000001</v>
      </c>
      <c r="V3474">
        <v>-8.9603740000000001E-2</v>
      </c>
      <c r="W3474">
        <v>0.2035226</v>
      </c>
      <c r="X3474">
        <v>0.97496139999999998</v>
      </c>
      <c r="Y3474">
        <v>3.444415E-2</v>
      </c>
      <c r="Z3474">
        <v>-2.9564879999999997E-4</v>
      </c>
      <c r="AA3474">
        <v>0.99940660000000003</v>
      </c>
      <c r="AB3474">
        <v>30</v>
      </c>
      <c r="AC3474">
        <v>134.43539999999899</v>
      </c>
      <c r="AD3474">
        <v>-1.0302770699999999</v>
      </c>
      <c r="AE3474">
        <v>-4.7212999999999798</v>
      </c>
      <c r="AF3474">
        <v>4.64429924486247</v>
      </c>
      <c r="AG3474">
        <v>-1.0302770699999999</v>
      </c>
      <c r="AH3474">
        <v>134.430186998593</v>
      </c>
      <c r="AI3474">
        <v>90.438846203809703</v>
      </c>
      <c r="AJ3474">
        <v>88.021330191317901</v>
      </c>
      <c r="AK3474">
        <v>134.51433441382099</v>
      </c>
      <c r="AL3474">
        <v>78.2569729466383</v>
      </c>
      <c r="AM3474">
        <v>95.251012382212807</v>
      </c>
      <c r="AN3474">
        <v>1.00000000521135</v>
      </c>
    </row>
    <row r="3475" spans="1:40" x14ac:dyDescent="0.25">
      <c r="A3475" t="str">
        <f>"20190304155124958"</f>
        <v>20190304155124958</v>
      </c>
      <c r="B3475" t="str">
        <f>"1551685884950001"</f>
        <v>1551685884950001</v>
      </c>
      <c r="C3475" t="s">
        <v>40</v>
      </c>
      <c r="D3475">
        <v>4.5466739999999897</v>
      </c>
      <c r="E3475">
        <v>0.54624799999999996</v>
      </c>
      <c r="F3475" t="s">
        <v>70</v>
      </c>
      <c r="G3475">
        <v>-275.30500000000001</v>
      </c>
      <c r="H3475">
        <v>8.0001639999999999E-2</v>
      </c>
      <c r="I3475">
        <v>208.51140000000001</v>
      </c>
      <c r="J3475">
        <v>-411.85449999999997</v>
      </c>
      <c r="K3475">
        <v>1.110242</v>
      </c>
      <c r="L3475">
        <v>213.33199999999999</v>
      </c>
      <c r="M3475">
        <v>0.99995520000000004</v>
      </c>
      <c r="N3475">
        <v>-9.4640109999999996E-3</v>
      </c>
      <c r="O3475">
        <v>-3.2695450000000002E-4</v>
      </c>
      <c r="P3475">
        <v>0.97697420000000001</v>
      </c>
      <c r="Q3475">
        <v>0.19403619999999999</v>
      </c>
      <c r="R3475">
        <v>8.8720540000000001E-2</v>
      </c>
      <c r="S3475">
        <v>3.0854189999999999</v>
      </c>
      <c r="T3475">
        <v>-2.3229840000000002E-2</v>
      </c>
      <c r="U3475">
        <v>-0.1086884</v>
      </c>
      <c r="V3475">
        <v>-8.9145349999999998E-2</v>
      </c>
      <c r="W3475">
        <v>0.20322699999999999</v>
      </c>
      <c r="X3475">
        <v>0.97506510000000002</v>
      </c>
      <c r="Y3475">
        <v>3.4875620000000003E-2</v>
      </c>
      <c r="Z3475">
        <v>-2.9696950000000002E-4</v>
      </c>
      <c r="AA3475">
        <v>0.99939160000000005</v>
      </c>
      <c r="AB3475">
        <v>30</v>
      </c>
      <c r="AC3475">
        <v>136.549499999999</v>
      </c>
      <c r="AD3475">
        <v>-1.0302403600000001</v>
      </c>
      <c r="AE3475">
        <v>-4.8205999999999802</v>
      </c>
      <c r="AF3475">
        <v>4.7756807576081197</v>
      </c>
      <c r="AG3475">
        <v>-1.0302403600000001</v>
      </c>
      <c r="AH3475">
        <v>136.54330594551499</v>
      </c>
      <c r="AI3475">
        <v>90.432033153637903</v>
      </c>
      <c r="AJ3475">
        <v>87.996863656080805</v>
      </c>
      <c r="AK3475">
        <v>136.63068074348601</v>
      </c>
      <c r="AL3475">
        <v>78.274271365861793</v>
      </c>
      <c r="AM3475">
        <v>95.223746018608196</v>
      </c>
      <c r="AN3475">
        <v>1.00000002809681</v>
      </c>
    </row>
    <row r="3476" spans="1:40" x14ac:dyDescent="0.25">
      <c r="A3476" t="str">
        <f>"20190304155124982"</f>
        <v>20190304155124982</v>
      </c>
      <c r="B3476" t="str">
        <f>"1551685884970497"</f>
        <v>1551685884970497</v>
      </c>
      <c r="C3476" t="s">
        <v>40</v>
      </c>
      <c r="D3476">
        <v>4.5703690000000003</v>
      </c>
      <c r="E3476">
        <v>0.54644139999999997</v>
      </c>
      <c r="F3476" t="s">
        <v>70</v>
      </c>
      <c r="G3476">
        <v>-278.29340000000002</v>
      </c>
      <c r="H3476">
        <v>8.0000760000000004E-2</v>
      </c>
      <c r="I3476">
        <v>208.57159999999999</v>
      </c>
      <c r="J3476">
        <v>-411.548</v>
      </c>
      <c r="K3476">
        <v>1.110201</v>
      </c>
      <c r="L3476">
        <v>213.3321</v>
      </c>
      <c r="M3476">
        <v>0.99995520000000004</v>
      </c>
      <c r="N3476">
        <v>-9.4688089999999999E-3</v>
      </c>
      <c r="O3476">
        <v>-1.213878E-4</v>
      </c>
      <c r="P3476">
        <v>0.97711559999999997</v>
      </c>
      <c r="Q3476">
        <v>0.19353200000000001</v>
      </c>
      <c r="R3476">
        <v>8.8264969999999998E-2</v>
      </c>
      <c r="S3476">
        <v>3.0854189999999999</v>
      </c>
      <c r="T3476">
        <v>-2.379978E-2</v>
      </c>
      <c r="U3476">
        <v>-0.1099701</v>
      </c>
      <c r="V3476">
        <v>-8.8471030000000006E-2</v>
      </c>
      <c r="W3476">
        <v>0.20273769999999999</v>
      </c>
      <c r="X3476">
        <v>0.97522830000000005</v>
      </c>
      <c r="Y3476">
        <v>3.549559E-2</v>
      </c>
      <c r="Z3476">
        <v>-3.0518059999999999E-4</v>
      </c>
      <c r="AA3476">
        <v>0.99936979999999997</v>
      </c>
      <c r="AB3476">
        <v>30</v>
      </c>
      <c r="AC3476">
        <v>133.25459999999899</v>
      </c>
      <c r="AD3476">
        <v>-1.0302002400000001</v>
      </c>
      <c r="AE3476">
        <v>-4.7605000000000004</v>
      </c>
      <c r="AF3476">
        <v>4.74404057059298</v>
      </c>
      <c r="AG3476">
        <v>-1.0302002400000001</v>
      </c>
      <c r="AH3476">
        <v>133.247222955864</v>
      </c>
      <c r="AI3476">
        <v>90.442692729942095</v>
      </c>
      <c r="AJ3476">
        <v>87.960942569897497</v>
      </c>
      <c r="AK3476">
        <v>133.33562786787201</v>
      </c>
      <c r="AL3476">
        <v>78.302901498759894</v>
      </c>
      <c r="AM3476">
        <v>95.183585441389198</v>
      </c>
      <c r="AN3476">
        <v>0.99999996763571997</v>
      </c>
    </row>
    <row r="3477" spans="1:40" x14ac:dyDescent="0.25">
      <c r="A3477" t="str">
        <f>"20190304155125003"</f>
        <v>20190304155125003</v>
      </c>
      <c r="B3477" t="str">
        <f>"1551685884999774"</f>
        <v>1551685884999774</v>
      </c>
      <c r="C3477" t="s">
        <v>40</v>
      </c>
      <c r="D3477">
        <v>4.5409990000000002</v>
      </c>
      <c r="E3477">
        <v>0.54664579999999996</v>
      </c>
      <c r="F3477" t="s">
        <v>72</v>
      </c>
      <c r="G3477">
        <v>-284.04570000000001</v>
      </c>
      <c r="H3477">
        <v>7.9999390000000004E-2</v>
      </c>
      <c r="I3477">
        <v>208.66040000000001</v>
      </c>
      <c r="J3477">
        <v>-411.25450000000001</v>
      </c>
      <c r="K3477">
        <v>1.1101559999999999</v>
      </c>
      <c r="L3477">
        <v>213.3322</v>
      </c>
      <c r="M3477">
        <v>0.99995509999999999</v>
      </c>
      <c r="N3477">
        <v>-9.4733939999999996E-3</v>
      </c>
      <c r="O3477" s="1">
        <v>3.01201E-5</v>
      </c>
      <c r="P3477">
        <v>0.97737850000000004</v>
      </c>
      <c r="Q3477">
        <v>0.19231709999999999</v>
      </c>
      <c r="R3477">
        <v>8.8007970000000005E-2</v>
      </c>
      <c r="S3477">
        <v>3.0854490000000001</v>
      </c>
      <c r="T3477">
        <v>-2.4930000000000001E-2</v>
      </c>
      <c r="U3477">
        <v>-0.113052399999999</v>
      </c>
      <c r="V3477">
        <v>-8.8047790000000001E-2</v>
      </c>
      <c r="W3477">
        <v>0.2015371</v>
      </c>
      <c r="X3477">
        <v>0.97551540000000003</v>
      </c>
      <c r="Y3477">
        <v>3.6643429999999998E-2</v>
      </c>
      <c r="Z3477">
        <v>-3.2157989999999999E-4</v>
      </c>
      <c r="AA3477">
        <v>0.99932840000000001</v>
      </c>
      <c r="AB3477">
        <v>30</v>
      </c>
      <c r="AC3477">
        <v>127.2088</v>
      </c>
      <c r="AD3477">
        <v>-1.0301566099999999</v>
      </c>
      <c r="AE3477">
        <v>-4.6717999999999904</v>
      </c>
      <c r="AF3477">
        <v>4.67532551628313</v>
      </c>
      <c r="AG3477">
        <v>-1.0301566099999999</v>
      </c>
      <c r="AH3477">
        <v>127.20032864423101</v>
      </c>
      <c r="AI3477">
        <v>90.463697770961403</v>
      </c>
      <c r="AJ3477">
        <v>87.895006333351404</v>
      </c>
      <c r="AK3477">
        <v>127.290390440617</v>
      </c>
      <c r="AL3477">
        <v>78.373140616367706</v>
      </c>
      <c r="AM3477">
        <v>95.157411503520805</v>
      </c>
      <c r="AN3477">
        <v>0.99999995581872603</v>
      </c>
    </row>
    <row r="3478" spans="1:40" x14ac:dyDescent="0.25">
      <c r="A3478" t="str">
        <f>"20190304155125026"</f>
        <v>20190304155125026</v>
      </c>
      <c r="B3478" t="str">
        <f>"1551685885020270"</f>
        <v>1551685885020270</v>
      </c>
      <c r="C3478" t="s">
        <v>40</v>
      </c>
      <c r="D3478">
        <v>4.5572549999999996</v>
      </c>
      <c r="E3478">
        <v>0.5463964</v>
      </c>
      <c r="F3478" t="s">
        <v>72</v>
      </c>
      <c r="G3478">
        <v>-291.31279999999998</v>
      </c>
      <c r="H3478" s="1">
        <v>1.3230460000000001E-6</v>
      </c>
      <c r="I3478">
        <v>208.85149999999999</v>
      </c>
      <c r="J3478">
        <v>-410.9504</v>
      </c>
      <c r="K3478">
        <v>1.110109</v>
      </c>
      <c r="L3478">
        <v>213.33240000000001</v>
      </c>
      <c r="M3478">
        <v>0.99995520000000004</v>
      </c>
      <c r="N3478">
        <v>-9.4782470000000004E-3</v>
      </c>
      <c r="O3478">
        <v>1.447826E-4</v>
      </c>
      <c r="P3478">
        <v>0.9778348</v>
      </c>
      <c r="Q3478">
        <v>0.19036939999999999</v>
      </c>
      <c r="R3478">
        <v>8.7172979999999997E-2</v>
      </c>
      <c r="S3478">
        <v>3.0854490000000001</v>
      </c>
      <c r="T3478">
        <v>-2.855825E-2</v>
      </c>
      <c r="U3478">
        <v>-0.1152649</v>
      </c>
      <c r="V3478">
        <v>-8.7082300000000001E-2</v>
      </c>
      <c r="W3478">
        <v>0.1996068</v>
      </c>
      <c r="X3478">
        <v>0.9759989</v>
      </c>
      <c r="Y3478">
        <v>3.7472970000000001E-2</v>
      </c>
      <c r="Z3478">
        <v>-3.5098710000000001E-4</v>
      </c>
      <c r="AA3478">
        <v>0.99929760000000001</v>
      </c>
      <c r="AB3478">
        <v>30</v>
      </c>
      <c r="AC3478">
        <v>119.63760000000001</v>
      </c>
      <c r="AD3478">
        <v>-1.1101076769539999</v>
      </c>
      <c r="AE3478">
        <v>-4.4809000000000196</v>
      </c>
      <c r="AF3478">
        <v>4.4978354579417799</v>
      </c>
      <c r="AG3478">
        <v>-1.1101076769539999</v>
      </c>
      <c r="AH3478">
        <v>119.626664730231</v>
      </c>
      <c r="AI3478">
        <v>90.531300880651202</v>
      </c>
      <c r="AJ3478">
        <v>87.846753867507701</v>
      </c>
      <c r="AK3478">
        <v>119.716338806949</v>
      </c>
      <c r="AL3478">
        <v>78.486033602134</v>
      </c>
      <c r="AM3478">
        <v>95.098644076696203</v>
      </c>
      <c r="AN3478">
        <v>1.00000002719036</v>
      </c>
    </row>
    <row r="3479" spans="1:40" x14ac:dyDescent="0.25">
      <c r="A3479" t="str">
        <f>"20190304155125062"</f>
        <v>20190304155125062</v>
      </c>
      <c r="B3479" t="str">
        <f>"1551685885050526"</f>
        <v>1551685885050526</v>
      </c>
      <c r="C3479" t="s">
        <v>40</v>
      </c>
      <c r="D3479">
        <v>4.6659360000000003</v>
      </c>
      <c r="E3479">
        <v>0.51616419999999996</v>
      </c>
      <c r="F3479" t="s">
        <v>72</v>
      </c>
      <c r="G3479">
        <v>-307.74009999999998</v>
      </c>
      <c r="H3479" s="1">
        <v>1.3087409999999999E-6</v>
      </c>
      <c r="I3479">
        <v>209.45599999999999</v>
      </c>
      <c r="J3479">
        <v>-410.47809999999998</v>
      </c>
      <c r="K3479">
        <v>1.1100570000000001</v>
      </c>
      <c r="L3479">
        <v>213.33260000000001</v>
      </c>
      <c r="M3479">
        <v>0.99995509999999999</v>
      </c>
      <c r="N3479">
        <v>-9.4856190000000007E-3</v>
      </c>
      <c r="O3479">
        <v>2.4522949999999997E-4</v>
      </c>
      <c r="P3479">
        <v>0.97808450000000002</v>
      </c>
      <c r="Q3479">
        <v>0.1896225</v>
      </c>
      <c r="R3479">
        <v>8.5989309999999999E-2</v>
      </c>
      <c r="S3479">
        <v>3.0848080000000002</v>
      </c>
      <c r="T3479">
        <v>-3.3179519999999997E-2</v>
      </c>
      <c r="U3479">
        <v>-0.11586</v>
      </c>
      <c r="V3479">
        <v>-8.5776690000000003E-2</v>
      </c>
      <c r="W3479">
        <v>0.19888069999999999</v>
      </c>
      <c r="X3479">
        <v>0.97626270000000004</v>
      </c>
      <c r="Y3479">
        <v>3.7772739999999999E-2</v>
      </c>
      <c r="Z3479">
        <v>-3.8259729999999998E-4</v>
      </c>
      <c r="AA3479">
        <v>0.99928629999999996</v>
      </c>
      <c r="AB3479">
        <v>30</v>
      </c>
      <c r="AC3479">
        <v>102.738</v>
      </c>
      <c r="AD3479">
        <v>-1.1100556912590001</v>
      </c>
      <c r="AE3479">
        <v>-3.8766000000000198</v>
      </c>
      <c r="AF3479">
        <v>3.9013405993461201</v>
      </c>
      <c r="AG3479">
        <v>-1.1100556912590001</v>
      </c>
      <c r="AH3479">
        <v>102.725070925694</v>
      </c>
      <c r="AI3479">
        <v>90.618672898147096</v>
      </c>
      <c r="AJ3479">
        <v>87.825039486630899</v>
      </c>
      <c r="AK3479">
        <v>102.805120878284</v>
      </c>
      <c r="AL3479">
        <v>78.528487139569904</v>
      </c>
      <c r="AM3479">
        <v>95.021244706421399</v>
      </c>
      <c r="AN3479">
        <v>1.00000001639556</v>
      </c>
    </row>
    <row r="3480" spans="1:40" x14ac:dyDescent="0.25">
      <c r="A3480" t="str">
        <f>"20190304155125082"</f>
        <v>20190304155125082</v>
      </c>
      <c r="B3480" t="str">
        <f>"1551685885079806"</f>
        <v>1551685885079806</v>
      </c>
      <c r="C3480" t="s">
        <v>40</v>
      </c>
      <c r="D3480">
        <v>4.6471989999999996</v>
      </c>
      <c r="E3480">
        <v>0.51497760000000004</v>
      </c>
      <c r="F3480" t="s">
        <v>70</v>
      </c>
      <c r="G3480">
        <v>-364.54219999999998</v>
      </c>
      <c r="H3480" s="1">
        <v>8.8033569999999997E-7</v>
      </c>
      <c r="I3480">
        <v>215.12629999999999</v>
      </c>
      <c r="J3480">
        <v>-410.1841</v>
      </c>
      <c r="K3480">
        <v>1.110034</v>
      </c>
      <c r="L3480">
        <v>213.33269999999999</v>
      </c>
      <c r="M3480">
        <v>0.99995489999999998</v>
      </c>
      <c r="N3480">
        <v>-9.4901159999999998E-3</v>
      </c>
      <c r="O3480">
        <v>2.7391280000000002E-4</v>
      </c>
      <c r="P3480">
        <v>0.97813329999999998</v>
      </c>
      <c r="Q3480">
        <v>0.1897789</v>
      </c>
      <c r="R3480">
        <v>8.5083359999999997E-2</v>
      </c>
      <c r="S3480">
        <v>3.0710449999999998</v>
      </c>
      <c r="T3480">
        <v>-7.4212790000000001E-2</v>
      </c>
      <c r="U3480">
        <v>0.11991880000000001</v>
      </c>
      <c r="V3480">
        <v>-8.4831519999999994E-2</v>
      </c>
      <c r="W3480">
        <v>0.19904659999999999</v>
      </c>
      <c r="X3480">
        <v>0.97631140000000005</v>
      </c>
      <c r="Y3480">
        <v>-3.8729060000000003E-2</v>
      </c>
      <c r="Z3480">
        <v>6.4756939999999999E-4</v>
      </c>
      <c r="AA3480">
        <v>0.99924950000000001</v>
      </c>
      <c r="AB3480">
        <v>30</v>
      </c>
      <c r="AC3480">
        <v>45.6419</v>
      </c>
      <c r="AD3480">
        <v>-1.1100331196643001</v>
      </c>
      <c r="AE3480">
        <v>1.7935999999999901</v>
      </c>
      <c r="AF3480">
        <v>-1.78004621974949</v>
      </c>
      <c r="AG3480">
        <v>-1.1100331196643001</v>
      </c>
      <c r="AH3480">
        <v>45.615450302754702</v>
      </c>
      <c r="AI3480">
        <v>91.392934234640094</v>
      </c>
      <c r="AJ3480">
        <v>92.234712430160599</v>
      </c>
      <c r="AK3480">
        <v>45.663662187720803</v>
      </c>
      <c r="AL3480">
        <v>78.5187869938745</v>
      </c>
      <c r="AM3480">
        <v>94.9659475536061</v>
      </c>
      <c r="AN3480">
        <v>0.99999994276351301</v>
      </c>
    </row>
    <row r="3481" spans="1:40" x14ac:dyDescent="0.25">
      <c r="A3481" t="str">
        <f>"20190304155125104"</f>
        <v>20190304155125104</v>
      </c>
      <c r="B3481" t="str">
        <f>"1551685885100302"</f>
        <v>1551685885100302</v>
      </c>
      <c r="C3481" t="s">
        <v>40</v>
      </c>
      <c r="D3481">
        <v>4.6662309999999998</v>
      </c>
      <c r="E3481">
        <v>0.51521439999999996</v>
      </c>
      <c r="F3481" t="s">
        <v>70</v>
      </c>
      <c r="G3481">
        <v>-362.75349999999997</v>
      </c>
      <c r="H3481" s="1">
        <v>-7.1525679999999899E-8</v>
      </c>
      <c r="I3481">
        <v>215.28489999999999</v>
      </c>
      <c r="J3481">
        <v>-409.88810000000001</v>
      </c>
      <c r="K3481">
        <v>1.110017</v>
      </c>
      <c r="L3481">
        <v>213.33279999999999</v>
      </c>
      <c r="M3481">
        <v>0.99995500000000004</v>
      </c>
      <c r="N3481">
        <v>-9.4946630000000004E-3</v>
      </c>
      <c r="O3481">
        <v>2.844875E-4</v>
      </c>
      <c r="P3481">
        <v>0.97815300000000005</v>
      </c>
      <c r="Q3481">
        <v>0.19009239999999999</v>
      </c>
      <c r="R3481">
        <v>8.4153169999999999E-2</v>
      </c>
      <c r="S3481">
        <v>3.0699770000000002</v>
      </c>
      <c r="T3481">
        <v>-7.1847679999999997E-2</v>
      </c>
      <c r="U3481">
        <v>0.126358</v>
      </c>
      <c r="V3481">
        <v>-8.3882700000000004E-2</v>
      </c>
      <c r="W3481">
        <v>0.19936809999999999</v>
      </c>
      <c r="X3481">
        <v>0.97632779999999997</v>
      </c>
      <c r="Y3481">
        <v>-4.0824529999999998E-2</v>
      </c>
      <c r="Z3481">
        <v>6.6742419999999997E-4</v>
      </c>
      <c r="AA3481">
        <v>0.99916609999999995</v>
      </c>
      <c r="AB3481">
        <v>30</v>
      </c>
      <c r="AC3481">
        <v>47.134599999999999</v>
      </c>
      <c r="AD3481">
        <v>-1.1100170715256801</v>
      </c>
      <c r="AE3481">
        <v>1.9520999999999999</v>
      </c>
      <c r="AF3481">
        <v>-1.93761735153824</v>
      </c>
      <c r="AG3481">
        <v>-1.1100170715256801</v>
      </c>
      <c r="AH3481">
        <v>47.109071523231997</v>
      </c>
      <c r="AI3481">
        <v>91.348653818915494</v>
      </c>
      <c r="AJ3481">
        <v>92.355273692793503</v>
      </c>
      <c r="AK3481">
        <v>47.161966866120501</v>
      </c>
      <c r="AL3481">
        <v>78.499989850473398</v>
      </c>
      <c r="AM3481">
        <v>94.910595677313594</v>
      </c>
      <c r="AN3481">
        <v>0.999999959854869</v>
      </c>
    </row>
    <row r="3482" spans="1:40" x14ac:dyDescent="0.25">
      <c r="A3482" t="str">
        <f>"20190304155125125"</f>
        <v>20190304155125125</v>
      </c>
      <c r="B3482" t="str">
        <f>"1551685885119822"</f>
        <v>1551685885119822</v>
      </c>
      <c r="C3482" t="s">
        <v>40</v>
      </c>
      <c r="D3482">
        <v>4.6541249999999996</v>
      </c>
      <c r="E3482">
        <v>0.51520069999999996</v>
      </c>
      <c r="F3482" t="s">
        <v>70</v>
      </c>
      <c r="G3482">
        <v>-362.70490000000001</v>
      </c>
      <c r="H3482" s="1">
        <v>-9.7376269999999998E-8</v>
      </c>
      <c r="I3482">
        <v>215.2081</v>
      </c>
      <c r="J3482">
        <v>-409.59699999999998</v>
      </c>
      <c r="K3482">
        <v>1.110001</v>
      </c>
      <c r="L3482">
        <v>213.3329</v>
      </c>
      <c r="M3482">
        <v>0.99995489999999998</v>
      </c>
      <c r="N3482">
        <v>-9.4991850000000003E-3</v>
      </c>
      <c r="O3482">
        <v>2.8451410000000001E-4</v>
      </c>
      <c r="P3482">
        <v>0.97836239999999997</v>
      </c>
      <c r="Q3482">
        <v>0.18947439999999999</v>
      </c>
      <c r="R3482">
        <v>8.3107979999999998E-2</v>
      </c>
      <c r="S3482">
        <v>3.0705870000000002</v>
      </c>
      <c r="T3482">
        <v>-7.2237609999999994E-2</v>
      </c>
      <c r="U3482">
        <v>0.1220398</v>
      </c>
      <c r="V3482">
        <v>-8.2832119999999995E-2</v>
      </c>
      <c r="W3482">
        <v>0.19875870000000001</v>
      </c>
      <c r="X3482">
        <v>0.97654180000000002</v>
      </c>
      <c r="Y3482">
        <v>-3.941385E-2</v>
      </c>
      <c r="Z3482">
        <v>6.4669740000000003E-4</v>
      </c>
      <c r="AA3482">
        <v>0.99922279999999997</v>
      </c>
      <c r="AB3482">
        <v>30</v>
      </c>
      <c r="AC3482">
        <v>46.8920999999999</v>
      </c>
      <c r="AD3482">
        <v>-1.11000109737627</v>
      </c>
      <c r="AE3482">
        <v>1.8752</v>
      </c>
      <c r="AF3482">
        <v>-1.86081684395736</v>
      </c>
      <c r="AG3482">
        <v>-1.11000109737627</v>
      </c>
      <c r="AH3482">
        <v>46.866412702185301</v>
      </c>
      <c r="AI3482">
        <v>91.355692566349404</v>
      </c>
      <c r="AJ3482">
        <v>92.273717412878597</v>
      </c>
      <c r="AK3482">
        <v>46.916472388005602</v>
      </c>
      <c r="AL3482">
        <v>78.535619821734002</v>
      </c>
      <c r="AM3482">
        <v>94.848330951041504</v>
      </c>
      <c r="AN3482">
        <v>1.0000000340383099</v>
      </c>
    </row>
    <row r="3483" spans="1:40" x14ac:dyDescent="0.25">
      <c r="A3483" t="str">
        <f>"20190304155125150"</f>
        <v>20190304155125150</v>
      </c>
      <c r="B3483" t="str">
        <f>"1551685885140318"</f>
        <v>1551685885140318</v>
      </c>
      <c r="C3483" t="s">
        <v>40</v>
      </c>
      <c r="D3483">
        <v>4.6575139999999999</v>
      </c>
      <c r="E3483">
        <v>0.51495210000000002</v>
      </c>
      <c r="F3483" t="s">
        <v>70</v>
      </c>
      <c r="G3483">
        <v>-365.24549999999999</v>
      </c>
      <c r="H3483" s="1">
        <v>1.254636E-6</v>
      </c>
      <c r="I3483">
        <v>215.048</v>
      </c>
      <c r="J3483">
        <v>-409.26929999999999</v>
      </c>
      <c r="K3483">
        <v>1.1099939999999999</v>
      </c>
      <c r="L3483">
        <v>213.333</v>
      </c>
      <c r="M3483">
        <v>0.99995489999999998</v>
      </c>
      <c r="N3483">
        <v>-9.5042740000000001E-3</v>
      </c>
      <c r="O3483">
        <v>2.7849610000000002E-4</v>
      </c>
      <c r="P3483">
        <v>0.97843089999999999</v>
      </c>
      <c r="Q3483">
        <v>0.18941269999999999</v>
      </c>
      <c r="R3483">
        <v>8.2438429999999993E-2</v>
      </c>
      <c r="S3483">
        <v>3.0711059999999999</v>
      </c>
      <c r="T3483">
        <v>-7.6861620000000005E-2</v>
      </c>
      <c r="U3483">
        <v>0.118759199999999</v>
      </c>
      <c r="V3483">
        <v>-8.2164840000000003E-2</v>
      </c>
      <c r="W3483">
        <v>0.19870399999999999</v>
      </c>
      <c r="X3483">
        <v>0.97660930000000001</v>
      </c>
      <c r="Y3483">
        <v>-3.8346140000000001E-2</v>
      </c>
      <c r="Z3483">
        <v>6.5761379999999998E-4</v>
      </c>
      <c r="AA3483">
        <v>0.99926429999999999</v>
      </c>
      <c r="AB3483">
        <v>30</v>
      </c>
      <c r="AC3483">
        <v>44.023800000000001</v>
      </c>
      <c r="AD3483">
        <v>-1.1099927453639999</v>
      </c>
      <c r="AE3483">
        <v>1.7150000000000001</v>
      </c>
      <c r="AF3483">
        <v>-1.70165878667378</v>
      </c>
      <c r="AG3483">
        <v>-1.1099927453639999</v>
      </c>
      <c r="AH3483">
        <v>43.996348999174003</v>
      </c>
      <c r="AI3483">
        <v>91.444140866966293</v>
      </c>
      <c r="AJ3483">
        <v>92.214940460899797</v>
      </c>
      <c r="AK3483">
        <v>44.043233893279698</v>
      </c>
      <c r="AL3483">
        <v>78.538817669760505</v>
      </c>
      <c r="AM3483">
        <v>94.809126799572496</v>
      </c>
      <c r="AN3483">
        <v>1.0000000326973499</v>
      </c>
    </row>
    <row r="3484" spans="1:40" x14ac:dyDescent="0.25">
      <c r="A3484" t="str">
        <f>"20190304155125171"</f>
        <v>20190304155125171</v>
      </c>
      <c r="B3484" t="str">
        <f>"1551685885159838"</f>
        <v>1551685885159838</v>
      </c>
      <c r="C3484" t="s">
        <v>40</v>
      </c>
      <c r="D3484">
        <v>4.6516310000000001</v>
      </c>
      <c r="E3484">
        <v>0.51472379999999995</v>
      </c>
      <c r="F3484" t="s">
        <v>70</v>
      </c>
      <c r="G3484">
        <v>-363.49970000000002</v>
      </c>
      <c r="H3484" s="1">
        <v>3.2556719999999998E-7</v>
      </c>
      <c r="I3484">
        <v>215.0941</v>
      </c>
      <c r="J3484">
        <v>-408.97179999999997</v>
      </c>
      <c r="K3484">
        <v>1.1099889999999999</v>
      </c>
      <c r="L3484">
        <v>213.3331</v>
      </c>
      <c r="M3484">
        <v>0.99995489999999998</v>
      </c>
      <c r="N3484">
        <v>-9.508875E-3</v>
      </c>
      <c r="O3484">
        <v>2.719857E-4</v>
      </c>
      <c r="P3484">
        <v>0.97846339999999998</v>
      </c>
      <c r="Q3484">
        <v>0.1891738</v>
      </c>
      <c r="R3484">
        <v>8.2602030000000007E-2</v>
      </c>
      <c r="S3484">
        <v>3.0705870000000002</v>
      </c>
      <c r="T3484">
        <v>-7.4467179999999994E-2</v>
      </c>
      <c r="U3484">
        <v>0.1181488</v>
      </c>
      <c r="V3484">
        <v>-8.2332240000000001E-2</v>
      </c>
      <c r="W3484">
        <v>0.19847129999999999</v>
      </c>
      <c r="X3484">
        <v>0.97664249999999997</v>
      </c>
      <c r="Y3484">
        <v>-3.8161769999999998E-2</v>
      </c>
      <c r="Z3484">
        <v>6.4004459999999997E-4</v>
      </c>
      <c r="AA3484">
        <v>0.99927140000000003</v>
      </c>
      <c r="AB3484">
        <v>30</v>
      </c>
      <c r="AC3484">
        <v>45.472099999999898</v>
      </c>
      <c r="AD3484">
        <v>-1.10998867443279</v>
      </c>
      <c r="AE3484">
        <v>1.7609999999999899</v>
      </c>
      <c r="AF3484">
        <v>-1.7475918490926901</v>
      </c>
      <c r="AG3484">
        <v>-1.10998867443279</v>
      </c>
      <c r="AH3484">
        <v>45.445538503020202</v>
      </c>
      <c r="AI3484">
        <v>91.398114833640093</v>
      </c>
      <c r="AJ3484">
        <v>92.202203525935204</v>
      </c>
      <c r="AK3484">
        <v>45.492671079613203</v>
      </c>
      <c r="AL3484">
        <v>78.552421119747393</v>
      </c>
      <c r="AM3484">
        <v>94.818715624693695</v>
      </c>
      <c r="AN3484">
        <v>1.00000001373667</v>
      </c>
    </row>
    <row r="3485" spans="1:40" x14ac:dyDescent="0.25">
      <c r="A3485" t="str">
        <f>"20190304155125193"</f>
        <v>20190304155125193</v>
      </c>
      <c r="B3485" t="str">
        <f>"1551685885190094"</f>
        <v>1551685885190094</v>
      </c>
      <c r="C3485" t="s">
        <v>40</v>
      </c>
      <c r="D3485">
        <v>4.7113690000000004</v>
      </c>
      <c r="E3485">
        <v>0.51468549999999902</v>
      </c>
      <c r="F3485" t="s">
        <v>70</v>
      </c>
      <c r="G3485">
        <v>-364.27190000000002</v>
      </c>
      <c r="H3485" s="1">
        <v>7.3650069999999996E-7</v>
      </c>
      <c r="I3485">
        <v>215.09059999999999</v>
      </c>
      <c r="J3485">
        <v>-408.6764</v>
      </c>
      <c r="K3485">
        <v>1.1099829999999999</v>
      </c>
      <c r="L3485">
        <v>213.33320000000001</v>
      </c>
      <c r="M3485">
        <v>0.99995480000000003</v>
      </c>
      <c r="N3485">
        <v>-9.5134680000000006E-3</v>
      </c>
      <c r="O3485">
        <v>2.667449E-4</v>
      </c>
      <c r="P3485">
        <v>0.97860840000000004</v>
      </c>
      <c r="Q3485">
        <v>0.18860009999999999</v>
      </c>
      <c r="R3485">
        <v>8.219427E-2</v>
      </c>
      <c r="S3485">
        <v>3.0705870000000002</v>
      </c>
      <c r="T3485">
        <v>-7.6248759999999999E-2</v>
      </c>
      <c r="U3485">
        <v>0.1207275</v>
      </c>
      <c r="V3485">
        <v>-8.1927829999999993E-2</v>
      </c>
      <c r="W3485">
        <v>0.19790389999999999</v>
      </c>
      <c r="X3485">
        <v>0.97679159999999998</v>
      </c>
      <c r="Y3485">
        <v>-3.9003919999999997E-2</v>
      </c>
      <c r="Z3485">
        <v>6.6557360000000002E-4</v>
      </c>
      <c r="AA3485">
        <v>0.99923879999999998</v>
      </c>
      <c r="AB3485">
        <v>31</v>
      </c>
      <c r="AC3485">
        <v>44.404499999999899</v>
      </c>
      <c r="AD3485">
        <v>-1.1099822634993</v>
      </c>
      <c r="AE3485">
        <v>1.7573999999999901</v>
      </c>
      <c r="AF3485">
        <v>-1.7444663975882599</v>
      </c>
      <c r="AG3485">
        <v>-1.1099822634993</v>
      </c>
      <c r="AH3485">
        <v>44.377281291108503</v>
      </c>
      <c r="AI3485">
        <v>91.431700854071593</v>
      </c>
      <c r="AJ3485">
        <v>92.251132187184496</v>
      </c>
      <c r="AK3485">
        <v>44.425424234640303</v>
      </c>
      <c r="AL3485">
        <v>78.585588220809598</v>
      </c>
      <c r="AM3485">
        <v>94.794428548157896</v>
      </c>
      <c r="AN3485">
        <v>0.999999976397139</v>
      </c>
    </row>
    <row r="3486" spans="1:40" x14ac:dyDescent="0.25">
      <c r="A3486" t="str">
        <f>"20190304155125215"</f>
        <v>20190304155125215</v>
      </c>
      <c r="B3486" t="str">
        <f>"1551685885209614"</f>
        <v>1551685885209614</v>
      </c>
      <c r="C3486" t="s">
        <v>40</v>
      </c>
      <c r="D3486">
        <v>4.7481949999999999</v>
      </c>
      <c r="E3486">
        <v>0.51481339999999998</v>
      </c>
      <c r="F3486" t="s">
        <v>70</v>
      </c>
      <c r="G3486">
        <v>-363.89350000000002</v>
      </c>
      <c r="H3486" s="1">
        <v>5.3512969999999897E-7</v>
      </c>
      <c r="I3486">
        <v>215.07749999999999</v>
      </c>
      <c r="J3486">
        <v>-408.3766</v>
      </c>
      <c r="K3486">
        <v>1.109977</v>
      </c>
      <c r="L3486">
        <v>213.33330000000001</v>
      </c>
      <c r="M3486">
        <v>0.99995469999999997</v>
      </c>
      <c r="N3486">
        <v>-9.5182129999999993E-3</v>
      </c>
      <c r="O3486">
        <v>2.6330199999999998E-4</v>
      </c>
      <c r="P3486">
        <v>0.97862369999999999</v>
      </c>
      <c r="Q3486">
        <v>0.18853329999999999</v>
      </c>
      <c r="R3486">
        <v>8.2165840000000004E-2</v>
      </c>
      <c r="S3486">
        <v>3.07016</v>
      </c>
      <c r="T3486">
        <v>-7.6096529999999996E-2</v>
      </c>
      <c r="U3486">
        <v>0.1195831</v>
      </c>
      <c r="V3486">
        <v>-8.1902310000000006E-2</v>
      </c>
      <c r="W3486">
        <v>0.1978422</v>
      </c>
      <c r="X3486">
        <v>0.97680630000000002</v>
      </c>
      <c r="Y3486">
        <v>-3.8641120000000001E-2</v>
      </c>
      <c r="Z3486">
        <v>6.5861420000000003E-4</v>
      </c>
      <c r="AA3486">
        <v>0.9992529</v>
      </c>
      <c r="AB3486">
        <v>31</v>
      </c>
      <c r="AC3486">
        <v>44.483099999999901</v>
      </c>
      <c r="AD3486">
        <v>-1.1099764648703001</v>
      </c>
      <c r="AE3486">
        <v>1.74419999999997</v>
      </c>
      <c r="AF3486">
        <v>-1.7314105285219701</v>
      </c>
      <c r="AG3486">
        <v>-1.1099764648703001</v>
      </c>
      <c r="AH3486">
        <v>44.455920159855701</v>
      </c>
      <c r="AI3486">
        <v>91.429182153263397</v>
      </c>
      <c r="AJ3486">
        <v>92.230353187769794</v>
      </c>
      <c r="AK3486">
        <v>44.5034680382362</v>
      </c>
      <c r="AL3486">
        <v>78.589195369052504</v>
      </c>
      <c r="AM3486">
        <v>94.792870279326905</v>
      </c>
      <c r="AN3486">
        <v>1.0000000361019299</v>
      </c>
    </row>
    <row r="3487" spans="1:40" x14ac:dyDescent="0.25">
      <c r="A3487" t="str">
        <f>"20190304155125237"</f>
        <v>20190304155125237</v>
      </c>
      <c r="B3487" t="str">
        <f>"1551685885230111"</f>
        <v>1551685885230111</v>
      </c>
      <c r="C3487" t="s">
        <v>40</v>
      </c>
      <c r="D3487">
        <v>4.6943619999999999</v>
      </c>
      <c r="E3487">
        <v>0.51468829999999999</v>
      </c>
      <c r="F3487" t="s">
        <v>70</v>
      </c>
      <c r="G3487">
        <v>-365.19549999999998</v>
      </c>
      <c r="H3487" s="1">
        <v>1.2280139999999999E-6</v>
      </c>
      <c r="I3487">
        <v>214.99889999999999</v>
      </c>
      <c r="J3487">
        <v>-408.06380000000001</v>
      </c>
      <c r="K3487">
        <v>1.1099760000000001</v>
      </c>
      <c r="L3487">
        <v>213.33340000000001</v>
      </c>
      <c r="M3487">
        <v>0.99995480000000003</v>
      </c>
      <c r="N3487">
        <v>-9.5231670000000008E-3</v>
      </c>
      <c r="O3487">
        <v>2.597368E-4</v>
      </c>
      <c r="P3487">
        <v>0.97843219999999997</v>
      </c>
      <c r="Q3487">
        <v>0.1893775</v>
      </c>
      <c r="R3487">
        <v>8.2503569999999998E-2</v>
      </c>
      <c r="S3487">
        <v>3.0708310000000001</v>
      </c>
      <c r="T3487">
        <v>-7.8936220000000001E-2</v>
      </c>
      <c r="U3487">
        <v>0.118454</v>
      </c>
      <c r="V3487">
        <v>-8.2242369999999995E-2</v>
      </c>
      <c r="W3487">
        <v>0.19869000000000001</v>
      </c>
      <c r="X3487">
        <v>0.97660559999999996</v>
      </c>
      <c r="Y3487">
        <v>-3.8268410000000003E-2</v>
      </c>
      <c r="Z3487">
        <v>6.6971459999999995E-4</v>
      </c>
      <c r="AA3487">
        <v>0.99926729999999997</v>
      </c>
      <c r="AB3487">
        <v>31</v>
      </c>
      <c r="AC3487">
        <v>42.868299999999998</v>
      </c>
      <c r="AD3487">
        <v>-1.109974771986</v>
      </c>
      <c r="AE3487">
        <v>1.66549999999998</v>
      </c>
      <c r="AF3487">
        <v>-1.65325824179212</v>
      </c>
      <c r="AG3487">
        <v>-1.109974771986</v>
      </c>
      <c r="AH3487">
        <v>42.840053179179499</v>
      </c>
      <c r="AI3487">
        <v>91.483083396560602</v>
      </c>
      <c r="AJ3487">
        <v>92.210028471660806</v>
      </c>
      <c r="AK3487">
        <v>42.886308575155098</v>
      </c>
      <c r="AL3487">
        <v>78.539635874868495</v>
      </c>
      <c r="AM3487">
        <v>94.813661486543793</v>
      </c>
      <c r="AN3487">
        <v>1.00000001073728</v>
      </c>
    </row>
    <row r="3488" spans="1:40" x14ac:dyDescent="0.25">
      <c r="A3488" t="str">
        <f>"20190304155125262"</f>
        <v>20190304155125262</v>
      </c>
      <c r="B3488" t="str">
        <f>"1551685885249633"</f>
        <v>1551685885249633</v>
      </c>
      <c r="C3488" t="s">
        <v>40</v>
      </c>
      <c r="D3488">
        <v>4.6345179999999999</v>
      </c>
      <c r="E3488">
        <v>0.51448379999999905</v>
      </c>
      <c r="F3488" t="s">
        <v>70</v>
      </c>
      <c r="G3488">
        <v>-362.8152</v>
      </c>
      <c r="H3488" s="1">
        <v>-3.8672910000000003E-8</v>
      </c>
      <c r="I3488">
        <v>215.10300000000001</v>
      </c>
      <c r="J3488">
        <v>-407.72969999999998</v>
      </c>
      <c r="K3488">
        <v>1.1099749999999999</v>
      </c>
      <c r="L3488">
        <v>213.33349999999999</v>
      </c>
      <c r="M3488">
        <v>0.99995460000000003</v>
      </c>
      <c r="N3488">
        <v>-9.5284689999999995E-3</v>
      </c>
      <c r="O3488">
        <v>2.4730340000000001E-4</v>
      </c>
      <c r="P3488">
        <v>0.97835709999999998</v>
      </c>
      <c r="Q3488">
        <v>0.18971209999999999</v>
      </c>
      <c r="R3488">
        <v>8.2626920000000006E-2</v>
      </c>
      <c r="S3488">
        <v>3.0705870000000002</v>
      </c>
      <c r="T3488">
        <v>-7.5323340000000003E-2</v>
      </c>
      <c r="U3488">
        <v>0.1200867</v>
      </c>
      <c r="V3488">
        <v>-8.2374870000000003E-2</v>
      </c>
      <c r="W3488">
        <v>0.19903019999999999</v>
      </c>
      <c r="X3488">
        <v>0.97652510000000003</v>
      </c>
      <c r="Y3488">
        <v>-3.8815530000000001E-2</v>
      </c>
      <c r="Z3488">
        <v>6.5716250000000004E-4</v>
      </c>
      <c r="AA3488">
        <v>0.99924619999999997</v>
      </c>
      <c r="AB3488">
        <v>31</v>
      </c>
      <c r="AC3488">
        <v>44.914499999999897</v>
      </c>
      <c r="AD3488">
        <v>-1.1099750386729099</v>
      </c>
      <c r="AE3488">
        <v>1.7694999999999901</v>
      </c>
      <c r="AF3488">
        <v>-1.7573203384003999</v>
      </c>
      <c r="AG3488">
        <v>-1.1099750386729099</v>
      </c>
      <c r="AH3488">
        <v>44.887564297772002</v>
      </c>
      <c r="AI3488">
        <v>91.415431586781693</v>
      </c>
      <c r="AJ3488">
        <v>92.241949353559605</v>
      </c>
      <c r="AK3488">
        <v>44.935661205159199</v>
      </c>
      <c r="AL3488">
        <v>78.519745975559303</v>
      </c>
      <c r="AM3488">
        <v>94.82177578484</v>
      </c>
      <c r="AN3488">
        <v>0.99999995532478203</v>
      </c>
    </row>
    <row r="3489" spans="1:40" x14ac:dyDescent="0.25">
      <c r="A3489" t="str">
        <f>"20190304155125284"</f>
        <v>20190304155125284</v>
      </c>
      <c r="B3489" t="str">
        <f>"1551685885279886"</f>
        <v>1551685885279886</v>
      </c>
      <c r="C3489" t="s">
        <v>40</v>
      </c>
      <c r="D3489">
        <v>4.7193969999999998</v>
      </c>
      <c r="E3489">
        <v>0.51433279999999904</v>
      </c>
      <c r="F3489" t="s">
        <v>70</v>
      </c>
      <c r="G3489">
        <v>-361.77620000000002</v>
      </c>
      <c r="H3489" s="1">
        <v>-5.9160609999999998E-7</v>
      </c>
      <c r="I3489">
        <v>215.1549</v>
      </c>
      <c r="J3489">
        <v>-407.42599999999999</v>
      </c>
      <c r="K3489">
        <v>1.109964</v>
      </c>
      <c r="L3489">
        <v>213.33349999999999</v>
      </c>
      <c r="M3489">
        <v>0.99995460000000003</v>
      </c>
      <c r="N3489">
        <v>-9.5333009999999992E-3</v>
      </c>
      <c r="O3489">
        <v>2.1847460000000001E-4</v>
      </c>
      <c r="P3489">
        <v>0.97836210000000001</v>
      </c>
      <c r="Q3489">
        <v>0.1897075</v>
      </c>
      <c r="R3489">
        <v>8.2575629999999997E-2</v>
      </c>
      <c r="S3489">
        <v>3.0704959999999999</v>
      </c>
      <c r="T3489">
        <v>-7.4165579999999995E-2</v>
      </c>
      <c r="U3489">
        <v>0.1217041</v>
      </c>
      <c r="V3489">
        <v>-8.2346429999999998E-2</v>
      </c>
      <c r="W3489">
        <v>0.1990325</v>
      </c>
      <c r="X3489">
        <v>0.97652700000000003</v>
      </c>
      <c r="Y3489">
        <v>-3.9371240000000002E-2</v>
      </c>
      <c r="Z3489">
        <v>6.5982869999999904E-4</v>
      </c>
      <c r="AA3489">
        <v>0.99922440000000001</v>
      </c>
      <c r="AB3489">
        <v>31</v>
      </c>
      <c r="AC3489">
        <v>45.6497999999999</v>
      </c>
      <c r="AD3489">
        <v>-1.1099645916061001</v>
      </c>
      <c r="AE3489">
        <v>1.8214000000000099</v>
      </c>
      <c r="AF3489">
        <v>-1.8103575849745199</v>
      </c>
      <c r="AG3489">
        <v>-1.1099645916061001</v>
      </c>
      <c r="AH3489">
        <v>45.623266877548801</v>
      </c>
      <c r="AI3489">
        <v>91.392573762074505</v>
      </c>
      <c r="AJ3489">
        <v>92.272337494579702</v>
      </c>
      <c r="AK3489">
        <v>45.672660274612198</v>
      </c>
      <c r="AL3489">
        <v>78.519611165539899</v>
      </c>
      <c r="AM3489">
        <v>94.820109572891596</v>
      </c>
      <c r="AN3489">
        <v>0.99999992615949396</v>
      </c>
    </row>
    <row r="3490" spans="1:40" x14ac:dyDescent="0.25">
      <c r="A3490" t="str">
        <f>"20190304155125305"</f>
        <v>20190304155125305</v>
      </c>
      <c r="B3490" t="str">
        <f>"1551685885300382"</f>
        <v>1551685885300382</v>
      </c>
      <c r="C3490" t="s">
        <v>40</v>
      </c>
      <c r="D3490">
        <v>4.7289089999999998</v>
      </c>
      <c r="E3490">
        <v>0.51409189999999905</v>
      </c>
      <c r="F3490" t="s">
        <v>70</v>
      </c>
      <c r="G3490">
        <v>-360.37450000000001</v>
      </c>
      <c r="H3490" s="1">
        <v>-1.337502E-6</v>
      </c>
      <c r="I3490">
        <v>215.21019999999999</v>
      </c>
      <c r="J3490">
        <v>-407.14170000000001</v>
      </c>
      <c r="K3490">
        <v>1.109955</v>
      </c>
      <c r="L3490">
        <v>213.33349999999999</v>
      </c>
      <c r="M3490">
        <v>0.99995449999999997</v>
      </c>
      <c r="N3490">
        <v>-9.5379039999999998E-3</v>
      </c>
      <c r="O3490">
        <v>1.6769889999999999E-4</v>
      </c>
      <c r="P3490">
        <v>0.97828720000000002</v>
      </c>
      <c r="Q3490">
        <v>0.1899911</v>
      </c>
      <c r="R3490">
        <v>8.2811159999999995E-2</v>
      </c>
      <c r="S3490">
        <v>3.070068</v>
      </c>
      <c r="T3490">
        <v>-7.2424169999999996E-2</v>
      </c>
      <c r="U3490">
        <v>0.1224518</v>
      </c>
      <c r="V3490">
        <v>-8.2622689999999999E-2</v>
      </c>
      <c r="W3490">
        <v>0.19932369999999999</v>
      </c>
      <c r="X3490">
        <v>0.97644439999999999</v>
      </c>
      <c r="Y3490">
        <v>-3.9670959999999998E-2</v>
      </c>
      <c r="Z3490">
        <v>6.5462620000000002E-4</v>
      </c>
      <c r="AA3490">
        <v>0.99921260000000001</v>
      </c>
      <c r="AB3490">
        <v>31</v>
      </c>
      <c r="AC3490">
        <v>46.767200000000003</v>
      </c>
      <c r="AD3490">
        <v>-1.1099563375020001</v>
      </c>
      <c r="AE3490">
        <v>1.8767</v>
      </c>
      <c r="AF3490">
        <v>-1.8678063909264</v>
      </c>
      <c r="AG3490">
        <v>-1.1099563375020001</v>
      </c>
      <c r="AH3490">
        <v>46.741227721143403</v>
      </c>
      <c r="AI3490">
        <v>91.359253478097997</v>
      </c>
      <c r="AJ3490">
        <v>92.288354828717601</v>
      </c>
      <c r="AK3490">
        <v>46.791698758058899</v>
      </c>
      <c r="AL3490">
        <v>78.502587011625195</v>
      </c>
      <c r="AM3490">
        <v>94.836610917961295</v>
      </c>
      <c r="AN3490">
        <v>1.0000000562879401</v>
      </c>
    </row>
    <row r="3491" spans="1:40" x14ac:dyDescent="0.25">
      <c r="A3491" t="str">
        <f>"20190304155125328"</f>
        <v>20190304155125328</v>
      </c>
      <c r="B3491" t="str">
        <f>"1551685885319902"</f>
        <v>1551685885319902</v>
      </c>
      <c r="C3491" t="s">
        <v>40</v>
      </c>
      <c r="D3491">
        <v>4.7349759999999996</v>
      </c>
      <c r="E3491">
        <v>0.51401669999999999</v>
      </c>
      <c r="F3491" t="s">
        <v>70</v>
      </c>
      <c r="G3491">
        <v>-360.83429999999998</v>
      </c>
      <c r="H3491" s="1">
        <v>-1.0928189999999901E-6</v>
      </c>
      <c r="I3491">
        <v>215.21469999999999</v>
      </c>
      <c r="J3491">
        <v>-406.82080000000002</v>
      </c>
      <c r="K3491">
        <v>1.109926</v>
      </c>
      <c r="L3491">
        <v>213.33349999999999</v>
      </c>
      <c r="M3491">
        <v>0.99995460000000003</v>
      </c>
      <c r="N3491">
        <v>-9.5431430000000005E-3</v>
      </c>
      <c r="O3491" s="1">
        <v>7.8019739999999997E-5</v>
      </c>
      <c r="P3491">
        <v>0.97832479999999999</v>
      </c>
      <c r="Q3491">
        <v>0.18983920000000001</v>
      </c>
      <c r="R3491">
        <v>8.2716120000000004E-2</v>
      </c>
      <c r="S3491">
        <v>3.0702820000000002</v>
      </c>
      <c r="T3491">
        <v>-7.3592539999999998E-2</v>
      </c>
      <c r="U3491">
        <v>0.1247253</v>
      </c>
      <c r="V3491">
        <v>-8.2602770000000006E-2</v>
      </c>
      <c r="W3491">
        <v>0.1991821</v>
      </c>
      <c r="X3491">
        <v>0.97647490000000003</v>
      </c>
      <c r="Y3491">
        <v>-4.0495740000000002E-2</v>
      </c>
      <c r="Z3491">
        <v>6.7728419999999996E-4</v>
      </c>
      <c r="AA3491">
        <v>0.9991795</v>
      </c>
      <c r="AB3491">
        <v>31</v>
      </c>
      <c r="AC3491">
        <v>45.986499999999999</v>
      </c>
      <c r="AD3491">
        <v>-1.1099270928189999</v>
      </c>
      <c r="AE3491">
        <v>1.8812</v>
      </c>
      <c r="AF3491">
        <v>-1.8765206484049499</v>
      </c>
      <c r="AG3491">
        <v>-1.1099270928189999</v>
      </c>
      <c r="AH3491">
        <v>45.959917725697601</v>
      </c>
      <c r="AI3491">
        <v>91.382266813079198</v>
      </c>
      <c r="AJ3491">
        <v>92.338059621069405</v>
      </c>
      <c r="AK3491">
        <v>46.011599681473299</v>
      </c>
      <c r="AL3491">
        <v>78.5108651986166</v>
      </c>
      <c r="AM3491">
        <v>94.835300041889099</v>
      </c>
      <c r="AN3491">
        <v>0.99999997845104605</v>
      </c>
    </row>
    <row r="3492" spans="1:40" x14ac:dyDescent="0.25">
      <c r="A3492" t="str">
        <f>"20190304155125351"</f>
        <v>20190304155125351</v>
      </c>
      <c r="B3492" t="str">
        <f>"1551685885340398"</f>
        <v>1551685885340398</v>
      </c>
      <c r="C3492" t="s">
        <v>40</v>
      </c>
      <c r="D3492">
        <v>4.8406929999999999</v>
      </c>
      <c r="E3492">
        <v>0.51383290000000004</v>
      </c>
      <c r="F3492" t="s">
        <v>70</v>
      </c>
      <c r="G3492">
        <v>-360.88839999999999</v>
      </c>
      <c r="H3492" s="1">
        <v>-1.0640140000000001E-6</v>
      </c>
      <c r="I3492">
        <v>215.19640000000001</v>
      </c>
      <c r="J3492">
        <v>-406.49880000000002</v>
      </c>
      <c r="K3492">
        <v>1.1098980000000001</v>
      </c>
      <c r="L3492">
        <v>213.33340000000001</v>
      </c>
      <c r="M3492">
        <v>0.99995449999999997</v>
      </c>
      <c r="N3492">
        <v>-9.5483849999999995E-3</v>
      </c>
      <c r="O3492" s="1">
        <v>-5.1927800000000001E-5</v>
      </c>
      <c r="P3492">
        <v>0.97851089999999996</v>
      </c>
      <c r="Q3492">
        <v>0.18886639999999999</v>
      </c>
      <c r="R3492">
        <v>8.2741590000000004E-2</v>
      </c>
      <c r="S3492">
        <v>3.0703429999999998</v>
      </c>
      <c r="T3492">
        <v>-7.4192880000000003E-2</v>
      </c>
      <c r="U3492">
        <v>0.124527</v>
      </c>
      <c r="V3492">
        <v>-8.2741190000000006E-2</v>
      </c>
      <c r="W3492">
        <v>0.19822219999999999</v>
      </c>
      <c r="X3492">
        <v>0.97665849999999998</v>
      </c>
      <c r="Y3492">
        <v>-4.0560060000000002E-2</v>
      </c>
      <c r="Z3492">
        <v>6.8430469999999997E-4</v>
      </c>
      <c r="AA3492">
        <v>0.99917690000000003</v>
      </c>
      <c r="AB3492">
        <v>31</v>
      </c>
      <c r="AC3492">
        <v>45.610399999999998</v>
      </c>
      <c r="AD3492">
        <v>-1.1098990640140001</v>
      </c>
      <c r="AE3492">
        <v>1.86299999999999</v>
      </c>
      <c r="AF3492">
        <v>-1.8642664473499799</v>
      </c>
      <c r="AG3492">
        <v>-1.1098990640140001</v>
      </c>
      <c r="AH3492">
        <v>45.583355503368701</v>
      </c>
      <c r="AI3492">
        <v>91.393642105850205</v>
      </c>
      <c r="AJ3492">
        <v>92.341975565218803</v>
      </c>
      <c r="AK3492">
        <v>45.634960986786297</v>
      </c>
      <c r="AL3492">
        <v>78.566982482396895</v>
      </c>
      <c r="AM3492">
        <v>94.842458026132206</v>
      </c>
      <c r="AN3492">
        <v>0.99999998535885304</v>
      </c>
    </row>
    <row r="3493" spans="1:40" x14ac:dyDescent="0.25">
      <c r="A3493" t="str">
        <f>"20190304155125373"</f>
        <v>20190304155125373</v>
      </c>
      <c r="B3493" t="str">
        <f>"1551685885369679"</f>
        <v>1551685885369679</v>
      </c>
      <c r="C3493" t="s">
        <v>40</v>
      </c>
      <c r="D3493">
        <v>4.7669839999999999</v>
      </c>
      <c r="E3493">
        <v>0.51382669999999997</v>
      </c>
      <c r="F3493" t="s">
        <v>70</v>
      </c>
      <c r="G3493">
        <v>-362.08690000000001</v>
      </c>
      <c r="H3493" s="1">
        <v>-4.2627579999999999E-7</v>
      </c>
      <c r="I3493">
        <v>215.15799999999999</v>
      </c>
      <c r="J3493">
        <v>-406.2</v>
      </c>
      <c r="K3493">
        <v>1.109872</v>
      </c>
      <c r="L3493">
        <v>213.33330000000001</v>
      </c>
      <c r="M3493">
        <v>0.99995440000000002</v>
      </c>
      <c r="N3493">
        <v>-9.5532389999999998E-3</v>
      </c>
      <c r="O3493">
        <v>-2.0136469999999999E-4</v>
      </c>
      <c r="P3493">
        <v>0.97849459999999999</v>
      </c>
      <c r="Q3493">
        <v>0.1888763</v>
      </c>
      <c r="R3493">
        <v>8.2909189999999994E-2</v>
      </c>
      <c r="S3493">
        <v>3.0700379999999998</v>
      </c>
      <c r="T3493">
        <v>-7.6723219999999995E-2</v>
      </c>
      <c r="U3493">
        <v>0.1261292</v>
      </c>
      <c r="V3493">
        <v>-8.304404E-2</v>
      </c>
      <c r="W3493">
        <v>0.19824140000000001</v>
      </c>
      <c r="X3493">
        <v>0.97662890000000002</v>
      </c>
      <c r="Y3493">
        <v>-4.1232690000000002E-2</v>
      </c>
      <c r="Z3493">
        <v>7.1511440000000001E-4</v>
      </c>
      <c r="AA3493">
        <v>0.99914930000000002</v>
      </c>
      <c r="AB3493">
        <v>31</v>
      </c>
      <c r="AC3493">
        <v>44.113099999999903</v>
      </c>
      <c r="AD3493">
        <v>-1.1098724262758</v>
      </c>
      <c r="AE3493">
        <v>1.82469999999997</v>
      </c>
      <c r="AF3493">
        <v>-1.8324252257604099</v>
      </c>
      <c r="AG3493">
        <v>-1.1098724262758</v>
      </c>
      <c r="AH3493">
        <v>44.084873133358101</v>
      </c>
      <c r="AI3493">
        <v>91.4409193761865</v>
      </c>
      <c r="AJ3493">
        <v>92.380177650136403</v>
      </c>
      <c r="AK3493">
        <v>44.1368965627953</v>
      </c>
      <c r="AL3493">
        <v>78.565860147048397</v>
      </c>
      <c r="AM3493">
        <v>94.860244282746507</v>
      </c>
      <c r="AN3493">
        <v>0.99999998678434499</v>
      </c>
    </row>
    <row r="3494" spans="1:40" x14ac:dyDescent="0.25">
      <c r="A3494" t="str">
        <f>"20190304155125396"</f>
        <v>20190304155125396</v>
      </c>
      <c r="B3494" t="str">
        <f>"1551685885390174"</f>
        <v>1551685885390174</v>
      </c>
      <c r="C3494" t="s">
        <v>40</v>
      </c>
      <c r="D3494">
        <v>4.7768119999999996</v>
      </c>
      <c r="E3494">
        <v>0.51380099999999995</v>
      </c>
      <c r="F3494" t="s">
        <v>70</v>
      </c>
      <c r="G3494">
        <v>-361.3843</v>
      </c>
      <c r="H3494" s="1">
        <v>-8.0014870000000002E-7</v>
      </c>
      <c r="I3494">
        <v>215.18350000000001</v>
      </c>
      <c r="J3494">
        <v>-405.88319999999999</v>
      </c>
      <c r="K3494">
        <v>1.1098509999999999</v>
      </c>
      <c r="L3494">
        <v>213.333</v>
      </c>
      <c r="M3494">
        <v>0.99995429999999996</v>
      </c>
      <c r="N3494">
        <v>-9.5583830000000002E-3</v>
      </c>
      <c r="O3494">
        <v>-3.8976350000000001E-4</v>
      </c>
      <c r="P3494">
        <v>0.97852280000000003</v>
      </c>
      <c r="Q3494">
        <v>0.18865989999999999</v>
      </c>
      <c r="R3494">
        <v>8.3071309999999995E-2</v>
      </c>
      <c r="S3494">
        <v>3.069855</v>
      </c>
      <c r="T3494">
        <v>-7.6025720000000005E-2</v>
      </c>
      <c r="U3494">
        <v>0.1267395</v>
      </c>
      <c r="V3494">
        <v>-8.3379620000000002E-2</v>
      </c>
      <c r="W3494">
        <v>0.19803480000000001</v>
      </c>
      <c r="X3494">
        <v>0.97664229999999996</v>
      </c>
      <c r="Y3494">
        <v>-4.1621779999999997E-2</v>
      </c>
      <c r="Z3494">
        <v>7.2006199999999896E-4</v>
      </c>
      <c r="AA3494">
        <v>0.99913320000000005</v>
      </c>
      <c r="AB3494">
        <v>31</v>
      </c>
      <c r="AC3494">
        <v>44.4988999999999</v>
      </c>
      <c r="AD3494">
        <v>-1.1098518001487001</v>
      </c>
      <c r="AE3494">
        <v>1.85050000000001</v>
      </c>
      <c r="AF3494">
        <v>-1.8666855142673</v>
      </c>
      <c r="AG3494">
        <v>-1.1098518001487001</v>
      </c>
      <c r="AH3494">
        <v>44.470559783403999</v>
      </c>
      <c r="AI3494">
        <v>91.428376754017407</v>
      </c>
      <c r="AJ3494">
        <v>92.403622814291296</v>
      </c>
      <c r="AK3494">
        <v>44.523555263217403</v>
      </c>
      <c r="AL3494">
        <v>78.577937764942504</v>
      </c>
      <c r="AM3494">
        <v>94.879723195227697</v>
      </c>
      <c r="AN3494">
        <v>1.0000000625958301</v>
      </c>
    </row>
    <row r="3495" spans="1:40" x14ac:dyDescent="0.25">
      <c r="A3495" t="str">
        <f>"20190304155125417"</f>
        <v>20190304155125417</v>
      </c>
      <c r="B3495" t="str">
        <f>"1551685885409694"</f>
        <v>1551685885409694</v>
      </c>
      <c r="C3495" t="s">
        <v>40</v>
      </c>
      <c r="D3495">
        <v>4.6275409999999999</v>
      </c>
      <c r="E3495">
        <v>0.51386699999999996</v>
      </c>
      <c r="F3495" t="s">
        <v>70</v>
      </c>
      <c r="G3495">
        <v>-361.08940000000001</v>
      </c>
      <c r="H3495" s="1">
        <v>-9.570797999999999E-7</v>
      </c>
      <c r="I3495">
        <v>215.17339999999999</v>
      </c>
      <c r="J3495">
        <v>-405.58690000000001</v>
      </c>
      <c r="K3495">
        <v>1.109828</v>
      </c>
      <c r="L3495">
        <v>213.33269999999999</v>
      </c>
      <c r="M3495">
        <v>0.99995409999999996</v>
      </c>
      <c r="N3495">
        <v>-9.5632040000000005E-3</v>
      </c>
      <c r="O3495">
        <v>-5.893119E-4</v>
      </c>
      <c r="P3495">
        <v>0.97866520000000001</v>
      </c>
      <c r="Q3495">
        <v>0.1878281</v>
      </c>
      <c r="R3495">
        <v>8.3278599999999994E-2</v>
      </c>
      <c r="S3495">
        <v>3.0698240000000001</v>
      </c>
      <c r="T3495">
        <v>-7.6060649999999994E-2</v>
      </c>
      <c r="U3495">
        <v>0.1261292</v>
      </c>
      <c r="V3495">
        <v>-8.3774719999999997E-2</v>
      </c>
      <c r="W3495">
        <v>0.19721250000000001</v>
      </c>
      <c r="X3495">
        <v>0.97677480000000005</v>
      </c>
      <c r="Y3495">
        <v>-4.1623210000000001E-2</v>
      </c>
      <c r="Z3495">
        <v>7.2346659999999996E-4</v>
      </c>
      <c r="AA3495">
        <v>0.9991331</v>
      </c>
      <c r="AB3495">
        <v>31</v>
      </c>
      <c r="AC3495">
        <v>44.497500000000002</v>
      </c>
      <c r="AD3495">
        <v>-1.1098289570797999</v>
      </c>
      <c r="AE3495">
        <v>1.84069999999999</v>
      </c>
      <c r="AF3495">
        <v>-1.86576512756476</v>
      </c>
      <c r="AG3495">
        <v>-1.1098289570797999</v>
      </c>
      <c r="AH3495">
        <v>44.468791926843302</v>
      </c>
      <c r="AI3495">
        <v>91.428405265823798</v>
      </c>
      <c r="AJ3495">
        <v>92.4025344716364</v>
      </c>
      <c r="AK3495">
        <v>44.521750361571598</v>
      </c>
      <c r="AL3495">
        <v>78.625999152319807</v>
      </c>
      <c r="AM3495">
        <v>94.902071835996196</v>
      </c>
      <c r="AN3495">
        <v>0.99999999189118405</v>
      </c>
    </row>
    <row r="3496" spans="1:40" x14ac:dyDescent="0.25">
      <c r="A3496" t="str">
        <f>"20190304155125438"</f>
        <v>20190304155125438</v>
      </c>
      <c r="B3496" t="str">
        <f>"1551685885430190"</f>
        <v>1551685885430190</v>
      </c>
      <c r="C3496" t="s">
        <v>40</v>
      </c>
      <c r="D3496">
        <v>4.7230480000000004</v>
      </c>
      <c r="E3496">
        <v>0.54911599999999905</v>
      </c>
      <c r="F3496" t="s">
        <v>70</v>
      </c>
      <c r="G3496">
        <v>-361.97640000000001</v>
      </c>
      <c r="H3496" s="1">
        <v>-4.8505509999999999E-7</v>
      </c>
      <c r="I3496">
        <v>215.11959999999999</v>
      </c>
      <c r="J3496">
        <v>-405.28179999999998</v>
      </c>
      <c r="K3496">
        <v>1.1098049999999999</v>
      </c>
      <c r="L3496">
        <v>213.3323</v>
      </c>
      <c r="M3496">
        <v>0.99995400000000001</v>
      </c>
      <c r="N3496">
        <v>-9.5681729999999993E-3</v>
      </c>
      <c r="O3496">
        <v>-8.1148029999999897E-4</v>
      </c>
      <c r="P3496">
        <v>0.97881260000000003</v>
      </c>
      <c r="Q3496">
        <v>0.1873225</v>
      </c>
      <c r="R3496">
        <v>8.2682190000000003E-2</v>
      </c>
      <c r="S3496">
        <v>3.0697329999999998</v>
      </c>
      <c r="T3496">
        <v>-7.8120590000000004E-2</v>
      </c>
      <c r="U3496">
        <v>0.12577819999999901</v>
      </c>
      <c r="V3496">
        <v>-8.3388710000000005E-2</v>
      </c>
      <c r="W3496">
        <v>0.19671559999999999</v>
      </c>
      <c r="X3496">
        <v>0.976908</v>
      </c>
      <c r="Y3496">
        <v>-4.173147E-2</v>
      </c>
      <c r="Z3496">
        <v>7.4335500000000001E-4</v>
      </c>
      <c r="AA3496">
        <v>0.99912860000000003</v>
      </c>
      <c r="AB3496">
        <v>31</v>
      </c>
      <c r="AC3496">
        <v>43.305399999999899</v>
      </c>
      <c r="AD3496">
        <v>-1.1098054850551</v>
      </c>
      <c r="AE3496">
        <v>1.7872999999999799</v>
      </c>
      <c r="AF3496">
        <v>-1.8212483982991099</v>
      </c>
      <c r="AG3496">
        <v>-1.1098054850551</v>
      </c>
      <c r="AH3496">
        <v>43.275561796437103</v>
      </c>
      <c r="AI3496">
        <v>91.467734540178</v>
      </c>
      <c r="AJ3496">
        <v>92.409866022635399</v>
      </c>
      <c r="AK3496">
        <v>43.328083995720498</v>
      </c>
      <c r="AL3496">
        <v>78.655038057005399</v>
      </c>
      <c r="AM3496">
        <v>94.878931684851906</v>
      </c>
      <c r="AN3496">
        <v>0.99999997235141103</v>
      </c>
    </row>
    <row r="3497" spans="1:40" x14ac:dyDescent="0.25">
      <c r="A3497" t="str">
        <f>"20190304155125462"</f>
        <v>20190304155125462</v>
      </c>
      <c r="B3497" t="str">
        <f>"1551685885460448"</f>
        <v>1551685885460448</v>
      </c>
      <c r="C3497" t="s">
        <v>40</v>
      </c>
      <c r="D3497">
        <v>4.6591149999999999</v>
      </c>
      <c r="E3497">
        <v>0.56064539999999996</v>
      </c>
      <c r="F3497" t="s">
        <v>70</v>
      </c>
      <c r="G3497">
        <v>-332.47669999999999</v>
      </c>
      <c r="H3497" s="1">
        <v>-2.3888299999999999E-9</v>
      </c>
      <c r="I3497">
        <v>209.66560000000001</v>
      </c>
      <c r="J3497">
        <v>-404.9545</v>
      </c>
      <c r="K3497">
        <v>1.1097900000000001</v>
      </c>
      <c r="L3497">
        <v>213.33179999999999</v>
      </c>
      <c r="M3497">
        <v>0.9999536</v>
      </c>
      <c r="N3497">
        <v>-9.5735160000000007E-3</v>
      </c>
      <c r="O3497">
        <v>-1.0609160000000001E-3</v>
      </c>
      <c r="P3497">
        <v>0.97910079999999999</v>
      </c>
      <c r="Q3497">
        <v>0.1864449</v>
      </c>
      <c r="R3497">
        <v>8.1239610000000004E-2</v>
      </c>
      <c r="S3497">
        <v>3.0870359999999999</v>
      </c>
      <c r="T3497">
        <v>-4.7057269999999998E-2</v>
      </c>
      <c r="U3497">
        <v>-0.15547179999999999</v>
      </c>
      <c r="V3497">
        <v>-8.2185040000000001E-2</v>
      </c>
      <c r="W3497">
        <v>0.1958483</v>
      </c>
      <c r="X3497">
        <v>0.97718419999999895</v>
      </c>
      <c r="Y3497">
        <v>4.9230120000000002E-2</v>
      </c>
      <c r="Z3497">
        <v>-6.0477980000000001E-4</v>
      </c>
      <c r="AA3497">
        <v>0.99878730000000004</v>
      </c>
      <c r="AB3497">
        <v>31</v>
      </c>
      <c r="AC3497">
        <v>72.477800000000002</v>
      </c>
      <c r="AD3497">
        <v>-1.1097900023888301</v>
      </c>
      <c r="AE3497">
        <v>-3.6661999999999701</v>
      </c>
      <c r="AF3497">
        <v>3.5884623450919002</v>
      </c>
      <c r="AG3497">
        <v>-1.1097900023888301</v>
      </c>
      <c r="AH3497">
        <v>72.464702092887904</v>
      </c>
      <c r="AI3497">
        <v>90.876337135292204</v>
      </c>
      <c r="AJ3497">
        <v>87.165020697270904</v>
      </c>
      <c r="AK3497">
        <v>72.561985538314403</v>
      </c>
      <c r="AL3497">
        <v>78.705716246178895</v>
      </c>
      <c r="AM3497">
        <v>94.807486818378493</v>
      </c>
      <c r="AN3497">
        <v>0.99999994907116396</v>
      </c>
    </row>
    <row r="3498" spans="1:40" x14ac:dyDescent="0.25">
      <c r="A3498" t="str">
        <f>"20190304155125484"</f>
        <v>20190304155125484</v>
      </c>
      <c r="B3498" t="str">
        <f>"1551685885479966"</f>
        <v>1551685885479966</v>
      </c>
      <c r="C3498" t="s">
        <v>40</v>
      </c>
      <c r="D3498">
        <v>4.7079389999999997</v>
      </c>
      <c r="E3498">
        <v>0.56233630000000001</v>
      </c>
      <c r="F3498" t="s">
        <v>72</v>
      </c>
      <c r="G3498">
        <v>-310.87450000000001</v>
      </c>
      <c r="H3498">
        <v>7.9999290000000001E-2</v>
      </c>
      <c r="I3498">
        <v>205.68360000000001</v>
      </c>
      <c r="J3498">
        <v>-404.64249999999998</v>
      </c>
      <c r="K3498">
        <v>1.109785</v>
      </c>
      <c r="L3498">
        <v>213.3312</v>
      </c>
      <c r="M3498">
        <v>0.99995339999999999</v>
      </c>
      <c r="N3498">
        <v>-9.5785760000000001E-3</v>
      </c>
      <c r="O3498">
        <v>-1.3045800000000001E-3</v>
      </c>
      <c r="P3498">
        <v>0.97949609999999998</v>
      </c>
      <c r="Q3498">
        <v>0.1850193</v>
      </c>
      <c r="R3498">
        <v>7.9722420000000002E-2</v>
      </c>
      <c r="S3498">
        <v>3.09137</v>
      </c>
      <c r="T3498">
        <v>-3.3837800000000001E-2</v>
      </c>
      <c r="U3498">
        <v>-0.25131229999999999</v>
      </c>
      <c r="V3498">
        <v>-8.0904009999999998E-2</v>
      </c>
      <c r="W3498">
        <v>0.1944322</v>
      </c>
      <c r="X3498">
        <v>0.9775739</v>
      </c>
      <c r="Y3498">
        <v>7.9718140000000007E-2</v>
      </c>
      <c r="Z3498">
        <v>-8.162337E-4</v>
      </c>
      <c r="AA3498">
        <v>0.99681710000000001</v>
      </c>
      <c r="AB3498">
        <v>31</v>
      </c>
      <c r="AC3498">
        <v>93.767999999999901</v>
      </c>
      <c r="AD3498">
        <v>-1.0297857100000001</v>
      </c>
      <c r="AE3498">
        <v>-7.6475999999999802</v>
      </c>
      <c r="AF3498">
        <v>7.5243585190620097</v>
      </c>
      <c r="AG3498">
        <v>-1.0297857100000001</v>
      </c>
      <c r="AH3498">
        <v>93.766663065984702</v>
      </c>
      <c r="AI3498">
        <v>90.627205532114701</v>
      </c>
      <c r="AJ3498">
        <v>85.412098854007098</v>
      </c>
      <c r="AK3498">
        <v>94.073713290492506</v>
      </c>
      <c r="AL3498">
        <v>78.788444180109096</v>
      </c>
      <c r="AM3498">
        <v>94.731016767673907</v>
      </c>
      <c r="AN3498">
        <v>1.00000003459606</v>
      </c>
    </row>
    <row r="3499" spans="1:40" x14ac:dyDescent="0.25">
      <c r="A3499" t="str">
        <f>"20190304155125506"</f>
        <v>20190304155125506</v>
      </c>
      <c r="B3499" t="str">
        <f>"1551685885500462"</f>
        <v>1551685885500462</v>
      </c>
      <c r="C3499" t="s">
        <v>40</v>
      </c>
      <c r="D3499">
        <v>4.7437279999999999</v>
      </c>
      <c r="E3499">
        <v>0.56334899999999999</v>
      </c>
      <c r="F3499" t="s">
        <v>72</v>
      </c>
      <c r="G3499">
        <v>-297.01569999999998</v>
      </c>
      <c r="H3499" s="1">
        <v>3.5163850000000001E-6</v>
      </c>
      <c r="I3499">
        <v>203.94890000000001</v>
      </c>
      <c r="J3499">
        <v>-404.3503</v>
      </c>
      <c r="K3499">
        <v>1.1097760000000001</v>
      </c>
      <c r="L3499">
        <v>213.3306</v>
      </c>
      <c r="M3499">
        <v>0.99995299999999998</v>
      </c>
      <c r="N3499">
        <v>-9.5833129999999996E-3</v>
      </c>
      <c r="O3499">
        <v>-1.534856E-3</v>
      </c>
      <c r="P3499">
        <v>0.97979519999999998</v>
      </c>
      <c r="Q3499">
        <v>0.1839539</v>
      </c>
      <c r="R3499">
        <v>7.8502279999999994E-2</v>
      </c>
      <c r="S3499">
        <v>3.0907900000000001</v>
      </c>
      <c r="T3499">
        <v>-3.1870370000000002E-2</v>
      </c>
      <c r="U3499">
        <v>-0.2694397</v>
      </c>
      <c r="V3499">
        <v>-7.9907580000000006E-2</v>
      </c>
      <c r="W3499">
        <v>0.1933745</v>
      </c>
      <c r="X3499">
        <v>0.9778656</v>
      </c>
      <c r="Y3499">
        <v>8.5307720000000004E-2</v>
      </c>
      <c r="Z3499">
        <v>-8.4743209999999999E-4</v>
      </c>
      <c r="AA3499">
        <v>0.99635430000000003</v>
      </c>
      <c r="AB3499">
        <v>31</v>
      </c>
      <c r="AC3499">
        <v>107.33459999999999</v>
      </c>
      <c r="AD3499">
        <v>-1.109772483615</v>
      </c>
      <c r="AE3499">
        <v>-9.3816999999999897</v>
      </c>
      <c r="AF3499">
        <v>9.2159605036085601</v>
      </c>
      <c r="AG3499">
        <v>-1.109772483615</v>
      </c>
      <c r="AH3499">
        <v>107.337486117605</v>
      </c>
      <c r="AI3499">
        <v>90.590194138358001</v>
      </c>
      <c r="AJ3499">
        <v>85.092638831003597</v>
      </c>
      <c r="AK3499">
        <v>107.73811511724401</v>
      </c>
      <c r="AL3499">
        <v>78.850218254873894</v>
      </c>
      <c r="AM3499">
        <v>94.671620467686395</v>
      </c>
      <c r="AN3499">
        <v>1.0000000251275301</v>
      </c>
    </row>
    <row r="3500" spans="1:40" x14ac:dyDescent="0.25">
      <c r="A3500" t="str">
        <f>"20190304155125529"</f>
        <v>20190304155125529</v>
      </c>
      <c r="B3500" t="str">
        <f>"1551685885519982"</f>
        <v>1551685885519982</v>
      </c>
      <c r="C3500" t="s">
        <v>40</v>
      </c>
      <c r="D3500">
        <v>4.7459249999999997</v>
      </c>
      <c r="E3500">
        <v>0.56364740000000002</v>
      </c>
      <c r="F3500" t="s">
        <v>72</v>
      </c>
      <c r="G3500">
        <v>-314.50200000000001</v>
      </c>
      <c r="H3500">
        <v>7.9999120000000007E-2</v>
      </c>
      <c r="I3500">
        <v>205.1277</v>
      </c>
      <c r="J3500">
        <v>-404.0249</v>
      </c>
      <c r="K3500">
        <v>1.1097729999999999</v>
      </c>
      <c r="L3500">
        <v>213.32990000000001</v>
      </c>
      <c r="M3500">
        <v>0.99995239999999996</v>
      </c>
      <c r="N3500">
        <v>-9.5885469999999993E-3</v>
      </c>
      <c r="O3500">
        <v>-1.7914630000000001E-3</v>
      </c>
      <c r="P3500">
        <v>0.97999809999999998</v>
      </c>
      <c r="Q3500">
        <v>0.18328710000000001</v>
      </c>
      <c r="R3500">
        <v>7.752154E-2</v>
      </c>
      <c r="S3500">
        <v>3.0910950000000001</v>
      </c>
      <c r="T3500">
        <v>-3.5427930000000003E-2</v>
      </c>
      <c r="U3500">
        <v>-0.2822113</v>
      </c>
      <c r="V3500">
        <v>-7.9177109999999995E-2</v>
      </c>
      <c r="W3500">
        <v>0.19271479999999999</v>
      </c>
      <c r="X3500">
        <v>0.97805520000000001</v>
      </c>
      <c r="Y3500">
        <v>8.9125060000000006E-2</v>
      </c>
      <c r="Z3500">
        <v>-9.3453340000000001E-4</v>
      </c>
      <c r="AA3500">
        <v>0.99602000000000002</v>
      </c>
      <c r="AB3500">
        <v>31</v>
      </c>
      <c r="AC3500">
        <v>89.522899999999893</v>
      </c>
      <c r="AD3500">
        <v>-1.02977387999999</v>
      </c>
      <c r="AE3500">
        <v>-8.2021999999999995</v>
      </c>
      <c r="AF3500">
        <v>8.0407474266530805</v>
      </c>
      <c r="AG3500">
        <v>-1.02977387999999</v>
      </c>
      <c r="AH3500">
        <v>89.525703789168702</v>
      </c>
      <c r="AI3500">
        <v>90.656376646939805</v>
      </c>
      <c r="AJ3500">
        <v>84.867752490107407</v>
      </c>
      <c r="AK3500">
        <v>89.891966784408098</v>
      </c>
      <c r="AL3500">
        <v>78.888740514630896</v>
      </c>
      <c r="AM3500">
        <v>94.628208125931295</v>
      </c>
      <c r="AN3500">
        <v>0.99999999156701502</v>
      </c>
    </row>
    <row r="3501" spans="1:40" x14ac:dyDescent="0.25">
      <c r="A3501" t="str">
        <f>"20190304155125551"</f>
        <v>20190304155125551</v>
      </c>
      <c r="B3501" t="str">
        <f>"1551685885540481"</f>
        <v>1551685885540481</v>
      </c>
      <c r="C3501" t="s">
        <v>40</v>
      </c>
      <c r="D3501">
        <v>4.9825339999999896</v>
      </c>
      <c r="E3501">
        <v>0.56398909999999902</v>
      </c>
      <c r="F3501" t="s">
        <v>72</v>
      </c>
      <c r="G3501">
        <v>-292.93290000000002</v>
      </c>
      <c r="H3501" s="1">
        <v>2.857717E-6</v>
      </c>
      <c r="I3501">
        <v>202.96860000000001</v>
      </c>
      <c r="J3501">
        <v>-403.71199999999999</v>
      </c>
      <c r="K3501">
        <v>1.1097680000000001</v>
      </c>
      <c r="L3501">
        <v>213.32910000000001</v>
      </c>
      <c r="M3501">
        <v>0.99995199999999995</v>
      </c>
      <c r="N3501">
        <v>-9.5935810000000003E-3</v>
      </c>
      <c r="O3501">
        <v>-2.037563E-3</v>
      </c>
      <c r="P3501">
        <v>0.98002449999999997</v>
      </c>
      <c r="Q3501">
        <v>0.18355750000000001</v>
      </c>
      <c r="R3501">
        <v>7.6543299999999995E-2</v>
      </c>
      <c r="S3501">
        <v>3.0898129999999999</v>
      </c>
      <c r="T3501">
        <v>-3.0866149999999998E-2</v>
      </c>
      <c r="U3501">
        <v>-0.28817749999999998</v>
      </c>
      <c r="V3501">
        <v>-7.8439149999999999E-2</v>
      </c>
      <c r="W3501">
        <v>0.19299089999999999</v>
      </c>
      <c r="X3501">
        <v>0.97806020000000005</v>
      </c>
      <c r="Y3501">
        <v>9.082606E-2</v>
      </c>
      <c r="Z3501">
        <v>-8.8851149999999999E-4</v>
      </c>
      <c r="AA3501">
        <v>0.99586640000000004</v>
      </c>
      <c r="AB3501">
        <v>31</v>
      </c>
      <c r="AC3501">
        <v>110.779099999999</v>
      </c>
      <c r="AD3501">
        <v>-1.1097651422829999</v>
      </c>
      <c r="AE3501">
        <v>-10.3605</v>
      </c>
      <c r="AF3501">
        <v>10.1337405587396</v>
      </c>
      <c r="AG3501">
        <v>-1.1097651422829999</v>
      </c>
      <c r="AH3501">
        <v>110.78895914997</v>
      </c>
      <c r="AI3501">
        <v>90.571522863976099</v>
      </c>
      <c r="AJ3501">
        <v>84.773762790880895</v>
      </c>
      <c r="AK3501">
        <v>111.256989649714</v>
      </c>
      <c r="AL3501">
        <v>78.872618273660194</v>
      </c>
      <c r="AM3501">
        <v>94.5852329719864</v>
      </c>
      <c r="AN3501">
        <v>0.99999997127978502</v>
      </c>
    </row>
    <row r="3502" spans="1:40" x14ac:dyDescent="0.25">
      <c r="A3502" t="str">
        <f>"20190304155125573"</f>
        <v>20190304155125573</v>
      </c>
      <c r="B3502" t="str">
        <f>"1551685885569758"</f>
        <v>1551685885569758</v>
      </c>
      <c r="C3502" t="s">
        <v>40</v>
      </c>
      <c r="D3502">
        <v>4.8277029999999996</v>
      </c>
      <c r="E3502">
        <v>0.56469789999999997</v>
      </c>
      <c r="F3502" t="s">
        <v>81</v>
      </c>
      <c r="G3502">
        <v>-259.53399999999999</v>
      </c>
      <c r="H3502">
        <v>0.28267720000000002</v>
      </c>
      <c r="I3502">
        <v>199.57409999999999</v>
      </c>
      <c r="J3502">
        <v>-403.40480000000002</v>
      </c>
      <c r="K3502">
        <v>1.1097680000000001</v>
      </c>
      <c r="L3502">
        <v>213.32820000000001</v>
      </c>
      <c r="M3502">
        <v>0.99995140000000005</v>
      </c>
      <c r="N3502">
        <v>-9.5985180000000003E-3</v>
      </c>
      <c r="O3502">
        <v>-2.2779330000000002E-3</v>
      </c>
      <c r="P3502">
        <v>0.98001300000000002</v>
      </c>
      <c r="Q3502">
        <v>0.18365509999999999</v>
      </c>
      <c r="R3502">
        <v>7.6459200000000005E-2</v>
      </c>
      <c r="S3502">
        <v>3.087494</v>
      </c>
      <c r="T3502">
        <v>-1.771176E-2</v>
      </c>
      <c r="U3502">
        <v>-0.29455569999999998</v>
      </c>
      <c r="V3502">
        <v>-7.8589110000000004E-2</v>
      </c>
      <c r="W3502">
        <v>0.1930933</v>
      </c>
      <c r="X3502">
        <v>0.97802800000000001</v>
      </c>
      <c r="Y3502">
        <v>9.269956E-2</v>
      </c>
      <c r="Z3502">
        <v>-7.1998229999999997E-4</v>
      </c>
      <c r="AA3502">
        <v>0.99569390000000002</v>
      </c>
      <c r="AB3502">
        <v>31</v>
      </c>
      <c r="AC3502">
        <v>143.8708</v>
      </c>
      <c r="AD3502">
        <v>-0.82709080000000001</v>
      </c>
      <c r="AE3502">
        <v>-13.754099999999999</v>
      </c>
      <c r="AF3502">
        <v>13.425881494612799</v>
      </c>
      <c r="AG3502">
        <v>-0.82709080000000001</v>
      </c>
      <c r="AH3502">
        <v>143.89704644073601</v>
      </c>
      <c r="AI3502">
        <v>90.327896709168201</v>
      </c>
      <c r="AJ3502">
        <v>84.669621176640305</v>
      </c>
      <c r="AK3502">
        <v>144.52438668773499</v>
      </c>
      <c r="AL3502">
        <v>78.866639259491294</v>
      </c>
      <c r="AM3502">
        <v>94.594112137431296</v>
      </c>
      <c r="AN3502">
        <v>1.0000000197497401</v>
      </c>
    </row>
    <row r="3503" spans="1:40" x14ac:dyDescent="0.25">
      <c r="A3503" t="str">
        <f>"20190304155125595"</f>
        <v>20190304155125595</v>
      </c>
      <c r="B3503" t="str">
        <f>"1551685885590254"</f>
        <v>1551685885590254</v>
      </c>
      <c r="C3503" t="s">
        <v>40</v>
      </c>
      <c r="D3503">
        <v>4.8601669999999997</v>
      </c>
      <c r="E3503">
        <v>0.56503749999999997</v>
      </c>
      <c r="F3503" t="s">
        <v>82</v>
      </c>
      <c r="G3503">
        <v>-262.41770000000002</v>
      </c>
      <c r="H3503">
        <v>0.30503249999999998</v>
      </c>
      <c r="I3503">
        <v>199.57599999999999</v>
      </c>
      <c r="J3503">
        <v>-403.10570000000001</v>
      </c>
      <c r="K3503">
        <v>1.109766</v>
      </c>
      <c r="L3503">
        <v>213.32730000000001</v>
      </c>
      <c r="M3503">
        <v>0.99995080000000003</v>
      </c>
      <c r="N3503">
        <v>-9.6033170000000001E-3</v>
      </c>
      <c r="O3503">
        <v>-2.5107879999999999E-3</v>
      </c>
      <c r="P3503">
        <v>0.98005359999999997</v>
      </c>
      <c r="Q3503">
        <v>0.18358869999999999</v>
      </c>
      <c r="R3503">
        <v>7.6093359999999999E-2</v>
      </c>
      <c r="S3503">
        <v>3.0879819999999998</v>
      </c>
      <c r="T3503">
        <v>-1.7625809999999999E-2</v>
      </c>
      <c r="U3503">
        <v>-0.30120849999999999</v>
      </c>
      <c r="V3503">
        <v>-7.8451099999999996E-2</v>
      </c>
      <c r="W3503">
        <v>0.19303200000000001</v>
      </c>
      <c r="X3503">
        <v>0.97805109999999995</v>
      </c>
      <c r="Y3503">
        <v>9.4577980000000006E-2</v>
      </c>
      <c r="Z3503">
        <v>-7.3426459999999998E-4</v>
      </c>
      <c r="AA3503">
        <v>0.99551719999999999</v>
      </c>
      <c r="AB3503">
        <v>31</v>
      </c>
      <c r="AC3503">
        <v>140.68799999999999</v>
      </c>
      <c r="AD3503">
        <v>-0.80473349999999999</v>
      </c>
      <c r="AE3503">
        <v>-13.751300000000001</v>
      </c>
      <c r="AF3503">
        <v>13.3975684459585</v>
      </c>
      <c r="AG3503">
        <v>-0.80473349999999999</v>
      </c>
      <c r="AH3503">
        <v>140.71752423338799</v>
      </c>
      <c r="AI3503">
        <v>90.326183748455804</v>
      </c>
      <c r="AJ3503">
        <v>84.561322572995707</v>
      </c>
      <c r="AK3503">
        <v>141.35616032789</v>
      </c>
      <c r="AL3503">
        <v>78.870217949478203</v>
      </c>
      <c r="AM3503">
        <v>94.585971027374796</v>
      </c>
      <c r="AN3503">
        <v>0.99999994116320801</v>
      </c>
    </row>
    <row r="3504" spans="1:40" x14ac:dyDescent="0.25">
      <c r="A3504" t="str">
        <f>"20190304155125618"</f>
        <v>20190304155125618</v>
      </c>
      <c r="B3504" t="str">
        <f>"1551685885609774"</f>
        <v>1551685885609774</v>
      </c>
      <c r="C3504" t="s">
        <v>40</v>
      </c>
      <c r="D3504">
        <v>4.6640639999999998</v>
      </c>
      <c r="E3504">
        <v>0.56501069999999998</v>
      </c>
      <c r="F3504" t="s">
        <v>82</v>
      </c>
      <c r="G3504">
        <v>-264.00259999999997</v>
      </c>
      <c r="H3504">
        <v>0.25890800000000003</v>
      </c>
      <c r="I3504">
        <v>199.57599999999999</v>
      </c>
      <c r="J3504">
        <v>-402.7724</v>
      </c>
      <c r="K3504">
        <v>1.1097669999999999</v>
      </c>
      <c r="L3504">
        <v>213.3262</v>
      </c>
      <c r="M3504">
        <v>0.99995000000000001</v>
      </c>
      <c r="N3504">
        <v>-9.6086790000000002E-3</v>
      </c>
      <c r="O3504">
        <v>-2.769629E-3</v>
      </c>
      <c r="P3504">
        <v>0.98020469999999904</v>
      </c>
      <c r="Q3504">
        <v>0.18288109999999999</v>
      </c>
      <c r="R3504">
        <v>7.5852299999999998E-2</v>
      </c>
      <c r="S3504">
        <v>3.0882869999999998</v>
      </c>
      <c r="T3504">
        <v>-1.8890259999999999E-2</v>
      </c>
      <c r="U3504">
        <v>-0.30529790000000001</v>
      </c>
      <c r="V3504">
        <v>-7.846351E-2</v>
      </c>
      <c r="W3504">
        <v>0.1923311</v>
      </c>
      <c r="X3504">
        <v>0.97818819999999995</v>
      </c>
      <c r="Y3504">
        <v>9.5615909999999998E-2</v>
      </c>
      <c r="Z3504">
        <v>-7.6187539999999902E-4</v>
      </c>
      <c r="AA3504">
        <v>0.99541800000000003</v>
      </c>
      <c r="AB3504">
        <v>31</v>
      </c>
      <c r="AC3504">
        <v>138.7698</v>
      </c>
      <c r="AD3504">
        <v>-0.85085900000000003</v>
      </c>
      <c r="AE3504">
        <v>-13.7502</v>
      </c>
      <c r="AF3504">
        <v>13.3652910738475</v>
      </c>
      <c r="AG3504">
        <v>-0.85085900000000003</v>
      </c>
      <c r="AH3504">
        <v>138.802184944505</v>
      </c>
      <c r="AI3504">
        <v>90.349602449429597</v>
      </c>
      <c r="AJ3504">
        <v>84.499934234466593</v>
      </c>
      <c r="AK3504">
        <v>139.44676945664699</v>
      </c>
      <c r="AL3504">
        <v>78.911143716123107</v>
      </c>
      <c r="AM3504">
        <v>94.586053261381295</v>
      </c>
      <c r="AN3504">
        <v>0.99999996452398399</v>
      </c>
    </row>
    <row r="3505" spans="1:40" x14ac:dyDescent="0.25">
      <c r="A3505" t="str">
        <f>"20190304155125640"</f>
        <v>20190304155125640</v>
      </c>
      <c r="B3505" t="str">
        <f>"1551685885630270"</f>
        <v>1551685885630270</v>
      </c>
      <c r="C3505" t="s">
        <v>40</v>
      </c>
      <c r="D3505">
        <v>4.7608280000000001</v>
      </c>
      <c r="E3505">
        <v>0.56493159999999998</v>
      </c>
      <c r="F3505" t="s">
        <v>82</v>
      </c>
      <c r="G3505">
        <v>-263.99829999999997</v>
      </c>
      <c r="H3505">
        <v>9.9700590000000006E-2</v>
      </c>
      <c r="I3505">
        <v>199.57599999999999</v>
      </c>
      <c r="J3505">
        <v>-402.45870000000002</v>
      </c>
      <c r="K3505">
        <v>1.109766</v>
      </c>
      <c r="L3505">
        <v>213.32509999999999</v>
      </c>
      <c r="M3505">
        <v>0.99994930000000004</v>
      </c>
      <c r="N3505">
        <v>-9.6136889999999999E-3</v>
      </c>
      <c r="O3505">
        <v>-3.0132029999999999E-3</v>
      </c>
      <c r="P3505">
        <v>0.98032269999999999</v>
      </c>
      <c r="Q3505">
        <v>0.18250939999999999</v>
      </c>
      <c r="R3505">
        <v>7.5220229999999999E-2</v>
      </c>
      <c r="S3505">
        <v>3.08847</v>
      </c>
      <c r="T3505">
        <v>-2.2479409999999998E-2</v>
      </c>
      <c r="U3505">
        <v>-0.30601499999999998</v>
      </c>
      <c r="V3505">
        <v>-7.8070860000000006E-2</v>
      </c>
      <c r="W3505">
        <v>0.19196559999999999</v>
      </c>
      <c r="X3505">
        <v>0.97829149999999998</v>
      </c>
      <c r="Y3505">
        <v>9.5595269999999996E-2</v>
      </c>
      <c r="Z3505">
        <v>-8.1472149999999998E-4</v>
      </c>
      <c r="AA3505">
        <v>0.99541999999999997</v>
      </c>
      <c r="AB3505">
        <v>31</v>
      </c>
      <c r="AC3505">
        <v>138.46039999999999</v>
      </c>
      <c r="AD3505">
        <v>-1.0100654099999999</v>
      </c>
      <c r="AE3505">
        <v>-13.7491</v>
      </c>
      <c r="AF3505">
        <v>13.331106515148001</v>
      </c>
      <c r="AG3505">
        <v>-1.0100654099999999</v>
      </c>
      <c r="AH3505">
        <v>138.49390389134501</v>
      </c>
      <c r="AI3505">
        <v>90.415940414577605</v>
      </c>
      <c r="AJ3505">
        <v>84.501778861377105</v>
      </c>
      <c r="AK3505">
        <v>139.137701749439</v>
      </c>
      <c r="AL3505">
        <v>78.932483974797705</v>
      </c>
      <c r="AM3505">
        <v>94.562720925435002</v>
      </c>
      <c r="AN3505">
        <v>1.0000000548683701</v>
      </c>
    </row>
    <row r="3506" spans="1:40" x14ac:dyDescent="0.25">
      <c r="A3506" t="str">
        <f>"20190304155125663"</f>
        <v>20190304155125663</v>
      </c>
      <c r="B3506" t="str">
        <f>"1551685885660526"</f>
        <v>1551685885660526</v>
      </c>
      <c r="C3506" t="s">
        <v>40</v>
      </c>
      <c r="D3506">
        <v>4.767252</v>
      </c>
      <c r="E3506">
        <v>0.56470659999999995</v>
      </c>
      <c r="F3506" t="s">
        <v>42</v>
      </c>
      <c r="G3506">
        <v>-258.06580000000002</v>
      </c>
      <c r="H3506">
        <v>-0.05</v>
      </c>
      <c r="I3506">
        <v>198.9614</v>
      </c>
      <c r="J3506">
        <v>-402.14170000000001</v>
      </c>
      <c r="K3506">
        <v>1.1097629999999901</v>
      </c>
      <c r="L3506">
        <v>213.32390000000001</v>
      </c>
      <c r="M3506">
        <v>0.99994859999999997</v>
      </c>
      <c r="N3506">
        <v>-9.6186770000000008E-3</v>
      </c>
      <c r="O3506">
        <v>-3.258922E-3</v>
      </c>
      <c r="P3506">
        <v>0.98046</v>
      </c>
      <c r="Q3506">
        <v>0.18204390000000001</v>
      </c>
      <c r="R3506">
        <v>7.4554319999999993E-2</v>
      </c>
      <c r="S3506">
        <v>3.0883790000000002</v>
      </c>
      <c r="T3506">
        <v>-2.4805899999999999E-2</v>
      </c>
      <c r="U3506">
        <v>-0.30722050000000001</v>
      </c>
      <c r="V3506">
        <v>-7.7645980000000003E-2</v>
      </c>
      <c r="W3506">
        <v>0.19150610000000001</v>
      </c>
      <c r="X3506">
        <v>0.97841529999999999</v>
      </c>
      <c r="Y3506">
        <v>9.5737379999999997E-2</v>
      </c>
      <c r="Z3506">
        <v>-8.5028489999999996E-4</v>
      </c>
      <c r="AA3506">
        <v>0.99540629999999997</v>
      </c>
      <c r="AB3506">
        <v>31</v>
      </c>
      <c r="AC3506">
        <v>144.07589999999999</v>
      </c>
      <c r="AD3506">
        <v>-1.1597630000000001</v>
      </c>
      <c r="AE3506">
        <v>-14.362500000000001</v>
      </c>
      <c r="AF3506">
        <v>13.8919786590108</v>
      </c>
      <c r="AG3506">
        <v>-1.1597630000000001</v>
      </c>
      <c r="AH3506">
        <v>144.112697061836</v>
      </c>
      <c r="AI3506">
        <v>90.458956858701001</v>
      </c>
      <c r="AJ3506">
        <v>84.493892577484004</v>
      </c>
      <c r="AK3506">
        <v>144.785363817324</v>
      </c>
      <c r="AL3506">
        <v>78.959308378254704</v>
      </c>
      <c r="AM3506">
        <v>94.537421722662998</v>
      </c>
      <c r="AN3506">
        <v>0.99999999191072997</v>
      </c>
    </row>
    <row r="3507" spans="1:40" x14ac:dyDescent="0.25">
      <c r="A3507" t="str">
        <f>"20190304155125697"</f>
        <v>20190304155125697</v>
      </c>
      <c r="B3507" t="str">
        <f>"1551685885689806"</f>
        <v>1551685885689806</v>
      </c>
      <c r="C3507" t="s">
        <v>40</v>
      </c>
      <c r="D3507">
        <v>4.7983830000000003</v>
      </c>
      <c r="E3507">
        <v>0.5647065</v>
      </c>
      <c r="F3507" t="s">
        <v>72</v>
      </c>
      <c r="G3507">
        <v>-287.07749999999999</v>
      </c>
      <c r="H3507">
        <v>7.9998760000000002E-2</v>
      </c>
      <c r="I3507">
        <v>201.8751</v>
      </c>
      <c r="J3507">
        <v>-401.6651</v>
      </c>
      <c r="K3507">
        <v>1.109761</v>
      </c>
      <c r="L3507">
        <v>213.3219</v>
      </c>
      <c r="M3507">
        <v>0.99994709999999998</v>
      </c>
      <c r="N3507">
        <v>-9.6260070000000007E-3</v>
      </c>
      <c r="O3507">
        <v>-3.6276759999999998E-3</v>
      </c>
      <c r="P3507">
        <v>0.98055539999999997</v>
      </c>
      <c r="Q3507">
        <v>0.1818488</v>
      </c>
      <c r="R3507">
        <v>7.3773140000000001E-2</v>
      </c>
      <c r="S3507">
        <v>3.0882869999999998</v>
      </c>
      <c r="T3507">
        <v>-2.7638550000000001E-2</v>
      </c>
      <c r="U3507">
        <v>-0.30728149999999999</v>
      </c>
      <c r="V3507">
        <v>-7.7226149999999993E-2</v>
      </c>
      <c r="W3507">
        <v>0.19131889999999999</v>
      </c>
      <c r="X3507">
        <v>0.97848520000000005</v>
      </c>
      <c r="Y3507">
        <v>9.5391539999999997E-2</v>
      </c>
      <c r="Z3507">
        <v>-8.8852549999999999E-4</v>
      </c>
      <c r="AA3507">
        <v>0.99543939999999997</v>
      </c>
      <c r="AB3507">
        <v>32</v>
      </c>
      <c r="AC3507">
        <v>114.58759999999999</v>
      </c>
      <c r="AD3507">
        <v>-1.0297622399999999</v>
      </c>
      <c r="AE3507">
        <v>-11.4467999999999</v>
      </c>
      <c r="AF3507">
        <v>11.0301367337345</v>
      </c>
      <c r="AG3507">
        <v>-1.0297622399999999</v>
      </c>
      <c r="AH3507">
        <v>114.619207907947</v>
      </c>
      <c r="AI3507">
        <v>90.512376165665401</v>
      </c>
      <c r="AJ3507">
        <v>84.503188528516404</v>
      </c>
      <c r="AK3507">
        <v>115.15332017827799</v>
      </c>
      <c r="AL3507">
        <v>78.970236779906799</v>
      </c>
      <c r="AM3507">
        <v>94.512668548898304</v>
      </c>
      <c r="AN3507">
        <v>1.00000004318003</v>
      </c>
    </row>
    <row r="3508" spans="1:40" x14ac:dyDescent="0.25">
      <c r="A3508" t="str">
        <f>"20190304155125719"</f>
        <v>20190304155125719</v>
      </c>
      <c r="B3508" t="str">
        <f>"1551685885710302"</f>
        <v>1551685885710302</v>
      </c>
      <c r="C3508" t="s">
        <v>40</v>
      </c>
      <c r="D3508">
        <v>4.7860329999999998</v>
      </c>
      <c r="E3508">
        <v>0.56457170000000001</v>
      </c>
      <c r="F3508" t="s">
        <v>72</v>
      </c>
      <c r="G3508">
        <v>-289.94850000000002</v>
      </c>
      <c r="H3508">
        <v>5.9253220000000002E-2</v>
      </c>
      <c r="I3508">
        <v>202.12459999999999</v>
      </c>
      <c r="J3508">
        <v>-401.34980000000002</v>
      </c>
      <c r="K3508">
        <v>1.1097570000000001</v>
      </c>
      <c r="L3508">
        <v>213.32050000000001</v>
      </c>
      <c r="M3508">
        <v>0.99994620000000001</v>
      </c>
      <c r="N3508">
        <v>-9.6308039999999998E-3</v>
      </c>
      <c r="O3508">
        <v>-3.8698080000000002E-3</v>
      </c>
      <c r="P3508">
        <v>0.98057879999999997</v>
      </c>
      <c r="Q3508">
        <v>0.18212890000000001</v>
      </c>
      <c r="R3508">
        <v>7.2762519999999997E-2</v>
      </c>
      <c r="S3508">
        <v>3.088165</v>
      </c>
      <c r="T3508">
        <v>-2.903903E-2</v>
      </c>
      <c r="U3508">
        <v>-0.30952449999999998</v>
      </c>
      <c r="V3508">
        <v>-7.6452889999999996E-2</v>
      </c>
      <c r="W3508">
        <v>0.191603</v>
      </c>
      <c r="X3508">
        <v>0.97849030000000004</v>
      </c>
      <c r="Y3508">
        <v>9.5869599999999999E-2</v>
      </c>
      <c r="Z3508">
        <v>-9.1332939999999997E-4</v>
      </c>
      <c r="AA3508">
        <v>0.99539350000000004</v>
      </c>
      <c r="AB3508">
        <v>32</v>
      </c>
      <c r="AC3508">
        <v>111.40130000000001</v>
      </c>
      <c r="AD3508">
        <v>-1.0505037800000001</v>
      </c>
      <c r="AE3508">
        <v>-11.1959</v>
      </c>
      <c r="AF3508">
        <v>10.7637469771197</v>
      </c>
      <c r="AG3508">
        <v>-1.0505037800000001</v>
      </c>
      <c r="AH3508">
        <v>111.433983795548</v>
      </c>
      <c r="AI3508">
        <v>90.5376172707184</v>
      </c>
      <c r="AJ3508">
        <v>84.4827431986146</v>
      </c>
      <c r="AK3508">
        <v>111.95755692103</v>
      </c>
      <c r="AL3508">
        <v>78.953651874997007</v>
      </c>
      <c r="AM3508">
        <v>94.467644176765702</v>
      </c>
      <c r="AN3508">
        <v>1.0000000105962199</v>
      </c>
    </row>
    <row r="3509" spans="1:40" x14ac:dyDescent="0.25">
      <c r="A3509" t="str">
        <f>"20190304155125741"</f>
        <v>20190304155125741</v>
      </c>
      <c r="B3509" t="str">
        <f>"1551685885729825"</f>
        <v>1551685885729825</v>
      </c>
      <c r="C3509" t="s">
        <v>40</v>
      </c>
      <c r="D3509">
        <v>4.7583129999999896</v>
      </c>
      <c r="E3509">
        <v>0.56451430000000002</v>
      </c>
      <c r="F3509" t="s">
        <v>72</v>
      </c>
      <c r="G3509">
        <v>-289.9452</v>
      </c>
      <c r="H3509">
        <v>6.2569260000000002E-2</v>
      </c>
      <c r="I3509">
        <v>202.08090000000001</v>
      </c>
      <c r="J3509">
        <v>-401.03059999999999</v>
      </c>
      <c r="K3509">
        <v>1.109764</v>
      </c>
      <c r="L3509">
        <v>213.31899999999999</v>
      </c>
      <c r="M3509">
        <v>0.99994519999999998</v>
      </c>
      <c r="N3509">
        <v>-9.6354800000000001E-3</v>
      </c>
      <c r="O3509">
        <v>-4.1134830000000002E-3</v>
      </c>
      <c r="P3509">
        <v>0.98046909999999998</v>
      </c>
      <c r="Q3509">
        <v>0.1828922</v>
      </c>
      <c r="R3509">
        <v>7.2325070000000005E-2</v>
      </c>
      <c r="S3509">
        <v>3.0879210000000001</v>
      </c>
      <c r="T3509">
        <v>-2.9026030000000001E-2</v>
      </c>
      <c r="U3509">
        <v>-0.3115387</v>
      </c>
      <c r="V3509">
        <v>-7.6253669999999996E-2</v>
      </c>
      <c r="W3509">
        <v>0.1923695</v>
      </c>
      <c r="X3509">
        <v>0.97835539999999999</v>
      </c>
      <c r="Y3509">
        <v>9.6277559999999998E-2</v>
      </c>
      <c r="Z3509">
        <v>-9.1736110000000004E-4</v>
      </c>
      <c r="AA3509">
        <v>0.99535410000000002</v>
      </c>
      <c r="AB3509">
        <v>32</v>
      </c>
      <c r="AC3509">
        <v>111.08540000000001</v>
      </c>
      <c r="AD3509">
        <v>-1.0471947399999999</v>
      </c>
      <c r="AE3509">
        <v>-11.238099999999999</v>
      </c>
      <c r="AF3509">
        <v>10.7800875426804</v>
      </c>
      <c r="AG3509">
        <v>-1.0471947399999999</v>
      </c>
      <c r="AH3509">
        <v>111.120915011796</v>
      </c>
      <c r="AI3509">
        <v>90.537412102757997</v>
      </c>
      <c r="AJ3509">
        <v>84.458948329074801</v>
      </c>
      <c r="AK3509">
        <v>111.64750179609899</v>
      </c>
      <c r="AL3509">
        <v>78.908901727100798</v>
      </c>
      <c r="AM3509">
        <v>94.456661337584706</v>
      </c>
      <c r="AN3509">
        <v>0.99999996771393895</v>
      </c>
    </row>
    <row r="3510" spans="1:40" x14ac:dyDescent="0.25">
      <c r="A3510" t="str">
        <f>"20190304155125763"</f>
        <v>20190304155125763</v>
      </c>
      <c r="B3510" t="str">
        <f>"1551685885760079"</f>
        <v>1551685885760079</v>
      </c>
      <c r="C3510" t="s">
        <v>40</v>
      </c>
      <c r="D3510">
        <v>4.7886860000000002</v>
      </c>
      <c r="E3510">
        <v>0.56473680000000004</v>
      </c>
      <c r="F3510" t="s">
        <v>42</v>
      </c>
      <c r="G3510">
        <v>-264.98669999999998</v>
      </c>
      <c r="H3510">
        <v>-0.05</v>
      </c>
      <c r="I3510">
        <v>199.55840000000001</v>
      </c>
      <c r="J3510">
        <v>-400.72629999999998</v>
      </c>
      <c r="K3510">
        <v>1.1097729999999999</v>
      </c>
      <c r="L3510">
        <v>213.3175</v>
      </c>
      <c r="M3510">
        <v>0.99994419999999995</v>
      </c>
      <c r="N3510">
        <v>-9.6400589999999994E-3</v>
      </c>
      <c r="O3510">
        <v>-4.3430830000000002E-3</v>
      </c>
      <c r="P3510">
        <v>0.98022399999999998</v>
      </c>
      <c r="Q3510">
        <v>0.18429139999999999</v>
      </c>
      <c r="R3510">
        <v>7.2097599999999998E-2</v>
      </c>
      <c r="S3510">
        <v>3.0877080000000001</v>
      </c>
      <c r="T3510">
        <v>-2.6322479999999999E-2</v>
      </c>
      <c r="U3510">
        <v>-0.31231690000000001</v>
      </c>
      <c r="V3510">
        <v>-7.6249979999999995E-2</v>
      </c>
      <c r="W3510">
        <v>0.19377030000000001</v>
      </c>
      <c r="X3510">
        <v>0.97807929999999998</v>
      </c>
      <c r="Y3510">
        <v>9.6305379999999996E-2</v>
      </c>
      <c r="Z3510">
        <v>-8.7968789999999996E-4</v>
      </c>
      <c r="AA3510">
        <v>0.9953514</v>
      </c>
      <c r="AB3510">
        <v>32</v>
      </c>
      <c r="AC3510">
        <v>135.7396</v>
      </c>
      <c r="AD3510">
        <v>-1.1597729999999999</v>
      </c>
      <c r="AE3510">
        <v>-13.759099999999901</v>
      </c>
      <c r="AF3510">
        <v>13.1684629936767</v>
      </c>
      <c r="AG3510">
        <v>-1.1597729999999999</v>
      </c>
      <c r="AH3510">
        <v>135.788267416905</v>
      </c>
      <c r="AI3510">
        <v>90.487068734826096</v>
      </c>
      <c r="AJ3510">
        <v>84.460896021285905</v>
      </c>
      <c r="AK3510">
        <v>136.43022780568899</v>
      </c>
      <c r="AL3510">
        <v>78.827103704800805</v>
      </c>
      <c r="AM3510">
        <v>94.457699475032399</v>
      </c>
      <c r="AN3510">
        <v>1.0000000528502799</v>
      </c>
    </row>
    <row r="3511" spans="1:40" x14ac:dyDescent="0.25">
      <c r="A3511" t="str">
        <f>"20190304155125785"</f>
        <v>20190304155125785</v>
      </c>
      <c r="B3511" t="str">
        <f>"1551685885780575"</f>
        <v>1551685885780575</v>
      </c>
      <c r="C3511" t="s">
        <v>40</v>
      </c>
      <c r="D3511">
        <v>4.7449130000000004</v>
      </c>
      <c r="E3511">
        <v>0.564774199999999</v>
      </c>
      <c r="F3511" t="s">
        <v>82</v>
      </c>
      <c r="G3511">
        <v>-265.97469999999998</v>
      </c>
      <c r="H3511">
        <v>0.12827369999999999</v>
      </c>
      <c r="I3511">
        <v>199.57599999999999</v>
      </c>
      <c r="J3511">
        <v>-400.4144</v>
      </c>
      <c r="K3511">
        <v>1.1097790000000001</v>
      </c>
      <c r="L3511">
        <v>213.3159</v>
      </c>
      <c r="M3511">
        <v>0.99994309999999997</v>
      </c>
      <c r="N3511">
        <v>-9.6412530000000007E-3</v>
      </c>
      <c r="O3511">
        <v>-4.5756379999999999E-3</v>
      </c>
      <c r="P3511">
        <v>0.98007739999999999</v>
      </c>
      <c r="Q3511">
        <v>0.18515290000000001</v>
      </c>
      <c r="R3511">
        <v>7.1880529999999998E-2</v>
      </c>
      <c r="S3511">
        <v>3.0879210000000001</v>
      </c>
      <c r="T3511">
        <v>-2.2491690000000002E-2</v>
      </c>
      <c r="U3511">
        <v>-0.314895599999999</v>
      </c>
      <c r="V3511">
        <v>-7.6260980000000006E-2</v>
      </c>
      <c r="W3511">
        <v>0.1946309</v>
      </c>
      <c r="X3511">
        <v>0.97790750000000004</v>
      </c>
      <c r="Y3511">
        <v>9.6891190000000002E-2</v>
      </c>
      <c r="Z3511">
        <v>-8.3102419999999896E-4</v>
      </c>
      <c r="AA3511">
        <v>0.99529460000000003</v>
      </c>
      <c r="AB3511">
        <v>32</v>
      </c>
      <c r="AC3511">
        <v>134.43969999999999</v>
      </c>
      <c r="AD3511">
        <v>-0.98150530000000002</v>
      </c>
      <c r="AE3511">
        <v>-13.7399</v>
      </c>
      <c r="AF3511">
        <v>13.1238879128371</v>
      </c>
      <c r="AG3511">
        <v>-0.98150530000000002</v>
      </c>
      <c r="AH3511">
        <v>134.49406976250401</v>
      </c>
      <c r="AI3511">
        <v>90.416146896095299</v>
      </c>
      <c r="AJ3511">
        <v>84.426740778465401</v>
      </c>
      <c r="AK3511">
        <v>135.136429536539</v>
      </c>
      <c r="AL3511">
        <v>78.776837406490003</v>
      </c>
      <c r="AM3511">
        <v>94.459120048741497</v>
      </c>
      <c r="AN3511">
        <v>1.0000000014308099</v>
      </c>
    </row>
    <row r="3512" spans="1:40" x14ac:dyDescent="0.25">
      <c r="A3512" t="str">
        <f>"20190304155125806"</f>
        <v>20190304155125806</v>
      </c>
      <c r="B3512" t="str">
        <f>"1551685885800095"</f>
        <v>1551685885800095</v>
      </c>
      <c r="C3512" t="s">
        <v>40</v>
      </c>
      <c r="D3512">
        <v>4.7605510000000004</v>
      </c>
      <c r="E3512">
        <v>0.56466870000000002</v>
      </c>
      <c r="F3512" t="s">
        <v>82</v>
      </c>
      <c r="G3512">
        <v>-265.66500000000002</v>
      </c>
      <c r="H3512">
        <v>0.188503</v>
      </c>
      <c r="I3512">
        <v>199.57599999999999</v>
      </c>
      <c r="J3512">
        <v>-400.1</v>
      </c>
      <c r="K3512">
        <v>1.10978</v>
      </c>
      <c r="L3512">
        <v>213.3143</v>
      </c>
      <c r="M3512">
        <v>0.99994209999999994</v>
      </c>
      <c r="N3512">
        <v>-9.6384250000000008E-3</v>
      </c>
      <c r="O3512">
        <v>-4.8076969999999997E-3</v>
      </c>
      <c r="P3512">
        <v>0.98001570000000005</v>
      </c>
      <c r="Q3512">
        <v>0.185256</v>
      </c>
      <c r="R3512">
        <v>7.2455560000000002E-2</v>
      </c>
      <c r="S3512">
        <v>3.0880740000000002</v>
      </c>
      <c r="T3512">
        <v>-2.111304E-2</v>
      </c>
      <c r="U3512">
        <v>-0.3148804</v>
      </c>
      <c r="V3512">
        <v>-7.7063309999999996E-2</v>
      </c>
      <c r="W3512">
        <v>0.1947306</v>
      </c>
      <c r="X3512">
        <v>0.97782469999999999</v>
      </c>
      <c r="Y3512">
        <v>9.6650929999999996E-2</v>
      </c>
      <c r="Z3512">
        <v>-8.0999139999999995E-4</v>
      </c>
      <c r="AA3512">
        <v>0.99531800000000004</v>
      </c>
      <c r="AB3512">
        <v>32</v>
      </c>
      <c r="AC3512">
        <v>134.435</v>
      </c>
      <c r="AD3512">
        <v>-0.92127700000000001</v>
      </c>
      <c r="AE3512">
        <v>-13.738300000000001</v>
      </c>
      <c r="AF3512">
        <v>13.091180064691001</v>
      </c>
      <c r="AG3512">
        <v>-0.92127700000000001</v>
      </c>
      <c r="AH3512">
        <v>134.49324790530801</v>
      </c>
      <c r="AI3512">
        <v>90.390623145652</v>
      </c>
      <c r="AJ3512">
        <v>84.440509779851695</v>
      </c>
      <c r="AK3512">
        <v>135.132015003535</v>
      </c>
      <c r="AL3512">
        <v>78.771013027357995</v>
      </c>
      <c r="AM3512">
        <v>94.506221547805495</v>
      </c>
      <c r="AN3512">
        <v>0.99999995212730097</v>
      </c>
    </row>
    <row r="3513" spans="1:40" x14ac:dyDescent="0.25">
      <c r="A3513" t="str">
        <f>"20190304155125831"</f>
        <v>20190304155125831</v>
      </c>
      <c r="B3513" t="str">
        <f>"1551685885819614"</f>
        <v>1551685885819614</v>
      </c>
      <c r="C3513" t="s">
        <v>40</v>
      </c>
      <c r="D3513">
        <v>4.7707920000000001</v>
      </c>
      <c r="E3513">
        <v>0.56459219999999999</v>
      </c>
      <c r="F3513" t="s">
        <v>82</v>
      </c>
      <c r="G3513">
        <v>-264.26650000000001</v>
      </c>
      <c r="H3513">
        <v>0.18314920000000001</v>
      </c>
      <c r="I3513">
        <v>199.57599999999999</v>
      </c>
      <c r="J3513">
        <v>-399.75459999999998</v>
      </c>
      <c r="K3513">
        <v>1.109777</v>
      </c>
      <c r="L3513">
        <v>213.31229999999999</v>
      </c>
      <c r="M3513">
        <v>0.99994090000000002</v>
      </c>
      <c r="N3513">
        <v>-9.6340060000000005E-3</v>
      </c>
      <c r="O3513">
        <v>-5.0601379999999996E-3</v>
      </c>
      <c r="P3513">
        <v>0.97998300000000005</v>
      </c>
      <c r="Q3513">
        <v>0.1852974</v>
      </c>
      <c r="R3513">
        <v>7.2790540000000001E-2</v>
      </c>
      <c r="S3513">
        <v>3.088257</v>
      </c>
      <c r="T3513">
        <v>-2.1067499999999999E-2</v>
      </c>
      <c r="U3513">
        <v>-0.3123474</v>
      </c>
      <c r="V3513">
        <v>-7.7646010000000001E-2</v>
      </c>
      <c r="W3513">
        <v>0.1947671</v>
      </c>
      <c r="X3513">
        <v>0.97777139999999996</v>
      </c>
      <c r="Y3513">
        <v>9.5585719999999999E-2</v>
      </c>
      <c r="Z3513">
        <v>-8.0103339999999996E-4</v>
      </c>
      <c r="AA3513">
        <v>0.99542090000000005</v>
      </c>
      <c r="AB3513">
        <v>32</v>
      </c>
      <c r="AC3513">
        <v>135.48809999999901</v>
      </c>
      <c r="AD3513">
        <v>-0.9266278</v>
      </c>
      <c r="AE3513">
        <v>-13.7363</v>
      </c>
      <c r="AF3513">
        <v>13.0498997071206</v>
      </c>
      <c r="AG3513">
        <v>-0.9266278</v>
      </c>
      <c r="AH3513">
        <v>135.54960028723201</v>
      </c>
      <c r="AI3513">
        <v>90.389869818315006</v>
      </c>
      <c r="AJ3513">
        <v>84.500855330534804</v>
      </c>
      <c r="AK3513">
        <v>136.17948692616599</v>
      </c>
      <c r="AL3513">
        <v>78.768881661736302</v>
      </c>
      <c r="AM3513">
        <v>94.540399046219406</v>
      </c>
      <c r="AN3513">
        <v>1.00000001838464</v>
      </c>
    </row>
    <row r="3514" spans="1:40" x14ac:dyDescent="0.25">
      <c r="A3514" t="str">
        <f>"20190304155125851"</f>
        <v>20190304155125851</v>
      </c>
      <c r="B3514" t="str">
        <f>"1551685885840110"</f>
        <v>1551685885840110</v>
      </c>
      <c r="C3514" t="s">
        <v>40</v>
      </c>
      <c r="D3514">
        <v>4.828945</v>
      </c>
      <c r="E3514">
        <v>0.56423999999999996</v>
      </c>
      <c r="F3514" t="s">
        <v>82</v>
      </c>
      <c r="G3514">
        <v>-263.1893</v>
      </c>
      <c r="H3514">
        <v>0.17053299999999999</v>
      </c>
      <c r="I3514">
        <v>199.57599999999999</v>
      </c>
      <c r="J3514">
        <v>-399.45190000000002</v>
      </c>
      <c r="K3514">
        <v>1.1097760000000001</v>
      </c>
      <c r="L3514">
        <v>213.31059999999999</v>
      </c>
      <c r="M3514">
        <v>0.99993980000000005</v>
      </c>
      <c r="N3514">
        <v>-9.6304300000000006E-3</v>
      </c>
      <c r="O3514">
        <v>-5.2798109999999997E-3</v>
      </c>
      <c r="P3514">
        <v>0.97989309999999996</v>
      </c>
      <c r="Q3514">
        <v>0.1856951</v>
      </c>
      <c r="R3514">
        <v>7.2986280000000001E-2</v>
      </c>
      <c r="S3514">
        <v>3.0883479999999999</v>
      </c>
      <c r="T3514">
        <v>-2.1240470000000001E-2</v>
      </c>
      <c r="U3514">
        <v>-0.31063839999999998</v>
      </c>
      <c r="V3514">
        <v>-7.8056600000000004E-2</v>
      </c>
      <c r="W3514">
        <v>0.19516040000000001</v>
      </c>
      <c r="X3514">
        <v>0.97766019999999998</v>
      </c>
      <c r="Y3514">
        <v>9.4818730000000004E-2</v>
      </c>
      <c r="Z3514">
        <v>-7.9748979999999905E-4</v>
      </c>
      <c r="AA3514">
        <v>0.9954942</v>
      </c>
      <c r="AB3514">
        <v>32</v>
      </c>
      <c r="AC3514">
        <v>136.26259999999999</v>
      </c>
      <c r="AD3514">
        <v>-0.93924300000000005</v>
      </c>
      <c r="AE3514">
        <v>-13.7346</v>
      </c>
      <c r="AF3514">
        <v>13.014322370754799</v>
      </c>
      <c r="AG3514">
        <v>-0.93924300000000005</v>
      </c>
      <c r="AH3514">
        <v>136.326807997522</v>
      </c>
      <c r="AI3514">
        <v>90.392954744385804</v>
      </c>
      <c r="AJ3514">
        <v>84.546832880226901</v>
      </c>
      <c r="AK3514">
        <v>136.94982052918601</v>
      </c>
      <c r="AL3514">
        <v>78.745905459058505</v>
      </c>
      <c r="AM3514">
        <v>94.564824324839407</v>
      </c>
      <c r="AN3514">
        <v>0.999999940597878</v>
      </c>
    </row>
    <row r="3515" spans="1:40" x14ac:dyDescent="0.25">
      <c r="A3515" t="str">
        <f>"20190304155125876"</f>
        <v>20190304155125876</v>
      </c>
      <c r="B3515" t="str">
        <f>"1551685885870367"</f>
        <v>1551685885870367</v>
      </c>
      <c r="C3515" t="s">
        <v>40</v>
      </c>
      <c r="D3515">
        <v>4.7868219999999999</v>
      </c>
      <c r="E3515">
        <v>0.56373430000000002</v>
      </c>
      <c r="F3515" t="s">
        <v>42</v>
      </c>
      <c r="G3515">
        <v>-254.54159999999999</v>
      </c>
      <c r="H3515">
        <v>-0.05</v>
      </c>
      <c r="I3515">
        <v>198.916</v>
      </c>
      <c r="J3515">
        <v>-399.11239999999998</v>
      </c>
      <c r="K3515">
        <v>1.109775</v>
      </c>
      <c r="L3515">
        <v>213.30850000000001</v>
      </c>
      <c r="M3515">
        <v>0.99993840000000001</v>
      </c>
      <c r="N3515">
        <v>-9.6269230000000008E-3</v>
      </c>
      <c r="O3515">
        <v>-5.5252369999999997E-3</v>
      </c>
      <c r="P3515">
        <v>0.97985060000000002</v>
      </c>
      <c r="Q3515">
        <v>0.18582870000000001</v>
      </c>
      <c r="R3515">
        <v>7.321677E-2</v>
      </c>
      <c r="S3515">
        <v>3.0891109999999999</v>
      </c>
      <c r="T3515">
        <v>-2.4723410000000001E-2</v>
      </c>
      <c r="U3515">
        <v>-0.30685420000000002</v>
      </c>
      <c r="V3515">
        <v>-7.8527230000000003E-2</v>
      </c>
      <c r="W3515">
        <v>0.1952904</v>
      </c>
      <c r="X3515">
        <v>0.97759660000000004</v>
      </c>
      <c r="Y3515">
        <v>9.3341190000000004E-2</v>
      </c>
      <c r="Z3515">
        <v>-8.319817E-4</v>
      </c>
      <c r="AA3515">
        <v>0.99563380000000001</v>
      </c>
      <c r="AB3515">
        <v>32</v>
      </c>
      <c r="AC3515">
        <v>144.57079999999999</v>
      </c>
      <c r="AD3515">
        <v>-1.159775</v>
      </c>
      <c r="AE3515">
        <v>-14.3925</v>
      </c>
      <c r="AF3515">
        <v>13.5925891675675</v>
      </c>
      <c r="AG3515">
        <v>-1.159775</v>
      </c>
      <c r="AH3515">
        <v>144.63890171606599</v>
      </c>
      <c r="AI3515">
        <v>90.457396374853303</v>
      </c>
      <c r="AJ3515">
        <v>84.631337728927306</v>
      </c>
      <c r="AK3515">
        <v>145.28081582906501</v>
      </c>
      <c r="AL3515">
        <v>78.7383114304874</v>
      </c>
      <c r="AM3515">
        <v>94.592527327949398</v>
      </c>
      <c r="AN3515">
        <v>0.99999998925759603</v>
      </c>
    </row>
    <row r="3516" spans="1:40" x14ac:dyDescent="0.25">
      <c r="A3516" t="str">
        <f>"20190304155125899"</f>
        <v>20190304155125899</v>
      </c>
      <c r="B3516" t="str">
        <f>"1551685885889887"</f>
        <v>1551685885889887</v>
      </c>
      <c r="C3516" t="s">
        <v>40</v>
      </c>
      <c r="D3516">
        <v>4.8051539999999999</v>
      </c>
      <c r="E3516">
        <v>0.56345019999999901</v>
      </c>
      <c r="F3516" t="s">
        <v>42</v>
      </c>
      <c r="G3516">
        <v>-250.16749999999999</v>
      </c>
      <c r="H3516">
        <v>-0.05</v>
      </c>
      <c r="I3516">
        <v>198.75530000000001</v>
      </c>
      <c r="J3516">
        <v>-398.77719999999999</v>
      </c>
      <c r="K3516">
        <v>1.1097680000000001</v>
      </c>
      <c r="L3516">
        <v>213.3064</v>
      </c>
      <c r="M3516">
        <v>0.99993710000000002</v>
      </c>
      <c r="N3516">
        <v>-9.6239840000000004E-3</v>
      </c>
      <c r="O3516">
        <v>-5.7674519999999898E-3</v>
      </c>
      <c r="P3516">
        <v>0.97995169999999998</v>
      </c>
      <c r="Q3516">
        <v>0.1852975</v>
      </c>
      <c r="R3516">
        <v>7.3209140000000006E-2</v>
      </c>
      <c r="S3516">
        <v>3.0888059999999999</v>
      </c>
      <c r="T3516">
        <v>-2.4051309999999999E-2</v>
      </c>
      <c r="U3516">
        <v>-0.30180359999999901</v>
      </c>
      <c r="V3516">
        <v>-7.8757629999999995E-2</v>
      </c>
      <c r="W3516">
        <v>0.19475719999999999</v>
      </c>
      <c r="X3516">
        <v>0.97768440000000001</v>
      </c>
      <c r="Y3516">
        <v>9.1497560000000006E-2</v>
      </c>
      <c r="Z3516">
        <v>-8.0731390000000002E-4</v>
      </c>
      <c r="AA3516">
        <v>0.99580500000000005</v>
      </c>
      <c r="AB3516">
        <v>32</v>
      </c>
      <c r="AC3516">
        <v>148.6097</v>
      </c>
      <c r="AD3516">
        <v>-1.1597679999999999</v>
      </c>
      <c r="AE3516">
        <v>-14.5510999999999</v>
      </c>
      <c r="AF3516">
        <v>13.692892959760799</v>
      </c>
      <c r="AG3516">
        <v>-1.1597679999999999</v>
      </c>
      <c r="AH3516">
        <v>148.68218537360599</v>
      </c>
      <c r="AI3516">
        <v>90.445032898553094</v>
      </c>
      <c r="AJ3516">
        <v>84.738184977839296</v>
      </c>
      <c r="AK3516">
        <v>149.315882031661</v>
      </c>
      <c r="AL3516">
        <v>78.769459284216097</v>
      </c>
      <c r="AM3516">
        <v>94.605532122572299</v>
      </c>
      <c r="AN3516">
        <v>0.99999995861920699</v>
      </c>
    </row>
    <row r="3517" spans="1:40" x14ac:dyDescent="0.25">
      <c r="A3517" t="str">
        <f>"20190304155125920"</f>
        <v>20190304155125920</v>
      </c>
      <c r="B3517" t="str">
        <f>"1551685885910382"</f>
        <v>1551685885910382</v>
      </c>
      <c r="C3517" t="s">
        <v>40</v>
      </c>
      <c r="D3517">
        <v>4.8025359999999999</v>
      </c>
      <c r="E3517">
        <v>0.56332669999999996</v>
      </c>
      <c r="F3517" t="s">
        <v>72</v>
      </c>
      <c r="G3517">
        <v>-289.93439999999998</v>
      </c>
      <c r="H3517">
        <v>7.3315450000000004E-2</v>
      </c>
      <c r="I3517">
        <v>202.74260000000001</v>
      </c>
      <c r="J3517">
        <v>-398.48349999999999</v>
      </c>
      <c r="K3517">
        <v>1.109764</v>
      </c>
      <c r="L3517">
        <v>213.30449999999999</v>
      </c>
      <c r="M3517">
        <v>0.99993589999999999</v>
      </c>
      <c r="N3517">
        <v>-9.6218469999999993E-3</v>
      </c>
      <c r="O3517">
        <v>-5.9795119999999898E-3</v>
      </c>
      <c r="P3517">
        <v>0.98007290000000002</v>
      </c>
      <c r="Q3517">
        <v>0.18455669999999999</v>
      </c>
      <c r="R3517">
        <v>7.3458339999999997E-2</v>
      </c>
      <c r="S3517">
        <v>3.0892940000000002</v>
      </c>
      <c r="T3517">
        <v>-2.9417749999999999E-2</v>
      </c>
      <c r="U3517">
        <v>-0.29983520000000002</v>
      </c>
      <c r="V3517">
        <v>-7.9215649999999999E-2</v>
      </c>
      <c r="W3517">
        <v>0.19401589999999999</v>
      </c>
      <c r="X3517">
        <v>0.97779479999999996</v>
      </c>
      <c r="Y3517">
        <v>9.0640520000000002E-2</v>
      </c>
      <c r="Z3517">
        <v>-8.6826089999999904E-4</v>
      </c>
      <c r="AA3517">
        <v>0.99588330000000003</v>
      </c>
      <c r="AB3517">
        <v>32</v>
      </c>
      <c r="AC3517">
        <v>108.5491</v>
      </c>
      <c r="AD3517">
        <v>-1.03644855</v>
      </c>
      <c r="AE3517">
        <v>-10.5618999999999</v>
      </c>
      <c r="AF3517">
        <v>9.9117153564855496</v>
      </c>
      <c r="AG3517">
        <v>-1.03644855</v>
      </c>
      <c r="AH3517">
        <v>108.60050911912499</v>
      </c>
      <c r="AI3517">
        <v>90.544532925738395</v>
      </c>
      <c r="AJ3517">
        <v>84.785195123048197</v>
      </c>
      <c r="AK3517">
        <v>109.056805875828</v>
      </c>
      <c r="AL3517">
        <v>78.812758822150897</v>
      </c>
      <c r="AM3517">
        <v>94.631678931169802</v>
      </c>
      <c r="AN3517">
        <v>0.99999997978238597</v>
      </c>
    </row>
    <row r="3518" spans="1:40" x14ac:dyDescent="0.25">
      <c r="A3518" t="str">
        <f>"20190304155125942"</f>
        <v>20190304155125942</v>
      </c>
      <c r="B3518" t="str">
        <f>"1551685885929902"</f>
        <v>1551685885929902</v>
      </c>
      <c r="C3518" t="s">
        <v>40</v>
      </c>
      <c r="D3518">
        <v>4.8286259999999999</v>
      </c>
      <c r="E3518">
        <v>0.56313469999999999</v>
      </c>
      <c r="F3518" t="s">
        <v>72</v>
      </c>
      <c r="G3518">
        <v>-299.55799999999999</v>
      </c>
      <c r="H3518" s="1">
        <v>4.1328399999999999E-6</v>
      </c>
      <c r="I3518">
        <v>203.75059999999999</v>
      </c>
      <c r="J3518">
        <v>-398.16309999999999</v>
      </c>
      <c r="K3518">
        <v>1.1097589999999999</v>
      </c>
      <c r="L3518">
        <v>213.30240000000001</v>
      </c>
      <c r="M3518">
        <v>0.99993449999999995</v>
      </c>
      <c r="N3518">
        <v>-9.6199809999999997E-3</v>
      </c>
      <c r="O3518">
        <v>-6.210648E-3</v>
      </c>
      <c r="P3518">
        <v>0.98008609999999896</v>
      </c>
      <c r="Q3518">
        <v>0.18441099999999999</v>
      </c>
      <c r="R3518">
        <v>7.3646980000000001E-2</v>
      </c>
      <c r="S3518">
        <v>3.0899350000000001</v>
      </c>
      <c r="T3518">
        <v>-3.4663319999999997E-2</v>
      </c>
      <c r="U3518">
        <v>-0.29841610000000002</v>
      </c>
      <c r="V3518">
        <v>-7.9630619999999999E-2</v>
      </c>
      <c r="W3518">
        <v>0.1938685</v>
      </c>
      <c r="X3518">
        <v>0.97779039999999995</v>
      </c>
      <c r="Y3518">
        <v>8.9935100000000004E-2</v>
      </c>
      <c r="Z3518">
        <v>-9.2700279999999996E-4</v>
      </c>
      <c r="AA3518">
        <v>0.99594720000000003</v>
      </c>
      <c r="AB3518">
        <v>32</v>
      </c>
      <c r="AC3518">
        <v>98.605099999999993</v>
      </c>
      <c r="AD3518">
        <v>-1.1097548671599999</v>
      </c>
      <c r="AE3518">
        <v>-9.5518000000000107</v>
      </c>
      <c r="AF3518">
        <v>8.9380642834362494</v>
      </c>
      <c r="AG3518">
        <v>-1.1097548671599999</v>
      </c>
      <c r="AH3518">
        <v>98.650144388846996</v>
      </c>
      <c r="AI3518">
        <v>90.641886890302004</v>
      </c>
      <c r="AJ3518">
        <v>84.822927947966207</v>
      </c>
      <c r="AK3518">
        <v>99.060443855962902</v>
      </c>
      <c r="AL3518">
        <v>78.821368456500196</v>
      </c>
      <c r="AM3518">
        <v>94.655856380163002</v>
      </c>
      <c r="AN3518">
        <v>1.0000000486329901</v>
      </c>
    </row>
    <row r="3519" spans="1:40" x14ac:dyDescent="0.25">
      <c r="A3519" t="str">
        <f>"20190304155125964"</f>
        <v>20190304155125964</v>
      </c>
      <c r="B3519" t="str">
        <f>"1551685885960158"</f>
        <v>1551685885960158</v>
      </c>
      <c r="C3519" t="s">
        <v>40</v>
      </c>
      <c r="D3519">
        <v>5.427619</v>
      </c>
      <c r="E3519">
        <v>0.56281320000000001</v>
      </c>
      <c r="F3519" t="s">
        <v>72</v>
      </c>
      <c r="G3519">
        <v>-313.17899999999997</v>
      </c>
      <c r="H3519">
        <v>7.9999189999999998E-2</v>
      </c>
      <c r="I3519">
        <v>205.14070000000001</v>
      </c>
      <c r="J3519">
        <v>-397.8526</v>
      </c>
      <c r="K3519">
        <v>1.109761</v>
      </c>
      <c r="L3519">
        <v>213.30019999999999</v>
      </c>
      <c r="M3519">
        <v>0.99993310000000002</v>
      </c>
      <c r="N3519">
        <v>-9.6190119999999997E-3</v>
      </c>
      <c r="O3519">
        <v>-6.4349940000000003E-3</v>
      </c>
      <c r="P3519">
        <v>0.97993589999999997</v>
      </c>
      <c r="Q3519">
        <v>0.18512619999999999</v>
      </c>
      <c r="R3519">
        <v>7.3850250000000006E-2</v>
      </c>
      <c r="S3519">
        <v>3.0903019999999999</v>
      </c>
      <c r="T3519">
        <v>-3.7445430000000002E-2</v>
      </c>
      <c r="U3519">
        <v>-0.29678339999999998</v>
      </c>
      <c r="V3519">
        <v>-8.005226E-2</v>
      </c>
      <c r="W3519">
        <v>0.1945809</v>
      </c>
      <c r="X3519">
        <v>0.97761439999999999</v>
      </c>
      <c r="Y3519">
        <v>8.9177759999999995E-2</v>
      </c>
      <c r="Z3519">
        <v>-9.5292779999999995E-4</v>
      </c>
      <c r="AA3519">
        <v>0.99601530000000005</v>
      </c>
      <c r="AB3519">
        <v>32</v>
      </c>
      <c r="AC3519">
        <v>84.673599999999894</v>
      </c>
      <c r="AD3519">
        <v>-1.0297618100000001</v>
      </c>
      <c r="AE3519">
        <v>-8.15949999999998</v>
      </c>
      <c r="AF3519">
        <v>7.6133160910315603</v>
      </c>
      <c r="AG3519">
        <v>-1.0297618100000001</v>
      </c>
      <c r="AH3519">
        <v>84.711941558619898</v>
      </c>
      <c r="AI3519">
        <v>90.693660033472895</v>
      </c>
      <c r="AJ3519">
        <v>84.8644537774329</v>
      </c>
      <c r="AK3519">
        <v>85.059602831886806</v>
      </c>
      <c r="AL3519">
        <v>78.779758051623105</v>
      </c>
      <c r="AM3519">
        <v>94.681238528246396</v>
      </c>
      <c r="AN3519">
        <v>1.0000000030316301</v>
      </c>
    </row>
    <row r="3520" spans="1:40" x14ac:dyDescent="0.25">
      <c r="A3520" t="str">
        <f>"20190304155125986"</f>
        <v>20190304155125986</v>
      </c>
      <c r="B3520" t="str">
        <f>"1551685885980654"</f>
        <v>1551685885980654</v>
      </c>
      <c r="C3520" t="s">
        <v>40</v>
      </c>
      <c r="D3520">
        <v>5.2782140000000002</v>
      </c>
      <c r="E3520">
        <v>0.56278409999999901</v>
      </c>
      <c r="F3520" t="s">
        <v>72</v>
      </c>
      <c r="G3520">
        <v>-312.95530000000002</v>
      </c>
      <c r="H3520">
        <v>7.9999210000000001E-2</v>
      </c>
      <c r="I3520">
        <v>205.23750000000001</v>
      </c>
      <c r="J3520">
        <v>-397.53309999999999</v>
      </c>
      <c r="K3520">
        <v>1.1097570000000001</v>
      </c>
      <c r="L3520">
        <v>213.2979</v>
      </c>
      <c r="M3520">
        <v>0.99993149999999997</v>
      </c>
      <c r="N3520">
        <v>-9.6187719999999994E-3</v>
      </c>
      <c r="O3520">
        <v>-6.6650629999999997E-3</v>
      </c>
      <c r="P3520">
        <v>0.9798422</v>
      </c>
      <c r="Q3520">
        <v>0.18553210000000001</v>
      </c>
      <c r="R3520">
        <v>7.4072849999999996E-2</v>
      </c>
      <c r="S3520">
        <v>3.0906370000000001</v>
      </c>
      <c r="T3520">
        <v>-3.7487859999999998E-2</v>
      </c>
      <c r="U3520">
        <v>-0.293518099999999</v>
      </c>
      <c r="V3520">
        <v>-8.0499219999999996E-2</v>
      </c>
      <c r="W3520">
        <v>0.19498589999999999</v>
      </c>
      <c r="X3520">
        <v>0.97749699999999995</v>
      </c>
      <c r="Y3520">
        <v>8.7895550000000003E-2</v>
      </c>
      <c r="Z3520">
        <v>-9.3887799999999998E-4</v>
      </c>
      <c r="AA3520">
        <v>0.9961293</v>
      </c>
      <c r="AB3520">
        <v>32</v>
      </c>
      <c r="AC3520">
        <v>84.577799999999897</v>
      </c>
      <c r="AD3520">
        <v>-1.0297577899999999</v>
      </c>
      <c r="AE3520">
        <v>-8.06039999999998</v>
      </c>
      <c r="AF3520">
        <v>7.4953773944414497</v>
      </c>
      <c r="AG3520">
        <v>-1.0297577899999999</v>
      </c>
      <c r="AH3520">
        <v>84.617216237239006</v>
      </c>
      <c r="AI3520">
        <v>90.694513261008893</v>
      </c>
      <c r="AJ3520">
        <v>84.937962401528097</v>
      </c>
      <c r="AK3520">
        <v>84.954778365497702</v>
      </c>
      <c r="AL3520">
        <v>78.756100149502998</v>
      </c>
      <c r="AM3520">
        <v>94.707821216567496</v>
      </c>
      <c r="AN3520">
        <v>1.0000000053142</v>
      </c>
    </row>
    <row r="3521" spans="1:40" x14ac:dyDescent="0.25">
      <c r="A3521" t="str">
        <f>"20190304155126008"</f>
        <v>20190304155126008</v>
      </c>
      <c r="B3521" t="str">
        <f>"1551685886000174"</f>
        <v>1551685886000174</v>
      </c>
      <c r="C3521" t="s">
        <v>40</v>
      </c>
      <c r="D3521">
        <v>4.8405199999999997</v>
      </c>
      <c r="E3521">
        <v>0.56265299999999996</v>
      </c>
      <c r="F3521" t="s">
        <v>72</v>
      </c>
      <c r="G3521">
        <v>-312.10579999999999</v>
      </c>
      <c r="H3521">
        <v>7.9999249999999994E-2</v>
      </c>
      <c r="I3521">
        <v>205.20240000000001</v>
      </c>
      <c r="J3521">
        <v>-397.20330000000001</v>
      </c>
      <c r="K3521">
        <v>1.1097570000000001</v>
      </c>
      <c r="L3521">
        <v>213.2955</v>
      </c>
      <c r="M3521">
        <v>0.99992999999999999</v>
      </c>
      <c r="N3521">
        <v>-9.61914E-3</v>
      </c>
      <c r="O3521">
        <v>-6.8984479999999997E-3</v>
      </c>
      <c r="P3521">
        <v>0.97976319999999995</v>
      </c>
      <c r="Q3521">
        <v>0.18606020000000001</v>
      </c>
      <c r="R3521">
        <v>7.3795330000000006E-2</v>
      </c>
      <c r="S3521">
        <v>3.090881</v>
      </c>
      <c r="T3521">
        <v>-3.7258149999999997E-2</v>
      </c>
      <c r="U3521">
        <v>-0.29290769999999999</v>
      </c>
      <c r="V3521">
        <v>-8.0450519999999998E-2</v>
      </c>
      <c r="W3521">
        <v>0.19551299999999999</v>
      </c>
      <c r="X3521">
        <v>0.97739569999999998</v>
      </c>
      <c r="Y3521">
        <v>8.7460860000000001E-2</v>
      </c>
      <c r="Z3521">
        <v>-9.3082159999999996E-4</v>
      </c>
      <c r="AA3521">
        <v>0.99616749999999998</v>
      </c>
      <c r="AB3521">
        <v>32</v>
      </c>
      <c r="AC3521">
        <v>85.097499999999997</v>
      </c>
      <c r="AD3521">
        <v>-1.0297577499999999</v>
      </c>
      <c r="AE3521">
        <v>-8.0930999999999909</v>
      </c>
      <c r="AF3521">
        <v>7.5047505200821796</v>
      </c>
      <c r="AG3521">
        <v>-1.0297577499999999</v>
      </c>
      <c r="AH3521">
        <v>85.138952031426797</v>
      </c>
      <c r="AI3521">
        <v>90.690283822129203</v>
      </c>
      <c r="AJ3521">
        <v>84.962563883388995</v>
      </c>
      <c r="AK3521">
        <v>85.475276158676195</v>
      </c>
      <c r="AL3521">
        <v>78.725306674020302</v>
      </c>
      <c r="AM3521">
        <v>94.705471341893102</v>
      </c>
      <c r="AN3521">
        <v>0.99999998685788005</v>
      </c>
    </row>
    <row r="3522" spans="1:40" x14ac:dyDescent="0.25">
      <c r="A3522" t="str">
        <f>"20190304155126031"</f>
        <v>20190304155126031</v>
      </c>
      <c r="B3522" t="str">
        <f>"1551685886020670"</f>
        <v>1551685886020670</v>
      </c>
      <c r="C3522" t="s">
        <v>40</v>
      </c>
      <c r="D3522">
        <v>5.5749389999999996</v>
      </c>
      <c r="E3522">
        <v>0.5624943</v>
      </c>
      <c r="F3522" t="s">
        <v>72</v>
      </c>
      <c r="G3522">
        <v>-311.55459999999999</v>
      </c>
      <c r="H3522">
        <v>7.9999269999999997E-2</v>
      </c>
      <c r="I3522">
        <v>205.166</v>
      </c>
      <c r="J3522">
        <v>-396.86989999999997</v>
      </c>
      <c r="K3522">
        <v>1.1097699999999999</v>
      </c>
      <c r="L3522">
        <v>213.2929</v>
      </c>
      <c r="M3522">
        <v>0.99992840000000005</v>
      </c>
      <c r="N3522">
        <v>-9.6201240000000007E-3</v>
      </c>
      <c r="O3522">
        <v>-7.125485E-3</v>
      </c>
      <c r="P3522">
        <v>0.97964479999999998</v>
      </c>
      <c r="Q3522">
        <v>0.18668750000000001</v>
      </c>
      <c r="R3522">
        <v>7.3783959999999996E-2</v>
      </c>
      <c r="S3522">
        <v>3.0911249999999999</v>
      </c>
      <c r="T3522">
        <v>-3.716469E-2</v>
      </c>
      <c r="U3522">
        <v>-0.29339599999999999</v>
      </c>
      <c r="V3522">
        <v>-8.066255E-2</v>
      </c>
      <c r="W3522">
        <v>0.19613910000000001</v>
      </c>
      <c r="X3522">
        <v>0.97725280000000003</v>
      </c>
      <c r="Y3522">
        <v>8.738332E-2</v>
      </c>
      <c r="Z3522">
        <v>-9.2834259999999996E-4</v>
      </c>
      <c r="AA3522">
        <v>0.99617429999999996</v>
      </c>
      <c r="AB3522">
        <v>32</v>
      </c>
      <c r="AC3522">
        <v>85.315299999999894</v>
      </c>
      <c r="AD3522">
        <v>-1.0297707300000001</v>
      </c>
      <c r="AE3522">
        <v>-8.1268999999999991</v>
      </c>
      <c r="AF3522">
        <v>7.5176672880755797</v>
      </c>
      <c r="AG3522">
        <v>-1.0297707300000001</v>
      </c>
      <c r="AH3522">
        <v>85.358720702429594</v>
      </c>
      <c r="AI3522">
        <v>90.688519985165996</v>
      </c>
      <c r="AJ3522">
        <v>84.966863462241804</v>
      </c>
      <c r="AK3522">
        <v>85.695314627848603</v>
      </c>
      <c r="AL3522">
        <v>78.688725839460403</v>
      </c>
      <c r="AM3522">
        <v>94.718503614411006</v>
      </c>
      <c r="AN3522">
        <v>1.00000001431457</v>
      </c>
    </row>
    <row r="3523" spans="1:40" x14ac:dyDescent="0.25">
      <c r="A3523" t="str">
        <f>"20190304155126054"</f>
        <v>20190304155126054</v>
      </c>
      <c r="B3523" t="str">
        <f>"1551685886049951"</f>
        <v>1551685886049951</v>
      </c>
      <c r="C3523" t="s">
        <v>40</v>
      </c>
      <c r="D3523">
        <v>5.1189</v>
      </c>
      <c r="E3523">
        <v>0.56269449999999999</v>
      </c>
      <c r="F3523" t="s">
        <v>72</v>
      </c>
      <c r="G3523">
        <v>-301.36009999999999</v>
      </c>
      <c r="H3523" s="1">
        <v>3.7415009999999999E-6</v>
      </c>
      <c r="I3523">
        <v>204.2706</v>
      </c>
      <c r="J3523">
        <v>-396.54050000000001</v>
      </c>
      <c r="K3523">
        <v>1.1097779999999999</v>
      </c>
      <c r="L3523">
        <v>213.29040000000001</v>
      </c>
      <c r="M3523">
        <v>0.9999268</v>
      </c>
      <c r="N3523">
        <v>-9.6216310000000003E-3</v>
      </c>
      <c r="O3523">
        <v>-7.3414159999999999E-3</v>
      </c>
      <c r="P3523">
        <v>0.97957289999999997</v>
      </c>
      <c r="Q3523">
        <v>0.18734629999999999</v>
      </c>
      <c r="R3523">
        <v>7.3064000000000004E-2</v>
      </c>
      <c r="S3523">
        <v>3.0911870000000001</v>
      </c>
      <c r="T3523">
        <v>-3.591776E-2</v>
      </c>
      <c r="U3523">
        <v>-0.29200739999999997</v>
      </c>
      <c r="V3523">
        <v>-8.0156389999999994E-2</v>
      </c>
      <c r="W3523">
        <v>0.19679740000000001</v>
      </c>
      <c r="X3523">
        <v>0.97716210000000003</v>
      </c>
      <c r="Y3523">
        <v>8.6723469999999997E-2</v>
      </c>
      <c r="Z3523">
        <v>-9.0625899999999997E-4</v>
      </c>
      <c r="AA3523">
        <v>0.99623200000000001</v>
      </c>
      <c r="AB3523">
        <v>32</v>
      </c>
      <c r="AC3523">
        <v>95.180400000000006</v>
      </c>
      <c r="AD3523">
        <v>-1.109774258499</v>
      </c>
      <c r="AE3523">
        <v>-9.0198</v>
      </c>
      <c r="AF3523">
        <v>8.31964470036419</v>
      </c>
      <c r="AG3523">
        <v>-1.109774258499</v>
      </c>
      <c r="AH3523">
        <v>95.231224649228096</v>
      </c>
      <c r="AI3523">
        <v>90.665131288283305</v>
      </c>
      <c r="AJ3523">
        <v>85.0071697241994</v>
      </c>
      <c r="AK3523">
        <v>95.600388257772593</v>
      </c>
      <c r="AL3523">
        <v>78.650258328645407</v>
      </c>
      <c r="AM3523">
        <v>94.689460593938307</v>
      </c>
      <c r="AN3523">
        <v>1.0000000165905001</v>
      </c>
    </row>
    <row r="3524" spans="1:40" x14ac:dyDescent="0.25">
      <c r="A3524" t="str">
        <f>"20190304155126078"</f>
        <v>20190304155126078</v>
      </c>
      <c r="B3524" t="str">
        <f>"1551685886070446"</f>
        <v>1551685886070446</v>
      </c>
      <c r="C3524" t="s">
        <v>40</v>
      </c>
      <c r="D3524">
        <v>4.864026</v>
      </c>
      <c r="E3524">
        <v>0.56270489999999995</v>
      </c>
      <c r="F3524" t="s">
        <v>72</v>
      </c>
      <c r="G3524">
        <v>-302.98719999999997</v>
      </c>
      <c r="H3524" s="1">
        <v>3.36537E-6</v>
      </c>
      <c r="I3524">
        <v>204.3571</v>
      </c>
      <c r="J3524">
        <v>-396.21050000000002</v>
      </c>
      <c r="K3524">
        <v>1.1097900000000001</v>
      </c>
      <c r="L3524">
        <v>213.2877</v>
      </c>
      <c r="M3524">
        <v>0.99992519999999996</v>
      </c>
      <c r="N3524">
        <v>-9.6235850000000005E-3</v>
      </c>
      <c r="O3524">
        <v>-7.5408530000000001E-3</v>
      </c>
      <c r="P3524">
        <v>0.97974660000000002</v>
      </c>
      <c r="Q3524">
        <v>0.18660460000000001</v>
      </c>
      <c r="R3524">
        <v>7.2630730000000004E-2</v>
      </c>
      <c r="S3524">
        <v>3.0916139999999999</v>
      </c>
      <c r="T3524">
        <v>-3.667426E-2</v>
      </c>
      <c r="U3524">
        <v>-0.29521180000000002</v>
      </c>
      <c r="V3524">
        <v>-7.9924809999999999E-2</v>
      </c>
      <c r="W3524">
        <v>0.1960568</v>
      </c>
      <c r="X3524">
        <v>0.97732989999999997</v>
      </c>
      <c r="Y3524">
        <v>8.7534730000000005E-2</v>
      </c>
      <c r="Z3524">
        <v>-9.2336030000000002E-4</v>
      </c>
      <c r="AA3524">
        <v>0.99616099999999996</v>
      </c>
      <c r="AB3524">
        <v>32</v>
      </c>
      <c r="AC3524">
        <v>93.223299999999995</v>
      </c>
      <c r="AD3524">
        <v>-1.10978663463</v>
      </c>
      <c r="AE3524">
        <v>-8.9305999999999894</v>
      </c>
      <c r="AF3524">
        <v>8.22617504949514</v>
      </c>
      <c r="AG3524">
        <v>-1.10978663463</v>
      </c>
      <c r="AH3524">
        <v>93.2748979593878</v>
      </c>
      <c r="AI3524">
        <v>90.6790387768947</v>
      </c>
      <c r="AJ3524">
        <v>84.959964481075204</v>
      </c>
      <c r="AK3524">
        <v>93.643516442162394</v>
      </c>
      <c r="AL3524">
        <v>78.693534355599297</v>
      </c>
      <c r="AM3524">
        <v>94.675173158206206</v>
      </c>
      <c r="AN3524">
        <v>0.999999988756893</v>
      </c>
    </row>
    <row r="3525" spans="1:40" x14ac:dyDescent="0.25">
      <c r="A3525" t="str">
        <f>"20190304155126100"</f>
        <v>20190304155126100</v>
      </c>
      <c r="B3525" t="str">
        <f>"1551685886089967"</f>
        <v>1551685886089967</v>
      </c>
      <c r="C3525" t="s">
        <v>40</v>
      </c>
      <c r="D3525">
        <v>4.7036680000000004</v>
      </c>
      <c r="E3525">
        <v>0.56275640000000005</v>
      </c>
      <c r="F3525" t="s">
        <v>72</v>
      </c>
      <c r="G3525">
        <v>-318.93869999999998</v>
      </c>
      <c r="H3525">
        <v>7.9998639999999996E-2</v>
      </c>
      <c r="I3525">
        <v>205.869</v>
      </c>
      <c r="J3525">
        <v>-395.87920000000003</v>
      </c>
      <c r="K3525">
        <v>1.1097939999999999</v>
      </c>
      <c r="L3525">
        <v>213.2851</v>
      </c>
      <c r="M3525">
        <v>0.99992389999999998</v>
      </c>
      <c r="N3525">
        <v>-9.6259559999999997E-3</v>
      </c>
      <c r="O3525">
        <v>-7.7157819999999896E-3</v>
      </c>
      <c r="P3525">
        <v>0.97990350000000004</v>
      </c>
      <c r="Q3525">
        <v>0.18587899999999999</v>
      </c>
      <c r="R3525">
        <v>7.2376090000000004E-2</v>
      </c>
      <c r="S3525">
        <v>3.091888</v>
      </c>
      <c r="T3525">
        <v>-4.1205169999999999E-2</v>
      </c>
      <c r="U3525">
        <v>-0.29684450000000001</v>
      </c>
      <c r="V3525">
        <v>-7.9850850000000001E-2</v>
      </c>
      <c r="W3525">
        <v>0.19533159999999999</v>
      </c>
      <c r="X3525">
        <v>0.97748120000000005</v>
      </c>
      <c r="Y3525">
        <v>8.7871099999999994E-2</v>
      </c>
      <c r="Z3525">
        <v>-9.7962099999999996E-4</v>
      </c>
      <c r="AA3525">
        <v>0.9961314</v>
      </c>
      <c r="AB3525">
        <v>32</v>
      </c>
      <c r="AC3525">
        <v>76.9405</v>
      </c>
      <c r="AD3525">
        <v>-1.02979536</v>
      </c>
      <c r="AE3525">
        <v>-7.4160999999999699</v>
      </c>
      <c r="AF3525">
        <v>6.8209849310718003</v>
      </c>
      <c r="AG3525">
        <v>-1.02979536</v>
      </c>
      <c r="AH3525">
        <v>76.981769605568303</v>
      </c>
      <c r="AI3525">
        <v>90.763417008347005</v>
      </c>
      <c r="AJ3525">
        <v>84.936519416833207</v>
      </c>
      <c r="AK3525">
        <v>77.290226843490302</v>
      </c>
      <c r="AL3525">
        <v>78.735905117815804</v>
      </c>
      <c r="AM3525">
        <v>94.670146261058505</v>
      </c>
      <c r="AN3525">
        <v>1.0000000442788599</v>
      </c>
    </row>
    <row r="3526" spans="1:40" x14ac:dyDescent="0.25">
      <c r="A3526" t="str">
        <f>"20190304155126187"</f>
        <v>20190304155126187</v>
      </c>
      <c r="B3526" t="str">
        <f>"1551685886179759"</f>
        <v>1551685886179759</v>
      </c>
      <c r="C3526" t="s">
        <v>40</v>
      </c>
      <c r="D3526">
        <v>4.7809929999999996</v>
      </c>
      <c r="E3526">
        <v>0.56275640000000005</v>
      </c>
      <c r="F3526" t="s">
        <v>70</v>
      </c>
      <c r="G3526">
        <v>-322.89909999999998</v>
      </c>
      <c r="H3526">
        <v>8.000061E-2</v>
      </c>
      <c r="I3526">
        <v>206.25370000000001</v>
      </c>
      <c r="J3526">
        <v>-394.60820000000001</v>
      </c>
      <c r="K3526">
        <v>1.1098840000000001</v>
      </c>
      <c r="L3526">
        <v>213.27459999999999</v>
      </c>
      <c r="M3526">
        <v>0.9999209</v>
      </c>
      <c r="N3526">
        <v>-9.6383219999999995E-3</v>
      </c>
      <c r="O3526">
        <v>-8.0897230000000001E-3</v>
      </c>
      <c r="P3526">
        <v>0.9802343</v>
      </c>
      <c r="Q3526">
        <v>0.1839596</v>
      </c>
      <c r="R3526">
        <v>7.2800370000000003E-2</v>
      </c>
      <c r="S3526">
        <v>3.0917970000000001</v>
      </c>
      <c r="T3526">
        <v>-4.3627140000000002E-2</v>
      </c>
      <c r="U3526">
        <v>-0.29788209999999998</v>
      </c>
      <c r="V3526">
        <v>-8.0688949999999995E-2</v>
      </c>
      <c r="W3526">
        <v>0.1934091</v>
      </c>
      <c r="X3526">
        <v>0.97779459999999996</v>
      </c>
      <c r="Y3526">
        <v>8.7831359999999997E-2</v>
      </c>
      <c r="Z3526">
        <v>-1.006442E-3</v>
      </c>
      <c r="AA3526">
        <v>0.99613490000000005</v>
      </c>
      <c r="AB3526">
        <v>33</v>
      </c>
      <c r="AC3526">
        <v>71.709100000000007</v>
      </c>
      <c r="AD3526">
        <v>-1.02988339</v>
      </c>
      <c r="AE3526">
        <v>-7.0208999999999797</v>
      </c>
      <c r="AF3526">
        <v>6.4392209974847203</v>
      </c>
      <c r="AG3526">
        <v>-1.02988339</v>
      </c>
      <c r="AH3526">
        <v>71.748894227693</v>
      </c>
      <c r="AI3526">
        <v>90.819075416049103</v>
      </c>
      <c r="AJ3526">
        <v>84.871636524965794</v>
      </c>
      <c r="AK3526">
        <v>72.044625405009398</v>
      </c>
      <c r="AL3526">
        <v>78.848197766869902</v>
      </c>
      <c r="AM3526">
        <v>94.717437367418995</v>
      </c>
      <c r="AN3526">
        <v>1.00000003320203</v>
      </c>
    </row>
    <row r="3527" spans="1:40" x14ac:dyDescent="0.25">
      <c r="A3527" t="str">
        <f>"20190304155126210"</f>
        <v>20190304155126210</v>
      </c>
      <c r="B3527" t="str">
        <f>"1551685886200254"</f>
        <v>1551685886200254</v>
      </c>
      <c r="C3527" t="s">
        <v>40</v>
      </c>
      <c r="D3527">
        <v>4.9553079999999996</v>
      </c>
      <c r="E3527">
        <v>0.51828640000000004</v>
      </c>
      <c r="F3527" t="s">
        <v>70</v>
      </c>
      <c r="G3527">
        <v>-331.7937</v>
      </c>
      <c r="H3527">
        <v>8.0001249999999996E-2</v>
      </c>
      <c r="I3527">
        <v>207.27289999999999</v>
      </c>
      <c r="J3527">
        <v>-394.27199999999999</v>
      </c>
      <c r="K3527">
        <v>1.109901</v>
      </c>
      <c r="L3527">
        <v>213.27189999999999</v>
      </c>
      <c r="M3527">
        <v>0.9999207</v>
      </c>
      <c r="N3527">
        <v>-9.642276E-3</v>
      </c>
      <c r="O3527">
        <v>-8.1202830000000007E-3</v>
      </c>
      <c r="P3527">
        <v>0.98011979999999999</v>
      </c>
      <c r="Q3527">
        <v>0.1844616</v>
      </c>
      <c r="R3527">
        <v>7.3070860000000001E-2</v>
      </c>
      <c r="S3527">
        <v>3.0919490000000001</v>
      </c>
      <c r="T3527">
        <v>-5.0694469999999998E-2</v>
      </c>
      <c r="U3527">
        <v>-0.2954254</v>
      </c>
      <c r="V3527">
        <v>-8.0996890000000002E-2</v>
      </c>
      <c r="W3527">
        <v>0.19391059999999999</v>
      </c>
      <c r="X3527">
        <v>0.97766980000000003</v>
      </c>
      <c r="Y3527">
        <v>8.7008249999999995E-2</v>
      </c>
      <c r="Z3527">
        <v>-1.077412E-3</v>
      </c>
      <c r="AA3527">
        <v>0.99620699999999995</v>
      </c>
      <c r="AB3527">
        <v>33</v>
      </c>
      <c r="AC3527">
        <v>62.478299999999898</v>
      </c>
      <c r="AD3527">
        <v>-1.02989975</v>
      </c>
      <c r="AE3527">
        <v>-5.9989999999999899</v>
      </c>
      <c r="AF3527">
        <v>5.4899590733983201</v>
      </c>
      <c r="AG3527">
        <v>-1.02989975</v>
      </c>
      <c r="AH3527">
        <v>62.508125797537097</v>
      </c>
      <c r="AI3527">
        <v>90.940315344258806</v>
      </c>
      <c r="AJ3527">
        <v>84.980709892754106</v>
      </c>
      <c r="AK3527">
        <v>62.757199864584202</v>
      </c>
      <c r="AL3527">
        <v>78.8189094039341</v>
      </c>
      <c r="AM3527">
        <v>94.735960923010495</v>
      </c>
      <c r="AN3527">
        <v>1.00000002740703</v>
      </c>
    </row>
    <row r="3528" spans="1:40" x14ac:dyDescent="0.25">
      <c r="A3528" t="str">
        <f>"20190304155126242"</f>
        <v>20190304155126242</v>
      </c>
      <c r="B3528" t="str">
        <f>"1551685886240271"</f>
        <v>1551685886240271</v>
      </c>
      <c r="C3528" t="s">
        <v>40</v>
      </c>
      <c r="D3528">
        <v>4.9016950000000001</v>
      </c>
      <c r="E3528">
        <v>0.52062240000000004</v>
      </c>
      <c r="F3528" t="s">
        <v>51</v>
      </c>
      <c r="G3528">
        <v>-393.31549999999999</v>
      </c>
      <c r="H3528">
        <v>0.98291980000000001</v>
      </c>
      <c r="I3528">
        <v>213.28749999999999</v>
      </c>
      <c r="J3528">
        <v>-393.79750000000001</v>
      </c>
      <c r="K3528">
        <v>1.10992</v>
      </c>
      <c r="L3528">
        <v>213.268</v>
      </c>
      <c r="M3528">
        <v>0.99992040000000004</v>
      </c>
      <c r="N3528">
        <v>-9.6481610000000006E-3</v>
      </c>
      <c r="O3528">
        <v>-8.1397910000000004E-3</v>
      </c>
      <c r="P3528">
        <v>0.97983520000000002</v>
      </c>
      <c r="Q3528">
        <v>0.1857549</v>
      </c>
      <c r="R3528">
        <v>7.3611029999999994E-2</v>
      </c>
      <c r="S3528">
        <v>3.135345</v>
      </c>
      <c r="T3528">
        <v>-0.4162457</v>
      </c>
      <c r="U3528">
        <v>5.1132200000000003E-2</v>
      </c>
      <c r="V3528">
        <v>-8.1561540000000002E-2</v>
      </c>
      <c r="W3528">
        <v>0.19520390000000001</v>
      </c>
      <c r="X3528">
        <v>0.97736540000000005</v>
      </c>
      <c r="Y3528">
        <v>-2.4155860000000001E-2</v>
      </c>
      <c r="Z3528">
        <v>2.7110709999999998E-3</v>
      </c>
      <c r="AA3528">
        <v>0.9997045</v>
      </c>
      <c r="AB3528">
        <v>33</v>
      </c>
      <c r="AC3528">
        <v>0.48200000000002702</v>
      </c>
      <c r="AD3528">
        <v>-0.12700020000000001</v>
      </c>
      <c r="AE3528">
        <v>1.9499999999993599E-2</v>
      </c>
      <c r="AF3528">
        <v>-2.1904672612088501E-2</v>
      </c>
      <c r="AG3528">
        <v>-0.12700020000000001</v>
      </c>
      <c r="AH3528">
        <v>0.45059400834644397</v>
      </c>
      <c r="AI3528">
        <v>105.722875609971</v>
      </c>
      <c r="AJ3528">
        <v>92.783121884528299</v>
      </c>
      <c r="AK3528">
        <v>0.46866173925337401</v>
      </c>
      <c r="AL3528">
        <v>78.743364737411596</v>
      </c>
      <c r="AM3528">
        <v>94.770303167951695</v>
      </c>
      <c r="AN3528">
        <v>0.99999998624977005</v>
      </c>
    </row>
    <row r="3529" spans="1:40" x14ac:dyDescent="0.25">
      <c r="A3529" t="str">
        <f>"20190304155126264"</f>
        <v>20190304155126264</v>
      </c>
      <c r="B3529" t="str">
        <f>"1551685886259791"</f>
        <v>1551685886259791</v>
      </c>
      <c r="C3529" t="s">
        <v>40</v>
      </c>
      <c r="D3529">
        <v>4.789498</v>
      </c>
      <c r="E3529">
        <v>0.51862640000000004</v>
      </c>
      <c r="F3529" t="s">
        <v>70</v>
      </c>
      <c r="G3529">
        <v>-378.8211</v>
      </c>
      <c r="H3529" s="1">
        <v>3.1573689999999998E-6</v>
      </c>
      <c r="I3529">
        <v>213.45650000000001</v>
      </c>
      <c r="J3529">
        <v>-393.47609999999997</v>
      </c>
      <c r="K3529">
        <v>1.1099220000000001</v>
      </c>
      <c r="L3529">
        <v>213.2653</v>
      </c>
      <c r="M3529">
        <v>0.99992020000000004</v>
      </c>
      <c r="N3529">
        <v>-9.6523200000000007E-3</v>
      </c>
      <c r="O3529">
        <v>-8.1454539999999999E-3</v>
      </c>
      <c r="P3529">
        <v>0.97972820000000005</v>
      </c>
      <c r="Q3529">
        <v>0.18614040000000001</v>
      </c>
      <c r="R3529">
        <v>7.4057650000000003E-2</v>
      </c>
      <c r="S3529">
        <v>3.1023860000000001</v>
      </c>
      <c r="T3529">
        <v>-0.22992099999999999</v>
      </c>
      <c r="U3529">
        <v>3.90625E-2</v>
      </c>
      <c r="V3529">
        <v>-8.2015539999999998E-2</v>
      </c>
      <c r="W3529">
        <v>0.1955906</v>
      </c>
      <c r="X3529">
        <v>0.97725010000000001</v>
      </c>
      <c r="Y3529">
        <v>-2.0653959999999999E-2</v>
      </c>
      <c r="Z3529">
        <v>1.3883980000000001E-3</v>
      </c>
      <c r="AA3529">
        <v>0.9997857</v>
      </c>
      <c r="AB3529">
        <v>33</v>
      </c>
      <c r="AC3529">
        <v>14.6549999999999</v>
      </c>
      <c r="AD3529">
        <v>-1.1099188426309901</v>
      </c>
      <c r="AE3529">
        <v>0.191200000000009</v>
      </c>
      <c r="AF3529">
        <v>-0.30879986920016</v>
      </c>
      <c r="AG3529">
        <v>-1.1099188426309901</v>
      </c>
      <c r="AH3529">
        <v>14.5694001192564</v>
      </c>
      <c r="AI3529">
        <v>94.355489580001603</v>
      </c>
      <c r="AJ3529">
        <v>91.214207886206694</v>
      </c>
      <c r="AK3529">
        <v>14.614879302663899</v>
      </c>
      <c r="AL3529">
        <v>78.720773081878804</v>
      </c>
      <c r="AM3529">
        <v>94.797296080599807</v>
      </c>
      <c r="AN3529">
        <v>0.99999999477992996</v>
      </c>
    </row>
    <row r="3530" spans="1:40" x14ac:dyDescent="0.25">
      <c r="A3530" t="str">
        <f>"20190304155126289"</f>
        <v>20190304155126289</v>
      </c>
      <c r="B3530" t="str">
        <f>"1551685886280287"</f>
        <v>1551685886280287</v>
      </c>
      <c r="C3530" t="s">
        <v>40</v>
      </c>
      <c r="D3530">
        <v>4.9089460000000003</v>
      </c>
      <c r="E3530">
        <v>0.5170766</v>
      </c>
      <c r="F3530" t="s">
        <v>70</v>
      </c>
      <c r="G3530">
        <v>-377.56180000000001</v>
      </c>
      <c r="H3530" s="1">
        <v>2.4872110000000002E-6</v>
      </c>
      <c r="I3530">
        <v>213.55520000000001</v>
      </c>
      <c r="J3530">
        <v>-393.12700000000001</v>
      </c>
      <c r="K3530">
        <v>1.1099250000000001</v>
      </c>
      <c r="L3530">
        <v>213.26249999999999</v>
      </c>
      <c r="M3530">
        <v>0.99992040000000004</v>
      </c>
      <c r="N3530">
        <v>-9.6569680000000001E-3</v>
      </c>
      <c r="O3530">
        <v>-8.1498319999999992E-3</v>
      </c>
      <c r="P3530">
        <v>0.97964669999999998</v>
      </c>
      <c r="Q3530">
        <v>0.1863358</v>
      </c>
      <c r="R3530">
        <v>7.4643070000000006E-2</v>
      </c>
      <c r="S3530">
        <v>3.0988769999999999</v>
      </c>
      <c r="T3530">
        <v>-0.21612580000000001</v>
      </c>
      <c r="U3530">
        <v>5.6442260000000001E-2</v>
      </c>
      <c r="V3530">
        <v>-8.2606810000000003E-2</v>
      </c>
      <c r="W3530">
        <v>0.19578889999999999</v>
      </c>
      <c r="X3530">
        <v>0.97716060000000005</v>
      </c>
      <c r="Y3530">
        <v>-2.627167E-2</v>
      </c>
      <c r="Z3530">
        <v>1.53104E-3</v>
      </c>
      <c r="AA3530">
        <v>0.99965369999999998</v>
      </c>
      <c r="AB3530">
        <v>33</v>
      </c>
      <c r="AC3530">
        <v>15.5651999999999</v>
      </c>
      <c r="AD3530">
        <v>-1.109922512789</v>
      </c>
      <c r="AE3530">
        <v>0.292700000000024</v>
      </c>
      <c r="AF3530">
        <v>-0.41742813003013002</v>
      </c>
      <c r="AG3530">
        <v>-1.109922512789</v>
      </c>
      <c r="AH3530">
        <v>15.483593942322001</v>
      </c>
      <c r="AI3530">
        <v>94.0986804290322</v>
      </c>
      <c r="AJ3530">
        <v>91.544284769335903</v>
      </c>
      <c r="AK3530">
        <v>15.5289360742727</v>
      </c>
      <c r="AL3530">
        <v>78.709187482829094</v>
      </c>
      <c r="AM3530">
        <v>94.832158256088306</v>
      </c>
      <c r="AN3530">
        <v>1.00000000830697</v>
      </c>
    </row>
    <row r="3531" spans="1:40" x14ac:dyDescent="0.25">
      <c r="A3531" t="str">
        <f>"20190304155126310"</f>
        <v>20190304155126310</v>
      </c>
      <c r="B3531" t="str">
        <f>"1551685886299807"</f>
        <v>1551685886299807</v>
      </c>
      <c r="C3531" t="s">
        <v>40</v>
      </c>
      <c r="D3531">
        <v>4.8987420000000004</v>
      </c>
      <c r="E3531">
        <v>0.51591319999999996</v>
      </c>
      <c r="F3531" t="s">
        <v>70</v>
      </c>
      <c r="G3531">
        <v>-376.5179</v>
      </c>
      <c r="H3531" s="1">
        <v>1.9317230000000001E-6</v>
      </c>
      <c r="I3531">
        <v>213.6429</v>
      </c>
      <c r="J3531">
        <v>-392.79790000000003</v>
      </c>
      <c r="K3531">
        <v>1.109928</v>
      </c>
      <c r="L3531">
        <v>213.25980000000001</v>
      </c>
      <c r="M3531">
        <v>0.99992000000000003</v>
      </c>
      <c r="N3531">
        <v>-9.6614560000000006E-3</v>
      </c>
      <c r="O3531">
        <v>-8.1548190000000007E-3</v>
      </c>
      <c r="P3531">
        <v>0.97952870000000003</v>
      </c>
      <c r="Q3531">
        <v>0.1866756</v>
      </c>
      <c r="R3531">
        <v>7.5337589999999996E-2</v>
      </c>
      <c r="S3531">
        <v>3.0962519999999998</v>
      </c>
      <c r="T3531">
        <v>-0.20691080000000001</v>
      </c>
      <c r="U3531">
        <v>7.0922849999999996E-2</v>
      </c>
      <c r="V3531">
        <v>-8.3306859999999996E-2</v>
      </c>
      <c r="W3531">
        <v>0.19613159999999999</v>
      </c>
      <c r="X3531">
        <v>0.97703240000000002</v>
      </c>
      <c r="Y3531">
        <v>-3.0960000000000001E-2</v>
      </c>
      <c r="Z3531">
        <v>1.6485390000000001E-3</v>
      </c>
      <c r="AA3531">
        <v>0.9995193</v>
      </c>
      <c r="AB3531">
        <v>33</v>
      </c>
      <c r="AC3531">
        <v>16.28</v>
      </c>
      <c r="AD3531">
        <v>-1.109926068277</v>
      </c>
      <c r="AE3531">
        <v>0.38309999999998401</v>
      </c>
      <c r="AF3531">
        <v>-0.513468566679391</v>
      </c>
      <c r="AG3531">
        <v>-1.109926068277</v>
      </c>
      <c r="AH3531">
        <v>16.201071176986801</v>
      </c>
      <c r="AI3531">
        <v>93.917216193801096</v>
      </c>
      <c r="AJ3531">
        <v>91.815295850341897</v>
      </c>
      <c r="AK3531">
        <v>16.247162617755802</v>
      </c>
      <c r="AL3531">
        <v>78.689163608132802</v>
      </c>
      <c r="AM3531">
        <v>94.8735482523402</v>
      </c>
      <c r="AN3531">
        <v>0.99999997404568897</v>
      </c>
    </row>
    <row r="3532" spans="1:40" x14ac:dyDescent="0.25">
      <c r="A3532" t="str">
        <f>"20190304155126333"</f>
        <v>20190304155126333</v>
      </c>
      <c r="B3532" t="str">
        <f>"1551685886330063"</f>
        <v>1551685886330063</v>
      </c>
      <c r="C3532" t="s">
        <v>40</v>
      </c>
      <c r="D3532">
        <v>4.963139</v>
      </c>
      <c r="E3532">
        <v>0.51251759999999902</v>
      </c>
      <c r="F3532" t="s">
        <v>70</v>
      </c>
      <c r="G3532">
        <v>-375.82069999999999</v>
      </c>
      <c r="H3532" s="1">
        <v>1.5607060000000001E-6</v>
      </c>
      <c r="I3532">
        <v>213.71279999999999</v>
      </c>
      <c r="J3532">
        <v>-392.46530000000001</v>
      </c>
      <c r="K3532">
        <v>1.1099270000000001</v>
      </c>
      <c r="L3532">
        <v>213.25710000000001</v>
      </c>
      <c r="M3532">
        <v>0.99992009999999998</v>
      </c>
      <c r="N3532">
        <v>-9.6661620000000007E-3</v>
      </c>
      <c r="O3532">
        <v>-8.1617219999999997E-3</v>
      </c>
      <c r="P3532">
        <v>0.97957740000000004</v>
      </c>
      <c r="Q3532">
        <v>0.18620020000000001</v>
      </c>
      <c r="R3532">
        <v>7.5880909999999996E-2</v>
      </c>
      <c r="S3532">
        <v>3.0949399999999998</v>
      </c>
      <c r="T3532">
        <v>-0.20234009999999999</v>
      </c>
      <c r="U3532">
        <v>8.2580570000000006E-2</v>
      </c>
      <c r="V3532">
        <v>-8.3859059999999999E-2</v>
      </c>
      <c r="W3532">
        <v>0.19566030000000001</v>
      </c>
      <c r="X3532">
        <v>0.9770797</v>
      </c>
      <c r="Y3532">
        <v>-3.4733519999999997E-2</v>
      </c>
      <c r="Z3532">
        <v>1.756231E-3</v>
      </c>
      <c r="AA3532">
        <v>0.99939509999999998</v>
      </c>
      <c r="AB3532">
        <v>33</v>
      </c>
      <c r="AC3532">
        <v>16.644600000000001</v>
      </c>
      <c r="AD3532">
        <v>-1.1099254392939999</v>
      </c>
      <c r="AE3532">
        <v>0.45569999999997801</v>
      </c>
      <c r="AF3532">
        <v>-0.58892292750629005</v>
      </c>
      <c r="AG3532">
        <v>-1.1099254392939999</v>
      </c>
      <c r="AH3532">
        <v>16.566713544166898</v>
      </c>
      <c r="AI3532">
        <v>93.830523394791499</v>
      </c>
      <c r="AJ3532">
        <v>92.035925549364805</v>
      </c>
      <c r="AK3532">
        <v>16.6142939166796</v>
      </c>
      <c r="AL3532">
        <v>78.716701146092802</v>
      </c>
      <c r="AM3532">
        <v>94.905459138119298</v>
      </c>
      <c r="AN3532">
        <v>1.0000000175461301</v>
      </c>
    </row>
    <row r="3533" spans="1:40" x14ac:dyDescent="0.25">
      <c r="A3533" t="str">
        <f>"20190304155126367"</f>
        <v>20190304155126367</v>
      </c>
      <c r="B3533" t="str">
        <f>"1551685886360319"</f>
        <v>1551685886360319</v>
      </c>
      <c r="C3533" t="s">
        <v>40</v>
      </c>
      <c r="D3533">
        <v>4.9609540000000001</v>
      </c>
      <c r="E3533">
        <v>0.51061140000000005</v>
      </c>
      <c r="F3533" t="s">
        <v>70</v>
      </c>
      <c r="G3533">
        <v>-375.76319999999998</v>
      </c>
      <c r="H3533" s="1">
        <v>1.530123E-6</v>
      </c>
      <c r="I3533">
        <v>213.85390000000001</v>
      </c>
      <c r="J3533">
        <v>-391.97460000000001</v>
      </c>
      <c r="K3533">
        <v>1.1099289999999999</v>
      </c>
      <c r="L3533">
        <v>213.25299999999999</v>
      </c>
      <c r="M3533">
        <v>0.99992000000000003</v>
      </c>
      <c r="N3533">
        <v>-9.6732599999999995E-3</v>
      </c>
      <c r="O3533">
        <v>-8.173998E-3</v>
      </c>
      <c r="P3533">
        <v>0.97954269999999999</v>
      </c>
      <c r="Q3533">
        <v>0.18610740000000001</v>
      </c>
      <c r="R3533">
        <v>7.6551229999999998E-2</v>
      </c>
      <c r="S3533">
        <v>3.093048</v>
      </c>
      <c r="T3533">
        <v>-0.20554639999999999</v>
      </c>
      <c r="U3533">
        <v>0.1105347</v>
      </c>
      <c r="V3533">
        <v>-8.4542160000000005E-2</v>
      </c>
      <c r="W3533">
        <v>0.19557379999999999</v>
      </c>
      <c r="X3533">
        <v>0.97703810000000002</v>
      </c>
      <c r="Y3533">
        <v>-4.3758030000000003E-2</v>
      </c>
      <c r="Z3533">
        <v>2.1273440000000002E-3</v>
      </c>
      <c r="AA3533">
        <v>0.99903989999999998</v>
      </c>
      <c r="AB3533">
        <v>33</v>
      </c>
      <c r="AC3533">
        <v>16.211400000000001</v>
      </c>
      <c r="AD3533">
        <v>-1.1099274698770001</v>
      </c>
      <c r="AE3533">
        <v>0.60090000000002397</v>
      </c>
      <c r="AF3533">
        <v>-0.72998090399424898</v>
      </c>
      <c r="AG3533">
        <v>-1.1099274698770001</v>
      </c>
      <c r="AH3533">
        <v>16.130437500745401</v>
      </c>
      <c r="AI3533">
        <v>93.932277827108905</v>
      </c>
      <c r="AJ3533">
        <v>92.591145311022402</v>
      </c>
      <c r="AK3533">
        <v>16.1850494306949</v>
      </c>
      <c r="AL3533">
        <v>78.721754306103605</v>
      </c>
      <c r="AM3533">
        <v>94.945430230511903</v>
      </c>
      <c r="AN3533">
        <v>0.99999996845775696</v>
      </c>
    </row>
    <row r="3534" spans="1:40" x14ac:dyDescent="0.25">
      <c r="A3534" t="str">
        <f>"20190304155126389"</f>
        <v>20190304155126389</v>
      </c>
      <c r="B3534" t="str">
        <f>"1551685886379840"</f>
        <v>1551685886379840</v>
      </c>
      <c r="C3534" t="s">
        <v>40</v>
      </c>
      <c r="D3534">
        <v>4.9018069999999998</v>
      </c>
      <c r="E3534">
        <v>0.50970000000000004</v>
      </c>
      <c r="F3534" t="s">
        <v>70</v>
      </c>
      <c r="G3534">
        <v>-375.21429999999998</v>
      </c>
      <c r="H3534" s="1">
        <v>1.237999E-6</v>
      </c>
      <c r="I3534">
        <v>213.94479999999999</v>
      </c>
      <c r="J3534">
        <v>-391.64190000000002</v>
      </c>
      <c r="K3534">
        <v>1.109931</v>
      </c>
      <c r="L3534">
        <v>213.25030000000001</v>
      </c>
      <c r="M3534">
        <v>0.99991980000000003</v>
      </c>
      <c r="N3534">
        <v>-9.6781499999999999E-3</v>
      </c>
      <c r="O3534">
        <v>-8.1816249999999997E-3</v>
      </c>
      <c r="P3534">
        <v>0.97940419999999995</v>
      </c>
      <c r="Q3534">
        <v>0.1867123</v>
      </c>
      <c r="R3534">
        <v>7.685235E-2</v>
      </c>
      <c r="S3534">
        <v>3.0915530000000002</v>
      </c>
      <c r="T3534">
        <v>-0.204734</v>
      </c>
      <c r="U3534">
        <v>0.12760930000000001</v>
      </c>
      <c r="V3534">
        <v>-8.4850789999999995E-2</v>
      </c>
      <c r="W3534">
        <v>0.19618169999999999</v>
      </c>
      <c r="X3534">
        <v>0.97688949999999997</v>
      </c>
      <c r="Y3534">
        <v>-4.927869E-2</v>
      </c>
      <c r="Z3534">
        <v>2.3300389999999999E-3</v>
      </c>
      <c r="AA3534">
        <v>0.99878230000000001</v>
      </c>
      <c r="AB3534">
        <v>33</v>
      </c>
      <c r="AC3534">
        <v>16.427600000000002</v>
      </c>
      <c r="AD3534">
        <v>-1.109929762001</v>
      </c>
      <c r="AE3534">
        <v>0.69449999999997603</v>
      </c>
      <c r="AF3534">
        <v>-0.82512749264417895</v>
      </c>
      <c r="AG3534">
        <v>-1.109929762001</v>
      </c>
      <c r="AH3534">
        <v>16.346877016166498</v>
      </c>
      <c r="AI3534">
        <v>93.879416443509299</v>
      </c>
      <c r="AJ3534">
        <v>92.889618196757397</v>
      </c>
      <c r="AK3534">
        <v>16.405278651622002</v>
      </c>
      <c r="AL3534">
        <v>78.686236579483804</v>
      </c>
      <c r="AM3534">
        <v>94.9641452544777</v>
      </c>
      <c r="AN3534">
        <v>1.0000000055943801</v>
      </c>
    </row>
    <row r="3535" spans="1:40" x14ac:dyDescent="0.25">
      <c r="A3535" t="str">
        <f>"20190304155126412"</f>
        <v>20190304155126412</v>
      </c>
      <c r="B3535" t="str">
        <f>"1551685886400335"</f>
        <v>1551685886400335</v>
      </c>
      <c r="C3535" t="s">
        <v>40</v>
      </c>
      <c r="D3535">
        <v>4.9195120000000001</v>
      </c>
      <c r="E3535">
        <v>0.50892280000000001</v>
      </c>
      <c r="F3535" t="s">
        <v>70</v>
      </c>
      <c r="G3535">
        <v>-374.51080000000002</v>
      </c>
      <c r="H3535" s="1">
        <v>8.6365759999999896E-7</v>
      </c>
      <c r="I3535">
        <v>214.00110000000001</v>
      </c>
      <c r="J3535">
        <v>-391.30790000000002</v>
      </c>
      <c r="K3535">
        <v>1.1099380000000001</v>
      </c>
      <c r="L3535">
        <v>213.24760000000001</v>
      </c>
      <c r="M3535">
        <v>0.99991969999999997</v>
      </c>
      <c r="N3535">
        <v>-9.6831279999999992E-3</v>
      </c>
      <c r="O3535">
        <v>-8.1871019999999999E-3</v>
      </c>
      <c r="P3535">
        <v>0.97937419999999997</v>
      </c>
      <c r="Q3535">
        <v>0.1869876</v>
      </c>
      <c r="R3535">
        <v>7.6562370000000005E-2</v>
      </c>
      <c r="S3535">
        <v>3.0906069999999999</v>
      </c>
      <c r="T3535">
        <v>-0.2002419</v>
      </c>
      <c r="U3535">
        <v>0.1354523</v>
      </c>
      <c r="V3535">
        <v>-8.4566929999999998E-2</v>
      </c>
      <c r="W3535">
        <v>0.19646079999999999</v>
      </c>
      <c r="X3535">
        <v>0.976858</v>
      </c>
      <c r="Y3535">
        <v>-5.1826089999999998E-2</v>
      </c>
      <c r="Z3535">
        <v>2.378195E-3</v>
      </c>
      <c r="AA3535">
        <v>0.99865329999999997</v>
      </c>
      <c r="AB3535">
        <v>33</v>
      </c>
      <c r="AC3535">
        <v>16.7971</v>
      </c>
      <c r="AD3535">
        <v>-1.10993713634239</v>
      </c>
      <c r="AE3535">
        <v>0.75350000000000195</v>
      </c>
      <c r="AF3535">
        <v>-0.88713490133488404</v>
      </c>
      <c r="AG3535">
        <v>-1.10993713634239</v>
      </c>
      <c r="AH3535">
        <v>16.717518171758101</v>
      </c>
      <c r="AI3535">
        <v>93.793179891940596</v>
      </c>
      <c r="AJ3535">
        <v>93.037619204616405</v>
      </c>
      <c r="AK3535">
        <v>16.777794330687801</v>
      </c>
      <c r="AL3535">
        <v>78.669927683306696</v>
      </c>
      <c r="AM3535">
        <v>94.947779513678597</v>
      </c>
      <c r="AN3535">
        <v>0.99999998187513195</v>
      </c>
    </row>
    <row r="3536" spans="1:40" x14ac:dyDescent="0.25">
      <c r="A3536" t="str">
        <f>"20190304155126432"</f>
        <v>20190304155126432</v>
      </c>
      <c r="B3536" t="str">
        <f>"1551685886430591"</f>
        <v>1551685886430591</v>
      </c>
      <c r="C3536" t="s">
        <v>40</v>
      </c>
      <c r="D3536">
        <v>4.9238650000000002</v>
      </c>
      <c r="E3536">
        <v>0.50783909999999999</v>
      </c>
      <c r="F3536" t="s">
        <v>70</v>
      </c>
      <c r="G3536">
        <v>-374.11989999999997</v>
      </c>
      <c r="H3536" s="1">
        <v>6.5561049999999999E-7</v>
      </c>
      <c r="I3536">
        <v>214.02600000000001</v>
      </c>
      <c r="J3536">
        <v>-390.99239999999998</v>
      </c>
      <c r="K3536">
        <v>1.109939</v>
      </c>
      <c r="L3536">
        <v>213.245</v>
      </c>
      <c r="M3536">
        <v>0.99991969999999997</v>
      </c>
      <c r="N3536">
        <v>-9.6880319999999992E-3</v>
      </c>
      <c r="O3536">
        <v>-8.1904370000000001E-3</v>
      </c>
      <c r="P3536">
        <v>0.97926000000000002</v>
      </c>
      <c r="Q3536">
        <v>0.18760009999999999</v>
      </c>
      <c r="R3536">
        <v>7.6527040000000005E-2</v>
      </c>
      <c r="S3536">
        <v>3.0903320000000001</v>
      </c>
      <c r="T3536">
        <v>-0.19956180000000001</v>
      </c>
      <c r="U3536">
        <v>0.13995360000000001</v>
      </c>
      <c r="V3536">
        <v>-8.4535319999999997E-2</v>
      </c>
      <c r="W3536">
        <v>0.19707649999999999</v>
      </c>
      <c r="X3536">
        <v>0.97673670000000001</v>
      </c>
      <c r="Y3536">
        <v>-5.3282370000000003E-2</v>
      </c>
      <c r="Z3536">
        <v>2.425136E-3</v>
      </c>
      <c r="AA3536">
        <v>0.99857649999999998</v>
      </c>
      <c r="AB3536">
        <v>33</v>
      </c>
      <c r="AC3536">
        <v>16.872499999999999</v>
      </c>
      <c r="AD3536">
        <v>-1.1099383443894999</v>
      </c>
      <c r="AE3536">
        <v>0.78099999999997705</v>
      </c>
      <c r="AF3536">
        <v>-0.91522124305317998</v>
      </c>
      <c r="AG3536">
        <v>-1.1099383443894999</v>
      </c>
      <c r="AH3536">
        <v>16.793020261458199</v>
      </c>
      <c r="AI3536">
        <v>93.775889626485593</v>
      </c>
      <c r="AJ3536">
        <v>93.119539402433304</v>
      </c>
      <c r="AK3536">
        <v>16.854528250705499</v>
      </c>
      <c r="AL3536">
        <v>78.633947162250905</v>
      </c>
      <c r="AM3536">
        <v>94.946550458716303</v>
      </c>
      <c r="AN3536">
        <v>0.99999997415331998</v>
      </c>
    </row>
    <row r="3537" spans="1:40" x14ac:dyDescent="0.25">
      <c r="A3537" t="str">
        <f>"20190304155126455"</f>
        <v>20190304155126455</v>
      </c>
      <c r="B3537" t="str">
        <f>"1551685886450111"</f>
        <v>1551685886450111</v>
      </c>
      <c r="C3537" t="s">
        <v>40</v>
      </c>
      <c r="D3537">
        <v>4.9677119999999997</v>
      </c>
      <c r="E3537">
        <v>0.50730399999999998</v>
      </c>
      <c r="F3537" t="s">
        <v>70</v>
      </c>
      <c r="G3537">
        <v>-373.71</v>
      </c>
      <c r="H3537" s="1">
        <v>4.374627E-7</v>
      </c>
      <c r="I3537">
        <v>214.0797</v>
      </c>
      <c r="J3537">
        <v>-390.65940000000001</v>
      </c>
      <c r="K3537">
        <v>1.109944</v>
      </c>
      <c r="L3537">
        <v>213.2422</v>
      </c>
      <c r="M3537">
        <v>0.99991960000000002</v>
      </c>
      <c r="N3537">
        <v>-9.6931789999999997E-3</v>
      </c>
      <c r="O3537">
        <v>-8.1927049999999998E-3</v>
      </c>
      <c r="P3537">
        <v>0.97942260000000003</v>
      </c>
      <c r="Q3537">
        <v>0.18688179999999999</v>
      </c>
      <c r="R3537">
        <v>7.6203119999999999E-2</v>
      </c>
      <c r="S3537">
        <v>3.0899049999999999</v>
      </c>
      <c r="T3537">
        <v>-0.19844400000000001</v>
      </c>
      <c r="U3537">
        <v>0.149231</v>
      </c>
      <c r="V3537">
        <v>-8.4215970000000001E-2</v>
      </c>
      <c r="W3537">
        <v>0.1963645</v>
      </c>
      <c r="X3537">
        <v>0.97690770000000005</v>
      </c>
      <c r="Y3537">
        <v>-5.6276649999999998E-2</v>
      </c>
      <c r="Z3537">
        <v>2.5235079999999998E-3</v>
      </c>
      <c r="AA3537">
        <v>0.99841199999999997</v>
      </c>
      <c r="AB3537">
        <v>33</v>
      </c>
      <c r="AC3537">
        <v>16.949400000000001</v>
      </c>
      <c r="AD3537">
        <v>-1.1099435625373</v>
      </c>
      <c r="AE3537">
        <v>0.83750000000000502</v>
      </c>
      <c r="AF3537">
        <v>-0.97218090278820402</v>
      </c>
      <c r="AG3537">
        <v>-1.1099435625373</v>
      </c>
      <c r="AH3537">
        <v>16.869801501312999</v>
      </c>
      <c r="AI3537">
        <v>93.758115791231504</v>
      </c>
      <c r="AJ3537">
        <v>93.2982203440218</v>
      </c>
      <c r="AK3537">
        <v>16.934205417245501</v>
      </c>
      <c r="AL3537">
        <v>78.675555089715303</v>
      </c>
      <c r="AM3537">
        <v>94.927097661749698</v>
      </c>
      <c r="AN3537">
        <v>1.0000000003912899</v>
      </c>
    </row>
    <row r="3538" spans="1:40" x14ac:dyDescent="0.25">
      <c r="A3538" t="str">
        <f>"20190304155126478"</f>
        <v>20190304155126478</v>
      </c>
      <c r="B3538" t="str">
        <f>"1551685886470283"</f>
        <v>1551685886470283</v>
      </c>
      <c r="C3538" t="s">
        <v>40</v>
      </c>
      <c r="D3538">
        <v>4.9613809999999896</v>
      </c>
      <c r="E3538">
        <v>0.506656</v>
      </c>
      <c r="F3538" t="s">
        <v>70</v>
      </c>
      <c r="G3538">
        <v>-373.58460000000002</v>
      </c>
      <c r="H3538" s="1">
        <v>3.7075590000000002E-7</v>
      </c>
      <c r="I3538">
        <v>214.0849</v>
      </c>
      <c r="J3538">
        <v>-390.3383</v>
      </c>
      <c r="K3538">
        <v>1.1099509999999999</v>
      </c>
      <c r="L3538">
        <v>213.2396</v>
      </c>
      <c r="M3538">
        <v>0.99991960000000002</v>
      </c>
      <c r="N3538">
        <v>-9.6979530000000005E-3</v>
      </c>
      <c r="O3538">
        <v>-8.1918649999999996E-3</v>
      </c>
      <c r="P3538">
        <v>0.97952589999999995</v>
      </c>
      <c r="Q3538">
        <v>0.1864162</v>
      </c>
      <c r="R3538">
        <v>7.6015479999999996E-2</v>
      </c>
      <c r="S3538">
        <v>3.0895079999999999</v>
      </c>
      <c r="T3538">
        <v>-0.20083319999999999</v>
      </c>
      <c r="U3538">
        <v>0.15248110000000001</v>
      </c>
      <c r="V3538">
        <v>-8.4029119999999999E-2</v>
      </c>
      <c r="W3538">
        <v>0.19590440000000001</v>
      </c>
      <c r="X3538">
        <v>0.9770162</v>
      </c>
      <c r="Y3538">
        <v>-5.7323859999999997E-2</v>
      </c>
      <c r="Z3538">
        <v>2.590874E-3</v>
      </c>
      <c r="AA3538">
        <v>0.99835229999999997</v>
      </c>
      <c r="AB3538">
        <v>33</v>
      </c>
      <c r="AC3538">
        <v>16.753699999999899</v>
      </c>
      <c r="AD3538">
        <v>-1.1099506292440999</v>
      </c>
      <c r="AE3538">
        <v>0.84530000000000804</v>
      </c>
      <c r="AF3538">
        <v>-0.97823932203347197</v>
      </c>
      <c r="AG3538">
        <v>-1.1099506292440999</v>
      </c>
      <c r="AH3538">
        <v>16.673216547839701</v>
      </c>
      <c r="AI3538">
        <v>93.802091514493199</v>
      </c>
      <c r="AJ3538">
        <v>93.357768668888497</v>
      </c>
      <c r="AK3538">
        <v>16.738730316893399</v>
      </c>
      <c r="AL3538">
        <v>78.702439509727796</v>
      </c>
      <c r="AM3538">
        <v>94.915676261709393</v>
      </c>
      <c r="AN3538">
        <v>1.0000000410048799</v>
      </c>
    </row>
    <row r="3539" spans="1:40" x14ac:dyDescent="0.25">
      <c r="A3539" t="str">
        <f>"20190304155126502"</f>
        <v>20190304155126502</v>
      </c>
      <c r="B3539" t="str">
        <f>"1551685886489802"</f>
        <v>1551685886489802</v>
      </c>
      <c r="C3539" t="s">
        <v>40</v>
      </c>
      <c r="D3539">
        <v>4.9428580000000002</v>
      </c>
      <c r="E3539">
        <v>0.50620169999999998</v>
      </c>
      <c r="F3539" t="s">
        <v>70</v>
      </c>
      <c r="G3539">
        <v>-373.5326</v>
      </c>
      <c r="H3539" s="1">
        <v>3.4309279999999998E-7</v>
      </c>
      <c r="I3539">
        <v>214.0941</v>
      </c>
      <c r="J3539">
        <v>-389.96929999999998</v>
      </c>
      <c r="K3539">
        <v>1.1099680000000001</v>
      </c>
      <c r="L3539">
        <v>213.23660000000001</v>
      </c>
      <c r="M3539">
        <v>0.99991960000000002</v>
      </c>
      <c r="N3539">
        <v>-9.7033589999999999E-3</v>
      </c>
      <c r="O3539">
        <v>-8.1769019999999998E-3</v>
      </c>
      <c r="P3539">
        <v>0.97933519999999996</v>
      </c>
      <c r="Q3539">
        <v>0.1873735</v>
      </c>
      <c r="R3539">
        <v>7.6118359999999996E-2</v>
      </c>
      <c r="S3539">
        <v>3.0893549999999999</v>
      </c>
      <c r="T3539">
        <v>-0.20403979999999999</v>
      </c>
      <c r="U3539">
        <v>0.15708920000000001</v>
      </c>
      <c r="V3539">
        <v>-8.4119340000000001E-2</v>
      </c>
      <c r="W3539">
        <v>0.19686290000000001</v>
      </c>
      <c r="X3539">
        <v>0.97681569999999995</v>
      </c>
      <c r="Y3539">
        <v>-5.8788430000000003E-2</v>
      </c>
      <c r="Z3539">
        <v>2.6837050000000002E-3</v>
      </c>
      <c r="AA3539">
        <v>0.99826689999999996</v>
      </c>
      <c r="AB3539">
        <v>33</v>
      </c>
      <c r="AC3539">
        <v>16.436699999999899</v>
      </c>
      <c r="AD3539">
        <v>-1.1099676569071999</v>
      </c>
      <c r="AE3539">
        <v>0.85749999999998705</v>
      </c>
      <c r="AF3539">
        <v>-0.98738838329315803</v>
      </c>
      <c r="AG3539">
        <v>-1.1099676569071999</v>
      </c>
      <c r="AH3539">
        <v>16.354758603965099</v>
      </c>
      <c r="AI3539">
        <v>93.875571135863197</v>
      </c>
      <c r="AJ3539">
        <v>93.454933424985995</v>
      </c>
      <c r="AK3539">
        <v>16.422091615041399</v>
      </c>
      <c r="AL3539">
        <v>78.646430249213395</v>
      </c>
      <c r="AM3539">
        <v>94.921933302317299</v>
      </c>
      <c r="AN3539">
        <v>0.99999998826246705</v>
      </c>
    </row>
    <row r="3540" spans="1:40" x14ac:dyDescent="0.25">
      <c r="A3540" t="str">
        <f>"20190304155126522"</f>
        <v>20190304155126522</v>
      </c>
      <c r="B3540" t="str">
        <f>"1551685886520058"</f>
        <v>1551685886520058</v>
      </c>
      <c r="C3540" t="s">
        <v>40</v>
      </c>
      <c r="D3540">
        <v>4.922453</v>
      </c>
      <c r="E3540">
        <v>0.50559560000000003</v>
      </c>
      <c r="F3540" t="s">
        <v>70</v>
      </c>
      <c r="G3540">
        <v>-373.04739999999998</v>
      </c>
      <c r="H3540" s="1">
        <v>8.4875349999999996E-8</v>
      </c>
      <c r="I3540">
        <v>214.12440000000001</v>
      </c>
      <c r="J3540">
        <v>-389.6574</v>
      </c>
      <c r="K3540">
        <v>1.109998</v>
      </c>
      <c r="L3540">
        <v>213.23410000000001</v>
      </c>
      <c r="M3540">
        <v>0.99991980000000003</v>
      </c>
      <c r="N3540">
        <v>-9.7079709999999993E-3</v>
      </c>
      <c r="O3540">
        <v>-8.1409969999999901E-3</v>
      </c>
      <c r="P3540">
        <v>0.97882060000000004</v>
      </c>
      <c r="Q3540">
        <v>0.18953059999999999</v>
      </c>
      <c r="R3540">
        <v>7.7384919999999996E-2</v>
      </c>
      <c r="S3540">
        <v>3.0894780000000002</v>
      </c>
      <c r="T3540">
        <v>-0.20264960000000001</v>
      </c>
      <c r="U3540">
        <v>0.16209409999999999</v>
      </c>
      <c r="V3540">
        <v>-8.5353440000000003E-2</v>
      </c>
      <c r="W3540">
        <v>0.19901669999999999</v>
      </c>
      <c r="X3540">
        <v>0.97627200000000003</v>
      </c>
      <c r="Y3540">
        <v>-6.0361650000000003E-2</v>
      </c>
      <c r="Z3540">
        <v>2.7239270000000001E-3</v>
      </c>
      <c r="AA3540">
        <v>0.99817290000000003</v>
      </c>
      <c r="AB3540">
        <v>33</v>
      </c>
      <c r="AC3540">
        <v>16.61</v>
      </c>
      <c r="AD3540">
        <v>-1.10999791512465</v>
      </c>
      <c r="AE3540">
        <v>0.89029999999999598</v>
      </c>
      <c r="AF3540">
        <v>-1.02095244945746</v>
      </c>
      <c r="AG3540">
        <v>-1.10999791512465</v>
      </c>
      <c r="AH3540">
        <v>16.528598309020801</v>
      </c>
      <c r="AI3540">
        <v>93.834711594897101</v>
      </c>
      <c r="AJ3540">
        <v>93.534603468894005</v>
      </c>
      <c r="AK3540">
        <v>16.5972588500812</v>
      </c>
      <c r="AL3540">
        <v>78.520535048608295</v>
      </c>
      <c r="AM3540">
        <v>94.996546635399795</v>
      </c>
      <c r="AN3540">
        <v>0.99999993729135905</v>
      </c>
    </row>
    <row r="3541" spans="1:40" x14ac:dyDescent="0.25">
      <c r="A3541" t="str">
        <f>"20190304155126544"</f>
        <v>20190304155126544</v>
      </c>
      <c r="B3541" t="str">
        <f>"1551685886540554"</f>
        <v>1551685886540554</v>
      </c>
      <c r="C3541" t="s">
        <v>40</v>
      </c>
      <c r="D3541">
        <v>4.9738559999999996</v>
      </c>
      <c r="E3541">
        <v>0.50565280000000001</v>
      </c>
      <c r="F3541" t="s">
        <v>70</v>
      </c>
      <c r="G3541">
        <v>-372.1918</v>
      </c>
      <c r="H3541" s="1">
        <v>-3.7042930000000002E-7</v>
      </c>
      <c r="I3541">
        <v>214.1942</v>
      </c>
      <c r="J3541">
        <v>-389.33909999999997</v>
      </c>
      <c r="K3541">
        <v>1.110025</v>
      </c>
      <c r="L3541">
        <v>213.23150000000001</v>
      </c>
      <c r="M3541">
        <v>0.99992020000000004</v>
      </c>
      <c r="N3541">
        <v>-9.7127499999999992E-3</v>
      </c>
      <c r="O3541">
        <v>-8.0779500000000004E-3</v>
      </c>
      <c r="P3541">
        <v>0.97837220000000003</v>
      </c>
      <c r="Q3541">
        <v>0.19085170000000001</v>
      </c>
      <c r="R3541">
        <v>7.9768870000000006E-2</v>
      </c>
      <c r="S3541">
        <v>3.0895079999999999</v>
      </c>
      <c r="T3541">
        <v>-0.19634879999999999</v>
      </c>
      <c r="U3541">
        <v>0.16983029999999999</v>
      </c>
      <c r="V3541">
        <v>-8.7682410000000002E-2</v>
      </c>
      <c r="W3541">
        <v>0.20033329999999999</v>
      </c>
      <c r="X3541">
        <v>0.97579629999999995</v>
      </c>
      <c r="Y3541">
        <v>-6.2794139999999998E-2</v>
      </c>
      <c r="Z3541">
        <v>2.7315960000000002E-3</v>
      </c>
      <c r="AA3541">
        <v>0.99802270000000004</v>
      </c>
      <c r="AB3541">
        <v>33</v>
      </c>
      <c r="AC3541">
        <v>17.147299999999898</v>
      </c>
      <c r="AD3541">
        <v>-1.1100253704292999</v>
      </c>
      <c r="AE3541">
        <v>0.96269999999998401</v>
      </c>
      <c r="AF3541">
        <v>-1.0966091622124801</v>
      </c>
      <c r="AG3541">
        <v>-1.1100253704292999</v>
      </c>
      <c r="AH3541">
        <v>17.067664761196198</v>
      </c>
      <c r="AI3541">
        <v>93.713455010079997</v>
      </c>
      <c r="AJ3541">
        <v>93.676239980786093</v>
      </c>
      <c r="AK3541">
        <v>17.138841512139201</v>
      </c>
      <c r="AL3541">
        <v>78.443550142677793</v>
      </c>
      <c r="AM3541">
        <v>95.134653408199895</v>
      </c>
      <c r="AN3541">
        <v>1.0000000276029899</v>
      </c>
    </row>
    <row r="3542" spans="1:40" x14ac:dyDescent="0.25">
      <c r="A3542" t="str">
        <f>"20190304155126567"</f>
        <v>20190304155126567</v>
      </c>
      <c r="B3542" t="str">
        <f>"1551685886559783"</f>
        <v>1551685886559783</v>
      </c>
      <c r="C3542" t="s">
        <v>40</v>
      </c>
      <c r="D3542">
        <v>5.0106190000000002</v>
      </c>
      <c r="E3542">
        <v>0.47529969999999999</v>
      </c>
      <c r="F3542" t="s">
        <v>70</v>
      </c>
      <c r="G3542">
        <v>-371.22039999999998</v>
      </c>
      <c r="H3542" s="1">
        <v>-8.8733009999999903E-7</v>
      </c>
      <c r="I3542">
        <v>214.27189999999999</v>
      </c>
      <c r="J3542">
        <v>-388.99340000000001</v>
      </c>
      <c r="K3542">
        <v>1.110039</v>
      </c>
      <c r="L3542">
        <v>213.22880000000001</v>
      </c>
      <c r="M3542">
        <v>0.99992110000000001</v>
      </c>
      <c r="N3542">
        <v>-9.7180119999999998E-3</v>
      </c>
      <c r="O3542">
        <v>-7.9809890000000008E-3</v>
      </c>
      <c r="P3542">
        <v>0.97851129999999997</v>
      </c>
      <c r="Q3542">
        <v>0.1886863</v>
      </c>
      <c r="R3542">
        <v>8.3147109999999996E-2</v>
      </c>
      <c r="S3542">
        <v>3.0887449999999999</v>
      </c>
      <c r="T3542">
        <v>-0.18923010000000001</v>
      </c>
      <c r="U3542">
        <v>0.17735290000000001</v>
      </c>
      <c r="V3542">
        <v>-9.0979370000000004E-2</v>
      </c>
      <c r="W3542">
        <v>0.19816839999999999</v>
      </c>
      <c r="X3542">
        <v>0.97593649999999998</v>
      </c>
      <c r="Y3542">
        <v>-6.5139379999999997E-2</v>
      </c>
      <c r="Z3542">
        <v>2.7196640000000001E-3</v>
      </c>
      <c r="AA3542">
        <v>0.99787250000000005</v>
      </c>
      <c r="AB3542">
        <v>33</v>
      </c>
      <c r="AC3542">
        <v>17.773</v>
      </c>
      <c r="AD3542">
        <v>-1.1100398873301001</v>
      </c>
      <c r="AE3542">
        <v>1.0430999999999799</v>
      </c>
      <c r="AF3542">
        <v>-1.1803311154745499</v>
      </c>
      <c r="AG3542">
        <v>-1.1100398873301001</v>
      </c>
      <c r="AH3542">
        <v>17.6953192673319</v>
      </c>
      <c r="AI3542">
        <v>93.581563204530795</v>
      </c>
      <c r="AJ3542">
        <v>93.816148120235894</v>
      </c>
      <c r="AK3542">
        <v>17.769347035454899</v>
      </c>
      <c r="AL3542">
        <v>78.570127624505005</v>
      </c>
      <c r="AM3542">
        <v>95.325870919932399</v>
      </c>
      <c r="AN3542">
        <v>1.0000000062782</v>
      </c>
    </row>
    <row r="3543" spans="1:40" x14ac:dyDescent="0.25">
      <c r="A3543" t="str">
        <f>"20190304155126590"</f>
        <v>20190304155126590</v>
      </c>
      <c r="B3543" t="str">
        <f>"1551685886580278"</f>
        <v>1551685886580278</v>
      </c>
      <c r="C3543" t="s">
        <v>40</v>
      </c>
      <c r="D3543">
        <v>4.9178610000000003</v>
      </c>
      <c r="E3543">
        <v>0.46959000000000001</v>
      </c>
      <c r="F3543" t="s">
        <v>70</v>
      </c>
      <c r="G3543">
        <v>-372.94589999999999</v>
      </c>
      <c r="H3543" s="1">
        <v>3.0867199999999999E-8</v>
      </c>
      <c r="I3543">
        <v>215.4742</v>
      </c>
      <c r="J3543">
        <v>-388.65600000000001</v>
      </c>
      <c r="K3543">
        <v>1.1100479999999999</v>
      </c>
      <c r="L3543">
        <v>213.22620000000001</v>
      </c>
      <c r="M3543">
        <v>0.99992199999999998</v>
      </c>
      <c r="N3543">
        <v>-9.7231790000000002E-3</v>
      </c>
      <c r="O3543">
        <v>-7.8591549999999996E-3</v>
      </c>
      <c r="P3543">
        <v>0.97861109999999896</v>
      </c>
      <c r="Q3543">
        <v>0.1869972</v>
      </c>
      <c r="R3543">
        <v>8.5747829999999997E-2</v>
      </c>
      <c r="S3543">
        <v>3.0703429999999998</v>
      </c>
      <c r="T3543">
        <v>-0.21238170000000001</v>
      </c>
      <c r="U3543">
        <v>0.42959589999999998</v>
      </c>
      <c r="V3543">
        <v>-9.3472319999999998E-2</v>
      </c>
      <c r="W3543">
        <v>0.19647990000000001</v>
      </c>
      <c r="X3543">
        <v>0.97604230000000003</v>
      </c>
      <c r="Y3543">
        <v>-0.14594279999999901</v>
      </c>
      <c r="Z3543">
        <v>6.1955949999999999E-3</v>
      </c>
      <c r="AA3543">
        <v>0.98927359999999998</v>
      </c>
      <c r="AB3543">
        <v>33</v>
      </c>
      <c r="AC3543">
        <v>15.710100000000001</v>
      </c>
      <c r="AD3543">
        <v>-1.1100479691328</v>
      </c>
      <c r="AE3543">
        <v>2.24799999999999</v>
      </c>
      <c r="AF3543">
        <v>-2.3598590929251899</v>
      </c>
      <c r="AG3543">
        <v>-1.1100479691328</v>
      </c>
      <c r="AH3543">
        <v>15.615548860391399</v>
      </c>
      <c r="AI3543">
        <v>94.020592270482993</v>
      </c>
      <c r="AJ3543">
        <v>98.593648446072294</v>
      </c>
      <c r="AK3543">
        <v>15.8318194672472</v>
      </c>
      <c r="AL3543">
        <v>78.668811772243998</v>
      </c>
      <c r="AM3543">
        <v>95.470343358972002</v>
      </c>
      <c r="AN3543">
        <v>0.99999999854974098</v>
      </c>
    </row>
    <row r="3544" spans="1:40" x14ac:dyDescent="0.25">
      <c r="A3544" t="str">
        <f>"20190304155126611"</f>
        <v>20190304155126611</v>
      </c>
      <c r="B3544" t="str">
        <f>"1551685886599798"</f>
        <v>1551685886599798</v>
      </c>
      <c r="C3544" t="s">
        <v>40</v>
      </c>
      <c r="D3544">
        <v>4.9687039999999998</v>
      </c>
      <c r="E3544">
        <v>0.46777410000000003</v>
      </c>
      <c r="F3544" t="s">
        <v>70</v>
      </c>
      <c r="G3544">
        <v>-373.32330000000002</v>
      </c>
      <c r="H3544" s="1">
        <v>2.316952E-7</v>
      </c>
      <c r="I3544">
        <v>215.64599999999999</v>
      </c>
      <c r="J3544">
        <v>-388.3365</v>
      </c>
      <c r="K3544">
        <v>1.110039</v>
      </c>
      <c r="L3544">
        <v>213.22380000000001</v>
      </c>
      <c r="M3544">
        <v>0.9999228</v>
      </c>
      <c r="N3544">
        <v>-9.7281539999999993E-3</v>
      </c>
      <c r="O3544">
        <v>-7.7255989999999997E-3</v>
      </c>
      <c r="P3544">
        <v>0.97907690000000003</v>
      </c>
      <c r="Q3544">
        <v>0.18414520000000001</v>
      </c>
      <c r="R3544">
        <v>8.6596259999999994E-2</v>
      </c>
      <c r="S3544">
        <v>3.065582</v>
      </c>
      <c r="T3544">
        <v>-0.22194030000000001</v>
      </c>
      <c r="U3544">
        <v>0.48381039999999997</v>
      </c>
      <c r="V3544">
        <v>-9.420104E-2</v>
      </c>
      <c r="W3544">
        <v>0.19363369999999999</v>
      </c>
      <c r="X3544">
        <v>0.97654090000000005</v>
      </c>
      <c r="Y3544">
        <v>-0.16302900000000001</v>
      </c>
      <c r="Z3544">
        <v>7.1372919999999999E-3</v>
      </c>
      <c r="AA3544">
        <v>0.98659549999999996</v>
      </c>
      <c r="AB3544">
        <v>33</v>
      </c>
      <c r="AC3544">
        <v>15.0131999999999</v>
      </c>
      <c r="AD3544">
        <v>-1.1100387683048001</v>
      </c>
      <c r="AE3544">
        <v>2.4221999999999699</v>
      </c>
      <c r="AF3544">
        <v>-2.5246675644671699</v>
      </c>
      <c r="AG3544">
        <v>-1.1100387683048001</v>
      </c>
      <c r="AH3544">
        <v>14.9145722417123</v>
      </c>
      <c r="AI3544">
        <v>94.196986297868506</v>
      </c>
      <c r="AJ3544">
        <v>99.607680320385199</v>
      </c>
      <c r="AK3544">
        <v>15.167418947581901</v>
      </c>
      <c r="AL3544">
        <v>78.835080663623103</v>
      </c>
      <c r="AM3544">
        <v>95.5099316693898</v>
      </c>
      <c r="AN3544">
        <v>0.99999998754278996</v>
      </c>
    </row>
    <row r="3545" spans="1:40" x14ac:dyDescent="0.25">
      <c r="A3545" t="str">
        <f>"20190304155126633"</f>
        <v>20190304155126633</v>
      </c>
      <c r="B3545" t="str">
        <f>"1551685886630054"</f>
        <v>1551685886630054</v>
      </c>
      <c r="C3545" t="s">
        <v>40</v>
      </c>
      <c r="D3545">
        <v>4.9477339999999996</v>
      </c>
      <c r="E3545">
        <v>0.46718690000000002</v>
      </c>
      <c r="F3545" t="s">
        <v>70</v>
      </c>
      <c r="G3545">
        <v>-373.8</v>
      </c>
      <c r="H3545" s="1">
        <v>4.8535180000000001E-7</v>
      </c>
      <c r="I3545">
        <v>215.6157</v>
      </c>
      <c r="J3545">
        <v>-388.00119999999998</v>
      </c>
      <c r="K3545">
        <v>1.110042</v>
      </c>
      <c r="L3545">
        <v>213.22139999999999</v>
      </c>
      <c r="M3545">
        <v>0.99992409999999998</v>
      </c>
      <c r="N3545">
        <v>-9.7335129999999992E-3</v>
      </c>
      <c r="O3545">
        <v>-7.5711260000000001E-3</v>
      </c>
      <c r="P3545">
        <v>0.97949540000000002</v>
      </c>
      <c r="Q3545">
        <v>0.1818931</v>
      </c>
      <c r="R3545">
        <v>8.6625640000000004E-2</v>
      </c>
      <c r="S3545">
        <v>3.0635379999999999</v>
      </c>
      <c r="T3545">
        <v>-0.23393820000000001</v>
      </c>
      <c r="U3545">
        <v>0.50408940000000002</v>
      </c>
      <c r="V3545">
        <v>-9.4087260000000006E-2</v>
      </c>
      <c r="W3545">
        <v>0.19138810000000001</v>
      </c>
      <c r="X3545">
        <v>0.97699449999999999</v>
      </c>
      <c r="Y3545">
        <v>-0.169269</v>
      </c>
      <c r="Z3545">
        <v>7.7416439999999998E-3</v>
      </c>
      <c r="AA3545">
        <v>0.98553950000000001</v>
      </c>
      <c r="AB3545">
        <v>34</v>
      </c>
      <c r="AC3545">
        <v>14.201199999999901</v>
      </c>
      <c r="AD3545">
        <v>-1.1100415146481999</v>
      </c>
      <c r="AE3545">
        <v>2.3943000000000101</v>
      </c>
      <c r="AF3545">
        <v>-2.4869805082858099</v>
      </c>
      <c r="AG3545">
        <v>-1.1100415146481999</v>
      </c>
      <c r="AH3545">
        <v>14.0989037174541</v>
      </c>
      <c r="AI3545">
        <v>94.433583191692904</v>
      </c>
      <c r="AJ3545">
        <v>100.00379694913499</v>
      </c>
      <c r="AK3545">
        <v>14.35953865021</v>
      </c>
      <c r="AL3545">
        <v>78.966197177271795</v>
      </c>
      <c r="AM3545">
        <v>95.500778011982305</v>
      </c>
      <c r="AN3545">
        <v>1.00000003517308</v>
      </c>
    </row>
    <row r="3546" spans="1:40" x14ac:dyDescent="0.25">
      <c r="A3546" t="str">
        <f>"20190304155126655"</f>
        <v>20190304155126655</v>
      </c>
      <c r="B3546" t="str">
        <f>"1551685886650551"</f>
        <v>1551685886650551</v>
      </c>
      <c r="C3546" t="s">
        <v>40</v>
      </c>
      <c r="D3546">
        <v>4.9485700000000001</v>
      </c>
      <c r="E3546">
        <v>0.46732610000000002</v>
      </c>
      <c r="F3546" t="s">
        <v>70</v>
      </c>
      <c r="G3546">
        <v>-373.93849999999998</v>
      </c>
      <c r="H3546" s="1">
        <v>5.5909439999999999E-7</v>
      </c>
      <c r="I3546">
        <v>215.56880000000001</v>
      </c>
      <c r="J3546">
        <v>-387.6671</v>
      </c>
      <c r="K3546">
        <v>1.110055</v>
      </c>
      <c r="L3546">
        <v>213.21899999999999</v>
      </c>
      <c r="M3546">
        <v>0.99992530000000002</v>
      </c>
      <c r="N3546">
        <v>-9.7386650000000005E-3</v>
      </c>
      <c r="O3546">
        <v>-7.4088309999999899E-3</v>
      </c>
      <c r="P3546">
        <v>0.97913220000000001</v>
      </c>
      <c r="Q3546">
        <v>0.18341379999999999</v>
      </c>
      <c r="R3546">
        <v>8.751929E-2</v>
      </c>
      <c r="S3546">
        <v>3.0625309999999999</v>
      </c>
      <c r="T3546">
        <v>-0.24174129999999999</v>
      </c>
      <c r="U3546">
        <v>0.51119999999999999</v>
      </c>
      <c r="V3546">
        <v>-9.4822470000000006E-2</v>
      </c>
      <c r="W3546">
        <v>0.192909</v>
      </c>
      <c r="X3546">
        <v>0.97662420000000005</v>
      </c>
      <c r="Y3546">
        <v>-0.17134479999999999</v>
      </c>
      <c r="Z3546">
        <v>8.055843E-3</v>
      </c>
      <c r="AA3546">
        <v>0.9851782</v>
      </c>
      <c r="AB3546">
        <v>34</v>
      </c>
      <c r="AC3546">
        <v>13.7286</v>
      </c>
      <c r="AD3546">
        <v>-1.1100544409055999</v>
      </c>
      <c r="AE3546">
        <v>2.3497999999999801</v>
      </c>
      <c r="AF3546">
        <v>-2.43598036373767</v>
      </c>
      <c r="AG3546">
        <v>-1.1100544409055999</v>
      </c>
      <c r="AH3546">
        <v>13.624274625007599</v>
      </c>
      <c r="AI3546">
        <v>94.585552569511904</v>
      </c>
      <c r="AJ3546">
        <v>100.137199870787</v>
      </c>
      <c r="AK3546">
        <v>13.884778725349401</v>
      </c>
      <c r="AL3546">
        <v>78.877401052158802</v>
      </c>
      <c r="AM3546">
        <v>95.545583873381403</v>
      </c>
      <c r="AN3546">
        <v>1.0000000055617699</v>
      </c>
    </row>
    <row r="3547" spans="1:40" x14ac:dyDescent="0.25">
      <c r="A3547" t="str">
        <f>"20190304155126680"</f>
        <v>20190304155126680</v>
      </c>
      <c r="B3547" t="str">
        <f>"1551685886670256"</f>
        <v>1551685886670256</v>
      </c>
      <c r="C3547" t="s">
        <v>40</v>
      </c>
      <c r="D3547">
        <v>5.1287969999999996</v>
      </c>
      <c r="E3547">
        <v>0.46755429999999998</v>
      </c>
      <c r="F3547" t="s">
        <v>70</v>
      </c>
      <c r="G3547">
        <v>-373.3922</v>
      </c>
      <c r="H3547" s="1">
        <v>2.6838690000000001E-7</v>
      </c>
      <c r="I3547">
        <v>215.60980000000001</v>
      </c>
      <c r="J3547">
        <v>-387.31259999999997</v>
      </c>
      <c r="K3547">
        <v>1.1100749999999999</v>
      </c>
      <c r="L3547">
        <v>213.2166</v>
      </c>
      <c r="M3547">
        <v>0.99992639999999999</v>
      </c>
      <c r="N3547">
        <v>-9.7441520000000007E-3</v>
      </c>
      <c r="O3547">
        <v>-7.2333249999999997E-3</v>
      </c>
      <c r="P3547">
        <v>0.97898609999999997</v>
      </c>
      <c r="Q3547">
        <v>0.18443010000000001</v>
      </c>
      <c r="R3547">
        <v>8.701739E-2</v>
      </c>
      <c r="S3547">
        <v>3.0627140000000002</v>
      </c>
      <c r="T3547">
        <v>-0.23816570000000001</v>
      </c>
      <c r="U3547">
        <v>0.51293949999999999</v>
      </c>
      <c r="V3547">
        <v>-9.4150750000000005E-2</v>
      </c>
      <c r="W3547">
        <v>0.1939284</v>
      </c>
      <c r="X3547">
        <v>0.97648729999999995</v>
      </c>
      <c r="Y3547">
        <v>-0.17172270000000001</v>
      </c>
      <c r="Z3547">
        <v>7.9526639999999999E-3</v>
      </c>
      <c r="AA3547">
        <v>0.98511320000000002</v>
      </c>
      <c r="AB3547">
        <v>34</v>
      </c>
      <c r="AC3547">
        <v>13.9203999999999</v>
      </c>
      <c r="AD3547">
        <v>-1.1100747316131001</v>
      </c>
      <c r="AE3547">
        <v>2.3932000000000002</v>
      </c>
      <c r="AF3547">
        <v>-2.47852404270931</v>
      </c>
      <c r="AG3547">
        <v>-1.1100747316131001</v>
      </c>
      <c r="AH3547">
        <v>13.8173795002396</v>
      </c>
      <c r="AI3547">
        <v>94.521363744079096</v>
      </c>
      <c r="AJ3547">
        <v>100.169410839809</v>
      </c>
      <c r="AK3547">
        <v>14.081737236353099</v>
      </c>
      <c r="AL3547">
        <v>78.817869693273096</v>
      </c>
      <c r="AM3547">
        <v>95.507308659309899</v>
      </c>
      <c r="AN3547">
        <v>1.0000000175567001</v>
      </c>
    </row>
    <row r="3548" spans="1:40" x14ac:dyDescent="0.25">
      <c r="A3548" t="str">
        <f>"20190304155126702"</f>
        <v>20190304155126702</v>
      </c>
      <c r="B3548" t="str">
        <f>"1551685886689777"</f>
        <v>1551685886689777</v>
      </c>
      <c r="C3548" t="s">
        <v>40</v>
      </c>
      <c r="D3548">
        <v>5.1425970000000003</v>
      </c>
      <c r="E3548">
        <v>0.46714159999999999</v>
      </c>
      <c r="F3548" t="s">
        <v>70</v>
      </c>
      <c r="G3548">
        <v>-373.08280000000002</v>
      </c>
      <c r="H3548" s="1">
        <v>1.037136E-7</v>
      </c>
      <c r="I3548">
        <v>215.58420000000001</v>
      </c>
      <c r="J3548">
        <v>-386.96690000000001</v>
      </c>
      <c r="K3548">
        <v>1.1101110000000001</v>
      </c>
      <c r="L3548">
        <v>213.21420000000001</v>
      </c>
      <c r="M3548">
        <v>0.99992760000000003</v>
      </c>
      <c r="N3548">
        <v>-9.7495789999999995E-3</v>
      </c>
      <c r="O3548">
        <v>-7.0622430000000002E-3</v>
      </c>
      <c r="P3548">
        <v>0.97824120000000003</v>
      </c>
      <c r="Q3548">
        <v>0.1889296</v>
      </c>
      <c r="R3548">
        <v>8.573161E-2</v>
      </c>
      <c r="S3548">
        <v>3.064117</v>
      </c>
      <c r="T3548">
        <v>-0.23903350000000001</v>
      </c>
      <c r="U3548">
        <v>0.50982669999999997</v>
      </c>
      <c r="V3548">
        <v>-9.2695239999999998E-2</v>
      </c>
      <c r="W3548">
        <v>0.1984255</v>
      </c>
      <c r="X3548">
        <v>0.9757228</v>
      </c>
      <c r="Y3548">
        <v>-0.17050770000000001</v>
      </c>
      <c r="Z3548">
        <v>7.9118899999999995E-3</v>
      </c>
      <c r="AA3548">
        <v>0.98532459999999999</v>
      </c>
      <c r="AB3548">
        <v>34</v>
      </c>
      <c r="AC3548">
        <v>13.884099999999901</v>
      </c>
      <c r="AD3548">
        <v>-1.1101108962863999</v>
      </c>
      <c r="AE3548">
        <v>2.37</v>
      </c>
      <c r="AF3548">
        <v>-2.4527621499111198</v>
      </c>
      <c r="AG3548">
        <v>-1.1101108962863999</v>
      </c>
      <c r="AH3548">
        <v>13.781406861577</v>
      </c>
      <c r="AI3548">
        <v>94.534358801290907</v>
      </c>
      <c r="AJ3548">
        <v>100.091616961638</v>
      </c>
      <c r="AK3548">
        <v>14.0419216437926</v>
      </c>
      <c r="AL3548">
        <v>78.555098757145799</v>
      </c>
      <c r="AM3548">
        <v>95.426904099298497</v>
      </c>
      <c r="AN3548">
        <v>1.00000003450437</v>
      </c>
    </row>
    <row r="3549" spans="1:40" x14ac:dyDescent="0.25">
      <c r="A3549" t="str">
        <f>"20190304155126722"</f>
        <v>20190304155126722</v>
      </c>
      <c r="B3549" t="str">
        <f>"1551685886720033"</f>
        <v>1551685886720033</v>
      </c>
      <c r="C3549" t="s">
        <v>40</v>
      </c>
      <c r="D3549">
        <v>5.0343939999999998</v>
      </c>
      <c r="E3549">
        <v>0.46689570000000002</v>
      </c>
      <c r="F3549" t="s">
        <v>70</v>
      </c>
      <c r="G3549">
        <v>-371.83839999999998</v>
      </c>
      <c r="H3549" s="1">
        <v>-5.5848050000000002E-7</v>
      </c>
      <c r="I3549">
        <v>215.73050000000001</v>
      </c>
      <c r="J3549">
        <v>-386.65589999999997</v>
      </c>
      <c r="K3549">
        <v>1.110139</v>
      </c>
      <c r="L3549">
        <v>213.2122</v>
      </c>
      <c r="M3549">
        <v>0.9999287</v>
      </c>
      <c r="N3549">
        <v>-9.7546349999999993E-3</v>
      </c>
      <c r="O3549">
        <v>-6.9101240000000001E-3</v>
      </c>
      <c r="P3549">
        <v>0.97732940000000001</v>
      </c>
      <c r="Q3549">
        <v>0.19413420000000001</v>
      </c>
      <c r="R3549">
        <v>8.4495760000000003E-2</v>
      </c>
      <c r="S3549">
        <v>3.0654599999999999</v>
      </c>
      <c r="T3549">
        <v>-0.22493920000000001</v>
      </c>
      <c r="U3549">
        <v>0.5098724</v>
      </c>
      <c r="V3549">
        <v>-9.1307310000000003E-2</v>
      </c>
      <c r="W3549">
        <v>0.20362569999999999</v>
      </c>
      <c r="X3549">
        <v>0.97478180000000003</v>
      </c>
      <c r="Y3549">
        <v>-0.17036679999999901</v>
      </c>
      <c r="Z3549">
        <v>7.4738290000000004E-3</v>
      </c>
      <c r="AA3549">
        <v>0.98535229999999996</v>
      </c>
      <c r="AB3549">
        <v>34</v>
      </c>
      <c r="AC3549">
        <v>14.8174999999999</v>
      </c>
      <c r="AD3549">
        <v>-1.1101395584805001</v>
      </c>
      <c r="AE3549">
        <v>2.5183</v>
      </c>
      <c r="AF3549">
        <v>-2.6064160509193699</v>
      </c>
      <c r="AG3549">
        <v>-1.1101395584805001</v>
      </c>
      <c r="AH3549">
        <v>14.7194409380823</v>
      </c>
      <c r="AI3549">
        <v>94.247254890413103</v>
      </c>
      <c r="AJ3549">
        <v>100.04145141271199</v>
      </c>
      <c r="AK3549">
        <v>14.989588253167099</v>
      </c>
      <c r="AL3549">
        <v>78.250939393227597</v>
      </c>
      <c r="AM3549">
        <v>95.351252078144398</v>
      </c>
      <c r="AN3549">
        <v>1.0000000040855801</v>
      </c>
    </row>
    <row r="3550" spans="1:40" x14ac:dyDescent="0.25">
      <c r="A3550" t="str">
        <f>"20190304155126745"</f>
        <v>20190304155126745</v>
      </c>
      <c r="B3550" t="str">
        <f>"1551685886740529"</f>
        <v>1551685886740529</v>
      </c>
      <c r="C3550" t="s">
        <v>40</v>
      </c>
      <c r="D3550">
        <v>4.9443919999999997</v>
      </c>
      <c r="E3550">
        <v>0.46682669999999998</v>
      </c>
      <c r="F3550" t="s">
        <v>70</v>
      </c>
      <c r="G3550">
        <v>-370.3852</v>
      </c>
      <c r="H3550" s="1">
        <v>-1.3318070000000001E-6</v>
      </c>
      <c r="I3550">
        <v>215.90729999999999</v>
      </c>
      <c r="J3550">
        <v>-386.31810000000002</v>
      </c>
      <c r="K3550">
        <v>1.1101540000000001</v>
      </c>
      <c r="L3550">
        <v>213.21</v>
      </c>
      <c r="M3550">
        <v>0.99992970000000003</v>
      </c>
      <c r="N3550">
        <v>-9.7600610000000004E-3</v>
      </c>
      <c r="O3550">
        <v>-6.746564E-3</v>
      </c>
      <c r="P3550">
        <v>0.97688370000000002</v>
      </c>
      <c r="Q3550">
        <v>0.19665369999999999</v>
      </c>
      <c r="R3550">
        <v>8.3817820000000001E-2</v>
      </c>
      <c r="S3550">
        <v>3.0672299999999999</v>
      </c>
      <c r="T3550">
        <v>-0.20927480000000001</v>
      </c>
      <c r="U3550">
        <v>0.50805659999999997</v>
      </c>
      <c r="V3550">
        <v>-9.0468789999999993E-2</v>
      </c>
      <c r="W3550">
        <v>0.20614560000000001</v>
      </c>
      <c r="X3550">
        <v>0.97433020000000004</v>
      </c>
      <c r="Y3550">
        <v>-0.16961470000000001</v>
      </c>
      <c r="Z3550">
        <v>6.9664770000000004E-3</v>
      </c>
      <c r="AA3550">
        <v>0.98548590000000003</v>
      </c>
      <c r="AB3550">
        <v>34</v>
      </c>
      <c r="AC3550">
        <v>15.9329</v>
      </c>
      <c r="AD3550">
        <v>-1.1101553318070001</v>
      </c>
      <c r="AE3550">
        <v>2.6972999999999798</v>
      </c>
      <c r="AF3550">
        <v>-2.7915609668008199</v>
      </c>
      <c r="AG3550">
        <v>-1.1101553318070001</v>
      </c>
      <c r="AH3550">
        <v>15.8395823228454</v>
      </c>
      <c r="AI3550">
        <v>93.948501688807795</v>
      </c>
      <c r="AJ3550">
        <v>99.995141940987494</v>
      </c>
      <c r="AK3550">
        <v>16.121960974220901</v>
      </c>
      <c r="AL3550">
        <v>78.103430089692694</v>
      </c>
      <c r="AM3550">
        <v>95.304833918132005</v>
      </c>
      <c r="AN3550">
        <v>0.99999997449773104</v>
      </c>
    </row>
    <row r="3551" spans="1:40" x14ac:dyDescent="0.25">
      <c r="A3551" t="str">
        <f>"20190304155126768"</f>
        <v>20190304155126768</v>
      </c>
      <c r="B3551" t="str">
        <f>"1551685886760049"</f>
        <v>1551685886760049</v>
      </c>
      <c r="C3551" t="s">
        <v>40</v>
      </c>
      <c r="D3551">
        <v>4.9495649999999998</v>
      </c>
      <c r="E3551">
        <v>0.46691369999999999</v>
      </c>
      <c r="F3551" t="s">
        <v>70</v>
      </c>
      <c r="G3551">
        <v>-369.4787</v>
      </c>
      <c r="H3551" s="1">
        <v>3.5073139999999998E-6</v>
      </c>
      <c r="I3551">
        <v>215.98429999999999</v>
      </c>
      <c r="J3551">
        <v>-385.96749999999997</v>
      </c>
      <c r="K3551">
        <v>1.1101620000000001</v>
      </c>
      <c r="L3551">
        <v>213.20779999999999</v>
      </c>
      <c r="M3551">
        <v>0.99993080000000001</v>
      </c>
      <c r="N3551">
        <v>-9.7656570000000005E-3</v>
      </c>
      <c r="O3551">
        <v>-6.5782409999999899E-3</v>
      </c>
      <c r="P3551">
        <v>0.97643360000000001</v>
      </c>
      <c r="Q3551">
        <v>0.19881389999999999</v>
      </c>
      <c r="R3551">
        <v>8.3970669999999997E-2</v>
      </c>
      <c r="S3551">
        <v>3.068298</v>
      </c>
      <c r="T3551">
        <v>-0.20228080000000001</v>
      </c>
      <c r="U3551">
        <v>0.50550839999999997</v>
      </c>
      <c r="V3551">
        <v>-9.045665E-2</v>
      </c>
      <c r="W3551">
        <v>0.20830679999999999</v>
      </c>
      <c r="X3551">
        <v>0.97387159999999995</v>
      </c>
      <c r="Y3551">
        <v>-0.16862750000000001</v>
      </c>
      <c r="Z3551">
        <v>6.7119279999999998E-3</v>
      </c>
      <c r="AA3551">
        <v>0.98565700000000001</v>
      </c>
      <c r="AB3551">
        <v>34</v>
      </c>
      <c r="AC3551">
        <v>16.488799999999902</v>
      </c>
      <c r="AD3551">
        <v>-1.110158492686</v>
      </c>
      <c r="AE3551">
        <v>2.7764999999999902</v>
      </c>
      <c r="AF3551">
        <v>-2.8722512748262599</v>
      </c>
      <c r="AG3551">
        <v>-1.110158492686</v>
      </c>
      <c r="AH3551">
        <v>16.397894666913999</v>
      </c>
      <c r="AI3551">
        <v>93.815178547669802</v>
      </c>
      <c r="AJ3551">
        <v>99.935126774912703</v>
      </c>
      <c r="AK3551">
        <v>16.684520633564201</v>
      </c>
      <c r="AL3551">
        <v>77.976855301430206</v>
      </c>
      <c r="AM3551">
        <v>95.306609601299598</v>
      </c>
      <c r="AN3551">
        <v>1.0000000108710101</v>
      </c>
    </row>
    <row r="3552" spans="1:40" x14ac:dyDescent="0.25">
      <c r="A3552" t="str">
        <f>"20190304155126792"</f>
        <v>20190304155126792</v>
      </c>
      <c r="B3552" t="str">
        <f>"1551685886780545"</f>
        <v>1551685886780545</v>
      </c>
      <c r="C3552" t="s">
        <v>40</v>
      </c>
      <c r="D3552">
        <v>5.33995</v>
      </c>
      <c r="E3552">
        <v>0.46701779999999998</v>
      </c>
      <c r="F3552" t="s">
        <v>70</v>
      </c>
      <c r="G3552">
        <v>-368.51659999999998</v>
      </c>
      <c r="H3552" s="1">
        <v>2.9953419999999998E-6</v>
      </c>
      <c r="I3552">
        <v>216.07470000000001</v>
      </c>
      <c r="J3552">
        <v>-385.61509999999998</v>
      </c>
      <c r="K3552">
        <v>1.110152</v>
      </c>
      <c r="L3552">
        <v>213.20570000000001</v>
      </c>
      <c r="M3552">
        <v>0.99993160000000003</v>
      </c>
      <c r="N3552">
        <v>-9.7713030000000003E-3</v>
      </c>
      <c r="O3552">
        <v>-6.4100429999999998E-3</v>
      </c>
      <c r="P3552">
        <v>0.97653120000000004</v>
      </c>
      <c r="Q3552">
        <v>0.1987053</v>
      </c>
      <c r="R3552">
        <v>8.3084140000000001E-2</v>
      </c>
      <c r="S3552">
        <v>3.0688170000000001</v>
      </c>
      <c r="T3552">
        <v>-0.19522639999999999</v>
      </c>
      <c r="U3552">
        <v>0.5041504</v>
      </c>
      <c r="V3552">
        <v>-8.9407719999999996E-2</v>
      </c>
      <c r="W3552">
        <v>0.20820469999999999</v>
      </c>
      <c r="X3552">
        <v>0.97399029999999998</v>
      </c>
      <c r="Y3552">
        <v>-0.1680391</v>
      </c>
      <c r="Z3552">
        <v>6.4741209999999898E-3</v>
      </c>
      <c r="AA3552">
        <v>0.9857591</v>
      </c>
      <c r="AB3552">
        <v>34</v>
      </c>
      <c r="AC3552">
        <v>17.098500000000001</v>
      </c>
      <c r="AD3552">
        <v>-1.110149004658</v>
      </c>
      <c r="AE3552">
        <v>2.8690000000000002</v>
      </c>
      <c r="AF3552">
        <v>-2.9663861123551301</v>
      </c>
      <c r="AG3552">
        <v>-1.110149004658</v>
      </c>
      <c r="AH3552">
        <v>17.0100156278837</v>
      </c>
      <c r="AI3552">
        <v>93.678716973596295</v>
      </c>
      <c r="AJ3552">
        <v>99.892361135843302</v>
      </c>
      <c r="AK3552">
        <v>17.302384490033901</v>
      </c>
      <c r="AL3552">
        <v>77.982836461731694</v>
      </c>
      <c r="AM3552">
        <v>95.244784027249693</v>
      </c>
      <c r="AN3552">
        <v>1.0000000209958799</v>
      </c>
    </row>
    <row r="3553" spans="1:40" x14ac:dyDescent="0.25">
      <c r="A3553" t="str">
        <f>"20190304155126812"</f>
        <v>20190304155126812</v>
      </c>
      <c r="B3553" t="str">
        <f>"1551685886809825"</f>
        <v>1551685886809825</v>
      </c>
      <c r="C3553" t="s">
        <v>40</v>
      </c>
      <c r="D3553">
        <v>5.081499</v>
      </c>
      <c r="E3553">
        <v>0.46691650000000001</v>
      </c>
      <c r="F3553" t="s">
        <v>70</v>
      </c>
      <c r="G3553">
        <v>-367.91899999999998</v>
      </c>
      <c r="H3553" s="1">
        <v>2.6772980000000001E-6</v>
      </c>
      <c r="I3553">
        <v>216.09129999999999</v>
      </c>
      <c r="J3553">
        <v>-385.3021</v>
      </c>
      <c r="K3553">
        <v>1.1101299999999901</v>
      </c>
      <c r="L3553">
        <v>213.2038</v>
      </c>
      <c r="M3553">
        <v>0.99993279999999995</v>
      </c>
      <c r="N3553">
        <v>-9.7763290000000003E-3</v>
      </c>
      <c r="O3553">
        <v>-6.2606859999999997E-3</v>
      </c>
      <c r="P3553">
        <v>0.97760780000000003</v>
      </c>
      <c r="Q3553">
        <v>0.1929351</v>
      </c>
      <c r="R3553">
        <v>8.4019200000000002E-2</v>
      </c>
      <c r="S3553">
        <v>3.0687259999999998</v>
      </c>
      <c r="T3553">
        <v>-0.1925135</v>
      </c>
      <c r="U3553">
        <v>0.50041199999999997</v>
      </c>
      <c r="V3553">
        <v>-9.0202080000000004E-2</v>
      </c>
      <c r="W3553">
        <v>0.20244960000000001</v>
      </c>
      <c r="X3553">
        <v>0.97512960000000004</v>
      </c>
      <c r="Y3553">
        <v>-0.16674</v>
      </c>
      <c r="Z3553">
        <v>6.3412429999999999E-3</v>
      </c>
      <c r="AA3553">
        <v>0.98598050000000004</v>
      </c>
      <c r="AB3553">
        <v>34</v>
      </c>
      <c r="AC3553">
        <v>17.383099999999899</v>
      </c>
      <c r="AD3553">
        <v>-1.1101273227020001</v>
      </c>
      <c r="AE3553">
        <v>2.8874999999999802</v>
      </c>
      <c r="AF3553">
        <v>-2.98443379441234</v>
      </c>
      <c r="AG3553">
        <v>-1.1101273227020001</v>
      </c>
      <c r="AH3553">
        <v>17.296034452664799</v>
      </c>
      <c r="AI3553">
        <v>93.619094203643002</v>
      </c>
      <c r="AJ3553">
        <v>99.789995458438199</v>
      </c>
      <c r="AK3553">
        <v>17.5867005300485</v>
      </c>
      <c r="AL3553">
        <v>78.319758307230998</v>
      </c>
      <c r="AM3553">
        <v>95.284972098806406</v>
      </c>
      <c r="AN3553">
        <v>0.99999999628632297</v>
      </c>
    </row>
    <row r="3554" spans="1:40" x14ac:dyDescent="0.25">
      <c r="A3554" t="str">
        <f>"20190304155126833"</f>
        <v>20190304155126833</v>
      </c>
      <c r="B3554" t="str">
        <f>"1551685886830321"</f>
        <v>1551685886830321</v>
      </c>
      <c r="C3554" t="s">
        <v>40</v>
      </c>
      <c r="D3554">
        <v>4.9241380000000001</v>
      </c>
      <c r="E3554">
        <v>0.52440569999999997</v>
      </c>
      <c r="F3554" t="s">
        <v>70</v>
      </c>
      <c r="G3554">
        <v>-369.18150000000003</v>
      </c>
      <c r="H3554" s="1">
        <v>3.3491210000000002E-6</v>
      </c>
      <c r="I3554">
        <v>215.85040000000001</v>
      </c>
      <c r="J3554">
        <v>-384.98770000000002</v>
      </c>
      <c r="K3554">
        <v>1.1100989999999999</v>
      </c>
      <c r="L3554">
        <v>213.202</v>
      </c>
      <c r="M3554">
        <v>0.99993359999999998</v>
      </c>
      <c r="N3554">
        <v>-9.7813529999999996E-3</v>
      </c>
      <c r="O3554">
        <v>-6.1104990000000001E-3</v>
      </c>
      <c r="P3554">
        <v>0.97870029999999997</v>
      </c>
      <c r="Q3554">
        <v>0.18712480000000001</v>
      </c>
      <c r="R3554">
        <v>8.4441829999999996E-2</v>
      </c>
      <c r="S3554">
        <v>3.0671390000000001</v>
      </c>
      <c r="T3554">
        <v>-0.21121409999999999</v>
      </c>
      <c r="U3554">
        <v>0.50353999999999999</v>
      </c>
      <c r="V3554">
        <v>-9.048349E-2</v>
      </c>
      <c r="W3554">
        <v>0.19665489999999999</v>
      </c>
      <c r="X3554">
        <v>0.97628870000000001</v>
      </c>
      <c r="Y3554">
        <v>-0.167577799999999</v>
      </c>
      <c r="Z3554">
        <v>6.9093640000000003E-3</v>
      </c>
      <c r="AA3554">
        <v>0.98583469999999995</v>
      </c>
      <c r="AB3554">
        <v>34</v>
      </c>
      <c r="AC3554">
        <v>15.806199999999899</v>
      </c>
      <c r="AD3554">
        <v>-1.1100956508790001</v>
      </c>
      <c r="AE3554">
        <v>2.6484000000000001</v>
      </c>
      <c r="AF3554">
        <v>-2.7318321730452801</v>
      </c>
      <c r="AG3554">
        <v>-1.1100956508790001</v>
      </c>
      <c r="AH3554">
        <v>15.714327017413201</v>
      </c>
      <c r="AI3554">
        <v>93.981274952483702</v>
      </c>
      <c r="AJ3554">
        <v>99.861934245937505</v>
      </c>
      <c r="AK3554">
        <v>15.988598843738201</v>
      </c>
      <c r="AL3554">
        <v>78.658585731024502</v>
      </c>
      <c r="AM3554">
        <v>95.295107957843697</v>
      </c>
      <c r="AN3554">
        <v>1.0000000187021301</v>
      </c>
    </row>
    <row r="3555" spans="1:40" x14ac:dyDescent="0.25">
      <c r="A3555" t="str">
        <f>"20190304155126857"</f>
        <v>20190304155126857</v>
      </c>
      <c r="B3555" t="str">
        <f>"1551685886849841"</f>
        <v>1551685886849841</v>
      </c>
      <c r="C3555" t="s">
        <v>40</v>
      </c>
      <c r="D3555">
        <v>4.9736520000000004</v>
      </c>
      <c r="E3555">
        <v>0.53656939999999997</v>
      </c>
      <c r="F3555" t="s">
        <v>70</v>
      </c>
      <c r="G3555">
        <v>-360.2235</v>
      </c>
      <c r="H3555" s="1">
        <v>-1.417863E-6</v>
      </c>
      <c r="I3555">
        <v>213.57919999999999</v>
      </c>
      <c r="J3555">
        <v>-384.61239999999998</v>
      </c>
      <c r="K3555">
        <v>1.110088</v>
      </c>
      <c r="L3555">
        <v>213.19990000000001</v>
      </c>
      <c r="M3555">
        <v>0.99993460000000001</v>
      </c>
      <c r="N3555">
        <v>-9.7873279999999997E-3</v>
      </c>
      <c r="O3555">
        <v>-5.9311119999999997E-3</v>
      </c>
      <c r="P3555">
        <v>0.97883450000000005</v>
      </c>
      <c r="Q3555">
        <v>0.18652440000000001</v>
      </c>
      <c r="R3555">
        <v>8.4215719999999994E-2</v>
      </c>
      <c r="S3555">
        <v>3.0876769999999998</v>
      </c>
      <c r="T3555">
        <v>-0.13841039999999999</v>
      </c>
      <c r="U3555">
        <v>4.7027590000000001E-2</v>
      </c>
      <c r="V3555">
        <v>-9.0082860000000001E-2</v>
      </c>
      <c r="W3555">
        <v>0.19606199999999999</v>
      </c>
      <c r="X3555">
        <v>0.97644500000000001</v>
      </c>
      <c r="Y3555">
        <v>-2.112992E-2</v>
      </c>
      <c r="Z3555">
        <v>7.8450250000000003E-4</v>
      </c>
      <c r="AA3555">
        <v>0.99977640000000001</v>
      </c>
      <c r="AB3555">
        <v>34</v>
      </c>
      <c r="AC3555">
        <v>24.3888999999999</v>
      </c>
      <c r="AD3555">
        <v>-1.1100894178630001</v>
      </c>
      <c r="AE3555">
        <v>0.37929999999997199</v>
      </c>
      <c r="AF3555">
        <v>-0.52287056087683703</v>
      </c>
      <c r="AG3555">
        <v>-1.1100894178630001</v>
      </c>
      <c r="AH3555">
        <v>24.335816342215502</v>
      </c>
      <c r="AI3555">
        <v>92.611160963344204</v>
      </c>
      <c r="AJ3555">
        <v>91.2308470494131</v>
      </c>
      <c r="AK3555">
        <v>24.3667324272485</v>
      </c>
      <c r="AL3555">
        <v>78.693231036355698</v>
      </c>
      <c r="AM3555">
        <v>95.270956310921804</v>
      </c>
      <c r="AN3555">
        <v>1.00000003376738</v>
      </c>
    </row>
    <row r="3556" spans="1:40" x14ac:dyDescent="0.25">
      <c r="A3556" t="str">
        <f>"20190304155126881"</f>
        <v>20190304155126881</v>
      </c>
      <c r="B3556" t="str">
        <f>"1551685886870337"</f>
        <v>1551685886870337</v>
      </c>
      <c r="C3556" t="s">
        <v>40</v>
      </c>
      <c r="D3556">
        <v>4.8877100000000002</v>
      </c>
      <c r="E3556">
        <v>0.53957330000000003</v>
      </c>
      <c r="F3556" t="s">
        <v>70</v>
      </c>
      <c r="G3556">
        <v>-344.22609999999997</v>
      </c>
      <c r="H3556" s="1">
        <v>7.1212490000000004E-7</v>
      </c>
      <c r="I3556">
        <v>212.5284</v>
      </c>
      <c r="J3556">
        <v>-384.26100000000002</v>
      </c>
      <c r="K3556">
        <v>1.11008</v>
      </c>
      <c r="L3556">
        <v>213.19800000000001</v>
      </c>
      <c r="M3556">
        <v>0.99993540000000003</v>
      </c>
      <c r="N3556">
        <v>-9.792907E-3</v>
      </c>
      <c r="O3556">
        <v>-5.7629309999999998E-3</v>
      </c>
      <c r="P3556">
        <v>0.97914290000000004</v>
      </c>
      <c r="Q3556">
        <v>0.18542790000000001</v>
      </c>
      <c r="R3556">
        <v>8.3041089999999998E-2</v>
      </c>
      <c r="S3556">
        <v>3.0854490000000001</v>
      </c>
      <c r="T3556">
        <v>-8.4808830000000002E-2</v>
      </c>
      <c r="U3556">
        <v>-5.130005E-2</v>
      </c>
      <c r="V3556">
        <v>-8.8745619999999997E-2</v>
      </c>
      <c r="W3556">
        <v>0.19497419999999999</v>
      </c>
      <c r="X3556">
        <v>0.97678520000000002</v>
      </c>
      <c r="Y3556">
        <v>1.08568E-2</v>
      </c>
      <c r="Z3556">
        <v>-1.004155E-4</v>
      </c>
      <c r="AA3556">
        <v>0.99994110000000003</v>
      </c>
      <c r="AB3556">
        <v>34</v>
      </c>
      <c r="AC3556">
        <v>40.034899999999901</v>
      </c>
      <c r="AD3556">
        <v>-1.1100792878751</v>
      </c>
      <c r="AE3556">
        <v>-0.66959999999997399</v>
      </c>
      <c r="AF3556">
        <v>0.438522384876462</v>
      </c>
      <c r="AG3556">
        <v>-1.1100792878751</v>
      </c>
      <c r="AH3556">
        <v>40.007343910421099</v>
      </c>
      <c r="AI3556">
        <v>91.589276356754596</v>
      </c>
      <c r="AJ3556">
        <v>89.372003405818006</v>
      </c>
      <c r="AK3556">
        <v>40.025143905726502</v>
      </c>
      <c r="AL3556">
        <v>78.756783856034104</v>
      </c>
      <c r="AM3556">
        <v>95.191343517660798</v>
      </c>
      <c r="AN3556">
        <v>1.0000000253369301</v>
      </c>
    </row>
    <row r="3557" spans="1:40" x14ac:dyDescent="0.25">
      <c r="A3557" t="str">
        <f>"20190304155126903"</f>
        <v>20190304155126903</v>
      </c>
      <c r="B3557" t="str">
        <f>"1551685886900594"</f>
        <v>1551685886900594</v>
      </c>
      <c r="C3557" t="s">
        <v>40</v>
      </c>
      <c r="D3557">
        <v>5.1363669999999999</v>
      </c>
      <c r="E3557">
        <v>0.54432720000000001</v>
      </c>
      <c r="F3557" t="s">
        <v>70</v>
      </c>
      <c r="G3557">
        <v>-325.59300000000002</v>
      </c>
      <c r="H3557" s="1">
        <v>1.4395510000000001E-6</v>
      </c>
      <c r="I3557">
        <v>211.68129999999999</v>
      </c>
      <c r="J3557">
        <v>-383.91950000000003</v>
      </c>
      <c r="K3557">
        <v>1.1100779999999999</v>
      </c>
      <c r="L3557">
        <v>213.1962</v>
      </c>
      <c r="M3557">
        <v>0.99993639999999995</v>
      </c>
      <c r="N3557">
        <v>-9.7983129999999995E-3</v>
      </c>
      <c r="O3557">
        <v>-5.5998769999999996E-3</v>
      </c>
      <c r="P3557">
        <v>0.97956379999999998</v>
      </c>
      <c r="Q3557">
        <v>0.18336140000000001</v>
      </c>
      <c r="R3557">
        <v>8.2665619999999995E-2</v>
      </c>
      <c r="S3557">
        <v>3.081696</v>
      </c>
      <c r="T3557">
        <v>-5.830991E-2</v>
      </c>
      <c r="U3557">
        <v>-7.9666139999999996E-2</v>
      </c>
      <c r="V3557">
        <v>-8.8212059999999995E-2</v>
      </c>
      <c r="W3557">
        <v>0.1929179</v>
      </c>
      <c r="X3557">
        <v>0.97724169999999999</v>
      </c>
      <c r="Y3557">
        <v>2.0238820000000001E-2</v>
      </c>
      <c r="Z3557">
        <v>-2.3954210000000001E-4</v>
      </c>
      <c r="AA3557">
        <v>0.99979510000000005</v>
      </c>
      <c r="AB3557">
        <v>34</v>
      </c>
      <c r="AC3557">
        <v>58.326500000000003</v>
      </c>
      <c r="AD3557">
        <v>-1.1100765604489999</v>
      </c>
      <c r="AE3557">
        <v>-1.5149000000000099</v>
      </c>
      <c r="AF3557">
        <v>1.1878094068593901</v>
      </c>
      <c r="AG3557">
        <v>-1.1100765604489999</v>
      </c>
      <c r="AH3557">
        <v>58.312961086263101</v>
      </c>
      <c r="AI3557">
        <v>91.090355098559399</v>
      </c>
      <c r="AJ3557">
        <v>88.833071510800295</v>
      </c>
      <c r="AK3557">
        <v>58.335620265881502</v>
      </c>
      <c r="AL3557">
        <v>78.876881429566794</v>
      </c>
      <c r="AM3557">
        <v>95.157903395701197</v>
      </c>
      <c r="AN3557">
        <v>1.0000000119443699</v>
      </c>
    </row>
    <row r="3558" spans="1:40" x14ac:dyDescent="0.25">
      <c r="A3558" t="str">
        <f>"20190304155126925"</f>
        <v>20190304155126925</v>
      </c>
      <c r="B3558" t="str">
        <f>"1551685886920114"</f>
        <v>1551685886920114</v>
      </c>
      <c r="C3558" t="s">
        <v>40</v>
      </c>
      <c r="D3558">
        <v>4.239687</v>
      </c>
      <c r="E3558">
        <v>0.54500859999999995</v>
      </c>
      <c r="F3558" t="s">
        <v>70</v>
      </c>
      <c r="G3558">
        <v>-325.41160000000002</v>
      </c>
      <c r="H3558" s="1">
        <v>1.343003E-6</v>
      </c>
      <c r="I3558">
        <v>210.9443</v>
      </c>
      <c r="J3558">
        <v>-383.57920000000001</v>
      </c>
      <c r="K3558">
        <v>1.1100699999999999</v>
      </c>
      <c r="L3558">
        <v>213.1944</v>
      </c>
      <c r="M3558">
        <v>0.99993719999999997</v>
      </c>
      <c r="N3558">
        <v>-9.8036809999999999E-3</v>
      </c>
      <c r="O3558">
        <v>-5.4370620000000003E-3</v>
      </c>
      <c r="P3558">
        <v>0.9797148</v>
      </c>
      <c r="Q3558">
        <v>0.1825396</v>
      </c>
      <c r="R3558">
        <v>8.2695920000000006E-2</v>
      </c>
      <c r="S3558">
        <v>3.0835569999999999</v>
      </c>
      <c r="T3558">
        <v>-5.85047E-2</v>
      </c>
      <c r="U3558">
        <v>-0.11868289999999999</v>
      </c>
      <c r="V3558">
        <v>-8.8084300000000004E-2</v>
      </c>
      <c r="W3558">
        <v>0.1921023</v>
      </c>
      <c r="X3558">
        <v>0.97741389999999995</v>
      </c>
      <c r="Y3558">
        <v>3.3017829999999998E-2</v>
      </c>
      <c r="Z3558">
        <v>-4.2519200000000002E-4</v>
      </c>
      <c r="AA3558">
        <v>0.99945470000000003</v>
      </c>
      <c r="AB3558">
        <v>34</v>
      </c>
      <c r="AC3558">
        <v>58.167599999999901</v>
      </c>
      <c r="AD3558">
        <v>-1.110068656997</v>
      </c>
      <c r="AE3558">
        <v>-2.2501000000000002</v>
      </c>
      <c r="AF3558">
        <v>1.9330877290856401</v>
      </c>
      <c r="AG3558">
        <v>-1.110068656997</v>
      </c>
      <c r="AH3558">
        <v>58.157825358614197</v>
      </c>
      <c r="AI3558">
        <v>91.092878459174997</v>
      </c>
      <c r="AJ3558">
        <v>88.096266393218002</v>
      </c>
      <c r="AK3558">
        <v>58.200530332933099</v>
      </c>
      <c r="AL3558">
        <v>78.924502878755106</v>
      </c>
      <c r="AM3558">
        <v>95.149570740058806</v>
      </c>
      <c r="AN3558">
        <v>1.00000003474249</v>
      </c>
    </row>
    <row r="3559" spans="1:40" x14ac:dyDescent="0.25">
      <c r="A3559" t="str">
        <f>"20190304155126946"</f>
        <v>20190304155126946</v>
      </c>
      <c r="B3559" t="str">
        <f>"1551685886940610"</f>
        <v>1551685886940610</v>
      </c>
      <c r="C3559" t="s">
        <v>40</v>
      </c>
      <c r="D3559">
        <v>4.9368980000000002</v>
      </c>
      <c r="E3559">
        <v>0.54562429999999995</v>
      </c>
      <c r="F3559" t="s">
        <v>70</v>
      </c>
      <c r="G3559">
        <v>-325.38780000000003</v>
      </c>
      <c r="H3559" s="1">
        <v>1.330301E-6</v>
      </c>
      <c r="I3559">
        <v>210.84389999999999</v>
      </c>
      <c r="J3559">
        <v>-383.2611</v>
      </c>
      <c r="K3559">
        <v>1.1100639999999999</v>
      </c>
      <c r="L3559">
        <v>213.19280000000001</v>
      </c>
      <c r="M3559">
        <v>0.99993799999999999</v>
      </c>
      <c r="N3559">
        <v>-9.808654E-3</v>
      </c>
      <c r="O3559">
        <v>-5.2850930000000003E-3</v>
      </c>
      <c r="P3559">
        <v>0.98008110000000004</v>
      </c>
      <c r="Q3559">
        <v>0.1803005</v>
      </c>
      <c r="R3559">
        <v>8.3263210000000004E-2</v>
      </c>
      <c r="S3559">
        <v>3.083618</v>
      </c>
      <c r="T3559">
        <v>-5.8823590000000002E-2</v>
      </c>
      <c r="U3559">
        <v>-0.1245575</v>
      </c>
      <c r="V3559">
        <v>-8.8504169999999993E-2</v>
      </c>
      <c r="W3559">
        <v>0.18987200000000001</v>
      </c>
      <c r="X3559">
        <v>0.9778116</v>
      </c>
      <c r="Y3559">
        <v>3.5069349999999999E-2</v>
      </c>
      <c r="Z3559">
        <v>-4.574701E-4</v>
      </c>
      <c r="AA3559">
        <v>0.99938479999999996</v>
      </c>
      <c r="AB3559">
        <v>34</v>
      </c>
      <c r="AC3559">
        <v>57.873299999999901</v>
      </c>
      <c r="AD3559">
        <v>-1.1100626696989999</v>
      </c>
      <c r="AE3559">
        <v>-2.3489000000000102</v>
      </c>
      <c r="AF3559">
        <v>2.0422366082706298</v>
      </c>
      <c r="AG3559">
        <v>-1.1100626696989999</v>
      </c>
      <c r="AH3559">
        <v>57.863652949176497</v>
      </c>
      <c r="AI3559">
        <v>91.098350004615895</v>
      </c>
      <c r="AJ3559">
        <v>87.978644915962207</v>
      </c>
      <c r="AK3559">
        <v>57.910321205442798</v>
      </c>
      <c r="AL3559">
        <v>79.054685026551397</v>
      </c>
      <c r="AM3559">
        <v>95.171891229586194</v>
      </c>
      <c r="AN3559">
        <v>0.99999994479297205</v>
      </c>
    </row>
    <row r="3560" spans="1:40" x14ac:dyDescent="0.25">
      <c r="A3560" t="str">
        <f>"20190304155126969"</f>
        <v>20190304155126969</v>
      </c>
      <c r="B3560" t="str">
        <f>"1551685886960132"</f>
        <v>1551685886960132</v>
      </c>
      <c r="C3560" t="s">
        <v>40</v>
      </c>
      <c r="D3560">
        <v>4.9173390000000001</v>
      </c>
      <c r="E3560">
        <v>0.54620539999999995</v>
      </c>
      <c r="F3560" t="s">
        <v>70</v>
      </c>
      <c r="G3560">
        <v>-324.75020000000001</v>
      </c>
      <c r="H3560" s="1">
        <v>9.9103479999999994E-7</v>
      </c>
      <c r="I3560">
        <v>210.76490000000001</v>
      </c>
      <c r="J3560">
        <v>-382.90469999999999</v>
      </c>
      <c r="K3560">
        <v>1.110058</v>
      </c>
      <c r="L3560">
        <v>213.19110000000001</v>
      </c>
      <c r="M3560">
        <v>0.99993889999999996</v>
      </c>
      <c r="N3560">
        <v>-9.8142699999999999E-3</v>
      </c>
      <c r="O3560">
        <v>-5.1151269999999997E-3</v>
      </c>
      <c r="P3560">
        <v>0.98033210000000004</v>
      </c>
      <c r="Q3560">
        <v>0.17861659999999999</v>
      </c>
      <c r="R3560">
        <v>8.3935650000000001E-2</v>
      </c>
      <c r="S3560">
        <v>3.082611</v>
      </c>
      <c r="T3560">
        <v>-5.8483E-2</v>
      </c>
      <c r="U3560">
        <v>-0.12791440000000001</v>
      </c>
      <c r="V3560">
        <v>-8.9010850000000002E-2</v>
      </c>
      <c r="W3560">
        <v>0.18819620000000001</v>
      </c>
      <c r="X3560">
        <v>0.9780896</v>
      </c>
      <c r="Y3560">
        <v>3.6338589999999997E-2</v>
      </c>
      <c r="Z3560">
        <v>-4.7614039999999998E-4</v>
      </c>
      <c r="AA3560">
        <v>0.99933939999999999</v>
      </c>
      <c r="AB3560">
        <v>34</v>
      </c>
      <c r="AC3560">
        <v>58.154499999999899</v>
      </c>
      <c r="AD3560">
        <v>-1.1100570089652</v>
      </c>
      <c r="AE3560">
        <v>-2.4261999999999899</v>
      </c>
      <c r="AF3560">
        <v>2.1279123523263999</v>
      </c>
      <c r="AG3560">
        <v>-1.1100570089652</v>
      </c>
      <c r="AH3560">
        <v>58.145001474706802</v>
      </c>
      <c r="AI3560">
        <v>91.092979992023899</v>
      </c>
      <c r="AJ3560">
        <v>87.904101683135593</v>
      </c>
      <c r="AK3560">
        <v>58.194513779530702</v>
      </c>
      <c r="AL3560">
        <v>79.1524648630933</v>
      </c>
      <c r="AM3560">
        <v>95.199867730382607</v>
      </c>
      <c r="AN3560">
        <v>1.0000000033701599</v>
      </c>
    </row>
    <row r="3561" spans="1:40" x14ac:dyDescent="0.25">
      <c r="A3561" t="str">
        <f>"20190304155126991"</f>
        <v>20190304155126991</v>
      </c>
      <c r="B3561" t="str">
        <f>"1551685886980628"</f>
        <v>1551685886980628</v>
      </c>
      <c r="C3561" t="s">
        <v>40</v>
      </c>
      <c r="D3561">
        <v>4.9378270000000004</v>
      </c>
      <c r="E3561">
        <v>0.54675220000000002</v>
      </c>
      <c r="F3561" t="s">
        <v>70</v>
      </c>
      <c r="G3561">
        <v>-324.68869999999998</v>
      </c>
      <c r="H3561" s="1">
        <v>9.5827519999999897E-7</v>
      </c>
      <c r="I3561">
        <v>210.7303</v>
      </c>
      <c r="J3561">
        <v>-382.57060000000001</v>
      </c>
      <c r="K3561">
        <v>1.1100589999999999</v>
      </c>
      <c r="L3561">
        <v>213.18960000000001</v>
      </c>
      <c r="M3561">
        <v>0.99993960000000004</v>
      </c>
      <c r="N3561">
        <v>-9.8195230000000001E-3</v>
      </c>
      <c r="O3561">
        <v>-4.9569669999999996E-3</v>
      </c>
      <c r="P3561">
        <v>0.98027149999999996</v>
      </c>
      <c r="Q3561">
        <v>0.17871719999999999</v>
      </c>
      <c r="R3561">
        <v>8.442935E-2</v>
      </c>
      <c r="S3561">
        <v>3.0820620000000001</v>
      </c>
      <c r="T3561">
        <v>-5.8768389999999997E-2</v>
      </c>
      <c r="U3561">
        <v>-0.13027949999999999</v>
      </c>
      <c r="V3561">
        <v>-8.9348999999999998E-2</v>
      </c>
      <c r="W3561">
        <v>0.18830150000000001</v>
      </c>
      <c r="X3561">
        <v>0.97803850000000003</v>
      </c>
      <c r="Y3561">
        <v>3.7269209999999997E-2</v>
      </c>
      <c r="Z3561">
        <v>-4.9241420000000001E-4</v>
      </c>
      <c r="AA3561">
        <v>0.99930509999999995</v>
      </c>
      <c r="AB3561">
        <v>34</v>
      </c>
      <c r="AC3561">
        <v>57.881900000000002</v>
      </c>
      <c r="AD3561">
        <v>-1.1100580417247901</v>
      </c>
      <c r="AE3561">
        <v>-2.45930000000001</v>
      </c>
      <c r="AF3561">
        <v>2.1715400666406799</v>
      </c>
      <c r="AG3561">
        <v>-1.1100580417247901</v>
      </c>
      <c r="AH3561">
        <v>57.872133334064301</v>
      </c>
      <c r="AI3561">
        <v>91.0980955340885</v>
      </c>
      <c r="AJ3561">
        <v>87.851094658407803</v>
      </c>
      <c r="AK3561">
        <v>57.923498096651102</v>
      </c>
      <c r="AL3561">
        <v>79.146321784662405</v>
      </c>
      <c r="AM3561">
        <v>95.219784193494803</v>
      </c>
      <c r="AN3561">
        <v>1.0000000030927501</v>
      </c>
    </row>
    <row r="3562" spans="1:40" x14ac:dyDescent="0.25">
      <c r="A3562" t="str">
        <f>"20190304155127013"</f>
        <v>20190304155127013</v>
      </c>
      <c r="B3562" t="str">
        <f>"1551685887009905"</f>
        <v>1551685887009905</v>
      </c>
      <c r="C3562" t="s">
        <v>40</v>
      </c>
      <c r="D3562">
        <v>4.8879999999999999</v>
      </c>
      <c r="E3562">
        <v>0.54710190000000003</v>
      </c>
      <c r="F3562" t="s">
        <v>70</v>
      </c>
      <c r="G3562">
        <v>-319.98430000000002</v>
      </c>
      <c r="H3562" s="1">
        <v>-1.545154E-6</v>
      </c>
      <c r="I3562">
        <v>210.488</v>
      </c>
      <c r="J3562">
        <v>-382.23439999999999</v>
      </c>
      <c r="K3562">
        <v>1.110061</v>
      </c>
      <c r="L3562">
        <v>213.18799999999999</v>
      </c>
      <c r="M3562">
        <v>0.99994019999999995</v>
      </c>
      <c r="N3562">
        <v>-9.8247830000000001E-3</v>
      </c>
      <c r="O3562">
        <v>-4.7992909999999998E-3</v>
      </c>
      <c r="P3562">
        <v>0.98002920000000004</v>
      </c>
      <c r="Q3562">
        <v>0.17976529999999999</v>
      </c>
      <c r="R3562">
        <v>8.5014549999999994E-2</v>
      </c>
      <c r="S3562">
        <v>3.0817570000000001</v>
      </c>
      <c r="T3562">
        <v>-5.4659489999999998E-2</v>
      </c>
      <c r="U3562">
        <v>-0.13302610000000001</v>
      </c>
      <c r="V3562">
        <v>-8.9778689999999994E-2</v>
      </c>
      <c r="W3562">
        <v>0.1893523</v>
      </c>
      <c r="X3562">
        <v>0.97779629999999995</v>
      </c>
      <c r="Y3562">
        <v>3.8320760000000002E-2</v>
      </c>
      <c r="Z3562">
        <v>-4.9007160000000001E-4</v>
      </c>
      <c r="AA3562">
        <v>0.99926539999999997</v>
      </c>
      <c r="AB3562">
        <v>34</v>
      </c>
      <c r="AC3562">
        <v>62.250099999999897</v>
      </c>
      <c r="AD3562">
        <v>-1.110062545154</v>
      </c>
      <c r="AE3562">
        <v>-2.6999999999999802</v>
      </c>
      <c r="AF3562">
        <v>2.40043624808178</v>
      </c>
      <c r="AG3562">
        <v>-1.110062545154</v>
      </c>
      <c r="AH3562">
        <v>62.242586313065701</v>
      </c>
      <c r="AI3562">
        <v>91.020971815142104</v>
      </c>
      <c r="AJ3562">
        <v>87.791435916987197</v>
      </c>
      <c r="AK3562">
        <v>62.298747049797797</v>
      </c>
      <c r="AL3562">
        <v>79.085013024290802</v>
      </c>
      <c r="AM3562">
        <v>95.246038974009807</v>
      </c>
      <c r="AN3562">
        <v>1.00000005549354</v>
      </c>
    </row>
    <row r="3563" spans="1:40" x14ac:dyDescent="0.25">
      <c r="A3563" t="str">
        <f>"20190304155127035"</f>
        <v>20190304155127035</v>
      </c>
      <c r="B3563" t="str">
        <f>"1551685887030401"</f>
        <v>1551685887030401</v>
      </c>
      <c r="C3563" t="s">
        <v>40</v>
      </c>
      <c r="D3563">
        <v>4.9357709999999999</v>
      </c>
      <c r="E3563">
        <v>0.54726180000000002</v>
      </c>
      <c r="F3563" t="s">
        <v>72</v>
      </c>
      <c r="G3563">
        <v>-309.45949999999999</v>
      </c>
      <c r="H3563" s="1">
        <v>9.7529769999999992E-7</v>
      </c>
      <c r="I3563">
        <v>210.03620000000001</v>
      </c>
      <c r="J3563">
        <v>-381.89429999999999</v>
      </c>
      <c r="K3563">
        <v>1.1100540000000001</v>
      </c>
      <c r="L3563">
        <v>213.1866</v>
      </c>
      <c r="M3563">
        <v>0.99994090000000002</v>
      </c>
      <c r="N3563">
        <v>-9.8300729999999999E-3</v>
      </c>
      <c r="O3563">
        <v>-4.6418589999999999E-3</v>
      </c>
      <c r="P3563">
        <v>0.97984780000000005</v>
      </c>
      <c r="Q3563">
        <v>0.1808476</v>
      </c>
      <c r="R3563">
        <v>8.4809239999999994E-2</v>
      </c>
      <c r="S3563">
        <v>3.0813600000000001</v>
      </c>
      <c r="T3563">
        <v>-4.7001000000000001E-2</v>
      </c>
      <c r="U3563">
        <v>-0.1334534</v>
      </c>
      <c r="V3563">
        <v>-8.9417800000000006E-2</v>
      </c>
      <c r="W3563">
        <v>0.19043850000000001</v>
      </c>
      <c r="X3563">
        <v>0.97761830000000005</v>
      </c>
      <c r="Y3563">
        <v>3.8623820000000003E-2</v>
      </c>
      <c r="Z3563">
        <v>-4.5921029999999998E-4</v>
      </c>
      <c r="AA3563">
        <v>0.99925370000000002</v>
      </c>
      <c r="AB3563">
        <v>34</v>
      </c>
      <c r="AC3563">
        <v>72.434799999999996</v>
      </c>
      <c r="AD3563">
        <v>-1.1100530247022999</v>
      </c>
      <c r="AE3563">
        <v>-3.1503999999999901</v>
      </c>
      <c r="AF3563">
        <v>2.8134581813907902</v>
      </c>
      <c r="AG3563">
        <v>-1.1100530247022999</v>
      </c>
      <c r="AH3563">
        <v>72.431665416998797</v>
      </c>
      <c r="AI3563">
        <v>90.877357434236103</v>
      </c>
      <c r="AJ3563">
        <v>87.7755822545477</v>
      </c>
      <c r="AK3563">
        <v>72.494785465826098</v>
      </c>
      <c r="AL3563">
        <v>79.021623819500405</v>
      </c>
      <c r="AM3563">
        <v>95.226014130184595</v>
      </c>
      <c r="AN3563">
        <v>0.99999995286698895</v>
      </c>
    </row>
    <row r="3564" spans="1:40" x14ac:dyDescent="0.25">
      <c r="A3564" t="str">
        <f>"20190304155127058"</f>
        <v>20190304155127058</v>
      </c>
      <c r="B3564" t="str">
        <f>"1551685887049921"</f>
        <v>1551685887049921</v>
      </c>
      <c r="C3564" t="s">
        <v>40</v>
      </c>
      <c r="D3564">
        <v>4.8988440000000004</v>
      </c>
      <c r="E3564">
        <v>0.54733339999999997</v>
      </c>
      <c r="F3564" t="s">
        <v>72</v>
      </c>
      <c r="G3564">
        <v>-298.4495</v>
      </c>
      <c r="H3564" s="1">
        <v>2.420247E-6</v>
      </c>
      <c r="I3564">
        <v>209.5147</v>
      </c>
      <c r="J3564">
        <v>-381.54169999999999</v>
      </c>
      <c r="K3564">
        <v>1.1100380000000001</v>
      </c>
      <c r="L3564">
        <v>213.18510000000001</v>
      </c>
      <c r="M3564">
        <v>0.99994170000000004</v>
      </c>
      <c r="N3564">
        <v>-9.8355790000000005E-3</v>
      </c>
      <c r="O3564">
        <v>-4.480497E-3</v>
      </c>
      <c r="P3564">
        <v>0.98048009999999997</v>
      </c>
      <c r="Q3564">
        <v>0.17782139999999999</v>
      </c>
      <c r="R3564">
        <v>8.3897260000000001E-2</v>
      </c>
      <c r="S3564">
        <v>3.080994</v>
      </c>
      <c r="T3564">
        <v>-4.0985939999999998E-2</v>
      </c>
      <c r="U3564">
        <v>-0.13557429999999901</v>
      </c>
      <c r="V3564">
        <v>-8.8349239999999996E-2</v>
      </c>
      <c r="W3564">
        <v>0.1874248</v>
      </c>
      <c r="X3564">
        <v>0.97829770000000005</v>
      </c>
      <c r="Y3564">
        <v>3.9478039999999999E-2</v>
      </c>
      <c r="Z3564">
        <v>-4.4118299999999999E-4</v>
      </c>
      <c r="AA3564">
        <v>0.99922029999999995</v>
      </c>
      <c r="AB3564">
        <v>34</v>
      </c>
      <c r="AC3564">
        <v>83.092199999999906</v>
      </c>
      <c r="AD3564">
        <v>-1.1100355797529999</v>
      </c>
      <c r="AE3564">
        <v>-3.6703999999999999</v>
      </c>
      <c r="AF3564">
        <v>3.2974634974044199</v>
      </c>
      <c r="AG3564">
        <v>-1.1100355797529999</v>
      </c>
      <c r="AH3564">
        <v>83.093011569977406</v>
      </c>
      <c r="AI3564">
        <v>90.764764184783402</v>
      </c>
      <c r="AJ3564">
        <v>87.727466435281698</v>
      </c>
      <c r="AK3564">
        <v>83.165822404840299</v>
      </c>
      <c r="AL3564">
        <v>79.197463715079707</v>
      </c>
      <c r="AM3564">
        <v>95.160335104238001</v>
      </c>
      <c r="AN3564">
        <v>1.0000000168444501</v>
      </c>
    </row>
    <row r="3565" spans="1:40" x14ac:dyDescent="0.25">
      <c r="A3565" t="str">
        <f>"20190304155127081"</f>
        <v>20190304155127081</v>
      </c>
      <c r="B3565" t="str">
        <f>"1551685887070417"</f>
        <v>1551685887070417</v>
      </c>
      <c r="C3565" t="s">
        <v>40</v>
      </c>
      <c r="D3565">
        <v>4.8890890000000002</v>
      </c>
      <c r="E3565">
        <v>0.547386699999999</v>
      </c>
      <c r="F3565" t="s">
        <v>72</v>
      </c>
      <c r="G3565">
        <v>-311.39089999999999</v>
      </c>
      <c r="H3565" s="1">
        <v>1.522451E-6</v>
      </c>
      <c r="I3565">
        <v>210.03960000000001</v>
      </c>
      <c r="J3565">
        <v>-381.18889999999999</v>
      </c>
      <c r="K3565">
        <v>1.110025</v>
      </c>
      <c r="L3565">
        <v>213.18369999999999</v>
      </c>
      <c r="M3565">
        <v>0.9999422</v>
      </c>
      <c r="N3565">
        <v>-9.841107E-3</v>
      </c>
      <c r="O3565">
        <v>-4.3207970000000004E-3</v>
      </c>
      <c r="P3565">
        <v>0.98083410000000004</v>
      </c>
      <c r="Q3565">
        <v>0.17651159999999999</v>
      </c>
      <c r="R3565">
        <v>8.2512160000000001E-2</v>
      </c>
      <c r="S3565">
        <v>3.0803829999999999</v>
      </c>
      <c r="T3565">
        <v>-4.8742649999999998E-2</v>
      </c>
      <c r="U3565">
        <v>-0.13812260000000001</v>
      </c>
      <c r="V3565">
        <v>-8.680823E-2</v>
      </c>
      <c r="W3565">
        <v>0.18612480000000001</v>
      </c>
      <c r="X3565">
        <v>0.97868379999999999</v>
      </c>
      <c r="Y3565">
        <v>4.046918E-2</v>
      </c>
      <c r="Z3565">
        <v>-4.9342959999999997E-4</v>
      </c>
      <c r="AA3565">
        <v>0.99918070000000003</v>
      </c>
      <c r="AB3565">
        <v>34</v>
      </c>
      <c r="AC3565">
        <v>69.798000000000002</v>
      </c>
      <c r="AD3565">
        <v>-1.1100234775489899</v>
      </c>
      <c r="AE3565">
        <v>-3.1440999999999799</v>
      </c>
      <c r="AF3565">
        <v>2.8417557685813102</v>
      </c>
      <c r="AG3565">
        <v>-1.1100234775489899</v>
      </c>
      <c r="AH3565">
        <v>69.793317885100194</v>
      </c>
      <c r="AI3565">
        <v>90.9104260977102</v>
      </c>
      <c r="AJ3565">
        <v>87.668391061349993</v>
      </c>
      <c r="AK3565">
        <v>69.859966714704498</v>
      </c>
      <c r="AL3565">
        <v>79.273282741209201</v>
      </c>
      <c r="AM3565">
        <v>95.0688105599951</v>
      </c>
      <c r="AN3565">
        <v>1.0000000451766</v>
      </c>
    </row>
    <row r="3566" spans="1:40" x14ac:dyDescent="0.25">
      <c r="A3566" t="str">
        <f>"20190304155127105"</f>
        <v>20190304155127105</v>
      </c>
      <c r="B3566" t="str">
        <f>"1551685887100673"</f>
        <v>1551685887100673</v>
      </c>
      <c r="C3566" t="s">
        <v>40</v>
      </c>
      <c r="D3566">
        <v>4.8421479999999999</v>
      </c>
      <c r="E3566">
        <v>0.54740480000000002</v>
      </c>
      <c r="F3566" t="s">
        <v>72</v>
      </c>
      <c r="G3566">
        <v>-314.17360000000002</v>
      </c>
      <c r="H3566" s="1">
        <v>2.7564489999999999E-6</v>
      </c>
      <c r="I3566">
        <v>210.06630000000001</v>
      </c>
      <c r="J3566">
        <v>-380.82499999999999</v>
      </c>
      <c r="K3566">
        <v>1.1100129999999999</v>
      </c>
      <c r="L3566">
        <v>213.1823</v>
      </c>
      <c r="M3566">
        <v>0.99994300000000003</v>
      </c>
      <c r="N3566">
        <v>-9.8470520000000002E-3</v>
      </c>
      <c r="O3566">
        <v>-4.1572800000000002E-3</v>
      </c>
      <c r="P3566">
        <v>0.98116400000000004</v>
      </c>
      <c r="Q3566">
        <v>0.17495820000000001</v>
      </c>
      <c r="R3566">
        <v>8.1895739999999995E-2</v>
      </c>
      <c r="S3566">
        <v>3.079834</v>
      </c>
      <c r="T3566">
        <v>-5.1013469999999998E-2</v>
      </c>
      <c r="U3566">
        <v>-0.1432648</v>
      </c>
      <c r="V3566">
        <v>-8.6031930000000006E-2</v>
      </c>
      <c r="W3566">
        <v>0.18458089999999999</v>
      </c>
      <c r="X3566">
        <v>0.97904460000000004</v>
      </c>
      <c r="Y3566">
        <v>4.2304260000000003E-2</v>
      </c>
      <c r="Z3566">
        <v>-5.3067030000000001E-4</v>
      </c>
      <c r="AA3566">
        <v>0.99910460000000001</v>
      </c>
      <c r="AB3566">
        <v>34</v>
      </c>
      <c r="AC3566">
        <v>66.651399999999896</v>
      </c>
      <c r="AD3566">
        <v>-1.110010243551</v>
      </c>
      <c r="AE3566">
        <v>-3.1159999999999801</v>
      </c>
      <c r="AF3566">
        <v>2.8380856985667902</v>
      </c>
      <c r="AG3566">
        <v>-1.110010243551</v>
      </c>
      <c r="AH3566">
        <v>66.645334605189504</v>
      </c>
      <c r="AI3566">
        <v>90.953336785110494</v>
      </c>
      <c r="AJ3566">
        <v>87.5615375985697</v>
      </c>
      <c r="AK3566">
        <v>66.714971916436198</v>
      </c>
      <c r="AL3566">
        <v>79.363300683610504</v>
      </c>
      <c r="AM3566">
        <v>95.021872823908197</v>
      </c>
      <c r="AN3566">
        <v>0.99999996520674606</v>
      </c>
    </row>
    <row r="3567" spans="1:40" x14ac:dyDescent="0.25">
      <c r="A3567" t="str">
        <f>"20190304155127127"</f>
        <v>20190304155127127</v>
      </c>
      <c r="B3567" t="str">
        <f>"1551685887120193"</f>
        <v>1551685887120193</v>
      </c>
      <c r="C3567" t="s">
        <v>40</v>
      </c>
      <c r="D3567">
        <v>4.9017280000000003</v>
      </c>
      <c r="E3567">
        <v>0.54765439999999999</v>
      </c>
      <c r="F3567" t="s">
        <v>72</v>
      </c>
      <c r="G3567">
        <v>-315.76420000000002</v>
      </c>
      <c r="H3567" s="1">
        <v>3.4618430000000002E-6</v>
      </c>
      <c r="I3567">
        <v>210.08359999999999</v>
      </c>
      <c r="J3567">
        <v>-380.49610000000001</v>
      </c>
      <c r="K3567">
        <v>1.1100080000000001</v>
      </c>
      <c r="L3567">
        <v>213.18100000000001</v>
      </c>
      <c r="M3567">
        <v>0.99994340000000004</v>
      </c>
      <c r="N3567">
        <v>-9.8523110000000007E-3</v>
      </c>
      <c r="O3567">
        <v>-4.0103259999999998E-3</v>
      </c>
      <c r="P3567">
        <v>0.98136900000000005</v>
      </c>
      <c r="Q3567">
        <v>0.17383860000000001</v>
      </c>
      <c r="R3567">
        <v>8.1822510000000001E-2</v>
      </c>
      <c r="S3567">
        <v>3.0791930000000001</v>
      </c>
      <c r="T3567">
        <v>-5.2534459999999998E-2</v>
      </c>
      <c r="U3567">
        <v>-0.14665220000000001</v>
      </c>
      <c r="V3567">
        <v>-8.5815299999999997E-2</v>
      </c>
      <c r="W3567">
        <v>0.18346870000000001</v>
      </c>
      <c r="X3567">
        <v>0.9792727</v>
      </c>
      <c r="Y3567">
        <v>4.3556659999999997E-2</v>
      </c>
      <c r="Z3567">
        <v>-5.5715769999999999E-4</v>
      </c>
      <c r="AA3567">
        <v>0.99905080000000002</v>
      </c>
      <c r="AB3567">
        <v>34</v>
      </c>
      <c r="AC3567">
        <v>64.731899999999996</v>
      </c>
      <c r="AD3567">
        <v>-1.1100045381569901</v>
      </c>
      <c r="AE3567">
        <v>-3.0973999999999902</v>
      </c>
      <c r="AF3567">
        <v>2.8369341836337898</v>
      </c>
      <c r="AG3567">
        <v>-1.1100045381569901</v>
      </c>
      <c r="AH3567">
        <v>64.724813113954397</v>
      </c>
      <c r="AI3567">
        <v>90.981561067049</v>
      </c>
      <c r="AJ3567">
        <v>87.490291932399302</v>
      </c>
      <c r="AK3567">
        <v>64.796463933407097</v>
      </c>
      <c r="AL3567">
        <v>79.428132917842504</v>
      </c>
      <c r="AM3567">
        <v>95.008131205139193</v>
      </c>
      <c r="AN3567">
        <v>1.00000002527953</v>
      </c>
    </row>
    <row r="3568" spans="1:40" x14ac:dyDescent="0.25">
      <c r="A3568" t="str">
        <f>"20190304155127149"</f>
        <v>20190304155127149</v>
      </c>
      <c r="B3568" t="str">
        <f>"1551685887139713"</f>
        <v>1551685887139713</v>
      </c>
      <c r="C3568" t="s">
        <v>40</v>
      </c>
      <c r="D3568">
        <v>4.7970360000000003</v>
      </c>
      <c r="E3568">
        <v>0.54766049999999999</v>
      </c>
      <c r="F3568" t="s">
        <v>72</v>
      </c>
      <c r="G3568">
        <v>-318.17380000000003</v>
      </c>
      <c r="H3568" s="1">
        <v>4.5303770000000003E-6</v>
      </c>
      <c r="I3568">
        <v>210.14490000000001</v>
      </c>
      <c r="J3568">
        <v>-380.15620000000001</v>
      </c>
      <c r="K3568">
        <v>1.110009</v>
      </c>
      <c r="L3568">
        <v>213.1798</v>
      </c>
      <c r="M3568">
        <v>0.9999441</v>
      </c>
      <c r="N3568">
        <v>-9.8573029999999996E-3</v>
      </c>
      <c r="O3568">
        <v>-3.8589570000000001E-3</v>
      </c>
      <c r="P3568">
        <v>0.98145119999999997</v>
      </c>
      <c r="Q3568">
        <v>0.17328499999999999</v>
      </c>
      <c r="R3568">
        <v>8.2012210000000002E-2</v>
      </c>
      <c r="S3568">
        <v>3.0791629999999999</v>
      </c>
      <c r="T3568">
        <v>-5.4842000000000002E-2</v>
      </c>
      <c r="U3568">
        <v>-0.15000920000000001</v>
      </c>
      <c r="V3568">
        <v>-8.5856429999999997E-2</v>
      </c>
      <c r="W3568">
        <v>0.18292120000000001</v>
      </c>
      <c r="X3568">
        <v>0.97937149999999995</v>
      </c>
      <c r="Y3568">
        <v>4.4793979999999997E-2</v>
      </c>
      <c r="Z3568">
        <v>-5.8890929999999998E-4</v>
      </c>
      <c r="AA3568">
        <v>0.99899610000000005</v>
      </c>
      <c r="AB3568">
        <v>34</v>
      </c>
      <c r="AC3568">
        <v>61.982399999999899</v>
      </c>
      <c r="AD3568">
        <v>-1.110004469623</v>
      </c>
      <c r="AE3568">
        <v>-3.0348999999999902</v>
      </c>
      <c r="AF3568">
        <v>2.7947842222103598</v>
      </c>
      <c r="AG3568">
        <v>-1.110004469623</v>
      </c>
      <c r="AH3568">
        <v>61.973822467126801</v>
      </c>
      <c r="AI3568">
        <v>91.025065411827001</v>
      </c>
      <c r="AJ3568">
        <v>87.4179271744907</v>
      </c>
      <c r="AK3568">
        <v>62.046737222502202</v>
      </c>
      <c r="AL3568">
        <v>79.460042247477304</v>
      </c>
      <c r="AM3568">
        <v>95.010016418451499</v>
      </c>
      <c r="AN3568">
        <v>1.00000001349701</v>
      </c>
    </row>
    <row r="3569" spans="1:40" x14ac:dyDescent="0.25">
      <c r="A3569" t="str">
        <f>"20190304155127170"</f>
        <v>20190304155127170</v>
      </c>
      <c r="B3569" t="str">
        <f>"1551685887160209"</f>
        <v>1551685887160209</v>
      </c>
      <c r="C3569" t="s">
        <v>40</v>
      </c>
      <c r="D3569">
        <v>4.9434290000000001</v>
      </c>
      <c r="E3569">
        <v>0.5473922</v>
      </c>
      <c r="F3569" t="s">
        <v>72</v>
      </c>
      <c r="G3569">
        <v>-318.4907</v>
      </c>
      <c r="H3569" s="1">
        <v>4.6709359999999998E-6</v>
      </c>
      <c r="I3569">
        <v>210.17760000000001</v>
      </c>
      <c r="J3569">
        <v>-379.81380000000001</v>
      </c>
      <c r="K3569">
        <v>1.1100019999999999</v>
      </c>
      <c r="L3569">
        <v>213.17859999999999</v>
      </c>
      <c r="M3569">
        <v>0.99994459999999996</v>
      </c>
      <c r="N3569">
        <v>-9.8623879999999997E-3</v>
      </c>
      <c r="O3569">
        <v>-3.7068729999999999E-3</v>
      </c>
      <c r="P3569">
        <v>0.98181030000000002</v>
      </c>
      <c r="Q3569">
        <v>0.1708539</v>
      </c>
      <c r="R3569">
        <v>8.2812280000000002E-2</v>
      </c>
      <c r="S3569">
        <v>3.0789789999999999</v>
      </c>
      <c r="T3569">
        <v>-5.5422899999999997E-2</v>
      </c>
      <c r="U3569">
        <v>-0.14990229999999999</v>
      </c>
      <c r="V3569">
        <v>-8.6507539999999994E-2</v>
      </c>
      <c r="W3569">
        <v>0.18049879999999999</v>
      </c>
      <c r="X3569">
        <v>0.97976359999999996</v>
      </c>
      <c r="Y3569">
        <v>4.4914009999999997E-2</v>
      </c>
      <c r="Z3569">
        <v>-5.9546600000000001E-4</v>
      </c>
      <c r="AA3569">
        <v>0.99899070000000001</v>
      </c>
      <c r="AB3569">
        <v>35</v>
      </c>
      <c r="AC3569">
        <v>61.323099999999997</v>
      </c>
      <c r="AD3569">
        <v>-1.1099973290639999</v>
      </c>
      <c r="AE3569">
        <v>-3.0009999999999701</v>
      </c>
      <c r="AF3569">
        <v>2.77274511485103</v>
      </c>
      <c r="AG3569">
        <v>-1.1099973290639999</v>
      </c>
      <c r="AH3569">
        <v>61.3137627178738</v>
      </c>
      <c r="AI3569">
        <v>91.036085587043004</v>
      </c>
      <c r="AJ3569">
        <v>87.410721154878203</v>
      </c>
      <c r="AK3569">
        <v>61.386461929045801</v>
      </c>
      <c r="AL3569">
        <v>79.601185602510995</v>
      </c>
      <c r="AM3569">
        <v>95.045805650959096</v>
      </c>
      <c r="AN3569">
        <v>1.0000000415816199</v>
      </c>
    </row>
    <row r="3570" spans="1:40" x14ac:dyDescent="0.25">
      <c r="A3570" t="str">
        <f>"20190304155127192"</f>
        <v>20190304155127192</v>
      </c>
      <c r="B3570" t="str">
        <f>"1551685887190465"</f>
        <v>1551685887190465</v>
      </c>
      <c r="C3570" t="s">
        <v>40</v>
      </c>
      <c r="D3570">
        <v>5.077</v>
      </c>
      <c r="E3570">
        <v>0.50267580000000001</v>
      </c>
      <c r="F3570" t="s">
        <v>70</v>
      </c>
      <c r="G3570">
        <v>-325.41770000000002</v>
      </c>
      <c r="H3570" s="1">
        <v>1.3462440000000001E-6</v>
      </c>
      <c r="I3570">
        <v>210.60220000000001</v>
      </c>
      <c r="J3570">
        <v>-379.47620000000001</v>
      </c>
      <c r="K3570">
        <v>1.1099909999999999</v>
      </c>
      <c r="L3570">
        <v>213.17760000000001</v>
      </c>
      <c r="M3570">
        <v>0.99994519999999998</v>
      </c>
      <c r="N3570">
        <v>-9.8674009999999996E-3</v>
      </c>
      <c r="O3570">
        <v>-3.5563399999999998E-3</v>
      </c>
      <c r="P3570">
        <v>0.98216809999999999</v>
      </c>
      <c r="Q3570">
        <v>0.16804069999999999</v>
      </c>
      <c r="R3570">
        <v>8.4311949999999997E-2</v>
      </c>
      <c r="S3570">
        <v>3.0788570000000002</v>
      </c>
      <c r="T3570">
        <v>-6.2826750000000001E-2</v>
      </c>
      <c r="U3570">
        <v>-0.14582819999999999</v>
      </c>
      <c r="V3570">
        <v>-8.7860250000000001E-2</v>
      </c>
      <c r="W3570">
        <v>0.1776934</v>
      </c>
      <c r="X3570">
        <v>0.98015589999999997</v>
      </c>
      <c r="Y3570">
        <v>4.3745249999999999E-2</v>
      </c>
      <c r="Z3570">
        <v>-6.2457039999999999E-4</v>
      </c>
      <c r="AA3570">
        <v>0.99904250000000006</v>
      </c>
      <c r="AB3570">
        <v>35</v>
      </c>
      <c r="AC3570">
        <v>54.058499999999903</v>
      </c>
      <c r="AD3570">
        <v>-1.1099896537559999</v>
      </c>
      <c r="AE3570">
        <v>-2.5754000000000001</v>
      </c>
      <c r="AF3570">
        <v>2.3821219365137098</v>
      </c>
      <c r="AG3570">
        <v>-1.1099896537559999</v>
      </c>
      <c r="AH3570">
        <v>54.044583469487897</v>
      </c>
      <c r="AI3570">
        <v>91.1754576669328</v>
      </c>
      <c r="AJ3570">
        <v>87.476208710358094</v>
      </c>
      <c r="AK3570">
        <v>54.108442819418698</v>
      </c>
      <c r="AL3570">
        <v>79.764564161778495</v>
      </c>
      <c r="AM3570">
        <v>95.122249519177601</v>
      </c>
      <c r="AN3570">
        <v>0.99999997811921504</v>
      </c>
    </row>
    <row r="3571" spans="1:40" x14ac:dyDescent="0.25">
      <c r="A3571" t="str">
        <f>"20190304155127213"</f>
        <v>20190304155127213</v>
      </c>
      <c r="B3571" t="str">
        <f>"1551685887209985"</f>
        <v>1551685887209985</v>
      </c>
      <c r="C3571" t="s">
        <v>40</v>
      </c>
      <c r="D3571">
        <v>4.9153339999999996</v>
      </c>
      <c r="E3571">
        <v>0.49928919999999999</v>
      </c>
      <c r="F3571" t="s">
        <v>70</v>
      </c>
      <c r="G3571">
        <v>-360.16910000000001</v>
      </c>
      <c r="H3571" s="1">
        <v>-1.446805E-6</v>
      </c>
      <c r="I3571">
        <v>214.50880000000001</v>
      </c>
      <c r="J3571">
        <v>-379.14179999999999</v>
      </c>
      <c r="K3571">
        <v>1.10999</v>
      </c>
      <c r="L3571">
        <v>213.1765</v>
      </c>
      <c r="M3571">
        <v>0.99994559999999999</v>
      </c>
      <c r="N3571">
        <v>-9.8723660000000005E-3</v>
      </c>
      <c r="O3571">
        <v>-3.4074740000000002E-3</v>
      </c>
      <c r="P3571">
        <v>0.98225119999999999</v>
      </c>
      <c r="Q3571">
        <v>0.16682810000000001</v>
      </c>
      <c r="R3571">
        <v>8.573915E-2</v>
      </c>
      <c r="S3571">
        <v>3.0664669999999998</v>
      </c>
      <c r="T3571">
        <v>-0.17629549999999999</v>
      </c>
      <c r="U3571">
        <v>0.21144099999999999</v>
      </c>
      <c r="V3571">
        <v>-8.9141289999999998E-2</v>
      </c>
      <c r="W3571">
        <v>0.17648639999999999</v>
      </c>
      <c r="X3571">
        <v>0.98025830000000003</v>
      </c>
      <c r="Y3571">
        <v>-7.2045799999999993E-2</v>
      </c>
      <c r="Z3571">
        <v>2.5851910000000001E-3</v>
      </c>
      <c r="AA3571">
        <v>0.99739800000000001</v>
      </c>
      <c r="AB3571">
        <v>35</v>
      </c>
      <c r="AC3571">
        <v>18.9726999999999</v>
      </c>
      <c r="AD3571">
        <v>-1.1099914468050001</v>
      </c>
      <c r="AE3571">
        <v>1.3323</v>
      </c>
      <c r="AF3571">
        <v>-1.39220254595425</v>
      </c>
      <c r="AG3571">
        <v>-1.1099914468050001</v>
      </c>
      <c r="AH3571">
        <v>18.903663959716901</v>
      </c>
      <c r="AI3571">
        <v>93.351397746158</v>
      </c>
      <c r="AJ3571">
        <v>94.212071306970103</v>
      </c>
      <c r="AK3571">
        <v>18.9873331472022</v>
      </c>
      <c r="AL3571">
        <v>79.834830746961202</v>
      </c>
      <c r="AM3571">
        <v>95.195988259771596</v>
      </c>
      <c r="AN3571">
        <v>0.99999997684335695</v>
      </c>
    </row>
    <row r="3572" spans="1:40" x14ac:dyDescent="0.25">
      <c r="A3572" t="str">
        <f>"20190304155127237"</f>
        <v>20190304155127237</v>
      </c>
      <c r="B3572" t="str">
        <f>"1551685887230482"</f>
        <v>1551685887230482</v>
      </c>
      <c r="C3572" t="s">
        <v>40</v>
      </c>
      <c r="D3572">
        <v>4.9023099999999999</v>
      </c>
      <c r="E3572">
        <v>0.49823329999999999</v>
      </c>
      <c r="F3572" t="s">
        <v>70</v>
      </c>
      <c r="G3572">
        <v>-359.77460000000002</v>
      </c>
      <c r="H3572" s="1">
        <v>3.660562E-6</v>
      </c>
      <c r="I3572">
        <v>214.7123</v>
      </c>
      <c r="J3572">
        <v>-378.78789999999998</v>
      </c>
      <c r="K3572">
        <v>1.109988</v>
      </c>
      <c r="L3572">
        <v>213.1755</v>
      </c>
      <c r="M3572">
        <v>0.99994609999999995</v>
      </c>
      <c r="N3572">
        <v>-9.877617E-3</v>
      </c>
      <c r="O3572">
        <v>-3.249905E-3</v>
      </c>
      <c r="P3572">
        <v>0.98190820000000001</v>
      </c>
      <c r="Q3572">
        <v>0.1682014</v>
      </c>
      <c r="R3572">
        <v>8.6976079999999997E-2</v>
      </c>
      <c r="S3572">
        <v>3.0628359999999999</v>
      </c>
      <c r="T3572">
        <v>-0.17553949999999999</v>
      </c>
      <c r="U3572">
        <v>0.24287410000000001</v>
      </c>
      <c r="V3572">
        <v>-9.02226E-2</v>
      </c>
      <c r="W3572">
        <v>0.17786099999999999</v>
      </c>
      <c r="X3572">
        <v>0.97991090000000003</v>
      </c>
      <c r="Y3572">
        <v>-8.2127679999999995E-2</v>
      </c>
      <c r="Z3572">
        <v>2.9083160000000002E-3</v>
      </c>
      <c r="AA3572">
        <v>0.99661759999999999</v>
      </c>
      <c r="AB3572">
        <v>35</v>
      </c>
      <c r="AC3572">
        <v>19.013299999999902</v>
      </c>
      <c r="AD3572">
        <v>-1.109984339438</v>
      </c>
      <c r="AE3572">
        <v>1.53679999999999</v>
      </c>
      <c r="AF3572">
        <v>-1.59319171364501</v>
      </c>
      <c r="AG3572">
        <v>-1.109984339438</v>
      </c>
      <c r="AH3572">
        <v>18.944059754590899</v>
      </c>
      <c r="AI3572">
        <v>93.341513539991496</v>
      </c>
      <c r="AJ3572">
        <v>94.807251588568704</v>
      </c>
      <c r="AK3572">
        <v>19.043311819526998</v>
      </c>
      <c r="AL3572">
        <v>79.754806303064996</v>
      </c>
      <c r="AM3572">
        <v>95.260519711780503</v>
      </c>
      <c r="AN3572">
        <v>1.0000000124052799</v>
      </c>
    </row>
    <row r="3573" spans="1:40" x14ac:dyDescent="0.25">
      <c r="A3573" t="str">
        <f>"20190304155127259"</f>
        <v>20190304155127259</v>
      </c>
      <c r="B3573" t="str">
        <f>"1551685887250005"</f>
        <v>1551685887250005</v>
      </c>
      <c r="C3573" t="s">
        <v>40</v>
      </c>
      <c r="D3573">
        <v>4.869478</v>
      </c>
      <c r="E3573">
        <v>0.4964652</v>
      </c>
      <c r="F3573" t="s">
        <v>70</v>
      </c>
      <c r="G3573">
        <v>-359.5652</v>
      </c>
      <c r="H3573" s="1">
        <v>3.546313E-6</v>
      </c>
      <c r="I3573">
        <v>214.7775</v>
      </c>
      <c r="J3573">
        <v>-378.43380000000002</v>
      </c>
      <c r="K3573">
        <v>1.10999</v>
      </c>
      <c r="L3573">
        <v>213.17449999999999</v>
      </c>
      <c r="M3573">
        <v>0.99994640000000001</v>
      </c>
      <c r="N3573">
        <v>-9.8830040000000008E-3</v>
      </c>
      <c r="O3573">
        <v>-3.0921E-3</v>
      </c>
      <c r="P3573">
        <v>0.98165709999999995</v>
      </c>
      <c r="Q3573">
        <v>0.16927739999999999</v>
      </c>
      <c r="R3573">
        <v>8.7718320000000002E-2</v>
      </c>
      <c r="S3573">
        <v>3.0629879999999998</v>
      </c>
      <c r="T3573">
        <v>-0.17686769999999999</v>
      </c>
      <c r="U3573">
        <v>0.2552643</v>
      </c>
      <c r="V3573">
        <v>-9.0809639999999997E-2</v>
      </c>
      <c r="W3573">
        <v>0.17894009999999999</v>
      </c>
      <c r="X3573">
        <v>0.97966019999999998</v>
      </c>
      <c r="Y3573">
        <v>-8.5961330000000002E-2</v>
      </c>
      <c r="Z3573">
        <v>3.049057E-3</v>
      </c>
      <c r="AA3573">
        <v>0.99629380000000001</v>
      </c>
      <c r="AB3573">
        <v>35</v>
      </c>
      <c r="AC3573">
        <v>18.868600000000001</v>
      </c>
      <c r="AD3573">
        <v>-1.1099864536869899</v>
      </c>
      <c r="AE3573">
        <v>1.603</v>
      </c>
      <c r="AF3573">
        <v>-1.65565023581503</v>
      </c>
      <c r="AG3573">
        <v>-1.1099864536869899</v>
      </c>
      <c r="AH3573">
        <v>18.7989627121304</v>
      </c>
      <c r="AI3573">
        <v>93.366111856388997</v>
      </c>
      <c r="AJ3573">
        <v>95.033130834375001</v>
      </c>
      <c r="AK3573">
        <v>18.904344650973599</v>
      </c>
      <c r="AL3573">
        <v>79.691970578779404</v>
      </c>
      <c r="AM3573">
        <v>95.295900975696995</v>
      </c>
      <c r="AN3573">
        <v>1.0000000287844799</v>
      </c>
    </row>
    <row r="3574" spans="1:40" x14ac:dyDescent="0.25">
      <c r="A3574" t="str">
        <f>"20190304155127283"</f>
        <v>20190304155127283</v>
      </c>
      <c r="B3574" t="str">
        <f>"1551685887280257"</f>
        <v>1551685887280257</v>
      </c>
      <c r="C3574" t="s">
        <v>40</v>
      </c>
      <c r="D3574">
        <v>4.8608079999999996</v>
      </c>
      <c r="E3574">
        <v>0.49450699999999997</v>
      </c>
      <c r="F3574" t="s">
        <v>70</v>
      </c>
      <c r="G3574">
        <v>-358.10770000000002</v>
      </c>
      <c r="H3574" s="1">
        <v>2.7619589999999999E-6</v>
      </c>
      <c r="I3574">
        <v>214.97720000000001</v>
      </c>
      <c r="J3574">
        <v>-378.07769999999999</v>
      </c>
      <c r="K3574">
        <v>1.1099950000000001</v>
      </c>
      <c r="L3574">
        <v>213.17349999999999</v>
      </c>
      <c r="M3574">
        <v>0.99994689999999997</v>
      </c>
      <c r="N3574">
        <v>-9.8885239999999992E-3</v>
      </c>
      <c r="O3574">
        <v>-2.9335810000000002E-3</v>
      </c>
      <c r="P3574">
        <v>0.98147799999999996</v>
      </c>
      <c r="Q3574">
        <v>0.17006969999999999</v>
      </c>
      <c r="R3574">
        <v>8.8191160000000005E-2</v>
      </c>
      <c r="S3574">
        <v>3.0606080000000002</v>
      </c>
      <c r="T3574">
        <v>-0.1671369</v>
      </c>
      <c r="U3574">
        <v>0.27145390000000003</v>
      </c>
      <c r="V3574">
        <v>-9.1126460000000006E-2</v>
      </c>
      <c r="W3574">
        <v>0.1797357</v>
      </c>
      <c r="X3574">
        <v>0.9794851</v>
      </c>
      <c r="Y3574">
        <v>-9.1105679999999994E-2</v>
      </c>
      <c r="Z3574">
        <v>3.0634630000000002E-3</v>
      </c>
      <c r="AA3574">
        <v>0.99583650000000001</v>
      </c>
      <c r="AB3574">
        <v>35</v>
      </c>
      <c r="AC3574">
        <v>19.969999999999899</v>
      </c>
      <c r="AD3574">
        <v>-1.1099922380409999</v>
      </c>
      <c r="AE3574">
        <v>1.8037000000000201</v>
      </c>
      <c r="AF3574">
        <v>-1.8565892490493101</v>
      </c>
      <c r="AG3574">
        <v>-1.1099922380409999</v>
      </c>
      <c r="AH3574">
        <v>19.9036284492744</v>
      </c>
      <c r="AI3574">
        <v>93.178215535117701</v>
      </c>
      <c r="AJ3574">
        <v>95.329068943710993</v>
      </c>
      <c r="AK3574">
        <v>20.020824954405899</v>
      </c>
      <c r="AL3574">
        <v>79.645634615684102</v>
      </c>
      <c r="AM3574">
        <v>95.3152164841689</v>
      </c>
      <c r="AN3574">
        <v>1.00000000734431</v>
      </c>
    </row>
    <row r="3575" spans="1:40" x14ac:dyDescent="0.25">
      <c r="A3575" t="str">
        <f>"20190304155127306"</f>
        <v>20190304155127306</v>
      </c>
      <c r="B3575" t="str">
        <f>"1551685887299777"</f>
        <v>1551685887299777</v>
      </c>
      <c r="C3575" t="s">
        <v>40</v>
      </c>
      <c r="D3575">
        <v>4.8920719999999998</v>
      </c>
      <c r="E3575">
        <v>0.49363400000000002</v>
      </c>
      <c r="F3575" t="s">
        <v>70</v>
      </c>
      <c r="G3575">
        <v>-358.0265</v>
      </c>
      <c r="H3575" s="1">
        <v>2.7149769999999998E-6</v>
      </c>
      <c r="I3575">
        <v>215.0635</v>
      </c>
      <c r="J3575">
        <v>-377.71339999999998</v>
      </c>
      <c r="K3575">
        <v>1.1099969999999999</v>
      </c>
      <c r="L3575">
        <v>213.17250000000001</v>
      </c>
      <c r="M3575">
        <v>0.99994720000000004</v>
      </c>
      <c r="N3575">
        <v>-9.8940620000000003E-3</v>
      </c>
      <c r="O3575">
        <v>-2.7711260000000001E-3</v>
      </c>
      <c r="P3575">
        <v>0.98135790000000001</v>
      </c>
      <c r="Q3575">
        <v>0.17075799999999999</v>
      </c>
      <c r="R3575">
        <v>8.8195319999999994E-2</v>
      </c>
      <c r="S3575">
        <v>3.0600890000000001</v>
      </c>
      <c r="T3575">
        <v>-0.1694002</v>
      </c>
      <c r="U3575">
        <v>0.2884369</v>
      </c>
      <c r="V3575">
        <v>-9.0971330000000003E-2</v>
      </c>
      <c r="W3575">
        <v>0.18042849999999999</v>
      </c>
      <c r="X3575">
        <v>0.97937209999999997</v>
      </c>
      <c r="Y3575">
        <v>-9.6424860000000001E-2</v>
      </c>
      <c r="Z3575">
        <v>3.2651379999999999E-3</v>
      </c>
      <c r="AA3575">
        <v>0.99533490000000002</v>
      </c>
      <c r="AB3575">
        <v>35</v>
      </c>
      <c r="AC3575">
        <v>19.686899999999898</v>
      </c>
      <c r="AD3575">
        <v>-1.10999428502299</v>
      </c>
      <c r="AE3575">
        <v>1.89099999999999</v>
      </c>
      <c r="AF3575">
        <v>-1.9394412234988301</v>
      </c>
      <c r="AG3575">
        <v>-1.10999428502299</v>
      </c>
      <c r="AH3575">
        <v>19.619783380895299</v>
      </c>
      <c r="AI3575">
        <v>93.222399272388301</v>
      </c>
      <c r="AJ3575">
        <v>95.645422109415406</v>
      </c>
      <c r="AK3575">
        <v>19.746630585632701</v>
      </c>
      <c r="AL3575">
        <v>79.605279961462301</v>
      </c>
      <c r="AM3575">
        <v>95.306828503774398</v>
      </c>
      <c r="AN3575">
        <v>0.999999968376313</v>
      </c>
    </row>
    <row r="3576" spans="1:40" x14ac:dyDescent="0.25">
      <c r="A3576" t="str">
        <f>"20190304155127328"</f>
        <v>20190304155127328</v>
      </c>
      <c r="B3576" t="str">
        <f>"1551685887320274"</f>
        <v>1551685887320274</v>
      </c>
      <c r="C3576" t="s">
        <v>40</v>
      </c>
      <c r="D3576">
        <v>4.8763199999999998</v>
      </c>
      <c r="E3576">
        <v>0.49286849999999999</v>
      </c>
      <c r="F3576" t="s">
        <v>70</v>
      </c>
      <c r="G3576">
        <v>-357.86320000000001</v>
      </c>
      <c r="H3576" s="1">
        <v>2.6267810000000001E-6</v>
      </c>
      <c r="I3576">
        <v>215.0925</v>
      </c>
      <c r="J3576">
        <v>-377.37860000000001</v>
      </c>
      <c r="K3576">
        <v>1.1099920000000001</v>
      </c>
      <c r="L3576">
        <v>213.17179999999999</v>
      </c>
      <c r="M3576">
        <v>0.99994769999999999</v>
      </c>
      <c r="N3576">
        <v>-9.8991170000000007E-3</v>
      </c>
      <c r="O3576">
        <v>-2.622259E-3</v>
      </c>
      <c r="P3576">
        <v>0.98152740000000005</v>
      </c>
      <c r="Q3576">
        <v>0.1702922</v>
      </c>
      <c r="R3576">
        <v>8.7205370000000004E-2</v>
      </c>
      <c r="S3576">
        <v>3.0601500000000001</v>
      </c>
      <c r="T3576">
        <v>-0.17111870000000001</v>
      </c>
      <c r="U3576">
        <v>0.29598999999999998</v>
      </c>
      <c r="V3576">
        <v>-8.9836199999999894E-2</v>
      </c>
      <c r="W3576">
        <v>0.1799693</v>
      </c>
      <c r="X3576">
        <v>0.97956140000000003</v>
      </c>
      <c r="Y3576">
        <v>-9.8701769999999994E-2</v>
      </c>
      <c r="Z3576">
        <v>3.3614909999999999E-3</v>
      </c>
      <c r="AA3576">
        <v>0.99511139999999998</v>
      </c>
      <c r="AB3576">
        <v>35</v>
      </c>
      <c r="AC3576">
        <v>19.5154</v>
      </c>
      <c r="AD3576">
        <v>-1.109989373219</v>
      </c>
      <c r="AE3576">
        <v>1.9207000000000101</v>
      </c>
      <c r="AF3576">
        <v>-1.96557258147025</v>
      </c>
      <c r="AG3576">
        <v>-1.109989373219</v>
      </c>
      <c r="AH3576">
        <v>19.447984206281902</v>
      </c>
      <c r="AI3576">
        <v>93.250078455855601</v>
      </c>
      <c r="AJ3576">
        <v>95.7711835716227</v>
      </c>
      <c r="AK3576">
        <v>19.578550550780701</v>
      </c>
      <c r="AL3576">
        <v>79.632028524518603</v>
      </c>
      <c r="AM3576">
        <v>95.2399743799795</v>
      </c>
      <c r="AN3576">
        <v>1.00000001407144</v>
      </c>
    </row>
    <row r="3577" spans="1:40" x14ac:dyDescent="0.25">
      <c r="A3577" t="str">
        <f>"20190304155127350"</f>
        <v>20190304155127350</v>
      </c>
      <c r="B3577" t="str">
        <f>"1551685887339793"</f>
        <v>1551685887339793</v>
      </c>
      <c r="C3577" t="s">
        <v>40</v>
      </c>
      <c r="D3577">
        <v>4.8762559999999997</v>
      </c>
      <c r="E3577">
        <v>0.49202010000000002</v>
      </c>
      <c r="F3577" t="s">
        <v>70</v>
      </c>
      <c r="G3577">
        <v>-357.68009999999998</v>
      </c>
      <c r="H3577" s="1">
        <v>2.529059E-6</v>
      </c>
      <c r="I3577">
        <v>215.09989999999999</v>
      </c>
      <c r="J3577">
        <v>-377.0206</v>
      </c>
      <c r="K3577">
        <v>1.1099859999999999</v>
      </c>
      <c r="L3577">
        <v>213.17089999999999</v>
      </c>
      <c r="M3577">
        <v>0.99994799999999995</v>
      </c>
      <c r="N3577">
        <v>-9.9045539999999994E-3</v>
      </c>
      <c r="O3577">
        <v>-2.4627830000000001E-3</v>
      </c>
      <c r="P3577">
        <v>0.98190980000000005</v>
      </c>
      <c r="Q3577">
        <v>0.16878489999999999</v>
      </c>
      <c r="R3577">
        <v>8.5819759999999995E-2</v>
      </c>
      <c r="S3577">
        <v>3.0597530000000002</v>
      </c>
      <c r="T3577">
        <v>-0.1724144</v>
      </c>
      <c r="U3577">
        <v>0.29949949999999997</v>
      </c>
      <c r="V3577">
        <v>-8.8293949999999996E-2</v>
      </c>
      <c r="W3577">
        <v>0.17847189999999999</v>
      </c>
      <c r="X3577">
        <v>0.9799755</v>
      </c>
      <c r="Y3577">
        <v>-9.9681820000000004E-2</v>
      </c>
      <c r="Z3577">
        <v>3.4089099999999998E-3</v>
      </c>
      <c r="AA3577">
        <v>0.9950135</v>
      </c>
      <c r="AB3577">
        <v>35</v>
      </c>
      <c r="AC3577">
        <v>19.340499999999999</v>
      </c>
      <c r="AD3577">
        <v>-1.1099834709409999</v>
      </c>
      <c r="AE3577">
        <v>1.929</v>
      </c>
      <c r="AF3577">
        <v>-1.9702023981260901</v>
      </c>
      <c r="AG3577">
        <v>-1.1099834709409999</v>
      </c>
      <c r="AH3577">
        <v>19.2728347563834</v>
      </c>
      <c r="AI3577">
        <v>93.279151776406295</v>
      </c>
      <c r="AJ3577">
        <v>95.836894496044806</v>
      </c>
      <c r="AK3577">
        <v>19.405048836377699</v>
      </c>
      <c r="AL3577">
        <v>79.719235168005696</v>
      </c>
      <c r="AM3577">
        <v>95.148341188336701</v>
      </c>
      <c r="AN3577">
        <v>1.0000000106482301</v>
      </c>
    </row>
    <row r="3578" spans="1:40" x14ac:dyDescent="0.25">
      <c r="A3578" t="str">
        <f>"20190304155127383"</f>
        <v>20190304155127383</v>
      </c>
      <c r="B3578" t="str">
        <f>"1551685887379810"</f>
        <v>1551685887379810</v>
      </c>
      <c r="C3578" t="s">
        <v>40</v>
      </c>
      <c r="D3578">
        <v>4.9430370000000003</v>
      </c>
      <c r="E3578">
        <v>0.49166989999999999</v>
      </c>
      <c r="F3578" t="s">
        <v>70</v>
      </c>
      <c r="G3578">
        <v>-357.9452</v>
      </c>
      <c r="H3578" s="1">
        <v>2.6719280000000001E-6</v>
      </c>
      <c r="I3578">
        <v>215.05770000000001</v>
      </c>
      <c r="J3578">
        <v>-376.50069999999999</v>
      </c>
      <c r="K3578">
        <v>1.1099870000000001</v>
      </c>
      <c r="L3578">
        <v>213.16990000000001</v>
      </c>
      <c r="M3578">
        <v>0.99994839999999996</v>
      </c>
      <c r="N3578">
        <v>-9.9125169999999992E-3</v>
      </c>
      <c r="O3578">
        <v>-2.2314370000000002E-3</v>
      </c>
      <c r="P3578">
        <v>0.98212619999999895</v>
      </c>
      <c r="Q3578">
        <v>0.16814200000000001</v>
      </c>
      <c r="R3578">
        <v>8.4594509999999998E-2</v>
      </c>
      <c r="S3578">
        <v>3.059418</v>
      </c>
      <c r="T3578">
        <v>-0.17802499999999999</v>
      </c>
      <c r="U3578">
        <v>0.3026123</v>
      </c>
      <c r="V3578">
        <v>-8.6842260000000004E-2</v>
      </c>
      <c r="W3578">
        <v>0.1778399</v>
      </c>
      <c r="X3578">
        <v>0.98022010000000004</v>
      </c>
      <c r="Y3578">
        <v>-0.1004521</v>
      </c>
      <c r="Z3578">
        <v>3.520006E-3</v>
      </c>
      <c r="AA3578">
        <v>0.99493569999999998</v>
      </c>
      <c r="AB3578">
        <v>35</v>
      </c>
      <c r="AC3578">
        <v>18.555499999999899</v>
      </c>
      <c r="AD3578">
        <v>-1.1099843280720001</v>
      </c>
      <c r="AE3578">
        <v>1.8877999999999899</v>
      </c>
      <c r="AF3578">
        <v>-1.92239414868138</v>
      </c>
      <c r="AG3578">
        <v>-1.1099843280720001</v>
      </c>
      <c r="AH3578">
        <v>18.485769359540701</v>
      </c>
      <c r="AI3578">
        <v>93.417831427230496</v>
      </c>
      <c r="AJ3578">
        <v>95.937030161713196</v>
      </c>
      <c r="AK3578">
        <v>18.618574953137099</v>
      </c>
      <c r="AL3578">
        <v>79.756034973612699</v>
      </c>
      <c r="AM3578">
        <v>95.062881132232405</v>
      </c>
      <c r="AN3578">
        <v>1.0000000262989599</v>
      </c>
    </row>
    <row r="3579" spans="1:40" x14ac:dyDescent="0.25">
      <c r="A3579" t="str">
        <f>"20190304155127403"</f>
        <v>20190304155127403</v>
      </c>
      <c r="B3579" t="str">
        <f>"1551685887400306"</f>
        <v>1551685887400306</v>
      </c>
      <c r="C3579" t="s">
        <v>40</v>
      </c>
      <c r="D3579">
        <v>5.0566250000000004</v>
      </c>
      <c r="E3579">
        <v>0.49184</v>
      </c>
      <c r="F3579" t="s">
        <v>70</v>
      </c>
      <c r="G3579">
        <v>-357.76060000000001</v>
      </c>
      <c r="H3579" s="1">
        <v>2.5751390000000001E-6</v>
      </c>
      <c r="I3579">
        <v>215.02459999999999</v>
      </c>
      <c r="J3579">
        <v>-376.20069999999998</v>
      </c>
      <c r="K3579">
        <v>1.1099909999999999</v>
      </c>
      <c r="L3579">
        <v>213.16929999999999</v>
      </c>
      <c r="M3579">
        <v>0.99994870000000002</v>
      </c>
      <c r="N3579">
        <v>-9.9171350000000005E-3</v>
      </c>
      <c r="O3579">
        <v>-2.0981820000000001E-3</v>
      </c>
      <c r="P3579">
        <v>0.98228800000000005</v>
      </c>
      <c r="Q3579">
        <v>0.16756599999999999</v>
      </c>
      <c r="R3579">
        <v>8.3858249999999995E-2</v>
      </c>
      <c r="S3579">
        <v>3.0595400000000001</v>
      </c>
      <c r="T3579">
        <v>-0.18121699999999999</v>
      </c>
      <c r="U3579">
        <v>0.30281069999999999</v>
      </c>
      <c r="V3579">
        <v>-8.5975300000000004E-2</v>
      </c>
      <c r="W3579">
        <v>0.17727019999999999</v>
      </c>
      <c r="X3579">
        <v>0.98039969999999999</v>
      </c>
      <c r="Y3579">
        <v>-0.10037310000000001</v>
      </c>
      <c r="Z3579">
        <v>3.5652969999999998E-3</v>
      </c>
      <c r="AA3579">
        <v>0.99494349999999998</v>
      </c>
      <c r="AB3579">
        <v>35</v>
      </c>
      <c r="AC3579">
        <v>18.440099999999902</v>
      </c>
      <c r="AD3579">
        <v>-1.1099884248609999</v>
      </c>
      <c r="AE3579">
        <v>1.8552999999999999</v>
      </c>
      <c r="AF3579">
        <v>-1.88721897220429</v>
      </c>
      <c r="AG3579">
        <v>-1.1099884248609999</v>
      </c>
      <c r="AH3579">
        <v>18.370271566138602</v>
      </c>
      <c r="AI3579">
        <v>93.439723789223393</v>
      </c>
      <c r="AJ3579">
        <v>95.865546163047995</v>
      </c>
      <c r="AK3579">
        <v>18.500285056345799</v>
      </c>
      <c r="AL3579">
        <v>79.789203371327105</v>
      </c>
      <c r="AM3579">
        <v>95.011682801762603</v>
      </c>
      <c r="AN3579">
        <v>1.0000000238891</v>
      </c>
    </row>
    <row r="3580" spans="1:40" x14ac:dyDescent="0.25">
      <c r="A3580" t="str">
        <f>"20190304155127427"</f>
        <v>20190304155127427</v>
      </c>
      <c r="B3580" t="str">
        <f>"1551685887419826"</f>
        <v>1551685887419826</v>
      </c>
      <c r="C3580" t="s">
        <v>40</v>
      </c>
      <c r="D3580">
        <v>4.9356799999999996</v>
      </c>
      <c r="E3580">
        <v>0.49175000000000002</v>
      </c>
      <c r="F3580" t="s">
        <v>70</v>
      </c>
      <c r="G3580">
        <v>-357.65530000000001</v>
      </c>
      <c r="H3580" s="1">
        <v>2.5206929999999999E-6</v>
      </c>
      <c r="I3580">
        <v>214.98949999999999</v>
      </c>
      <c r="J3580">
        <v>-375.82100000000003</v>
      </c>
      <c r="K3580">
        <v>1.1099870000000001</v>
      </c>
      <c r="L3580">
        <v>213.1686</v>
      </c>
      <c r="M3580">
        <v>0.99994899999999998</v>
      </c>
      <c r="N3580">
        <v>-9.923009E-3</v>
      </c>
      <c r="O3580">
        <v>-1.929292E-3</v>
      </c>
      <c r="P3580">
        <v>0.98213110000000003</v>
      </c>
      <c r="Q3580">
        <v>0.16836199999999901</v>
      </c>
      <c r="R3580">
        <v>8.4099229999999997E-2</v>
      </c>
      <c r="S3580">
        <v>3.0596920000000001</v>
      </c>
      <c r="T3580">
        <v>-0.1831306</v>
      </c>
      <c r="U3580">
        <v>0.30030820000000003</v>
      </c>
      <c r="V3580">
        <v>-8.6050559999999998E-2</v>
      </c>
      <c r="W3580">
        <v>0.17807020000000001</v>
      </c>
      <c r="X3580">
        <v>0.98024809999999996</v>
      </c>
      <c r="Y3580">
        <v>-9.9392380000000002E-2</v>
      </c>
      <c r="Z3580">
        <v>3.5555360000000002E-3</v>
      </c>
      <c r="AA3580">
        <v>0.99504199999999998</v>
      </c>
      <c r="AB3580">
        <v>35</v>
      </c>
      <c r="AC3580">
        <v>18.165699999999902</v>
      </c>
      <c r="AD3580">
        <v>-1.1099844793069999</v>
      </c>
      <c r="AE3580">
        <v>1.82089999999999</v>
      </c>
      <c r="AF3580">
        <v>-1.8491100856385201</v>
      </c>
      <c r="AG3580">
        <v>-1.1099844793069999</v>
      </c>
      <c r="AH3580">
        <v>18.095264296695099</v>
      </c>
      <c r="AI3580">
        <v>93.492051469219206</v>
      </c>
      <c r="AJ3580">
        <v>95.834660485984301</v>
      </c>
      <c r="AK3580">
        <v>18.2233329448913</v>
      </c>
      <c r="AL3580">
        <v>79.742625621887697</v>
      </c>
      <c r="AM3580">
        <v>95.0168192916816</v>
      </c>
      <c r="AN3580">
        <v>1.0000000162789799</v>
      </c>
    </row>
    <row r="3581" spans="1:40" x14ac:dyDescent="0.25">
      <c r="A3581" t="str">
        <f>"20190304155127450"</f>
        <v>20190304155127450</v>
      </c>
      <c r="B3581" t="str">
        <f>"1551685887440324"</f>
        <v>1551685887440324</v>
      </c>
      <c r="C3581" t="s">
        <v>40</v>
      </c>
      <c r="D3581">
        <v>5.1606589999999999</v>
      </c>
      <c r="E3581">
        <v>0.4912627</v>
      </c>
      <c r="F3581" t="s">
        <v>70</v>
      </c>
      <c r="G3581">
        <v>-356.77760000000001</v>
      </c>
      <c r="H3581" s="1">
        <v>2.050487E-6</v>
      </c>
      <c r="I3581">
        <v>215.06</v>
      </c>
      <c r="J3581">
        <v>-375.4633</v>
      </c>
      <c r="K3581">
        <v>1.1099760000000001</v>
      </c>
      <c r="L3581">
        <v>213.16810000000001</v>
      </c>
      <c r="M3581">
        <v>0.99994910000000004</v>
      </c>
      <c r="N3581">
        <v>-9.928437E-3</v>
      </c>
      <c r="O3581">
        <v>-1.7702929999999901E-3</v>
      </c>
      <c r="P3581">
        <v>0.98237560000000002</v>
      </c>
      <c r="Q3581">
        <v>0.16707139999999901</v>
      </c>
      <c r="R3581">
        <v>8.3817379999999997E-2</v>
      </c>
      <c r="S3581">
        <v>3.0591430000000002</v>
      </c>
      <c r="T3581">
        <v>-0.1783082</v>
      </c>
      <c r="U3581">
        <v>0.30383300000000002</v>
      </c>
      <c r="V3581">
        <v>-8.5612599999999997E-2</v>
      </c>
      <c r="W3581">
        <v>0.17678769999999999</v>
      </c>
      <c r="X3581">
        <v>0.98051849999999996</v>
      </c>
      <c r="Y3581">
        <v>-0.1003951</v>
      </c>
      <c r="Z3581">
        <v>3.5016639999999998E-3</v>
      </c>
      <c r="AA3581">
        <v>0.99494150000000003</v>
      </c>
      <c r="AB3581">
        <v>35</v>
      </c>
      <c r="AC3581">
        <v>18.685700000000001</v>
      </c>
      <c r="AD3581">
        <v>-1.1099739495129901</v>
      </c>
      <c r="AE3581">
        <v>1.8918999999999899</v>
      </c>
      <c r="AF3581">
        <v>-1.91827761381887</v>
      </c>
      <c r="AG3581">
        <v>-1.1099739495129901</v>
      </c>
      <c r="AH3581">
        <v>18.617294294240999</v>
      </c>
      <c r="AI3581">
        <v>93.394042023778894</v>
      </c>
      <c r="AJ3581">
        <v>95.882847989897002</v>
      </c>
      <c r="AK3581">
        <v>18.748746038352898</v>
      </c>
      <c r="AL3581">
        <v>79.817291659915597</v>
      </c>
      <c r="AM3581">
        <v>94.990045633888499</v>
      </c>
      <c r="AN3581">
        <v>0.99999996849614903</v>
      </c>
    </row>
    <row r="3582" spans="1:40" x14ac:dyDescent="0.25">
      <c r="A3582" t="str">
        <f>"20190304155127471"</f>
        <v>20190304155127471</v>
      </c>
      <c r="B3582" t="str">
        <f>"1551685887459841"</f>
        <v>1551685887459841</v>
      </c>
      <c r="C3582" t="s">
        <v>40</v>
      </c>
      <c r="D3582">
        <v>5.0357279999999998</v>
      </c>
      <c r="E3582">
        <v>0.49117240000000001</v>
      </c>
      <c r="F3582" t="s">
        <v>70</v>
      </c>
      <c r="G3582">
        <v>-356.50029999999998</v>
      </c>
      <c r="H3582" s="1">
        <v>1.9019730000000001E-6</v>
      </c>
      <c r="I3582">
        <v>215.08269999999999</v>
      </c>
      <c r="J3582">
        <v>-375.1155</v>
      </c>
      <c r="K3582">
        <v>1.109977</v>
      </c>
      <c r="L3582">
        <v>213.16759999999999</v>
      </c>
      <c r="M3582">
        <v>0.99994939999999999</v>
      </c>
      <c r="N3582">
        <v>-9.9336300000000006E-3</v>
      </c>
      <c r="O3582">
        <v>-1.615467E-3</v>
      </c>
      <c r="P3582">
        <v>0.98254249999999999</v>
      </c>
      <c r="Q3582">
        <v>0.16674249999999999</v>
      </c>
      <c r="R3582">
        <v>8.2508209999999998E-2</v>
      </c>
      <c r="S3582">
        <v>3.0579529999999999</v>
      </c>
      <c r="T3582">
        <v>-0.17899300000000001</v>
      </c>
      <c r="U3582">
        <v>0.30874629999999997</v>
      </c>
      <c r="V3582">
        <v>-8.4152130000000006E-2</v>
      </c>
      <c r="W3582">
        <v>0.17646619999999999</v>
      </c>
      <c r="X3582">
        <v>0.98070290000000004</v>
      </c>
      <c r="Y3582">
        <v>-0.1018575</v>
      </c>
      <c r="Z3582">
        <v>3.5569109999999998E-3</v>
      </c>
      <c r="AA3582">
        <v>0.99479260000000003</v>
      </c>
      <c r="AB3582">
        <v>35</v>
      </c>
      <c r="AC3582">
        <v>18.615200000000002</v>
      </c>
      <c r="AD3582">
        <v>-1.109975098027</v>
      </c>
      <c r="AE3582">
        <v>1.91509999999999</v>
      </c>
      <c r="AF3582">
        <v>-1.9383517446818299</v>
      </c>
      <c r="AG3582">
        <v>-1.109975098027</v>
      </c>
      <c r="AH3582">
        <v>18.5468305939016</v>
      </c>
      <c r="AI3582">
        <v>93.406395714931406</v>
      </c>
      <c r="AJ3582">
        <v>95.966391450828695</v>
      </c>
      <c r="AK3582">
        <v>18.6808505503158</v>
      </c>
      <c r="AL3582">
        <v>79.836007219060804</v>
      </c>
      <c r="AM3582">
        <v>94.904421265527603</v>
      </c>
      <c r="AN3582">
        <v>1.00000003939719</v>
      </c>
    </row>
    <row r="3583" spans="1:40" x14ac:dyDescent="0.25">
      <c r="A3583" t="str">
        <f>"20190304155127494"</f>
        <v>20190304155127494</v>
      </c>
      <c r="B3583" t="str">
        <f>"1551685887490097"</f>
        <v>1551685887490097</v>
      </c>
      <c r="C3583" t="s">
        <v>40</v>
      </c>
      <c r="D3583">
        <v>4.973681</v>
      </c>
      <c r="E3583">
        <v>0.49057580000000001</v>
      </c>
      <c r="F3583" t="s">
        <v>70</v>
      </c>
      <c r="G3583">
        <v>-356.20960000000002</v>
      </c>
      <c r="H3583" s="1">
        <v>1.748008E-6</v>
      </c>
      <c r="I3583">
        <v>215.06530000000001</v>
      </c>
      <c r="J3583">
        <v>-374.77460000000002</v>
      </c>
      <c r="K3583">
        <v>1.1099920000000001</v>
      </c>
      <c r="L3583">
        <v>213.16720000000001</v>
      </c>
      <c r="M3583">
        <v>0.99994970000000005</v>
      </c>
      <c r="N3583">
        <v>-9.9386700000000001E-3</v>
      </c>
      <c r="O3583">
        <v>-1.4644549999999999E-3</v>
      </c>
      <c r="P3583">
        <v>0.98241199999999995</v>
      </c>
      <c r="Q3583">
        <v>0.16868</v>
      </c>
      <c r="R3583">
        <v>8.0088790000000007E-2</v>
      </c>
      <c r="S3583">
        <v>3.0579830000000001</v>
      </c>
      <c r="T3583">
        <v>-0.17953569999999999</v>
      </c>
      <c r="U3583">
        <v>0.30694579999999999</v>
      </c>
      <c r="V3583">
        <v>-8.1584489999999996E-2</v>
      </c>
      <c r="W3583">
        <v>0.1784085</v>
      </c>
      <c r="X3583">
        <v>0.98056840000000001</v>
      </c>
      <c r="Y3583">
        <v>-0.10112690000000001</v>
      </c>
      <c r="Z3583">
        <v>3.5341270000000002E-3</v>
      </c>
      <c r="AA3583">
        <v>0.99486730000000001</v>
      </c>
      <c r="AB3583">
        <v>35</v>
      </c>
      <c r="AC3583">
        <v>18.565000000000001</v>
      </c>
      <c r="AD3583">
        <v>-1.109990251992</v>
      </c>
      <c r="AE3583">
        <v>1.8980999999999999</v>
      </c>
      <c r="AF3583">
        <v>-1.91849965825642</v>
      </c>
      <c r="AG3583">
        <v>-1.109990251992</v>
      </c>
      <c r="AH3583">
        <v>18.496762582953</v>
      </c>
      <c r="AI3583">
        <v>93.415918461868699</v>
      </c>
      <c r="AJ3583">
        <v>95.921591814543902</v>
      </c>
      <c r="AK3583">
        <v>18.629088688080799</v>
      </c>
      <c r="AL3583">
        <v>79.722926906942703</v>
      </c>
      <c r="AM3583">
        <v>94.756124439882896</v>
      </c>
      <c r="AN3583">
        <v>1.00000000447968</v>
      </c>
    </row>
    <row r="3584" spans="1:40" x14ac:dyDescent="0.25">
      <c r="A3584" t="str">
        <f>"20190304155127517"</f>
        <v>20190304155127517</v>
      </c>
      <c r="B3584" t="str">
        <f>"1551685887510593"</f>
        <v>1551685887510593</v>
      </c>
      <c r="C3584" t="s">
        <v>40</v>
      </c>
      <c r="D3584">
        <v>5.0130109999999997</v>
      </c>
      <c r="E3584">
        <v>0.490259</v>
      </c>
      <c r="F3584" t="s">
        <v>70</v>
      </c>
      <c r="G3584">
        <v>-355.36779999999999</v>
      </c>
      <c r="H3584" s="1">
        <v>1.298057E-6</v>
      </c>
      <c r="I3584">
        <v>215.1113</v>
      </c>
      <c r="J3584">
        <v>-374.40859999999998</v>
      </c>
      <c r="K3584">
        <v>1.1100159999999999</v>
      </c>
      <c r="L3584">
        <v>213.16679999999999</v>
      </c>
      <c r="M3584">
        <v>0.9999498</v>
      </c>
      <c r="N3584">
        <v>-9.9440680000000004E-3</v>
      </c>
      <c r="O3584">
        <v>-1.305833E-3</v>
      </c>
      <c r="P3584">
        <v>0.98195279999999996</v>
      </c>
      <c r="Q3584">
        <v>0.17332910000000001</v>
      </c>
      <c r="R3584">
        <v>7.5670970000000004E-2</v>
      </c>
      <c r="S3584">
        <v>3.0588069999999998</v>
      </c>
      <c r="T3584">
        <v>-0.1749513</v>
      </c>
      <c r="U3584">
        <v>0.306427</v>
      </c>
      <c r="V3584">
        <v>-7.7011170000000004E-2</v>
      </c>
      <c r="W3584">
        <v>0.1830599</v>
      </c>
      <c r="X3584">
        <v>0.98008079999999997</v>
      </c>
      <c r="Y3584">
        <v>-0.10078579999999999</v>
      </c>
      <c r="Z3584">
        <v>3.4370920000000001E-3</v>
      </c>
      <c r="AA3584">
        <v>0.99490219999999896</v>
      </c>
      <c r="AB3584">
        <v>35</v>
      </c>
      <c r="AC3584">
        <v>19.040799999999901</v>
      </c>
      <c r="AD3584">
        <v>-1.11001470194299</v>
      </c>
      <c r="AE3584">
        <v>1.9444999999999999</v>
      </c>
      <c r="AF3584">
        <v>-1.96276207854048</v>
      </c>
      <c r="AG3584">
        <v>-1.11001470194299</v>
      </c>
      <c r="AH3584">
        <v>18.9744254631802</v>
      </c>
      <c r="AI3584">
        <v>93.330289992371704</v>
      </c>
      <c r="AJ3584">
        <v>95.905813901849797</v>
      </c>
      <c r="AK3584">
        <v>19.107940477018101</v>
      </c>
      <c r="AL3584">
        <v>79.451958804246502</v>
      </c>
      <c r="AM3584">
        <v>94.492861612391096</v>
      </c>
      <c r="AN3584">
        <v>1.0000000109106999</v>
      </c>
    </row>
    <row r="3585" spans="1:40" x14ac:dyDescent="0.25">
      <c r="A3585" t="str">
        <f>"20190304155127539"</f>
        <v>20190304155127539</v>
      </c>
      <c r="B3585" t="str">
        <f>"1551685887530113"</f>
        <v>1551685887530113</v>
      </c>
      <c r="C3585" t="s">
        <v>40</v>
      </c>
      <c r="D3585">
        <v>5.0937359999999998</v>
      </c>
      <c r="E3585">
        <v>0.49008550000000001</v>
      </c>
      <c r="F3585" t="s">
        <v>70</v>
      </c>
      <c r="G3585">
        <v>-353.28840000000002</v>
      </c>
      <c r="H3585" s="1">
        <v>1.869326E-7</v>
      </c>
      <c r="I3585">
        <v>215.2157</v>
      </c>
      <c r="J3585">
        <v>-374.0505</v>
      </c>
      <c r="K3585">
        <v>1.1100380000000001</v>
      </c>
      <c r="L3585">
        <v>213.16640000000001</v>
      </c>
      <c r="M3585">
        <v>0.99994989999999995</v>
      </c>
      <c r="N3585">
        <v>-9.9493419999999999E-3</v>
      </c>
      <c r="O3585">
        <v>-1.1582090000000001E-3</v>
      </c>
      <c r="P3585">
        <v>0.98157050000000001</v>
      </c>
      <c r="Q3585">
        <v>0.17839369999999999</v>
      </c>
      <c r="R3585">
        <v>6.8523029999999999E-2</v>
      </c>
      <c r="S3585">
        <v>3.060638</v>
      </c>
      <c r="T3585">
        <v>-0.1608579</v>
      </c>
      <c r="U3585">
        <v>0.29692079999999998</v>
      </c>
      <c r="V3585">
        <v>-6.9717999999999905E-2</v>
      </c>
      <c r="W3585">
        <v>0.18812880000000001</v>
      </c>
      <c r="X3585">
        <v>0.97966679999999995</v>
      </c>
      <c r="Y3585">
        <v>-9.7552260000000002E-2</v>
      </c>
      <c r="Z3585">
        <v>3.0918040000000001E-3</v>
      </c>
      <c r="AA3585">
        <v>0.99522560000000004</v>
      </c>
      <c r="AB3585">
        <v>35</v>
      </c>
      <c r="AC3585">
        <v>20.762099999999901</v>
      </c>
      <c r="AD3585">
        <v>-1.11003781306739</v>
      </c>
      <c r="AE3585">
        <v>2.0492999999999801</v>
      </c>
      <c r="AF3585">
        <v>-2.0674938259006601</v>
      </c>
      <c r="AG3585">
        <v>-1.11003781306739</v>
      </c>
      <c r="AH3585">
        <v>20.701109956821998</v>
      </c>
      <c r="AI3585">
        <v>93.054217003713205</v>
      </c>
      <c r="AJ3585">
        <v>95.703421060266194</v>
      </c>
      <c r="AK3585">
        <v>20.833690698265901</v>
      </c>
      <c r="AL3585">
        <v>79.156397255407597</v>
      </c>
      <c r="AM3585">
        <v>94.070592334582301</v>
      </c>
      <c r="AN3585">
        <v>1.0000000419678301</v>
      </c>
    </row>
    <row r="3586" spans="1:40" x14ac:dyDescent="0.25">
      <c r="A3586" t="str">
        <f>"20190304155127562"</f>
        <v>20190304155127562</v>
      </c>
      <c r="B3586" t="str">
        <f>"1551685887550613"</f>
        <v>1551685887550613</v>
      </c>
      <c r="C3586" t="s">
        <v>40</v>
      </c>
      <c r="D3586">
        <v>4.5289640000000002</v>
      </c>
      <c r="E3586">
        <v>0.49176110000000001</v>
      </c>
      <c r="F3586" t="s">
        <v>70</v>
      </c>
      <c r="G3586">
        <v>-350.6884</v>
      </c>
      <c r="H3586" s="1">
        <v>-1.1994060000000001E-6</v>
      </c>
      <c r="I3586">
        <v>215.27809999999999</v>
      </c>
      <c r="J3586">
        <v>-373.70100000000002</v>
      </c>
      <c r="K3586">
        <v>1.1100380000000001</v>
      </c>
      <c r="L3586">
        <v>213.1661</v>
      </c>
      <c r="M3586">
        <v>0.99995000000000001</v>
      </c>
      <c r="N3586">
        <v>-9.9544899999999999E-3</v>
      </c>
      <c r="O3586">
        <v>-1.0273179999999999E-3</v>
      </c>
      <c r="P3586">
        <v>0.98172709999999996</v>
      </c>
      <c r="Q3586">
        <v>0.1805938</v>
      </c>
      <c r="R3586">
        <v>5.9982460000000001E-2</v>
      </c>
      <c r="S3586">
        <v>3.0634459999999999</v>
      </c>
      <c r="T3586">
        <v>-0.14555789999999999</v>
      </c>
      <c r="U3586">
        <v>0.27690120000000001</v>
      </c>
      <c r="V3586">
        <v>-6.1045839999999997E-2</v>
      </c>
      <c r="W3586">
        <v>0.1903397</v>
      </c>
      <c r="X3586">
        <v>0.97981850000000004</v>
      </c>
      <c r="Y3586">
        <v>-9.0921020000000005E-2</v>
      </c>
      <c r="Z3586">
        <v>2.6466879999999999E-3</v>
      </c>
      <c r="AA3586">
        <v>0.99585460000000003</v>
      </c>
      <c r="AB3586">
        <v>35</v>
      </c>
      <c r="AC3586">
        <v>23.0125999999999</v>
      </c>
      <c r="AD3586">
        <v>-1.1100391994059999</v>
      </c>
      <c r="AE3586">
        <v>2.1119999999999899</v>
      </c>
      <c r="AF3586">
        <v>-2.1307251078390399</v>
      </c>
      <c r="AG3586">
        <v>-1.1100391994059999</v>
      </c>
      <c r="AH3586">
        <v>22.957448510444401</v>
      </c>
      <c r="AI3586">
        <v>92.756383236207995</v>
      </c>
      <c r="AJ3586">
        <v>95.302541244361194</v>
      </c>
      <c r="AK3586">
        <v>23.082820854893299</v>
      </c>
      <c r="AL3586">
        <v>79.027391133277305</v>
      </c>
      <c r="AM3586">
        <v>93.565103003652595</v>
      </c>
      <c r="AN3586">
        <v>1.00000004445982</v>
      </c>
    </row>
    <row r="3587" spans="1:40" x14ac:dyDescent="0.25">
      <c r="A3587" t="str">
        <f>"20190304155127583"</f>
        <v>20190304155127583</v>
      </c>
      <c r="B3587" t="str">
        <f>"1551685887579890"</f>
        <v>1551685887579890</v>
      </c>
      <c r="C3587" t="s">
        <v>40</v>
      </c>
      <c r="D3587">
        <v>5.0277079999999996</v>
      </c>
      <c r="E3587">
        <v>0.55144019999999905</v>
      </c>
      <c r="F3587" t="s">
        <v>70</v>
      </c>
      <c r="G3587">
        <v>-348.73390000000001</v>
      </c>
      <c r="H3587" s="1">
        <v>3.110942E-6</v>
      </c>
      <c r="I3587">
        <v>215.10720000000001</v>
      </c>
      <c r="J3587">
        <v>-373.35300000000001</v>
      </c>
      <c r="K3587">
        <v>1.1100239999999999</v>
      </c>
      <c r="L3587">
        <v>213.16579999999999</v>
      </c>
      <c r="M3587">
        <v>0.99995009999999995</v>
      </c>
      <c r="N3587">
        <v>-9.9596100000000007E-3</v>
      </c>
      <c r="O3587">
        <v>-9.1568189999999999E-4</v>
      </c>
      <c r="P3587">
        <v>0.98226420000000003</v>
      </c>
      <c r="Q3587">
        <v>0.18042630000000001</v>
      </c>
      <c r="R3587">
        <v>5.1027339999999997E-2</v>
      </c>
      <c r="S3587">
        <v>3.0663450000000001</v>
      </c>
      <c r="T3587">
        <v>-0.1363289</v>
      </c>
      <c r="U3587">
        <v>0.23840330000000001</v>
      </c>
      <c r="V3587">
        <v>-5.1975349999999997E-2</v>
      </c>
      <c r="W3587">
        <v>0.1901871</v>
      </c>
      <c r="X3587">
        <v>0.98037110000000005</v>
      </c>
      <c r="Y3587">
        <v>-7.8332600000000002E-2</v>
      </c>
      <c r="Z3587">
        <v>2.160286E-3</v>
      </c>
      <c r="AA3587">
        <v>0.9969249</v>
      </c>
      <c r="AB3587">
        <v>35</v>
      </c>
      <c r="AC3587">
        <v>24.6191</v>
      </c>
      <c r="AD3587">
        <v>-1.1100208890579999</v>
      </c>
      <c r="AE3587">
        <v>1.94140000000001</v>
      </c>
      <c r="AF3587">
        <v>-1.95998372135579</v>
      </c>
      <c r="AG3587">
        <v>-1.1100208890579999</v>
      </c>
      <c r="AH3587">
        <v>24.5676766881068</v>
      </c>
      <c r="AI3587">
        <v>92.578805585457999</v>
      </c>
      <c r="AJ3587">
        <v>94.561336977494605</v>
      </c>
      <c r="AK3587">
        <v>24.670719900592101</v>
      </c>
      <c r="AL3587">
        <v>79.036297014620601</v>
      </c>
      <c r="AM3587">
        <v>93.034751672357999</v>
      </c>
      <c r="AN3587">
        <v>1.0000000318646201</v>
      </c>
    </row>
    <row r="3588" spans="1:40" x14ac:dyDescent="0.25">
      <c r="A3588" t="str">
        <f>"20190304155127605"</f>
        <v>20190304155127605</v>
      </c>
      <c r="B3588" t="str">
        <f>"1551685887600386"</f>
        <v>1551685887600386</v>
      </c>
      <c r="C3588" t="s">
        <v>40</v>
      </c>
      <c r="D3588">
        <v>5.2104670000000004</v>
      </c>
      <c r="E3588">
        <v>0.55254479999999995</v>
      </c>
      <c r="F3588" t="s">
        <v>72</v>
      </c>
      <c r="G3588">
        <v>-294.47609999999997</v>
      </c>
      <c r="H3588" s="1">
        <v>2.4564549999999999E-6</v>
      </c>
      <c r="I3588">
        <v>206.41589999999999</v>
      </c>
      <c r="J3588">
        <v>-373.0163</v>
      </c>
      <c r="K3588">
        <v>1.109998</v>
      </c>
      <c r="L3588">
        <v>213.16550000000001</v>
      </c>
      <c r="M3588">
        <v>0.99995009999999995</v>
      </c>
      <c r="N3588">
        <v>-9.9645570000000006E-3</v>
      </c>
      <c r="O3588">
        <v>-8.3188320000000002E-4</v>
      </c>
      <c r="P3588">
        <v>0.98315260000000004</v>
      </c>
      <c r="Q3588">
        <v>0.177872</v>
      </c>
      <c r="R3588">
        <v>4.2103380000000003E-2</v>
      </c>
      <c r="S3588">
        <v>3.0758359999999998</v>
      </c>
      <c r="T3588">
        <v>-4.3285730000000001E-2</v>
      </c>
      <c r="U3588">
        <v>-0.26321409999999901</v>
      </c>
      <c r="V3588">
        <v>-4.296109E-2</v>
      </c>
      <c r="W3588">
        <v>0.1876505</v>
      </c>
      <c r="X3588">
        <v>0.9812959</v>
      </c>
      <c r="Y3588">
        <v>8.4420060000000005E-2</v>
      </c>
      <c r="Z3588">
        <v>-1.0109089999999999E-3</v>
      </c>
      <c r="AA3588">
        <v>0.99642969999999997</v>
      </c>
      <c r="AB3588">
        <v>35</v>
      </c>
      <c r="AC3588">
        <v>78.540199999999999</v>
      </c>
      <c r="AD3588">
        <v>-1.109995543545</v>
      </c>
      <c r="AE3588">
        <v>-6.7496000000000098</v>
      </c>
      <c r="AF3588">
        <v>6.6829331106650098</v>
      </c>
      <c r="AG3588">
        <v>-1.109995543545</v>
      </c>
      <c r="AH3588">
        <v>78.530217583428595</v>
      </c>
      <c r="AI3588">
        <v>90.806884613693796</v>
      </c>
      <c r="AJ3588">
        <v>85.135840251885895</v>
      </c>
      <c r="AK3588">
        <v>78.821879949471807</v>
      </c>
      <c r="AL3588">
        <v>79.184298335973494</v>
      </c>
      <c r="AM3588">
        <v>92.506805861226695</v>
      </c>
      <c r="AN3588">
        <v>1.0000000043805199</v>
      </c>
    </row>
    <row r="3589" spans="1:40" x14ac:dyDescent="0.25">
      <c r="A3589" t="str">
        <f>"20190304155127628"</f>
        <v>20190304155127628</v>
      </c>
      <c r="B3589" t="str">
        <f>"1551685887619905"</f>
        <v>1551685887619905</v>
      </c>
      <c r="C3589" t="s">
        <v>40</v>
      </c>
      <c r="D3589">
        <v>5.0656790000000003</v>
      </c>
      <c r="E3589">
        <v>0.55025570000000001</v>
      </c>
      <c r="F3589" t="s">
        <v>70</v>
      </c>
      <c r="G3589">
        <v>-328.98919999999998</v>
      </c>
      <c r="H3589">
        <v>8.0000290000000002E-2</v>
      </c>
      <c r="I3589">
        <v>208.88480000000001</v>
      </c>
      <c r="J3589">
        <v>-372.6497</v>
      </c>
      <c r="K3589">
        <v>1.109964</v>
      </c>
      <c r="L3589">
        <v>213.1653</v>
      </c>
      <c r="M3589">
        <v>0.99995000000000001</v>
      </c>
      <c r="N3589">
        <v>-9.9699569999999998E-3</v>
      </c>
      <c r="O3589">
        <v>-7.6828569999999998E-4</v>
      </c>
      <c r="P3589">
        <v>0.98381070000000004</v>
      </c>
      <c r="Q3589">
        <v>0.17563099999999901</v>
      </c>
      <c r="R3589">
        <v>3.5644179999999998E-2</v>
      </c>
      <c r="S3589">
        <v>3.0772089999999999</v>
      </c>
      <c r="T3589">
        <v>-7.1990250000000006E-2</v>
      </c>
      <c r="U3589">
        <v>-0.29919430000000002</v>
      </c>
      <c r="V3589">
        <v>-3.6428729999999999E-2</v>
      </c>
      <c r="W3589">
        <v>0.1854248</v>
      </c>
      <c r="X3589">
        <v>0.98198300000000005</v>
      </c>
      <c r="Y3589">
        <v>9.5970890000000003E-2</v>
      </c>
      <c r="Z3589">
        <v>-1.5891659999999999E-3</v>
      </c>
      <c r="AA3589">
        <v>0.99538280000000001</v>
      </c>
      <c r="AB3589">
        <v>35</v>
      </c>
      <c r="AC3589">
        <v>43.660499999999999</v>
      </c>
      <c r="AD3589">
        <v>-1.0299637100000001</v>
      </c>
      <c r="AE3589">
        <v>-4.2804999999999804</v>
      </c>
      <c r="AF3589">
        <v>4.24461368554429</v>
      </c>
      <c r="AG3589">
        <v>-1.0299637100000001</v>
      </c>
      <c r="AH3589">
        <v>43.639721557040502</v>
      </c>
      <c r="AI3589">
        <v>91.345668429784695</v>
      </c>
      <c r="AJ3589">
        <v>84.444605924627695</v>
      </c>
      <c r="AK3589">
        <v>43.857757217617198</v>
      </c>
      <c r="AL3589">
        <v>79.314099949888401</v>
      </c>
      <c r="AM3589">
        <v>92.124533521517193</v>
      </c>
      <c r="AN3589">
        <v>1.0000000105567199</v>
      </c>
    </row>
    <row r="3590" spans="1:40" x14ac:dyDescent="0.25">
      <c r="A3590" t="str">
        <f>"20190304155127651"</f>
        <v>20190304155127651</v>
      </c>
      <c r="B3590" t="str">
        <f>"1551685887640402"</f>
        <v>1551685887640402</v>
      </c>
      <c r="C3590" t="s">
        <v>40</v>
      </c>
      <c r="D3590">
        <v>5.1032449999999896</v>
      </c>
      <c r="E3590">
        <v>0.54827899999999996</v>
      </c>
      <c r="F3590" t="s">
        <v>70</v>
      </c>
      <c r="G3590">
        <v>-336.06330000000003</v>
      </c>
      <c r="H3590">
        <v>6.6940079999999999E-2</v>
      </c>
      <c r="I3590">
        <v>209.5994</v>
      </c>
      <c r="J3590">
        <v>-372.28680000000003</v>
      </c>
      <c r="K3590">
        <v>1.1099349999999999</v>
      </c>
      <c r="L3590">
        <v>213.16499999999999</v>
      </c>
      <c r="M3590">
        <v>0.99995009999999995</v>
      </c>
      <c r="N3590">
        <v>-9.9753540000000005E-3</v>
      </c>
      <c r="O3590">
        <v>-7.3029099999999999E-4</v>
      </c>
      <c r="P3590">
        <v>0.98421639999999999</v>
      </c>
      <c r="Q3590">
        <v>0.17397480000000001</v>
      </c>
      <c r="R3590">
        <v>3.2420989999999997E-2</v>
      </c>
      <c r="S3590">
        <v>3.0758670000000001</v>
      </c>
      <c r="T3590">
        <v>-8.7688450000000001E-2</v>
      </c>
      <c r="U3590">
        <v>-0.29978939999999998</v>
      </c>
      <c r="V3590">
        <v>-3.3159359999999999E-2</v>
      </c>
      <c r="W3590">
        <v>0.18378040000000001</v>
      </c>
      <c r="X3590">
        <v>0.9824079</v>
      </c>
      <c r="Y3590">
        <v>9.6226220000000001E-2</v>
      </c>
      <c r="Z3590">
        <v>-1.83584E-3</v>
      </c>
      <c r="AA3590">
        <v>0.99535779999999996</v>
      </c>
      <c r="AB3590">
        <v>35</v>
      </c>
      <c r="AC3590">
        <v>36.223500000000001</v>
      </c>
      <c r="AD3590">
        <v>-1.0429949199999999</v>
      </c>
      <c r="AE3590">
        <v>-3.5655999999999799</v>
      </c>
      <c r="AF3590">
        <v>3.53624043408302</v>
      </c>
      <c r="AG3590">
        <v>-1.0429949199999999</v>
      </c>
      <c r="AH3590">
        <v>36.196373563337701</v>
      </c>
      <c r="AI3590">
        <v>91.642699064666203</v>
      </c>
      <c r="AJ3590">
        <v>84.420139658394106</v>
      </c>
      <c r="AK3590">
        <v>36.383654213774101</v>
      </c>
      <c r="AL3590">
        <v>79.409964956619206</v>
      </c>
      <c r="AM3590">
        <v>91.933179051725105</v>
      </c>
      <c r="AN3590">
        <v>1.0000000302810801</v>
      </c>
    </row>
    <row r="3591" spans="1:40" x14ac:dyDescent="0.25">
      <c r="A3591" t="str">
        <f>"20190304155127672"</f>
        <v>20190304155127672</v>
      </c>
      <c r="B3591" t="str">
        <f>"1551685887670658"</f>
        <v>1551685887670658</v>
      </c>
      <c r="C3591" t="s">
        <v>40</v>
      </c>
      <c r="D3591">
        <v>5.1010629999999999</v>
      </c>
      <c r="E3591">
        <v>0.54514719999999905</v>
      </c>
      <c r="F3591" t="s">
        <v>70</v>
      </c>
      <c r="G3591">
        <v>-336.84949999999998</v>
      </c>
      <c r="H3591" s="1">
        <v>2.3197419999999999E-6</v>
      </c>
      <c r="I3591">
        <v>209.77619999999999</v>
      </c>
      <c r="J3591">
        <v>-371.94310000000002</v>
      </c>
      <c r="K3591">
        <v>1.109915</v>
      </c>
      <c r="L3591">
        <v>213.16470000000001</v>
      </c>
      <c r="M3591">
        <v>0.99994989999999995</v>
      </c>
      <c r="N3591">
        <v>-9.9804400000000001E-3</v>
      </c>
      <c r="O3591">
        <v>-7.1059439999999997E-4</v>
      </c>
      <c r="P3591">
        <v>0.9841915</v>
      </c>
      <c r="Q3591">
        <v>0.17411740000000001</v>
      </c>
      <c r="R3591">
        <v>3.2406230000000001E-2</v>
      </c>
      <c r="S3591">
        <v>3.0748289999999998</v>
      </c>
      <c r="T3591">
        <v>-9.6306920000000004E-2</v>
      </c>
      <c r="U3591">
        <v>-0.29403689999999999</v>
      </c>
      <c r="V3591">
        <v>-3.3118620000000001E-2</v>
      </c>
      <c r="W3591">
        <v>0.18392900000000001</v>
      </c>
      <c r="X3591">
        <v>0.98238150000000002</v>
      </c>
      <c r="Y3591">
        <v>9.4424930000000004E-2</v>
      </c>
      <c r="Z3591">
        <v>-1.9323319999999999E-3</v>
      </c>
      <c r="AA3591">
        <v>0.99553009999999997</v>
      </c>
      <c r="AB3591">
        <v>35</v>
      </c>
      <c r="AC3591">
        <v>35.093600000000002</v>
      </c>
      <c r="AD3591">
        <v>-1.1099126802579999</v>
      </c>
      <c r="AE3591">
        <v>-3.3885000000000201</v>
      </c>
      <c r="AF3591">
        <v>3.3602304598097801</v>
      </c>
      <c r="AG3591">
        <v>-1.1099126802579999</v>
      </c>
      <c r="AH3591">
        <v>35.061251973165803</v>
      </c>
      <c r="AI3591">
        <v>91.804907388840505</v>
      </c>
      <c r="AJ3591">
        <v>84.525557960952497</v>
      </c>
      <c r="AK3591">
        <v>35.239387690858798</v>
      </c>
      <c r="AL3591">
        <v>79.401303530632404</v>
      </c>
      <c r="AM3591">
        <v>91.930857571049202</v>
      </c>
      <c r="AN3591">
        <v>1.0000000657869701</v>
      </c>
    </row>
    <row r="3592" spans="1:40" x14ac:dyDescent="0.25">
      <c r="A3592" t="str">
        <f>"20190304155127694"</f>
        <v>20190304155127694</v>
      </c>
      <c r="B3592" t="str">
        <f>"1551685887690179"</f>
        <v>1551685887690179</v>
      </c>
      <c r="C3592" t="s">
        <v>40</v>
      </c>
      <c r="D3592">
        <v>5.097785</v>
      </c>
      <c r="E3592">
        <v>0.54317939999999998</v>
      </c>
      <c r="F3592" t="s">
        <v>70</v>
      </c>
      <c r="G3592">
        <v>-337.61250000000001</v>
      </c>
      <c r="H3592" s="1">
        <v>2.7090120000000001E-6</v>
      </c>
      <c r="I3592">
        <v>210.16</v>
      </c>
      <c r="J3592">
        <v>-371.60359999999997</v>
      </c>
      <c r="K3592">
        <v>1.109901</v>
      </c>
      <c r="L3592">
        <v>213.1645</v>
      </c>
      <c r="M3592">
        <v>0.99994989999999995</v>
      </c>
      <c r="N3592">
        <v>-9.9854509999999994E-3</v>
      </c>
      <c r="O3592">
        <v>-7.1079369999999995E-4</v>
      </c>
      <c r="P3592">
        <v>0.98399409999999998</v>
      </c>
      <c r="Q3592">
        <v>0.17507500000000001</v>
      </c>
      <c r="R3592">
        <v>3.3234409999999999E-2</v>
      </c>
      <c r="S3592">
        <v>3.0746150000000001</v>
      </c>
      <c r="T3592">
        <v>-9.9402669999999999E-2</v>
      </c>
      <c r="U3592">
        <v>-0.26910400000000001</v>
      </c>
      <c r="V3592">
        <v>-3.3940089999999999E-2</v>
      </c>
      <c r="W3592">
        <v>0.18489069999999999</v>
      </c>
      <c r="X3592">
        <v>0.98217279999999996</v>
      </c>
      <c r="Y3592">
        <v>8.6424390000000004E-2</v>
      </c>
      <c r="Z3592">
        <v>-1.810655E-3</v>
      </c>
      <c r="AA3592">
        <v>0.99625680000000005</v>
      </c>
      <c r="AB3592">
        <v>36</v>
      </c>
      <c r="AC3592">
        <v>33.991099999999904</v>
      </c>
      <c r="AD3592">
        <v>-1.109898290988</v>
      </c>
      <c r="AE3592">
        <v>-3.0045000000000002</v>
      </c>
      <c r="AF3592">
        <v>2.9771877273515601</v>
      </c>
      <c r="AG3592">
        <v>-1.109898290988</v>
      </c>
      <c r="AH3592">
        <v>33.957302726475199</v>
      </c>
      <c r="AI3592">
        <v>91.864903815814401</v>
      </c>
      <c r="AJ3592">
        <v>84.989436437401693</v>
      </c>
      <c r="AK3592">
        <v>34.105628999297302</v>
      </c>
      <c r="AL3592">
        <v>79.345239475205602</v>
      </c>
      <c r="AM3592">
        <v>91.979132822022507</v>
      </c>
      <c r="AN3592">
        <v>0.99999995485776705</v>
      </c>
    </row>
    <row r="3593" spans="1:40" x14ac:dyDescent="0.25">
      <c r="A3593" t="str">
        <f>"20190304155127718"</f>
        <v>20190304155127718</v>
      </c>
      <c r="B3593" t="str">
        <f>"1551685887710674"</f>
        <v>1551685887710674</v>
      </c>
      <c r="C3593" t="s">
        <v>40</v>
      </c>
      <c r="D3593">
        <v>5.1222890000000003</v>
      </c>
      <c r="E3593">
        <v>0.54262290000000002</v>
      </c>
      <c r="F3593" t="s">
        <v>70</v>
      </c>
      <c r="G3593">
        <v>-338.65199999999999</v>
      </c>
      <c r="H3593" s="1">
        <v>3.248173E-6</v>
      </c>
      <c r="I3593">
        <v>210.4802</v>
      </c>
      <c r="J3593">
        <v>-371.2176</v>
      </c>
      <c r="K3593">
        <v>1.1098749999999999</v>
      </c>
      <c r="L3593">
        <v>213.16419999999999</v>
      </c>
      <c r="M3593">
        <v>0.9999498</v>
      </c>
      <c r="N3593">
        <v>-9.9911440000000004E-3</v>
      </c>
      <c r="O3593">
        <v>-7.4793600000000004E-4</v>
      </c>
      <c r="P3593">
        <v>0.98394170000000003</v>
      </c>
      <c r="Q3593">
        <v>0.17507590000000001</v>
      </c>
      <c r="R3593">
        <v>3.474124E-2</v>
      </c>
      <c r="S3593">
        <v>3.0756839999999999</v>
      </c>
      <c r="T3593">
        <v>-0.1035972</v>
      </c>
      <c r="U3593">
        <v>-0.25054929999999997</v>
      </c>
      <c r="V3593">
        <v>-3.5473339999999999E-2</v>
      </c>
      <c r="W3593">
        <v>0.1848986</v>
      </c>
      <c r="X3593">
        <v>0.98211720000000002</v>
      </c>
      <c r="Y3593">
        <v>8.0388269999999998E-2</v>
      </c>
      <c r="Z3593">
        <v>-1.7359470000000001E-3</v>
      </c>
      <c r="AA3593">
        <v>0.99676209999999998</v>
      </c>
      <c r="AB3593">
        <v>36</v>
      </c>
      <c r="AC3593">
        <v>32.565600000000003</v>
      </c>
      <c r="AD3593">
        <v>-1.109871751827</v>
      </c>
      <c r="AE3593">
        <v>-2.6839999999999899</v>
      </c>
      <c r="AF3593">
        <v>2.65657619585865</v>
      </c>
      <c r="AG3593">
        <v>-1.109871751827</v>
      </c>
      <c r="AH3593">
        <v>32.530068990048903</v>
      </c>
      <c r="AI3593">
        <v>91.947599874420902</v>
      </c>
      <c r="AJ3593">
        <v>85.331286366259206</v>
      </c>
      <c r="AK3593">
        <v>32.657228922357298</v>
      </c>
      <c r="AL3593">
        <v>79.344779624785403</v>
      </c>
      <c r="AM3593">
        <v>92.068581533350695</v>
      </c>
      <c r="AN3593">
        <v>1.00000002233427</v>
      </c>
    </row>
    <row r="3594" spans="1:40" x14ac:dyDescent="0.25">
      <c r="A3594" t="str">
        <f>"20190304155127740"</f>
        <v>20190304155127740</v>
      </c>
      <c r="B3594" t="str">
        <f>"1551685887730193"</f>
        <v>1551685887730193</v>
      </c>
      <c r="C3594" t="s">
        <v>40</v>
      </c>
      <c r="D3594">
        <v>5.1532460000000002</v>
      </c>
      <c r="E3594">
        <v>0.54115329999999995</v>
      </c>
      <c r="F3594" t="s">
        <v>70</v>
      </c>
      <c r="G3594">
        <v>-337.61329999999998</v>
      </c>
      <c r="H3594" s="1">
        <v>2.6931110000000002E-6</v>
      </c>
      <c r="I3594">
        <v>210.53370000000001</v>
      </c>
      <c r="J3594">
        <v>-370.85449999999997</v>
      </c>
      <c r="K3594">
        <v>1.109836</v>
      </c>
      <c r="L3594">
        <v>213.16390000000001</v>
      </c>
      <c r="M3594">
        <v>0.99994970000000005</v>
      </c>
      <c r="N3594">
        <v>-9.9966819999999998E-3</v>
      </c>
      <c r="O3594">
        <v>-8.2487399999999996E-4</v>
      </c>
      <c r="P3594">
        <v>0.98450289999999996</v>
      </c>
      <c r="Q3594">
        <v>0.1715217</v>
      </c>
      <c r="R3594">
        <v>3.65276E-2</v>
      </c>
      <c r="S3594">
        <v>3.0755309999999998</v>
      </c>
      <c r="T3594">
        <v>-0.1015779</v>
      </c>
      <c r="U3594">
        <v>-0.2407532</v>
      </c>
      <c r="V3594">
        <v>-3.7321890000000003E-2</v>
      </c>
      <c r="W3594">
        <v>0.1813584</v>
      </c>
      <c r="X3594">
        <v>0.98270860000000004</v>
      </c>
      <c r="Y3594">
        <v>7.7164720000000006E-2</v>
      </c>
      <c r="Z3594">
        <v>-1.639466E-3</v>
      </c>
      <c r="AA3594">
        <v>0.99701700000000004</v>
      </c>
      <c r="AB3594">
        <v>36</v>
      </c>
      <c r="AC3594">
        <v>33.2411999999999</v>
      </c>
      <c r="AD3594">
        <v>-1.1098333068889901</v>
      </c>
      <c r="AE3594">
        <v>-2.6301999999999999</v>
      </c>
      <c r="AF3594">
        <v>2.5998978314276502</v>
      </c>
      <c r="AG3594">
        <v>-1.1098333068889901</v>
      </c>
      <c r="AH3594">
        <v>33.206572966953203</v>
      </c>
      <c r="AI3594">
        <v>91.908396550216906</v>
      </c>
      <c r="AJ3594">
        <v>85.523178392776103</v>
      </c>
      <c r="AK3594">
        <v>33.326681306612699</v>
      </c>
      <c r="AL3594">
        <v>79.551107159088403</v>
      </c>
      <c r="AM3594">
        <v>92.174967789838703</v>
      </c>
      <c r="AN3594">
        <v>0.99999999261884598</v>
      </c>
    </row>
    <row r="3595" spans="1:40" x14ac:dyDescent="0.25">
      <c r="A3595" t="str">
        <f>"20190304155127762"</f>
        <v>20190304155127762</v>
      </c>
      <c r="B3595" t="str">
        <f>"1551685887750705"</f>
        <v>1551685887750705</v>
      </c>
      <c r="C3595" t="s">
        <v>40</v>
      </c>
      <c r="D3595">
        <v>5.1533439999999997</v>
      </c>
      <c r="E3595">
        <v>0.54017159999999997</v>
      </c>
      <c r="F3595" t="s">
        <v>70</v>
      </c>
      <c r="G3595">
        <v>-341.27460000000002</v>
      </c>
      <c r="H3595" s="1">
        <v>-8.5852339999999999E-7</v>
      </c>
      <c r="I3595">
        <v>211.01750000000001</v>
      </c>
      <c r="J3595">
        <v>-370.52010000000001</v>
      </c>
      <c r="K3595">
        <v>1.1097939999999999</v>
      </c>
      <c r="L3595">
        <v>213.1635</v>
      </c>
      <c r="M3595">
        <v>0.99994959999999999</v>
      </c>
      <c r="N3595">
        <v>-1.000184E-2</v>
      </c>
      <c r="O3595">
        <v>-9.3644870000000001E-4</v>
      </c>
      <c r="P3595">
        <v>0.98460689999999995</v>
      </c>
      <c r="Q3595">
        <v>0.17034769999999999</v>
      </c>
      <c r="R3595">
        <v>3.9127660000000002E-2</v>
      </c>
      <c r="S3595">
        <v>3.0756230000000002</v>
      </c>
      <c r="T3595">
        <v>-0.1153971</v>
      </c>
      <c r="U3595">
        <v>-0.22317500000000001</v>
      </c>
      <c r="V3595">
        <v>-4.0015950000000002E-2</v>
      </c>
      <c r="W3595">
        <v>0.1801944</v>
      </c>
      <c r="X3595">
        <v>0.98281669999999999</v>
      </c>
      <c r="Y3595">
        <v>7.1375220000000003E-2</v>
      </c>
      <c r="Z3595">
        <v>-1.6686229999999999E-3</v>
      </c>
      <c r="AA3595">
        <v>0.99744809999999995</v>
      </c>
      <c r="AB3595">
        <v>36</v>
      </c>
      <c r="AC3595">
        <v>29.2455</v>
      </c>
      <c r="AD3595">
        <v>-1.1097948585234001</v>
      </c>
      <c r="AE3595">
        <v>-2.1459999999999799</v>
      </c>
      <c r="AF3595">
        <v>2.11558062591507</v>
      </c>
      <c r="AG3595">
        <v>-1.1097948585234001</v>
      </c>
      <c r="AH3595">
        <v>29.205665508397399</v>
      </c>
      <c r="AI3595">
        <v>92.170471025152693</v>
      </c>
      <c r="AJ3595">
        <v>85.856882759853804</v>
      </c>
      <c r="AK3595">
        <v>29.3032118342195</v>
      </c>
      <c r="AL3595">
        <v>79.618916553412504</v>
      </c>
      <c r="AM3595">
        <v>92.331542970164904</v>
      </c>
      <c r="AN3595">
        <v>0.99999998192232598</v>
      </c>
    </row>
    <row r="3596" spans="1:40" x14ac:dyDescent="0.25">
      <c r="A3596" t="str">
        <f>"20190304155127783"</f>
        <v>20190304155127783</v>
      </c>
      <c r="B3596" t="str">
        <f>"1551685887779969"</f>
        <v>1551685887779969</v>
      </c>
      <c r="C3596" t="s">
        <v>40</v>
      </c>
      <c r="D3596">
        <v>7.6469679999999904</v>
      </c>
      <c r="E3596">
        <v>0.53873110000000002</v>
      </c>
      <c r="F3596" t="s">
        <v>70</v>
      </c>
      <c r="G3596">
        <v>-342.7045</v>
      </c>
      <c r="H3596" s="1">
        <v>-9.758634E-8</v>
      </c>
      <c r="I3596">
        <v>211.2902</v>
      </c>
      <c r="J3596">
        <v>-370.16269999999997</v>
      </c>
      <c r="K3596">
        <v>1.109737</v>
      </c>
      <c r="L3596">
        <v>213.16300000000001</v>
      </c>
      <c r="M3596">
        <v>0.99994950000000005</v>
      </c>
      <c r="N3596">
        <v>-1.0007149999999999E-2</v>
      </c>
      <c r="O3596">
        <v>-1.1015300000000001E-3</v>
      </c>
      <c r="P3596">
        <v>0.98448899999999995</v>
      </c>
      <c r="Q3596">
        <v>0.17070850000000001</v>
      </c>
      <c r="R3596">
        <v>4.0503549999999999E-2</v>
      </c>
      <c r="S3596">
        <v>3.0763240000000001</v>
      </c>
      <c r="T3596">
        <v>-0.1227403</v>
      </c>
      <c r="U3596">
        <v>-0.2071838</v>
      </c>
      <c r="V3596">
        <v>-4.1534740000000001E-2</v>
      </c>
      <c r="W3596">
        <v>0.18056359999999999</v>
      </c>
      <c r="X3596">
        <v>0.9826859</v>
      </c>
      <c r="Y3596">
        <v>6.6031500000000007E-2</v>
      </c>
      <c r="Z3596">
        <v>-1.6133279999999901E-3</v>
      </c>
      <c r="AA3596">
        <v>0.99781620000000004</v>
      </c>
      <c r="AB3596">
        <v>36</v>
      </c>
      <c r="AC3596">
        <v>27.458199999999898</v>
      </c>
      <c r="AD3596">
        <v>-1.1097370975863401</v>
      </c>
      <c r="AE3596">
        <v>-1.87279999999998</v>
      </c>
      <c r="AF3596">
        <v>1.8395604743916201</v>
      </c>
      <c r="AG3596">
        <v>-1.1097370975863401</v>
      </c>
      <c r="AH3596">
        <v>27.415672621272499</v>
      </c>
      <c r="AI3596">
        <v>92.312769800111198</v>
      </c>
      <c r="AJ3596">
        <v>86.161272392194604</v>
      </c>
      <c r="AK3596">
        <v>27.499720079329801</v>
      </c>
      <c r="AL3596">
        <v>79.597409988759694</v>
      </c>
      <c r="AM3596">
        <v>92.420254226605806</v>
      </c>
      <c r="AN3596">
        <v>0.99999996316531803</v>
      </c>
    </row>
    <row r="3597" spans="1:40" x14ac:dyDescent="0.25">
      <c r="A3597" t="str">
        <f>"20190304155127805"</f>
        <v>20190304155127805</v>
      </c>
      <c r="B3597" t="str">
        <f>"1551685887800466"</f>
        <v>1551685887800466</v>
      </c>
      <c r="C3597" t="s">
        <v>40</v>
      </c>
      <c r="D3597">
        <v>5.1653440000000002</v>
      </c>
      <c r="E3597">
        <v>0.53803049999999997</v>
      </c>
      <c r="F3597" t="s">
        <v>70</v>
      </c>
      <c r="G3597">
        <v>-342.55799999999999</v>
      </c>
      <c r="H3597" s="1">
        <v>-1.7554520000000001E-7</v>
      </c>
      <c r="I3597">
        <v>211.44890000000001</v>
      </c>
      <c r="J3597">
        <v>-369.82240000000002</v>
      </c>
      <c r="K3597">
        <v>1.109683</v>
      </c>
      <c r="L3597">
        <v>213.16249999999999</v>
      </c>
      <c r="M3597">
        <v>0.99994899999999998</v>
      </c>
      <c r="N3597">
        <v>-1.001207E-2</v>
      </c>
      <c r="O3597">
        <v>-1.303072E-3</v>
      </c>
      <c r="P3597">
        <v>0.98462470000000002</v>
      </c>
      <c r="Q3597">
        <v>0.1698731</v>
      </c>
      <c r="R3597">
        <v>4.0710700000000002E-2</v>
      </c>
      <c r="S3597">
        <v>3.0765690000000001</v>
      </c>
      <c r="T3597">
        <v>-0.12368129999999999</v>
      </c>
      <c r="U3597">
        <v>-0.19103999999999999</v>
      </c>
      <c r="V3597">
        <v>-4.1922130000000002E-2</v>
      </c>
      <c r="W3597">
        <v>0.17973900000000001</v>
      </c>
      <c r="X3597">
        <v>0.98282060000000004</v>
      </c>
      <c r="Y3597">
        <v>6.061474E-2</v>
      </c>
      <c r="Z3597">
        <v>-1.4813350000000001E-3</v>
      </c>
      <c r="AA3597">
        <v>0.99816009999999999</v>
      </c>
      <c r="AB3597">
        <v>36</v>
      </c>
      <c r="AC3597">
        <v>27.264399999999899</v>
      </c>
      <c r="AD3597">
        <v>-1.1096831755451999</v>
      </c>
      <c r="AE3597">
        <v>-1.71359999999998</v>
      </c>
      <c r="AF3597">
        <v>1.67530497030199</v>
      </c>
      <c r="AG3597">
        <v>-1.1096831755451999</v>
      </c>
      <c r="AH3597">
        <v>27.2216930819373</v>
      </c>
      <c r="AI3597">
        <v>92.329947393544202</v>
      </c>
      <c r="AJ3597">
        <v>86.478286913261499</v>
      </c>
      <c r="AK3597">
        <v>27.295761900719999</v>
      </c>
      <c r="AL3597">
        <v>79.6454418347314</v>
      </c>
      <c r="AM3597">
        <v>92.442466064053804</v>
      </c>
      <c r="AN3597">
        <v>0.99999995244454698</v>
      </c>
    </row>
    <row r="3598" spans="1:40" x14ac:dyDescent="0.25">
      <c r="A3598" t="str">
        <f>"20190304155127829"</f>
        <v>20190304155127829</v>
      </c>
      <c r="B3598" t="str">
        <f>"1551685887819985"</f>
        <v>1551685887819985</v>
      </c>
      <c r="C3598" t="s">
        <v>40</v>
      </c>
      <c r="D3598">
        <v>5.19001</v>
      </c>
      <c r="E3598">
        <v>0.53744639999999999</v>
      </c>
      <c r="F3598" t="s">
        <v>70</v>
      </c>
      <c r="G3598">
        <v>-343.3433</v>
      </c>
      <c r="H3598" s="1">
        <v>2.4232800000000002E-7</v>
      </c>
      <c r="I3598">
        <v>211.57560000000001</v>
      </c>
      <c r="J3598">
        <v>-369.43720000000002</v>
      </c>
      <c r="K3598">
        <v>1.109631</v>
      </c>
      <c r="L3598">
        <v>213.1617</v>
      </c>
      <c r="M3598">
        <v>0.99994859999999997</v>
      </c>
      <c r="N3598">
        <v>-1.001764E-2</v>
      </c>
      <c r="O3598">
        <v>-1.5795010000000001E-3</v>
      </c>
      <c r="P3598">
        <v>0.98485160000000005</v>
      </c>
      <c r="Q3598">
        <v>0.16874929999999999</v>
      </c>
      <c r="R3598">
        <v>3.9888640000000003E-2</v>
      </c>
      <c r="S3598">
        <v>3.0766909999999998</v>
      </c>
      <c r="T3598">
        <v>-0.1289372</v>
      </c>
      <c r="U3598">
        <v>-0.1843872</v>
      </c>
      <c r="V3598">
        <v>-4.1354670000000003E-2</v>
      </c>
      <c r="W3598">
        <v>0.17862720000000001</v>
      </c>
      <c r="X3598">
        <v>0.98304740000000002</v>
      </c>
      <c r="Y3598">
        <v>5.818392E-2</v>
      </c>
      <c r="Z3598">
        <v>-1.4591129999999999E-3</v>
      </c>
      <c r="AA3598">
        <v>0.99830479999999999</v>
      </c>
      <c r="AB3598">
        <v>36</v>
      </c>
      <c r="AC3598">
        <v>26.093900000000001</v>
      </c>
      <c r="AD3598">
        <v>-1.1096307576719999</v>
      </c>
      <c r="AE3598">
        <v>-1.5860999999999801</v>
      </c>
      <c r="AF3598">
        <v>1.54210224024779</v>
      </c>
      <c r="AG3598">
        <v>-1.1096307576719999</v>
      </c>
      <c r="AH3598">
        <v>26.049440098161</v>
      </c>
      <c r="AI3598">
        <v>92.434902087056699</v>
      </c>
      <c r="AJ3598">
        <v>86.612097964557606</v>
      </c>
      <c r="AK3598">
        <v>26.118627245041498</v>
      </c>
      <c r="AL3598">
        <v>79.7101920994766</v>
      </c>
      <c r="AM3598">
        <v>92.408888724239503</v>
      </c>
      <c r="AN3598">
        <v>1.0000000379787</v>
      </c>
    </row>
    <row r="3599" spans="1:40" x14ac:dyDescent="0.25">
      <c r="A3599" t="str">
        <f>"20190304155127851"</f>
        <v>20190304155127851</v>
      </c>
      <c r="B3599" t="str">
        <f>"1551685887840485"</f>
        <v>1551685887840485</v>
      </c>
      <c r="C3599" t="s">
        <v>40</v>
      </c>
      <c r="D3599">
        <v>5.1588159999999998</v>
      </c>
      <c r="E3599">
        <v>0.53695019999999904</v>
      </c>
      <c r="F3599" t="s">
        <v>70</v>
      </c>
      <c r="G3599">
        <v>-343.96980000000002</v>
      </c>
      <c r="H3599" s="1">
        <v>5.7576739999999997E-7</v>
      </c>
      <c r="I3599">
        <v>211.6551</v>
      </c>
      <c r="J3599">
        <v>-369.08420000000001</v>
      </c>
      <c r="K3599">
        <v>1.1096090000000001</v>
      </c>
      <c r="L3599">
        <v>213.1609</v>
      </c>
      <c r="M3599">
        <v>0.99994810000000001</v>
      </c>
      <c r="N3599">
        <v>-1.0022730000000001E-2</v>
      </c>
      <c r="O3599">
        <v>-1.8717720000000001E-3</v>
      </c>
      <c r="P3599">
        <v>0.98487530000000001</v>
      </c>
      <c r="Q3599">
        <v>0.16869819999999999</v>
      </c>
      <c r="R3599">
        <v>3.9518600000000001E-2</v>
      </c>
      <c r="S3599">
        <v>3.0764469999999999</v>
      </c>
      <c r="T3599">
        <v>-0.134043</v>
      </c>
      <c r="U3599">
        <v>-0.1819916</v>
      </c>
      <c r="V3599">
        <v>-4.1257500000000003E-2</v>
      </c>
      <c r="W3599">
        <v>0.17858399999999999</v>
      </c>
      <c r="X3599">
        <v>0.98305929999999997</v>
      </c>
      <c r="Y3599">
        <v>5.7119080000000003E-2</v>
      </c>
      <c r="Z3599">
        <v>-1.466647E-3</v>
      </c>
      <c r="AA3599">
        <v>0.99836630000000004</v>
      </c>
      <c r="AB3599">
        <v>36</v>
      </c>
      <c r="AC3599">
        <v>25.1143999999999</v>
      </c>
      <c r="AD3599">
        <v>-1.1096084242326001</v>
      </c>
      <c r="AE3599">
        <v>-1.50579999999999</v>
      </c>
      <c r="AF3599">
        <v>1.4559546387920601</v>
      </c>
      <c r="AG3599">
        <v>-1.1096084242326001</v>
      </c>
      <c r="AH3599">
        <v>25.068414813983601</v>
      </c>
      <c r="AI3599">
        <v>92.530182348587203</v>
      </c>
      <c r="AJ3599">
        <v>86.676038413801393</v>
      </c>
      <c r="AK3599">
        <v>25.1351637363137</v>
      </c>
      <c r="AL3599">
        <v>79.712707402626407</v>
      </c>
      <c r="AM3599">
        <v>92.403206207526395</v>
      </c>
      <c r="AN3599">
        <v>1.00000000683937</v>
      </c>
    </row>
    <row r="3600" spans="1:40" x14ac:dyDescent="0.25">
      <c r="A3600" t="str">
        <f>"20190304155127872"</f>
        <v>20190304155127872</v>
      </c>
      <c r="B3600" t="str">
        <f>"1551685887869762"</f>
        <v>1551685887869762</v>
      </c>
      <c r="C3600" t="s">
        <v>40</v>
      </c>
      <c r="D3600">
        <v>5.1625420000000002</v>
      </c>
      <c r="E3600">
        <v>0.5364428</v>
      </c>
      <c r="F3600" t="s">
        <v>70</v>
      </c>
      <c r="G3600">
        <v>-343.88490000000002</v>
      </c>
      <c r="H3600" s="1">
        <v>5.3058050000000004E-7</v>
      </c>
      <c r="I3600">
        <v>211.69290000000001</v>
      </c>
      <c r="J3600">
        <v>-368.73770000000002</v>
      </c>
      <c r="K3600">
        <v>1.1095900000000001</v>
      </c>
      <c r="L3600">
        <v>213.15989999999999</v>
      </c>
      <c r="M3600">
        <v>0.99994720000000004</v>
      </c>
      <c r="N3600">
        <v>-1.0027690000000001E-2</v>
      </c>
      <c r="O3600">
        <v>-2.182308E-3</v>
      </c>
      <c r="P3600">
        <v>0.98469479999999998</v>
      </c>
      <c r="Q3600">
        <v>0.169878799999999</v>
      </c>
      <c r="R3600">
        <v>3.8952849999999997E-2</v>
      </c>
      <c r="S3600">
        <v>3.0764770000000001</v>
      </c>
      <c r="T3600">
        <v>-0.1354678</v>
      </c>
      <c r="U3600">
        <v>-0.1792145</v>
      </c>
      <c r="V3600">
        <v>-4.0985510000000003E-2</v>
      </c>
      <c r="W3600">
        <v>0.1797704</v>
      </c>
      <c r="X3600">
        <v>0.98285440000000002</v>
      </c>
      <c r="Y3600">
        <v>5.5910620000000001E-2</v>
      </c>
      <c r="Z3600">
        <v>-1.435962E-3</v>
      </c>
      <c r="AA3600">
        <v>0.99843470000000001</v>
      </c>
      <c r="AB3600">
        <v>36</v>
      </c>
      <c r="AC3600">
        <v>24.852799999999998</v>
      </c>
      <c r="AD3600">
        <v>-1.1095894694195001</v>
      </c>
      <c r="AE3600">
        <v>-1.4669999999999801</v>
      </c>
      <c r="AF3600">
        <v>1.40995659072756</v>
      </c>
      <c r="AG3600">
        <v>-1.1095894694195001</v>
      </c>
      <c r="AH3600">
        <v>24.806666828343801</v>
      </c>
      <c r="AI3600">
        <v>92.556982292979001</v>
      </c>
      <c r="AJ3600">
        <v>86.746933465818699</v>
      </c>
      <c r="AK3600">
        <v>24.871467297102399</v>
      </c>
      <c r="AL3600">
        <v>79.6436133524751</v>
      </c>
      <c r="AM3600">
        <v>92.387878598699899</v>
      </c>
      <c r="AN3600">
        <v>0.99999999017273999</v>
      </c>
    </row>
    <row r="3601" spans="1:40" x14ac:dyDescent="0.25">
      <c r="A3601" t="str">
        <f>"20190304155127896"</f>
        <v>20190304155127896</v>
      </c>
      <c r="B3601" t="str">
        <f>"1551685887890258"</f>
        <v>1551685887890258</v>
      </c>
      <c r="C3601" t="s">
        <v>40</v>
      </c>
      <c r="D3601">
        <v>5.163081</v>
      </c>
      <c r="E3601">
        <v>0.53619300000000003</v>
      </c>
      <c r="F3601" t="s">
        <v>70</v>
      </c>
      <c r="G3601">
        <v>-343.51920000000001</v>
      </c>
      <c r="H3601" s="1">
        <v>3.3597470000000001E-7</v>
      </c>
      <c r="I3601">
        <v>211.70910000000001</v>
      </c>
      <c r="J3601">
        <v>-368.38029999999998</v>
      </c>
      <c r="K3601">
        <v>1.109572</v>
      </c>
      <c r="L3601">
        <v>213.15880000000001</v>
      </c>
      <c r="M3601">
        <v>0.99994669999999997</v>
      </c>
      <c r="N3601">
        <v>-1.0032859999999999E-2</v>
      </c>
      <c r="O3601">
        <v>-2.5199549999999999E-3</v>
      </c>
      <c r="P3601">
        <v>0.98455269999999995</v>
      </c>
      <c r="Q3601">
        <v>0.17067669999999999</v>
      </c>
      <c r="R3601">
        <v>3.9060829999999998E-2</v>
      </c>
      <c r="S3601">
        <v>3.076965</v>
      </c>
      <c r="T3601">
        <v>-0.13538359999999999</v>
      </c>
      <c r="U3601">
        <v>-0.17701720000000001</v>
      </c>
      <c r="V3601">
        <v>-4.1416109999999999E-2</v>
      </c>
      <c r="W3601">
        <v>0.18057390000000001</v>
      </c>
      <c r="X3601">
        <v>0.98268909999999998</v>
      </c>
      <c r="Y3601">
        <v>5.4855180000000003E-2</v>
      </c>
      <c r="Z3601">
        <v>-1.395309E-3</v>
      </c>
      <c r="AA3601">
        <v>0.99849339999999998</v>
      </c>
      <c r="AB3601">
        <v>36</v>
      </c>
      <c r="AC3601">
        <v>24.861099999999901</v>
      </c>
      <c r="AD3601">
        <v>-1.1095716640252999</v>
      </c>
      <c r="AE3601">
        <v>-1.4497</v>
      </c>
      <c r="AF3601">
        <v>1.3842953532998701</v>
      </c>
      <c r="AG3601">
        <v>-1.1095716640252999</v>
      </c>
      <c r="AH3601">
        <v>24.815411821091999</v>
      </c>
      <c r="AI3601">
        <v>92.556192486520999</v>
      </c>
      <c r="AJ3601">
        <v>86.807138862863994</v>
      </c>
      <c r="AK3601">
        <v>24.8787476926225</v>
      </c>
      <c r="AL3601">
        <v>79.596810865477295</v>
      </c>
      <c r="AM3601">
        <v>92.413341920758398</v>
      </c>
      <c r="AN3601">
        <v>1.00000004739377</v>
      </c>
    </row>
    <row r="3602" spans="1:40" x14ac:dyDescent="0.25">
      <c r="A3602" t="str">
        <f>"20190304155127919"</f>
        <v>20190304155127919</v>
      </c>
      <c r="B3602" t="str">
        <f>"1551685887909777"</f>
        <v>1551685887909777</v>
      </c>
      <c r="C3602" t="s">
        <v>40</v>
      </c>
      <c r="D3602">
        <v>5.2431039999999998</v>
      </c>
      <c r="E3602">
        <v>0.53602030000000001</v>
      </c>
      <c r="F3602" t="s">
        <v>70</v>
      </c>
      <c r="G3602">
        <v>-342.971</v>
      </c>
      <c r="H3602" s="1">
        <v>4.4249020000000001E-8</v>
      </c>
      <c r="I3602">
        <v>211.7124</v>
      </c>
      <c r="J3602">
        <v>-367.99630000000002</v>
      </c>
      <c r="K3602">
        <v>1.1095539999999999</v>
      </c>
      <c r="L3602">
        <v>213.1575</v>
      </c>
      <c r="M3602">
        <v>0.99994539999999998</v>
      </c>
      <c r="N3602">
        <v>-1.003856E-2</v>
      </c>
      <c r="O3602">
        <v>-2.893198E-3</v>
      </c>
      <c r="P3602">
        <v>0.98453610000000003</v>
      </c>
      <c r="Q3602">
        <v>0.17080010000000001</v>
      </c>
      <c r="R3602">
        <v>3.8939229999999998E-2</v>
      </c>
      <c r="S3602">
        <v>3.0772710000000001</v>
      </c>
      <c r="T3602">
        <v>-0.13437839999999901</v>
      </c>
      <c r="U3602">
        <v>-0.17517089999999999</v>
      </c>
      <c r="V3602">
        <v>-4.1654539999999997E-2</v>
      </c>
      <c r="W3602">
        <v>0.1807047</v>
      </c>
      <c r="X3602">
        <v>0.9826549</v>
      </c>
      <c r="Y3602">
        <v>5.3881859999999997E-2</v>
      </c>
      <c r="Z3602">
        <v>-1.3486150000000001E-3</v>
      </c>
      <c r="AA3602">
        <v>0.99854639999999995</v>
      </c>
      <c r="AB3602">
        <v>36</v>
      </c>
      <c r="AC3602">
        <v>25.025300000000001</v>
      </c>
      <c r="AD3602">
        <v>-1.1095539557509799</v>
      </c>
      <c r="AE3602">
        <v>-1.4450999999999901</v>
      </c>
      <c r="AF3602">
        <v>1.3700029583036299</v>
      </c>
      <c r="AG3602">
        <v>-1.1095539557509799</v>
      </c>
      <c r="AH3602">
        <v>24.9804332103398</v>
      </c>
      <c r="AI3602">
        <v>92.539419464930006</v>
      </c>
      <c r="AJ3602">
        <v>86.860869862444304</v>
      </c>
      <c r="AK3602">
        <v>25.042564993680799</v>
      </c>
      <c r="AL3602">
        <v>79.589190425140302</v>
      </c>
      <c r="AM3602">
        <v>92.427303188079705</v>
      </c>
      <c r="AN3602">
        <v>0.999999970899355</v>
      </c>
    </row>
    <row r="3603" spans="1:40" x14ac:dyDescent="0.25">
      <c r="A3603" t="str">
        <f>"20190304155127942"</f>
        <v>20190304155127942</v>
      </c>
      <c r="B3603" t="str">
        <f>"1551685887940033"</f>
        <v>1551685887940033</v>
      </c>
      <c r="C3603" t="s">
        <v>40</v>
      </c>
      <c r="D3603">
        <v>5.1455060000000001</v>
      </c>
      <c r="E3603">
        <v>0.53575550000000005</v>
      </c>
      <c r="F3603" t="s">
        <v>70</v>
      </c>
      <c r="G3603">
        <v>-342.7396</v>
      </c>
      <c r="H3603" s="1">
        <v>-7.8931350000000006E-8</v>
      </c>
      <c r="I3603">
        <v>211.72540000000001</v>
      </c>
      <c r="J3603">
        <v>-367.61989999999997</v>
      </c>
      <c r="K3603">
        <v>1.1095459999999999</v>
      </c>
      <c r="L3603">
        <v>213.15610000000001</v>
      </c>
      <c r="M3603">
        <v>0.99994430000000001</v>
      </c>
      <c r="N3603">
        <v>-1.004406E-2</v>
      </c>
      <c r="O3603">
        <v>-3.2635289999999998E-3</v>
      </c>
      <c r="P3603">
        <v>0.98433130000000002</v>
      </c>
      <c r="Q3603">
        <v>0.17190030000000001</v>
      </c>
      <c r="R3603">
        <v>3.9273099999999998E-2</v>
      </c>
      <c r="S3603">
        <v>3.0774539999999999</v>
      </c>
      <c r="T3603">
        <v>-0.1351957</v>
      </c>
      <c r="U3603">
        <v>-0.1744995</v>
      </c>
      <c r="V3603">
        <v>-4.2346259999999997E-2</v>
      </c>
      <c r="W3603">
        <v>0.18181</v>
      </c>
      <c r="X3603">
        <v>0.98242149999999995</v>
      </c>
      <c r="Y3603">
        <v>5.3291749999999999E-2</v>
      </c>
      <c r="Z3603">
        <v>-1.3266510000000001E-3</v>
      </c>
      <c r="AA3603">
        <v>0.99857810000000002</v>
      </c>
      <c r="AB3603">
        <v>36</v>
      </c>
      <c r="AC3603">
        <v>24.880299999999899</v>
      </c>
      <c r="AD3603">
        <v>-1.1095460789313401</v>
      </c>
      <c r="AE3603">
        <v>-1.4307000000000001</v>
      </c>
      <c r="AF3603">
        <v>1.34682105095343</v>
      </c>
      <c r="AG3603">
        <v>-1.1095460789313401</v>
      </c>
      <c r="AH3603">
        <v>24.835607907192799</v>
      </c>
      <c r="AI3603">
        <v>92.554275171706294</v>
      </c>
      <c r="AJ3603">
        <v>86.895922570294005</v>
      </c>
      <c r="AK3603">
        <v>24.896835934800698</v>
      </c>
      <c r="AL3603">
        <v>79.524795485808198</v>
      </c>
      <c r="AM3603">
        <v>92.468147351449105</v>
      </c>
      <c r="AN3603">
        <v>1.00000004274911</v>
      </c>
    </row>
    <row r="3604" spans="1:40" x14ac:dyDescent="0.25">
      <c r="A3604" t="str">
        <f>"20190304155127962"</f>
        <v>20190304155127962</v>
      </c>
      <c r="B3604" t="str">
        <f>"1551685887960530"</f>
        <v>1551685887960530</v>
      </c>
      <c r="C3604" t="s">
        <v>40</v>
      </c>
      <c r="D3604">
        <v>5.154712</v>
      </c>
      <c r="E3604">
        <v>0.50818399999999997</v>
      </c>
      <c r="F3604" t="s">
        <v>70</v>
      </c>
      <c r="G3604">
        <v>-341.8</v>
      </c>
      <c r="H3604" s="1">
        <v>-5.7894640000000005E-7</v>
      </c>
      <c r="I3604">
        <v>211.7157</v>
      </c>
      <c r="J3604">
        <v>-367.29649999999998</v>
      </c>
      <c r="K3604">
        <v>1.1095360000000001</v>
      </c>
      <c r="L3604">
        <v>213.15479999999999</v>
      </c>
      <c r="M3604">
        <v>0.99994320000000003</v>
      </c>
      <c r="N3604">
        <v>-1.004874E-2</v>
      </c>
      <c r="O3604">
        <v>-3.5821899999999999E-3</v>
      </c>
      <c r="P3604">
        <v>0.98414639999999998</v>
      </c>
      <c r="Q3604">
        <v>0.17285819999999999</v>
      </c>
      <c r="R3604">
        <v>3.9702660000000001E-2</v>
      </c>
      <c r="S3604">
        <v>3.0776979999999998</v>
      </c>
      <c r="T3604">
        <v>-0.13225619999999999</v>
      </c>
      <c r="U3604">
        <v>-0.17169189999999901</v>
      </c>
      <c r="V3604">
        <v>-4.3084219999999999E-2</v>
      </c>
      <c r="W3604">
        <v>0.18277109999999999</v>
      </c>
      <c r="X3604">
        <v>0.98221099999999995</v>
      </c>
      <c r="Y3604">
        <v>5.2064850000000003E-2</v>
      </c>
      <c r="Z3604">
        <v>-1.261461E-3</v>
      </c>
      <c r="AA3604">
        <v>0.9986429</v>
      </c>
      <c r="AB3604">
        <v>36</v>
      </c>
      <c r="AC3604">
        <v>25.496499999999902</v>
      </c>
      <c r="AD3604">
        <v>-1.10953657894639</v>
      </c>
      <c r="AE3604">
        <v>-1.4390999999999901</v>
      </c>
      <c r="AF3604">
        <v>1.34521345166566</v>
      </c>
      <c r="AG3604">
        <v>-1.10953657894639</v>
      </c>
      <c r="AH3604">
        <v>25.453442464387798</v>
      </c>
      <c r="AI3604">
        <v>92.492516099816299</v>
      </c>
      <c r="AJ3604">
        <v>86.974734810966396</v>
      </c>
      <c r="AK3604">
        <v>25.513102593343302</v>
      </c>
      <c r="AL3604">
        <v>79.468789529649797</v>
      </c>
      <c r="AM3604">
        <v>92.511642158182298</v>
      </c>
      <c r="AN3604">
        <v>0.99999998676460899</v>
      </c>
    </row>
    <row r="3605" spans="1:40" x14ac:dyDescent="0.25">
      <c r="A3605" t="str">
        <f>"20190304155127984"</f>
        <v>20190304155127984</v>
      </c>
      <c r="B3605" t="str">
        <f>"1551685887980050"</f>
        <v>1551685887980050</v>
      </c>
      <c r="C3605" t="s">
        <v>40</v>
      </c>
      <c r="D3605">
        <v>5.1302059999999896</v>
      </c>
      <c r="E3605">
        <v>0.50346990000000003</v>
      </c>
      <c r="F3605" t="s">
        <v>70</v>
      </c>
      <c r="G3605">
        <v>-334.43689999999998</v>
      </c>
      <c r="H3605" s="1">
        <v>8.6473040000000001E-7</v>
      </c>
      <c r="I3605">
        <v>213.6918</v>
      </c>
      <c r="J3605">
        <v>-366.9359</v>
      </c>
      <c r="K3605">
        <v>1.109531</v>
      </c>
      <c r="L3605">
        <v>213.1532</v>
      </c>
      <c r="M3605">
        <v>0.99994179999999999</v>
      </c>
      <c r="N3605">
        <v>-1.0053950000000001E-2</v>
      </c>
      <c r="O3605">
        <v>-3.9368479999999997E-3</v>
      </c>
      <c r="P3605">
        <v>0.98400310000000002</v>
      </c>
      <c r="Q3605">
        <v>0.17346329999999999</v>
      </c>
      <c r="R3605">
        <v>4.0605309999999999E-2</v>
      </c>
      <c r="S3605">
        <v>3.064514</v>
      </c>
      <c r="T3605">
        <v>-0.10347629999999999</v>
      </c>
      <c r="U3605">
        <v>5.0079350000000002E-2</v>
      </c>
      <c r="V3605">
        <v>-4.4330960000000003E-2</v>
      </c>
      <c r="W3605">
        <v>0.18338199999999999</v>
      </c>
      <c r="X3605">
        <v>0.98204170000000002</v>
      </c>
      <c r="Y3605">
        <v>-2.0259820000000001E-2</v>
      </c>
      <c r="Z3605">
        <v>5.371331E-4</v>
      </c>
      <c r="AA3605">
        <v>0.99979459999999998</v>
      </c>
      <c r="AB3605">
        <v>36</v>
      </c>
      <c r="AC3605">
        <v>32.499000000000002</v>
      </c>
      <c r="AD3605">
        <v>-1.1095301352696001</v>
      </c>
      <c r="AE3605">
        <v>0.53860000000000197</v>
      </c>
      <c r="AF3605">
        <v>-0.66577011567579503</v>
      </c>
      <c r="AG3605">
        <v>-1.1095301352696001</v>
      </c>
      <c r="AH3605">
        <v>32.458805025150902</v>
      </c>
      <c r="AI3605">
        <v>91.957351737153601</v>
      </c>
      <c r="AJ3605">
        <v>91.175042322831402</v>
      </c>
      <c r="AK3605">
        <v>32.484586046750898</v>
      </c>
      <c r="AL3605">
        <v>79.433186421568806</v>
      </c>
      <c r="AM3605">
        <v>92.5846700021782</v>
      </c>
      <c r="AN3605">
        <v>1.0000000462387</v>
      </c>
    </row>
    <row r="3606" spans="1:40" x14ac:dyDescent="0.25">
      <c r="A3606" t="str">
        <f>"20190304155128007"</f>
        <v>20190304155128007</v>
      </c>
      <c r="B3606" t="str">
        <f>"1551685888000546"</f>
        <v>1551685888000546</v>
      </c>
      <c r="C3606" t="s">
        <v>40</v>
      </c>
      <c r="D3606">
        <v>5.1202860000000001</v>
      </c>
      <c r="E3606">
        <v>0.50076989999999999</v>
      </c>
      <c r="F3606" t="s">
        <v>70</v>
      </c>
      <c r="G3606">
        <v>-339.09780000000001</v>
      </c>
      <c r="H3606" s="1">
        <v>3.332635E-6</v>
      </c>
      <c r="I3606">
        <v>213.97489999999999</v>
      </c>
      <c r="J3606">
        <v>-366.57249999999999</v>
      </c>
      <c r="K3606">
        <v>1.1095219999999999</v>
      </c>
      <c r="L3606">
        <v>213.1514</v>
      </c>
      <c r="M3606">
        <v>0.9999403</v>
      </c>
      <c r="N3606">
        <v>-1.005927E-2</v>
      </c>
      <c r="O3606">
        <v>-4.2926800000000001E-3</v>
      </c>
      <c r="P3606">
        <v>0.98393920000000001</v>
      </c>
      <c r="Q3606">
        <v>0.17370969999999999</v>
      </c>
      <c r="R3606">
        <v>4.1095100000000002E-2</v>
      </c>
      <c r="S3606">
        <v>3.0665589999999998</v>
      </c>
      <c r="T3606">
        <v>-0.1222221</v>
      </c>
      <c r="U3606">
        <v>9.0515139999999994E-2</v>
      </c>
      <c r="V3606">
        <v>-4.5166999999999999E-2</v>
      </c>
      <c r="W3606">
        <v>0.18363409999999999</v>
      </c>
      <c r="X3606">
        <v>0.98195639999999995</v>
      </c>
      <c r="Y3606">
        <v>-3.3759299999999999E-2</v>
      </c>
      <c r="Z3606">
        <v>9.7010049999999995E-4</v>
      </c>
      <c r="AA3606">
        <v>0.99942949999999997</v>
      </c>
      <c r="AB3606">
        <v>36</v>
      </c>
      <c r="AC3606">
        <v>27.474699999999899</v>
      </c>
      <c r="AD3606">
        <v>-1.1095186673649999</v>
      </c>
      <c r="AE3606">
        <v>0.82349999999999501</v>
      </c>
      <c r="AF3606">
        <v>-0.93990702788682601</v>
      </c>
      <c r="AG3606">
        <v>-1.1095186673649999</v>
      </c>
      <c r="AH3606">
        <v>27.426224823264601</v>
      </c>
      <c r="AI3606">
        <v>92.315260484535401</v>
      </c>
      <c r="AJ3606">
        <v>91.962779727482797</v>
      </c>
      <c r="AK3606">
        <v>27.464745856289301</v>
      </c>
      <c r="AL3606">
        <v>79.418491663785602</v>
      </c>
      <c r="AM3606">
        <v>92.633574883395099</v>
      </c>
      <c r="AN3606">
        <v>0.99999995603638303</v>
      </c>
    </row>
    <row r="3607" spans="1:40" x14ac:dyDescent="0.25">
      <c r="A3607" t="str">
        <f>"20190304155128030"</f>
        <v>20190304155128030</v>
      </c>
      <c r="B3607" t="str">
        <f>"1551685888020065"</f>
        <v>1551685888020065</v>
      </c>
      <c r="C3607" t="s">
        <v>40</v>
      </c>
      <c r="D3607">
        <v>5.0856089999999998</v>
      </c>
      <c r="E3607">
        <v>0.50008109999999995</v>
      </c>
      <c r="F3607" t="s">
        <v>70</v>
      </c>
      <c r="G3607">
        <v>-341.49009999999998</v>
      </c>
      <c r="H3607" s="1">
        <v>-7.4382129999999995E-7</v>
      </c>
      <c r="I3607">
        <v>214.07900000000001</v>
      </c>
      <c r="J3607">
        <v>-366.19959999999998</v>
      </c>
      <c r="K3607">
        <v>1.109524</v>
      </c>
      <c r="L3607">
        <v>213.14949999999999</v>
      </c>
      <c r="M3607">
        <v>0.99993860000000001</v>
      </c>
      <c r="N3607">
        <v>-1.0064750000000001E-2</v>
      </c>
      <c r="O3607">
        <v>-4.6569599999999999E-3</v>
      </c>
      <c r="P3607">
        <v>0.98382159999999996</v>
      </c>
      <c r="Q3607">
        <v>0.17443</v>
      </c>
      <c r="R3607">
        <v>4.0861990000000001E-2</v>
      </c>
      <c r="S3607">
        <v>3.0682070000000001</v>
      </c>
      <c r="T3607">
        <v>-0.13572239999999999</v>
      </c>
      <c r="U3607">
        <v>0.11346440000000001</v>
      </c>
      <c r="V3607">
        <v>-4.528857E-2</v>
      </c>
      <c r="W3607">
        <v>0.1843593</v>
      </c>
      <c r="X3607">
        <v>0.98181499999999999</v>
      </c>
      <c r="Y3607">
        <v>-4.1556469999999998E-2</v>
      </c>
      <c r="Z3607">
        <v>1.286691E-3</v>
      </c>
      <c r="AA3607">
        <v>0.99913529999999995</v>
      </c>
      <c r="AB3607">
        <v>36</v>
      </c>
      <c r="AC3607">
        <v>24.709499999999899</v>
      </c>
      <c r="AD3607">
        <v>-1.1095247438213001</v>
      </c>
      <c r="AE3607">
        <v>0.92950000000001798</v>
      </c>
      <c r="AF3607">
        <v>-1.0424679765195799</v>
      </c>
      <c r="AG3607">
        <v>-1.1095247438213001</v>
      </c>
      <c r="AH3607">
        <v>24.6552620465364</v>
      </c>
      <c r="AI3607">
        <v>92.574362817810197</v>
      </c>
      <c r="AJ3607">
        <v>92.421124540570602</v>
      </c>
      <c r="AK3607">
        <v>24.702221179938402</v>
      </c>
      <c r="AL3607">
        <v>79.376220046520601</v>
      </c>
      <c r="AM3607">
        <v>92.641033071969304</v>
      </c>
      <c r="AN3607">
        <v>1.0000000501470601</v>
      </c>
    </row>
    <row r="3608" spans="1:40" x14ac:dyDescent="0.25">
      <c r="A3608" t="str">
        <f>"20190304155128053"</f>
        <v>20190304155128053</v>
      </c>
      <c r="B3608" t="str">
        <f>"1551685888050322"</f>
        <v>1551685888050322</v>
      </c>
      <c r="C3608" t="s">
        <v>40</v>
      </c>
      <c r="D3608">
        <v>5.1216179999999998</v>
      </c>
      <c r="E3608">
        <v>0.49899840000000001</v>
      </c>
      <c r="F3608" t="s">
        <v>70</v>
      </c>
      <c r="G3608">
        <v>-337.83690000000001</v>
      </c>
      <c r="H3608" s="1">
        <v>2.6500859999999999E-6</v>
      </c>
      <c r="I3608">
        <v>214.23929999999999</v>
      </c>
      <c r="J3608">
        <v>-365.839</v>
      </c>
      <c r="K3608">
        <v>1.109518</v>
      </c>
      <c r="L3608">
        <v>213.14750000000001</v>
      </c>
      <c r="M3608">
        <v>0.99993679999999996</v>
      </c>
      <c r="N3608">
        <v>-1.0070050000000001E-2</v>
      </c>
      <c r="O3608">
        <v>-5.0087040000000001E-3</v>
      </c>
      <c r="P3608">
        <v>0.98386289999999998</v>
      </c>
      <c r="Q3608">
        <v>0.1742861</v>
      </c>
      <c r="R3608">
        <v>4.0477760000000002E-2</v>
      </c>
      <c r="S3608">
        <v>3.065674</v>
      </c>
      <c r="T3608">
        <v>-0.1199259</v>
      </c>
      <c r="U3608">
        <v>0.1177979</v>
      </c>
      <c r="V3608">
        <v>-4.5249030000000003E-2</v>
      </c>
      <c r="W3608">
        <v>0.18422089999999999</v>
      </c>
      <c r="X3608">
        <v>0.98184280000000002</v>
      </c>
      <c r="Y3608">
        <v>-4.3357470000000002E-2</v>
      </c>
      <c r="Z3608">
        <v>1.2112959999999999E-3</v>
      </c>
      <c r="AA3608">
        <v>0.99905889999999997</v>
      </c>
      <c r="AB3608">
        <v>36</v>
      </c>
      <c r="AC3608">
        <v>28.002099999999899</v>
      </c>
      <c r="AD3608">
        <v>-1.109515349914</v>
      </c>
      <c r="AE3608">
        <v>1.0917999999999699</v>
      </c>
      <c r="AF3608">
        <v>-1.23011934609942</v>
      </c>
      <c r="AG3608">
        <v>-1.109515349914</v>
      </c>
      <c r="AH3608">
        <v>27.952462619216099</v>
      </c>
      <c r="AI3608">
        <v>92.270848975083496</v>
      </c>
      <c r="AJ3608">
        <v>92.519820935557206</v>
      </c>
      <c r="AK3608">
        <v>28.001506823669601</v>
      </c>
      <c r="AL3608">
        <v>79.384287961293296</v>
      </c>
      <c r="AM3608">
        <v>92.638655923354705</v>
      </c>
      <c r="AN3608">
        <v>1.00000004931229</v>
      </c>
    </row>
    <row r="3609" spans="1:40" x14ac:dyDescent="0.25">
      <c r="A3609" t="str">
        <f>"20190304155128074"</f>
        <v>20190304155128074</v>
      </c>
      <c r="B3609" t="str">
        <f>"1551685888069945"</f>
        <v>1551685888069945</v>
      </c>
      <c r="C3609" t="s">
        <v>40</v>
      </c>
      <c r="D3609">
        <v>5.1064400000000001</v>
      </c>
      <c r="E3609">
        <v>0.49815130000000002</v>
      </c>
      <c r="F3609" t="s">
        <v>70</v>
      </c>
      <c r="G3609">
        <v>-338.3897</v>
      </c>
      <c r="H3609" s="1">
        <v>2.9430789999999999E-6</v>
      </c>
      <c r="I3609">
        <v>214.2664</v>
      </c>
      <c r="J3609">
        <v>-365.48660000000001</v>
      </c>
      <c r="K3609">
        <v>1.1095109999999999</v>
      </c>
      <c r="L3609">
        <v>213.1454</v>
      </c>
      <c r="M3609">
        <v>0.99993509999999997</v>
      </c>
      <c r="N3609">
        <v>-1.0075249999999999E-2</v>
      </c>
      <c r="O3609">
        <v>-5.3525669999999999E-3</v>
      </c>
      <c r="P3609">
        <v>0.98394159999999997</v>
      </c>
      <c r="Q3609">
        <v>0.17404729999999999</v>
      </c>
      <c r="R3609">
        <v>3.9584069999999999E-2</v>
      </c>
      <c r="S3609">
        <v>3.0660400000000001</v>
      </c>
      <c r="T3609">
        <v>-0.12393079999999999</v>
      </c>
      <c r="U3609">
        <v>0.1249847</v>
      </c>
      <c r="V3609">
        <v>-4.4692469999999998E-2</v>
      </c>
      <c r="W3609">
        <v>0.18398800000000001</v>
      </c>
      <c r="X3609">
        <v>0.98191189999999995</v>
      </c>
      <c r="Y3609">
        <v>-4.6028850000000003E-2</v>
      </c>
      <c r="Z3609">
        <v>1.3238760000000001E-3</v>
      </c>
      <c r="AA3609">
        <v>0.99893920000000003</v>
      </c>
      <c r="AB3609">
        <v>36</v>
      </c>
      <c r="AC3609">
        <v>27.096900000000002</v>
      </c>
      <c r="AD3609">
        <v>-1.1095080569210001</v>
      </c>
      <c r="AE3609">
        <v>1.121</v>
      </c>
      <c r="AF3609">
        <v>-1.26391382867147</v>
      </c>
      <c r="AG3609">
        <v>-1.1095080569210001</v>
      </c>
      <c r="AH3609">
        <v>27.045245487099098</v>
      </c>
      <c r="AI3609">
        <v>92.346634780398901</v>
      </c>
      <c r="AJ3609">
        <v>92.675674638805901</v>
      </c>
      <c r="AK3609">
        <v>27.097486779259299</v>
      </c>
      <c r="AL3609">
        <v>79.397863576729605</v>
      </c>
      <c r="AM3609">
        <v>92.606062506962004</v>
      </c>
      <c r="AN3609">
        <v>0.99999999019015495</v>
      </c>
    </row>
    <row r="3610" spans="1:40" x14ac:dyDescent="0.25">
      <c r="A3610" t="str">
        <f>"20190304155128097"</f>
        <v>20190304155128097</v>
      </c>
      <c r="B3610" t="str">
        <f>"1551685888090441"</f>
        <v>1551685888090441</v>
      </c>
      <c r="C3610" t="s">
        <v>40</v>
      </c>
      <c r="D3610">
        <v>5.0861769999999904</v>
      </c>
      <c r="E3610">
        <v>0.49764199999999997</v>
      </c>
      <c r="F3610" t="s">
        <v>70</v>
      </c>
      <c r="G3610">
        <v>-339.30099999999999</v>
      </c>
      <c r="H3610" s="1">
        <v>3.4290410000000002E-6</v>
      </c>
      <c r="I3610">
        <v>214.2431</v>
      </c>
      <c r="J3610">
        <v>-365.11900000000003</v>
      </c>
      <c r="K3610">
        <v>1.1095060000000001</v>
      </c>
      <c r="L3610">
        <v>213.1431</v>
      </c>
      <c r="M3610">
        <v>0.99993290000000001</v>
      </c>
      <c r="N3610">
        <v>-1.008069E-2</v>
      </c>
      <c r="O3610">
        <v>-5.7114399999999999E-3</v>
      </c>
      <c r="P3610">
        <v>0.98418190000000005</v>
      </c>
      <c r="Q3610">
        <v>0.1727552</v>
      </c>
      <c r="R3610">
        <v>3.9266389999999998E-2</v>
      </c>
      <c r="S3610">
        <v>3.0667420000000001</v>
      </c>
      <c r="T3610">
        <v>-0.12994040000000001</v>
      </c>
      <c r="U3610">
        <v>0.12855530000000001</v>
      </c>
      <c r="V3610">
        <v>-4.4729119999999997E-2</v>
      </c>
      <c r="W3610">
        <v>0.18270410000000001</v>
      </c>
      <c r="X3610">
        <v>0.98214999999999997</v>
      </c>
      <c r="Y3610">
        <v>-4.7532730000000002E-2</v>
      </c>
      <c r="Z3610">
        <v>1.430193E-3</v>
      </c>
      <c r="AA3610">
        <v>0.9988686</v>
      </c>
      <c r="AB3610">
        <v>36</v>
      </c>
      <c r="AC3610">
        <v>25.818000000000001</v>
      </c>
      <c r="AD3610">
        <v>-1.1095025709589901</v>
      </c>
      <c r="AE3610">
        <v>1.0999999999999901</v>
      </c>
      <c r="AF3610">
        <v>-1.2451521685087401</v>
      </c>
      <c r="AG3610">
        <v>-1.1095025709589901</v>
      </c>
      <c r="AH3610">
        <v>25.763802498717201</v>
      </c>
      <c r="AI3610">
        <v>92.463013221479002</v>
      </c>
      <c r="AJ3610">
        <v>92.766924499695705</v>
      </c>
      <c r="AK3610">
        <v>25.817724901133602</v>
      </c>
      <c r="AL3610">
        <v>79.472694792078897</v>
      </c>
      <c r="AM3610">
        <v>92.607565229777407</v>
      </c>
      <c r="AN3610">
        <v>1.0000000524163899</v>
      </c>
    </row>
    <row r="3611" spans="1:40" x14ac:dyDescent="0.25">
      <c r="A3611" t="str">
        <f>"20190304155128120"</f>
        <v>20190304155128120</v>
      </c>
      <c r="B3611" t="str">
        <f>"1551685888109960"</f>
        <v>1551685888109960</v>
      </c>
      <c r="C3611" t="s">
        <v>40</v>
      </c>
      <c r="D3611">
        <v>5.0583819999999999</v>
      </c>
      <c r="E3611">
        <v>0.49719740000000001</v>
      </c>
      <c r="F3611" t="s">
        <v>70</v>
      </c>
      <c r="G3611">
        <v>-340.37290000000002</v>
      </c>
      <c r="H3611" s="1">
        <v>-1.3383679999999999E-6</v>
      </c>
      <c r="I3611">
        <v>214.20259999999999</v>
      </c>
      <c r="J3611">
        <v>-364.74360000000001</v>
      </c>
      <c r="K3611">
        <v>1.109499</v>
      </c>
      <c r="L3611">
        <v>213.14060000000001</v>
      </c>
      <c r="M3611">
        <v>0.99993069999999895</v>
      </c>
      <c r="N3611">
        <v>-1.008625E-2</v>
      </c>
      <c r="O3611">
        <v>-6.0777000000000001E-3</v>
      </c>
      <c r="P3611">
        <v>0.984375</v>
      </c>
      <c r="Q3611">
        <v>0.17169970000000001</v>
      </c>
      <c r="R3611">
        <v>3.9051750000000003E-2</v>
      </c>
      <c r="S3611">
        <v>3.067078</v>
      </c>
      <c r="T3611">
        <v>-0.1375141</v>
      </c>
      <c r="U3611">
        <v>0.13131709999999999</v>
      </c>
      <c r="V3611">
        <v>-4.487613E-2</v>
      </c>
      <c r="W3611">
        <v>0.18165619999999999</v>
      </c>
      <c r="X3611">
        <v>0.98233760000000003</v>
      </c>
      <c r="Y3611">
        <v>-4.878391E-2</v>
      </c>
      <c r="Z3611">
        <v>1.5498650000000001E-3</v>
      </c>
      <c r="AA3611">
        <v>0.99880809999999998</v>
      </c>
      <c r="AB3611">
        <v>36</v>
      </c>
      <c r="AC3611">
        <v>24.370699999999999</v>
      </c>
      <c r="AD3611">
        <v>-1.109500338368</v>
      </c>
      <c r="AE3611">
        <v>1.0619999999999801</v>
      </c>
      <c r="AF3611">
        <v>-1.2076075530711099</v>
      </c>
      <c r="AG3611">
        <v>-1.109500338368</v>
      </c>
      <c r="AH3611">
        <v>24.3134979605287</v>
      </c>
      <c r="AI3611">
        <v>92.609559214548</v>
      </c>
      <c r="AJ3611">
        <v>92.843441284693597</v>
      </c>
      <c r="AK3611">
        <v>24.368740018304301</v>
      </c>
      <c r="AL3611">
        <v>79.5337563614099</v>
      </c>
      <c r="AM3611">
        <v>92.615624642157499</v>
      </c>
      <c r="AN3611">
        <v>1.0000000012079799</v>
      </c>
    </row>
    <row r="3612" spans="1:40" x14ac:dyDescent="0.25">
      <c r="A3612" t="str">
        <f>"20190304155128143"</f>
        <v>20190304155128143</v>
      </c>
      <c r="B3612" t="str">
        <f>"1551685888140216"</f>
        <v>1551685888140216</v>
      </c>
      <c r="C3612" t="s">
        <v>40</v>
      </c>
      <c r="D3612">
        <v>5.1197790000000003</v>
      </c>
      <c r="E3612">
        <v>0.4965869</v>
      </c>
      <c r="F3612" t="s">
        <v>70</v>
      </c>
      <c r="G3612">
        <v>-341.1311</v>
      </c>
      <c r="H3612" s="1">
        <v>-9.3489220000000002E-7</v>
      </c>
      <c r="I3612">
        <v>214.16630000000001</v>
      </c>
      <c r="J3612">
        <v>-364.38010000000003</v>
      </c>
      <c r="K3612">
        <v>1.109494</v>
      </c>
      <c r="L3612">
        <v>213.13810000000001</v>
      </c>
      <c r="M3612">
        <v>0.9999285</v>
      </c>
      <c r="N3612">
        <v>-1.0091630000000001E-2</v>
      </c>
      <c r="O3612">
        <v>-6.4326289999999996E-3</v>
      </c>
      <c r="P3612">
        <v>0.98416519999999996</v>
      </c>
      <c r="Q3612">
        <v>0.1728172</v>
      </c>
      <c r="R3612">
        <v>3.9414879999999999E-2</v>
      </c>
      <c r="S3612">
        <v>3.0674739999999998</v>
      </c>
      <c r="T3612">
        <v>-0.14413389999999901</v>
      </c>
      <c r="U3612">
        <v>0.13323969999999999</v>
      </c>
      <c r="V3612">
        <v>-4.5585500000000001E-2</v>
      </c>
      <c r="W3612">
        <v>0.18277769999999999</v>
      </c>
      <c r="X3612">
        <v>0.98209690000000005</v>
      </c>
      <c r="Y3612">
        <v>-4.9750419999999997E-2</v>
      </c>
      <c r="Z3612">
        <v>1.65606E-3</v>
      </c>
      <c r="AA3612">
        <v>0.99876030000000005</v>
      </c>
      <c r="AB3612">
        <v>36</v>
      </c>
      <c r="AC3612">
        <v>23.248999999999999</v>
      </c>
      <c r="AD3612">
        <v>-1.1094949348921901</v>
      </c>
      <c r="AE3612">
        <v>1.02819999999999</v>
      </c>
      <c r="AF3612">
        <v>-1.1750676233644399</v>
      </c>
      <c r="AG3612">
        <v>-1.1094949348921901</v>
      </c>
      <c r="AH3612">
        <v>23.189196253072598</v>
      </c>
      <c r="AI3612">
        <v>92.735742240891994</v>
      </c>
      <c r="AJ3612">
        <v>92.900871480593594</v>
      </c>
      <c r="AK3612">
        <v>23.245442258506198</v>
      </c>
      <c r="AL3612">
        <v>79.468405286534207</v>
      </c>
      <c r="AM3612">
        <v>92.657562035940501</v>
      </c>
      <c r="AN3612">
        <v>1.00000002320857</v>
      </c>
    </row>
    <row r="3613" spans="1:40" x14ac:dyDescent="0.25">
      <c r="A3613" t="str">
        <f>"20190304155128164"</f>
        <v>20190304155128164</v>
      </c>
      <c r="B3613" t="str">
        <f>"1551685888159736"</f>
        <v>1551685888159736</v>
      </c>
      <c r="C3613" t="s">
        <v>40</v>
      </c>
      <c r="D3613">
        <v>5.0938970000000001</v>
      </c>
      <c r="E3613">
        <v>0.49630560000000001</v>
      </c>
      <c r="F3613" t="s">
        <v>70</v>
      </c>
      <c r="G3613">
        <v>-341.12900000000002</v>
      </c>
      <c r="H3613" s="1">
        <v>-9.3599989999999997E-7</v>
      </c>
      <c r="I3613">
        <v>214.1893</v>
      </c>
      <c r="J3613">
        <v>-364.02390000000003</v>
      </c>
      <c r="K3613">
        <v>1.109504</v>
      </c>
      <c r="L3613">
        <v>213.13550000000001</v>
      </c>
      <c r="M3613">
        <v>0.99992599999999998</v>
      </c>
      <c r="N3613">
        <v>-1.0096890000000001E-2</v>
      </c>
      <c r="O3613">
        <v>-6.7800419999999896E-3</v>
      </c>
      <c r="P3613">
        <v>0.98387029999999998</v>
      </c>
      <c r="Q3613">
        <v>0.174375799999999</v>
      </c>
      <c r="R3613">
        <v>3.9901979999999997E-2</v>
      </c>
      <c r="S3613">
        <v>3.068451</v>
      </c>
      <c r="T3613">
        <v>-0.1464201</v>
      </c>
      <c r="U3613">
        <v>0.13873289999999999</v>
      </c>
      <c r="V3613">
        <v>-4.6410449999999999E-2</v>
      </c>
      <c r="W3613">
        <v>0.18433910000000001</v>
      </c>
      <c r="X3613">
        <v>0.98176629999999998</v>
      </c>
      <c r="Y3613">
        <v>-5.1862800000000001E-2</v>
      </c>
      <c r="Z3613">
        <v>1.7530060000000001E-3</v>
      </c>
      <c r="AA3613">
        <v>0.99865269999999995</v>
      </c>
      <c r="AB3613">
        <v>36</v>
      </c>
      <c r="AC3613">
        <v>22.8949</v>
      </c>
      <c r="AD3613">
        <v>-1.1095049359998901</v>
      </c>
      <c r="AE3613">
        <v>1.0537999999999901</v>
      </c>
      <c r="AF3613">
        <v>-1.2061854036030899</v>
      </c>
      <c r="AG3613">
        <v>-1.1095049359998901</v>
      </c>
      <c r="AH3613">
        <v>22.833718101645101</v>
      </c>
      <c r="AI3613">
        <v>92.777983371666494</v>
      </c>
      <c r="AJ3613">
        <v>93.023824587088399</v>
      </c>
      <c r="AK3613">
        <v>22.892456547436499</v>
      </c>
      <c r="AL3613">
        <v>79.377396535317402</v>
      </c>
      <c r="AM3613">
        <v>92.706494202414504</v>
      </c>
      <c r="AN3613">
        <v>0.99999995073685</v>
      </c>
    </row>
    <row r="3614" spans="1:40" x14ac:dyDescent="0.25">
      <c r="A3614" t="str">
        <f>"20190304155128185"</f>
        <v>20190304155128185</v>
      </c>
      <c r="B3614" t="str">
        <f>"1551685888180002"</f>
        <v>1551685888180002</v>
      </c>
      <c r="C3614" t="s">
        <v>40</v>
      </c>
      <c r="D3614">
        <v>5.0791279999999999</v>
      </c>
      <c r="E3614">
        <v>0.49601709999999899</v>
      </c>
      <c r="F3614" t="s">
        <v>70</v>
      </c>
      <c r="G3614">
        <v>-340.28269999999998</v>
      </c>
      <c r="H3614" s="1">
        <v>-1.3863359999999999E-6</v>
      </c>
      <c r="I3614">
        <v>214.23570000000001</v>
      </c>
      <c r="J3614">
        <v>-363.67669999999998</v>
      </c>
      <c r="K3614">
        <v>1.109505</v>
      </c>
      <c r="L3614">
        <v>213.1328</v>
      </c>
      <c r="M3614">
        <v>0.99992360000000002</v>
      </c>
      <c r="N3614">
        <v>-1.010197E-2</v>
      </c>
      <c r="O3614">
        <v>-7.1183949999999996E-3</v>
      </c>
      <c r="P3614">
        <v>0.98364010000000002</v>
      </c>
      <c r="Q3614">
        <v>0.17554169999999999</v>
      </c>
      <c r="R3614">
        <v>4.0460950000000002E-2</v>
      </c>
      <c r="S3614">
        <v>3.0688170000000001</v>
      </c>
      <c r="T3614">
        <v>-0.1434164</v>
      </c>
      <c r="U3614">
        <v>0.1422119</v>
      </c>
      <c r="V3614">
        <v>-4.7299130000000002E-2</v>
      </c>
      <c r="W3614">
        <v>0.18550829999999999</v>
      </c>
      <c r="X3614">
        <v>0.98150369999999998</v>
      </c>
      <c r="Y3614">
        <v>-5.3325789999999998E-2</v>
      </c>
      <c r="Z3614">
        <v>1.7748600000000001E-3</v>
      </c>
      <c r="AA3614">
        <v>0.99857560000000001</v>
      </c>
      <c r="AB3614">
        <v>36</v>
      </c>
      <c r="AC3614">
        <v>23.393999999999998</v>
      </c>
      <c r="AD3614">
        <v>-1.109506386336</v>
      </c>
      <c r="AE3614">
        <v>1.1029</v>
      </c>
      <c r="AF3614">
        <v>-1.26656570073611</v>
      </c>
      <c r="AG3614">
        <v>-1.109506386336</v>
      </c>
      <c r="AH3614">
        <v>23.3331886054062</v>
      </c>
      <c r="AI3614">
        <v>92.718400372517607</v>
      </c>
      <c r="AJ3614">
        <v>93.107064415338201</v>
      </c>
      <c r="AK3614">
        <v>23.393864229559401</v>
      </c>
      <c r="AL3614">
        <v>79.309231441015996</v>
      </c>
      <c r="AM3614">
        <v>92.758976435615196</v>
      </c>
      <c r="AN3614">
        <v>1.00000002509066</v>
      </c>
    </row>
    <row r="3615" spans="1:40" x14ac:dyDescent="0.25">
      <c r="A3615" t="str">
        <f>"20190304155128209"</f>
        <v>20190304155128209</v>
      </c>
      <c r="B3615" t="str">
        <f>"1551685888200501"</f>
        <v>1551685888200501</v>
      </c>
      <c r="C3615" t="s">
        <v>40</v>
      </c>
      <c r="D3615">
        <v>5.1172399999999998</v>
      </c>
      <c r="E3615">
        <v>0.4959247</v>
      </c>
      <c r="F3615" t="s">
        <v>70</v>
      </c>
      <c r="G3615">
        <v>-339.70299999999997</v>
      </c>
      <c r="H3615" s="1">
        <v>3.6415490000000001E-6</v>
      </c>
      <c r="I3615">
        <v>214.27539999999999</v>
      </c>
      <c r="J3615">
        <v>-363.30340000000001</v>
      </c>
      <c r="K3615">
        <v>1.1095090000000001</v>
      </c>
      <c r="L3615">
        <v>213.12989999999999</v>
      </c>
      <c r="M3615">
        <v>0.9999209</v>
      </c>
      <c r="N3615">
        <v>-1.0107440000000001E-2</v>
      </c>
      <c r="O3615">
        <v>-7.4822569999999904E-3</v>
      </c>
      <c r="P3615">
        <v>0.98351789999999994</v>
      </c>
      <c r="Q3615">
        <v>0.17610190000000001</v>
      </c>
      <c r="R3615">
        <v>4.0998519999999997E-2</v>
      </c>
      <c r="S3615">
        <v>3.0692439999999999</v>
      </c>
      <c r="T3615">
        <v>-0.14204420000000001</v>
      </c>
      <c r="U3615">
        <v>0.14627079999999901</v>
      </c>
      <c r="V3615">
        <v>-4.8192470000000001E-2</v>
      </c>
      <c r="W3615">
        <v>0.18607280000000001</v>
      </c>
      <c r="X3615">
        <v>0.98135329999999998</v>
      </c>
      <c r="Y3615">
        <v>-5.4999239999999998E-2</v>
      </c>
      <c r="Z3615">
        <v>1.819932E-3</v>
      </c>
      <c r="AA3615">
        <v>0.9984847</v>
      </c>
      <c r="AB3615">
        <v>36</v>
      </c>
      <c r="AC3615">
        <v>23.600399999999901</v>
      </c>
      <c r="AD3615">
        <v>-1.109505358451</v>
      </c>
      <c r="AE3615">
        <v>1.14549999999999</v>
      </c>
      <c r="AF3615">
        <v>-1.3191525530570101</v>
      </c>
      <c r="AG3615">
        <v>-1.109505358451</v>
      </c>
      <c r="AH3615">
        <v>23.5392651049346</v>
      </c>
      <c r="AI3615">
        <v>92.694374408565196</v>
      </c>
      <c r="AJ3615">
        <v>93.207530040943595</v>
      </c>
      <c r="AK3615">
        <v>23.602291568385098</v>
      </c>
      <c r="AL3615">
        <v>79.276314063563206</v>
      </c>
      <c r="AM3615">
        <v>92.811432613377605</v>
      </c>
      <c r="AN3615">
        <v>0.99999995024271404</v>
      </c>
    </row>
    <row r="3616" spans="1:40" x14ac:dyDescent="0.25">
      <c r="A3616" t="str">
        <f>"20190304155128231"</f>
        <v>20190304155128231</v>
      </c>
      <c r="B3616" t="str">
        <f>"1551685888220022"</f>
        <v>1551685888220022</v>
      </c>
      <c r="C3616" t="s">
        <v>40</v>
      </c>
      <c r="D3616">
        <v>5.1084750000000003</v>
      </c>
      <c r="E3616">
        <v>0.4957376</v>
      </c>
      <c r="F3616" t="s">
        <v>70</v>
      </c>
      <c r="G3616">
        <v>-338.7715</v>
      </c>
      <c r="H3616" s="1">
        <v>3.144064E-6</v>
      </c>
      <c r="I3616">
        <v>214.3169</v>
      </c>
      <c r="J3616">
        <v>-362.93060000000003</v>
      </c>
      <c r="K3616">
        <v>1.1094980000000001</v>
      </c>
      <c r="L3616">
        <v>213.1267</v>
      </c>
      <c r="M3616">
        <v>0.99991799999999997</v>
      </c>
      <c r="N3616">
        <v>-1.0112940000000001E-2</v>
      </c>
      <c r="O3616">
        <v>-7.8456429999999994E-3</v>
      </c>
      <c r="P3616">
        <v>0.98344640000000005</v>
      </c>
      <c r="Q3616">
        <v>0.17630570000000001</v>
      </c>
      <c r="R3616">
        <v>4.1823760000000001E-2</v>
      </c>
      <c r="S3616">
        <v>3.0689389999999999</v>
      </c>
      <c r="T3616">
        <v>-0.13879920000000001</v>
      </c>
      <c r="U3616">
        <v>0.14849849999999901</v>
      </c>
      <c r="V3616">
        <v>-4.937341E-2</v>
      </c>
      <c r="W3616">
        <v>0.18628230000000001</v>
      </c>
      <c r="X3616">
        <v>0.98125490000000004</v>
      </c>
      <c r="Y3616">
        <v>-5.609157E-2</v>
      </c>
      <c r="Z3616">
        <v>1.826215E-3</v>
      </c>
      <c r="AA3616">
        <v>0.99842390000000003</v>
      </c>
      <c r="AB3616">
        <v>36</v>
      </c>
      <c r="AC3616">
        <v>24.159099999999999</v>
      </c>
      <c r="AD3616">
        <v>-1.1094948559359901</v>
      </c>
      <c r="AE3616">
        <v>1.1901999999999999</v>
      </c>
      <c r="AF3616">
        <v>-1.3768199813762301</v>
      </c>
      <c r="AG3616">
        <v>-1.1094948559359901</v>
      </c>
      <c r="AH3616">
        <v>24.098316247172999</v>
      </c>
      <c r="AI3616">
        <v>92.631770288635096</v>
      </c>
      <c r="AJ3616">
        <v>93.269950770457797</v>
      </c>
      <c r="AK3616">
        <v>24.163101167797699</v>
      </c>
      <c r="AL3616">
        <v>79.264097577575797</v>
      </c>
      <c r="AM3616">
        <v>92.880499529516101</v>
      </c>
      <c r="AN3616">
        <v>1.0000000038411601</v>
      </c>
    </row>
    <row r="3617" spans="1:40" x14ac:dyDescent="0.25">
      <c r="A3617" t="str">
        <f>"20190304155128253"</f>
        <v>20190304155128253</v>
      </c>
      <c r="B3617" t="str">
        <f>"1551685888250273"</f>
        <v>1551685888250273</v>
      </c>
      <c r="C3617" t="s">
        <v>40</v>
      </c>
      <c r="D3617">
        <v>5.1061389999999998</v>
      </c>
      <c r="E3617">
        <v>0.49524489999999999</v>
      </c>
      <c r="F3617" t="s">
        <v>70</v>
      </c>
      <c r="G3617">
        <v>-338.52289999999999</v>
      </c>
      <c r="H3617" s="1">
        <v>3.0109179999999999E-6</v>
      </c>
      <c r="I3617">
        <v>214.3365</v>
      </c>
      <c r="J3617">
        <v>-362.5729</v>
      </c>
      <c r="K3617">
        <v>1.109499</v>
      </c>
      <c r="L3617">
        <v>213.12360000000001</v>
      </c>
      <c r="M3617">
        <v>0.99991540000000001</v>
      </c>
      <c r="N3617">
        <v>-1.0118210000000001E-2</v>
      </c>
      <c r="O3617">
        <v>-8.194481E-3</v>
      </c>
      <c r="P3617">
        <v>0.98336389999999996</v>
      </c>
      <c r="Q3617">
        <v>0.1765997</v>
      </c>
      <c r="R3617">
        <v>4.2523859999999997E-2</v>
      </c>
      <c r="S3617">
        <v>3.0690309999999998</v>
      </c>
      <c r="T3617">
        <v>-0.13950850000000001</v>
      </c>
      <c r="U3617">
        <v>0.1521149</v>
      </c>
      <c r="V3617">
        <v>-5.0415290000000001E-2</v>
      </c>
      <c r="W3617">
        <v>0.18658159999999999</v>
      </c>
      <c r="X3617">
        <v>0.98114500000000004</v>
      </c>
      <c r="Y3617">
        <v>-5.7609199999999999E-2</v>
      </c>
      <c r="Z3617">
        <v>1.888973E-3</v>
      </c>
      <c r="AA3617">
        <v>0.99833740000000004</v>
      </c>
      <c r="AB3617">
        <v>37</v>
      </c>
      <c r="AC3617">
        <v>24.05</v>
      </c>
      <c r="AD3617">
        <v>-1.109495989082</v>
      </c>
      <c r="AE3617">
        <v>1.2128999999999901</v>
      </c>
      <c r="AF3617">
        <v>-1.4069598398640799</v>
      </c>
      <c r="AG3617">
        <v>-1.109495989082</v>
      </c>
      <c r="AH3617">
        <v>23.988329352695899</v>
      </c>
      <c r="AI3617">
        <v>92.643591326665302</v>
      </c>
      <c r="AJ3617">
        <v>93.356657847024593</v>
      </c>
      <c r="AK3617">
        <v>24.055154592606399</v>
      </c>
      <c r="AL3617">
        <v>79.246642380289003</v>
      </c>
      <c r="AM3617">
        <v>92.941507207477798</v>
      </c>
      <c r="AN3617">
        <v>0.99999995297467104</v>
      </c>
    </row>
    <row r="3618" spans="1:40" x14ac:dyDescent="0.25">
      <c r="A3618" t="str">
        <f>"20190304155128275"</f>
        <v>20190304155128275</v>
      </c>
      <c r="B3618" t="str">
        <f>"1551685888270769"</f>
        <v>1551685888270769</v>
      </c>
      <c r="C3618" t="s">
        <v>40</v>
      </c>
      <c r="D3618">
        <v>5.0365580000000003</v>
      </c>
      <c r="E3618">
        <v>0.49487360000000002</v>
      </c>
      <c r="F3618" t="s">
        <v>70</v>
      </c>
      <c r="G3618">
        <v>-338.71359999999999</v>
      </c>
      <c r="H3618" s="1">
        <v>3.1118180000000001E-6</v>
      </c>
      <c r="I3618">
        <v>214.34979999999999</v>
      </c>
      <c r="J3618">
        <v>-362.22140000000002</v>
      </c>
      <c r="K3618">
        <v>1.109497</v>
      </c>
      <c r="L3618">
        <v>213.12039999999999</v>
      </c>
      <c r="M3618">
        <v>0.99991240000000003</v>
      </c>
      <c r="N3618">
        <v>-1.012336E-2</v>
      </c>
      <c r="O3618">
        <v>-8.5367619999999998E-3</v>
      </c>
      <c r="P3618">
        <v>0.98318320000000003</v>
      </c>
      <c r="Q3618">
        <v>0.17743829999999999</v>
      </c>
      <c r="R3618">
        <v>4.3204880000000001E-2</v>
      </c>
      <c r="S3618">
        <v>3.0696110000000001</v>
      </c>
      <c r="T3618">
        <v>-0.14274189999999901</v>
      </c>
      <c r="U3618">
        <v>0.15774540000000001</v>
      </c>
      <c r="V3618">
        <v>-5.143052E-2</v>
      </c>
      <c r="W3618">
        <v>0.1874239</v>
      </c>
      <c r="X3618">
        <v>0.98093180000000002</v>
      </c>
      <c r="Y3618">
        <v>-5.976161E-2</v>
      </c>
      <c r="Z3618">
        <v>2.000932E-3</v>
      </c>
      <c r="AA3618">
        <v>0.99821070000000001</v>
      </c>
      <c r="AB3618">
        <v>37</v>
      </c>
      <c r="AC3618">
        <v>23.5078</v>
      </c>
      <c r="AD3618">
        <v>-1.109493888182</v>
      </c>
      <c r="AE3618">
        <v>1.2293999999999901</v>
      </c>
      <c r="AF3618">
        <v>-1.4268762015465599</v>
      </c>
      <c r="AG3618">
        <v>-1.109493888182</v>
      </c>
      <c r="AH3618">
        <v>23.444366820547199</v>
      </c>
      <c r="AI3618">
        <v>92.704478026564303</v>
      </c>
      <c r="AJ3618">
        <v>93.482852148904001</v>
      </c>
      <c r="AK3618">
        <v>23.5139381643916</v>
      </c>
      <c r="AL3618">
        <v>79.1975160980965</v>
      </c>
      <c r="AM3618">
        <v>93.001285142976997</v>
      </c>
      <c r="AN3618">
        <v>1.0000000064649599</v>
      </c>
    </row>
    <row r="3619" spans="1:40" x14ac:dyDescent="0.25">
      <c r="A3619" t="str">
        <f>"20190304155128298"</f>
        <v>20190304155128298</v>
      </c>
      <c r="B3619" t="str">
        <f>"1551685888290290"</f>
        <v>1551685888290290</v>
      </c>
      <c r="C3619" t="s">
        <v>40</v>
      </c>
      <c r="D3619">
        <v>5.2036930000000003</v>
      </c>
      <c r="E3619">
        <v>0.49474210000000002</v>
      </c>
      <c r="F3619" t="s">
        <v>70</v>
      </c>
      <c r="G3619">
        <v>-338.62569999999999</v>
      </c>
      <c r="H3619" s="1">
        <v>3.0641820000000002E-6</v>
      </c>
      <c r="I3619">
        <v>214.36869999999999</v>
      </c>
      <c r="J3619">
        <v>-361.84309999999999</v>
      </c>
      <c r="K3619">
        <v>1.1094980000000001</v>
      </c>
      <c r="L3619">
        <v>213.11689999999999</v>
      </c>
      <c r="M3619">
        <v>0.99990900000000005</v>
      </c>
      <c r="N3619">
        <v>-1.012887E-2</v>
      </c>
      <c r="O3619">
        <v>-8.9052690000000004E-3</v>
      </c>
      <c r="P3619">
        <v>0.98311999999999999</v>
      </c>
      <c r="Q3619">
        <v>0.17782210000000001</v>
      </c>
      <c r="R3619">
        <v>4.3063339999999999E-2</v>
      </c>
      <c r="S3619">
        <v>3.0702210000000001</v>
      </c>
      <c r="T3619">
        <v>-0.14436450000000001</v>
      </c>
      <c r="U3619">
        <v>0.16241459999999999</v>
      </c>
      <c r="V3619">
        <v>-5.1649720000000003E-2</v>
      </c>
      <c r="W3619">
        <v>0.1878126</v>
      </c>
      <c r="X3619">
        <v>0.98084590000000005</v>
      </c>
      <c r="Y3619">
        <v>-6.1628660000000002E-2</v>
      </c>
      <c r="Z3619">
        <v>2.0877909999999999E-3</v>
      </c>
      <c r="AA3619">
        <v>0.99809689999999995</v>
      </c>
      <c r="AB3619">
        <v>37</v>
      </c>
      <c r="AC3619">
        <v>23.217400000000001</v>
      </c>
      <c r="AD3619">
        <v>-1.109494935818</v>
      </c>
      <c r="AE3619">
        <v>1.2518</v>
      </c>
      <c r="AF3619">
        <v>-1.4552046672282</v>
      </c>
      <c r="AG3619">
        <v>-1.109494935818</v>
      </c>
      <c r="AH3619">
        <v>23.1526126108533</v>
      </c>
      <c r="AI3619">
        <v>92.738173761729897</v>
      </c>
      <c r="AJ3619">
        <v>93.596464637994004</v>
      </c>
      <c r="AK3619">
        <v>23.224815830149701</v>
      </c>
      <c r="AL3619">
        <v>79.174842225508101</v>
      </c>
      <c r="AM3619">
        <v>93.014316742962293</v>
      </c>
      <c r="AN3619">
        <v>0.99999997292082399</v>
      </c>
    </row>
    <row r="3620" spans="1:40" x14ac:dyDescent="0.25">
      <c r="A3620" t="str">
        <f>"20190304155128320"</f>
        <v>20190304155128320</v>
      </c>
      <c r="B3620" t="str">
        <f>"1551685888310786"</f>
        <v>1551685888310786</v>
      </c>
      <c r="C3620" t="s">
        <v>40</v>
      </c>
      <c r="D3620">
        <v>5.1051479999999998</v>
      </c>
      <c r="E3620">
        <v>0.49451580000000001</v>
      </c>
      <c r="F3620" t="s">
        <v>70</v>
      </c>
      <c r="G3620">
        <v>-338.2432</v>
      </c>
      <c r="H3620" s="1">
        <v>2.8609259999999999E-6</v>
      </c>
      <c r="I3620">
        <v>214.36240000000001</v>
      </c>
      <c r="J3620">
        <v>-361.47230000000002</v>
      </c>
      <c r="K3620">
        <v>1.10949599999999</v>
      </c>
      <c r="L3620">
        <v>213.11330000000001</v>
      </c>
      <c r="M3620">
        <v>0.99990590000000001</v>
      </c>
      <c r="N3620">
        <v>-1.0134239999999999E-2</v>
      </c>
      <c r="O3620">
        <v>-9.2656630000000004E-3</v>
      </c>
      <c r="P3620">
        <v>0.98311230000000005</v>
      </c>
      <c r="Q3620">
        <v>0.17776510000000001</v>
      </c>
      <c r="R3620">
        <v>4.3478830000000003E-2</v>
      </c>
      <c r="S3620">
        <v>3.0705260000000001</v>
      </c>
      <c r="T3620">
        <v>-0.1443536</v>
      </c>
      <c r="U3620">
        <v>0.16204830000000001</v>
      </c>
      <c r="V3620">
        <v>-5.2419130000000001E-2</v>
      </c>
      <c r="W3620">
        <v>0.1877615</v>
      </c>
      <c r="X3620">
        <v>0.98081490000000005</v>
      </c>
      <c r="Y3620">
        <v>-6.1863939999999999E-2</v>
      </c>
      <c r="Z3620">
        <v>2.1075809999999999E-3</v>
      </c>
      <c r="AA3620">
        <v>0.99808229999999998</v>
      </c>
      <c r="AB3620">
        <v>37</v>
      </c>
      <c r="AC3620">
        <v>23.229099999999999</v>
      </c>
      <c r="AD3620">
        <v>-1.1094931390739899</v>
      </c>
      <c r="AE3620">
        <v>1.2490999999999901</v>
      </c>
      <c r="AF3620">
        <v>-1.4609670900947</v>
      </c>
      <c r="AG3620">
        <v>-1.1094931390739899</v>
      </c>
      <c r="AH3620">
        <v>23.1638368528263</v>
      </c>
      <c r="AI3620">
        <v>92.736807134732402</v>
      </c>
      <c r="AJ3620">
        <v>93.608923617124105</v>
      </c>
      <c r="AK3620">
        <v>23.236366704120201</v>
      </c>
      <c r="AL3620">
        <v>79.177823443838307</v>
      </c>
      <c r="AM3620">
        <v>93.059231932555804</v>
      </c>
      <c r="AN3620">
        <v>1.0000000070671</v>
      </c>
    </row>
    <row r="3621" spans="1:40" x14ac:dyDescent="0.25">
      <c r="A3621" t="str">
        <f>"20190304155128344"</f>
        <v>20190304155128344</v>
      </c>
      <c r="B3621" t="str">
        <f>"1551685888340067"</f>
        <v>1551685888340067</v>
      </c>
      <c r="C3621" t="s">
        <v>40</v>
      </c>
      <c r="D3621">
        <v>5.1148989999999896</v>
      </c>
      <c r="E3621">
        <v>0.49447429999999898</v>
      </c>
      <c r="F3621" t="s">
        <v>70</v>
      </c>
      <c r="G3621">
        <v>-338.35910000000001</v>
      </c>
      <c r="H3621" s="1">
        <v>2.922992E-6</v>
      </c>
      <c r="I3621">
        <v>214.3535</v>
      </c>
      <c r="J3621">
        <v>-361.08139999999997</v>
      </c>
      <c r="K3621">
        <v>1.1094999999999999</v>
      </c>
      <c r="L3621">
        <v>213.10929999999999</v>
      </c>
      <c r="M3621">
        <v>0.99990210000000002</v>
      </c>
      <c r="N3621">
        <v>-1.0140120000000001E-2</v>
      </c>
      <c r="O3621">
        <v>-9.6424920000000008E-3</v>
      </c>
      <c r="P3621">
        <v>0.98316990000000004</v>
      </c>
      <c r="Q3621">
        <v>0.17744190000000001</v>
      </c>
      <c r="R3621">
        <v>4.3489390000000003E-2</v>
      </c>
      <c r="S3621">
        <v>3.070862</v>
      </c>
      <c r="T3621">
        <v>-0.14740919999999999</v>
      </c>
      <c r="U3621">
        <v>0.1647797</v>
      </c>
      <c r="V3621">
        <v>-5.2801199999999902E-2</v>
      </c>
      <c r="W3621">
        <v>0.18744440000000001</v>
      </c>
      <c r="X3621">
        <v>0.98085500000000003</v>
      </c>
      <c r="Y3621">
        <v>-6.3113939999999993E-2</v>
      </c>
      <c r="Z3621">
        <v>2.1979410000000001E-3</v>
      </c>
      <c r="AA3621">
        <v>0.99800390000000005</v>
      </c>
      <c r="AB3621">
        <v>37</v>
      </c>
      <c r="AC3621">
        <v>22.722299999999901</v>
      </c>
      <c r="AD3621">
        <v>-1.1094970770079999</v>
      </c>
      <c r="AE3621">
        <v>1.2442</v>
      </c>
      <c r="AF3621">
        <v>-1.4597829604361401</v>
      </c>
      <c r="AG3621">
        <v>-1.1094970770079999</v>
      </c>
      <c r="AH3621">
        <v>22.655391585366299</v>
      </c>
      <c r="AI3621">
        <v>92.7978996965264</v>
      </c>
      <c r="AJ3621">
        <v>93.686713568944995</v>
      </c>
      <c r="AK3621">
        <v>22.729468052327</v>
      </c>
      <c r="AL3621">
        <v>79.196319729667294</v>
      </c>
      <c r="AM3621">
        <v>93.081361358159299</v>
      </c>
      <c r="AN3621">
        <v>0.999999950418898</v>
      </c>
    </row>
    <row r="3622" spans="1:40" x14ac:dyDescent="0.25">
      <c r="A3622" t="str">
        <f>"20190304155128367"</f>
        <v>20190304155128367</v>
      </c>
      <c r="B3622" t="str">
        <f>"1551685888360562"</f>
        <v>1551685888360562</v>
      </c>
      <c r="C3622" t="s">
        <v>40</v>
      </c>
      <c r="D3622">
        <v>5.0843369999999997</v>
      </c>
      <c r="E3622">
        <v>0.51277070000000002</v>
      </c>
      <c r="F3622" t="s">
        <v>70</v>
      </c>
      <c r="G3622">
        <v>-338.34710000000001</v>
      </c>
      <c r="H3622" s="1">
        <v>2.9177579999999999E-6</v>
      </c>
      <c r="I3622">
        <v>214.327</v>
      </c>
      <c r="J3622">
        <v>-360.70510000000002</v>
      </c>
      <c r="K3622">
        <v>1.1094930000000001</v>
      </c>
      <c r="L3622">
        <v>213.1054</v>
      </c>
      <c r="M3622">
        <v>0.99989870000000003</v>
      </c>
      <c r="N3622">
        <v>-1.0145629999999999E-2</v>
      </c>
      <c r="O3622">
        <v>-9.9992650000000002E-3</v>
      </c>
      <c r="P3622">
        <v>0.98320189999999996</v>
      </c>
      <c r="Q3622">
        <v>0.1771644</v>
      </c>
      <c r="R3622">
        <v>4.3896930000000001E-2</v>
      </c>
      <c r="S3622">
        <v>3.0711059999999999</v>
      </c>
      <c r="T3622">
        <v>-0.14987809999999999</v>
      </c>
      <c r="U3622">
        <v>0.16448969999999999</v>
      </c>
      <c r="V3622">
        <v>-5.3561699999999997E-2</v>
      </c>
      <c r="W3622">
        <v>0.1871728</v>
      </c>
      <c r="X3622">
        <v>0.98086569999999995</v>
      </c>
      <c r="Y3622">
        <v>-6.3368220000000003E-2</v>
      </c>
      <c r="Z3622">
        <v>2.2522219999999999E-3</v>
      </c>
      <c r="AA3622">
        <v>0.99798770000000003</v>
      </c>
      <c r="AB3622">
        <v>37</v>
      </c>
      <c r="AC3622">
        <v>22.358000000000001</v>
      </c>
      <c r="AD3622">
        <v>-1.109490082242</v>
      </c>
      <c r="AE3622">
        <v>1.22159999999999</v>
      </c>
      <c r="AF3622">
        <v>-1.4415746084266501</v>
      </c>
      <c r="AG3622">
        <v>-1.109490082242</v>
      </c>
      <c r="AH3622">
        <v>22.289940196015099</v>
      </c>
      <c r="AI3622">
        <v>92.843635938248099</v>
      </c>
      <c r="AJ3622">
        <v>93.700380984122901</v>
      </c>
      <c r="AK3622">
        <v>22.364045688027598</v>
      </c>
      <c r="AL3622">
        <v>79.212162376458807</v>
      </c>
      <c r="AM3622">
        <v>93.125621050662005</v>
      </c>
      <c r="AN3622">
        <v>1.0000000171015999</v>
      </c>
    </row>
    <row r="3623" spans="1:40" x14ac:dyDescent="0.25">
      <c r="A3623" t="str">
        <f>"20190304155128388"</f>
        <v>20190304155128388</v>
      </c>
      <c r="B3623" t="str">
        <f>"1551685888380590"</f>
        <v>1551685888380590</v>
      </c>
      <c r="C3623" t="s">
        <v>40</v>
      </c>
      <c r="D3623">
        <v>5.0037330000000004</v>
      </c>
      <c r="E3623">
        <v>0.51334099999999905</v>
      </c>
      <c r="F3623" t="s">
        <v>70</v>
      </c>
      <c r="G3623">
        <v>-331.04140000000001</v>
      </c>
      <c r="H3623" s="1">
        <v>-9.2496299999999997E-7</v>
      </c>
      <c r="I3623">
        <v>213.297</v>
      </c>
      <c r="J3623">
        <v>-360.36309999999997</v>
      </c>
      <c r="K3623">
        <v>1.10949599999999</v>
      </c>
      <c r="L3623">
        <v>213.10159999999999</v>
      </c>
      <c r="M3623">
        <v>0.99989519999999998</v>
      </c>
      <c r="N3623">
        <v>-1.0150330000000001E-2</v>
      </c>
      <c r="O3623">
        <v>-1.0314759999999999E-2</v>
      </c>
      <c r="P3623">
        <v>0.98325770000000001</v>
      </c>
      <c r="Q3623">
        <v>0.17678659999999999</v>
      </c>
      <c r="R3623">
        <v>4.4167850000000002E-2</v>
      </c>
      <c r="S3623">
        <v>3.071075</v>
      </c>
      <c r="T3623">
        <v>-0.1148653</v>
      </c>
      <c r="U3623">
        <v>1.9836429999999999E-2</v>
      </c>
      <c r="V3623">
        <v>-5.4146039999999999E-2</v>
      </c>
      <c r="W3623">
        <v>0.18679989999999999</v>
      </c>
      <c r="X3623">
        <v>0.98090469999999996</v>
      </c>
      <c r="Y3623">
        <v>-1.6754990000000001E-2</v>
      </c>
      <c r="Z3623">
        <v>6.7928140000000003E-4</v>
      </c>
      <c r="AA3623">
        <v>0.99985939999999995</v>
      </c>
      <c r="AB3623">
        <v>37</v>
      </c>
      <c r="AC3623">
        <v>29.3216999999999</v>
      </c>
      <c r="AD3623">
        <v>-1.10949692496299</v>
      </c>
      <c r="AE3623">
        <v>0.19540000000000601</v>
      </c>
      <c r="AF3623">
        <v>-0.49713974961908902</v>
      </c>
      <c r="AG3623">
        <v>-1.10949692496299</v>
      </c>
      <c r="AH3623">
        <v>29.276209358794102</v>
      </c>
      <c r="AI3623">
        <v>92.170019112509493</v>
      </c>
      <c r="AJ3623">
        <v>90.972846988884896</v>
      </c>
      <c r="AK3623">
        <v>29.301443066461701</v>
      </c>
      <c r="AL3623">
        <v>79.233911533115105</v>
      </c>
      <c r="AM3623">
        <v>93.159526426602</v>
      </c>
      <c r="AN3623">
        <v>1.0000000133848901</v>
      </c>
    </row>
    <row r="3624" spans="1:40" x14ac:dyDescent="0.25">
      <c r="A3624" t="str">
        <f>"20190304155128411"</f>
        <v>20190304155128411</v>
      </c>
      <c r="B3624" t="str">
        <f>"1551685888400111"</f>
        <v>1551685888400111</v>
      </c>
      <c r="C3624" t="s">
        <v>40</v>
      </c>
      <c r="D3624">
        <v>5.0290850000000002</v>
      </c>
      <c r="E3624">
        <v>0.51324859999999894</v>
      </c>
      <c r="F3624" t="s">
        <v>70</v>
      </c>
      <c r="G3624">
        <v>-330.97930000000002</v>
      </c>
      <c r="H3624" s="1">
        <v>-9.558224999999999E-7</v>
      </c>
      <c r="I3624">
        <v>213.24789999999999</v>
      </c>
      <c r="J3624">
        <v>-359.98430000000002</v>
      </c>
      <c r="K3624">
        <v>1.109505</v>
      </c>
      <c r="L3624">
        <v>213.0975</v>
      </c>
      <c r="M3624">
        <v>0.9998918</v>
      </c>
      <c r="N3624">
        <v>-1.015543E-2</v>
      </c>
      <c r="O3624">
        <v>-1.0650349999999999E-2</v>
      </c>
      <c r="P3624">
        <v>0.98334580000000005</v>
      </c>
      <c r="Q3624">
        <v>0.176121</v>
      </c>
      <c r="R3624">
        <v>4.4860700000000003E-2</v>
      </c>
      <c r="S3624">
        <v>3.0713200000000001</v>
      </c>
      <c r="T3624">
        <v>-0.1159694</v>
      </c>
      <c r="U3624">
        <v>1.528931E-2</v>
      </c>
      <c r="V3624">
        <v>-5.5173640000000003E-2</v>
      </c>
      <c r="W3624">
        <v>0.18613940000000001</v>
      </c>
      <c r="X3624">
        <v>0.98097299999999998</v>
      </c>
      <c r="Y3624">
        <v>-1.561034E-2</v>
      </c>
      <c r="Z3624">
        <v>6.6777280000000002E-4</v>
      </c>
      <c r="AA3624">
        <v>0.99987789999999999</v>
      </c>
      <c r="AB3624">
        <v>37</v>
      </c>
      <c r="AC3624">
        <v>29.0049999999999</v>
      </c>
      <c r="AD3624">
        <v>-1.1095059558225</v>
      </c>
      <c r="AE3624">
        <v>0.15039999999998999</v>
      </c>
      <c r="AF3624">
        <v>-0.45864968114974403</v>
      </c>
      <c r="AG3624">
        <v>-1.1095059558225</v>
      </c>
      <c r="AH3624">
        <v>28.9593796854356</v>
      </c>
      <c r="AI3624">
        <v>92.193796050161694</v>
      </c>
      <c r="AJ3624">
        <v>90.907356940594596</v>
      </c>
      <c r="AK3624">
        <v>28.9842549457674</v>
      </c>
      <c r="AL3624">
        <v>79.272431035981896</v>
      </c>
      <c r="AM3624">
        <v>93.219140246669795</v>
      </c>
      <c r="AN3624">
        <v>1.0000000167561001</v>
      </c>
    </row>
    <row r="3625" spans="1:40" x14ac:dyDescent="0.25">
      <c r="A3625" t="str">
        <f>"20190304155128443"</f>
        <v>20190304155128443</v>
      </c>
      <c r="B3625" t="str">
        <f>"1551685888440126"</f>
        <v>1551685888440126</v>
      </c>
      <c r="C3625" t="s">
        <v>40</v>
      </c>
      <c r="D3625">
        <v>5.0554750000000004</v>
      </c>
      <c r="E3625">
        <v>0.51370309999999997</v>
      </c>
      <c r="F3625" t="s">
        <v>70</v>
      </c>
      <c r="G3625">
        <v>-330.82780000000002</v>
      </c>
      <c r="H3625" s="1">
        <v>-1.037131E-6</v>
      </c>
      <c r="I3625">
        <v>213.26300000000001</v>
      </c>
      <c r="J3625">
        <v>-359.45769999999999</v>
      </c>
      <c r="K3625">
        <v>1.109521</v>
      </c>
      <c r="L3625">
        <v>213.09139999999999</v>
      </c>
      <c r="M3625">
        <v>0.99988679999999996</v>
      </c>
      <c r="N3625">
        <v>-1.0162569999999999E-2</v>
      </c>
      <c r="O3625">
        <v>-1.1093749999999999E-2</v>
      </c>
      <c r="P3625">
        <v>0.98341829999999997</v>
      </c>
      <c r="Q3625">
        <v>0.17548129999999901</v>
      </c>
      <c r="R3625">
        <v>4.57674E-2</v>
      </c>
      <c r="S3625">
        <v>3.0709529999999998</v>
      </c>
      <c r="T3625">
        <v>-0.116860199999999</v>
      </c>
      <c r="U3625">
        <v>1.7440799999999999E-2</v>
      </c>
      <c r="V3625">
        <v>-5.6524350000000001E-2</v>
      </c>
      <c r="W3625">
        <v>0.1855069</v>
      </c>
      <c r="X3625">
        <v>0.98101590000000005</v>
      </c>
      <c r="Y3625">
        <v>-1.675331E-2</v>
      </c>
      <c r="Z3625">
        <v>7.1309390000000002E-4</v>
      </c>
      <c r="AA3625">
        <v>0.99985939999999995</v>
      </c>
      <c r="AB3625">
        <v>37</v>
      </c>
      <c r="AC3625">
        <v>28.6298999999999</v>
      </c>
      <c r="AD3625">
        <v>-1.1095220371309999</v>
      </c>
      <c r="AE3625">
        <v>0.17160000000001199</v>
      </c>
      <c r="AF3625">
        <v>-0.48848518604150498</v>
      </c>
      <c r="AG3625">
        <v>-1.1095220371309999</v>
      </c>
      <c r="AH3625">
        <v>28.583307362639999</v>
      </c>
      <c r="AI3625">
        <v>92.222617618136198</v>
      </c>
      <c r="AJ3625">
        <v>90.979082471541304</v>
      </c>
      <c r="AK3625">
        <v>28.609004119595198</v>
      </c>
      <c r="AL3625">
        <v>79.309312844635897</v>
      </c>
      <c r="AM3625">
        <v>93.297632500717697</v>
      </c>
      <c r="AN3625">
        <v>1.0000000040716699</v>
      </c>
    </row>
    <row r="3626" spans="1:40" x14ac:dyDescent="0.25">
      <c r="A3626" t="str">
        <f>"20190304155128465"</f>
        <v>20190304155128465</v>
      </c>
      <c r="B3626" t="str">
        <f>"1551685888460622"</f>
        <v>1551685888460622</v>
      </c>
      <c r="C3626" t="s">
        <v>40</v>
      </c>
      <c r="D3626">
        <v>5.0203530000000001</v>
      </c>
      <c r="E3626">
        <v>0.51375559999999998</v>
      </c>
      <c r="F3626" t="s">
        <v>70</v>
      </c>
      <c r="G3626">
        <v>-331.29680000000002</v>
      </c>
      <c r="H3626" s="1">
        <v>-7.8679139999999996E-7</v>
      </c>
      <c r="I3626">
        <v>213.24529999999999</v>
      </c>
      <c r="J3626">
        <v>-359.10390000000001</v>
      </c>
      <c r="K3626">
        <v>1.109526</v>
      </c>
      <c r="L3626">
        <v>213.0872</v>
      </c>
      <c r="M3626">
        <v>0.99988379999999999</v>
      </c>
      <c r="N3626">
        <v>-1.016735E-2</v>
      </c>
      <c r="O3626">
        <v>-1.136908E-2</v>
      </c>
      <c r="P3626">
        <v>0.98351010000000005</v>
      </c>
      <c r="Q3626">
        <v>0.174871</v>
      </c>
      <c r="R3626">
        <v>4.613337E-2</v>
      </c>
      <c r="S3626">
        <v>3.0714109999999999</v>
      </c>
      <c r="T3626">
        <v>-0.1210116</v>
      </c>
      <c r="U3626">
        <v>1.6784670000000002E-2</v>
      </c>
      <c r="V3626">
        <v>-5.7169060000000001E-2</v>
      </c>
      <c r="W3626">
        <v>0.18490000000000001</v>
      </c>
      <c r="X3626">
        <v>0.98109310000000005</v>
      </c>
      <c r="Y3626">
        <v>-1.68125999999999E-2</v>
      </c>
      <c r="Z3626">
        <v>7.4877660000000003E-4</v>
      </c>
      <c r="AA3626">
        <v>0.99985840000000004</v>
      </c>
      <c r="AB3626">
        <v>37</v>
      </c>
      <c r="AC3626">
        <v>27.807099999999899</v>
      </c>
      <c r="AD3626">
        <v>-1.1095267867913901</v>
      </c>
      <c r="AE3626">
        <v>0.15809999999999</v>
      </c>
      <c r="AF3626">
        <v>-0.47349341474798701</v>
      </c>
      <c r="AG3626">
        <v>-1.1095267867913901</v>
      </c>
      <c r="AH3626">
        <v>27.759311550511701</v>
      </c>
      <c r="AI3626">
        <v>92.288534797761201</v>
      </c>
      <c r="AJ3626">
        <v>90.977205204530307</v>
      </c>
      <c r="AK3626">
        <v>27.7855110347604</v>
      </c>
      <c r="AL3626">
        <v>79.344697667113707</v>
      </c>
      <c r="AM3626">
        <v>93.334898632088695</v>
      </c>
      <c r="AN3626">
        <v>0.99999999114444604</v>
      </c>
    </row>
    <row r="3627" spans="1:40" x14ac:dyDescent="0.25">
      <c r="A3627" t="str">
        <f>"20190304155128488"</f>
        <v>20190304155128488</v>
      </c>
      <c r="B3627" t="str">
        <f>"1551685888480651"</f>
        <v>1551685888480651</v>
      </c>
      <c r="C3627" t="s">
        <v>40</v>
      </c>
      <c r="D3627">
        <v>5.0458470000000002</v>
      </c>
      <c r="E3627">
        <v>0.51390559999999996</v>
      </c>
      <c r="F3627" t="s">
        <v>70</v>
      </c>
      <c r="G3627">
        <v>-331.68169999999998</v>
      </c>
      <c r="H3627" s="1">
        <v>-5.8177330000000001E-7</v>
      </c>
      <c r="I3627">
        <v>213.24160000000001</v>
      </c>
      <c r="J3627">
        <v>-358.70940000000002</v>
      </c>
      <c r="K3627">
        <v>1.109548</v>
      </c>
      <c r="L3627">
        <v>213.08250000000001</v>
      </c>
      <c r="M3627">
        <v>0.9998804</v>
      </c>
      <c r="N3627">
        <v>-1.017268E-2</v>
      </c>
      <c r="O3627">
        <v>-1.164047E-2</v>
      </c>
      <c r="P3627">
        <v>0.98364200000000002</v>
      </c>
      <c r="Q3627">
        <v>0.1741135</v>
      </c>
      <c r="R3627">
        <v>4.6182439999999998E-2</v>
      </c>
      <c r="S3627">
        <v>3.0715940000000002</v>
      </c>
      <c r="T3627">
        <v>-0.12427970000000001</v>
      </c>
      <c r="U3627">
        <v>1.7288209999999998E-2</v>
      </c>
      <c r="V3627">
        <v>-5.7497319999999998E-2</v>
      </c>
      <c r="W3627">
        <v>0.18414639999999999</v>
      </c>
      <c r="X3627">
        <v>0.98121570000000002</v>
      </c>
      <c r="Y3627">
        <v>-1.7245839999999998E-2</v>
      </c>
      <c r="Z3627">
        <v>7.8891520000000002E-4</v>
      </c>
      <c r="AA3627">
        <v>0.99985100000000005</v>
      </c>
      <c r="AB3627">
        <v>37</v>
      </c>
      <c r="AC3627">
        <v>27.027699999999999</v>
      </c>
      <c r="AD3627">
        <v>-1.1095485817733</v>
      </c>
      <c r="AE3627">
        <v>0.159099999999995</v>
      </c>
      <c r="AF3627">
        <v>-0.47292367659602302</v>
      </c>
      <c r="AG3627">
        <v>-1.1095485817733</v>
      </c>
      <c r="AH3627">
        <v>26.978551430406601</v>
      </c>
      <c r="AI3627">
        <v>92.354718552193503</v>
      </c>
      <c r="AJ3627">
        <v>91.004270218414803</v>
      </c>
      <c r="AK3627">
        <v>27.005499294445499</v>
      </c>
      <c r="AL3627">
        <v>79.388630739448502</v>
      </c>
      <c r="AM3627">
        <v>93.353585636205096</v>
      </c>
      <c r="AN3627">
        <v>1.0000000441833099</v>
      </c>
    </row>
    <row r="3628" spans="1:40" x14ac:dyDescent="0.25">
      <c r="A3628" t="str">
        <f>"20190304155128509"</f>
        <v>20190304155128509</v>
      </c>
      <c r="B3628" t="str">
        <f>"1551685888500170"</f>
        <v>1551685888500170</v>
      </c>
      <c r="C3628" t="s">
        <v>40</v>
      </c>
      <c r="D3628">
        <v>5.0739390000000002</v>
      </c>
      <c r="E3628">
        <v>0.51440280000000005</v>
      </c>
      <c r="F3628" t="s">
        <v>70</v>
      </c>
      <c r="G3628">
        <v>-331.75639999999999</v>
      </c>
      <c r="H3628" s="1">
        <v>-5.4089470000000002E-7</v>
      </c>
      <c r="I3628">
        <v>213.2157</v>
      </c>
      <c r="J3628">
        <v>-358.34129999999999</v>
      </c>
      <c r="K3628">
        <v>1.1095710000000001</v>
      </c>
      <c r="L3628">
        <v>213.078</v>
      </c>
      <c r="M3628">
        <v>0.99987809999999999</v>
      </c>
      <c r="N3628">
        <v>-1.017788E-2</v>
      </c>
      <c r="O3628">
        <v>-1.184823E-2</v>
      </c>
      <c r="P3628">
        <v>0.98377950000000003</v>
      </c>
      <c r="Q3628">
        <v>0.17345769999999999</v>
      </c>
      <c r="R3628">
        <v>4.5718590000000003E-2</v>
      </c>
      <c r="S3628">
        <v>3.071625</v>
      </c>
      <c r="T3628">
        <v>-0.1264467</v>
      </c>
      <c r="U3628">
        <v>1.5182499999999899E-2</v>
      </c>
      <c r="V3628">
        <v>-5.7253659999999998E-2</v>
      </c>
      <c r="W3628">
        <v>0.18349209999999999</v>
      </c>
      <c r="X3628">
        <v>0.98135240000000001</v>
      </c>
      <c r="Y3628">
        <v>-1.6767710000000002E-2</v>
      </c>
      <c r="Z3628">
        <v>7.973352E-4</v>
      </c>
      <c r="AA3628">
        <v>0.9998591</v>
      </c>
      <c r="AB3628">
        <v>37</v>
      </c>
      <c r="AC3628">
        <v>26.584900000000001</v>
      </c>
      <c r="AD3628">
        <v>-1.10957154089469</v>
      </c>
      <c r="AE3628">
        <v>0.13769999999999499</v>
      </c>
      <c r="AF3628">
        <v>-0.45190344892263201</v>
      </c>
      <c r="AG3628">
        <v>-1.10957154089469</v>
      </c>
      <c r="AH3628">
        <v>26.535179919372901</v>
      </c>
      <c r="AI3628">
        <v>92.394087820013098</v>
      </c>
      <c r="AJ3628">
        <v>90.9756729629201</v>
      </c>
      <c r="AK3628">
        <v>26.562212616516</v>
      </c>
      <c r="AL3628">
        <v>79.426768052134094</v>
      </c>
      <c r="AM3628">
        <v>93.338942048262297</v>
      </c>
      <c r="AN3628">
        <v>0.99999993266578002</v>
      </c>
    </row>
    <row r="3629" spans="1:40" x14ac:dyDescent="0.25">
      <c r="A3629" t="str">
        <f>"20190304155128534"</f>
        <v>20190304155128534</v>
      </c>
      <c r="B3629" t="str">
        <f>"1551685888530426"</f>
        <v>1551685888530426</v>
      </c>
      <c r="C3629" t="s">
        <v>40</v>
      </c>
      <c r="D3629">
        <v>5.0215019999999999</v>
      </c>
      <c r="E3629">
        <v>0.51438600000000001</v>
      </c>
      <c r="F3629" t="s">
        <v>70</v>
      </c>
      <c r="G3629">
        <v>-332.2158</v>
      </c>
      <c r="H3629" s="1">
        <v>-2.93841799999999E-7</v>
      </c>
      <c r="I3629">
        <v>213.15690000000001</v>
      </c>
      <c r="J3629">
        <v>-357.94990000000001</v>
      </c>
      <c r="K3629">
        <v>1.10959599999999</v>
      </c>
      <c r="L3629">
        <v>213.07320000000001</v>
      </c>
      <c r="M3629">
        <v>0.99987579999999998</v>
      </c>
      <c r="N3629">
        <v>-1.0183370000000001E-2</v>
      </c>
      <c r="O3629">
        <v>-1.202862E-2</v>
      </c>
      <c r="P3629">
        <v>0.98391280000000003</v>
      </c>
      <c r="Q3629">
        <v>0.17277509999999999</v>
      </c>
      <c r="R3629">
        <v>4.5434740000000001E-2</v>
      </c>
      <c r="S3629">
        <v>3.0720209999999999</v>
      </c>
      <c r="T3629">
        <v>-0.13047129999999901</v>
      </c>
      <c r="U3629">
        <v>9.2773439999999999E-3</v>
      </c>
      <c r="V3629">
        <v>-5.7165100000000003E-2</v>
      </c>
      <c r="W3629">
        <v>0.18281149999999999</v>
      </c>
      <c r="X3629">
        <v>0.98148469999999999</v>
      </c>
      <c r="Y3629">
        <v>-1.502584E-2</v>
      </c>
      <c r="Z3629">
        <v>7.836605E-4</v>
      </c>
      <c r="AA3629">
        <v>0.99988679999999996</v>
      </c>
      <c r="AB3629">
        <v>37</v>
      </c>
      <c r="AC3629">
        <v>25.734100000000002</v>
      </c>
      <c r="AD3629">
        <v>-1.10959629384179</v>
      </c>
      <c r="AE3629">
        <v>8.3699999999993197E-2</v>
      </c>
      <c r="AF3629">
        <v>-0.39252595176145499</v>
      </c>
      <c r="AG3629">
        <v>-1.10959629384179</v>
      </c>
      <c r="AH3629">
        <v>25.683482510983499</v>
      </c>
      <c r="AI3629">
        <v>92.473506670195107</v>
      </c>
      <c r="AJ3629">
        <v>90.875595027679296</v>
      </c>
      <c r="AK3629">
        <v>25.710436683380401</v>
      </c>
      <c r="AL3629">
        <v>79.466435836722795</v>
      </c>
      <c r="AM3629">
        <v>93.333340661114306</v>
      </c>
      <c r="AN3629">
        <v>1.0000000547621699</v>
      </c>
    </row>
    <row r="3630" spans="1:40" x14ac:dyDescent="0.25">
      <c r="A3630" t="str">
        <f>"20190304155128555"</f>
        <v>20190304155128555</v>
      </c>
      <c r="B3630" t="str">
        <f>"1551685888549946"</f>
        <v>1551685888549946</v>
      </c>
      <c r="C3630" t="s">
        <v>40</v>
      </c>
      <c r="D3630">
        <v>5.0168679999999997</v>
      </c>
      <c r="E3630">
        <v>0.51430549999999997</v>
      </c>
      <c r="F3630" t="s">
        <v>70</v>
      </c>
      <c r="G3630">
        <v>-332.06020000000001</v>
      </c>
      <c r="H3630" s="1">
        <v>-3.7598520000000003E-7</v>
      </c>
      <c r="I3630">
        <v>213.14150000000001</v>
      </c>
      <c r="J3630">
        <v>-357.5985</v>
      </c>
      <c r="K3630">
        <v>1.1096200000000001</v>
      </c>
      <c r="L3630">
        <v>213.06890000000001</v>
      </c>
      <c r="M3630">
        <v>0.99987440000000005</v>
      </c>
      <c r="N3630">
        <v>-1.018823E-2</v>
      </c>
      <c r="O3630">
        <v>-1.2151469999999999E-2</v>
      </c>
      <c r="P3630">
        <v>0.98404060000000004</v>
      </c>
      <c r="Q3630">
        <v>0.1722592</v>
      </c>
      <c r="R3630">
        <v>4.462613E-2</v>
      </c>
      <c r="S3630">
        <v>3.0718079999999999</v>
      </c>
      <c r="T3630">
        <v>-0.131653399999999</v>
      </c>
      <c r="U3630">
        <v>8.1024169999999902E-3</v>
      </c>
      <c r="V3630">
        <v>-5.6494309999999999E-2</v>
      </c>
      <c r="W3630">
        <v>0.18229619999999999</v>
      </c>
      <c r="X3630">
        <v>0.98161929999999997</v>
      </c>
      <c r="Y3630">
        <v>-1.476626E-2</v>
      </c>
      <c r="Z3630">
        <v>7.883349E-4</v>
      </c>
      <c r="AA3630">
        <v>0.99989070000000002</v>
      </c>
      <c r="AB3630">
        <v>37</v>
      </c>
      <c r="AC3630">
        <v>25.5382999999999</v>
      </c>
      <c r="AD3630">
        <v>-1.1096203759851999</v>
      </c>
      <c r="AE3630">
        <v>7.2599999999994197E-2</v>
      </c>
      <c r="AF3630">
        <v>-0.38221703204291402</v>
      </c>
      <c r="AG3630">
        <v>-1.1096203759851999</v>
      </c>
      <c r="AH3630">
        <v>25.487416281597799</v>
      </c>
      <c r="AI3630">
        <v>92.492575468349401</v>
      </c>
      <c r="AJ3630">
        <v>90.859160502041405</v>
      </c>
      <c r="AK3630">
        <v>25.514422116713501</v>
      </c>
      <c r="AL3630">
        <v>79.496464179383693</v>
      </c>
      <c r="AM3630">
        <v>93.293862317780295</v>
      </c>
      <c r="AN3630">
        <v>0.99999998086465203</v>
      </c>
    </row>
    <row r="3631" spans="1:40" x14ac:dyDescent="0.25">
      <c r="A3631" t="str">
        <f>"20190304155128578"</f>
        <v>20190304155128578</v>
      </c>
      <c r="B3631" t="str">
        <f>"1551685888570443"</f>
        <v>1551685888570443</v>
      </c>
      <c r="C3631" t="s">
        <v>40</v>
      </c>
      <c r="D3631">
        <v>4.9650439999999998</v>
      </c>
      <c r="E3631">
        <v>0.51423679999999905</v>
      </c>
      <c r="F3631" t="s">
        <v>70</v>
      </c>
      <c r="G3631">
        <v>-332.75209999999998</v>
      </c>
      <c r="H3631" s="1">
        <v>-6.6540200000000001E-9</v>
      </c>
      <c r="I3631">
        <v>213.11590000000001</v>
      </c>
      <c r="J3631">
        <v>-357.22770000000003</v>
      </c>
      <c r="K3631">
        <v>1.109664</v>
      </c>
      <c r="L3631">
        <v>213.0643</v>
      </c>
      <c r="M3631">
        <v>0.99987329999999996</v>
      </c>
      <c r="N3631">
        <v>-1.019337E-2</v>
      </c>
      <c r="O3631">
        <v>-1.2239720000000001E-2</v>
      </c>
      <c r="P3631">
        <v>0.98412520000000003</v>
      </c>
      <c r="Q3631">
        <v>0.17173620000000001</v>
      </c>
      <c r="R3631">
        <v>4.4775290000000002E-2</v>
      </c>
      <c r="S3631">
        <v>3.0724179999999999</v>
      </c>
      <c r="T3631">
        <v>-0.13721169999999999</v>
      </c>
      <c r="U3631">
        <v>5.813599E-3</v>
      </c>
      <c r="V3631">
        <v>-5.6747029999999997E-2</v>
      </c>
      <c r="W3631">
        <v>0.18177489999999999</v>
      </c>
      <c r="X3631">
        <v>0.98170139999999995</v>
      </c>
      <c r="Y3631">
        <v>-1.410784E-2</v>
      </c>
      <c r="Z3631">
        <v>8.0842759999999903E-4</v>
      </c>
      <c r="AA3631">
        <v>0.99990020000000002</v>
      </c>
      <c r="AB3631">
        <v>37</v>
      </c>
      <c r="AC3631">
        <v>24.4756</v>
      </c>
      <c r="AD3631">
        <v>-1.10966400665402</v>
      </c>
      <c r="AE3631">
        <v>5.1600000000007598E-2</v>
      </c>
      <c r="AF3631">
        <v>-0.35046576309637001</v>
      </c>
      <c r="AG3631">
        <v>-1.10966400665402</v>
      </c>
      <c r="AH3631">
        <v>24.422933803872301</v>
      </c>
      <c r="AI3631">
        <v>92.601195953766904</v>
      </c>
      <c r="AJ3631">
        <v>90.822130179966194</v>
      </c>
      <c r="AK3631">
        <v>24.450641628536001</v>
      </c>
      <c r="AL3631">
        <v>79.526840079328295</v>
      </c>
      <c r="AM3631">
        <v>93.308288242873402</v>
      </c>
      <c r="AN3631">
        <v>0.99999998922289501</v>
      </c>
    </row>
    <row r="3632" spans="1:40" x14ac:dyDescent="0.25">
      <c r="A3632" t="str">
        <f>"20190304155128599"</f>
        <v>20190304155128599</v>
      </c>
      <c r="B3632" t="str">
        <f>"1551685888589962"</f>
        <v>1551685888589962</v>
      </c>
      <c r="C3632" t="s">
        <v>40</v>
      </c>
      <c r="D3632">
        <v>4.9632389999999997</v>
      </c>
      <c r="E3632">
        <v>0.51390089999999999</v>
      </c>
      <c r="F3632" t="s">
        <v>70</v>
      </c>
      <c r="G3632">
        <v>-332.40660000000003</v>
      </c>
      <c r="H3632" s="1">
        <v>-1.9046039999999999E-7</v>
      </c>
      <c r="I3632">
        <v>213.1138</v>
      </c>
      <c r="J3632">
        <v>-356.86009999999999</v>
      </c>
      <c r="K3632">
        <v>1.1096919999999999</v>
      </c>
      <c r="L3632">
        <v>213.05969999999999</v>
      </c>
      <c r="M3632">
        <v>0.99987239999999999</v>
      </c>
      <c r="N3632">
        <v>-1.0198499999999999E-2</v>
      </c>
      <c r="O3632">
        <v>-1.2293460000000001E-2</v>
      </c>
      <c r="P3632">
        <v>0.98420909999999995</v>
      </c>
      <c r="Q3632">
        <v>0.17124439999999999</v>
      </c>
      <c r="R3632">
        <v>4.4809950000000001E-2</v>
      </c>
      <c r="S3632">
        <v>3.0720830000000001</v>
      </c>
      <c r="T3632">
        <v>-0.13734199999999999</v>
      </c>
      <c r="U3632">
        <v>6.1340329999999997E-3</v>
      </c>
      <c r="V3632">
        <v>-5.6850100000000001E-2</v>
      </c>
      <c r="W3632">
        <v>0.18128440000000001</v>
      </c>
      <c r="X3632">
        <v>0.98178609999999999</v>
      </c>
      <c r="Y3632">
        <v>-1.426581E-2</v>
      </c>
      <c r="Z3632">
        <v>8.1550109999999998E-4</v>
      </c>
      <c r="AA3632">
        <v>0.99989790000000001</v>
      </c>
      <c r="AB3632">
        <v>37</v>
      </c>
      <c r="AC3632">
        <v>24.453499999999899</v>
      </c>
      <c r="AD3632">
        <v>-1.10969219046039</v>
      </c>
      <c r="AE3632">
        <v>5.4100000000005297E-2</v>
      </c>
      <c r="AF3632">
        <v>-0.35400068133511198</v>
      </c>
      <c r="AG3632">
        <v>-1.10969219046039</v>
      </c>
      <c r="AH3632">
        <v>24.400738222833699</v>
      </c>
      <c r="AI3632">
        <v>92.603618930878497</v>
      </c>
      <c r="AJ3632">
        <v>90.831176580413896</v>
      </c>
      <c r="AK3632">
        <v>24.428523472760599</v>
      </c>
      <c r="AL3632">
        <v>79.555418134515094</v>
      </c>
      <c r="AM3632">
        <v>93.313998435006496</v>
      </c>
      <c r="AN3632">
        <v>0.99999995685328902</v>
      </c>
    </row>
    <row r="3633" spans="1:40" x14ac:dyDescent="0.25">
      <c r="A3633" t="str">
        <f>"20190304155128621"</f>
        <v>20190304155128621</v>
      </c>
      <c r="B3633" t="str">
        <f>"1551685888610462"</f>
        <v>1551685888610462</v>
      </c>
      <c r="C3633" t="s">
        <v>40</v>
      </c>
      <c r="D3633">
        <v>4.9553209999999996</v>
      </c>
      <c r="E3633">
        <v>0.5139167</v>
      </c>
      <c r="F3633" t="s">
        <v>70</v>
      </c>
      <c r="G3633">
        <v>-331.79939999999999</v>
      </c>
      <c r="H3633" s="1">
        <v>-5.1430439999999997E-7</v>
      </c>
      <c r="I3633">
        <v>213.13130000000001</v>
      </c>
      <c r="J3633">
        <v>-356.49720000000002</v>
      </c>
      <c r="K3633">
        <v>1.109721</v>
      </c>
      <c r="L3633">
        <v>213.05520000000001</v>
      </c>
      <c r="M3633">
        <v>0.99987210000000004</v>
      </c>
      <c r="N3633">
        <v>-1.020357E-2</v>
      </c>
      <c r="O3633">
        <v>-1.232333E-2</v>
      </c>
      <c r="P3633">
        <v>0.98421409999999998</v>
      </c>
      <c r="Q3633">
        <v>0.17111370000000001</v>
      </c>
      <c r="R3633">
        <v>4.5194289999999998E-2</v>
      </c>
      <c r="S3633">
        <v>3.0714419999999998</v>
      </c>
      <c r="T3633">
        <v>-0.13600419999999999</v>
      </c>
      <c r="U3633">
        <v>8.7738039999999996E-3</v>
      </c>
      <c r="V3633">
        <v>-5.7274680000000001E-2</v>
      </c>
      <c r="W3633">
        <v>0.18115539999999999</v>
      </c>
      <c r="X3633">
        <v>0.98178529999999997</v>
      </c>
      <c r="Y3633">
        <v>-1.5154839999999999E-2</v>
      </c>
      <c r="Z3633">
        <v>8.3243469999999997E-4</v>
      </c>
      <c r="AA3633">
        <v>0.99988480000000002</v>
      </c>
      <c r="AB3633">
        <v>37</v>
      </c>
      <c r="AC3633">
        <v>24.697800000000001</v>
      </c>
      <c r="AD3633">
        <v>-1.1097215143043999</v>
      </c>
      <c r="AE3633">
        <v>7.6099999999996698E-2</v>
      </c>
      <c r="AF3633">
        <v>-0.37970260759034602</v>
      </c>
      <c r="AG3633">
        <v>-1.1097215143043999</v>
      </c>
      <c r="AH3633">
        <v>24.645231118058</v>
      </c>
      <c r="AI3633">
        <v>92.577858178724497</v>
      </c>
      <c r="AJ3633">
        <v>90.882671202687007</v>
      </c>
      <c r="AK3633">
        <v>24.673124503637901</v>
      </c>
      <c r="AL3633">
        <v>79.562934412529003</v>
      </c>
      <c r="AM3633">
        <v>93.338695674702393</v>
      </c>
      <c r="AN3633">
        <v>1.0000000216071701</v>
      </c>
    </row>
    <row r="3634" spans="1:40" x14ac:dyDescent="0.25">
      <c r="A3634" t="str">
        <f>"20190304155128643"</f>
        <v>20190304155128643</v>
      </c>
      <c r="B3634" t="str">
        <f>"1551685888640715"</f>
        <v>1551685888640715</v>
      </c>
      <c r="C3634" t="s">
        <v>40</v>
      </c>
      <c r="D3634">
        <v>4.9327610000000002</v>
      </c>
      <c r="E3634">
        <v>0.51372209999999996</v>
      </c>
      <c r="F3634" t="s">
        <v>70</v>
      </c>
      <c r="G3634">
        <v>-331.62049999999999</v>
      </c>
      <c r="H3634" s="1">
        <v>-6.0990889999999997E-7</v>
      </c>
      <c r="I3634">
        <v>213.14060000000001</v>
      </c>
      <c r="J3634">
        <v>-356.13499999999999</v>
      </c>
      <c r="K3634">
        <v>1.1097379999999999</v>
      </c>
      <c r="L3634">
        <v>213.05070000000001</v>
      </c>
      <c r="M3634">
        <v>0.99987179999999998</v>
      </c>
      <c r="N3634">
        <v>-1.020864E-2</v>
      </c>
      <c r="O3634">
        <v>-1.2336939999999999E-2</v>
      </c>
      <c r="P3634">
        <v>0.98406170000000004</v>
      </c>
      <c r="Q3634">
        <v>0.17181440000000001</v>
      </c>
      <c r="R3634">
        <v>4.5854029999999997E-2</v>
      </c>
      <c r="S3634">
        <v>3.071472</v>
      </c>
      <c r="T3634">
        <v>-0.137015</v>
      </c>
      <c r="U3634">
        <v>1.0543820000000001E-2</v>
      </c>
      <c r="V3634">
        <v>-5.7953810000000001E-2</v>
      </c>
      <c r="W3634">
        <v>0.18185689999999999</v>
      </c>
      <c r="X3634">
        <v>0.98161569999999998</v>
      </c>
      <c r="Y3634">
        <v>-1.5743509999999999E-2</v>
      </c>
      <c r="Z3634">
        <v>8.5554089999999999E-4</v>
      </c>
      <c r="AA3634">
        <v>0.99987570000000003</v>
      </c>
      <c r="AB3634">
        <v>37</v>
      </c>
      <c r="AC3634">
        <v>24.514500000000002</v>
      </c>
      <c r="AD3634">
        <v>-1.1097386099088999</v>
      </c>
      <c r="AE3634">
        <v>8.9899999999999994E-2</v>
      </c>
      <c r="AF3634">
        <v>-0.39154047459307501</v>
      </c>
      <c r="AG3634">
        <v>-1.1097386099088999</v>
      </c>
      <c r="AH3634">
        <v>24.461398142770701</v>
      </c>
      <c r="AI3634">
        <v>92.597220471282697</v>
      </c>
      <c r="AJ3634">
        <v>90.917024488298694</v>
      </c>
      <c r="AK3634">
        <v>24.489688091617499</v>
      </c>
      <c r="AL3634">
        <v>79.522062085468306</v>
      </c>
      <c r="AM3634">
        <v>93.378775165499803</v>
      </c>
      <c r="AN3634">
        <v>0.99999997932880702</v>
      </c>
    </row>
    <row r="3635" spans="1:40" x14ac:dyDescent="0.25">
      <c r="A3635" t="str">
        <f>"20190304155128666"</f>
        <v>20190304155128666</v>
      </c>
      <c r="B3635" t="str">
        <f>"1551685888660235"</f>
        <v>1551685888660235</v>
      </c>
      <c r="C3635" t="s">
        <v>40</v>
      </c>
      <c r="D3635">
        <v>5.3728680000000004</v>
      </c>
      <c r="E3635">
        <v>0.51364169999999998</v>
      </c>
      <c r="F3635" t="s">
        <v>70</v>
      </c>
      <c r="G3635">
        <v>-330.79559999999998</v>
      </c>
      <c r="H3635" s="1">
        <v>-1.0502830000000001E-6</v>
      </c>
      <c r="I3635">
        <v>213.17259999999999</v>
      </c>
      <c r="J3635">
        <v>-355.75540000000001</v>
      </c>
      <c r="K3635">
        <v>1.1097520000000001</v>
      </c>
      <c r="L3635">
        <v>213.04599999999999</v>
      </c>
      <c r="M3635">
        <v>0.99987179999999998</v>
      </c>
      <c r="N3635">
        <v>-1.0213979999999999E-2</v>
      </c>
      <c r="O3635">
        <v>-1.2340830000000001E-2</v>
      </c>
      <c r="P3635">
        <v>0.98383969999999998</v>
      </c>
      <c r="Q3635">
        <v>0.17274800000000001</v>
      </c>
      <c r="R3635">
        <v>4.7096649999999997E-2</v>
      </c>
      <c r="S3635">
        <v>3.0713810000000001</v>
      </c>
      <c r="T3635">
        <v>-0.13451109999999999</v>
      </c>
      <c r="U3635">
        <v>1.4770510000000001E-2</v>
      </c>
      <c r="V3635">
        <v>-5.9204779999999999E-2</v>
      </c>
      <c r="W3635">
        <v>0.18279129999999999</v>
      </c>
      <c r="X3635">
        <v>0.98136749999999995</v>
      </c>
      <c r="Y3635">
        <v>-1.7122789999999999E-2</v>
      </c>
      <c r="Z3635">
        <v>8.7645639999999999E-4</v>
      </c>
      <c r="AA3635">
        <v>0.99985299999999999</v>
      </c>
      <c r="AB3635">
        <v>37</v>
      </c>
      <c r="AC3635">
        <v>24.959800000000001</v>
      </c>
      <c r="AD3635">
        <v>-1.109753050283</v>
      </c>
      <c r="AE3635">
        <v>0.12659999999999599</v>
      </c>
      <c r="AF3635">
        <v>-0.43377356208767598</v>
      </c>
      <c r="AG3635">
        <v>-1.109753050283</v>
      </c>
      <c r="AH3635">
        <v>24.9071006896956</v>
      </c>
      <c r="AI3635">
        <v>92.550779375957006</v>
      </c>
      <c r="AJ3635">
        <v>90.997742869304702</v>
      </c>
      <c r="AK3635">
        <v>24.935584535005699</v>
      </c>
      <c r="AL3635">
        <v>79.467612652689795</v>
      </c>
      <c r="AM3635">
        <v>93.452404547423001</v>
      </c>
      <c r="AN3635">
        <v>1.0000000176933901</v>
      </c>
    </row>
    <row r="3636" spans="1:40" x14ac:dyDescent="0.25">
      <c r="A3636" t="str">
        <f>"20190304155128689"</f>
        <v>20190304155128689</v>
      </c>
      <c r="B3636" t="str">
        <f>"1551685888680730"</f>
        <v>1551685888680730</v>
      </c>
      <c r="C3636" t="s">
        <v>40</v>
      </c>
      <c r="D3636">
        <v>4.942456</v>
      </c>
      <c r="E3636">
        <v>0.51356789999999997</v>
      </c>
      <c r="F3636" t="s">
        <v>70</v>
      </c>
      <c r="G3636">
        <v>-329.58440000000002</v>
      </c>
      <c r="H3636" s="1">
        <v>3.563566E-6</v>
      </c>
      <c r="I3636">
        <v>213.21809999999999</v>
      </c>
      <c r="J3636">
        <v>-355.37520000000001</v>
      </c>
      <c r="K3636">
        <v>1.1097629999999901</v>
      </c>
      <c r="L3636">
        <v>213.04130000000001</v>
      </c>
      <c r="M3636">
        <v>0.99987170000000003</v>
      </c>
      <c r="N3636">
        <v>-1.021932E-2</v>
      </c>
      <c r="O3636">
        <v>-1.2339050000000001E-2</v>
      </c>
      <c r="P3636">
        <v>0.98371629999999999</v>
      </c>
      <c r="Q3636">
        <v>0.17315320000000001</v>
      </c>
      <c r="R3636">
        <v>4.8171169999999999E-2</v>
      </c>
      <c r="S3636">
        <v>3.071167</v>
      </c>
      <c r="T3636">
        <v>-0.13022899999999901</v>
      </c>
      <c r="U3636">
        <v>2.0187380000000001E-2</v>
      </c>
      <c r="V3636">
        <v>-6.0280599999999997E-2</v>
      </c>
      <c r="W3636">
        <v>0.18319869999999999</v>
      </c>
      <c r="X3636">
        <v>0.98122600000000004</v>
      </c>
      <c r="Y3636">
        <v>-1.888453E-2</v>
      </c>
      <c r="Z3636">
        <v>8.9367399999999903E-4</v>
      </c>
      <c r="AA3636">
        <v>0.99982119999999997</v>
      </c>
      <c r="AB3636">
        <v>37</v>
      </c>
      <c r="AC3636">
        <v>25.790799999999901</v>
      </c>
      <c r="AD3636">
        <v>-1.10975943643399</v>
      </c>
      <c r="AE3636">
        <v>0.176799999999985</v>
      </c>
      <c r="AF3636">
        <v>-0.494122278357228</v>
      </c>
      <c r="AG3636">
        <v>-1.10975943643399</v>
      </c>
      <c r="AH3636">
        <v>25.739000712415201</v>
      </c>
      <c r="AI3636">
        <v>92.468374124089195</v>
      </c>
      <c r="AJ3636">
        <v>91.099795763811002</v>
      </c>
      <c r="AK3636">
        <v>25.767651823680701</v>
      </c>
      <c r="AL3636">
        <v>79.443869111365103</v>
      </c>
      <c r="AM3636">
        <v>93.515488498396607</v>
      </c>
      <c r="AN3636">
        <v>0.999999988747024</v>
      </c>
    </row>
    <row r="3637" spans="1:40" x14ac:dyDescent="0.25">
      <c r="A3637" t="str">
        <f>"20190304155128711"</f>
        <v>20190304155128711</v>
      </c>
      <c r="B3637" t="str">
        <f>"1551685888700250"</f>
        <v>1551685888700250</v>
      </c>
      <c r="C3637" t="s">
        <v>40</v>
      </c>
      <c r="D3637">
        <v>4.9576919999999998</v>
      </c>
      <c r="E3637">
        <v>0.51987019999999995</v>
      </c>
      <c r="F3637" t="s">
        <v>70</v>
      </c>
      <c r="G3637">
        <v>-329.29390000000001</v>
      </c>
      <c r="H3637" s="1">
        <v>3.40899E-6</v>
      </c>
      <c r="I3637">
        <v>213.25149999999999</v>
      </c>
      <c r="J3637">
        <v>-354.99799999999999</v>
      </c>
      <c r="K3637">
        <v>1.1097729999999999</v>
      </c>
      <c r="L3637">
        <v>213.0367</v>
      </c>
      <c r="M3637">
        <v>0.99987170000000003</v>
      </c>
      <c r="N3637">
        <v>-1.02246E-2</v>
      </c>
      <c r="O3637">
        <v>-1.233598E-2</v>
      </c>
      <c r="P3637">
        <v>0.98376680000000005</v>
      </c>
      <c r="Q3637">
        <v>0.17262429999999901</v>
      </c>
      <c r="R3637">
        <v>4.9030120000000003E-2</v>
      </c>
      <c r="S3637">
        <v>3.0714109999999999</v>
      </c>
      <c r="T3637">
        <v>-0.130689</v>
      </c>
      <c r="U3637">
        <v>2.4749759999999999E-2</v>
      </c>
      <c r="V3637">
        <v>-6.1141000000000001E-2</v>
      </c>
      <c r="W3637">
        <v>0.18267459999999999</v>
      </c>
      <c r="X3637">
        <v>0.98127050000000005</v>
      </c>
      <c r="Y3637">
        <v>-2.0364159999999999E-2</v>
      </c>
      <c r="Z3637">
        <v>9.3577630000000003E-4</v>
      </c>
      <c r="AA3637">
        <v>0.99979220000000002</v>
      </c>
      <c r="AB3637">
        <v>37</v>
      </c>
      <c r="AC3637">
        <v>25.7041</v>
      </c>
      <c r="AD3637">
        <v>-1.1097695910099901</v>
      </c>
      <c r="AE3637">
        <v>0.21479999999999599</v>
      </c>
      <c r="AF3637">
        <v>-0.53089591682025805</v>
      </c>
      <c r="AG3637">
        <v>-1.1097695910099901</v>
      </c>
      <c r="AH3637">
        <v>25.651680997716401</v>
      </c>
      <c r="AI3637">
        <v>92.476714862163405</v>
      </c>
      <c r="AJ3637">
        <v>91.185643678971701</v>
      </c>
      <c r="AK3637">
        <v>25.6811638565745</v>
      </c>
      <c r="AL3637">
        <v>79.474413527644501</v>
      </c>
      <c r="AM3637">
        <v>93.565376124517201</v>
      </c>
      <c r="AN3637">
        <v>1.0000000127682001</v>
      </c>
    </row>
    <row r="3638" spans="1:40" x14ac:dyDescent="0.25">
      <c r="A3638" t="str">
        <f>"20190304155128734"</f>
        <v>20190304155128734</v>
      </c>
      <c r="B3638" t="str">
        <f>"1551685888730507"</f>
        <v>1551685888730507</v>
      </c>
      <c r="C3638" t="s">
        <v>40</v>
      </c>
      <c r="D3638">
        <v>4.8592430000000002</v>
      </c>
      <c r="E3638">
        <v>0.51575159999999998</v>
      </c>
      <c r="F3638" t="s">
        <v>83</v>
      </c>
      <c r="G3638">
        <v>-107.39749999999999</v>
      </c>
      <c r="H3638">
        <v>4.6431610000000001</v>
      </c>
      <c r="I3638">
        <v>211.5343</v>
      </c>
      <c r="J3638">
        <v>-354.61930000000001</v>
      </c>
      <c r="K3638">
        <v>1.1097779999999999</v>
      </c>
      <c r="L3638">
        <v>213.03200000000001</v>
      </c>
      <c r="M3638">
        <v>0.99987159999999997</v>
      </c>
      <c r="N3638">
        <v>-1.0229790000000001E-2</v>
      </c>
      <c r="O3638">
        <v>-1.2333770000000001E-2</v>
      </c>
      <c r="P3638">
        <v>0.98393109999999995</v>
      </c>
      <c r="Q3638">
        <v>0.17162079999999999</v>
      </c>
      <c r="R3638">
        <v>4.9257269999999999E-2</v>
      </c>
      <c r="S3638">
        <v>3.0428160000000002</v>
      </c>
      <c r="T3638">
        <v>4.3423179999999999E-2</v>
      </c>
      <c r="U3638">
        <v>-1.8463130000000001E-2</v>
      </c>
      <c r="V3638">
        <v>-6.1371519999999999E-2</v>
      </c>
      <c r="W3638">
        <v>0.1816768</v>
      </c>
      <c r="X3638">
        <v>0.98144129999999996</v>
      </c>
      <c r="Y3638">
        <v>-6.2631010000000001E-3</v>
      </c>
      <c r="Z3638">
        <v>-3.1481290000000002E-4</v>
      </c>
      <c r="AA3638">
        <v>0.99998030000000004</v>
      </c>
      <c r="AB3638">
        <v>37</v>
      </c>
      <c r="AC3638">
        <v>247.2218</v>
      </c>
      <c r="AD3638">
        <v>3.5333830000000002</v>
      </c>
      <c r="AE3638">
        <v>-1.4977</v>
      </c>
      <c r="AF3638">
        <v>-1.5514334292574401</v>
      </c>
      <c r="AG3638">
        <v>3.5333830000000002</v>
      </c>
      <c r="AH3638">
        <v>247.17097849969599</v>
      </c>
      <c r="AI3638">
        <v>89.181011627233403</v>
      </c>
      <c r="AJ3638">
        <v>90.359627254365705</v>
      </c>
      <c r="AK3638">
        <v>247.20110103639701</v>
      </c>
      <c r="AL3638">
        <v>79.532555810663496</v>
      </c>
      <c r="AM3638">
        <v>93.578162599599096</v>
      </c>
      <c r="AN3638">
        <v>0.99999997423551901</v>
      </c>
    </row>
    <row r="3639" spans="1:40" x14ac:dyDescent="0.25">
      <c r="A3639" t="str">
        <f>"20190304155128756"</f>
        <v>20190304155128756</v>
      </c>
      <c r="B3639" t="str">
        <f>"1551685888750027"</f>
        <v>1551685888750027</v>
      </c>
      <c r="C3639" t="s">
        <v>40</v>
      </c>
      <c r="D3639">
        <v>4.8483790000000004</v>
      </c>
      <c r="E3639">
        <v>0.51611629999999997</v>
      </c>
      <c r="F3639" t="s">
        <v>70</v>
      </c>
      <c r="G3639">
        <v>-333.5772</v>
      </c>
      <c r="H3639" s="1">
        <v>4.3253000000000002E-7</v>
      </c>
      <c r="I3639">
        <v>213.113</v>
      </c>
      <c r="J3639">
        <v>-354.23700000000002</v>
      </c>
      <c r="K3639">
        <v>1.1097760000000001</v>
      </c>
      <c r="L3639">
        <v>213.0273</v>
      </c>
      <c r="M3639">
        <v>0.99987159999999997</v>
      </c>
      <c r="N3639">
        <v>-1.023495E-2</v>
      </c>
      <c r="O3639">
        <v>-1.2333E-2</v>
      </c>
      <c r="P3639">
        <v>0.98403890000000005</v>
      </c>
      <c r="Q3639">
        <v>0.17087949999999999</v>
      </c>
      <c r="R3639">
        <v>4.9677260000000001E-2</v>
      </c>
      <c r="S3639">
        <v>3.076721</v>
      </c>
      <c r="T3639">
        <v>-0.16226879999999999</v>
      </c>
      <c r="U3639">
        <v>1.184082E-2</v>
      </c>
      <c r="V3639">
        <v>-6.179515E-2</v>
      </c>
      <c r="W3639">
        <v>0.18094009999999999</v>
      </c>
      <c r="X3639">
        <v>0.98155079999999995</v>
      </c>
      <c r="Y3639">
        <v>-1.614382E-2</v>
      </c>
      <c r="Z3639">
        <v>1.0319369999999999E-3</v>
      </c>
      <c r="AA3639">
        <v>0.99986920000000001</v>
      </c>
      <c r="AB3639">
        <v>37</v>
      </c>
      <c r="AC3639">
        <v>20.659799999999901</v>
      </c>
      <c r="AD3639">
        <v>-1.1097755674700001</v>
      </c>
      <c r="AE3639">
        <v>8.5700000000002705E-2</v>
      </c>
      <c r="AF3639">
        <v>-0.33952445784926899</v>
      </c>
      <c r="AG3639">
        <v>-1.1097755674700001</v>
      </c>
      <c r="AH3639">
        <v>20.597738232342898</v>
      </c>
      <c r="AI3639">
        <v>93.083611587006601</v>
      </c>
      <c r="AJ3639">
        <v>90.944354019229294</v>
      </c>
      <c r="AK3639">
        <v>20.630407144691901</v>
      </c>
      <c r="AL3639">
        <v>79.5754768972959</v>
      </c>
      <c r="AM3639">
        <v>93.602395934041596</v>
      </c>
      <c r="AN3639">
        <v>0.99999996666608504</v>
      </c>
    </row>
    <row r="3640" spans="1:40" x14ac:dyDescent="0.25">
      <c r="A3640" t="str">
        <f>"20190304155128778"</f>
        <v>20190304155128778</v>
      </c>
      <c r="B3640" t="str">
        <f>"1551685888770522"</f>
        <v>1551685888770522</v>
      </c>
      <c r="C3640" t="s">
        <v>40</v>
      </c>
      <c r="D3640">
        <v>4.8755100000000002</v>
      </c>
      <c r="E3640">
        <v>0.51649420000000001</v>
      </c>
      <c r="F3640" t="s">
        <v>70</v>
      </c>
      <c r="G3640">
        <v>-330.94130000000001</v>
      </c>
      <c r="H3640" s="1">
        <v>-9.6946589999999996E-7</v>
      </c>
      <c r="I3640">
        <v>213.09690000000001</v>
      </c>
      <c r="J3640">
        <v>-353.89120000000003</v>
      </c>
      <c r="K3640">
        <v>1.1097709999999901</v>
      </c>
      <c r="L3640">
        <v>213.023</v>
      </c>
      <c r="M3640">
        <v>0.99987170000000003</v>
      </c>
      <c r="N3640">
        <v>-1.023962E-2</v>
      </c>
      <c r="O3640">
        <v>-1.233332E-2</v>
      </c>
      <c r="P3640">
        <v>0.98429390000000005</v>
      </c>
      <c r="Q3640">
        <v>0.1693916</v>
      </c>
      <c r="R3640">
        <v>4.9724989999999997E-2</v>
      </c>
      <c r="S3640">
        <v>3.0735779999999999</v>
      </c>
      <c r="T3640">
        <v>-0.1464211</v>
      </c>
      <c r="U3640">
        <v>9.1857910000000004E-3</v>
      </c>
      <c r="V3640">
        <v>-6.1848239999999999E-2</v>
      </c>
      <c r="W3640">
        <v>0.1794589</v>
      </c>
      <c r="X3640">
        <v>0.98181940000000001</v>
      </c>
      <c r="Y3640">
        <v>-1.529261E-2</v>
      </c>
      <c r="Z3640">
        <v>9.0336609999999999E-4</v>
      </c>
      <c r="AA3640">
        <v>0.99988259999999995</v>
      </c>
      <c r="AB3640">
        <v>37</v>
      </c>
      <c r="AC3640">
        <v>22.9499</v>
      </c>
      <c r="AD3640">
        <v>-1.1097719694658901</v>
      </c>
      <c r="AE3640">
        <v>7.3900000000008903E-2</v>
      </c>
      <c r="AF3640">
        <v>-0.35612489685993298</v>
      </c>
      <c r="AG3640">
        <v>-1.1097719694658901</v>
      </c>
      <c r="AH3640">
        <v>22.893710300058</v>
      </c>
      <c r="AI3640">
        <v>92.774903719032196</v>
      </c>
      <c r="AJ3640">
        <v>90.891197090599505</v>
      </c>
      <c r="AK3640">
        <v>22.923359048563398</v>
      </c>
      <c r="AL3640">
        <v>79.661756331546698</v>
      </c>
      <c r="AM3640">
        <v>93.604498931590896</v>
      </c>
      <c r="AN3640">
        <v>1.0000000178983299</v>
      </c>
    </row>
    <row r="3641" spans="1:40" x14ac:dyDescent="0.25">
      <c r="A3641" t="str">
        <f>"20190304155128800"</f>
        <v>20190304155128800</v>
      </c>
      <c r="B3641" t="str">
        <f>"1551685888790042"</f>
        <v>1551685888790042</v>
      </c>
      <c r="C3641" t="s">
        <v>40</v>
      </c>
      <c r="D3641">
        <v>4.8869089999999904</v>
      </c>
      <c r="E3641">
        <v>0.51686759999999998</v>
      </c>
      <c r="F3641" t="s">
        <v>70</v>
      </c>
      <c r="G3641">
        <v>-329.02550000000002</v>
      </c>
      <c r="H3641" s="1">
        <v>3.2661430000000001E-6</v>
      </c>
      <c r="I3641">
        <v>213.06549999999999</v>
      </c>
      <c r="J3641">
        <v>-353.50420000000003</v>
      </c>
      <c r="K3641">
        <v>1.1097680000000001</v>
      </c>
      <c r="L3641">
        <v>213.01820000000001</v>
      </c>
      <c r="M3641">
        <v>0.99987150000000002</v>
      </c>
      <c r="N3641">
        <v>-1.024483E-2</v>
      </c>
      <c r="O3641">
        <v>-1.233341E-2</v>
      </c>
      <c r="P3641">
        <v>0.98443150000000001</v>
      </c>
      <c r="Q3641">
        <v>0.16852020000000001</v>
      </c>
      <c r="R3641">
        <v>4.9957559999999998E-2</v>
      </c>
      <c r="S3641">
        <v>3.0711979999999999</v>
      </c>
      <c r="T3641">
        <v>-0.137069</v>
      </c>
      <c r="U3641">
        <v>5.2490230000000002E-3</v>
      </c>
      <c r="V3641">
        <v>-6.2084779999999999E-2</v>
      </c>
      <c r="W3641">
        <v>0.17859340000000001</v>
      </c>
      <c r="X3641">
        <v>0.98196229999999995</v>
      </c>
      <c r="Y3641">
        <v>-1.4018569999999999E-2</v>
      </c>
      <c r="Z3641">
        <v>8.0837889999999999E-4</v>
      </c>
      <c r="AA3641">
        <v>0.99990140000000005</v>
      </c>
      <c r="AB3641">
        <v>37</v>
      </c>
      <c r="AC3641">
        <v>24.4787</v>
      </c>
      <c r="AD3641">
        <v>-1.109764733857</v>
      </c>
      <c r="AE3641">
        <v>4.7299999999978498E-2</v>
      </c>
      <c r="AF3641">
        <v>-0.34850178772500601</v>
      </c>
      <c r="AG3641">
        <v>-1.109764733857</v>
      </c>
      <c r="AH3641">
        <v>24.4260507476721</v>
      </c>
      <c r="AI3641">
        <v>92.601103296995802</v>
      </c>
      <c r="AJ3641">
        <v>90.817419363156205</v>
      </c>
      <c r="AK3641">
        <v>24.453731543231001</v>
      </c>
      <c r="AL3641">
        <v>79.712160372857994</v>
      </c>
      <c r="AM3641">
        <v>93.617722720883407</v>
      </c>
      <c r="AN3641">
        <v>1.0000000405262399</v>
      </c>
    </row>
    <row r="3642" spans="1:40" x14ac:dyDescent="0.25">
      <c r="A3642" t="str">
        <f>"20190304155128824"</f>
        <v>20190304155128824</v>
      </c>
      <c r="B3642" t="str">
        <f>"1551685888820298"</f>
        <v>1551685888820298</v>
      </c>
      <c r="C3642" t="s">
        <v>40</v>
      </c>
      <c r="D3642">
        <v>5.459015</v>
      </c>
      <c r="E3642">
        <v>0.51733459999999998</v>
      </c>
      <c r="F3642" t="s">
        <v>70</v>
      </c>
      <c r="G3642">
        <v>-328.42840000000001</v>
      </c>
      <c r="H3642" s="1">
        <v>2.948368E-6</v>
      </c>
      <c r="I3642">
        <v>213.03720000000001</v>
      </c>
      <c r="J3642">
        <v>-353.12439999999998</v>
      </c>
      <c r="K3642">
        <v>1.1097669999999999</v>
      </c>
      <c r="L3642">
        <v>213.01349999999999</v>
      </c>
      <c r="M3642">
        <v>0.99987139999999997</v>
      </c>
      <c r="N3642">
        <v>-1.0249919999999999E-2</v>
      </c>
      <c r="O3642">
        <v>-1.233412E-2</v>
      </c>
      <c r="P3642">
        <v>0.98462459999999996</v>
      </c>
      <c r="Q3642">
        <v>0.1674494</v>
      </c>
      <c r="R3642">
        <v>4.9751139999999999E-2</v>
      </c>
      <c r="S3642">
        <v>3.0706180000000001</v>
      </c>
      <c r="T3642">
        <v>-0.1358944</v>
      </c>
      <c r="U3642">
        <v>2.319336E-3</v>
      </c>
      <c r="V3642">
        <v>-6.1882890000000003E-2</v>
      </c>
      <c r="W3642">
        <v>0.17752970000000001</v>
      </c>
      <c r="X3642">
        <v>0.98216780000000004</v>
      </c>
      <c r="Y3642">
        <v>-1.306715E-2</v>
      </c>
      <c r="Z3642">
        <v>7.7522639999999998E-4</v>
      </c>
      <c r="AA3642">
        <v>0.99991430000000003</v>
      </c>
      <c r="AB3642">
        <v>37</v>
      </c>
      <c r="AC3642">
        <v>24.695999999999898</v>
      </c>
      <c r="AD3642">
        <v>-1.109764051632</v>
      </c>
      <c r="AE3642">
        <v>2.3700000000019299E-2</v>
      </c>
      <c r="AF3642">
        <v>-0.32765597939951702</v>
      </c>
      <c r="AG3642">
        <v>-1.109764051632</v>
      </c>
      <c r="AH3642">
        <v>24.644064348118601</v>
      </c>
      <c r="AI3642">
        <v>92.578156737755506</v>
      </c>
      <c r="AJ3642">
        <v>90.761733065240705</v>
      </c>
      <c r="AK3642">
        <v>24.671214852239</v>
      </c>
      <c r="AL3642">
        <v>79.774094589284999</v>
      </c>
      <c r="AM3642">
        <v>93.605237048493294</v>
      </c>
      <c r="AN3642">
        <v>0.99999993690683897</v>
      </c>
    </row>
    <row r="3643" spans="1:40" x14ac:dyDescent="0.25">
      <c r="A3643" t="str">
        <f>"20190304155128844"</f>
        <v>20190304155128844</v>
      </c>
      <c r="B3643" t="str">
        <f>"1551685888839818"</f>
        <v>1551685888839818</v>
      </c>
      <c r="C3643" t="s">
        <v>40</v>
      </c>
      <c r="D3643">
        <v>4.8758920000000003</v>
      </c>
      <c r="E3643">
        <v>0.51759120000000003</v>
      </c>
      <c r="F3643" t="s">
        <v>70</v>
      </c>
      <c r="G3643">
        <v>-327.45490000000001</v>
      </c>
      <c r="H3643" s="1">
        <v>2.4303139999999998E-6</v>
      </c>
      <c r="I3643">
        <v>213.00139999999999</v>
      </c>
      <c r="J3643">
        <v>-352.77229999999997</v>
      </c>
      <c r="K3643">
        <v>1.109761</v>
      </c>
      <c r="L3643">
        <v>213.00919999999999</v>
      </c>
      <c r="M3643">
        <v>0.99987130000000002</v>
      </c>
      <c r="N3643">
        <v>-1.0254650000000001E-2</v>
      </c>
      <c r="O3643">
        <v>-1.2334110000000001E-2</v>
      </c>
      <c r="P3643">
        <v>0.98481759999999996</v>
      </c>
      <c r="Q3643">
        <v>0.16633410000000001</v>
      </c>
      <c r="R3643">
        <v>4.9671079999999999E-2</v>
      </c>
      <c r="S3643">
        <v>3.0695190000000001</v>
      </c>
      <c r="T3643">
        <v>-0.13270379999999901</v>
      </c>
      <c r="U3643">
        <v>-1.449585E-3</v>
      </c>
      <c r="V3643">
        <v>-6.1805970000000002E-2</v>
      </c>
      <c r="W3643">
        <v>0.1764202</v>
      </c>
      <c r="X3643">
        <v>0.98237260000000004</v>
      </c>
      <c r="Y3643">
        <v>-1.1842159999999999E-2</v>
      </c>
      <c r="Z3643">
        <v>7.2315589999999896E-4</v>
      </c>
      <c r="AA3643">
        <v>0.99992959999999997</v>
      </c>
      <c r="AB3643">
        <v>38</v>
      </c>
      <c r="AC3643">
        <v>25.3173999999999</v>
      </c>
      <c r="AD3643">
        <v>-1.109758569686</v>
      </c>
      <c r="AE3643">
        <v>-7.80000000000313E-3</v>
      </c>
      <c r="AF3643">
        <v>-0.30390070864106</v>
      </c>
      <c r="AG3643">
        <v>-1.109758569686</v>
      </c>
      <c r="AH3643">
        <v>25.267021998009</v>
      </c>
      <c r="AI3643">
        <v>92.514702896439402</v>
      </c>
      <c r="AJ3643">
        <v>90.689095392386804</v>
      </c>
      <c r="AK3643">
        <v>25.293207000528302</v>
      </c>
      <c r="AL3643">
        <v>79.838684379116401</v>
      </c>
      <c r="AM3643">
        <v>93.600018866112705</v>
      </c>
      <c r="AN3643">
        <v>0.99999999506322002</v>
      </c>
    </row>
    <row r="3644" spans="1:40" x14ac:dyDescent="0.25">
      <c r="A3644" t="str">
        <f>"20190304155128868"</f>
        <v>20190304155128868</v>
      </c>
      <c r="B3644" t="str">
        <f>"1551685888860315"</f>
        <v>1551685888860315</v>
      </c>
      <c r="C3644" t="s">
        <v>40</v>
      </c>
      <c r="D3644">
        <v>5.1565190000000003</v>
      </c>
      <c r="E3644">
        <v>0.5156077</v>
      </c>
      <c r="F3644" t="s">
        <v>83</v>
      </c>
      <c r="G3644">
        <v>-107.39749999999999</v>
      </c>
      <c r="H3644">
        <v>2.0342600000000002</v>
      </c>
      <c r="I3644">
        <v>212.9674</v>
      </c>
      <c r="J3644">
        <v>-352.38029999999998</v>
      </c>
      <c r="K3644">
        <v>1.1097520000000001</v>
      </c>
      <c r="L3644">
        <v>213.0044</v>
      </c>
      <c r="M3644">
        <v>0.99987139999999997</v>
      </c>
      <c r="N3644">
        <v>-1.025992E-2</v>
      </c>
      <c r="O3644">
        <v>-1.2334360000000001E-2</v>
      </c>
      <c r="P3644">
        <v>0.98492369999999996</v>
      </c>
      <c r="Q3644">
        <v>0.165775799999999</v>
      </c>
      <c r="R3644">
        <v>4.9435260000000002E-2</v>
      </c>
      <c r="S3644">
        <v>3.0443730000000002</v>
      </c>
      <c r="T3644">
        <v>1.1470910000000001E-2</v>
      </c>
      <c r="U3644">
        <v>-5.1879879999999995E-4</v>
      </c>
      <c r="V3644">
        <v>-6.1572309999999998E-2</v>
      </c>
      <c r="W3644">
        <v>0.1758682</v>
      </c>
      <c r="X3644">
        <v>0.98248619999999998</v>
      </c>
      <c r="Y3644">
        <v>-1.216354E-2</v>
      </c>
      <c r="Z3644">
        <v>-1.3354299999999999E-4</v>
      </c>
      <c r="AA3644">
        <v>0.99992599999999998</v>
      </c>
      <c r="AB3644">
        <v>38</v>
      </c>
      <c r="AC3644">
        <v>244.9828</v>
      </c>
      <c r="AD3644">
        <v>0.924507999999999</v>
      </c>
      <c r="AE3644">
        <v>-3.7000000000006097E-2</v>
      </c>
      <c r="AF3644">
        <v>-2.9848250792163702</v>
      </c>
      <c r="AG3644">
        <v>0.924507999999999</v>
      </c>
      <c r="AH3644">
        <v>244.96112975433101</v>
      </c>
      <c r="AI3644">
        <v>89.783777029140097</v>
      </c>
      <c r="AJ3644">
        <v>90.698108376552</v>
      </c>
      <c r="AK3644">
        <v>244.98105842353201</v>
      </c>
      <c r="AL3644">
        <v>79.870813588103502</v>
      </c>
      <c r="AM3644">
        <v>93.586030836959694</v>
      </c>
      <c r="AN3644">
        <v>0.99999995316020696</v>
      </c>
    </row>
    <row r="3645" spans="1:40" x14ac:dyDescent="0.25">
      <c r="A3645" t="str">
        <f>"20190304155128889"</f>
        <v>20190304155128889</v>
      </c>
      <c r="B3645" t="str">
        <f>"1551685888880811"</f>
        <v>1551685888880811</v>
      </c>
      <c r="C3645" t="s">
        <v>40</v>
      </c>
      <c r="D3645">
        <v>4.9517499999999997</v>
      </c>
      <c r="E3645">
        <v>0.47873599999999999</v>
      </c>
      <c r="F3645" t="s">
        <v>83</v>
      </c>
      <c r="G3645">
        <v>-107.39749999999999</v>
      </c>
      <c r="H3645">
        <v>0.31547069999999999</v>
      </c>
      <c r="I3645">
        <v>214.1208</v>
      </c>
      <c r="J3645">
        <v>-352.0102</v>
      </c>
      <c r="K3645">
        <v>1.1097440000000001</v>
      </c>
      <c r="L3645">
        <v>212.99979999999999</v>
      </c>
      <c r="M3645">
        <v>0.99987130000000002</v>
      </c>
      <c r="N3645">
        <v>-1.0264860000000001E-2</v>
      </c>
      <c r="O3645">
        <v>-1.233413E-2</v>
      </c>
      <c r="P3645">
        <v>0.98503490000000005</v>
      </c>
      <c r="Q3645">
        <v>0.16519410000000001</v>
      </c>
      <c r="R3645">
        <v>4.9163239999999997E-2</v>
      </c>
      <c r="S3645">
        <v>3.046875</v>
      </c>
      <c r="T3645">
        <v>-9.8779200000000001E-3</v>
      </c>
      <c r="U3645">
        <v>1.38855E-2</v>
      </c>
      <c r="V3645">
        <v>-6.1301830000000002E-2</v>
      </c>
      <c r="W3645">
        <v>0.17529229999999901</v>
      </c>
      <c r="X3645">
        <v>0.98260610000000004</v>
      </c>
      <c r="Y3645">
        <v>-1.689088E-2</v>
      </c>
      <c r="Z3645" s="1">
        <v>2.744792E-5</v>
      </c>
      <c r="AA3645">
        <v>0.99985740000000001</v>
      </c>
      <c r="AB3645">
        <v>38</v>
      </c>
      <c r="AC3645">
        <v>244.61269999999999</v>
      </c>
      <c r="AD3645">
        <v>-0.79427329999999996</v>
      </c>
      <c r="AE3645">
        <v>1.121</v>
      </c>
      <c r="AF3645">
        <v>-4.1381147215892797</v>
      </c>
      <c r="AG3645">
        <v>-0.79427329999999996</v>
      </c>
      <c r="AH3645">
        <v>244.577684854208</v>
      </c>
      <c r="AI3645">
        <v>90.186042465758504</v>
      </c>
      <c r="AJ3645">
        <v>90.9693193735432</v>
      </c>
      <c r="AK3645">
        <v>244.613979142993</v>
      </c>
      <c r="AL3645">
        <v>79.9043316631832</v>
      </c>
      <c r="AM3645">
        <v>93.569884125348906</v>
      </c>
      <c r="AN3645">
        <v>1.0000000262789199</v>
      </c>
    </row>
    <row r="3646" spans="1:40" x14ac:dyDescent="0.25">
      <c r="A3646" t="str">
        <f>"20190304155128912"</f>
        <v>20190304155128912</v>
      </c>
      <c r="B3646" t="str">
        <f>"1551685888900331"</f>
        <v>1551685888900331</v>
      </c>
      <c r="C3646" t="s">
        <v>40</v>
      </c>
      <c r="D3646">
        <v>5.0881829999999999</v>
      </c>
      <c r="E3646">
        <v>0.47458129999999998</v>
      </c>
      <c r="F3646" t="s">
        <v>70</v>
      </c>
      <c r="G3646">
        <v>-336.94130000000001</v>
      </c>
      <c r="H3646" s="1">
        <v>2.1628089999999999E-6</v>
      </c>
      <c r="I3646">
        <v>214.4836</v>
      </c>
      <c r="J3646">
        <v>-351.63479999999998</v>
      </c>
      <c r="K3646">
        <v>1.109742</v>
      </c>
      <c r="L3646">
        <v>212.99520000000001</v>
      </c>
      <c r="M3646">
        <v>0.99987119999999996</v>
      </c>
      <c r="N3646">
        <v>-1.026989E-2</v>
      </c>
      <c r="O3646">
        <v>-1.233367E-2</v>
      </c>
      <c r="P3646">
        <v>0.98496039999999996</v>
      </c>
      <c r="Q3646">
        <v>0.16551920000000001</v>
      </c>
      <c r="R3646">
        <v>4.9561019999999997E-2</v>
      </c>
      <c r="S3646">
        <v>3.0684200000000001</v>
      </c>
      <c r="T3646">
        <v>-0.22597229999999999</v>
      </c>
      <c r="U3646">
        <v>0.3021393</v>
      </c>
      <c r="V3646">
        <v>-6.1698749999999997E-2</v>
      </c>
      <c r="W3646">
        <v>0.17562179999999999</v>
      </c>
      <c r="X3646">
        <v>0.98252240000000002</v>
      </c>
      <c r="Y3646">
        <v>-0.1099001</v>
      </c>
      <c r="Z3646">
        <v>5.376975E-3</v>
      </c>
      <c r="AA3646">
        <v>0.99392809999999998</v>
      </c>
      <c r="AB3646">
        <v>38</v>
      </c>
      <c r="AC3646">
        <v>14.693499999999901</v>
      </c>
      <c r="AD3646">
        <v>-1.1097398371909999</v>
      </c>
      <c r="AE3646">
        <v>1.48839999999998</v>
      </c>
      <c r="AF3646">
        <v>-1.6601475454521599</v>
      </c>
      <c r="AG3646">
        <v>-1.1097398371909999</v>
      </c>
      <c r="AH3646">
        <v>14.591636177821901</v>
      </c>
      <c r="AI3646">
        <v>94.321379401002105</v>
      </c>
      <c r="AJ3646">
        <v>96.490854100788596</v>
      </c>
      <c r="AK3646">
        <v>14.7276426737221</v>
      </c>
      <c r="AL3646">
        <v>79.885155049702306</v>
      </c>
      <c r="AM3646">
        <v>93.593243502392795</v>
      </c>
      <c r="AN3646">
        <v>1.00000000944428</v>
      </c>
    </row>
    <row r="3647" spans="1:40" x14ac:dyDescent="0.25">
      <c r="A3647" t="str">
        <f>"20190304155128933"</f>
        <v>20190304155128933</v>
      </c>
      <c r="B3647" t="str">
        <f>"1551685888930589"</f>
        <v>1551685888930589</v>
      </c>
      <c r="C3647" t="s">
        <v>40</v>
      </c>
      <c r="D3647">
        <v>4.9368249999999998</v>
      </c>
      <c r="E3647">
        <v>0.47327200000000003</v>
      </c>
      <c r="F3647" t="s">
        <v>70</v>
      </c>
      <c r="G3647">
        <v>-336.39429999999999</v>
      </c>
      <c r="H3647" s="1">
        <v>1.8635879999999999E-6</v>
      </c>
      <c r="I3647">
        <v>214.67060000000001</v>
      </c>
      <c r="J3647">
        <v>-351.26929999999999</v>
      </c>
      <c r="K3647">
        <v>1.1097459999999999</v>
      </c>
      <c r="L3647">
        <v>212.9907</v>
      </c>
      <c r="M3647">
        <v>0.99987119999999996</v>
      </c>
      <c r="N3647">
        <v>-1.027487E-2</v>
      </c>
      <c r="O3647">
        <v>-1.233333E-2</v>
      </c>
      <c r="P3647">
        <v>0.98477380000000003</v>
      </c>
      <c r="Q3647">
        <v>0.166496799999999</v>
      </c>
      <c r="R3647">
        <v>4.9997050000000001E-2</v>
      </c>
      <c r="S3647">
        <v>3.0663450000000001</v>
      </c>
      <c r="T3647">
        <v>-0.2232769</v>
      </c>
      <c r="U3647">
        <v>0.33709719999999999</v>
      </c>
      <c r="V3647">
        <v>-6.2132279999999998E-2</v>
      </c>
      <c r="W3647">
        <v>0.17660229999999999</v>
      </c>
      <c r="X3647">
        <v>0.98231930000000001</v>
      </c>
      <c r="Y3647">
        <v>-0.121141899999999</v>
      </c>
      <c r="Z3647">
        <v>5.7847929999999999E-3</v>
      </c>
      <c r="AA3647">
        <v>0.99261829999999995</v>
      </c>
      <c r="AB3647">
        <v>38</v>
      </c>
      <c r="AC3647">
        <v>14.875</v>
      </c>
      <c r="AD3647">
        <v>-1.109744136412</v>
      </c>
      <c r="AE3647">
        <v>1.6798999999999999</v>
      </c>
      <c r="AF3647">
        <v>-1.8530562240418</v>
      </c>
      <c r="AG3647">
        <v>-1.109744136412</v>
      </c>
      <c r="AH3647">
        <v>14.7719654882338</v>
      </c>
      <c r="AI3647">
        <v>94.262989908258504</v>
      </c>
      <c r="AJ3647">
        <v>97.150069747934296</v>
      </c>
      <c r="AK3647">
        <v>14.929042628492001</v>
      </c>
      <c r="AL3647">
        <v>79.828084432452698</v>
      </c>
      <c r="AM3647">
        <v>93.619170940760498</v>
      </c>
      <c r="AN3647">
        <v>0.99999999986788901</v>
      </c>
    </row>
    <row r="3648" spans="1:40" x14ac:dyDescent="0.25">
      <c r="A3648" t="str">
        <f>"20190304155128958"</f>
        <v>20190304155128958</v>
      </c>
      <c r="B3648" t="str">
        <f>"1551685888950106"</f>
        <v>1551685888950106</v>
      </c>
      <c r="C3648" t="s">
        <v>40</v>
      </c>
      <c r="D3648">
        <v>4.9745080000000002</v>
      </c>
      <c r="E3648">
        <v>0.47283320000000001</v>
      </c>
      <c r="F3648" t="s">
        <v>70</v>
      </c>
      <c r="G3648">
        <v>-335.5206</v>
      </c>
      <c r="H3648" s="1">
        <v>1.3935749999999901E-6</v>
      </c>
      <c r="I3648">
        <v>214.78579999999999</v>
      </c>
      <c r="J3648">
        <v>-350.8544</v>
      </c>
      <c r="K3648">
        <v>1.109745</v>
      </c>
      <c r="L3648">
        <v>212.9855</v>
      </c>
      <c r="M3648">
        <v>0.99987110000000001</v>
      </c>
      <c r="N3648">
        <v>-1.0280640000000001E-2</v>
      </c>
      <c r="O3648">
        <v>-1.2332879999999999E-2</v>
      </c>
      <c r="P3648">
        <v>0.98481019999999997</v>
      </c>
      <c r="Q3648">
        <v>0.16588729999999999</v>
      </c>
      <c r="R3648">
        <v>5.1290019999999999E-2</v>
      </c>
      <c r="S3648">
        <v>3.0651549999999999</v>
      </c>
      <c r="T3648">
        <v>-0.21598880000000001</v>
      </c>
      <c r="U3648">
        <v>0.34938049999999998</v>
      </c>
      <c r="V3648">
        <v>-6.342544E-2</v>
      </c>
      <c r="W3648">
        <v>0.1759983</v>
      </c>
      <c r="X3648">
        <v>0.98234500000000002</v>
      </c>
      <c r="Y3648">
        <v>-0.12512319999999999</v>
      </c>
      <c r="Z3648">
        <v>5.7740919999999998E-3</v>
      </c>
      <c r="AA3648">
        <v>0.99212440000000002</v>
      </c>
      <c r="AB3648">
        <v>38</v>
      </c>
      <c r="AC3648">
        <v>15.333799999999901</v>
      </c>
      <c r="AD3648">
        <v>-1.1097436064249999</v>
      </c>
      <c r="AE3648">
        <v>1.80029999999999</v>
      </c>
      <c r="AF3648">
        <v>-1.9790580871725401</v>
      </c>
      <c r="AG3648">
        <v>-1.1097436064249999</v>
      </c>
      <c r="AH3648">
        <v>15.231734224857099</v>
      </c>
      <c r="AI3648">
        <v>94.132441539332603</v>
      </c>
      <c r="AJ3648">
        <v>97.4029638235954</v>
      </c>
      <c r="AK3648">
        <v>15.399802897475199</v>
      </c>
      <c r="AL3648">
        <v>79.863241196325504</v>
      </c>
      <c r="AM3648">
        <v>93.694193933543602</v>
      </c>
      <c r="AN3648">
        <v>0.99999994353354005</v>
      </c>
    </row>
    <row r="3649" spans="1:40" x14ac:dyDescent="0.25">
      <c r="A3649" t="str">
        <f>"20190304155128980"</f>
        <v>20190304155128980</v>
      </c>
      <c r="B3649" t="str">
        <f>"1551685888970603"</f>
        <v>1551685888970603</v>
      </c>
      <c r="C3649" t="s">
        <v>40</v>
      </c>
      <c r="D3649">
        <v>4.9287010000000002</v>
      </c>
      <c r="E3649">
        <v>0.47251890000000002</v>
      </c>
      <c r="F3649" t="s">
        <v>70</v>
      </c>
      <c r="G3649">
        <v>-334.90019999999998</v>
      </c>
      <c r="H3649" s="1">
        <v>1.0606249999999999E-6</v>
      </c>
      <c r="I3649">
        <v>214.8501</v>
      </c>
      <c r="J3649">
        <v>-350.49079999999998</v>
      </c>
      <c r="K3649">
        <v>1.1097429999999999</v>
      </c>
      <c r="L3649">
        <v>212.9811</v>
      </c>
      <c r="M3649">
        <v>0.99987110000000001</v>
      </c>
      <c r="N3649">
        <v>-1.028563E-2</v>
      </c>
      <c r="O3649">
        <v>-1.233266E-2</v>
      </c>
      <c r="P3649">
        <v>0.98472539999999997</v>
      </c>
      <c r="Q3649">
        <v>0.16581109999999999</v>
      </c>
      <c r="R3649">
        <v>5.3129820000000001E-2</v>
      </c>
      <c r="S3649">
        <v>3.0634769999999998</v>
      </c>
      <c r="T3649">
        <v>-0.213089</v>
      </c>
      <c r="U3649">
        <v>0.35801699999999997</v>
      </c>
      <c r="V3649">
        <v>-6.5263790000000002E-2</v>
      </c>
      <c r="W3649">
        <v>0.175926</v>
      </c>
      <c r="X3649">
        <v>0.98223760000000004</v>
      </c>
      <c r="Y3649">
        <v>-0.12794529999999901</v>
      </c>
      <c r="Z3649">
        <v>5.81833E-3</v>
      </c>
      <c r="AA3649">
        <v>0.99176419999999998</v>
      </c>
      <c r="AB3649">
        <v>38</v>
      </c>
      <c r="AC3649">
        <v>15.590599999999901</v>
      </c>
      <c r="AD3649">
        <v>-1.1097419393750001</v>
      </c>
      <c r="AE3649">
        <v>1.869</v>
      </c>
      <c r="AF3649">
        <v>-2.0508976754415502</v>
      </c>
      <c r="AG3649">
        <v>-1.1097419393750001</v>
      </c>
      <c r="AH3649">
        <v>15.4889982065397</v>
      </c>
      <c r="AI3649">
        <v>94.062734597469102</v>
      </c>
      <c r="AJ3649">
        <v>97.542655965327498</v>
      </c>
      <c r="AK3649">
        <v>15.6635492111249</v>
      </c>
      <c r="AL3649">
        <v>79.867450035368407</v>
      </c>
      <c r="AM3649">
        <v>93.801372941395499</v>
      </c>
      <c r="AN3649">
        <v>1.0000000113074601</v>
      </c>
    </row>
    <row r="3650" spans="1:40" x14ac:dyDescent="0.25">
      <c r="A3650" t="str">
        <f>"20190304155129001"</f>
        <v>20190304155129001</v>
      </c>
      <c r="B3650" t="str">
        <f>"1551685888990123"</f>
        <v>1551685888990123</v>
      </c>
      <c r="C3650" t="s">
        <v>40</v>
      </c>
      <c r="D3650">
        <v>4.9832419999999997</v>
      </c>
      <c r="E3650">
        <v>0.47225610000000001</v>
      </c>
      <c r="F3650" t="s">
        <v>70</v>
      </c>
      <c r="G3650">
        <v>-334.32870000000003</v>
      </c>
      <c r="H3650" s="1">
        <v>7.5367649999999997E-7</v>
      </c>
      <c r="I3650">
        <v>214.91489999999999</v>
      </c>
      <c r="J3650">
        <v>-350.12029999999999</v>
      </c>
      <c r="K3650">
        <v>1.1097399999999999</v>
      </c>
      <c r="L3650">
        <v>212.97649999999999</v>
      </c>
      <c r="M3650">
        <v>0.99987110000000001</v>
      </c>
      <c r="N3650">
        <v>-1.0290519999999999E-2</v>
      </c>
      <c r="O3650">
        <v>-1.2332569999999999E-2</v>
      </c>
      <c r="P3650">
        <v>0.98464649999999998</v>
      </c>
      <c r="Q3650">
        <v>0.1659485</v>
      </c>
      <c r="R3650">
        <v>5.4152529999999997E-2</v>
      </c>
      <c r="S3650">
        <v>3.062103</v>
      </c>
      <c r="T3650">
        <v>-0.21025440000000001</v>
      </c>
      <c r="U3650">
        <v>0.3663788</v>
      </c>
      <c r="V3650">
        <v>-6.6285430000000006E-2</v>
      </c>
      <c r="W3650">
        <v>0.17606729999999901</v>
      </c>
      <c r="X3650">
        <v>0.98214389999999996</v>
      </c>
      <c r="Y3650">
        <v>-0.1306687</v>
      </c>
      <c r="Z3650">
        <v>5.8571930000000001E-3</v>
      </c>
      <c r="AA3650">
        <v>0.99140879999999998</v>
      </c>
      <c r="AB3650">
        <v>38</v>
      </c>
      <c r="AC3650">
        <v>15.791599999999899</v>
      </c>
      <c r="AD3650">
        <v>-1.1097392463235001</v>
      </c>
      <c r="AE3650">
        <v>1.9383999999999999</v>
      </c>
      <c r="AF3650">
        <v>-2.1226867208143001</v>
      </c>
      <c r="AG3650">
        <v>-1.1097392463235001</v>
      </c>
      <c r="AH3650">
        <v>15.690157503001499</v>
      </c>
      <c r="AI3650">
        <v>94.009296251460896</v>
      </c>
      <c r="AJ3650">
        <v>97.7046411231359</v>
      </c>
      <c r="AK3650">
        <v>15.871936321021</v>
      </c>
      <c r="AL3650">
        <v>79.859226126226801</v>
      </c>
      <c r="AM3650">
        <v>93.861068304412996</v>
      </c>
      <c r="AN3650">
        <v>1.00000004633339</v>
      </c>
    </row>
    <row r="3651" spans="1:40" x14ac:dyDescent="0.25">
      <c r="A3651" t="str">
        <f>"20190304155129023"</f>
        <v>20190304155129023</v>
      </c>
      <c r="B3651" t="str">
        <f>"1551685889020379"</f>
        <v>1551685889020379</v>
      </c>
      <c r="C3651" t="s">
        <v>40</v>
      </c>
      <c r="D3651">
        <v>4.997452</v>
      </c>
      <c r="E3651">
        <v>0.47214820000000002</v>
      </c>
      <c r="F3651" t="s">
        <v>70</v>
      </c>
      <c r="G3651">
        <v>-333.73989999999998</v>
      </c>
      <c r="H3651" s="1">
        <v>4.3801650000000001E-7</v>
      </c>
      <c r="I3651">
        <v>214.96870000000001</v>
      </c>
      <c r="J3651">
        <v>-349.7491</v>
      </c>
      <c r="K3651">
        <v>1.1097379999999999</v>
      </c>
      <c r="L3651">
        <v>212.97200000000001</v>
      </c>
      <c r="M3651">
        <v>0.99987099999999995</v>
      </c>
      <c r="N3651">
        <v>-1.029533E-2</v>
      </c>
      <c r="O3651">
        <v>-1.233247E-2</v>
      </c>
      <c r="P3651">
        <v>0.98460020000000004</v>
      </c>
      <c r="Q3651">
        <v>0.16626089999999999</v>
      </c>
      <c r="R3651">
        <v>5.4034760000000001E-2</v>
      </c>
      <c r="S3651">
        <v>3.0612180000000002</v>
      </c>
      <c r="T3651">
        <v>-0.2073922</v>
      </c>
      <c r="U3651">
        <v>0.3722992</v>
      </c>
      <c r="V3651">
        <v>-6.6166890000000006E-2</v>
      </c>
      <c r="W3651">
        <v>0.17638409999999999</v>
      </c>
      <c r="X3651">
        <v>0.98209500000000005</v>
      </c>
      <c r="Y3651">
        <v>-0.1325963</v>
      </c>
      <c r="Z3651">
        <v>5.8612769999999998E-3</v>
      </c>
      <c r="AA3651">
        <v>0.99115279999999994</v>
      </c>
      <c r="AB3651">
        <v>38</v>
      </c>
      <c r="AC3651">
        <v>16.0092</v>
      </c>
      <c r="AD3651">
        <v>-1.1097375619834999</v>
      </c>
      <c r="AE3651">
        <v>1.9966999999999999</v>
      </c>
      <c r="AF3651">
        <v>-2.1836596161036002</v>
      </c>
      <c r="AG3651">
        <v>-1.1097375619834999</v>
      </c>
      <c r="AH3651">
        <v>15.9080879552443</v>
      </c>
      <c r="AI3651">
        <v>93.953497133849297</v>
      </c>
      <c r="AJ3651">
        <v>97.815988412844604</v>
      </c>
      <c r="AK3651">
        <v>16.095563027346</v>
      </c>
      <c r="AL3651">
        <v>79.840785745197394</v>
      </c>
      <c r="AM3651">
        <v>93.854375609766507</v>
      </c>
      <c r="AN3651">
        <v>0.99999999854504096</v>
      </c>
    </row>
    <row r="3652" spans="1:40" x14ac:dyDescent="0.25">
      <c r="A3652" t="str">
        <f>"20190304155129045"</f>
        <v>20190304155129045</v>
      </c>
      <c r="B3652" t="str">
        <f>"1551685889039899"</f>
        <v>1551685889039899</v>
      </c>
      <c r="C3652" t="s">
        <v>40</v>
      </c>
      <c r="D3652">
        <v>4.9869279999999998</v>
      </c>
      <c r="E3652">
        <v>0.47204930000000001</v>
      </c>
      <c r="F3652" t="s">
        <v>70</v>
      </c>
      <c r="G3652">
        <v>-333.38499999999999</v>
      </c>
      <c r="H3652" s="1">
        <v>2.4929999999999999E-7</v>
      </c>
      <c r="I3652">
        <v>214.965</v>
      </c>
      <c r="J3652">
        <v>-349.3775</v>
      </c>
      <c r="K3652">
        <v>1.109745</v>
      </c>
      <c r="L3652">
        <v>212.9674</v>
      </c>
      <c r="M3652">
        <v>0.99987099999999995</v>
      </c>
      <c r="N3652">
        <v>-1.03E-2</v>
      </c>
      <c r="O3652">
        <v>-1.233213E-2</v>
      </c>
      <c r="P3652">
        <v>0.98452989999999996</v>
      </c>
      <c r="Q3652">
        <v>0.16686329999999999</v>
      </c>
      <c r="R3652">
        <v>5.3458940000000003E-2</v>
      </c>
      <c r="S3652">
        <v>3.061493</v>
      </c>
      <c r="T3652">
        <v>-0.20761589999999999</v>
      </c>
      <c r="U3652">
        <v>0.37287900000000002</v>
      </c>
      <c r="V3652">
        <v>-6.5589709999999996E-2</v>
      </c>
      <c r="W3652">
        <v>0.17699000000000001</v>
      </c>
      <c r="X3652">
        <v>0.98202469999999997</v>
      </c>
      <c r="Y3652">
        <v>-0.1327692</v>
      </c>
      <c r="Z3652">
        <v>5.8734210000000002E-3</v>
      </c>
      <c r="AA3652">
        <v>0.99112960000000006</v>
      </c>
      <c r="AB3652">
        <v>38</v>
      </c>
      <c r="AC3652">
        <v>15.9925</v>
      </c>
      <c r="AD3652">
        <v>-1.1097447507</v>
      </c>
      <c r="AE3652">
        <v>1.9976</v>
      </c>
      <c r="AF3652">
        <v>-2.1843237583069399</v>
      </c>
      <c r="AG3652">
        <v>-1.1097447507</v>
      </c>
      <c r="AH3652">
        <v>15.8913036509195</v>
      </c>
      <c r="AI3652">
        <v>93.957585750620694</v>
      </c>
      <c r="AJ3652">
        <v>97.826491584473601</v>
      </c>
      <c r="AK3652">
        <v>16.079065128872902</v>
      </c>
      <c r="AL3652">
        <v>79.805515245101802</v>
      </c>
      <c r="AM3652">
        <v>93.821126269120995</v>
      </c>
      <c r="AN3652">
        <v>0.99999999078398705</v>
      </c>
    </row>
    <row r="3653" spans="1:40" x14ac:dyDescent="0.25">
      <c r="A3653" t="str">
        <f>"20190304155129069"</f>
        <v>20190304155129069</v>
      </c>
      <c r="B3653" t="str">
        <f>"1551685889060398"</f>
        <v>1551685889060398</v>
      </c>
      <c r="C3653" t="s">
        <v>40</v>
      </c>
      <c r="D3653">
        <v>5.0004569999999999</v>
      </c>
      <c r="E3653">
        <v>0.47193420000000003</v>
      </c>
      <c r="F3653" t="s">
        <v>70</v>
      </c>
      <c r="G3653">
        <v>-332.76260000000002</v>
      </c>
      <c r="H3653" s="1">
        <v>-8.3076750000000003E-8</v>
      </c>
      <c r="I3653">
        <v>214.99170000000001</v>
      </c>
      <c r="J3653">
        <v>-348.98579999999998</v>
      </c>
      <c r="K3653">
        <v>1.1097490000000001</v>
      </c>
      <c r="L3653">
        <v>212.96250000000001</v>
      </c>
      <c r="M3653">
        <v>0.99987099999999995</v>
      </c>
      <c r="N3653">
        <v>-1.030505E-2</v>
      </c>
      <c r="O3653">
        <v>-1.2331440000000001E-2</v>
      </c>
      <c r="P3653">
        <v>0.98462099999999997</v>
      </c>
      <c r="Q3653">
        <v>0.16646250000000001</v>
      </c>
      <c r="R3653">
        <v>5.3027209999999998E-2</v>
      </c>
      <c r="S3653">
        <v>3.0615540000000001</v>
      </c>
      <c r="T3653">
        <v>-0.2044878</v>
      </c>
      <c r="U3653">
        <v>0.37301640000000003</v>
      </c>
      <c r="V3653">
        <v>-6.515891E-2</v>
      </c>
      <c r="W3653">
        <v>0.17659530000000001</v>
      </c>
      <c r="X3653">
        <v>0.98212440000000001</v>
      </c>
      <c r="Y3653">
        <v>-0.1328202</v>
      </c>
      <c r="Z3653">
        <v>5.795606E-3</v>
      </c>
      <c r="AA3653">
        <v>0.99112319999999998</v>
      </c>
      <c r="AB3653">
        <v>38</v>
      </c>
      <c r="AC3653">
        <v>16.223199999999899</v>
      </c>
      <c r="AD3653">
        <v>-1.10974908307674</v>
      </c>
      <c r="AE3653">
        <v>2.0291999999999999</v>
      </c>
      <c r="AF3653">
        <v>-2.2188888995643401</v>
      </c>
      <c r="AG3653">
        <v>-1.10974908307674</v>
      </c>
      <c r="AH3653">
        <v>16.122662147130601</v>
      </c>
      <c r="AI3653">
        <v>93.90089661348</v>
      </c>
      <c r="AJ3653">
        <v>97.836131703205496</v>
      </c>
      <c r="AK3653">
        <v>16.312426112829399</v>
      </c>
      <c r="AL3653">
        <v>79.828491500526994</v>
      </c>
      <c r="AM3653">
        <v>93.795718106563996</v>
      </c>
      <c r="AN3653">
        <v>0.999999960304918</v>
      </c>
    </row>
    <row r="3654" spans="1:40" x14ac:dyDescent="0.25">
      <c r="A3654" t="str">
        <f>"20190304155129090"</f>
        <v>20190304155129090</v>
      </c>
      <c r="B3654" t="str">
        <f>"1551685889079915"</f>
        <v>1551685889079915</v>
      </c>
      <c r="C3654" t="s">
        <v>40</v>
      </c>
      <c r="D3654">
        <v>4.9978949999999998</v>
      </c>
      <c r="E3654">
        <v>0.47174129999999997</v>
      </c>
      <c r="F3654" t="s">
        <v>70</v>
      </c>
      <c r="G3654">
        <v>-332.42829999999998</v>
      </c>
      <c r="H3654" s="1">
        <v>-2.6032089999999997E-7</v>
      </c>
      <c r="I3654">
        <v>214.97739999999999</v>
      </c>
      <c r="J3654">
        <v>-348.60419999999999</v>
      </c>
      <c r="K3654">
        <v>1.109748</v>
      </c>
      <c r="L3654">
        <v>212.9579</v>
      </c>
      <c r="M3654">
        <v>0.99987090000000001</v>
      </c>
      <c r="N3654">
        <v>-1.0310059999999999E-2</v>
      </c>
      <c r="O3654">
        <v>-1.2331109999999999E-2</v>
      </c>
      <c r="P3654">
        <v>0.98481370000000001</v>
      </c>
      <c r="Q3654">
        <v>0.1652293</v>
      </c>
      <c r="R3654">
        <v>5.330617E-2</v>
      </c>
      <c r="S3654">
        <v>3.061493</v>
      </c>
      <c r="T3654">
        <v>-0.2051936</v>
      </c>
      <c r="U3654">
        <v>0.37254330000000002</v>
      </c>
      <c r="V3654">
        <v>-6.5439949999999997E-2</v>
      </c>
      <c r="W3654">
        <v>0.17536879999999999</v>
      </c>
      <c r="X3654">
        <v>0.98232549999999996</v>
      </c>
      <c r="Y3654">
        <v>-0.13266929999999999</v>
      </c>
      <c r="Z3654">
        <v>5.8082289999999998E-3</v>
      </c>
      <c r="AA3654">
        <v>0.99114329999999995</v>
      </c>
      <c r="AB3654">
        <v>38</v>
      </c>
      <c r="AC3654">
        <v>16.175899999999999</v>
      </c>
      <c r="AD3654">
        <v>-1.1097482603208999</v>
      </c>
      <c r="AE3654">
        <v>2.0194999999999901</v>
      </c>
      <c r="AF3654">
        <v>-2.2085883078829802</v>
      </c>
      <c r="AG3654">
        <v>-1.1097482603208999</v>
      </c>
      <c r="AH3654">
        <v>16.075266516469</v>
      </c>
      <c r="AI3654">
        <v>93.912482991758296</v>
      </c>
      <c r="AJ3654">
        <v>97.822916859476805</v>
      </c>
      <c r="AK3654">
        <v>16.264181414707299</v>
      </c>
      <c r="AL3654">
        <v>79.899879257560997</v>
      </c>
      <c r="AM3654">
        <v>93.811263337447699</v>
      </c>
      <c r="AN3654">
        <v>0.99999999550984597</v>
      </c>
    </row>
    <row r="3655" spans="1:40" x14ac:dyDescent="0.25">
      <c r="A3655" t="str">
        <f>"20190304155129113"</f>
        <v>20190304155129113</v>
      </c>
      <c r="B3655" t="str">
        <f>"1551685889110171"</f>
        <v>1551685889110171</v>
      </c>
      <c r="C3655" t="s">
        <v>40</v>
      </c>
      <c r="D3655">
        <v>5.0045260000000003</v>
      </c>
      <c r="E3655">
        <v>0.47152620000000001</v>
      </c>
      <c r="F3655" t="s">
        <v>70</v>
      </c>
      <c r="G3655">
        <v>-332.57639999999998</v>
      </c>
      <c r="H3655" s="1">
        <v>-1.7892069999999999E-7</v>
      </c>
      <c r="I3655">
        <v>214.9177</v>
      </c>
      <c r="J3655">
        <v>-348.23500000000001</v>
      </c>
      <c r="K3655">
        <v>1.109745</v>
      </c>
      <c r="L3655">
        <v>212.95330000000001</v>
      </c>
      <c r="M3655">
        <v>0.99987090000000001</v>
      </c>
      <c r="N3655">
        <v>-1.0315080000000001E-2</v>
      </c>
      <c r="O3655">
        <v>-1.233042E-2</v>
      </c>
      <c r="P3655">
        <v>0.98495909999999998</v>
      </c>
      <c r="Q3655">
        <v>0.1641205</v>
      </c>
      <c r="R3655">
        <v>5.4038830000000003E-2</v>
      </c>
      <c r="S3655">
        <v>3.0615839999999999</v>
      </c>
      <c r="T3655">
        <v>-0.2119818</v>
      </c>
      <c r="U3655">
        <v>0.3743591</v>
      </c>
      <c r="V3655">
        <v>-6.6173960000000004E-2</v>
      </c>
      <c r="W3655">
        <v>0.17426639999999999</v>
      </c>
      <c r="X3655">
        <v>0.98247249999999997</v>
      </c>
      <c r="Y3655">
        <v>-0.13322000000000001</v>
      </c>
      <c r="Z3655">
        <v>6.0032169999999999E-3</v>
      </c>
      <c r="AA3655">
        <v>0.99106830000000001</v>
      </c>
      <c r="AB3655">
        <v>38</v>
      </c>
      <c r="AC3655">
        <v>15.6586</v>
      </c>
      <c r="AD3655">
        <v>-1.1097451789207</v>
      </c>
      <c r="AE3655">
        <v>1.9643999999999799</v>
      </c>
      <c r="AF3655">
        <v>-2.1467226451245698</v>
      </c>
      <c r="AG3655">
        <v>-1.1097451789207</v>
      </c>
      <c r="AH3655">
        <v>15.5562618989026</v>
      </c>
      <c r="AI3655">
        <v>94.042247998777597</v>
      </c>
      <c r="AJ3655">
        <v>97.857040943991905</v>
      </c>
      <c r="AK3655">
        <v>15.742847161313501</v>
      </c>
      <c r="AL3655">
        <v>79.964029963010105</v>
      </c>
      <c r="AM3655">
        <v>93.853309532544699</v>
      </c>
      <c r="AN3655">
        <v>0.99999999220364499</v>
      </c>
    </row>
    <row r="3656" spans="1:40" x14ac:dyDescent="0.25">
      <c r="A3656" t="str">
        <f>"20190304155129134"</f>
        <v>20190304155129134</v>
      </c>
      <c r="B3656" t="str">
        <f>"1551685889130667"</f>
        <v>1551685889130667</v>
      </c>
      <c r="C3656" t="s">
        <v>40</v>
      </c>
      <c r="D3656">
        <v>5.1726729999999996</v>
      </c>
      <c r="E3656">
        <v>0.47173349999999997</v>
      </c>
      <c r="F3656" t="s">
        <v>70</v>
      </c>
      <c r="G3656">
        <v>-332.52069999999998</v>
      </c>
      <c r="H3656" s="1">
        <v>-2.074486E-7</v>
      </c>
      <c r="I3656">
        <v>214.89230000000001</v>
      </c>
      <c r="J3656">
        <v>-347.86599999999999</v>
      </c>
      <c r="K3656">
        <v>1.109737</v>
      </c>
      <c r="L3656">
        <v>212.94880000000001</v>
      </c>
      <c r="M3656">
        <v>0.9998707</v>
      </c>
      <c r="N3656">
        <v>-1.0320070000000001E-2</v>
      </c>
      <c r="O3656">
        <v>-1.2329970000000001E-2</v>
      </c>
      <c r="P3656">
        <v>0.98497069999999998</v>
      </c>
      <c r="Q3656">
        <v>0.16399149999999901</v>
      </c>
      <c r="R3656">
        <v>5.421637E-2</v>
      </c>
      <c r="S3656">
        <v>3.061096</v>
      </c>
      <c r="T3656">
        <v>-0.2161758</v>
      </c>
      <c r="U3656">
        <v>0.3777161</v>
      </c>
      <c r="V3656">
        <v>-6.6350640000000002E-2</v>
      </c>
      <c r="W3656">
        <v>0.17414289999999999</v>
      </c>
      <c r="X3656">
        <v>0.98248250000000004</v>
      </c>
      <c r="Y3656">
        <v>-0.13429170000000001</v>
      </c>
      <c r="Z3656">
        <v>6.1546269999999898E-3</v>
      </c>
      <c r="AA3656">
        <v>0.99092270000000005</v>
      </c>
      <c r="AB3656">
        <v>38</v>
      </c>
      <c r="AC3656">
        <v>15.3453</v>
      </c>
      <c r="AD3656">
        <v>-1.1097372074486</v>
      </c>
      <c r="AE3656">
        <v>1.9435</v>
      </c>
      <c r="AF3656">
        <v>-2.1216486775937402</v>
      </c>
      <c r="AG3656">
        <v>-1.1097372074486</v>
      </c>
      <c r="AH3656">
        <v>15.2417152946967</v>
      </c>
      <c r="AI3656">
        <v>94.124681728954997</v>
      </c>
      <c r="AJ3656">
        <v>97.924657007106703</v>
      </c>
      <c r="AK3656">
        <v>15.4286355490472</v>
      </c>
      <c r="AL3656">
        <v>79.971216047728106</v>
      </c>
      <c r="AM3656">
        <v>93.863527285662599</v>
      </c>
      <c r="AN3656">
        <v>1.0000000099275299</v>
      </c>
    </row>
    <row r="3657" spans="1:40" x14ac:dyDescent="0.25">
      <c r="A3657" t="str">
        <f>"20190304155129158"</f>
        <v>20190304155129158</v>
      </c>
      <c r="B3657" t="str">
        <f>"1551685889150187"</f>
        <v>1551685889150187</v>
      </c>
      <c r="C3657" t="s">
        <v>40</v>
      </c>
      <c r="D3657">
        <v>4.9482460000000001</v>
      </c>
      <c r="E3657">
        <v>0.51986719999999997</v>
      </c>
      <c r="F3657" t="s">
        <v>70</v>
      </c>
      <c r="G3657">
        <v>-332.10210000000001</v>
      </c>
      <c r="H3657" s="1">
        <v>-4.2989219999999998E-7</v>
      </c>
      <c r="I3657">
        <v>214.88460000000001</v>
      </c>
      <c r="J3657">
        <v>-347.45530000000002</v>
      </c>
      <c r="K3657">
        <v>1.1097349999999999</v>
      </c>
      <c r="L3657">
        <v>212.94370000000001</v>
      </c>
      <c r="M3657">
        <v>0.99987079999999995</v>
      </c>
      <c r="N3657">
        <v>-1.0325620000000001E-2</v>
      </c>
      <c r="O3657">
        <v>-1.232952E-2</v>
      </c>
      <c r="P3657">
        <v>0.98490549999999999</v>
      </c>
      <c r="Q3657">
        <v>0.16416359999999999</v>
      </c>
      <c r="R3657">
        <v>5.4878530000000002E-2</v>
      </c>
      <c r="S3657">
        <v>3.0610050000000002</v>
      </c>
      <c r="T3657">
        <v>-0.2154865</v>
      </c>
      <c r="U3657">
        <v>0.37590030000000002</v>
      </c>
      <c r="V3657">
        <v>-6.7011420000000002E-2</v>
      </c>
      <c r="W3657">
        <v>0.17431940000000001</v>
      </c>
      <c r="X3657">
        <v>0.98240629999999995</v>
      </c>
      <c r="Y3657">
        <v>-0.1337197</v>
      </c>
      <c r="Z3657">
        <v>6.1144719999999897E-3</v>
      </c>
      <c r="AA3657">
        <v>0.9910004</v>
      </c>
      <c r="AB3657">
        <v>38</v>
      </c>
      <c r="AC3657">
        <v>15.353199999999999</v>
      </c>
      <c r="AD3657">
        <v>-1.1097354298922</v>
      </c>
      <c r="AE3657">
        <v>1.9408999999999901</v>
      </c>
      <c r="AF3657">
        <v>-2.1191627872918199</v>
      </c>
      <c r="AG3657">
        <v>-1.1097354298922</v>
      </c>
      <c r="AH3657">
        <v>15.249683130867901</v>
      </c>
      <c r="AI3657">
        <v>94.122659616009003</v>
      </c>
      <c r="AJ3657">
        <v>97.911406219544304</v>
      </c>
      <c r="AK3657">
        <v>15.4361653021493</v>
      </c>
      <c r="AL3657">
        <v>79.960945767397703</v>
      </c>
      <c r="AM3657">
        <v>93.902187247956505</v>
      </c>
      <c r="AN3657">
        <v>0.99999996095323196</v>
      </c>
    </row>
    <row r="3658" spans="1:40" x14ac:dyDescent="0.25">
      <c r="A3658" t="str">
        <f>"20190304155129180"</f>
        <v>20190304155129180</v>
      </c>
      <c r="B3658" t="str">
        <f>"1551685889170683"</f>
        <v>1551685889170683</v>
      </c>
      <c r="C3658" t="s">
        <v>40</v>
      </c>
      <c r="D3658">
        <v>4.9388540000000001</v>
      </c>
      <c r="E3658">
        <v>0.52404620000000002</v>
      </c>
      <c r="F3658" t="s">
        <v>72</v>
      </c>
      <c r="G3658">
        <v>-316.79410000000001</v>
      </c>
      <c r="H3658" s="1">
        <v>3.9185370000000002E-6</v>
      </c>
      <c r="I3658">
        <v>212.8973</v>
      </c>
      <c r="J3658">
        <v>-347.09129999999999</v>
      </c>
      <c r="K3658">
        <v>1.1097410000000001</v>
      </c>
      <c r="L3658">
        <v>212.9393</v>
      </c>
      <c r="M3658">
        <v>0.9998707</v>
      </c>
      <c r="N3658">
        <v>-1.0330509999999999E-2</v>
      </c>
      <c r="O3658">
        <v>-1.2329069999999999E-2</v>
      </c>
      <c r="P3658">
        <v>0.98494150000000003</v>
      </c>
      <c r="Q3658">
        <v>0.163824</v>
      </c>
      <c r="R3658">
        <v>5.5246410000000003E-2</v>
      </c>
      <c r="S3658">
        <v>3.0646969999999998</v>
      </c>
      <c r="T3658">
        <v>-0.11092150000000001</v>
      </c>
      <c r="U3658">
        <v>-4.6386719999999999E-3</v>
      </c>
      <c r="V3658">
        <v>-6.7379910000000001E-2</v>
      </c>
      <c r="W3658">
        <v>0.17398520000000001</v>
      </c>
      <c r="X3658">
        <v>0.98244039999999999</v>
      </c>
      <c r="Y3658">
        <v>-1.080303E-2</v>
      </c>
      <c r="Z3658">
        <v>5.6999199999999996E-4</v>
      </c>
      <c r="AA3658">
        <v>0.99994150000000004</v>
      </c>
      <c r="AB3658">
        <v>38</v>
      </c>
      <c r="AC3658">
        <v>30.297199999999901</v>
      </c>
      <c r="AD3658">
        <v>-1.1097370814630001</v>
      </c>
      <c r="AE3658">
        <v>-4.2000000000001501E-2</v>
      </c>
      <c r="AF3658">
        <v>-0.33111516334344299</v>
      </c>
      <c r="AG3658">
        <v>-1.1097370814630001</v>
      </c>
      <c r="AH3658">
        <v>30.254823907817901</v>
      </c>
      <c r="AI3658">
        <v>92.100523109372105</v>
      </c>
      <c r="AJ3658">
        <v>90.627032041656904</v>
      </c>
      <c r="AK3658">
        <v>30.2769800894085</v>
      </c>
      <c r="AL3658">
        <v>79.980391774256802</v>
      </c>
      <c r="AM3658">
        <v>93.923442440071398</v>
      </c>
      <c r="AN3658">
        <v>1.0000000208213999</v>
      </c>
    </row>
    <row r="3659" spans="1:40" x14ac:dyDescent="0.25">
      <c r="A3659" t="str">
        <f>"20190304155129202"</f>
        <v>20190304155129202</v>
      </c>
      <c r="B3659" t="str">
        <f>"1551685889199963"</f>
        <v>1551685889199963</v>
      </c>
      <c r="C3659" t="s">
        <v>40</v>
      </c>
      <c r="D3659">
        <v>5.2952450000000004</v>
      </c>
      <c r="E3659">
        <v>0.52595479999999994</v>
      </c>
      <c r="F3659" t="s">
        <v>72</v>
      </c>
      <c r="G3659">
        <v>-315.31099999999998</v>
      </c>
      <c r="H3659" s="1">
        <v>3.2608549999999998E-6</v>
      </c>
      <c r="I3659">
        <v>212.55539999999999</v>
      </c>
      <c r="J3659">
        <v>-346.70699999999999</v>
      </c>
      <c r="K3659">
        <v>1.1097379999999999</v>
      </c>
      <c r="L3659">
        <v>212.93450000000001</v>
      </c>
      <c r="M3659">
        <v>0.99987079999999995</v>
      </c>
      <c r="N3659">
        <v>-1.033561E-2</v>
      </c>
      <c r="O3659">
        <v>-1.2328499999999999E-2</v>
      </c>
      <c r="P3659">
        <v>0.98498569999999996</v>
      </c>
      <c r="Q3659">
        <v>0.16340969999999999</v>
      </c>
      <c r="R3659">
        <v>5.5687279999999999E-2</v>
      </c>
      <c r="S3659">
        <v>3.0657040000000002</v>
      </c>
      <c r="T3659">
        <v>-0.1070514</v>
      </c>
      <c r="U3659">
        <v>-3.7033080000000003E-2</v>
      </c>
      <c r="V3659">
        <v>-6.7820530000000004E-2</v>
      </c>
      <c r="W3659">
        <v>0.1735766</v>
      </c>
      <c r="X3659">
        <v>0.98248230000000003</v>
      </c>
      <c r="Y3659">
        <v>-2.4634100000000002E-4</v>
      </c>
      <c r="Z3659">
        <v>3.0851039999999999E-4</v>
      </c>
      <c r="AA3659">
        <v>0.99999990000000005</v>
      </c>
      <c r="AB3659">
        <v>38</v>
      </c>
      <c r="AC3659">
        <v>31.396000000000001</v>
      </c>
      <c r="AD3659">
        <v>-1.1097347391450001</v>
      </c>
      <c r="AE3659">
        <v>-0.37910000000002197</v>
      </c>
      <c r="AF3659">
        <v>-8.0049923861599207E-3</v>
      </c>
      <c r="AG3659">
        <v>-1.1097347391450001</v>
      </c>
      <c r="AH3659">
        <v>31.3591143660787</v>
      </c>
      <c r="AI3659">
        <v>92.0267343071949</v>
      </c>
      <c r="AJ3659">
        <v>90.014625804269997</v>
      </c>
      <c r="AK3659">
        <v>31.378744861704899</v>
      </c>
      <c r="AL3659">
        <v>80.004163985004894</v>
      </c>
      <c r="AM3659">
        <v>93.948850360588906</v>
      </c>
      <c r="AN3659">
        <v>0.99999996508516398</v>
      </c>
    </row>
    <row r="3660" spans="1:40" x14ac:dyDescent="0.25">
      <c r="A3660" t="str">
        <f>"20190304155129223"</f>
        <v>20190304155129223</v>
      </c>
      <c r="B3660" t="str">
        <f>"1551685889220460"</f>
        <v>1551685889220460</v>
      </c>
      <c r="C3660" t="s">
        <v>40</v>
      </c>
      <c r="D3660">
        <v>4.8820860000000001</v>
      </c>
      <c r="E3660">
        <v>0.52649299999999999</v>
      </c>
      <c r="F3660" t="s">
        <v>72</v>
      </c>
      <c r="G3660">
        <v>-316.07909999999998</v>
      </c>
      <c r="H3660" s="1">
        <v>3.601478E-6</v>
      </c>
      <c r="I3660">
        <v>212.4152</v>
      </c>
      <c r="J3660">
        <v>-346.34739999999999</v>
      </c>
      <c r="K3660">
        <v>1.109734</v>
      </c>
      <c r="L3660">
        <v>212.93010000000001</v>
      </c>
      <c r="M3660">
        <v>0.99987060000000005</v>
      </c>
      <c r="N3660">
        <v>-1.034039E-2</v>
      </c>
      <c r="O3660">
        <v>-1.2327930000000001E-2</v>
      </c>
      <c r="P3660">
        <v>0.98509380000000002</v>
      </c>
      <c r="Q3660">
        <v>0.16268489999999999</v>
      </c>
      <c r="R3660">
        <v>5.5892259999999999E-2</v>
      </c>
      <c r="S3660">
        <v>3.0671080000000002</v>
      </c>
      <c r="T3660">
        <v>-0.11113000000000001</v>
      </c>
      <c r="U3660">
        <v>-5.2001949999999998E-2</v>
      </c>
      <c r="V3660">
        <v>-6.8026039999999996E-2</v>
      </c>
      <c r="W3660">
        <v>0.17285710000000001</v>
      </c>
      <c r="X3660">
        <v>0.982595</v>
      </c>
      <c r="Y3660">
        <v>4.624408E-3</v>
      </c>
      <c r="Z3660">
        <v>2.1136559999999999E-4</v>
      </c>
      <c r="AA3660">
        <v>0.99998929999999997</v>
      </c>
      <c r="AB3660">
        <v>38</v>
      </c>
      <c r="AC3660">
        <v>30.2683</v>
      </c>
      <c r="AD3660">
        <v>-1.109730398522</v>
      </c>
      <c r="AE3660">
        <v>-0.51490000000001102</v>
      </c>
      <c r="AF3660">
        <v>0.14150530122725799</v>
      </c>
      <c r="AG3660">
        <v>-1.109730398522</v>
      </c>
      <c r="AH3660">
        <v>30.2317223428308</v>
      </c>
      <c r="AI3660">
        <v>92.102216903022196</v>
      </c>
      <c r="AJ3660">
        <v>89.731818212734595</v>
      </c>
      <c r="AK3660">
        <v>30.252414137084902</v>
      </c>
      <c r="AL3660">
        <v>80.046021642345394</v>
      </c>
      <c r="AM3660">
        <v>93.960325311861894</v>
      </c>
      <c r="AN3660">
        <v>1.0000000265817399</v>
      </c>
    </row>
    <row r="3661" spans="1:40" x14ac:dyDescent="0.25">
      <c r="A3661" t="str">
        <f>"20190304155129246"</f>
        <v>20190304155129246</v>
      </c>
      <c r="B3661" t="str">
        <f>"1551685889239980"</f>
        <v>1551685889239980</v>
      </c>
      <c r="C3661" t="s">
        <v>40</v>
      </c>
      <c r="D3661">
        <v>4.9757400000000001</v>
      </c>
      <c r="E3661">
        <v>0.52726790000000001</v>
      </c>
      <c r="F3661" t="s">
        <v>72</v>
      </c>
      <c r="G3661">
        <v>-316.94639999999998</v>
      </c>
      <c r="H3661" s="1">
        <v>3.9860870000000001E-6</v>
      </c>
      <c r="I3661">
        <v>212.3871</v>
      </c>
      <c r="J3661">
        <v>-345.95800000000003</v>
      </c>
      <c r="K3661">
        <v>1.109728</v>
      </c>
      <c r="L3661">
        <v>212.92529999999999</v>
      </c>
      <c r="M3661">
        <v>0.9998707</v>
      </c>
      <c r="N3661">
        <v>-1.034557E-2</v>
      </c>
      <c r="O3661">
        <v>-1.2327360000000001E-2</v>
      </c>
      <c r="P3661">
        <v>0.98511029999999999</v>
      </c>
      <c r="Q3661">
        <v>0.16257240000000001</v>
      </c>
      <c r="R3661">
        <v>5.5929630000000001E-2</v>
      </c>
      <c r="S3661">
        <v>3.0677490000000001</v>
      </c>
      <c r="T3661">
        <v>-0.1157908</v>
      </c>
      <c r="U3661">
        <v>-5.6655879999999999E-2</v>
      </c>
      <c r="V3661">
        <v>-6.8063419999999999E-2</v>
      </c>
      <c r="W3661">
        <v>0.17274999999999999</v>
      </c>
      <c r="X3661">
        <v>0.98261120000000002</v>
      </c>
      <c r="Y3661">
        <v>6.136819E-3</v>
      </c>
      <c r="Z3661">
        <v>1.9003720000000001E-4</v>
      </c>
      <c r="AA3661">
        <v>0.99998120000000001</v>
      </c>
      <c r="AB3661">
        <v>38</v>
      </c>
      <c r="AC3661">
        <v>29.011600000000001</v>
      </c>
      <c r="AD3661">
        <v>-1.109724013913</v>
      </c>
      <c r="AE3661">
        <v>-0.53819999999998902</v>
      </c>
      <c r="AF3661">
        <v>0.180239970197209</v>
      </c>
      <c r="AG3661">
        <v>-1.109724013913</v>
      </c>
      <c r="AH3661">
        <v>28.973652267617599</v>
      </c>
      <c r="AI3661">
        <v>92.193379328321598</v>
      </c>
      <c r="AJ3661">
        <v>89.643577679262506</v>
      </c>
      <c r="AK3661">
        <v>28.995456533028399</v>
      </c>
      <c r="AL3661">
        <v>80.052251285871293</v>
      </c>
      <c r="AM3661">
        <v>93.962429441886499</v>
      </c>
      <c r="AN3661">
        <v>0.99999998100376797</v>
      </c>
    </row>
    <row r="3662" spans="1:40" x14ac:dyDescent="0.25">
      <c r="A3662" t="str">
        <f>"20190304155129270"</f>
        <v>20190304155129270</v>
      </c>
      <c r="B3662" t="str">
        <f>"1551685889260475"</f>
        <v>1551685889260475</v>
      </c>
      <c r="C3662" t="s">
        <v>40</v>
      </c>
      <c r="D3662">
        <v>4.9353939999999996</v>
      </c>
      <c r="E3662">
        <v>0.52754809999999996</v>
      </c>
      <c r="F3662" t="s">
        <v>72</v>
      </c>
      <c r="G3662">
        <v>-315.55149999999998</v>
      </c>
      <c r="H3662" s="1">
        <v>3.3675170000000002E-6</v>
      </c>
      <c r="I3662">
        <v>212.29929999999999</v>
      </c>
      <c r="J3662">
        <v>-345.56079999999997</v>
      </c>
      <c r="K3662">
        <v>1.1097239999999999</v>
      </c>
      <c r="L3662">
        <v>212.9204</v>
      </c>
      <c r="M3662">
        <v>0.9998705</v>
      </c>
      <c r="N3662">
        <v>-1.035084E-2</v>
      </c>
      <c r="O3662">
        <v>-1.232691E-2</v>
      </c>
      <c r="P3662">
        <v>0.98518969999999995</v>
      </c>
      <c r="Q3662">
        <v>0.16231999999999999</v>
      </c>
      <c r="R3662">
        <v>5.5258620000000001E-2</v>
      </c>
      <c r="S3662">
        <v>3.0674130000000002</v>
      </c>
      <c r="T3662">
        <v>-0.1119492</v>
      </c>
      <c r="U3662">
        <v>-6.3156130000000005E-2</v>
      </c>
      <c r="V3662">
        <v>-6.7393060000000005E-2</v>
      </c>
      <c r="W3662">
        <v>0.1725035</v>
      </c>
      <c r="X3662">
        <v>0.98270069999999998</v>
      </c>
      <c r="Y3662">
        <v>8.2556539999999994E-3</v>
      </c>
      <c r="Z3662">
        <v>1.2877179999999999E-4</v>
      </c>
      <c r="AA3662">
        <v>0.99996589999999996</v>
      </c>
      <c r="AB3662">
        <v>38</v>
      </c>
      <c r="AC3662">
        <v>30.0093</v>
      </c>
      <c r="AD3662">
        <v>-1.109720632483</v>
      </c>
      <c r="AE3662">
        <v>-0.62110000000001198</v>
      </c>
      <c r="AF3662">
        <v>0.25076829637780901</v>
      </c>
      <c r="AG3662">
        <v>-1.109720632483</v>
      </c>
      <c r="AH3662">
        <v>29.973705941307799</v>
      </c>
      <c r="AI3662">
        <v>92.1202269616401</v>
      </c>
      <c r="AJ3662">
        <v>89.520658879024893</v>
      </c>
      <c r="AK3662">
        <v>29.995289838183201</v>
      </c>
      <c r="AL3662">
        <v>80.066589886708698</v>
      </c>
      <c r="AM3662">
        <v>93.923169548725497</v>
      </c>
      <c r="AN3662">
        <v>0.99999997391445095</v>
      </c>
    </row>
    <row r="3663" spans="1:40" x14ac:dyDescent="0.25">
      <c r="A3663" t="str">
        <f>"20190304155129290"</f>
        <v>20190304155129290</v>
      </c>
      <c r="B3663" t="str">
        <f>"1551685889279995"</f>
        <v>1551685889279995</v>
      </c>
      <c r="C3663" t="s">
        <v>40</v>
      </c>
      <c r="D3663">
        <v>4.9330850000000002</v>
      </c>
      <c r="E3663">
        <v>0.5281034</v>
      </c>
      <c r="F3663" t="s">
        <v>72</v>
      </c>
      <c r="G3663">
        <v>-315.13299999999998</v>
      </c>
      <c r="H3663" s="1">
        <v>3.1819349999999999E-6</v>
      </c>
      <c r="I3663">
        <v>212.24789999999999</v>
      </c>
      <c r="J3663">
        <v>-345.1995</v>
      </c>
      <c r="K3663">
        <v>1.109718</v>
      </c>
      <c r="L3663">
        <v>212.916</v>
      </c>
      <c r="M3663">
        <v>0.9998705</v>
      </c>
      <c r="N3663">
        <v>-1.0355649999999999E-2</v>
      </c>
      <c r="O3663">
        <v>-1.232657E-2</v>
      </c>
      <c r="P3663">
        <v>0.98534520000000003</v>
      </c>
      <c r="Q3663">
        <v>0.161722</v>
      </c>
      <c r="R3663">
        <v>5.423335E-2</v>
      </c>
      <c r="S3663">
        <v>3.0673520000000001</v>
      </c>
      <c r="T3663">
        <v>-0.11186840000000001</v>
      </c>
      <c r="U3663">
        <v>-6.7794800000000002E-2</v>
      </c>
      <c r="V3663">
        <v>-6.6369090000000006E-2</v>
      </c>
      <c r="W3663">
        <v>0.17191210000000001</v>
      </c>
      <c r="X3663">
        <v>0.98287400000000003</v>
      </c>
      <c r="Y3663">
        <v>9.7666230000000003E-3</v>
      </c>
      <c r="Z3663" s="1">
        <v>9.3100749999999998E-5</v>
      </c>
      <c r="AA3663">
        <v>0.99995230000000002</v>
      </c>
      <c r="AB3663">
        <v>38</v>
      </c>
      <c r="AC3663">
        <v>30.066500000000001</v>
      </c>
      <c r="AD3663">
        <v>-1.1097148180650001</v>
      </c>
      <c r="AE3663">
        <v>-0.66810000000000902</v>
      </c>
      <c r="AF3663">
        <v>0.29700818202102802</v>
      </c>
      <c r="AG3663">
        <v>-1.1097148180650001</v>
      </c>
      <c r="AH3663">
        <v>30.031560950851599</v>
      </c>
      <c r="AI3663">
        <v>92.116105639247294</v>
      </c>
      <c r="AJ3663">
        <v>89.433370761089293</v>
      </c>
      <c r="AK3663">
        <v>30.053524485196899</v>
      </c>
      <c r="AL3663">
        <v>80.100988396786093</v>
      </c>
      <c r="AM3663">
        <v>93.8630636631692</v>
      </c>
      <c r="AN3663">
        <v>0.99999996305491801</v>
      </c>
    </row>
    <row r="3664" spans="1:40" x14ac:dyDescent="0.25">
      <c r="A3664" t="str">
        <f>"20190304155129314"</f>
        <v>20190304155129314</v>
      </c>
      <c r="B3664" t="str">
        <f>"1551685889310251"</f>
        <v>1551685889310251</v>
      </c>
      <c r="C3664" t="s">
        <v>40</v>
      </c>
      <c r="D3664">
        <v>5.2502940000000002</v>
      </c>
      <c r="E3664">
        <v>0.54436549999999995</v>
      </c>
      <c r="F3664" t="s">
        <v>72</v>
      </c>
      <c r="G3664">
        <v>-315.87369999999999</v>
      </c>
      <c r="H3664" s="1">
        <v>3.5103819999999998E-6</v>
      </c>
      <c r="I3664">
        <v>212.19980000000001</v>
      </c>
      <c r="J3664">
        <v>-344.80709999999999</v>
      </c>
      <c r="K3664">
        <v>1.109707</v>
      </c>
      <c r="L3664">
        <v>212.9111</v>
      </c>
      <c r="M3664">
        <v>0.99987040000000005</v>
      </c>
      <c r="N3664">
        <v>-1.0360879999999999E-2</v>
      </c>
      <c r="O3664">
        <v>-1.2326E-2</v>
      </c>
      <c r="P3664">
        <v>0.98563500000000004</v>
      </c>
      <c r="Q3664">
        <v>0.16009309999999999</v>
      </c>
      <c r="R3664">
        <v>5.3794439999999999E-2</v>
      </c>
      <c r="S3664">
        <v>3.0678100000000001</v>
      </c>
      <c r="T3664">
        <v>-0.1160887</v>
      </c>
      <c r="U3664">
        <v>-7.4920650000000005E-2</v>
      </c>
      <c r="V3664">
        <v>-6.5933770000000003E-2</v>
      </c>
      <c r="W3664">
        <v>0.17029179999999999</v>
      </c>
      <c r="X3664">
        <v>0.98318539999999999</v>
      </c>
      <c r="Y3664">
        <v>1.208306E-2</v>
      </c>
      <c r="Z3664" s="1">
        <v>4.736183E-5</v>
      </c>
      <c r="AA3664">
        <v>0.99992700000000001</v>
      </c>
      <c r="AB3664">
        <v>38</v>
      </c>
      <c r="AC3664">
        <v>28.933399999999999</v>
      </c>
      <c r="AD3664">
        <v>-1.109703489618</v>
      </c>
      <c r="AE3664">
        <v>-0.71129999999999405</v>
      </c>
      <c r="AF3664">
        <v>0.35407321339238901</v>
      </c>
      <c r="AG3664">
        <v>-1.109703489618</v>
      </c>
      <c r="AH3664">
        <v>28.897486953238001</v>
      </c>
      <c r="AI3664">
        <v>92.198991742600001</v>
      </c>
      <c r="AJ3664">
        <v>89.298005197834797</v>
      </c>
      <c r="AK3664">
        <v>28.920953682198501</v>
      </c>
      <c r="AL3664">
        <v>80.195215092499495</v>
      </c>
      <c r="AM3664">
        <v>93.836589599487596</v>
      </c>
      <c r="AN3664">
        <v>1.0000000449733999</v>
      </c>
    </row>
    <row r="3665" spans="1:40" x14ac:dyDescent="0.25">
      <c r="A3665" t="str">
        <f>"20190304155129337"</f>
        <v>20190304155129337</v>
      </c>
      <c r="B3665" t="str">
        <f>"1551685889330748"</f>
        <v>1551685889330748</v>
      </c>
      <c r="C3665" t="s">
        <v>40</v>
      </c>
      <c r="D3665">
        <v>4.9707980000000003</v>
      </c>
      <c r="E3665">
        <v>0.52913489999999996</v>
      </c>
      <c r="F3665" t="s">
        <v>51</v>
      </c>
      <c r="G3665">
        <v>-343.83260000000001</v>
      </c>
      <c r="H3665">
        <v>1.050797</v>
      </c>
      <c r="I3665">
        <v>212.84540000000001</v>
      </c>
      <c r="J3665">
        <v>-344.40570000000002</v>
      </c>
      <c r="K3665">
        <v>1.109701</v>
      </c>
      <c r="L3665">
        <v>212.90620000000001</v>
      </c>
      <c r="M3665">
        <v>0.99987040000000005</v>
      </c>
      <c r="N3665">
        <v>-1.036626E-2</v>
      </c>
      <c r="O3665">
        <v>-1.232567E-2</v>
      </c>
      <c r="P3665">
        <v>0.98591530000000005</v>
      </c>
      <c r="Q3665">
        <v>0.15830329999999901</v>
      </c>
      <c r="R3665">
        <v>5.3956789999999998E-2</v>
      </c>
      <c r="S3665">
        <v>3.0853579999999998</v>
      </c>
      <c r="T3665">
        <v>-0.18661359999999999</v>
      </c>
      <c r="U3665">
        <v>-0.20709230000000001</v>
      </c>
      <c r="V3665">
        <v>-6.6099160000000004E-2</v>
      </c>
      <c r="W3665">
        <v>0.1685102</v>
      </c>
      <c r="X3665">
        <v>0.98348120000000006</v>
      </c>
      <c r="Y3665">
        <v>5.4565599999999902E-2</v>
      </c>
      <c r="Z3665">
        <v>-1.3139110000000001E-3</v>
      </c>
      <c r="AA3665">
        <v>0.99850930000000004</v>
      </c>
      <c r="AB3665">
        <v>38</v>
      </c>
      <c r="AC3665">
        <v>0.57310000000001005</v>
      </c>
      <c r="AD3665">
        <v>-5.8903999999999998E-2</v>
      </c>
      <c r="AE3665">
        <v>-6.0800000000000402E-2</v>
      </c>
      <c r="AF3665">
        <v>5.3175664479082098E-2</v>
      </c>
      <c r="AG3665">
        <v>-5.8903999999999998E-2</v>
      </c>
      <c r="AH3665">
        <v>0.56787364671917195</v>
      </c>
      <c r="AI3665">
        <v>95.896346735041007</v>
      </c>
      <c r="AJ3665">
        <v>84.650425026373398</v>
      </c>
      <c r="AK3665">
        <v>0.57339149901871</v>
      </c>
      <c r="AL3665">
        <v>80.298790052928595</v>
      </c>
      <c r="AM3665">
        <v>93.845031212153501</v>
      </c>
      <c r="AN3665">
        <v>1.0000000286050901</v>
      </c>
    </row>
    <row r="3666" spans="1:40" x14ac:dyDescent="0.25">
      <c r="A3666" t="str">
        <f>"20190304155129361"</f>
        <v>20190304155129361</v>
      </c>
      <c r="B3666" t="str">
        <f>"1551685889350267"</f>
        <v>1551685889350267</v>
      </c>
      <c r="C3666" t="s">
        <v>40</v>
      </c>
      <c r="D3666">
        <v>4.9607640000000002</v>
      </c>
      <c r="E3666">
        <v>0.52899560000000001</v>
      </c>
      <c r="F3666" t="s">
        <v>72</v>
      </c>
      <c r="G3666">
        <v>-311.87119999999999</v>
      </c>
      <c r="H3666" s="1">
        <v>1.735449E-6</v>
      </c>
      <c r="I3666">
        <v>212.01679999999999</v>
      </c>
      <c r="J3666">
        <v>-344.00909999999999</v>
      </c>
      <c r="K3666">
        <v>1.109694</v>
      </c>
      <c r="L3666">
        <v>212.90129999999999</v>
      </c>
      <c r="M3666">
        <v>0.99987029999999999</v>
      </c>
      <c r="N3666">
        <v>-1.037158E-2</v>
      </c>
      <c r="O3666">
        <v>-1.2324989999999999E-2</v>
      </c>
      <c r="P3666">
        <v>0.98608980000000002</v>
      </c>
      <c r="Q3666">
        <v>0.1569043</v>
      </c>
      <c r="R3666">
        <v>5.4848460000000002E-2</v>
      </c>
      <c r="S3666">
        <v>3.06427</v>
      </c>
      <c r="T3666">
        <v>-0.1045175</v>
      </c>
      <c r="U3666">
        <v>-8.3770750000000005E-2</v>
      </c>
      <c r="V3666">
        <v>-6.6992200000000002E-2</v>
      </c>
      <c r="W3666">
        <v>0.1671183</v>
      </c>
      <c r="X3666">
        <v>0.98365829999999999</v>
      </c>
      <c r="Y3666">
        <v>1.499668E-2</v>
      </c>
      <c r="Z3666" s="1">
        <v>-4.108185E-5</v>
      </c>
      <c r="AA3666">
        <v>0.99988750000000004</v>
      </c>
      <c r="AB3666">
        <v>38</v>
      </c>
      <c r="AC3666">
        <v>32.137900000000002</v>
      </c>
      <c r="AD3666">
        <v>-1.1096922645509999</v>
      </c>
      <c r="AE3666">
        <v>-0.88450000000000195</v>
      </c>
      <c r="AF3666">
        <v>0.48773116520189103</v>
      </c>
      <c r="AG3666">
        <v>-1.1096922645509999</v>
      </c>
      <c r="AH3666">
        <v>32.108108560157497</v>
      </c>
      <c r="AI3666">
        <v>91.979190421506601</v>
      </c>
      <c r="AJ3666">
        <v>89.129727988585799</v>
      </c>
      <c r="AK3666">
        <v>32.1309809050762</v>
      </c>
      <c r="AL3666">
        <v>80.3796876508449</v>
      </c>
      <c r="AM3666">
        <v>93.896121510651497</v>
      </c>
      <c r="AN3666">
        <v>1.0000000661073001</v>
      </c>
    </row>
    <row r="3667" spans="1:40" x14ac:dyDescent="0.25">
      <c r="A3667" t="str">
        <f>"20190304155129383"</f>
        <v>20190304155129383</v>
      </c>
      <c r="B3667" t="str">
        <f>"1551685889380524"</f>
        <v>1551685889380524</v>
      </c>
      <c r="C3667" t="s">
        <v>40</v>
      </c>
      <c r="D3667">
        <v>4.9271240000000001</v>
      </c>
      <c r="E3667">
        <v>0.52888930000000001</v>
      </c>
      <c r="F3667" t="s">
        <v>72</v>
      </c>
      <c r="G3667">
        <v>-311.80900000000003</v>
      </c>
      <c r="H3667" s="1">
        <v>1.707871E-6</v>
      </c>
      <c r="I3667">
        <v>212.05959999999999</v>
      </c>
      <c r="J3667">
        <v>-343.61900000000003</v>
      </c>
      <c r="K3667">
        <v>1.1096919999999999</v>
      </c>
      <c r="L3667">
        <v>212.8965</v>
      </c>
      <c r="M3667">
        <v>0.99987029999999999</v>
      </c>
      <c r="N3667">
        <v>-1.037683E-2</v>
      </c>
      <c r="O3667">
        <v>-1.2324659999999999E-2</v>
      </c>
      <c r="P3667">
        <v>0.98622330000000002</v>
      </c>
      <c r="Q3667">
        <v>0.155639</v>
      </c>
      <c r="R3667">
        <v>5.6039869999999999E-2</v>
      </c>
      <c r="S3667">
        <v>3.0635680000000001</v>
      </c>
      <c r="T3667">
        <v>-0.10557809999999999</v>
      </c>
      <c r="U3667">
        <v>-8.0078129999999997E-2</v>
      </c>
      <c r="V3667">
        <v>-6.8185090000000004E-2</v>
      </c>
      <c r="W3667">
        <v>0.16585910000000001</v>
      </c>
      <c r="X3667">
        <v>0.98378940000000004</v>
      </c>
      <c r="Y3667">
        <v>1.379974E-2</v>
      </c>
      <c r="Z3667" s="1">
        <v>-1.2655230000000001E-5</v>
      </c>
      <c r="AA3667">
        <v>0.99990480000000004</v>
      </c>
      <c r="AB3667">
        <v>38</v>
      </c>
      <c r="AC3667">
        <v>31.81</v>
      </c>
      <c r="AD3667">
        <v>-1.1096902921289999</v>
      </c>
      <c r="AE3667">
        <v>-0.83690000000001397</v>
      </c>
      <c r="AF3667">
        <v>0.44422768995516698</v>
      </c>
      <c r="AG3667">
        <v>-1.1096902921289999</v>
      </c>
      <c r="AH3667">
        <v>31.779251464373601</v>
      </c>
      <c r="AI3667">
        <v>91.999686629682103</v>
      </c>
      <c r="AJ3667">
        <v>89.199140539708793</v>
      </c>
      <c r="AK3667">
        <v>31.8017228215841</v>
      </c>
      <c r="AL3667">
        <v>80.452855189253597</v>
      </c>
      <c r="AM3667">
        <v>93.964751300423401</v>
      </c>
      <c r="AN3667">
        <v>1.0000000155517299</v>
      </c>
    </row>
    <row r="3668" spans="1:40" x14ac:dyDescent="0.25">
      <c r="A3668" t="str">
        <f>"20190304155129403"</f>
        <v>20190304155129403</v>
      </c>
      <c r="B3668" t="str">
        <f>"1551685889400044"</f>
        <v>1551685889400044</v>
      </c>
      <c r="C3668" t="s">
        <v>40</v>
      </c>
      <c r="D3668">
        <v>4.97105</v>
      </c>
      <c r="E3668">
        <v>0.52899499999999999</v>
      </c>
      <c r="F3668" t="s">
        <v>72</v>
      </c>
      <c r="G3668">
        <v>-314.77629999999999</v>
      </c>
      <c r="H3668" s="1">
        <v>3.0237369999999999E-6</v>
      </c>
      <c r="I3668">
        <v>212.18190000000001</v>
      </c>
      <c r="J3668">
        <v>-343.25959999999998</v>
      </c>
      <c r="K3668">
        <v>1.1096919999999999</v>
      </c>
      <c r="L3668">
        <v>212.8921</v>
      </c>
      <c r="M3668">
        <v>0.99987020000000004</v>
      </c>
      <c r="N3668">
        <v>-1.0381680000000001E-2</v>
      </c>
      <c r="O3668">
        <v>-1.231905E-2</v>
      </c>
      <c r="P3668">
        <v>0.98628649999999995</v>
      </c>
      <c r="Q3668">
        <v>0.15498999999999999</v>
      </c>
      <c r="R3668">
        <v>5.6719199999999997E-2</v>
      </c>
      <c r="S3668">
        <v>3.064819</v>
      </c>
      <c r="T3668">
        <v>-0.1179153</v>
      </c>
      <c r="U3668">
        <v>-7.5927729999999999E-2</v>
      </c>
      <c r="V3668">
        <v>-6.8860169999999998E-2</v>
      </c>
      <c r="W3668">
        <v>0.16521540000000001</v>
      </c>
      <c r="X3668">
        <v>0.98385069999999997</v>
      </c>
      <c r="Y3668">
        <v>1.244173E-2</v>
      </c>
      <c r="Z3668" s="1">
        <v>4.1996680000000003E-5</v>
      </c>
      <c r="AA3668">
        <v>0.99992259999999999</v>
      </c>
      <c r="AB3668">
        <v>38</v>
      </c>
      <c r="AC3668">
        <v>28.4832999999999</v>
      </c>
      <c r="AD3668">
        <v>-1.109688976263</v>
      </c>
      <c r="AE3668">
        <v>-0.71019999999998595</v>
      </c>
      <c r="AF3668">
        <v>0.35869588746033798</v>
      </c>
      <c r="AG3668">
        <v>-1.109688976263</v>
      </c>
      <c r="AH3668">
        <v>28.446737481515299</v>
      </c>
      <c r="AI3668">
        <v>92.233761510405103</v>
      </c>
      <c r="AJ3668">
        <v>89.277573697955802</v>
      </c>
      <c r="AK3668">
        <v>28.470633040134</v>
      </c>
      <c r="AL3668">
        <v>80.490252529203204</v>
      </c>
      <c r="AM3668">
        <v>94.003629405838893</v>
      </c>
      <c r="AN3668">
        <v>1.0000000256500301</v>
      </c>
    </row>
    <row r="3669" spans="1:40" x14ac:dyDescent="0.25">
      <c r="A3669" t="str">
        <f>"20190304155129425"</f>
        <v>20190304155129425</v>
      </c>
      <c r="B3669" t="str">
        <f>"1551685889420539"</f>
        <v>1551685889420539</v>
      </c>
      <c r="C3669" t="s">
        <v>40</v>
      </c>
      <c r="D3669">
        <v>5.2681259999999996</v>
      </c>
      <c r="E3669">
        <v>0.52923759999999997</v>
      </c>
      <c r="F3669" t="s">
        <v>72</v>
      </c>
      <c r="G3669">
        <v>-314.35430000000002</v>
      </c>
      <c r="H3669" s="1">
        <v>2.8365930000000001E-6</v>
      </c>
      <c r="I3669">
        <v>212.18989999999999</v>
      </c>
      <c r="J3669">
        <v>-342.88659999999999</v>
      </c>
      <c r="K3669">
        <v>1.1096999999999999</v>
      </c>
      <c r="L3669">
        <v>212.88749999999999</v>
      </c>
      <c r="M3669">
        <v>0.9998705</v>
      </c>
      <c r="N3669">
        <v>-1.03867E-2</v>
      </c>
      <c r="O3669">
        <v>-1.2297270000000001E-2</v>
      </c>
      <c r="P3669">
        <v>0.98629529999999999</v>
      </c>
      <c r="Q3669">
        <v>0.15478349999999999</v>
      </c>
      <c r="R3669">
        <v>5.7127989999999997E-2</v>
      </c>
      <c r="S3669">
        <v>3.0644840000000002</v>
      </c>
      <c r="T3669">
        <v>-0.1176471</v>
      </c>
      <c r="U3669">
        <v>-7.4447630000000001E-2</v>
      </c>
      <c r="V3669">
        <v>-6.9251439999999997E-2</v>
      </c>
      <c r="W3669">
        <v>0.16501270000000001</v>
      </c>
      <c r="X3669">
        <v>0.98385719999999999</v>
      </c>
      <c r="Y3669">
        <v>1.1984E-2</v>
      </c>
      <c r="Z3669" s="1">
        <v>5.194861E-5</v>
      </c>
      <c r="AA3669">
        <v>0.99992820000000004</v>
      </c>
      <c r="AB3669">
        <v>38</v>
      </c>
      <c r="AC3669">
        <v>28.5322999999999</v>
      </c>
      <c r="AD3669">
        <v>-1.1096971634070001</v>
      </c>
      <c r="AE3669">
        <v>-0.697599999999994</v>
      </c>
      <c r="AF3669">
        <v>0.346135676889743</v>
      </c>
      <c r="AG3669">
        <v>-1.1096971634070001</v>
      </c>
      <c r="AH3669">
        <v>28.4956434757738</v>
      </c>
      <c r="AI3669">
        <v>92.229960848326897</v>
      </c>
      <c r="AJ3669">
        <v>89.304064211565304</v>
      </c>
      <c r="AK3669">
        <v>28.519343169149199</v>
      </c>
      <c r="AL3669">
        <v>80.502027489369794</v>
      </c>
      <c r="AM3669">
        <v>94.026277285557697</v>
      </c>
      <c r="AN3669">
        <v>0.99999997154760101</v>
      </c>
    </row>
    <row r="3670" spans="1:40" x14ac:dyDescent="0.25">
      <c r="A3670" t="str">
        <f>"20190304155129448"</f>
        <v>20190304155129448</v>
      </c>
      <c r="B3670" t="str">
        <f>"1551685889440059"</f>
        <v>1551685889440059</v>
      </c>
      <c r="C3670" t="s">
        <v>40</v>
      </c>
      <c r="D3670">
        <v>4.9935269999999896</v>
      </c>
      <c r="E3670">
        <v>0.52927679999999999</v>
      </c>
      <c r="F3670" t="s">
        <v>72</v>
      </c>
      <c r="G3670">
        <v>-313.68239999999997</v>
      </c>
      <c r="H3670" s="1">
        <v>2.5386320000000002E-6</v>
      </c>
      <c r="I3670">
        <v>212.17490000000001</v>
      </c>
      <c r="J3670">
        <v>-342.49439999999998</v>
      </c>
      <c r="K3670">
        <v>1.1097239999999999</v>
      </c>
      <c r="L3670">
        <v>212.8827</v>
      </c>
      <c r="M3670">
        <v>0.99987110000000001</v>
      </c>
      <c r="N3670">
        <v>-1.039198E-2</v>
      </c>
      <c r="O3670">
        <v>-1.224484E-2</v>
      </c>
      <c r="P3670">
        <v>0.9862571</v>
      </c>
      <c r="Q3670">
        <v>0.1551776</v>
      </c>
      <c r="R3670">
        <v>5.671764E-2</v>
      </c>
      <c r="S3670">
        <v>3.0643310000000001</v>
      </c>
      <c r="T3670">
        <v>-0.1164379</v>
      </c>
      <c r="U3670">
        <v>-7.4768070000000006E-2</v>
      </c>
      <c r="V3670">
        <v>-6.8796919999999998E-2</v>
      </c>
      <c r="W3670">
        <v>0.16540820000000001</v>
      </c>
      <c r="X3670">
        <v>0.98382270000000005</v>
      </c>
      <c r="Y3670">
        <v>1.214204E-2</v>
      </c>
      <c r="Z3670" s="1">
        <v>4.4109619999999997E-5</v>
      </c>
      <c r="AA3670">
        <v>0.99992630000000005</v>
      </c>
      <c r="AB3670">
        <v>38</v>
      </c>
      <c r="AC3670">
        <v>28.812000000000001</v>
      </c>
      <c r="AD3670">
        <v>-1.109721461368</v>
      </c>
      <c r="AE3670">
        <v>-0.70779999999999099</v>
      </c>
      <c r="AF3670">
        <v>0.35440414040395901</v>
      </c>
      <c r="AG3670">
        <v>-1.109721461368</v>
      </c>
      <c r="AH3670">
        <v>28.775844481394198</v>
      </c>
      <c r="AI3670">
        <v>92.208312243117504</v>
      </c>
      <c r="AJ3670">
        <v>89.294379183264397</v>
      </c>
      <c r="AK3670">
        <v>28.799415091872</v>
      </c>
      <c r="AL3670">
        <v>80.4790515203008</v>
      </c>
      <c r="AM3670">
        <v>94.000077373422201</v>
      </c>
      <c r="AN3670">
        <v>0.99999999693200803</v>
      </c>
    </row>
    <row r="3671" spans="1:40" x14ac:dyDescent="0.25">
      <c r="A3671" t="str">
        <f>"20190304155129470"</f>
        <v>20190304155129470</v>
      </c>
      <c r="B3671" t="str">
        <f>"1551685889460559"</f>
        <v>1551685889460559</v>
      </c>
      <c r="C3671" t="s">
        <v>40</v>
      </c>
      <c r="D3671">
        <v>5.0261420000000001</v>
      </c>
      <c r="E3671">
        <v>0.52940989999999999</v>
      </c>
      <c r="F3671" t="s">
        <v>72</v>
      </c>
      <c r="G3671">
        <v>-312.58359999999999</v>
      </c>
      <c r="H3671" s="1">
        <v>2.051363E-6</v>
      </c>
      <c r="I3671">
        <v>212.1378</v>
      </c>
      <c r="J3671">
        <v>-342.11</v>
      </c>
      <c r="K3671">
        <v>1.109758</v>
      </c>
      <c r="L3671">
        <v>212.87809999999999</v>
      </c>
      <c r="M3671">
        <v>0.99987210000000004</v>
      </c>
      <c r="N3671">
        <v>-1.0397170000000001E-2</v>
      </c>
      <c r="O3671">
        <v>-1.2150909999999999E-2</v>
      </c>
      <c r="P3671">
        <v>0.98611959999999999</v>
      </c>
      <c r="Q3671">
        <v>0.15636050000000001</v>
      </c>
      <c r="R3671">
        <v>5.5854500000000001E-2</v>
      </c>
      <c r="S3671">
        <v>3.0640869999999998</v>
      </c>
      <c r="T3671">
        <v>-0.113681</v>
      </c>
      <c r="U3671">
        <v>-7.6309199999999994E-2</v>
      </c>
      <c r="V3671">
        <v>-6.7851980000000006E-2</v>
      </c>
      <c r="W3671">
        <v>0.16658979999999901</v>
      </c>
      <c r="X3671">
        <v>0.98368900000000004</v>
      </c>
      <c r="Y3671">
        <v>1.274014E-2</v>
      </c>
      <c r="Z3671" s="1">
        <v>2.1776419999999998E-5</v>
      </c>
      <c r="AA3671">
        <v>0.9999188</v>
      </c>
      <c r="AB3671">
        <v>39</v>
      </c>
      <c r="AC3671">
        <v>29.526399999999999</v>
      </c>
      <c r="AD3671">
        <v>-1.1097559486369999</v>
      </c>
      <c r="AE3671">
        <v>-0.74029999999998997</v>
      </c>
      <c r="AF3671">
        <v>0.38091555061253701</v>
      </c>
      <c r="AG3671">
        <v>-1.1097559486369999</v>
      </c>
      <c r="AH3671">
        <v>29.491580731749899</v>
      </c>
      <c r="AI3671">
        <v>92.154820086658603</v>
      </c>
      <c r="AJ3671">
        <v>89.260004403400004</v>
      </c>
      <c r="AK3671">
        <v>29.514911298859701</v>
      </c>
      <c r="AL3671">
        <v>80.410398843092594</v>
      </c>
      <c r="AM3671">
        <v>93.945844728955194</v>
      </c>
      <c r="AN3671">
        <v>1.00000005068747</v>
      </c>
    </row>
    <row r="3672" spans="1:40" x14ac:dyDescent="0.25">
      <c r="A3672" t="str">
        <f>"20190304155129503"</f>
        <v>20190304155129503</v>
      </c>
      <c r="B3672" t="str">
        <f>"1551685889500572"</f>
        <v>1551685889500572</v>
      </c>
      <c r="C3672" t="s">
        <v>40</v>
      </c>
      <c r="D3672">
        <v>5.3473730000000002</v>
      </c>
      <c r="E3672">
        <v>0.52944639999999998</v>
      </c>
      <c r="F3672" t="s">
        <v>72</v>
      </c>
      <c r="G3672">
        <v>-310.75630000000001</v>
      </c>
      <c r="H3672" s="1">
        <v>1.2410610000000001E-6</v>
      </c>
      <c r="I3672">
        <v>212.05860000000001</v>
      </c>
      <c r="J3672">
        <v>-341.54610000000002</v>
      </c>
      <c r="K3672">
        <v>1.1098110000000001</v>
      </c>
      <c r="L3672">
        <v>212.87139999999999</v>
      </c>
      <c r="M3672">
        <v>0.99987459999999995</v>
      </c>
      <c r="N3672">
        <v>-1.0404770000000001E-2</v>
      </c>
      <c r="O3672">
        <v>-1.19454E-2</v>
      </c>
      <c r="P3672">
        <v>0.98592100000000005</v>
      </c>
      <c r="Q3672">
        <v>0.15798589999999901</v>
      </c>
      <c r="R3672">
        <v>5.4775079999999997E-2</v>
      </c>
      <c r="S3672">
        <v>3.063965</v>
      </c>
      <c r="T3672">
        <v>-0.10844860000000001</v>
      </c>
      <c r="U3672">
        <v>-8.0078129999999997E-2</v>
      </c>
      <c r="V3672">
        <v>-6.6588430000000004E-2</v>
      </c>
      <c r="W3672">
        <v>0.16821259999999999</v>
      </c>
      <c r="X3672">
        <v>0.98349909999999996</v>
      </c>
      <c r="Y3672">
        <v>1.417495E-2</v>
      </c>
      <c r="Z3672" s="1">
        <v>-2.620059E-5</v>
      </c>
      <c r="AA3672">
        <v>0.99989950000000005</v>
      </c>
      <c r="AB3672">
        <v>39</v>
      </c>
      <c r="AC3672">
        <v>30.7898</v>
      </c>
      <c r="AD3672">
        <v>-1.1098097589389999</v>
      </c>
      <c r="AE3672">
        <v>-0.81279999999998098</v>
      </c>
      <c r="AF3672">
        <v>0.44434873939562702</v>
      </c>
      <c r="AG3672">
        <v>-1.1098097589389999</v>
      </c>
      <c r="AH3672">
        <v>30.757379857678</v>
      </c>
      <c r="AI3672">
        <v>92.066275308584693</v>
      </c>
      <c r="AJ3672">
        <v>89.172311279097201</v>
      </c>
      <c r="AK3672">
        <v>30.780603295139301</v>
      </c>
      <c r="AL3672">
        <v>80.316087812109103</v>
      </c>
      <c r="AM3672">
        <v>93.873335763674405</v>
      </c>
      <c r="AN3672">
        <v>0.99999998875471696</v>
      </c>
    </row>
    <row r="3673" spans="1:40" x14ac:dyDescent="0.25">
      <c r="A3673" t="str">
        <f>"20190304155129525"</f>
        <v>20190304155129525</v>
      </c>
      <c r="B3673" t="str">
        <f>"1551685889520092"</f>
        <v>1551685889520092</v>
      </c>
      <c r="C3673" t="s">
        <v>40</v>
      </c>
      <c r="D3673">
        <v>5.0018589999999996</v>
      </c>
      <c r="E3673">
        <v>0.53012559999999997</v>
      </c>
      <c r="F3673" t="s">
        <v>72</v>
      </c>
      <c r="G3673">
        <v>-308.47370000000001</v>
      </c>
      <c r="H3673" s="1">
        <v>1.1501739999999999E-6</v>
      </c>
      <c r="I3673">
        <v>211.97409999999999</v>
      </c>
      <c r="J3673">
        <v>-341.149</v>
      </c>
      <c r="K3673">
        <v>1.1098479999999999</v>
      </c>
      <c r="L3673">
        <v>212.86680000000001</v>
      </c>
      <c r="M3673">
        <v>0.99987689999999996</v>
      </c>
      <c r="N3673">
        <v>-1.041014E-2</v>
      </c>
      <c r="O3673">
        <v>-1.17442E-2</v>
      </c>
      <c r="P3673">
        <v>0.98592930000000001</v>
      </c>
      <c r="Q3673">
        <v>0.15803809999999999</v>
      </c>
      <c r="R3673">
        <v>5.4476209999999997E-2</v>
      </c>
      <c r="S3673">
        <v>3.063965</v>
      </c>
      <c r="T3673">
        <v>-0.1028173</v>
      </c>
      <c r="U3673">
        <v>-8.3129880000000003E-2</v>
      </c>
      <c r="V3673">
        <v>-6.6107139999999995E-2</v>
      </c>
      <c r="W3673">
        <v>0.16826429999999901</v>
      </c>
      <c r="X3673">
        <v>0.98352269999999997</v>
      </c>
      <c r="Y3673">
        <v>1.537092E-2</v>
      </c>
      <c r="Z3673" s="1">
        <v>-6.6162759999999993E-5</v>
      </c>
      <c r="AA3673">
        <v>0.99988189999999999</v>
      </c>
      <c r="AB3673">
        <v>39</v>
      </c>
      <c r="AC3673">
        <v>32.675299999999901</v>
      </c>
      <c r="AD3673">
        <v>-1.1098468498259999</v>
      </c>
      <c r="AE3673">
        <v>-0.89270000000001903</v>
      </c>
      <c r="AF3673">
        <v>0.50828643137120899</v>
      </c>
      <c r="AG3673">
        <v>-1.1098468498259999</v>
      </c>
      <c r="AH3673">
        <v>32.645895939481498</v>
      </c>
      <c r="AI3673">
        <v>91.946871426044694</v>
      </c>
      <c r="AJ3673">
        <v>89.107994633124505</v>
      </c>
      <c r="AK3673">
        <v>32.668710363554901</v>
      </c>
      <c r="AL3673">
        <v>80.3130825554545</v>
      </c>
      <c r="AM3673">
        <v>93.845332246435603</v>
      </c>
      <c r="AN3673">
        <v>0.99999996501437904</v>
      </c>
    </row>
    <row r="3674" spans="1:40" x14ac:dyDescent="0.25">
      <c r="A3674" t="str">
        <f>"20190304155129550"</f>
        <v>20190304155129550</v>
      </c>
      <c r="B3674" t="str">
        <f>"1551685889540587"</f>
        <v>1551685889540587</v>
      </c>
      <c r="C3674" t="s">
        <v>40</v>
      </c>
      <c r="D3674">
        <v>5.0202220000000004</v>
      </c>
      <c r="E3674">
        <v>0.5301998</v>
      </c>
      <c r="F3674" t="s">
        <v>72</v>
      </c>
      <c r="G3674">
        <v>-310.0949</v>
      </c>
      <c r="H3674" s="1">
        <v>9.4774670000000005E-7</v>
      </c>
      <c r="I3674">
        <v>211.9622</v>
      </c>
      <c r="J3674">
        <v>-340.74799999999999</v>
      </c>
      <c r="K3674">
        <v>1.109885</v>
      </c>
      <c r="L3674">
        <v>212.8623</v>
      </c>
      <c r="M3674">
        <v>0.99987979999999999</v>
      </c>
      <c r="N3674">
        <v>-1.0415890000000001E-2</v>
      </c>
      <c r="O3674">
        <v>-1.148134E-2</v>
      </c>
      <c r="P3674">
        <v>0.98594890000000002</v>
      </c>
      <c r="Q3674">
        <v>0.1579352</v>
      </c>
      <c r="R3674">
        <v>5.4416760000000002E-2</v>
      </c>
      <c r="S3674">
        <v>3.0653380000000001</v>
      </c>
      <c r="T3674">
        <v>-0.1095526</v>
      </c>
      <c r="U3674">
        <v>-8.9294429999999994E-2</v>
      </c>
      <c r="V3674">
        <v>-6.5806290000000003E-2</v>
      </c>
      <c r="W3674">
        <v>0.16816049999999999</v>
      </c>
      <c r="X3674">
        <v>0.98356069999999995</v>
      </c>
      <c r="Y3674">
        <v>1.762816E-2</v>
      </c>
      <c r="Z3674">
        <v>-1.161612E-4</v>
      </c>
      <c r="AA3674">
        <v>0.99984459999999997</v>
      </c>
      <c r="AB3674">
        <v>39</v>
      </c>
      <c r="AC3674">
        <v>30.653099999999998</v>
      </c>
      <c r="AD3674">
        <v>-1.1098840522533</v>
      </c>
      <c r="AE3674">
        <v>-0.900100000000009</v>
      </c>
      <c r="AF3674">
        <v>0.54736591212552599</v>
      </c>
      <c r="AG3674">
        <v>-1.1098840522533</v>
      </c>
      <c r="AH3674">
        <v>30.621303976537298</v>
      </c>
      <c r="AI3674">
        <v>92.075473418692198</v>
      </c>
      <c r="AJ3674">
        <v>88.9759281001011</v>
      </c>
      <c r="AK3674">
        <v>30.6463000911154</v>
      </c>
      <c r="AL3674">
        <v>80.319116521578593</v>
      </c>
      <c r="AM3674">
        <v>93.827737042645097</v>
      </c>
      <c r="AN3674">
        <v>1.0000000360741499</v>
      </c>
    </row>
    <row r="3675" spans="1:40" x14ac:dyDescent="0.25">
      <c r="A3675" t="str">
        <f>"20190304155129572"</f>
        <v>20190304155129572</v>
      </c>
      <c r="B3675" t="str">
        <f>"1551685889560107"</f>
        <v>1551685889560107</v>
      </c>
      <c r="C3675" t="s">
        <v>40</v>
      </c>
      <c r="D3675">
        <v>4.9358519999999997</v>
      </c>
      <c r="E3675">
        <v>0.53002320000000003</v>
      </c>
      <c r="F3675" t="s">
        <v>72</v>
      </c>
      <c r="G3675">
        <v>-309.53460000000001</v>
      </c>
      <c r="H3675" s="1">
        <v>9.619766000000001E-7</v>
      </c>
      <c r="I3675">
        <v>211.94309999999999</v>
      </c>
      <c r="J3675">
        <v>-340.35109999999997</v>
      </c>
      <c r="K3675">
        <v>1.1099250000000001</v>
      </c>
      <c r="L3675">
        <v>212.85810000000001</v>
      </c>
      <c r="M3675">
        <v>0.99988350000000004</v>
      </c>
      <c r="N3675">
        <v>-1.0421359999999999E-2</v>
      </c>
      <c r="O3675">
        <v>-1.1164810000000001E-2</v>
      </c>
      <c r="P3675">
        <v>0.98599479999999995</v>
      </c>
      <c r="Q3675">
        <v>0.15760550000000001</v>
      </c>
      <c r="R3675">
        <v>5.4543649999999999E-2</v>
      </c>
      <c r="S3675">
        <v>3.0651860000000002</v>
      </c>
      <c r="T3675">
        <v>-0.10899159999999999</v>
      </c>
      <c r="U3675">
        <v>-9.0271000000000004E-2</v>
      </c>
      <c r="V3675">
        <v>-6.5640260000000006E-2</v>
      </c>
      <c r="W3675">
        <v>0.16783000000000001</v>
      </c>
      <c r="X3675">
        <v>0.98362819999999995</v>
      </c>
      <c r="Y3675">
        <v>1.8263850000000002E-2</v>
      </c>
      <c r="Z3675">
        <v>-1.3931600000000001E-4</v>
      </c>
      <c r="AA3675">
        <v>0.99983319999999998</v>
      </c>
      <c r="AB3675">
        <v>39</v>
      </c>
      <c r="AC3675">
        <v>30.816499999999898</v>
      </c>
      <c r="AD3675">
        <v>-1.1099240380233999</v>
      </c>
      <c r="AE3675">
        <v>-0.91500000000002002</v>
      </c>
      <c r="AF3675">
        <v>0.570125021023836</v>
      </c>
      <c r="AG3675">
        <v>-1.1099240380233999</v>
      </c>
      <c r="AH3675">
        <v>30.7848952216765</v>
      </c>
      <c r="AI3675">
        <v>92.064504035459393</v>
      </c>
      <c r="AJ3675">
        <v>88.939024365701698</v>
      </c>
      <c r="AK3675">
        <v>30.810172796</v>
      </c>
      <c r="AL3675">
        <v>80.338325373737902</v>
      </c>
      <c r="AM3675">
        <v>93.817846983640095</v>
      </c>
      <c r="AN3675">
        <v>0.99999999423405295</v>
      </c>
    </row>
    <row r="3676" spans="1:40" x14ac:dyDescent="0.25">
      <c r="A3676" t="str">
        <f>"20190304155129593"</f>
        <v>20190304155129593</v>
      </c>
      <c r="B3676" t="str">
        <f>"1551685889590281"</f>
        <v>1551685889590281</v>
      </c>
      <c r="C3676" t="s">
        <v>40</v>
      </c>
      <c r="D3676">
        <v>5.8038980000000002</v>
      </c>
      <c r="E3676">
        <v>0.52999449999999904</v>
      </c>
      <c r="F3676" t="s">
        <v>72</v>
      </c>
      <c r="G3676">
        <v>-309.8553</v>
      </c>
      <c r="H3676" s="1">
        <v>9.050997E-7</v>
      </c>
      <c r="I3676">
        <v>211.97970000000001</v>
      </c>
      <c r="J3676">
        <v>-339.99759999999998</v>
      </c>
      <c r="K3676">
        <v>1.1099600000000001</v>
      </c>
      <c r="L3676">
        <v>212.85429999999999</v>
      </c>
      <c r="M3676">
        <v>0.99988679999999996</v>
      </c>
      <c r="N3676">
        <v>-1.0426019999999999E-2</v>
      </c>
      <c r="O3676">
        <v>-1.0846690000000001E-2</v>
      </c>
      <c r="P3676">
        <v>0.98608119999999999</v>
      </c>
      <c r="Q3676">
        <v>0.1572385</v>
      </c>
      <c r="R3676">
        <v>5.4035909999999999E-2</v>
      </c>
      <c r="S3676">
        <v>3.065369</v>
      </c>
      <c r="T3676">
        <v>-0.111567</v>
      </c>
      <c r="U3676">
        <v>-8.8287350000000001E-2</v>
      </c>
      <c r="V3676">
        <v>-6.4834799999999998E-2</v>
      </c>
      <c r="W3676">
        <v>0.16746329999999901</v>
      </c>
      <c r="X3676">
        <v>0.98374410000000001</v>
      </c>
      <c r="Y3676">
        <v>1.793351E-2</v>
      </c>
      <c r="Z3676">
        <v>-1.3823190000000001E-4</v>
      </c>
      <c r="AA3676">
        <v>0.99983920000000004</v>
      </c>
      <c r="AB3676">
        <v>39</v>
      </c>
      <c r="AC3676">
        <v>30.142299999999899</v>
      </c>
      <c r="AD3676">
        <v>-1.1099590949003</v>
      </c>
      <c r="AE3676">
        <v>-0.87459999999998606</v>
      </c>
      <c r="AF3676">
        <v>0.54684568192380401</v>
      </c>
      <c r="AG3676">
        <v>-1.1099590949003</v>
      </c>
      <c r="AH3676">
        <v>30.109219758225301</v>
      </c>
      <c r="AI3676">
        <v>92.110872177676796</v>
      </c>
      <c r="AJ3676">
        <v>88.959504580561898</v>
      </c>
      <c r="AK3676">
        <v>30.134633958973101</v>
      </c>
      <c r="AL3676">
        <v>80.359637234995404</v>
      </c>
      <c r="AM3676">
        <v>93.770691863848796</v>
      </c>
      <c r="AN3676">
        <v>0.99999998121136902</v>
      </c>
    </row>
    <row r="3677" spans="1:40" x14ac:dyDescent="0.25">
      <c r="A3677" t="str">
        <f>"20190304155129615"</f>
        <v>20190304155129615</v>
      </c>
      <c r="B3677" t="str">
        <f>"1551685889610776"</f>
        <v>1551685889610776</v>
      </c>
      <c r="C3677" t="s">
        <v>40</v>
      </c>
      <c r="D3677">
        <v>5.110233</v>
      </c>
      <c r="E3677">
        <v>0.52927669999999905</v>
      </c>
      <c r="F3677" t="s">
        <v>72</v>
      </c>
      <c r="G3677">
        <v>-309.15730000000002</v>
      </c>
      <c r="H3677" s="1">
        <v>1.028898E-6</v>
      </c>
      <c r="I3677">
        <v>211.959</v>
      </c>
      <c r="J3677">
        <v>-339.60649999999998</v>
      </c>
      <c r="K3677">
        <v>1.109998</v>
      </c>
      <c r="L3677">
        <v>212.85040000000001</v>
      </c>
      <c r="M3677">
        <v>0.99989099999999997</v>
      </c>
      <c r="N3677">
        <v>-1.043113E-2</v>
      </c>
      <c r="O3677">
        <v>-1.0458240000000001E-2</v>
      </c>
      <c r="P3677">
        <v>0.98603819999999998</v>
      </c>
      <c r="Q3677">
        <v>0.1575956</v>
      </c>
      <c r="R3677">
        <v>5.3781030000000001E-2</v>
      </c>
      <c r="S3677">
        <v>3.0647890000000002</v>
      </c>
      <c r="T3677">
        <v>-0.11030379999999999</v>
      </c>
      <c r="U3677">
        <v>-8.8973999999999998E-2</v>
      </c>
      <c r="V3677">
        <v>-6.4213049999999994E-2</v>
      </c>
      <c r="W3677">
        <v>0.1678192</v>
      </c>
      <c r="X3677">
        <v>0.98372420000000005</v>
      </c>
      <c r="Y3677">
        <v>1.8550750000000001E-2</v>
      </c>
      <c r="Z3677">
        <v>-1.6333809999999999E-4</v>
      </c>
      <c r="AA3677">
        <v>0.99982789999999999</v>
      </c>
      <c r="AB3677">
        <v>39</v>
      </c>
      <c r="AC3677">
        <v>30.449199999999902</v>
      </c>
      <c r="AD3677">
        <v>-1.1099969711019999</v>
      </c>
      <c r="AE3677">
        <v>-0.89140000000000397</v>
      </c>
      <c r="AF3677">
        <v>0.57212925784676705</v>
      </c>
      <c r="AG3677">
        <v>-1.1099969711019999</v>
      </c>
      <c r="AH3677">
        <v>30.416471775358701</v>
      </c>
      <c r="AI3677">
        <v>92.089614447665795</v>
      </c>
      <c r="AJ3677">
        <v>88.922402084153305</v>
      </c>
      <c r="AK3677">
        <v>30.4420955327443</v>
      </c>
      <c r="AL3677">
        <v>80.3389526459829</v>
      </c>
      <c r="AM3677">
        <v>93.7347100058835</v>
      </c>
      <c r="AN3677">
        <v>0.99999995067228997</v>
      </c>
    </row>
    <row r="3678" spans="1:40" x14ac:dyDescent="0.25">
      <c r="A3678" t="str">
        <f>"20190304155129638"</f>
        <v>20190304155129638</v>
      </c>
      <c r="B3678" t="str">
        <f>"1551685889630296"</f>
        <v>1551685889630296</v>
      </c>
      <c r="C3678" t="s">
        <v>40</v>
      </c>
      <c r="D3678">
        <v>5.0373700000000001</v>
      </c>
      <c r="E3678">
        <v>0.50213669999999999</v>
      </c>
      <c r="F3678" t="s">
        <v>72</v>
      </c>
      <c r="G3678">
        <v>-307.6739</v>
      </c>
      <c r="H3678" s="1">
        <v>1.2920380000000001E-6</v>
      </c>
      <c r="I3678">
        <v>211.97900000000001</v>
      </c>
      <c r="J3678">
        <v>-339.20870000000002</v>
      </c>
      <c r="K3678">
        <v>1.1100399999999999</v>
      </c>
      <c r="L3678">
        <v>212.8466</v>
      </c>
      <c r="M3678">
        <v>0.99989530000000004</v>
      </c>
      <c r="N3678">
        <v>-1.043611E-2</v>
      </c>
      <c r="O3678">
        <v>-1.0025340000000001E-2</v>
      </c>
      <c r="P3678">
        <v>0.9860255</v>
      </c>
      <c r="Q3678">
        <v>0.157656399999999</v>
      </c>
      <c r="R3678">
        <v>5.3836839999999997E-2</v>
      </c>
      <c r="S3678">
        <v>3.0640559999999999</v>
      </c>
      <c r="T3678">
        <v>-0.1065084</v>
      </c>
      <c r="U3678">
        <v>-8.3618159999999997E-2</v>
      </c>
      <c r="V3678">
        <v>-6.3858239999999997E-2</v>
      </c>
      <c r="W3678">
        <v>0.16787939999999901</v>
      </c>
      <c r="X3678">
        <v>0.98373710000000003</v>
      </c>
      <c r="Y3678">
        <v>1.7245770000000001E-2</v>
      </c>
      <c r="Z3678">
        <v>-1.459256E-4</v>
      </c>
      <c r="AA3678">
        <v>0.9998513</v>
      </c>
      <c r="AB3678">
        <v>39</v>
      </c>
      <c r="AC3678">
        <v>31.534800000000001</v>
      </c>
      <c r="AD3678">
        <v>-1.110038707962</v>
      </c>
      <c r="AE3678">
        <v>-0.86759999999998105</v>
      </c>
      <c r="AF3678">
        <v>0.55071023669507602</v>
      </c>
      <c r="AG3678">
        <v>-1.110038707962</v>
      </c>
      <c r="AH3678">
        <v>31.502908698355899</v>
      </c>
      <c r="AI3678">
        <v>92.017735182167598</v>
      </c>
      <c r="AJ3678">
        <v>88.998500138079194</v>
      </c>
      <c r="AK3678">
        <v>31.527269532183201</v>
      </c>
      <c r="AL3678">
        <v>80.335454524249897</v>
      </c>
      <c r="AM3678">
        <v>93.714083173406493</v>
      </c>
      <c r="AN3678">
        <v>1.0000000248383301</v>
      </c>
    </row>
    <row r="3679" spans="1:40" x14ac:dyDescent="0.25">
      <c r="A3679" t="str">
        <f>"20190304155129660"</f>
        <v>20190304155129660</v>
      </c>
      <c r="B3679" t="str">
        <f>"1551685889650795"</f>
        <v>1551685889650795</v>
      </c>
      <c r="C3679" t="s">
        <v>40</v>
      </c>
      <c r="D3679">
        <v>5.0665680000000002</v>
      </c>
      <c r="E3679">
        <v>0.50093049999999995</v>
      </c>
      <c r="F3679" t="s">
        <v>72</v>
      </c>
      <c r="G3679">
        <v>-318.09859999999998</v>
      </c>
      <c r="H3679" s="1">
        <v>4.49702E-6</v>
      </c>
      <c r="I3679">
        <v>213.75980000000001</v>
      </c>
      <c r="J3679">
        <v>-338.82380000000001</v>
      </c>
      <c r="K3679">
        <v>1.110074</v>
      </c>
      <c r="L3679">
        <v>212.84309999999999</v>
      </c>
      <c r="M3679">
        <v>0.99989980000000001</v>
      </c>
      <c r="N3679">
        <v>-1.0440949999999999E-2</v>
      </c>
      <c r="O3679">
        <v>-9.5738730000000001E-3</v>
      </c>
      <c r="P3679">
        <v>0.98596240000000002</v>
      </c>
      <c r="Q3679">
        <v>0.15811939999999999</v>
      </c>
      <c r="R3679">
        <v>5.3634550000000003E-2</v>
      </c>
      <c r="S3679">
        <v>3.061035</v>
      </c>
      <c r="T3679">
        <v>-0.160958399999999</v>
      </c>
      <c r="U3679">
        <v>0.1324158</v>
      </c>
      <c r="V3679">
        <v>-6.3225069999999994E-2</v>
      </c>
      <c r="W3679">
        <v>0.16834189999999999</v>
      </c>
      <c r="X3679">
        <v>0.98369899999999999</v>
      </c>
      <c r="Y3679">
        <v>-5.2685929999999999E-2</v>
      </c>
      <c r="Z3679">
        <v>2.0620030000000002E-3</v>
      </c>
      <c r="AA3679">
        <v>0.99860899999999997</v>
      </c>
      <c r="AB3679">
        <v>39</v>
      </c>
      <c r="AC3679">
        <v>20.725200000000001</v>
      </c>
      <c r="AD3679">
        <v>-1.1100695029799901</v>
      </c>
      <c r="AE3679">
        <v>0.91670000000001906</v>
      </c>
      <c r="AF3679">
        <v>-1.11190557788499</v>
      </c>
      <c r="AG3679">
        <v>-1.1100695029799901</v>
      </c>
      <c r="AH3679">
        <v>20.656329675874701</v>
      </c>
      <c r="AI3679">
        <v>93.0716732367719</v>
      </c>
      <c r="AJ3679">
        <v>93.081189780532299</v>
      </c>
      <c r="AK3679">
        <v>20.715997296630398</v>
      </c>
      <c r="AL3679">
        <v>80.308573027431095</v>
      </c>
      <c r="AM3679">
        <v>93.677500725458103</v>
      </c>
      <c r="AN3679">
        <v>1.00000006368655</v>
      </c>
    </row>
    <row r="3680" spans="1:40" x14ac:dyDescent="0.25">
      <c r="A3680" t="str">
        <f>"20190304155129682"</f>
        <v>20190304155129682</v>
      </c>
      <c r="B3680" t="str">
        <f>"1551685889670312"</f>
        <v>1551685889670312</v>
      </c>
      <c r="C3680" t="s">
        <v>40</v>
      </c>
      <c r="D3680">
        <v>5.0439129999999999</v>
      </c>
      <c r="E3680">
        <v>0.50051329999999905</v>
      </c>
      <c r="F3680" t="s">
        <v>72</v>
      </c>
      <c r="G3680">
        <v>-319.26499999999999</v>
      </c>
      <c r="H3680" s="1">
        <v>5.0142880000000001E-6</v>
      </c>
      <c r="I3680">
        <v>213.75110000000001</v>
      </c>
      <c r="J3680">
        <v>-338.4452</v>
      </c>
      <c r="K3680">
        <v>1.110112</v>
      </c>
      <c r="L3680">
        <v>212.8399</v>
      </c>
      <c r="M3680">
        <v>0.99990409999999996</v>
      </c>
      <c r="N3680">
        <v>-1.0445940000000001E-2</v>
      </c>
      <c r="O3680">
        <v>-9.1013359999999998E-3</v>
      </c>
      <c r="P3680">
        <v>0.98596950000000005</v>
      </c>
      <c r="Q3680">
        <v>0.1582731</v>
      </c>
      <c r="R3680">
        <v>5.3049949999999998E-2</v>
      </c>
      <c r="S3680">
        <v>3.0628660000000001</v>
      </c>
      <c r="T3680">
        <v>-0.17383479999999901</v>
      </c>
      <c r="U3680">
        <v>0.14219670000000001</v>
      </c>
      <c r="V3680">
        <v>-6.2188609999999998E-2</v>
      </c>
      <c r="W3680">
        <v>0.16849700000000001</v>
      </c>
      <c r="X3680">
        <v>0.98373840000000001</v>
      </c>
      <c r="Y3680">
        <v>-5.5351150000000002E-2</v>
      </c>
      <c r="Z3680">
        <v>2.2790979999999998E-3</v>
      </c>
      <c r="AA3680">
        <v>0.99846429999999997</v>
      </c>
      <c r="AB3680">
        <v>39</v>
      </c>
      <c r="AC3680">
        <v>19.180199999999999</v>
      </c>
      <c r="AD3680">
        <v>-1.1101069857120001</v>
      </c>
      <c r="AE3680">
        <v>0.911200000000007</v>
      </c>
      <c r="AF3680">
        <v>-1.08212044927842</v>
      </c>
      <c r="AG3680">
        <v>-1.1101069857120001</v>
      </c>
      <c r="AH3680">
        <v>19.1072499180679</v>
      </c>
      <c r="AI3680">
        <v>93.319766517451598</v>
      </c>
      <c r="AJ3680">
        <v>93.241427975329898</v>
      </c>
      <c r="AK3680">
        <v>19.170037079202</v>
      </c>
      <c r="AL3680">
        <v>80.299556567660204</v>
      </c>
      <c r="AM3680">
        <v>93.617231697535701</v>
      </c>
      <c r="AN3680">
        <v>0.99999995092864402</v>
      </c>
    </row>
    <row r="3681" spans="1:40" x14ac:dyDescent="0.25">
      <c r="A3681" t="str">
        <f>"20190304155129704"</f>
        <v>20190304155129704</v>
      </c>
      <c r="B3681" t="str">
        <f>"1551685889700569"</f>
        <v>1551685889700569</v>
      </c>
      <c r="C3681" t="s">
        <v>40</v>
      </c>
      <c r="D3681">
        <v>5.1269309999999999</v>
      </c>
      <c r="E3681">
        <v>0.50011859999999997</v>
      </c>
      <c r="F3681" t="s">
        <v>72</v>
      </c>
      <c r="G3681">
        <v>-319.08249999999998</v>
      </c>
      <c r="H3681" s="1">
        <v>4.9333690000000003E-6</v>
      </c>
      <c r="I3681">
        <v>213.75190000000001</v>
      </c>
      <c r="J3681">
        <v>-338.06729999999999</v>
      </c>
      <c r="K3681">
        <v>1.110144</v>
      </c>
      <c r="L3681">
        <v>212.83690000000001</v>
      </c>
      <c r="M3681">
        <v>0.99990829999999997</v>
      </c>
      <c r="N3681">
        <v>-1.045096E-2</v>
      </c>
      <c r="O3681">
        <v>-8.6049760000000003E-3</v>
      </c>
      <c r="P3681">
        <v>0.98590919999999904</v>
      </c>
      <c r="Q3681">
        <v>0.1586747</v>
      </c>
      <c r="R3681">
        <v>5.2964740000000003E-2</v>
      </c>
      <c r="S3681">
        <v>3.0631409999999999</v>
      </c>
      <c r="T3681">
        <v>-0.175617</v>
      </c>
      <c r="U3681">
        <v>0.1442871</v>
      </c>
      <c r="V3681">
        <v>-6.1627019999999998E-2</v>
      </c>
      <c r="W3681">
        <v>0.1688993</v>
      </c>
      <c r="X3681">
        <v>0.98370480000000005</v>
      </c>
      <c r="Y3681">
        <v>-5.5529250000000002E-2</v>
      </c>
      <c r="Z3681">
        <v>2.2831100000000001E-3</v>
      </c>
      <c r="AA3681">
        <v>0.99845450000000002</v>
      </c>
      <c r="AB3681">
        <v>39</v>
      </c>
      <c r="AC3681">
        <v>18.9848</v>
      </c>
      <c r="AD3681">
        <v>-1.110139066631</v>
      </c>
      <c r="AE3681">
        <v>0.91499999999999204</v>
      </c>
      <c r="AF3681">
        <v>-1.0746726417825401</v>
      </c>
      <c r="AG3681">
        <v>-1.110139066631</v>
      </c>
      <c r="AH3681">
        <v>18.911707297863799</v>
      </c>
      <c r="AI3681">
        <v>93.354074579244795</v>
      </c>
      <c r="AJ3681">
        <v>93.252379915832194</v>
      </c>
      <c r="AK3681">
        <v>18.9747201021341</v>
      </c>
      <c r="AL3681">
        <v>80.276171776613495</v>
      </c>
      <c r="AM3681">
        <v>93.584774213204497</v>
      </c>
      <c r="AN3681">
        <v>0.99999999833880504</v>
      </c>
    </row>
    <row r="3682" spans="1:40" x14ac:dyDescent="0.25">
      <c r="A3682" t="str">
        <f>"20190304155129726"</f>
        <v>20190304155129726</v>
      </c>
      <c r="B3682" t="str">
        <f>"1551685889720088"</f>
        <v>1551685889720088</v>
      </c>
      <c r="C3682" t="s">
        <v>40</v>
      </c>
      <c r="D3682">
        <v>5.2201579999999996</v>
      </c>
      <c r="E3682">
        <v>0.49988959999999999</v>
      </c>
      <c r="F3682" t="s">
        <v>72</v>
      </c>
      <c r="G3682">
        <v>-319.0351</v>
      </c>
      <c r="H3682" s="1">
        <v>4.912348E-6</v>
      </c>
      <c r="I3682">
        <v>213.75200000000001</v>
      </c>
      <c r="J3682">
        <v>-337.66890000000001</v>
      </c>
      <c r="K3682">
        <v>1.110174</v>
      </c>
      <c r="L3682">
        <v>212.8339</v>
      </c>
      <c r="M3682">
        <v>0.99991289999999999</v>
      </c>
      <c r="N3682">
        <v>-1.0456160000000001E-2</v>
      </c>
      <c r="O3682">
        <v>-8.0575969999999997E-3</v>
      </c>
      <c r="P3682">
        <v>0.98593900000000001</v>
      </c>
      <c r="Q3682">
        <v>0.1586195</v>
      </c>
      <c r="R3682">
        <v>5.2578560000000003E-2</v>
      </c>
      <c r="S3682">
        <v>3.0637210000000001</v>
      </c>
      <c r="T3682">
        <v>-0.17870529999999901</v>
      </c>
      <c r="U3682">
        <v>0.1473236</v>
      </c>
      <c r="V3682">
        <v>-6.0714749999999998E-2</v>
      </c>
      <c r="W3682">
        <v>0.16884579999999999</v>
      </c>
      <c r="X3682">
        <v>0.9837707</v>
      </c>
      <c r="Y3682">
        <v>-5.5957E-2</v>
      </c>
      <c r="Z3682">
        <v>2.307866E-3</v>
      </c>
      <c r="AA3682">
        <v>0.9984305</v>
      </c>
      <c r="AB3682">
        <v>39</v>
      </c>
      <c r="AC3682">
        <v>18.633800000000001</v>
      </c>
      <c r="AD3682">
        <v>-1.1101690876520001</v>
      </c>
      <c r="AE3682">
        <v>0.91810000000000902</v>
      </c>
      <c r="AF3682">
        <v>-1.0644528502546999</v>
      </c>
      <c r="AG3682">
        <v>-1.1101690876520001</v>
      </c>
      <c r="AH3682">
        <v>18.560076247463599</v>
      </c>
      <c r="AI3682">
        <v>93.417460348635998</v>
      </c>
      <c r="AJ3682">
        <v>93.282417497737598</v>
      </c>
      <c r="AK3682">
        <v>18.623693661174102</v>
      </c>
      <c r="AL3682">
        <v>80.279281661540395</v>
      </c>
      <c r="AM3682">
        <v>93.531607835359196</v>
      </c>
      <c r="AN3682">
        <v>0.99999998761184605</v>
      </c>
    </row>
    <row r="3683" spans="1:40" x14ac:dyDescent="0.25">
      <c r="A3683" t="str">
        <f>"20190304155129752"</f>
        <v>20190304155129752</v>
      </c>
      <c r="B3683" t="str">
        <f>"1551685889740584"</f>
        <v>1551685889740584</v>
      </c>
      <c r="C3683" t="s">
        <v>40</v>
      </c>
      <c r="D3683">
        <v>5.0953520000000001</v>
      </c>
      <c r="E3683">
        <v>0.49931490000000001</v>
      </c>
      <c r="F3683" t="s">
        <v>72</v>
      </c>
      <c r="G3683">
        <v>-318.49029999999999</v>
      </c>
      <c r="H3683" s="1">
        <v>4.6707580000000004E-6</v>
      </c>
      <c r="I3683">
        <v>213.7628</v>
      </c>
      <c r="J3683">
        <v>-337.24540000000002</v>
      </c>
      <c r="K3683">
        <v>1.110212</v>
      </c>
      <c r="L3683">
        <v>212.83099999999999</v>
      </c>
      <c r="M3683">
        <v>0.99991770000000002</v>
      </c>
      <c r="N3683">
        <v>-1.0461679999999999E-2</v>
      </c>
      <c r="O3683">
        <v>-7.4467989999999996E-3</v>
      </c>
      <c r="P3683">
        <v>0.98598209999999997</v>
      </c>
      <c r="Q3683">
        <v>0.1584053</v>
      </c>
      <c r="R3683">
        <v>5.2413519999999998E-2</v>
      </c>
      <c r="S3683">
        <v>3.0634459999999999</v>
      </c>
      <c r="T3683">
        <v>-0.17732999999999999</v>
      </c>
      <c r="U3683">
        <v>0.14837649999999999</v>
      </c>
      <c r="V3683">
        <v>-5.9961689999999998E-2</v>
      </c>
      <c r="W3683">
        <v>0.16863429999999999</v>
      </c>
      <c r="X3683">
        <v>0.98385319999999998</v>
      </c>
      <c r="Y3683">
        <v>-5.5696679999999998E-2</v>
      </c>
      <c r="Z3683">
        <v>2.2542019999999999E-3</v>
      </c>
      <c r="AA3683">
        <v>0.99844520000000003</v>
      </c>
      <c r="AB3683">
        <v>39</v>
      </c>
      <c r="AC3683">
        <v>18.755099999999999</v>
      </c>
      <c r="AD3683">
        <v>-1.1102073292420001</v>
      </c>
      <c r="AE3683">
        <v>0.93180000000000895</v>
      </c>
      <c r="AF3683">
        <v>-1.0677151349355301</v>
      </c>
      <c r="AG3683">
        <v>-1.1102073292420001</v>
      </c>
      <c r="AH3683">
        <v>18.682338075490598</v>
      </c>
      <c r="AI3683">
        <v>93.395303606939393</v>
      </c>
      <c r="AJ3683">
        <v>93.270955497871995</v>
      </c>
      <c r="AK3683">
        <v>18.7457283638219</v>
      </c>
      <c r="AL3683">
        <v>80.291576382062402</v>
      </c>
      <c r="AM3683">
        <v>93.487621494960905</v>
      </c>
      <c r="AN3683">
        <v>1.0000000252771899</v>
      </c>
    </row>
    <row r="3684" spans="1:40" x14ac:dyDescent="0.25">
      <c r="A3684" t="str">
        <f>"20190304155129773"</f>
        <v>20190304155129773</v>
      </c>
      <c r="B3684" t="str">
        <f>"1551685889770479"</f>
        <v>1551685889770479</v>
      </c>
      <c r="C3684" t="s">
        <v>40</v>
      </c>
      <c r="D3684">
        <v>5.1050990000000001</v>
      </c>
      <c r="E3684">
        <v>0.49887320000000002</v>
      </c>
      <c r="F3684" t="s">
        <v>72</v>
      </c>
      <c r="G3684">
        <v>-318.09160000000003</v>
      </c>
      <c r="H3684" s="1">
        <v>4.4939500000000004E-6</v>
      </c>
      <c r="I3684">
        <v>213.78630000000001</v>
      </c>
      <c r="J3684">
        <v>-336.86360000000002</v>
      </c>
      <c r="K3684">
        <v>1.110241</v>
      </c>
      <c r="L3684">
        <v>212.82859999999999</v>
      </c>
      <c r="M3684">
        <v>0.99992170000000002</v>
      </c>
      <c r="N3684">
        <v>-1.046673E-2</v>
      </c>
      <c r="O3684">
        <v>-6.8726489999999998E-3</v>
      </c>
      <c r="P3684">
        <v>0.98596419999999996</v>
      </c>
      <c r="Q3684">
        <v>0.15843080000000001</v>
      </c>
      <c r="R3684">
        <v>5.267264E-2</v>
      </c>
      <c r="S3684">
        <v>3.0630799999999998</v>
      </c>
      <c r="T3684">
        <v>-0.17754529999999999</v>
      </c>
      <c r="U3684">
        <v>0.15278630000000001</v>
      </c>
      <c r="V3684">
        <v>-5.9666320000000002E-2</v>
      </c>
      <c r="W3684">
        <v>0.16866059999999999</v>
      </c>
      <c r="X3684">
        <v>0.98386660000000004</v>
      </c>
      <c r="Y3684">
        <v>-5.6561720000000003E-2</v>
      </c>
      <c r="Z3684">
        <v>2.259301E-3</v>
      </c>
      <c r="AA3684">
        <v>0.99839659999999997</v>
      </c>
      <c r="AB3684">
        <v>39</v>
      </c>
      <c r="AC3684">
        <v>18.771999999999899</v>
      </c>
      <c r="AD3684">
        <v>-1.1102365060499999</v>
      </c>
      <c r="AE3684">
        <v>0.95770000000001598</v>
      </c>
      <c r="AF3684">
        <v>-1.0829196686009199</v>
      </c>
      <c r="AG3684">
        <v>-1.1102365060499999</v>
      </c>
      <c r="AH3684">
        <v>18.6997339452512</v>
      </c>
      <c r="AI3684">
        <v>93.392093895764603</v>
      </c>
      <c r="AJ3684">
        <v>93.314352191180404</v>
      </c>
      <c r="AK3684">
        <v>18.7639385452838</v>
      </c>
      <c r="AL3684">
        <v>80.290047133883206</v>
      </c>
      <c r="AM3684">
        <v>93.470436488280598</v>
      </c>
      <c r="AN3684">
        <v>0.999999977165131</v>
      </c>
    </row>
    <row r="3685" spans="1:40" x14ac:dyDescent="0.25">
      <c r="A3685" t="str">
        <f>"20190304155129793"</f>
        <v>20190304155129793</v>
      </c>
      <c r="B3685" t="str">
        <f>"1551685889789980"</f>
        <v>1551685889789980</v>
      </c>
      <c r="C3685" t="s">
        <v>40</v>
      </c>
      <c r="D3685">
        <v>5.1428229999999999</v>
      </c>
      <c r="E3685">
        <v>0.4985752</v>
      </c>
      <c r="F3685" t="s">
        <v>72</v>
      </c>
      <c r="G3685">
        <v>-317.75709999999998</v>
      </c>
      <c r="H3685" s="1">
        <v>4.3456130000000001E-6</v>
      </c>
      <c r="I3685">
        <v>213.8116</v>
      </c>
      <c r="J3685">
        <v>-336.50490000000002</v>
      </c>
      <c r="K3685">
        <v>1.1102700000000001</v>
      </c>
      <c r="L3685">
        <v>212.82660000000001</v>
      </c>
      <c r="M3685">
        <v>0.99992530000000002</v>
      </c>
      <c r="N3685">
        <v>-1.0471579999999999E-2</v>
      </c>
      <c r="O3685">
        <v>-6.3159419999999997E-3</v>
      </c>
      <c r="P3685">
        <v>0.98587210000000003</v>
      </c>
      <c r="Q3685">
        <v>0.1589642</v>
      </c>
      <c r="R3685">
        <v>5.2789200000000001E-2</v>
      </c>
      <c r="S3685">
        <v>3.062897</v>
      </c>
      <c r="T3685">
        <v>-0.177978</v>
      </c>
      <c r="U3685">
        <v>0.15757750000000001</v>
      </c>
      <c r="V3685">
        <v>-5.9244199999999997E-2</v>
      </c>
      <c r="W3685">
        <v>0.16919589999999901</v>
      </c>
      <c r="X3685">
        <v>0.98380020000000001</v>
      </c>
      <c r="Y3685">
        <v>-5.7564669999999998E-2</v>
      </c>
      <c r="Z3685">
        <v>2.2722879999999999E-3</v>
      </c>
      <c r="AA3685">
        <v>0.99833919999999998</v>
      </c>
      <c r="AB3685">
        <v>39</v>
      </c>
      <c r="AC3685">
        <v>18.747800000000002</v>
      </c>
      <c r="AD3685">
        <v>-1.110265654387</v>
      </c>
      <c r="AE3685">
        <v>0.984999999999985</v>
      </c>
      <c r="AF3685">
        <v>-1.09955118724854</v>
      </c>
      <c r="AG3685">
        <v>-1.110265654387</v>
      </c>
      <c r="AH3685">
        <v>18.675885823021598</v>
      </c>
      <c r="AI3685">
        <v>93.396314061597906</v>
      </c>
      <c r="AJ3685">
        <v>93.369425243053897</v>
      </c>
      <c r="AK3685">
        <v>18.741142278720101</v>
      </c>
      <c r="AL3685">
        <v>80.258929524552997</v>
      </c>
      <c r="AM3685">
        <v>93.446175659370198</v>
      </c>
      <c r="AN3685">
        <v>0.99999998066524398</v>
      </c>
    </row>
    <row r="3686" spans="1:40" x14ac:dyDescent="0.25">
      <c r="A3686" t="str">
        <f>"20190304155129818"</f>
        <v>20190304155129818</v>
      </c>
      <c r="B3686" t="str">
        <f>"1551685889810475"</f>
        <v>1551685889810475</v>
      </c>
      <c r="C3686" t="s">
        <v>40</v>
      </c>
      <c r="D3686">
        <v>5.1469820000000004</v>
      </c>
      <c r="E3686">
        <v>0.49848439999999999</v>
      </c>
      <c r="F3686" t="s">
        <v>72</v>
      </c>
      <c r="G3686">
        <v>-317.34890000000001</v>
      </c>
      <c r="H3686" s="1">
        <v>4.1645940000000002E-6</v>
      </c>
      <c r="I3686">
        <v>213.83420000000001</v>
      </c>
      <c r="J3686">
        <v>-336.08170000000001</v>
      </c>
      <c r="K3686">
        <v>1.1102989999999999</v>
      </c>
      <c r="L3686">
        <v>212.8245</v>
      </c>
      <c r="M3686">
        <v>0.99992930000000002</v>
      </c>
      <c r="N3686">
        <v>-1.0477190000000001E-2</v>
      </c>
      <c r="O3686">
        <v>-5.6345049999999997E-3</v>
      </c>
      <c r="P3686">
        <v>0.98573889999999997</v>
      </c>
      <c r="Q3686">
        <v>0.159686299999999</v>
      </c>
      <c r="R3686">
        <v>5.3094570000000001E-2</v>
      </c>
      <c r="S3686">
        <v>3.0629879999999998</v>
      </c>
      <c r="T3686">
        <v>-0.17752809999999999</v>
      </c>
      <c r="U3686">
        <v>0.1611176</v>
      </c>
      <c r="V3686">
        <v>-5.8890089999999999E-2</v>
      </c>
      <c r="W3686">
        <v>0.1699186</v>
      </c>
      <c r="X3686">
        <v>0.98369689999999999</v>
      </c>
      <c r="Y3686">
        <v>-5.8033929999999997E-2</v>
      </c>
      <c r="Z3686">
        <v>2.2508960000000001E-3</v>
      </c>
      <c r="AA3686">
        <v>0.99831210000000004</v>
      </c>
      <c r="AB3686">
        <v>39</v>
      </c>
      <c r="AC3686">
        <v>18.732800000000001</v>
      </c>
      <c r="AD3686">
        <v>-1.1102948354059901</v>
      </c>
      <c r="AE3686">
        <v>1.0097</v>
      </c>
      <c r="AF3686">
        <v>-1.11134702208773</v>
      </c>
      <c r="AG3686">
        <v>-1.1102948354059901</v>
      </c>
      <c r="AH3686">
        <v>18.661446417853298</v>
      </c>
      <c r="AI3686">
        <v>93.398889352041394</v>
      </c>
      <c r="AJ3686">
        <v>93.408116162156702</v>
      </c>
      <c r="AK3686">
        <v>18.727451220906801</v>
      </c>
      <c r="AL3686">
        <v>80.216913500002903</v>
      </c>
      <c r="AM3686">
        <v>93.425985510814002</v>
      </c>
      <c r="AN3686">
        <v>0.99999998219788799</v>
      </c>
    </row>
    <row r="3687" spans="1:40" x14ac:dyDescent="0.25">
      <c r="A3687" t="str">
        <f>"20190304155129839"</f>
        <v>20190304155129839</v>
      </c>
      <c r="B3687" t="str">
        <f>"1551685889829994"</f>
        <v>1551685889829994</v>
      </c>
      <c r="C3687" t="s">
        <v>40</v>
      </c>
      <c r="D3687">
        <v>5.0841409999999998</v>
      </c>
      <c r="E3687">
        <v>0.49814989999999998</v>
      </c>
      <c r="F3687" t="s">
        <v>72</v>
      </c>
      <c r="G3687">
        <v>-316.6277</v>
      </c>
      <c r="H3687" s="1">
        <v>3.844761E-6</v>
      </c>
      <c r="I3687">
        <v>213.8587</v>
      </c>
      <c r="J3687">
        <v>-335.70400000000001</v>
      </c>
      <c r="K3687">
        <v>1.1103229999999999</v>
      </c>
      <c r="L3687">
        <v>212.8229</v>
      </c>
      <c r="M3687">
        <v>0.99993259999999995</v>
      </c>
      <c r="N3687">
        <v>-1.048224E-2</v>
      </c>
      <c r="O3687">
        <v>-5.0024479999999996E-3</v>
      </c>
      <c r="P3687">
        <v>0.98574600000000001</v>
      </c>
      <c r="Q3687">
        <v>0.15950810000000001</v>
      </c>
      <c r="R3687">
        <v>5.3501529999999999E-2</v>
      </c>
      <c r="S3687">
        <v>3.0629270000000002</v>
      </c>
      <c r="T3687">
        <v>-0.17480979999999999</v>
      </c>
      <c r="U3687">
        <v>0.16282650000000001</v>
      </c>
      <c r="V3687">
        <v>-5.8684569999999998E-2</v>
      </c>
      <c r="W3687">
        <v>0.16974239999999999</v>
      </c>
      <c r="X3687">
        <v>0.98373960000000005</v>
      </c>
      <c r="Y3687">
        <v>-5.7963670000000002E-2</v>
      </c>
      <c r="Z3687">
        <v>2.1885889999999999E-3</v>
      </c>
      <c r="AA3687">
        <v>0.99831630000000005</v>
      </c>
      <c r="AB3687">
        <v>39</v>
      </c>
      <c r="AC3687">
        <v>19.0763</v>
      </c>
      <c r="AD3687">
        <v>-1.1103191552389999</v>
      </c>
      <c r="AE3687">
        <v>1.0357999999999901</v>
      </c>
      <c r="AF3687">
        <v>-1.1274123462435099</v>
      </c>
      <c r="AG3687">
        <v>-1.1103191552389999</v>
      </c>
      <c r="AH3687">
        <v>19.006679453557499</v>
      </c>
      <c r="AI3687">
        <v>93.3374130876647</v>
      </c>
      <c r="AJ3687">
        <v>93.394615528608099</v>
      </c>
      <c r="AK3687">
        <v>19.0724338005205</v>
      </c>
      <c r="AL3687">
        <v>80.227157819835398</v>
      </c>
      <c r="AM3687">
        <v>93.413909685436593</v>
      </c>
      <c r="AN3687">
        <v>0.99999998086100195</v>
      </c>
    </row>
    <row r="3688" spans="1:40" x14ac:dyDescent="0.25">
      <c r="A3688" t="str">
        <f>"20190304155129861"</f>
        <v>20190304155129861</v>
      </c>
      <c r="B3688" t="str">
        <f>"1551685889850494"</f>
        <v>1551685889850494</v>
      </c>
      <c r="C3688" t="s">
        <v>40</v>
      </c>
      <c r="D3688">
        <v>5.1214589999999998</v>
      </c>
      <c r="E3688">
        <v>0.49790459999999898</v>
      </c>
      <c r="F3688" t="s">
        <v>72</v>
      </c>
      <c r="G3688">
        <v>-316.49149999999997</v>
      </c>
      <c r="H3688" s="1">
        <v>3.7843380000000001E-6</v>
      </c>
      <c r="I3688">
        <v>213.87190000000001</v>
      </c>
      <c r="J3688">
        <v>-335.32569999999998</v>
      </c>
      <c r="K3688">
        <v>1.1103459999999901</v>
      </c>
      <c r="L3688">
        <v>212.82159999999999</v>
      </c>
      <c r="M3688">
        <v>0.99993560000000004</v>
      </c>
      <c r="N3688">
        <v>-1.0487349999999999E-2</v>
      </c>
      <c r="O3688">
        <v>-4.343792E-3</v>
      </c>
      <c r="P3688">
        <v>0.98588149999999997</v>
      </c>
      <c r="Q3688">
        <v>0.15871640000000001</v>
      </c>
      <c r="R3688">
        <v>5.3355989999999999E-2</v>
      </c>
      <c r="S3688">
        <v>3.0629270000000002</v>
      </c>
      <c r="T3688">
        <v>-0.177011</v>
      </c>
      <c r="U3688">
        <v>0.16723629999999901</v>
      </c>
      <c r="V3688">
        <v>-5.7900689999999998E-2</v>
      </c>
      <c r="W3688">
        <v>0.16895479999999999</v>
      </c>
      <c r="X3688">
        <v>0.98392159999999995</v>
      </c>
      <c r="Y3688">
        <v>-5.8735660000000002E-2</v>
      </c>
      <c r="Z3688">
        <v>2.2082220000000001E-3</v>
      </c>
      <c r="AA3688">
        <v>0.99827109999999997</v>
      </c>
      <c r="AB3688">
        <v>39</v>
      </c>
      <c r="AC3688">
        <v>18.834199999999999</v>
      </c>
      <c r="AD3688">
        <v>-1.11034221566199</v>
      </c>
      <c r="AE3688">
        <v>1.05030000000002</v>
      </c>
      <c r="AF3688">
        <v>-1.12819752128154</v>
      </c>
      <c r="AG3688">
        <v>-1.11034221566199</v>
      </c>
      <c r="AH3688">
        <v>18.7644457975824</v>
      </c>
      <c r="AI3688">
        <v>93.380305057672999</v>
      </c>
      <c r="AJ3688">
        <v>93.4407216168876</v>
      </c>
      <c r="AK3688">
        <v>18.831094380659799</v>
      </c>
      <c r="AL3688">
        <v>80.272945163597598</v>
      </c>
      <c r="AM3688">
        <v>93.367792410699295</v>
      </c>
      <c r="AN3688">
        <v>0.99999996464603702</v>
      </c>
    </row>
    <row r="3689" spans="1:40" x14ac:dyDescent="0.25">
      <c r="A3689" t="str">
        <f>"20190304155129882"</f>
        <v>20190304155129882</v>
      </c>
      <c r="B3689" t="str">
        <f>"1551685889880747"</f>
        <v>1551685889880747</v>
      </c>
      <c r="C3689" t="s">
        <v>40</v>
      </c>
      <c r="D3689">
        <v>5.0921149999999997</v>
      </c>
      <c r="E3689">
        <v>0.49752689999999999</v>
      </c>
      <c r="F3689" t="s">
        <v>72</v>
      </c>
      <c r="G3689">
        <v>-316.60399999999998</v>
      </c>
      <c r="H3689" s="1">
        <v>3.8342490000000004E-6</v>
      </c>
      <c r="I3689">
        <v>213.85489999999999</v>
      </c>
      <c r="J3689">
        <v>-334.94299999999998</v>
      </c>
      <c r="K3689">
        <v>1.110379</v>
      </c>
      <c r="L3689">
        <v>212.82050000000001</v>
      </c>
      <c r="M3689">
        <v>0.99993840000000001</v>
      </c>
      <c r="N3689">
        <v>-1.049257E-2</v>
      </c>
      <c r="O3689">
        <v>-3.64899E-3</v>
      </c>
      <c r="P3689">
        <v>0.98588869999999895</v>
      </c>
      <c r="Q3689">
        <v>0.1585985</v>
      </c>
      <c r="R3689">
        <v>5.3573700000000002E-2</v>
      </c>
      <c r="S3689">
        <v>3.0629879999999998</v>
      </c>
      <c r="T3689">
        <v>-0.1816596</v>
      </c>
      <c r="U3689">
        <v>0.16905209999999901</v>
      </c>
      <c r="V3689">
        <v>-5.7446280000000002E-2</v>
      </c>
      <c r="W3689">
        <v>0.16883870000000001</v>
      </c>
      <c r="X3689">
        <v>0.98396819999999896</v>
      </c>
      <c r="Y3689">
        <v>-5.8626020000000001E-2</v>
      </c>
      <c r="Z3689">
        <v>2.2216139999999998E-3</v>
      </c>
      <c r="AA3689">
        <v>0.99827750000000004</v>
      </c>
      <c r="AB3689">
        <v>39</v>
      </c>
      <c r="AC3689">
        <v>18.338999999999999</v>
      </c>
      <c r="AD3689">
        <v>-1.1103751657509999</v>
      </c>
      <c r="AE3689">
        <v>1.03439999999997</v>
      </c>
      <c r="AF3689">
        <v>-1.0973056914967501</v>
      </c>
      <c r="AG3689">
        <v>-1.1103751657509999</v>
      </c>
      <c r="AH3689">
        <v>18.268344469687001</v>
      </c>
      <c r="AI3689">
        <v>93.471995034416096</v>
      </c>
      <c r="AJ3689">
        <v>93.437396156148907</v>
      </c>
      <c r="AK3689">
        <v>18.3349235736735</v>
      </c>
      <c r="AL3689">
        <v>80.279694510174394</v>
      </c>
      <c r="AM3689">
        <v>93.341263897982998</v>
      </c>
      <c r="AN3689">
        <v>1.0000000001573801</v>
      </c>
    </row>
    <row r="3690" spans="1:40" x14ac:dyDescent="0.25">
      <c r="A3690" t="str">
        <f>"20190304155129905"</f>
        <v>20190304155129905</v>
      </c>
      <c r="B3690" t="str">
        <f>"1551685889900267"</f>
        <v>1551685889900267</v>
      </c>
      <c r="C3690" t="s">
        <v>40</v>
      </c>
      <c r="D3690">
        <v>5.1255620000000004</v>
      </c>
      <c r="E3690">
        <v>0.49728739999999999</v>
      </c>
      <c r="F3690" t="s">
        <v>72</v>
      </c>
      <c r="G3690">
        <v>-316.58269999999999</v>
      </c>
      <c r="H3690" s="1">
        <v>3.8247879999999999E-6</v>
      </c>
      <c r="I3690">
        <v>213.8603</v>
      </c>
      <c r="J3690">
        <v>-334.55259999999998</v>
      </c>
      <c r="K3690">
        <v>1.1104130000000001</v>
      </c>
      <c r="L3690">
        <v>212.81970000000001</v>
      </c>
      <c r="M3690">
        <v>0.99994070000000002</v>
      </c>
      <c r="N3690">
        <v>-1.049781E-2</v>
      </c>
      <c r="O3690">
        <v>-2.9089839999999999E-3</v>
      </c>
      <c r="P3690">
        <v>0.98586200000000002</v>
      </c>
      <c r="Q3690">
        <v>0.158415</v>
      </c>
      <c r="R3690">
        <v>5.4598609999999999E-2</v>
      </c>
      <c r="S3690">
        <v>3.0633240000000002</v>
      </c>
      <c r="T3690">
        <v>-0.1852607</v>
      </c>
      <c r="U3690">
        <v>0.1734772</v>
      </c>
      <c r="V3690">
        <v>-5.7754970000000003E-2</v>
      </c>
      <c r="W3690">
        <v>0.16865539999999901</v>
      </c>
      <c r="X3690">
        <v>0.98398149999999995</v>
      </c>
      <c r="Y3690">
        <v>-5.9313560000000001E-2</v>
      </c>
      <c r="Z3690">
        <v>2.247546E-3</v>
      </c>
      <c r="AA3690">
        <v>0.99823689999999998</v>
      </c>
      <c r="AB3690">
        <v>39</v>
      </c>
      <c r="AC3690">
        <v>17.9698999999999</v>
      </c>
      <c r="AD3690">
        <v>-1.11040917521199</v>
      </c>
      <c r="AE3690">
        <v>1.04059999999998</v>
      </c>
      <c r="AF3690">
        <v>-1.08872938018531</v>
      </c>
      <c r="AG3690">
        <v>-1.11040917521199</v>
      </c>
      <c r="AH3690">
        <v>17.898681836450599</v>
      </c>
      <c r="AI3690">
        <v>93.543467681594393</v>
      </c>
      <c r="AJ3690">
        <v>93.480861623600504</v>
      </c>
      <c r="AK3690">
        <v>17.966111200873701</v>
      </c>
      <c r="AL3690">
        <v>80.290349002648696</v>
      </c>
      <c r="AM3690">
        <v>93.359132013870607</v>
      </c>
      <c r="AN3690">
        <v>0.99999993642555296</v>
      </c>
    </row>
    <row r="3691" spans="1:40" x14ac:dyDescent="0.25">
      <c r="A3691" t="str">
        <f>"20190304155129929"</f>
        <v>20190304155129929</v>
      </c>
      <c r="B3691" t="str">
        <f>"1551685889920766"</f>
        <v>1551685889920766</v>
      </c>
      <c r="C3691" t="s">
        <v>40</v>
      </c>
      <c r="D3691">
        <v>5.1407069999999999</v>
      </c>
      <c r="E3691">
        <v>0.49693159999999997</v>
      </c>
      <c r="F3691" t="s">
        <v>72</v>
      </c>
      <c r="G3691">
        <v>-316.27080000000001</v>
      </c>
      <c r="H3691" s="1">
        <v>3.6864610000000002E-6</v>
      </c>
      <c r="I3691">
        <v>213.88130000000001</v>
      </c>
      <c r="J3691">
        <v>-334.13569999999999</v>
      </c>
      <c r="K3691">
        <v>1.1104510000000001</v>
      </c>
      <c r="L3691">
        <v>212.8192</v>
      </c>
      <c r="M3691">
        <v>0.99994280000000002</v>
      </c>
      <c r="N3691">
        <v>-1.0503520000000001E-2</v>
      </c>
      <c r="O3691">
        <v>-2.0836000000000001E-3</v>
      </c>
      <c r="P3691">
        <v>0.98575749999999995</v>
      </c>
      <c r="Q3691">
        <v>0.1584448</v>
      </c>
      <c r="R3691">
        <v>5.637172E-2</v>
      </c>
      <c r="S3691">
        <v>3.0630799999999998</v>
      </c>
      <c r="T3691">
        <v>-0.18604589999999999</v>
      </c>
      <c r="U3691">
        <v>0.17787169999999999</v>
      </c>
      <c r="V3691">
        <v>-5.8729179999999999E-2</v>
      </c>
      <c r="W3691">
        <v>0.16868359999999999</v>
      </c>
      <c r="X3691">
        <v>0.98391910000000005</v>
      </c>
      <c r="Y3691">
        <v>-5.9920189999999998E-2</v>
      </c>
      <c r="Z3691">
        <v>2.2363019999999999E-3</v>
      </c>
      <c r="AA3691">
        <v>0.99820070000000005</v>
      </c>
      <c r="AB3691">
        <v>39</v>
      </c>
      <c r="AC3691">
        <v>17.864899999999899</v>
      </c>
      <c r="AD3691">
        <v>-1.1104473135390001</v>
      </c>
      <c r="AE3691">
        <v>1.06210000000001</v>
      </c>
      <c r="AF3691">
        <v>-1.09510687047671</v>
      </c>
      <c r="AG3691">
        <v>-1.1104473135390001</v>
      </c>
      <c r="AH3691">
        <v>17.794140395420001</v>
      </c>
      <c r="AI3691">
        <v>93.564199206722904</v>
      </c>
      <c r="AJ3691">
        <v>93.5217191287324</v>
      </c>
      <c r="AK3691">
        <v>17.862356639196001</v>
      </c>
      <c r="AL3691">
        <v>80.2887107366642</v>
      </c>
      <c r="AM3691">
        <v>93.415876869274399</v>
      </c>
      <c r="AN3691">
        <v>1.00000003441862</v>
      </c>
    </row>
    <row r="3692" spans="1:40" x14ac:dyDescent="0.25">
      <c r="A3692" t="str">
        <f>"20190304155129952"</f>
        <v>20190304155129952</v>
      </c>
      <c r="B3692" t="str">
        <f>"1551685889940282"</f>
        <v>1551685889940282</v>
      </c>
      <c r="C3692" t="s">
        <v>40</v>
      </c>
      <c r="D3692">
        <v>5.0345579999999996</v>
      </c>
      <c r="E3692">
        <v>0.4968052</v>
      </c>
      <c r="F3692" t="s">
        <v>72</v>
      </c>
      <c r="G3692">
        <v>-315.87299999999999</v>
      </c>
      <c r="H3692" s="1">
        <v>3.5100840000000001E-6</v>
      </c>
      <c r="I3692">
        <v>213.92310000000001</v>
      </c>
      <c r="J3692">
        <v>-333.7312</v>
      </c>
      <c r="K3692">
        <v>1.1104849999999999</v>
      </c>
      <c r="L3692">
        <v>212.81909999999999</v>
      </c>
      <c r="M3692">
        <v>0.99994419999999995</v>
      </c>
      <c r="N3692">
        <v>-1.0509070000000001E-2</v>
      </c>
      <c r="O3692">
        <v>-1.249427E-3</v>
      </c>
      <c r="P3692">
        <v>0.98565740000000002</v>
      </c>
      <c r="Q3692">
        <v>0.1585541</v>
      </c>
      <c r="R3692">
        <v>5.7794819999999997E-2</v>
      </c>
      <c r="S3692">
        <v>3.0627140000000002</v>
      </c>
      <c r="T3692">
        <v>-0.18622530000000001</v>
      </c>
      <c r="U3692">
        <v>0.1851196</v>
      </c>
      <c r="V3692">
        <v>-5.9343609999999998E-2</v>
      </c>
      <c r="W3692">
        <v>0.1687922</v>
      </c>
      <c r="X3692">
        <v>0.98386359999999995</v>
      </c>
      <c r="Y3692">
        <v>-6.1445800000000002E-2</v>
      </c>
      <c r="Z3692">
        <v>2.2509000000000001E-3</v>
      </c>
      <c r="AA3692">
        <v>0.99810790000000005</v>
      </c>
      <c r="AB3692">
        <v>39</v>
      </c>
      <c r="AC3692">
        <v>17.8582</v>
      </c>
      <c r="AD3692">
        <v>-1.110481489916</v>
      </c>
      <c r="AE3692">
        <v>1.1040000000000101</v>
      </c>
      <c r="AF3692">
        <v>-1.1219909302748201</v>
      </c>
      <c r="AG3692">
        <v>-1.110481489916</v>
      </c>
      <c r="AH3692">
        <v>17.788285446304599</v>
      </c>
      <c r="AI3692">
        <v>93.565140719278403</v>
      </c>
      <c r="AJ3692">
        <v>93.609133478821406</v>
      </c>
      <c r="AK3692">
        <v>17.858195090945799</v>
      </c>
      <c r="AL3692">
        <v>80.282397823471996</v>
      </c>
      <c r="AM3692">
        <v>93.451722363217101</v>
      </c>
      <c r="AN3692">
        <v>1.0000000271168099</v>
      </c>
    </row>
    <row r="3693" spans="1:40" x14ac:dyDescent="0.25">
      <c r="A3693" t="str">
        <f>"20190304155129974"</f>
        <v>20190304155129974</v>
      </c>
      <c r="B3693" t="str">
        <f>"1551685889970539"</f>
        <v>1551685889970539</v>
      </c>
      <c r="C3693" t="s">
        <v>40</v>
      </c>
      <c r="D3693">
        <v>4.8832890000000004</v>
      </c>
      <c r="E3693">
        <v>0.49658960000000002</v>
      </c>
      <c r="F3693" t="s">
        <v>72</v>
      </c>
      <c r="G3693">
        <v>-315.46960000000001</v>
      </c>
      <c r="H3693" s="1">
        <v>3.3311780000000002E-6</v>
      </c>
      <c r="I3693">
        <v>213.95150000000001</v>
      </c>
      <c r="J3693">
        <v>-333.34519999999998</v>
      </c>
      <c r="K3693">
        <v>1.1105119999999999</v>
      </c>
      <c r="L3693">
        <v>212.8194</v>
      </c>
      <c r="M3693">
        <v>0.99994470000000002</v>
      </c>
      <c r="N3693">
        <v>-1.0514320000000001E-2</v>
      </c>
      <c r="O3693">
        <v>-4.3104550000000003E-4</v>
      </c>
      <c r="P3693">
        <v>0.98551429999999995</v>
      </c>
      <c r="Q3693">
        <v>0.15886819999999999</v>
      </c>
      <c r="R3693">
        <v>5.9351479999999998E-2</v>
      </c>
      <c r="S3693">
        <v>3.0624690000000001</v>
      </c>
      <c r="T3693">
        <v>-0.1862278</v>
      </c>
      <c r="U3693">
        <v>0.1898956</v>
      </c>
      <c r="V3693">
        <v>-6.0105489999999998E-2</v>
      </c>
      <c r="W3693">
        <v>0.16910420000000001</v>
      </c>
      <c r="X3693">
        <v>0.98376379999999997</v>
      </c>
      <c r="Y3693">
        <v>-6.2183870000000002E-2</v>
      </c>
      <c r="Z3693">
        <v>2.2363629999999999E-3</v>
      </c>
      <c r="AA3693">
        <v>0.99806220000000001</v>
      </c>
      <c r="AB3693">
        <v>39</v>
      </c>
      <c r="AC3693">
        <v>17.875599999999899</v>
      </c>
      <c r="AD3693">
        <v>-1.1105086688220001</v>
      </c>
      <c r="AE3693">
        <v>1.1321000000000001</v>
      </c>
      <c r="AF3693">
        <v>-1.1354408742236299</v>
      </c>
      <c r="AG3693">
        <v>-1.1105086688220001</v>
      </c>
      <c r="AH3693">
        <v>17.806661390372799</v>
      </c>
      <c r="AI3693">
        <v>93.561403137497294</v>
      </c>
      <c r="AJ3693">
        <v>93.648522942384005</v>
      </c>
      <c r="AK3693">
        <v>17.877350065202101</v>
      </c>
      <c r="AL3693">
        <v>80.2642611166157</v>
      </c>
      <c r="AM3693">
        <v>93.496281691879801</v>
      </c>
      <c r="AN3693">
        <v>1.0000000572881</v>
      </c>
    </row>
    <row r="3694" spans="1:40" x14ac:dyDescent="0.25">
      <c r="A3694" t="str">
        <f>"20190304155129994"</f>
        <v>20190304155129994</v>
      </c>
      <c r="B3694" t="str">
        <f>"1551685889990058"</f>
        <v>1551685889990058</v>
      </c>
      <c r="C3694" t="s">
        <v>40</v>
      </c>
      <c r="D3694">
        <v>5.1174460000000002</v>
      </c>
      <c r="E3694">
        <v>0.49642140000000001</v>
      </c>
      <c r="F3694" t="s">
        <v>72</v>
      </c>
      <c r="G3694">
        <v>-314.86759999999998</v>
      </c>
      <c r="H3694" s="1">
        <v>3.0642420000000001E-6</v>
      </c>
      <c r="I3694">
        <v>214.00309999999999</v>
      </c>
      <c r="J3694">
        <v>-332.97739999999999</v>
      </c>
      <c r="K3694">
        <v>1.1105309999999999</v>
      </c>
      <c r="L3694">
        <v>212.81989999999999</v>
      </c>
      <c r="M3694">
        <v>0.99994470000000002</v>
      </c>
      <c r="N3694">
        <v>-1.0519280000000001E-2</v>
      </c>
      <c r="O3694">
        <v>3.6827950000000001E-4</v>
      </c>
      <c r="P3694">
        <v>0.98546889999999998</v>
      </c>
      <c r="Q3694">
        <v>0.15884429999999999</v>
      </c>
      <c r="R3694">
        <v>6.0163139999999997E-2</v>
      </c>
      <c r="S3694">
        <v>3.0619510000000001</v>
      </c>
      <c r="T3694">
        <v>-0.18402470000000001</v>
      </c>
      <c r="U3694">
        <v>0.19616700000000001</v>
      </c>
      <c r="V3694">
        <v>-6.0139020000000001E-2</v>
      </c>
      <c r="W3694">
        <v>0.1690817</v>
      </c>
      <c r="X3694">
        <v>0.98376549999999996</v>
      </c>
      <c r="Y3694">
        <v>-6.3433799999999999E-2</v>
      </c>
      <c r="Z3694">
        <v>2.2186559999999998E-3</v>
      </c>
      <c r="AA3694">
        <v>0.99798359999999997</v>
      </c>
      <c r="AB3694">
        <v>39</v>
      </c>
      <c r="AC3694">
        <v>18.1098</v>
      </c>
      <c r="AD3694">
        <v>-1.110527935758</v>
      </c>
      <c r="AE3694">
        <v>1.18319999999999</v>
      </c>
      <c r="AF3694">
        <v>-1.1721411227849701</v>
      </c>
      <c r="AG3694">
        <v>-1.110527935758</v>
      </c>
      <c r="AH3694">
        <v>18.0426756223514</v>
      </c>
      <c r="AI3694">
        <v>93.514725539009007</v>
      </c>
      <c r="AJ3694">
        <v>93.716992945523501</v>
      </c>
      <c r="AK3694">
        <v>18.114782105264599</v>
      </c>
      <c r="AL3694">
        <v>80.265567963432304</v>
      </c>
      <c r="AM3694">
        <v>93.498221229192694</v>
      </c>
      <c r="AN3694">
        <v>0.99999994099584799</v>
      </c>
    </row>
    <row r="3695" spans="1:40" x14ac:dyDescent="0.25">
      <c r="A3695" t="str">
        <f>"20190304155130018"</f>
        <v>20190304155130018</v>
      </c>
      <c r="B3695" t="str">
        <f>"1551685890010555"</f>
        <v>1551685890010555</v>
      </c>
      <c r="C3695" t="s">
        <v>40</v>
      </c>
      <c r="D3695">
        <v>5.0918890000000001</v>
      </c>
      <c r="E3695">
        <v>0.49609910000000002</v>
      </c>
      <c r="F3695" t="s">
        <v>72</v>
      </c>
      <c r="G3695">
        <v>-314.5342</v>
      </c>
      <c r="H3695" s="1">
        <v>2.916387E-6</v>
      </c>
      <c r="I3695">
        <v>214.02520000000001</v>
      </c>
      <c r="J3695">
        <v>-332.57139999999998</v>
      </c>
      <c r="K3695">
        <v>1.1105590000000001</v>
      </c>
      <c r="L3695">
        <v>212.82079999999999</v>
      </c>
      <c r="M3695">
        <v>0.9999439</v>
      </c>
      <c r="N3695">
        <v>-1.0524739999999999E-2</v>
      </c>
      <c r="O3695">
        <v>1.271554E-3</v>
      </c>
      <c r="P3695">
        <v>0.98546330000000004</v>
      </c>
      <c r="Q3695">
        <v>0.15857449999999901</v>
      </c>
      <c r="R3695">
        <v>6.0963789999999997E-2</v>
      </c>
      <c r="S3695">
        <v>3.0617369999999999</v>
      </c>
      <c r="T3695">
        <v>-0.18435779999999999</v>
      </c>
      <c r="U3695">
        <v>0.2000885</v>
      </c>
      <c r="V3695">
        <v>-6.0059260000000003E-2</v>
      </c>
      <c r="W3695">
        <v>0.16881470000000001</v>
      </c>
      <c r="X3695">
        <v>0.98381629999999998</v>
      </c>
      <c r="Y3695">
        <v>-6.3809489999999996E-2</v>
      </c>
      <c r="Z3695">
        <v>2.1907749999999998E-3</v>
      </c>
      <c r="AA3695">
        <v>0.99795970000000001</v>
      </c>
      <c r="AB3695">
        <v>39</v>
      </c>
      <c r="AC3695">
        <v>18.037199999999899</v>
      </c>
      <c r="AD3695">
        <v>-1.110556083613</v>
      </c>
      <c r="AE3695">
        <v>1.2044000000000199</v>
      </c>
      <c r="AF3695">
        <v>-1.17702031961613</v>
      </c>
      <c r="AG3695">
        <v>-1.110556083613</v>
      </c>
      <c r="AH3695">
        <v>17.970893436281202</v>
      </c>
      <c r="AI3695">
        <v>93.528697021606803</v>
      </c>
      <c r="AJ3695">
        <v>93.747288024485201</v>
      </c>
      <c r="AK3695">
        <v>18.043606140287299</v>
      </c>
      <c r="AL3695">
        <v>80.281089779490898</v>
      </c>
      <c r="AM3695">
        <v>93.493413228423094</v>
      </c>
      <c r="AN3695">
        <v>1.00000001489676</v>
      </c>
    </row>
    <row r="3696" spans="1:40" x14ac:dyDescent="0.25">
      <c r="A3696" t="str">
        <f>"20190304155130039"</f>
        <v>20190304155130039</v>
      </c>
      <c r="B3696" t="str">
        <f>"1551685890030074"</f>
        <v>1551685890030074</v>
      </c>
      <c r="C3696" t="s">
        <v>40</v>
      </c>
      <c r="D3696">
        <v>5.0912069999999998</v>
      </c>
      <c r="E3696">
        <v>0.49586560000000002</v>
      </c>
      <c r="F3696" t="s">
        <v>72</v>
      </c>
      <c r="G3696">
        <v>-314.28699999999998</v>
      </c>
      <c r="H3696" s="1">
        <v>2.8067420000000001E-6</v>
      </c>
      <c r="I3696">
        <v>214.04390000000001</v>
      </c>
      <c r="J3696">
        <v>-332.1773</v>
      </c>
      <c r="K3696">
        <v>1.110587</v>
      </c>
      <c r="L3696">
        <v>212.82210000000001</v>
      </c>
      <c r="M3696">
        <v>0.9999422</v>
      </c>
      <c r="N3696">
        <v>-1.052998E-2</v>
      </c>
      <c r="O3696">
        <v>2.1676619999999999E-3</v>
      </c>
      <c r="P3696">
        <v>0.98531230000000003</v>
      </c>
      <c r="Q3696">
        <v>0.1591747</v>
      </c>
      <c r="R3696">
        <v>6.1832690000000003E-2</v>
      </c>
      <c r="S3696">
        <v>3.061493</v>
      </c>
      <c r="T3696">
        <v>-0.185948</v>
      </c>
      <c r="U3696">
        <v>0.2047882</v>
      </c>
      <c r="V3696">
        <v>-6.005626E-2</v>
      </c>
      <c r="W3696">
        <v>0.16941579999999901</v>
      </c>
      <c r="X3696">
        <v>0.98371319999999995</v>
      </c>
      <c r="Y3696">
        <v>-6.4443249999999994E-2</v>
      </c>
      <c r="Z3696">
        <v>2.1845300000000001E-3</v>
      </c>
      <c r="AA3696">
        <v>0.997919</v>
      </c>
      <c r="AB3696">
        <v>39</v>
      </c>
      <c r="AC3696">
        <v>17.8902999999999</v>
      </c>
      <c r="AD3696">
        <v>-1.1105841932580001</v>
      </c>
      <c r="AE3696">
        <v>1.2218</v>
      </c>
      <c r="AF3696">
        <v>-1.17849448077887</v>
      </c>
      <c r="AG3696">
        <v>-1.1105841932580001</v>
      </c>
      <c r="AH3696">
        <v>17.824536634824302</v>
      </c>
      <c r="AI3696">
        <v>93.557542497845006</v>
      </c>
      <c r="AJ3696">
        <v>93.782686155585097</v>
      </c>
      <c r="AK3696">
        <v>17.8979426956769</v>
      </c>
      <c r="AL3696">
        <v>80.246146446759994</v>
      </c>
      <c r="AM3696">
        <v>93.493604371293301</v>
      </c>
      <c r="AN3696">
        <v>1.0000000637545301</v>
      </c>
    </row>
    <row r="3697" spans="1:40" x14ac:dyDescent="0.25">
      <c r="A3697" t="str">
        <f>"20190304155130062"</f>
        <v>20190304155130062</v>
      </c>
      <c r="B3697" t="str">
        <f>"1551685890050574"</f>
        <v>1551685890050574</v>
      </c>
      <c r="C3697" t="s">
        <v>40</v>
      </c>
      <c r="D3697">
        <v>5.1102879999999997</v>
      </c>
      <c r="E3697">
        <v>0.49560290000000001</v>
      </c>
      <c r="F3697" t="s">
        <v>72</v>
      </c>
      <c r="G3697">
        <v>-313.78550000000001</v>
      </c>
      <c r="H3697" s="1">
        <v>2.5843739999999999E-6</v>
      </c>
      <c r="I3697">
        <v>214.0779</v>
      </c>
      <c r="J3697">
        <v>-331.79500000000002</v>
      </c>
      <c r="K3697">
        <v>1.1106039999999999</v>
      </c>
      <c r="L3697">
        <v>212.8237</v>
      </c>
      <c r="M3697">
        <v>0.99994000000000005</v>
      </c>
      <c r="N3697">
        <v>-1.0534959999999999E-2</v>
      </c>
      <c r="O3697">
        <v>3.0529699999999999E-3</v>
      </c>
      <c r="P3697">
        <v>0.98520419999999997</v>
      </c>
      <c r="Q3697">
        <v>0.1595191</v>
      </c>
      <c r="R3697">
        <v>6.2662469999999998E-2</v>
      </c>
      <c r="S3697">
        <v>3.0614620000000001</v>
      </c>
      <c r="T3697">
        <v>-0.18486620000000001</v>
      </c>
      <c r="U3697">
        <v>0.20904539999999999</v>
      </c>
      <c r="V3697">
        <v>-6.0023090000000001E-2</v>
      </c>
      <c r="W3697">
        <v>0.1697612</v>
      </c>
      <c r="X3697">
        <v>0.98365559999999996</v>
      </c>
      <c r="Y3697">
        <v>-6.4943230000000005E-2</v>
      </c>
      <c r="Z3697">
        <v>2.147735E-3</v>
      </c>
      <c r="AA3697">
        <v>0.99788670000000002</v>
      </c>
      <c r="AB3697">
        <v>39</v>
      </c>
      <c r="AC3697">
        <v>18.009499999999999</v>
      </c>
      <c r="AD3697">
        <v>-1.110601415626</v>
      </c>
      <c r="AE3697">
        <v>1.25419999999999</v>
      </c>
      <c r="AF3697">
        <v>-1.1946873182931901</v>
      </c>
      <c r="AG3697">
        <v>-1.110601415626</v>
      </c>
      <c r="AH3697">
        <v>17.9453306651669</v>
      </c>
      <c r="AI3697">
        <v>93.533604956629503</v>
      </c>
      <c r="AJ3697">
        <v>93.808772593673595</v>
      </c>
      <c r="AK3697">
        <v>18.019312028350601</v>
      </c>
      <c r="AL3697">
        <v>80.226064865262302</v>
      </c>
      <c r="AM3697">
        <v>93.491883531487105</v>
      </c>
      <c r="AN3697">
        <v>0.99999998788497302</v>
      </c>
    </row>
    <row r="3698" spans="1:40" x14ac:dyDescent="0.25">
      <c r="A3698" t="str">
        <f>"20190304155130084"</f>
        <v>20190304155130084</v>
      </c>
      <c r="B3698" t="str">
        <f>"1551685890080581"</f>
        <v>1551685890080581</v>
      </c>
      <c r="C3698" t="s">
        <v>40</v>
      </c>
      <c r="D3698">
        <v>5.0593409999999999</v>
      </c>
      <c r="E3698">
        <v>0.4954846</v>
      </c>
      <c r="F3698" t="s">
        <v>72</v>
      </c>
      <c r="G3698">
        <v>-313.37400000000002</v>
      </c>
      <c r="H3698" s="1">
        <v>2.4018699999999998E-6</v>
      </c>
      <c r="I3698">
        <v>214.11099999999999</v>
      </c>
      <c r="J3698">
        <v>-331.4051</v>
      </c>
      <c r="K3698">
        <v>1.1106199999999999</v>
      </c>
      <c r="L3698">
        <v>212.82560000000001</v>
      </c>
      <c r="M3698">
        <v>0.99993670000000001</v>
      </c>
      <c r="N3698">
        <v>-1.0539949999999999E-2</v>
      </c>
      <c r="O3698">
        <v>3.9704629999999996E-3</v>
      </c>
      <c r="P3698">
        <v>0.98520700000000005</v>
      </c>
      <c r="Q3698">
        <v>0.159419899999999</v>
      </c>
      <c r="R3698">
        <v>6.286899E-2</v>
      </c>
      <c r="S3698">
        <v>3.06134</v>
      </c>
      <c r="T3698">
        <v>-0.18456819999999999</v>
      </c>
      <c r="U3698">
        <v>0.21394350000000001</v>
      </c>
      <c r="V3698">
        <v>-5.9334570000000003E-2</v>
      </c>
      <c r="W3698">
        <v>0.16966629999999999</v>
      </c>
      <c r="X3698">
        <v>0.98371370000000002</v>
      </c>
      <c r="Y3698">
        <v>-6.5619419999999998E-2</v>
      </c>
      <c r="Z3698">
        <v>2.1234190000000001E-3</v>
      </c>
      <c r="AA3698">
        <v>0.99784249999999997</v>
      </c>
      <c r="AB3698">
        <v>39</v>
      </c>
      <c r="AC3698">
        <v>18.031099999999899</v>
      </c>
      <c r="AD3698">
        <v>-1.1106175981299999</v>
      </c>
      <c r="AE3698">
        <v>1.2853999999999799</v>
      </c>
      <c r="AF3698">
        <v>-1.20922959723005</v>
      </c>
      <c r="AG3698">
        <v>-1.1106175981299999</v>
      </c>
      <c r="AH3698">
        <v>17.968236954705802</v>
      </c>
      <c r="AI3698">
        <v>93.528992986520194</v>
      </c>
      <c r="AJ3698">
        <v>93.850096115245606</v>
      </c>
      <c r="AK3698">
        <v>18.043094161715999</v>
      </c>
      <c r="AL3698">
        <v>80.231581841344905</v>
      </c>
      <c r="AM3698">
        <v>93.451722450526503</v>
      </c>
      <c r="AN3698">
        <v>0.99999994406022996</v>
      </c>
    </row>
    <row r="3699" spans="1:40" x14ac:dyDescent="0.25">
      <c r="A3699" t="str">
        <f>"20190304155130105"</f>
        <v>20190304155130105</v>
      </c>
      <c r="B3699" t="str">
        <f>"1551685890100101"</f>
        <v>1551685890100101</v>
      </c>
      <c r="C3699" t="s">
        <v>40</v>
      </c>
      <c r="D3699">
        <v>5.1398950000000001</v>
      </c>
      <c r="E3699">
        <v>0.49537490000000001</v>
      </c>
      <c r="F3699" t="s">
        <v>72</v>
      </c>
      <c r="G3699">
        <v>-313.13299999999998</v>
      </c>
      <c r="H3699" s="1">
        <v>2.2950130000000002E-6</v>
      </c>
      <c r="I3699">
        <v>214.1155</v>
      </c>
      <c r="J3699">
        <v>-331.01920000000001</v>
      </c>
      <c r="K3699">
        <v>1.110646</v>
      </c>
      <c r="L3699">
        <v>212.8279</v>
      </c>
      <c r="M3699">
        <v>0.9999325</v>
      </c>
      <c r="N3699">
        <v>-1.054511E-2</v>
      </c>
      <c r="O3699">
        <v>4.8937900000000003E-3</v>
      </c>
      <c r="P3699">
        <v>0.98499000000000003</v>
      </c>
      <c r="Q3699">
        <v>0.16053000000000001</v>
      </c>
      <c r="R3699">
        <v>6.3440609999999995E-2</v>
      </c>
      <c r="S3699">
        <v>3.0613709999999998</v>
      </c>
      <c r="T3699">
        <v>-0.1860771</v>
      </c>
      <c r="U3699">
        <v>0.2161102</v>
      </c>
      <c r="V3699">
        <v>-5.9008789999999998E-2</v>
      </c>
      <c r="W3699">
        <v>0.17077709999999999</v>
      </c>
      <c r="X3699">
        <v>0.98354109999999995</v>
      </c>
      <c r="Y3699">
        <v>-6.5399739999999998E-2</v>
      </c>
      <c r="Z3699">
        <v>2.08362E-3</v>
      </c>
      <c r="AA3699">
        <v>0.99785699999999999</v>
      </c>
      <c r="AB3699">
        <v>39</v>
      </c>
      <c r="AC3699">
        <v>17.886199999999999</v>
      </c>
      <c r="AD3699">
        <v>-1.1106437049869999</v>
      </c>
      <c r="AE3699">
        <v>1.2875999999999901</v>
      </c>
      <c r="AF3699">
        <v>-1.19546272417272</v>
      </c>
      <c r="AG3699">
        <v>-1.1106437049869999</v>
      </c>
      <c r="AH3699">
        <v>17.823916434610499</v>
      </c>
      <c r="AI3699">
        <v>93.557631601803294</v>
      </c>
      <c r="AJ3699">
        <v>93.837121739759496</v>
      </c>
      <c r="AK3699">
        <v>17.898454057048902</v>
      </c>
      <c r="AL3699">
        <v>80.166995399654994</v>
      </c>
      <c r="AM3699">
        <v>93.433416986697495</v>
      </c>
      <c r="AN3699">
        <v>0.99999997528544105</v>
      </c>
    </row>
    <row r="3700" spans="1:40" x14ac:dyDescent="0.25">
      <c r="A3700" t="str">
        <f>"20190304155130129"</f>
        <v>20190304155130129</v>
      </c>
      <c r="B3700" t="str">
        <f>"1551685890120600"</f>
        <v>1551685890120600</v>
      </c>
      <c r="C3700" t="s">
        <v>40</v>
      </c>
      <c r="D3700">
        <v>5.1196890000000002</v>
      </c>
      <c r="E3700">
        <v>0.49525330000000001</v>
      </c>
      <c r="F3700" t="s">
        <v>72</v>
      </c>
      <c r="G3700">
        <v>-312.5136</v>
      </c>
      <c r="H3700" s="1">
        <v>2.0203099999999998E-6</v>
      </c>
      <c r="I3700">
        <v>214.14500000000001</v>
      </c>
      <c r="J3700">
        <v>-330.60449999999997</v>
      </c>
      <c r="K3700">
        <v>1.1106769999999999</v>
      </c>
      <c r="L3700">
        <v>212.83080000000001</v>
      </c>
      <c r="M3700">
        <v>0.99992709999999996</v>
      </c>
      <c r="N3700">
        <v>-1.0550530000000001E-2</v>
      </c>
      <c r="O3700">
        <v>5.9030710000000002E-3</v>
      </c>
      <c r="P3700">
        <v>0.98469530000000005</v>
      </c>
      <c r="Q3700">
        <v>0.1619177</v>
      </c>
      <c r="R3700">
        <v>6.4484799999999995E-2</v>
      </c>
      <c r="S3700">
        <v>3.0616460000000001</v>
      </c>
      <c r="T3700">
        <v>-0.18374969999999999</v>
      </c>
      <c r="U3700">
        <v>0.21791079999999999</v>
      </c>
      <c r="V3700">
        <v>-5.907217E-2</v>
      </c>
      <c r="W3700">
        <v>0.1721644</v>
      </c>
      <c r="X3700">
        <v>0.98329540000000004</v>
      </c>
      <c r="Y3700">
        <v>-6.4975350000000001E-2</v>
      </c>
      <c r="Z3700">
        <v>1.9978230000000001E-3</v>
      </c>
      <c r="AA3700">
        <v>0.99788489999999996</v>
      </c>
      <c r="AB3700">
        <v>40</v>
      </c>
      <c r="AC3700">
        <v>18.090899999999898</v>
      </c>
      <c r="AD3700">
        <v>-1.11067497969</v>
      </c>
      <c r="AE3700">
        <v>1.31419999999999</v>
      </c>
      <c r="AF3700">
        <v>-1.20286920753725</v>
      </c>
      <c r="AG3700">
        <v>-1.11067497969</v>
      </c>
      <c r="AH3700">
        <v>18.030737622527202</v>
      </c>
      <c r="AI3700">
        <v>93.517109436231806</v>
      </c>
      <c r="AJ3700">
        <v>93.816669091774997</v>
      </c>
      <c r="AK3700">
        <v>18.104916250934998</v>
      </c>
      <c r="AL3700">
        <v>80.086313975281101</v>
      </c>
      <c r="AM3700">
        <v>93.4379526870013</v>
      </c>
      <c r="AN3700">
        <v>0.99999997277851405</v>
      </c>
    </row>
    <row r="3701" spans="1:40" x14ac:dyDescent="0.25">
      <c r="A3701" t="str">
        <f>"20190304155130152"</f>
        <v>20190304155130152</v>
      </c>
      <c r="B3701" t="str">
        <f>"1551685890140117"</f>
        <v>1551685890140117</v>
      </c>
      <c r="C3701" t="s">
        <v>40</v>
      </c>
      <c r="D3701">
        <v>5.1224020000000001</v>
      </c>
      <c r="E3701">
        <v>0.49523840000000002</v>
      </c>
      <c r="F3701" t="s">
        <v>72</v>
      </c>
      <c r="G3701">
        <v>-311.75670000000002</v>
      </c>
      <c r="H3701" s="1">
        <v>1.6846459999999999E-6</v>
      </c>
      <c r="I3701">
        <v>214.1908</v>
      </c>
      <c r="J3701">
        <v>-330.19799999999998</v>
      </c>
      <c r="K3701">
        <v>1.1107089999999999</v>
      </c>
      <c r="L3701">
        <v>212.83410000000001</v>
      </c>
      <c r="M3701">
        <v>0.99992049999999999</v>
      </c>
      <c r="N3701">
        <v>-1.0555520000000001E-2</v>
      </c>
      <c r="O3701">
        <v>6.9098359999999999E-3</v>
      </c>
      <c r="P3701">
        <v>0.9843324</v>
      </c>
      <c r="Q3701">
        <v>0.16359109999999999</v>
      </c>
      <c r="R3701">
        <v>6.5785209999999997E-2</v>
      </c>
      <c r="S3701">
        <v>3.0618289999999999</v>
      </c>
      <c r="T3701">
        <v>-0.1804287</v>
      </c>
      <c r="U3701">
        <v>0.22093199999999999</v>
      </c>
      <c r="V3701">
        <v>-5.9396270000000001E-2</v>
      </c>
      <c r="W3701">
        <v>0.1738354</v>
      </c>
      <c r="X3701">
        <v>0.98298189999999996</v>
      </c>
      <c r="Y3701">
        <v>-6.4951510000000004E-2</v>
      </c>
      <c r="Z3701">
        <v>1.9197319999999999E-3</v>
      </c>
      <c r="AA3701">
        <v>0.99788659999999996</v>
      </c>
      <c r="AB3701">
        <v>40</v>
      </c>
      <c r="AC3701">
        <v>18.441299999999998</v>
      </c>
      <c r="AD3701">
        <v>-1.1107073153539999</v>
      </c>
      <c r="AE3701">
        <v>1.35669999999998</v>
      </c>
      <c r="AF3701">
        <v>-1.2248149724614199</v>
      </c>
      <c r="AG3701">
        <v>-1.1107073153539999</v>
      </c>
      <c r="AH3701">
        <v>18.383904831435899</v>
      </c>
      <c r="AI3701">
        <v>93.449828408935801</v>
      </c>
      <c r="AJ3701">
        <v>93.811658701250195</v>
      </c>
      <c r="AK3701">
        <v>18.458109310231102</v>
      </c>
      <c r="AL3701">
        <v>79.989107684867804</v>
      </c>
      <c r="AM3701">
        <v>93.457869215759402</v>
      </c>
      <c r="AN3701">
        <v>1.0000000394553401</v>
      </c>
    </row>
    <row r="3702" spans="1:40" x14ac:dyDescent="0.25">
      <c r="A3702" t="str">
        <f>"20190304155130174"</f>
        <v>20190304155130174</v>
      </c>
      <c r="B3702" t="str">
        <f>"1551685890170373"</f>
        <v>1551685890170373</v>
      </c>
      <c r="C3702" t="s">
        <v>40</v>
      </c>
      <c r="D3702">
        <v>5.1205400000000001</v>
      </c>
      <c r="E3702">
        <v>0.49519540000000001</v>
      </c>
      <c r="F3702" t="s">
        <v>72</v>
      </c>
      <c r="G3702">
        <v>-310.91370000000001</v>
      </c>
      <c r="H3702" s="1">
        <v>1.310814E-6</v>
      </c>
      <c r="I3702">
        <v>214.24799999999999</v>
      </c>
      <c r="J3702">
        <v>-329.815</v>
      </c>
      <c r="K3702">
        <v>1.1107309999999999</v>
      </c>
      <c r="L3702">
        <v>212.83760000000001</v>
      </c>
      <c r="M3702">
        <v>0.99991339999999995</v>
      </c>
      <c r="N3702">
        <v>-1.0560129999999999E-2</v>
      </c>
      <c r="O3702">
        <v>7.8698999999999904E-3</v>
      </c>
      <c r="P3702">
        <v>0.9839466</v>
      </c>
      <c r="Q3702">
        <v>0.1652188</v>
      </c>
      <c r="R3702">
        <v>6.7471020000000007E-2</v>
      </c>
      <c r="S3702">
        <v>3.0620729999999998</v>
      </c>
      <c r="T3702">
        <v>-0.1763642</v>
      </c>
      <c r="U3702">
        <v>0.2245026</v>
      </c>
      <c r="V3702">
        <v>-6.0150620000000002E-2</v>
      </c>
      <c r="W3702">
        <v>0.17546030000000001</v>
      </c>
      <c r="X3702">
        <v>0.98264720000000005</v>
      </c>
      <c r="Y3702">
        <v>-6.5150840000000002E-2</v>
      </c>
      <c r="Z3702">
        <v>1.847661E-3</v>
      </c>
      <c r="AA3702">
        <v>0.99787369999999997</v>
      </c>
      <c r="AB3702">
        <v>40</v>
      </c>
      <c r="AC3702">
        <v>18.9012999999999</v>
      </c>
      <c r="AD3702">
        <v>-1.1107296891859999</v>
      </c>
      <c r="AE3702">
        <v>1.4103999999999799</v>
      </c>
      <c r="AF3702">
        <v>-1.2572789898572301</v>
      </c>
      <c r="AG3702">
        <v>-1.1107296891859999</v>
      </c>
      <c r="AH3702">
        <v>18.847090782874702</v>
      </c>
      <c r="AI3702">
        <v>93.365291411672501</v>
      </c>
      <c r="AJ3702">
        <v>93.816515072338106</v>
      </c>
      <c r="AK3702">
        <v>18.9216093892327</v>
      </c>
      <c r="AL3702">
        <v>79.894553832712504</v>
      </c>
      <c r="AM3702">
        <v>93.502866314185994</v>
      </c>
      <c r="AN3702">
        <v>0.99999996681515602</v>
      </c>
    </row>
    <row r="3703" spans="1:40" x14ac:dyDescent="0.25">
      <c r="A3703" t="str">
        <f>"20190304155130195"</f>
        <v>20190304155130195</v>
      </c>
      <c r="B3703" t="str">
        <f>"1551685890189894"</f>
        <v>1551685890189894</v>
      </c>
      <c r="C3703" t="s">
        <v>40</v>
      </c>
      <c r="D3703">
        <v>5.1132479999999996</v>
      </c>
      <c r="E3703">
        <v>0.5208642</v>
      </c>
      <c r="F3703" t="s">
        <v>72</v>
      </c>
      <c r="G3703">
        <v>-310.09640000000002</v>
      </c>
      <c r="H3703" s="1">
        <v>9.4839280000000003E-7</v>
      </c>
      <c r="I3703">
        <v>214.31530000000001</v>
      </c>
      <c r="J3703">
        <v>-329.43099999999998</v>
      </c>
      <c r="K3703">
        <v>1.110751</v>
      </c>
      <c r="L3703">
        <v>212.84139999999999</v>
      </c>
      <c r="M3703">
        <v>0.99990500000000004</v>
      </c>
      <c r="N3703">
        <v>-1.056474E-2</v>
      </c>
      <c r="O3703">
        <v>8.8427000000000002E-3</v>
      </c>
      <c r="P3703">
        <v>0.98363020000000001</v>
      </c>
      <c r="Q3703">
        <v>0.16644030000000001</v>
      </c>
      <c r="R3703">
        <v>6.9059339999999997E-2</v>
      </c>
      <c r="S3703">
        <v>3.062195</v>
      </c>
      <c r="T3703">
        <v>-0.17249049999999999</v>
      </c>
      <c r="U3703">
        <v>0.22947690000000001</v>
      </c>
      <c r="V3703">
        <v>-6.0794069999999999E-2</v>
      </c>
      <c r="W3703">
        <v>0.176679799999999</v>
      </c>
      <c r="X3703">
        <v>0.98238910000000002</v>
      </c>
      <c r="Y3703">
        <v>-6.5793710000000005E-2</v>
      </c>
      <c r="Z3703">
        <v>1.7936390000000001E-3</v>
      </c>
      <c r="AA3703">
        <v>0.99783160000000004</v>
      </c>
      <c r="AB3703">
        <v>40</v>
      </c>
      <c r="AC3703">
        <v>19.334599999999899</v>
      </c>
      <c r="AD3703">
        <v>-1.1107500516072</v>
      </c>
      <c r="AE3703">
        <v>1.47390000000001</v>
      </c>
      <c r="AF3703">
        <v>-1.29860164205298</v>
      </c>
      <c r="AG3703">
        <v>-1.1107500516072</v>
      </c>
      <c r="AH3703">
        <v>19.283602695960202</v>
      </c>
      <c r="AI3703">
        <v>93.289204007018</v>
      </c>
      <c r="AJ3703">
        <v>93.852611225911801</v>
      </c>
      <c r="AK3703">
        <v>19.359170045162799</v>
      </c>
      <c r="AL3703">
        <v>79.823573145673507</v>
      </c>
      <c r="AM3703">
        <v>93.541170522943801</v>
      </c>
      <c r="AN3703">
        <v>1.0000000072370001</v>
      </c>
    </row>
    <row r="3704" spans="1:40" x14ac:dyDescent="0.25">
      <c r="A3704" t="str">
        <f>"20190304155130219"</f>
        <v>20190304155130219</v>
      </c>
      <c r="B3704" t="str">
        <f>"1551685890210389"</f>
        <v>1551685890210389</v>
      </c>
      <c r="C3704" t="s">
        <v>40</v>
      </c>
      <c r="D3704">
        <v>5.0972530000000003</v>
      </c>
      <c r="E3704">
        <v>0.52703849999999997</v>
      </c>
      <c r="F3704" t="s">
        <v>72</v>
      </c>
      <c r="G3704">
        <v>-289.87650000000002</v>
      </c>
      <c r="H3704" s="1">
        <v>2.8745230000000002E-6</v>
      </c>
      <c r="I3704">
        <v>213.24549999999999</v>
      </c>
      <c r="J3704">
        <v>-329.01780000000002</v>
      </c>
      <c r="K3704">
        <v>1.1107670000000001</v>
      </c>
      <c r="L3704">
        <v>212.846</v>
      </c>
      <c r="M3704">
        <v>0.99989519999999998</v>
      </c>
      <c r="N3704">
        <v>-1.0569810000000001E-2</v>
      </c>
      <c r="O3704">
        <v>9.9003679999999997E-3</v>
      </c>
      <c r="P3704">
        <v>0.98346679999999997</v>
      </c>
      <c r="Q3704">
        <v>0.16687569999999999</v>
      </c>
      <c r="R3704">
        <v>7.0325670000000007E-2</v>
      </c>
      <c r="S3704">
        <v>3.0623170000000002</v>
      </c>
      <c r="T3704">
        <v>-8.5994360000000006E-2</v>
      </c>
      <c r="U3704">
        <v>3.1280519999999999E-2</v>
      </c>
      <c r="V3704">
        <v>-6.1028569999999997E-2</v>
      </c>
      <c r="W3704">
        <v>0.17711579999999999</v>
      </c>
      <c r="X3704">
        <v>0.98229599999999995</v>
      </c>
      <c r="Y3704">
        <v>-3.1456650000000002E-4</v>
      </c>
      <c r="Z3704">
        <v>-1.6723430000000001E-4</v>
      </c>
      <c r="AA3704">
        <v>0.99999990000000005</v>
      </c>
      <c r="AB3704">
        <v>40</v>
      </c>
      <c r="AC3704">
        <v>39.141300000000001</v>
      </c>
      <c r="AD3704">
        <v>-1.110764125477</v>
      </c>
      <c r="AE3704">
        <v>0.39950000000001701</v>
      </c>
      <c r="AF3704">
        <v>-1.1935913478741801E-2</v>
      </c>
      <c r="AG3704">
        <v>-1.110764125477</v>
      </c>
      <c r="AH3704">
        <v>39.111842284890301</v>
      </c>
      <c r="AI3704">
        <v>91.626744944943695</v>
      </c>
      <c r="AJ3704">
        <v>90.017485175992306</v>
      </c>
      <c r="AK3704">
        <v>39.127613603778698</v>
      </c>
      <c r="AL3704">
        <v>79.798191440489504</v>
      </c>
      <c r="AM3704">
        <v>93.555130917160994</v>
      </c>
      <c r="AN3704">
        <v>0.99999996229094101</v>
      </c>
    </row>
    <row r="3705" spans="1:40" x14ac:dyDescent="0.25">
      <c r="A3705" t="str">
        <f>"20190304155130241"</f>
        <v>20190304155130241</v>
      </c>
      <c r="B3705" t="str">
        <f>"1551685890230885"</f>
        <v>1551685890230885</v>
      </c>
      <c r="C3705" t="s">
        <v>40</v>
      </c>
      <c r="D3705">
        <v>5.0768690000000003</v>
      </c>
      <c r="E3705">
        <v>0.5304719</v>
      </c>
      <c r="F3705" t="s">
        <v>72</v>
      </c>
      <c r="G3705">
        <v>-281.39429999999999</v>
      </c>
      <c r="H3705" s="1">
        <v>6.7091779999999999E-6</v>
      </c>
      <c r="I3705">
        <v>212.6318</v>
      </c>
      <c r="J3705">
        <v>-328.61939999999998</v>
      </c>
      <c r="K3705">
        <v>1.1107769999999999</v>
      </c>
      <c r="L3705">
        <v>212.85079999999999</v>
      </c>
      <c r="M3705">
        <v>0.99988429999999995</v>
      </c>
      <c r="N3705">
        <v>-1.0574689999999999E-2</v>
      </c>
      <c r="O3705">
        <v>1.092917E-2</v>
      </c>
      <c r="P3705">
        <v>0.98338490000000001</v>
      </c>
      <c r="Q3705">
        <v>0.1667971</v>
      </c>
      <c r="R3705">
        <v>7.1643360000000003E-2</v>
      </c>
      <c r="S3705">
        <v>3.0635379999999999</v>
      </c>
      <c r="T3705">
        <v>-7.1453210000000003E-2</v>
      </c>
      <c r="U3705">
        <v>-1.377869E-2</v>
      </c>
      <c r="V3705">
        <v>-6.1339970000000001E-2</v>
      </c>
      <c r="W3705">
        <v>0.17703929999999901</v>
      </c>
      <c r="X3705">
        <v>0.98229040000000001</v>
      </c>
      <c r="Y3705">
        <v>1.542001E-2</v>
      </c>
      <c r="Z3705">
        <v>-4.0065419999999998E-4</v>
      </c>
      <c r="AA3705">
        <v>0.99988100000000002</v>
      </c>
      <c r="AB3705">
        <v>40</v>
      </c>
      <c r="AC3705">
        <v>47.225099999999998</v>
      </c>
      <c r="AD3705">
        <v>-1.1107702908220001</v>
      </c>
      <c r="AE3705">
        <v>-0.21899999999999401</v>
      </c>
      <c r="AF3705">
        <v>0.73474048619599297</v>
      </c>
      <c r="AG3705">
        <v>-1.1107702908220001</v>
      </c>
      <c r="AH3705">
        <v>47.193777262746202</v>
      </c>
      <c r="AI3705">
        <v>91.348122533778394</v>
      </c>
      <c r="AJ3705">
        <v>89.108057658878593</v>
      </c>
      <c r="AK3705">
        <v>47.212564710537897</v>
      </c>
      <c r="AL3705">
        <v>79.802645003754506</v>
      </c>
      <c r="AM3705">
        <v>93.573244510949905</v>
      </c>
      <c r="AN3705">
        <v>0.99999996779812494</v>
      </c>
    </row>
    <row r="3706" spans="1:40" x14ac:dyDescent="0.25">
      <c r="A3706" t="str">
        <f>"20190304155130263"</f>
        <v>20190304155130263</v>
      </c>
      <c r="B3706" t="str">
        <f>"1551685890250405"</f>
        <v>1551685890250405</v>
      </c>
      <c r="C3706" t="s">
        <v>40</v>
      </c>
      <c r="D3706">
        <v>5.0606419999999996</v>
      </c>
      <c r="E3706">
        <v>0.53211960000000003</v>
      </c>
      <c r="F3706" t="s">
        <v>70</v>
      </c>
      <c r="G3706">
        <v>-262.67439999999999</v>
      </c>
      <c r="H3706" s="1">
        <v>-1.9866419999999999E-9</v>
      </c>
      <c r="I3706">
        <v>212.0625</v>
      </c>
      <c r="J3706">
        <v>-328.2432</v>
      </c>
      <c r="K3706">
        <v>1.1107899999999999</v>
      </c>
      <c r="L3706">
        <v>212.85570000000001</v>
      </c>
      <c r="M3706">
        <v>0.99987320000000002</v>
      </c>
      <c r="N3706">
        <v>-1.0579409999999999E-2</v>
      </c>
      <c r="O3706">
        <v>1.1908490000000001E-2</v>
      </c>
      <c r="P3706">
        <v>0.98323020000000005</v>
      </c>
      <c r="Q3706">
        <v>0.167291299999999</v>
      </c>
      <c r="R3706">
        <v>7.2612140000000006E-2</v>
      </c>
      <c r="S3706">
        <v>3.0621339999999999</v>
      </c>
      <c r="T3706">
        <v>-5.1578520000000003E-2</v>
      </c>
      <c r="U3706">
        <v>-3.6605829999999999E-2</v>
      </c>
      <c r="V3706">
        <v>-6.135314E-2</v>
      </c>
      <c r="W3706">
        <v>0.17753579999999999</v>
      </c>
      <c r="X3706">
        <v>0.98219999999999996</v>
      </c>
      <c r="Y3706">
        <v>2.3855210000000002E-2</v>
      </c>
      <c r="Z3706">
        <v>-4.0168110000000001E-4</v>
      </c>
      <c r="AA3706">
        <v>0.99971529999999997</v>
      </c>
      <c r="AB3706">
        <v>40</v>
      </c>
      <c r="AC3706">
        <v>65.568799999999996</v>
      </c>
      <c r="AD3706">
        <v>-1.1107900019866399</v>
      </c>
      <c r="AE3706">
        <v>-0.79320000000001301</v>
      </c>
      <c r="AF3706">
        <v>1.57356125585954</v>
      </c>
      <c r="AG3706">
        <v>-1.1107900019866399</v>
      </c>
      <c r="AH3706">
        <v>65.535898235650706</v>
      </c>
      <c r="AI3706">
        <v>90.970752745046994</v>
      </c>
      <c r="AJ3706">
        <v>88.624553849686194</v>
      </c>
      <c r="AK3706">
        <v>65.564196837969604</v>
      </c>
      <c r="AL3706">
        <v>79.773740137329</v>
      </c>
      <c r="AM3706">
        <v>93.574337809115505</v>
      </c>
      <c r="AN3706">
        <v>1.0000000040347401</v>
      </c>
    </row>
    <row r="3707" spans="1:40" x14ac:dyDescent="0.25">
      <c r="A3707" t="str">
        <f>"20190304155130284"</f>
        <v>20190304155130284</v>
      </c>
      <c r="B3707" t="str">
        <f>"1551685890280661"</f>
        <v>1551685890280661</v>
      </c>
      <c r="C3707" t="s">
        <v>40</v>
      </c>
      <c r="D3707">
        <v>5.0815799999999998</v>
      </c>
      <c r="E3707">
        <v>0.53245940000000003</v>
      </c>
      <c r="F3707" t="s">
        <v>70</v>
      </c>
      <c r="G3707">
        <v>-261.55450000000002</v>
      </c>
      <c r="H3707" s="1">
        <v>-5.8764580000000001E-7</v>
      </c>
      <c r="I3707">
        <v>211.82759999999999</v>
      </c>
      <c r="J3707">
        <v>-327.8546</v>
      </c>
      <c r="K3707">
        <v>1.110806</v>
      </c>
      <c r="L3707">
        <v>212.8612</v>
      </c>
      <c r="M3707">
        <v>0.99986039999999998</v>
      </c>
      <c r="N3707">
        <v>-1.0584319999999999E-2</v>
      </c>
      <c r="O3707">
        <v>1.2928520000000001E-2</v>
      </c>
      <c r="P3707">
        <v>0.98313110000000004</v>
      </c>
      <c r="Q3707">
        <v>0.1673954</v>
      </c>
      <c r="R3707">
        <v>7.3703999999999895E-2</v>
      </c>
      <c r="S3707">
        <v>3.0633539999999999</v>
      </c>
      <c r="T3707">
        <v>-5.1024319999999998E-2</v>
      </c>
      <c r="U3707">
        <v>-4.7225950000000003E-2</v>
      </c>
      <c r="V3707">
        <v>-6.1448410000000002E-2</v>
      </c>
      <c r="W3707">
        <v>0.177642299999999</v>
      </c>
      <c r="X3707">
        <v>0.98217480000000001</v>
      </c>
      <c r="Y3707">
        <v>2.833434E-2</v>
      </c>
      <c r="Z3707">
        <v>-4.6440689999999998E-4</v>
      </c>
      <c r="AA3707">
        <v>0.9995984</v>
      </c>
      <c r="AB3707">
        <v>40</v>
      </c>
      <c r="AC3707">
        <v>66.300099999999901</v>
      </c>
      <c r="AD3707">
        <v>-1.1108065876458</v>
      </c>
      <c r="AE3707">
        <v>-1.0336000000000001</v>
      </c>
      <c r="AF3707">
        <v>1.8901933380046301</v>
      </c>
      <c r="AG3707">
        <v>-1.1108065876458</v>
      </c>
      <c r="AH3707">
        <v>66.262598907664795</v>
      </c>
      <c r="AI3707">
        <v>90.960009087527496</v>
      </c>
      <c r="AJ3707">
        <v>88.366035418253702</v>
      </c>
      <c r="AK3707">
        <v>66.298859237005402</v>
      </c>
      <c r="AL3707">
        <v>79.767539698950102</v>
      </c>
      <c r="AM3707">
        <v>93.579965278782495</v>
      </c>
      <c r="AN3707">
        <v>1.0000000157979201</v>
      </c>
    </row>
    <row r="3708" spans="1:40" x14ac:dyDescent="0.25">
      <c r="A3708" t="str">
        <f>"20190304155130308"</f>
        <v>20190304155130308</v>
      </c>
      <c r="B3708" t="str">
        <f>"1551685890300181"</f>
        <v>1551685890300181</v>
      </c>
      <c r="C3708" t="s">
        <v>40</v>
      </c>
      <c r="D3708">
        <v>5.3926319999999999</v>
      </c>
      <c r="E3708">
        <v>0.53277030000000003</v>
      </c>
      <c r="F3708" t="s">
        <v>70</v>
      </c>
      <c r="G3708">
        <v>-266.62450000000001</v>
      </c>
      <c r="H3708" s="1">
        <v>2.1059909999999998E-6</v>
      </c>
      <c r="I3708">
        <v>211.92679999999999</v>
      </c>
      <c r="J3708">
        <v>-327.43369999999999</v>
      </c>
      <c r="K3708">
        <v>1.1108199999999999</v>
      </c>
      <c r="L3708">
        <v>212.86760000000001</v>
      </c>
      <c r="M3708">
        <v>0.99984530000000005</v>
      </c>
      <c r="N3708">
        <v>-1.0589589999999999E-2</v>
      </c>
      <c r="O3708">
        <v>1.4043450000000001E-2</v>
      </c>
      <c r="P3708">
        <v>0.98302429999999996</v>
      </c>
      <c r="Q3708">
        <v>0.16768440000000001</v>
      </c>
      <c r="R3708">
        <v>7.4467599999999995E-2</v>
      </c>
      <c r="S3708">
        <v>3.0644529999999999</v>
      </c>
      <c r="T3708">
        <v>-5.5593610000000002E-2</v>
      </c>
      <c r="U3708">
        <v>-4.6768190000000001E-2</v>
      </c>
      <c r="V3708">
        <v>-6.1122929999999999E-2</v>
      </c>
      <c r="W3708">
        <v>0.1779347</v>
      </c>
      <c r="X3708">
        <v>0.98214219999999997</v>
      </c>
      <c r="Y3708">
        <v>2.9292800000000001E-2</v>
      </c>
      <c r="Z3708">
        <v>-5.2683120000000003E-4</v>
      </c>
      <c r="AA3708">
        <v>0.99957070000000003</v>
      </c>
      <c r="AB3708">
        <v>40</v>
      </c>
      <c r="AC3708">
        <v>60.809199999999898</v>
      </c>
      <c r="AD3708">
        <v>-1.1108178940090001</v>
      </c>
      <c r="AE3708">
        <v>-0.94080000000002395</v>
      </c>
      <c r="AF3708">
        <v>1.7941275222622901</v>
      </c>
      <c r="AG3708">
        <v>-1.1108178940090001</v>
      </c>
      <c r="AH3708">
        <v>60.769716284756498</v>
      </c>
      <c r="AI3708">
        <v>91.046744723745306</v>
      </c>
      <c r="AJ3708">
        <v>88.308926054770296</v>
      </c>
      <c r="AK3708">
        <v>60.806341998919798</v>
      </c>
      <c r="AL3708">
        <v>79.750515395466806</v>
      </c>
      <c r="AM3708">
        <v>93.561169736579998</v>
      </c>
      <c r="AN3708">
        <v>1.00000003552835</v>
      </c>
    </row>
    <row r="3709" spans="1:40" x14ac:dyDescent="0.25">
      <c r="A3709" t="str">
        <f>"20190304155130330"</f>
        <v>20190304155130330</v>
      </c>
      <c r="B3709" t="str">
        <f>"1551685890320680"</f>
        <v>1551685890320680</v>
      </c>
      <c r="C3709" t="s">
        <v>40</v>
      </c>
      <c r="D3709">
        <v>5.1009419999999999</v>
      </c>
      <c r="E3709">
        <v>0.53320009999999995</v>
      </c>
      <c r="F3709" t="s">
        <v>70</v>
      </c>
      <c r="G3709">
        <v>-276.35390000000001</v>
      </c>
      <c r="H3709" s="1">
        <v>1.955317E-6</v>
      </c>
      <c r="I3709">
        <v>212.08019999999999</v>
      </c>
      <c r="J3709">
        <v>-327.03390000000002</v>
      </c>
      <c r="K3709">
        <v>1.110835</v>
      </c>
      <c r="L3709">
        <v>212.8741</v>
      </c>
      <c r="M3709">
        <v>0.99982979999999999</v>
      </c>
      <c r="N3709">
        <v>-1.0594610000000001E-2</v>
      </c>
      <c r="O3709">
        <v>1.511296E-2</v>
      </c>
      <c r="P3709">
        <v>0.98281850000000004</v>
      </c>
      <c r="Q3709">
        <v>0.16839309999999999</v>
      </c>
      <c r="R3709">
        <v>7.5577039999999998E-2</v>
      </c>
      <c r="S3709">
        <v>3.0667110000000002</v>
      </c>
      <c r="T3709">
        <v>-6.6691039999999993E-2</v>
      </c>
      <c r="U3709">
        <v>-4.7271729999999998E-2</v>
      </c>
      <c r="V3709">
        <v>-6.1190309999999998E-2</v>
      </c>
      <c r="W3709">
        <v>0.178645</v>
      </c>
      <c r="X3709">
        <v>0.98200900000000002</v>
      </c>
      <c r="Y3709">
        <v>3.0511219999999999E-2</v>
      </c>
      <c r="Z3709">
        <v>-6.6186969999999996E-4</v>
      </c>
      <c r="AA3709">
        <v>0.99953420000000004</v>
      </c>
      <c r="AB3709">
        <v>40</v>
      </c>
      <c r="AC3709">
        <v>50.68</v>
      </c>
      <c r="AD3709">
        <v>-1.1108330446829999</v>
      </c>
      <c r="AE3709">
        <v>-0.79390000000000704</v>
      </c>
      <c r="AF3709">
        <v>1.5590282069155901</v>
      </c>
      <c r="AG3709">
        <v>-1.1108330446829999</v>
      </c>
      <c r="AH3709">
        <v>50.637890803584597</v>
      </c>
      <c r="AI3709">
        <v>91.256089246741396</v>
      </c>
      <c r="AJ3709">
        <v>88.236547228899894</v>
      </c>
      <c r="AK3709">
        <v>50.674061451978297</v>
      </c>
      <c r="AL3709">
        <v>79.709154990965601</v>
      </c>
      <c r="AM3709">
        <v>93.565567660935997</v>
      </c>
      <c r="AN3709">
        <v>0.99999998307194704</v>
      </c>
    </row>
    <row r="3710" spans="1:40" x14ac:dyDescent="0.25">
      <c r="A3710" t="str">
        <f>"20190304155130354"</f>
        <v>20190304155130354</v>
      </c>
      <c r="B3710" t="str">
        <f>"1551685890349959"</f>
        <v>1551685890349959</v>
      </c>
      <c r="C3710" t="s">
        <v>40</v>
      </c>
      <c r="D3710">
        <v>5.0730570000000004</v>
      </c>
      <c r="E3710">
        <v>0.53384189999999998</v>
      </c>
      <c r="F3710" t="s">
        <v>70</v>
      </c>
      <c r="G3710">
        <v>-277.12490000000003</v>
      </c>
      <c r="H3710" s="1">
        <v>2.3645340000000001E-6</v>
      </c>
      <c r="I3710">
        <v>212.1044</v>
      </c>
      <c r="J3710">
        <v>-326.62270000000001</v>
      </c>
      <c r="K3710">
        <v>1.1108499999999999</v>
      </c>
      <c r="L3710">
        <v>212.88130000000001</v>
      </c>
      <c r="M3710">
        <v>0.99981220000000004</v>
      </c>
      <c r="N3710">
        <v>-1.0599849999999999E-2</v>
      </c>
      <c r="O3710">
        <v>1.6221449999999998E-2</v>
      </c>
      <c r="P3710">
        <v>0.98268200000000006</v>
      </c>
      <c r="Q3710">
        <v>0.1687526</v>
      </c>
      <c r="R3710">
        <v>7.6544719999999997E-2</v>
      </c>
      <c r="S3710">
        <v>3.0678100000000001</v>
      </c>
      <c r="T3710">
        <v>-6.8280820000000006E-2</v>
      </c>
      <c r="U3710">
        <v>-4.7317499999999998E-2</v>
      </c>
      <c r="V3710">
        <v>-6.1076180000000001E-2</v>
      </c>
      <c r="W3710">
        <v>0.17900759999999999</v>
      </c>
      <c r="X3710">
        <v>0.98195010000000005</v>
      </c>
      <c r="Y3710">
        <v>3.1627769999999999E-2</v>
      </c>
      <c r="Z3710">
        <v>-7.0862649999999905E-4</v>
      </c>
      <c r="AA3710">
        <v>0.99949940000000004</v>
      </c>
      <c r="AB3710">
        <v>40</v>
      </c>
      <c r="AC3710">
        <v>49.497799999999899</v>
      </c>
      <c r="AD3710">
        <v>-1.110847635466</v>
      </c>
      <c r="AE3710">
        <v>-0.77690000000001103</v>
      </c>
      <c r="AF3710">
        <v>1.5789739249853501</v>
      </c>
      <c r="AG3710">
        <v>-1.110847635466</v>
      </c>
      <c r="AH3710">
        <v>49.453781631615797</v>
      </c>
      <c r="AI3710">
        <v>91.286125705380798</v>
      </c>
      <c r="AJ3710">
        <v>88.171265856443995</v>
      </c>
      <c r="AK3710">
        <v>49.491450360567796</v>
      </c>
      <c r="AL3710">
        <v>79.688039445871695</v>
      </c>
      <c r="AM3710">
        <v>93.559147324807199</v>
      </c>
      <c r="AN3710">
        <v>1.0000000097555799</v>
      </c>
    </row>
    <row r="3711" spans="1:40" x14ac:dyDescent="0.25">
      <c r="A3711" t="str">
        <f>"20190304155130376"</f>
        <v>20190304155130376</v>
      </c>
      <c r="B3711" t="str">
        <f>"1551685890370453"</f>
        <v>1551685890370453</v>
      </c>
      <c r="C3711" t="s">
        <v>40</v>
      </c>
      <c r="D3711">
        <v>5.1076629999999996</v>
      </c>
      <c r="E3711">
        <v>0.5333736</v>
      </c>
      <c r="F3711" t="s">
        <v>70</v>
      </c>
      <c r="G3711">
        <v>-279.33120000000002</v>
      </c>
      <c r="H3711" s="1">
        <v>3.5380409999999999E-6</v>
      </c>
      <c r="I3711">
        <v>212.11760000000001</v>
      </c>
      <c r="J3711">
        <v>-326.22800000000001</v>
      </c>
      <c r="K3711">
        <v>1.1108659999999999</v>
      </c>
      <c r="L3711">
        <v>212.8886</v>
      </c>
      <c r="M3711">
        <v>0.99979419999999997</v>
      </c>
      <c r="N3711">
        <v>-1.060496E-2</v>
      </c>
      <c r="O3711">
        <v>1.7293079999999999E-2</v>
      </c>
      <c r="P3711">
        <v>0.98248120000000005</v>
      </c>
      <c r="Q3711">
        <v>0.16924429999999999</v>
      </c>
      <c r="R3711">
        <v>7.8020480000000003E-2</v>
      </c>
      <c r="S3711">
        <v>3.0690919999999999</v>
      </c>
      <c r="T3711">
        <v>-7.2090979999999999E-2</v>
      </c>
      <c r="U3711">
        <v>-4.9560550000000002E-2</v>
      </c>
      <c r="V3711">
        <v>-6.1506949999999998E-2</v>
      </c>
      <c r="W3711">
        <v>0.1795002</v>
      </c>
      <c r="X3711">
        <v>0.98183330000000002</v>
      </c>
      <c r="Y3711">
        <v>3.3420739999999997E-2</v>
      </c>
      <c r="Z3711">
        <v>-7.9244850000000002E-4</v>
      </c>
      <c r="AA3711">
        <v>0.99944100000000002</v>
      </c>
      <c r="AB3711">
        <v>40</v>
      </c>
      <c r="AC3711">
        <v>46.896799999999899</v>
      </c>
      <c r="AD3711">
        <v>-1.110862461959</v>
      </c>
      <c r="AE3711">
        <v>-0.77099999999998603</v>
      </c>
      <c r="AF3711">
        <v>1.5810335676749701</v>
      </c>
      <c r="AG3711">
        <v>-1.110862461959</v>
      </c>
      <c r="AH3711">
        <v>46.850172554161297</v>
      </c>
      <c r="AI3711">
        <v>91.357510819528798</v>
      </c>
      <c r="AJ3711">
        <v>88.0671963067295</v>
      </c>
      <c r="AK3711">
        <v>46.890002675476602</v>
      </c>
      <c r="AL3711">
        <v>79.659351060680905</v>
      </c>
      <c r="AM3711">
        <v>93.584610031672199</v>
      </c>
      <c r="AN3711">
        <v>1.0000000278436101</v>
      </c>
    </row>
    <row r="3712" spans="1:40" x14ac:dyDescent="0.25">
      <c r="A3712" t="str">
        <f>"20190304155130398"</f>
        <v>20190304155130398</v>
      </c>
      <c r="B3712" t="str">
        <f>"1551685890390290"</f>
        <v>1551685890390290</v>
      </c>
      <c r="C3712" t="s">
        <v>40</v>
      </c>
      <c r="D3712">
        <v>5.1585710000000002</v>
      </c>
      <c r="E3712">
        <v>0.53389569999999997</v>
      </c>
      <c r="F3712" t="s">
        <v>70</v>
      </c>
      <c r="G3712">
        <v>-279.92899999999997</v>
      </c>
      <c r="H3712" s="1">
        <v>3.8497529999999997E-6</v>
      </c>
      <c r="I3712">
        <v>212.26349999999999</v>
      </c>
      <c r="J3712">
        <v>-325.83319999999998</v>
      </c>
      <c r="K3712">
        <v>1.1108819999999999</v>
      </c>
      <c r="L3712">
        <v>212.8963</v>
      </c>
      <c r="M3712">
        <v>0.99977490000000002</v>
      </c>
      <c r="N3712">
        <v>-1.060988E-2</v>
      </c>
      <c r="O3712">
        <v>1.8373770000000001E-2</v>
      </c>
      <c r="P3712">
        <v>0.98240289999999997</v>
      </c>
      <c r="Q3712">
        <v>0.16927819999999999</v>
      </c>
      <c r="R3712">
        <v>7.8928880000000007E-2</v>
      </c>
      <c r="S3712">
        <v>3.0694270000000001</v>
      </c>
      <c r="T3712">
        <v>-7.3645349999999998E-2</v>
      </c>
      <c r="U3712">
        <v>-4.144287E-2</v>
      </c>
      <c r="V3712">
        <v>-6.135811E-2</v>
      </c>
      <c r="W3712">
        <v>0.17953729999999901</v>
      </c>
      <c r="X3712">
        <v>0.98183580000000004</v>
      </c>
      <c r="Y3712">
        <v>3.1856589999999997E-2</v>
      </c>
      <c r="Z3712">
        <v>-7.9697320000000004E-4</v>
      </c>
      <c r="AA3712">
        <v>0.99949209999999999</v>
      </c>
      <c r="AB3712">
        <v>40</v>
      </c>
      <c r="AC3712">
        <v>45.904199999999904</v>
      </c>
      <c r="AD3712">
        <v>-1.110878150247</v>
      </c>
      <c r="AE3712">
        <v>-0.63280000000000303</v>
      </c>
      <c r="AF3712">
        <v>1.47531001548483</v>
      </c>
      <c r="AG3712">
        <v>-1.110878150247</v>
      </c>
      <c r="AH3712">
        <v>45.8579713825171</v>
      </c>
      <c r="AI3712">
        <v>91.386962591536005</v>
      </c>
      <c r="AJ3712">
        <v>88.157356493910299</v>
      </c>
      <c r="AK3712">
        <v>45.895142762892</v>
      </c>
      <c r="AL3712">
        <v>79.6571899824974</v>
      </c>
      <c r="AM3712">
        <v>93.575949126875699</v>
      </c>
      <c r="AN3712">
        <v>0.99999999895785097</v>
      </c>
    </row>
    <row r="3713" spans="1:40" x14ac:dyDescent="0.25">
      <c r="A3713" t="str">
        <f>"20190304155130419"</f>
        <v>20190304155130419</v>
      </c>
      <c r="B3713" t="str">
        <f>"1551685890410785"</f>
        <v>1551685890410785</v>
      </c>
      <c r="C3713" t="s">
        <v>40</v>
      </c>
      <c r="D3713">
        <v>5.0993380000000004</v>
      </c>
      <c r="E3713">
        <v>0.53444009999999997</v>
      </c>
      <c r="F3713" t="s">
        <v>72</v>
      </c>
      <c r="G3713">
        <v>-280.51510000000002</v>
      </c>
      <c r="H3713" s="1">
        <v>7.1422939999999996E-6</v>
      </c>
      <c r="I3713">
        <v>212.26910000000001</v>
      </c>
      <c r="J3713">
        <v>-325.44330000000002</v>
      </c>
      <c r="K3713">
        <v>1.110894</v>
      </c>
      <c r="L3713">
        <v>212.90440000000001</v>
      </c>
      <c r="M3713">
        <v>0.99975449999999999</v>
      </c>
      <c r="N3713">
        <v>-1.061467E-2</v>
      </c>
      <c r="O3713">
        <v>1.944951E-2</v>
      </c>
      <c r="P3713">
        <v>0.98221829999999999</v>
      </c>
      <c r="Q3713">
        <v>0.1696568</v>
      </c>
      <c r="R3713">
        <v>8.0399600000000002E-2</v>
      </c>
      <c r="S3713">
        <v>3.0701290000000001</v>
      </c>
      <c r="T3713">
        <v>-7.5257539999999998E-2</v>
      </c>
      <c r="U3713">
        <v>-4.2495730000000002E-2</v>
      </c>
      <c r="V3713">
        <v>-6.1779790000000001E-2</v>
      </c>
      <c r="W3713">
        <v>0.1799172</v>
      </c>
      <c r="X3713">
        <v>0.98173980000000005</v>
      </c>
      <c r="Y3713">
        <v>3.3270279999999999E-2</v>
      </c>
      <c r="Z3713">
        <v>-8.5455169999999997E-4</v>
      </c>
      <c r="AA3713">
        <v>0.99944599999999995</v>
      </c>
      <c r="AB3713">
        <v>40</v>
      </c>
      <c r="AC3713">
        <v>44.928199999999997</v>
      </c>
      <c r="AD3713">
        <v>-1.110886857706</v>
      </c>
      <c r="AE3713">
        <v>-0.63529999999999998</v>
      </c>
      <c r="AF3713">
        <v>1.50813867290522</v>
      </c>
      <c r="AG3713">
        <v>-1.110886857706</v>
      </c>
      <c r="AH3713">
        <v>44.8799108840808</v>
      </c>
      <c r="AI3713">
        <v>91.417120678769294</v>
      </c>
      <c r="AJ3713">
        <v>88.075364324456004</v>
      </c>
      <c r="AK3713">
        <v>44.918982099223598</v>
      </c>
      <c r="AL3713">
        <v>79.635062897009604</v>
      </c>
      <c r="AM3713">
        <v>93.600811347761393</v>
      </c>
      <c r="AN3713">
        <v>0.99999998810616197</v>
      </c>
    </row>
    <row r="3714" spans="1:40" x14ac:dyDescent="0.25">
      <c r="A3714" t="str">
        <f>"20190304155130442"</f>
        <v>20190304155130442</v>
      </c>
      <c r="B3714" t="str">
        <f>"1551685890430305"</f>
        <v>1551685890430305</v>
      </c>
      <c r="C3714" t="s">
        <v>40</v>
      </c>
      <c r="D3714">
        <v>4.9912320000000001</v>
      </c>
      <c r="E3714">
        <v>0.53469849999999997</v>
      </c>
      <c r="F3714" t="s">
        <v>72</v>
      </c>
      <c r="G3714">
        <v>-280.4855</v>
      </c>
      <c r="H3714" s="1">
        <v>7.1532350000000003E-6</v>
      </c>
      <c r="I3714">
        <v>212.28739999999999</v>
      </c>
      <c r="J3714">
        <v>-325.05509999999998</v>
      </c>
      <c r="K3714">
        <v>1.1109039999999999</v>
      </c>
      <c r="L3714">
        <v>212.91290000000001</v>
      </c>
      <c r="M3714">
        <v>0.99973290000000004</v>
      </c>
      <c r="N3714">
        <v>-1.0619669999999999E-2</v>
      </c>
      <c r="O3714">
        <v>2.0527879999999998E-2</v>
      </c>
      <c r="P3714">
        <v>0.98207809999999995</v>
      </c>
      <c r="Q3714">
        <v>0.16995150000000001</v>
      </c>
      <c r="R3714">
        <v>8.148039E-2</v>
      </c>
      <c r="S3714">
        <v>3.0708920000000002</v>
      </c>
      <c r="T3714">
        <v>-7.5880409999999995E-2</v>
      </c>
      <c r="U3714">
        <v>-4.214478E-2</v>
      </c>
      <c r="V3714">
        <v>-6.1807729999999998E-2</v>
      </c>
      <c r="W3714">
        <v>0.18021419999999999</v>
      </c>
      <c r="X3714">
        <v>0.98168359999999999</v>
      </c>
      <c r="Y3714">
        <v>3.4229889999999999E-2</v>
      </c>
      <c r="Z3714">
        <v>-8.9377160000000001E-4</v>
      </c>
      <c r="AA3714">
        <v>0.99941360000000001</v>
      </c>
      <c r="AB3714">
        <v>40</v>
      </c>
      <c r="AC3714">
        <v>44.569599999999902</v>
      </c>
      <c r="AD3714">
        <v>-1.110896846765</v>
      </c>
      <c r="AE3714">
        <v>-0.62550000000001604</v>
      </c>
      <c r="AF3714">
        <v>1.5393829954849001</v>
      </c>
      <c r="AG3714">
        <v>-1.110896846765</v>
      </c>
      <c r="AH3714">
        <v>44.519713706363802</v>
      </c>
      <c r="AI3714">
        <v>91.428546988995606</v>
      </c>
      <c r="AJ3714">
        <v>88.019640837075897</v>
      </c>
      <c r="AK3714">
        <v>44.5601694375991</v>
      </c>
      <c r="AL3714">
        <v>79.617763635975606</v>
      </c>
      <c r="AM3714">
        <v>93.602641223735503</v>
      </c>
      <c r="AN3714">
        <v>1.00000002193917</v>
      </c>
    </row>
    <row r="3715" spans="1:40" x14ac:dyDescent="0.25">
      <c r="A3715" t="str">
        <f>"20190304155130464"</f>
        <v>20190304155130464</v>
      </c>
      <c r="B3715" t="str">
        <f>"1551685890460562"</f>
        <v>1551685890460562</v>
      </c>
      <c r="C3715" t="s">
        <v>40</v>
      </c>
      <c r="D3715">
        <v>5.0329870000000003</v>
      </c>
      <c r="E3715">
        <v>0.53424199999999999</v>
      </c>
      <c r="F3715" t="s">
        <v>72</v>
      </c>
      <c r="G3715">
        <v>-280.10739999999998</v>
      </c>
      <c r="H3715" s="1">
        <v>7.3177119999999997E-6</v>
      </c>
      <c r="I3715">
        <v>212.31440000000001</v>
      </c>
      <c r="J3715">
        <v>-324.65910000000002</v>
      </c>
      <c r="K3715">
        <v>1.11091299999999</v>
      </c>
      <c r="L3715">
        <v>212.92189999999999</v>
      </c>
      <c r="M3715">
        <v>0.99970970000000003</v>
      </c>
      <c r="N3715">
        <v>-1.0624750000000001E-2</v>
      </c>
      <c r="O3715">
        <v>2.1633949999999999E-2</v>
      </c>
      <c r="P3715">
        <v>0.98197199999999996</v>
      </c>
      <c r="Q3715">
        <v>0.170076799999999</v>
      </c>
      <c r="R3715">
        <v>8.2495209999999999E-2</v>
      </c>
      <c r="S3715">
        <v>3.071259</v>
      </c>
      <c r="T3715">
        <v>-7.5906989999999994E-2</v>
      </c>
      <c r="U3715">
        <v>-4.0893550000000001E-2</v>
      </c>
      <c r="V3715">
        <v>-6.1740719999999999E-2</v>
      </c>
      <c r="W3715">
        <v>0.18034310000000001</v>
      </c>
      <c r="X3715">
        <v>0.98166410000000004</v>
      </c>
      <c r="Y3715">
        <v>3.4926470000000001E-2</v>
      </c>
      <c r="Z3715">
        <v>-9.2185490000000004E-4</v>
      </c>
      <c r="AA3715">
        <v>0.99938950000000004</v>
      </c>
      <c r="AB3715">
        <v>40</v>
      </c>
      <c r="AC3715">
        <v>44.551699999999997</v>
      </c>
      <c r="AD3715">
        <v>-1.1109056822879999</v>
      </c>
      <c r="AE3715">
        <v>-0.60749999999998705</v>
      </c>
      <c r="AF3715">
        <v>1.5702651149298399</v>
      </c>
      <c r="AG3715">
        <v>-1.1109056822879999</v>
      </c>
      <c r="AH3715">
        <v>44.500464867058298</v>
      </c>
      <c r="AI3715">
        <v>91.429140683795794</v>
      </c>
      <c r="AJ3715">
        <v>87.979071668382204</v>
      </c>
      <c r="AK3715">
        <v>44.542016314378898</v>
      </c>
      <c r="AL3715">
        <v>79.610254724136396</v>
      </c>
      <c r="AM3715">
        <v>93.598816921805593</v>
      </c>
      <c r="AN3715">
        <v>0.99999997772626903</v>
      </c>
    </row>
    <row r="3716" spans="1:40" x14ac:dyDescent="0.25">
      <c r="A3716" t="str">
        <f>"20190304155130486"</f>
        <v>20190304155130486</v>
      </c>
      <c r="B3716" t="str">
        <f>"1551685890480081"</f>
        <v>1551685890480081</v>
      </c>
      <c r="C3716" t="s">
        <v>40</v>
      </c>
      <c r="D3716">
        <v>5.1262100000000004</v>
      </c>
      <c r="E3716">
        <v>0.53405049999999998</v>
      </c>
      <c r="F3716" t="s">
        <v>72</v>
      </c>
      <c r="G3716">
        <v>-284.98630000000003</v>
      </c>
      <c r="H3716" s="1">
        <v>5.1338099999999997E-6</v>
      </c>
      <c r="I3716">
        <v>212.48480000000001</v>
      </c>
      <c r="J3716">
        <v>-324.2516</v>
      </c>
      <c r="K3716">
        <v>1.1109230000000001</v>
      </c>
      <c r="L3716">
        <v>212.93170000000001</v>
      </c>
      <c r="M3716">
        <v>0.99968409999999996</v>
      </c>
      <c r="N3716">
        <v>-1.062988E-2</v>
      </c>
      <c r="O3716">
        <v>2.2776899999999999E-2</v>
      </c>
      <c r="P3716">
        <v>0.98189930000000003</v>
      </c>
      <c r="Q3716">
        <v>0.17011509999999999</v>
      </c>
      <c r="R3716">
        <v>8.3275269999999998E-2</v>
      </c>
      <c r="S3716">
        <v>3.072845</v>
      </c>
      <c r="T3716">
        <v>-8.6044910000000002E-2</v>
      </c>
      <c r="U3716">
        <v>-3.385925E-2</v>
      </c>
      <c r="V3716">
        <v>-6.1401780000000003E-2</v>
      </c>
      <c r="W3716">
        <v>0.18038670000000001</v>
      </c>
      <c r="X3716">
        <v>0.98167740000000003</v>
      </c>
      <c r="Y3716">
        <v>3.3770439999999999E-2</v>
      </c>
      <c r="Z3716">
        <v>-1.0477869999999999E-3</v>
      </c>
      <c r="AA3716">
        <v>0.99942900000000001</v>
      </c>
      <c r="AB3716">
        <v>40</v>
      </c>
      <c r="AC3716">
        <v>39.265299999999897</v>
      </c>
      <c r="AD3716">
        <v>-1.1109178661900001</v>
      </c>
      <c r="AE3716">
        <v>-0.44689999999999902</v>
      </c>
      <c r="AF3716">
        <v>1.3401037797351301</v>
      </c>
      <c r="AG3716">
        <v>-1.1109178661900001</v>
      </c>
      <c r="AH3716">
        <v>39.213547514667397</v>
      </c>
      <c r="AI3716">
        <v>91.621806297426502</v>
      </c>
      <c r="AJ3716">
        <v>88.042706533618698</v>
      </c>
      <c r="AK3716">
        <v>39.252163320394899</v>
      </c>
      <c r="AL3716">
        <v>79.607715513320599</v>
      </c>
      <c r="AM3716">
        <v>93.579063513668004</v>
      </c>
      <c r="AN3716">
        <v>1.0000000288974</v>
      </c>
    </row>
    <row r="3717" spans="1:40" x14ac:dyDescent="0.25">
      <c r="A3717" t="str">
        <f>"20190304155130509"</f>
        <v>20190304155130509</v>
      </c>
      <c r="B3717" t="str">
        <f>"1551685890500581"</f>
        <v>1551685890500581</v>
      </c>
      <c r="C3717" t="s">
        <v>40</v>
      </c>
      <c r="D3717">
        <v>5.2144719999999998</v>
      </c>
      <c r="E3717">
        <v>0.53407079999999996</v>
      </c>
      <c r="F3717" t="s">
        <v>72</v>
      </c>
      <c r="G3717">
        <v>-286.89069999999998</v>
      </c>
      <c r="H3717" s="1">
        <v>4.2791960000000004E-6</v>
      </c>
      <c r="I3717">
        <v>212.5693</v>
      </c>
      <c r="J3717">
        <v>-323.8537</v>
      </c>
      <c r="K3717">
        <v>1.1109199999999999</v>
      </c>
      <c r="L3717">
        <v>212.9417</v>
      </c>
      <c r="M3717">
        <v>0.99965789999999999</v>
      </c>
      <c r="N3717">
        <v>-1.0635E-2</v>
      </c>
      <c r="O3717">
        <v>2.3896710000000002E-2</v>
      </c>
      <c r="P3717">
        <v>0.98179240000000001</v>
      </c>
      <c r="Q3717">
        <v>0.17045450000000001</v>
      </c>
      <c r="R3717">
        <v>8.3838889999999999E-2</v>
      </c>
      <c r="S3717">
        <v>3.073639</v>
      </c>
      <c r="T3717">
        <v>-9.1393950000000002E-2</v>
      </c>
      <c r="U3717">
        <v>-2.9815669999999999E-2</v>
      </c>
      <c r="V3717">
        <v>-6.0870319999999999E-2</v>
      </c>
      <c r="W3717">
        <v>0.18073049999999999</v>
      </c>
      <c r="X3717">
        <v>0.9816473</v>
      </c>
      <c r="Y3717">
        <v>3.3569660000000001E-2</v>
      </c>
      <c r="Z3717">
        <v>-1.133783E-3</v>
      </c>
      <c r="AA3717">
        <v>0.99943570000000004</v>
      </c>
      <c r="AB3717">
        <v>40</v>
      </c>
      <c r="AC3717">
        <v>36.963000000000001</v>
      </c>
      <c r="AD3717">
        <v>-1.1109157208039999</v>
      </c>
      <c r="AE3717">
        <v>-0.37239999999999801</v>
      </c>
      <c r="AF3717">
        <v>1.25450459019398</v>
      </c>
      <c r="AG3717">
        <v>-1.1109157208039999</v>
      </c>
      <c r="AH3717">
        <v>36.9102064678641</v>
      </c>
      <c r="AI3717">
        <v>91.722961739449602</v>
      </c>
      <c r="AJ3717">
        <v>88.053379619147606</v>
      </c>
      <c r="AK3717">
        <v>36.948224003406501</v>
      </c>
      <c r="AL3717">
        <v>79.587688443942397</v>
      </c>
      <c r="AM3717">
        <v>93.548273113248698</v>
      </c>
      <c r="AN3717">
        <v>1.0000000655422101</v>
      </c>
    </row>
    <row r="3718" spans="1:40" x14ac:dyDescent="0.25">
      <c r="A3718" t="str">
        <f>"20190304155130541"</f>
        <v>20190304155130541</v>
      </c>
      <c r="B3718" t="str">
        <f>"1551685890529857"</f>
        <v>1551685890529857</v>
      </c>
      <c r="C3718" t="s">
        <v>40</v>
      </c>
      <c r="D3718">
        <v>5.0496379999999998</v>
      </c>
      <c r="E3718">
        <v>0.53390819999999894</v>
      </c>
      <c r="F3718" t="s">
        <v>72</v>
      </c>
      <c r="G3718">
        <v>-287.73680000000002</v>
      </c>
      <c r="H3718" s="1">
        <v>3.8989869999999997E-6</v>
      </c>
      <c r="I3718">
        <v>212.6113</v>
      </c>
      <c r="J3718">
        <v>-323.26319999999998</v>
      </c>
      <c r="K3718">
        <v>1.1109260000000001</v>
      </c>
      <c r="L3718">
        <v>212.95740000000001</v>
      </c>
      <c r="M3718">
        <v>0.99961670000000002</v>
      </c>
      <c r="N3718">
        <v>-1.0642189999999999E-2</v>
      </c>
      <c r="O3718">
        <v>2.55616E-2</v>
      </c>
      <c r="P3718">
        <v>0.98167159999999998</v>
      </c>
      <c r="Q3718">
        <v>0.17083299999999901</v>
      </c>
      <c r="R3718">
        <v>8.4481680000000003E-2</v>
      </c>
      <c r="S3718">
        <v>3.0744319999999998</v>
      </c>
      <c r="T3718">
        <v>-9.4566109999999995E-2</v>
      </c>
      <c r="U3718">
        <v>-2.812195E-2</v>
      </c>
      <c r="V3718">
        <v>-5.9882959999999999E-2</v>
      </c>
      <c r="W3718">
        <v>0.1811179</v>
      </c>
      <c r="X3718">
        <v>0.98163659999999997</v>
      </c>
      <c r="Y3718">
        <v>3.4678399999999998E-2</v>
      </c>
      <c r="Z3718">
        <v>-1.2317889999999901E-3</v>
      </c>
      <c r="AA3718">
        <v>0.9993978</v>
      </c>
      <c r="AB3718">
        <v>40</v>
      </c>
      <c r="AC3718">
        <v>35.526399999999903</v>
      </c>
      <c r="AD3718">
        <v>-1.1109221010129999</v>
      </c>
      <c r="AE3718">
        <v>-0.34610000000000601</v>
      </c>
      <c r="AF3718">
        <v>1.25292482843431</v>
      </c>
      <c r="AG3718">
        <v>-1.1109221010129999</v>
      </c>
      <c r="AH3718">
        <v>35.471261339722098</v>
      </c>
      <c r="AI3718">
        <v>91.7927391000798</v>
      </c>
      <c r="AJ3718">
        <v>87.977025092491303</v>
      </c>
      <c r="AK3718">
        <v>35.510763855077599</v>
      </c>
      <c r="AL3718">
        <v>79.565119322738795</v>
      </c>
      <c r="AM3718">
        <v>93.490899047343206</v>
      </c>
      <c r="AN3718">
        <v>1.0000000385291601</v>
      </c>
    </row>
    <row r="3719" spans="1:40" x14ac:dyDescent="0.25">
      <c r="A3719" t="str">
        <f>"20190304155130564"</f>
        <v>20190304155130564</v>
      </c>
      <c r="B3719" t="str">
        <f>"1551685890560114"</f>
        <v>1551685890560114</v>
      </c>
      <c r="C3719" t="s">
        <v>40</v>
      </c>
      <c r="D3719">
        <v>5.0236299999999998</v>
      </c>
      <c r="E3719">
        <v>0.53384819999999999</v>
      </c>
      <c r="F3719" t="s">
        <v>72</v>
      </c>
      <c r="G3719">
        <v>-288.56330000000003</v>
      </c>
      <c r="H3719" s="1">
        <v>3.523805E-6</v>
      </c>
      <c r="I3719">
        <v>212.68379999999999</v>
      </c>
      <c r="J3719">
        <v>-322.8596</v>
      </c>
      <c r="K3719">
        <v>1.1109329999999999</v>
      </c>
      <c r="L3719">
        <v>212.96870000000001</v>
      </c>
      <c r="M3719">
        <v>0.9995868</v>
      </c>
      <c r="N3719">
        <v>-1.0647190000000001E-2</v>
      </c>
      <c r="O3719">
        <v>2.670142E-2</v>
      </c>
      <c r="P3719">
        <v>0.98159640000000004</v>
      </c>
      <c r="Q3719">
        <v>0.1710045</v>
      </c>
      <c r="R3719">
        <v>8.5005479999999994E-2</v>
      </c>
      <c r="S3719">
        <v>3.0751949999999999</v>
      </c>
      <c r="T3719">
        <v>-9.8452810000000002E-2</v>
      </c>
      <c r="U3719">
        <v>-2.4246219999999999E-2</v>
      </c>
      <c r="V3719">
        <v>-5.9289799999999997E-2</v>
      </c>
      <c r="W3719">
        <v>0.1812956</v>
      </c>
      <c r="X3719">
        <v>0.9816397</v>
      </c>
      <c r="Y3719">
        <v>3.4553809999999997E-2</v>
      </c>
      <c r="Z3719">
        <v>-1.3072890000000001E-3</v>
      </c>
      <c r="AA3719">
        <v>0.99940200000000001</v>
      </c>
      <c r="AB3719">
        <v>40</v>
      </c>
      <c r="AC3719">
        <v>34.296299999999903</v>
      </c>
      <c r="AD3719">
        <v>-1.1109294761949999</v>
      </c>
      <c r="AE3719">
        <v>-0.28490000000002103</v>
      </c>
      <c r="AF3719">
        <v>1.19935185306507</v>
      </c>
      <c r="AG3719">
        <v>-1.1109294761949999</v>
      </c>
      <c r="AH3719">
        <v>34.240538362753497</v>
      </c>
      <c r="AI3719">
        <v>91.857163536516296</v>
      </c>
      <c r="AJ3719">
        <v>87.993906643693407</v>
      </c>
      <c r="AK3719">
        <v>34.279543120346901</v>
      </c>
      <c r="AL3719">
        <v>79.554765407843902</v>
      </c>
      <c r="AM3719">
        <v>93.4563939277499</v>
      </c>
      <c r="AN3719">
        <v>0.99999993778974305</v>
      </c>
    </row>
    <row r="3720" spans="1:40" x14ac:dyDescent="0.25">
      <c r="A3720" t="str">
        <f>"20190304155130587"</f>
        <v>20190304155130587</v>
      </c>
      <c r="B3720" t="str">
        <f>"1551685890580610"</f>
        <v>1551685890580610</v>
      </c>
      <c r="C3720" t="s">
        <v>40</v>
      </c>
      <c r="D3720">
        <v>5.8912959999999996</v>
      </c>
      <c r="E3720">
        <v>0.53372069999999905</v>
      </c>
      <c r="F3720" t="s">
        <v>72</v>
      </c>
      <c r="G3720">
        <v>-288.71710000000002</v>
      </c>
      <c r="H3720" s="1">
        <v>3.4498669999999999E-6</v>
      </c>
      <c r="I3720">
        <v>212.732</v>
      </c>
      <c r="J3720">
        <v>-322.4486</v>
      </c>
      <c r="K3720">
        <v>1.1109340000000001</v>
      </c>
      <c r="L3720">
        <v>212.98060000000001</v>
      </c>
      <c r="M3720">
        <v>0.99955510000000003</v>
      </c>
      <c r="N3720">
        <v>-1.0652119999999999E-2</v>
      </c>
      <c r="O3720">
        <v>2.7861790000000001E-2</v>
      </c>
      <c r="P3720">
        <v>0.98161880000000001</v>
      </c>
      <c r="Q3720">
        <v>0.1703797</v>
      </c>
      <c r="R3720">
        <v>8.5997690000000002E-2</v>
      </c>
      <c r="S3720">
        <v>3.0755919999999999</v>
      </c>
      <c r="T3720">
        <v>-0.1000738</v>
      </c>
      <c r="U3720">
        <v>-2.131653E-2</v>
      </c>
      <c r="V3720">
        <v>-5.9139379999999998E-2</v>
      </c>
      <c r="W3720">
        <v>0.18067610000000001</v>
      </c>
      <c r="X3720">
        <v>0.9817631</v>
      </c>
      <c r="Y3720">
        <v>3.475963E-2</v>
      </c>
      <c r="Z3720">
        <v>-1.360045E-3</v>
      </c>
      <c r="AA3720">
        <v>0.99939480000000003</v>
      </c>
      <c r="AB3720">
        <v>40</v>
      </c>
      <c r="AC3720">
        <v>33.731499999999897</v>
      </c>
      <c r="AD3720">
        <v>-1.110930550133</v>
      </c>
      <c r="AE3720">
        <v>-0.24860000000001001</v>
      </c>
      <c r="AF3720">
        <v>1.1870891596534801</v>
      </c>
      <c r="AG3720">
        <v>-1.110930550133</v>
      </c>
      <c r="AH3720">
        <v>33.674951969983397</v>
      </c>
      <c r="AI3720">
        <v>91.888320040875499</v>
      </c>
      <c r="AJ3720">
        <v>87.981079630911395</v>
      </c>
      <c r="AK3720">
        <v>33.714177100158899</v>
      </c>
      <c r="AL3720">
        <v>79.590857361241703</v>
      </c>
      <c r="AM3720">
        <v>93.447213833844202</v>
      </c>
      <c r="AN3720">
        <v>1.0000000519498</v>
      </c>
    </row>
    <row r="3721" spans="1:40" x14ac:dyDescent="0.25">
      <c r="A3721" t="str">
        <f>"20190304155130609"</f>
        <v>20190304155130609</v>
      </c>
      <c r="B3721" t="str">
        <f>"1551685890600133"</f>
        <v>1551685890600133</v>
      </c>
      <c r="C3721" t="s">
        <v>40</v>
      </c>
      <c r="D3721">
        <v>5.1599979999999999</v>
      </c>
      <c r="E3721">
        <v>0.48760399999999998</v>
      </c>
      <c r="F3721" t="s">
        <v>72</v>
      </c>
      <c r="G3721">
        <v>-289.87119999999999</v>
      </c>
      <c r="H3721" s="1">
        <v>2.9299079999999999E-6</v>
      </c>
      <c r="I3721">
        <v>212.8004</v>
      </c>
      <c r="J3721">
        <v>-322.0532</v>
      </c>
      <c r="K3721">
        <v>1.1109389999999999</v>
      </c>
      <c r="L3721">
        <v>212.99250000000001</v>
      </c>
      <c r="M3721">
        <v>0.9995233</v>
      </c>
      <c r="N3721">
        <v>-1.065701E-2</v>
      </c>
      <c r="O3721">
        <v>2.897829E-2</v>
      </c>
      <c r="P3721">
        <v>0.98161469999999995</v>
      </c>
      <c r="Q3721">
        <v>0.16983770000000001</v>
      </c>
      <c r="R3721">
        <v>8.7108459999999999E-2</v>
      </c>
      <c r="S3721">
        <v>3.0758670000000001</v>
      </c>
      <c r="T3721">
        <v>-0.104890899999999</v>
      </c>
      <c r="U3721">
        <v>-1.7013549999999999E-2</v>
      </c>
      <c r="V3721">
        <v>-5.9150920000000003E-2</v>
      </c>
      <c r="W3721">
        <v>0.18013950000000001</v>
      </c>
      <c r="X3721">
        <v>0.98186090000000004</v>
      </c>
      <c r="Y3721">
        <v>3.4474129999999999E-2</v>
      </c>
      <c r="Z3721">
        <v>-1.450427E-3</v>
      </c>
      <c r="AA3721">
        <v>0.99940450000000003</v>
      </c>
      <c r="AB3721">
        <v>40</v>
      </c>
      <c r="AC3721">
        <v>32.182000000000002</v>
      </c>
      <c r="AD3721">
        <v>-1.1109360700919999</v>
      </c>
      <c r="AE3721">
        <v>-0.19210000000001001</v>
      </c>
      <c r="AF3721">
        <v>1.1233129833853199</v>
      </c>
      <c r="AG3721">
        <v>-1.1109360700919999</v>
      </c>
      <c r="AH3721">
        <v>32.124636051684298</v>
      </c>
      <c r="AI3721">
        <v>91.979407953514695</v>
      </c>
      <c r="AJ3721">
        <v>87.997335117094806</v>
      </c>
      <c r="AK3721">
        <v>32.163461450280003</v>
      </c>
      <c r="AL3721">
        <v>79.622114074751906</v>
      </c>
      <c r="AM3721">
        <v>93.447542269509299</v>
      </c>
      <c r="AN3721">
        <v>0.99999994887295096</v>
      </c>
    </row>
    <row r="3722" spans="1:40" x14ac:dyDescent="0.25">
      <c r="A3722" t="str">
        <f>"20190304155130632"</f>
        <v>20190304155130632</v>
      </c>
      <c r="B3722" t="str">
        <f>"1551685890620628"</f>
        <v>1551685890620628</v>
      </c>
      <c r="C3722" t="s">
        <v>40</v>
      </c>
      <c r="D3722">
        <v>5.2681610000000001</v>
      </c>
      <c r="E3722">
        <v>0.4905929</v>
      </c>
      <c r="F3722" t="s">
        <v>72</v>
      </c>
      <c r="G3722">
        <v>-294.77940000000001</v>
      </c>
      <c r="H3722" s="1">
        <v>1.7421860000000001E-6</v>
      </c>
      <c r="I3722">
        <v>216.14599999999999</v>
      </c>
      <c r="J3722">
        <v>-321.64389999999997</v>
      </c>
      <c r="K3722">
        <v>1.110941</v>
      </c>
      <c r="L3722">
        <v>213.00540000000001</v>
      </c>
      <c r="M3722">
        <v>0.99948910000000002</v>
      </c>
      <c r="N3722">
        <v>-1.0662039999999999E-2</v>
      </c>
      <c r="O3722">
        <v>3.013335E-2</v>
      </c>
      <c r="P3722">
        <v>0.98152899999999998</v>
      </c>
      <c r="Q3722">
        <v>0.16989589999999999</v>
      </c>
      <c r="R3722">
        <v>8.7957610000000006E-2</v>
      </c>
      <c r="S3722">
        <v>3.0463870000000002</v>
      </c>
      <c r="T3722">
        <v>-0.1240875</v>
      </c>
      <c r="U3722">
        <v>0.35223389999999999</v>
      </c>
      <c r="V3722">
        <v>-5.8867429999999998E-2</v>
      </c>
      <c r="W3722">
        <v>0.18020340000000001</v>
      </c>
      <c r="X3722">
        <v>0.98186629999999997</v>
      </c>
      <c r="Y3722">
        <v>-8.4796209999999997E-2</v>
      </c>
      <c r="Z3722">
        <v>1.2724850000000001E-3</v>
      </c>
      <c r="AA3722">
        <v>0.99639750000000005</v>
      </c>
      <c r="AB3722">
        <v>40</v>
      </c>
      <c r="AC3722">
        <v>26.8644999999999</v>
      </c>
      <c r="AD3722">
        <v>-1.110939257814</v>
      </c>
      <c r="AE3722">
        <v>3.1405999999999699</v>
      </c>
      <c r="AF3722">
        <v>-2.3256867699517398</v>
      </c>
      <c r="AG3722">
        <v>-1.110939257814</v>
      </c>
      <c r="AH3722">
        <v>26.901557017528098</v>
      </c>
      <c r="AI3722">
        <v>92.355991696766395</v>
      </c>
      <c r="AJ3722">
        <v>94.941035421217606</v>
      </c>
      <c r="AK3722">
        <v>27.024743753711999</v>
      </c>
      <c r="AL3722">
        <v>79.618392870759095</v>
      </c>
      <c r="AM3722">
        <v>93.431040128364003</v>
      </c>
      <c r="AN3722">
        <v>1.0000000353810199</v>
      </c>
    </row>
    <row r="3723" spans="1:40" x14ac:dyDescent="0.25">
      <c r="A3723" t="str">
        <f>"20190304155130652"</f>
        <v>20190304155130652</v>
      </c>
      <c r="B3723" t="str">
        <f>"1551685890650882"</f>
        <v>1551685890650882</v>
      </c>
      <c r="C3723" t="s">
        <v>40</v>
      </c>
      <c r="D3723">
        <v>4.9960659999999999</v>
      </c>
      <c r="E3723">
        <v>0.48920540000000001</v>
      </c>
      <c r="F3723" t="s">
        <v>72</v>
      </c>
      <c r="G3723">
        <v>-292.6046</v>
      </c>
      <c r="H3723" s="1">
        <v>1.3564189999999999E-6</v>
      </c>
      <c r="I3723">
        <v>216.16380000000001</v>
      </c>
      <c r="J3723">
        <v>-321.26409999999998</v>
      </c>
      <c r="K3723">
        <v>1.1109439999999999</v>
      </c>
      <c r="L3723">
        <v>213.01779999999999</v>
      </c>
      <c r="M3723">
        <v>0.99945629999999996</v>
      </c>
      <c r="N3723">
        <v>-1.0666780000000001E-2</v>
      </c>
      <c r="O3723">
        <v>3.120407E-2</v>
      </c>
      <c r="P3723">
        <v>0.98147989999999996</v>
      </c>
      <c r="Q3723">
        <v>0.1698586</v>
      </c>
      <c r="R3723">
        <v>8.8574109999999998E-2</v>
      </c>
      <c r="S3723">
        <v>3.0469059999999999</v>
      </c>
      <c r="T3723">
        <v>-0.1165636</v>
      </c>
      <c r="U3723">
        <v>0.33139039999999997</v>
      </c>
      <c r="V3723">
        <v>-5.8432350000000001E-2</v>
      </c>
      <c r="W3723">
        <v>0.1801719</v>
      </c>
      <c r="X3723">
        <v>0.98189800000000005</v>
      </c>
      <c r="Y3723">
        <v>-7.6990149999999993E-2</v>
      </c>
      <c r="Z3723">
        <v>1.0226549999999999E-3</v>
      </c>
      <c r="AA3723">
        <v>0.99703129999999995</v>
      </c>
      <c r="AB3723">
        <v>40</v>
      </c>
      <c r="AC3723">
        <v>28.659499999999898</v>
      </c>
      <c r="AD3723">
        <v>-1.1109426435809999</v>
      </c>
      <c r="AE3723">
        <v>3.1460000000000101</v>
      </c>
      <c r="AF3723">
        <v>-2.2467882245801198</v>
      </c>
      <c r="AG3723">
        <v>-1.1109426435809999</v>
      </c>
      <c r="AH3723">
        <v>28.701102735564898</v>
      </c>
      <c r="AI3723">
        <v>92.209905021692094</v>
      </c>
      <c r="AJ3723">
        <v>94.476116684577903</v>
      </c>
      <c r="AK3723">
        <v>28.810337539169701</v>
      </c>
      <c r="AL3723">
        <v>79.620227010215203</v>
      </c>
      <c r="AM3723">
        <v>93.405632063108499</v>
      </c>
      <c r="AN3723">
        <v>0.99999996774006505</v>
      </c>
    </row>
    <row r="3724" spans="1:40" x14ac:dyDescent="0.25">
      <c r="A3724" t="str">
        <f>"20190304155130676"</f>
        <v>20190304155130676</v>
      </c>
      <c r="B3724" t="str">
        <f>"1551685890670402"</f>
        <v>1551685890670402</v>
      </c>
      <c r="C3724" t="s">
        <v>40</v>
      </c>
      <c r="D3724">
        <v>5.1028510000000002</v>
      </c>
      <c r="E3724">
        <v>0.48920239999999998</v>
      </c>
      <c r="F3724" t="s">
        <v>72</v>
      </c>
      <c r="G3724">
        <v>-295.52089999999998</v>
      </c>
      <c r="H3724" s="1">
        <v>1.8737219999999999E-6</v>
      </c>
      <c r="I3724">
        <v>215.9237</v>
      </c>
      <c r="J3724">
        <v>-320.8614</v>
      </c>
      <c r="K3724">
        <v>1.1109420000000001</v>
      </c>
      <c r="L3724">
        <v>213.03129999999999</v>
      </c>
      <c r="M3724">
        <v>0.99942019999999998</v>
      </c>
      <c r="N3724">
        <v>-1.067187E-2</v>
      </c>
      <c r="O3724">
        <v>3.2333340000000002E-2</v>
      </c>
      <c r="P3724">
        <v>0.98141489999999998</v>
      </c>
      <c r="Q3724">
        <v>0.16950319999999999</v>
      </c>
      <c r="R3724">
        <v>8.9963950000000001E-2</v>
      </c>
      <c r="S3724">
        <v>3.0483090000000002</v>
      </c>
      <c r="T3724">
        <v>-0.1315489</v>
      </c>
      <c r="U3724">
        <v>0.34410099999999999</v>
      </c>
      <c r="V3724">
        <v>-5.8711010000000001E-2</v>
      </c>
      <c r="W3724">
        <v>0.17982110000000001</v>
      </c>
      <c r="X3724">
        <v>0.98194570000000003</v>
      </c>
      <c r="Y3724">
        <v>-7.9905450000000003E-2</v>
      </c>
      <c r="Z3724">
        <v>1.100469E-3</v>
      </c>
      <c r="AA3724">
        <v>0.99680190000000002</v>
      </c>
      <c r="AB3724">
        <v>40</v>
      </c>
      <c r="AC3724">
        <v>25.340499999999999</v>
      </c>
      <c r="AD3724">
        <v>-1.1109401262780001</v>
      </c>
      <c r="AE3724">
        <v>2.8923999999999999</v>
      </c>
      <c r="AF3724">
        <v>-2.06757512493347</v>
      </c>
      <c r="AG3724">
        <v>-1.1109401262780001</v>
      </c>
      <c r="AH3724">
        <v>25.372636485460799</v>
      </c>
      <c r="AI3724">
        <v>92.498820416697995</v>
      </c>
      <c r="AJ3724">
        <v>94.6586469411764</v>
      </c>
      <c r="AK3724">
        <v>25.480968134762001</v>
      </c>
      <c r="AL3724">
        <v>79.640660271626004</v>
      </c>
      <c r="AM3724">
        <v>93.421668968649499</v>
      </c>
      <c r="AN3724">
        <v>0.99999998422445902</v>
      </c>
    </row>
    <row r="3725" spans="1:40" x14ac:dyDescent="0.25">
      <c r="A3725" t="str">
        <f>"20190304155130698"</f>
        <v>20190304155130698</v>
      </c>
      <c r="B3725" t="str">
        <f>"1551685890690908"</f>
        <v>1551685890690908</v>
      </c>
      <c r="C3725" t="s">
        <v>40</v>
      </c>
      <c r="D3725">
        <v>5.1674319999999998</v>
      </c>
      <c r="E3725">
        <v>0.48942010000000002</v>
      </c>
      <c r="F3725" t="s">
        <v>72</v>
      </c>
      <c r="G3725">
        <v>-296.28489999999999</v>
      </c>
      <c r="H3725" s="1">
        <v>2.00924E-6</v>
      </c>
      <c r="I3725">
        <v>215.8426</v>
      </c>
      <c r="J3725">
        <v>-320.43810000000002</v>
      </c>
      <c r="K3725">
        <v>1.1109389999999999</v>
      </c>
      <c r="L3725">
        <v>213.04599999999999</v>
      </c>
      <c r="M3725">
        <v>0.99938159999999998</v>
      </c>
      <c r="N3725">
        <v>-1.067704E-2</v>
      </c>
      <c r="O3725">
        <v>3.3504529999999998E-2</v>
      </c>
      <c r="P3725">
        <v>0.98138599999999998</v>
      </c>
      <c r="Q3725">
        <v>0.16862949999999999</v>
      </c>
      <c r="R3725">
        <v>9.1901440000000001E-2</v>
      </c>
      <c r="S3725">
        <v>3.0486759999999999</v>
      </c>
      <c r="T3725">
        <v>-0.1378103</v>
      </c>
      <c r="U3725">
        <v>0.34873959999999998</v>
      </c>
      <c r="V3725">
        <v>-5.948987E-2</v>
      </c>
      <c r="W3725">
        <v>0.17895229999999901</v>
      </c>
      <c r="X3725">
        <v>0.98205759999999998</v>
      </c>
      <c r="Y3725">
        <v>-8.0215809999999999E-2</v>
      </c>
      <c r="Z3725">
        <v>1.0848710000000001E-3</v>
      </c>
      <c r="AA3725">
        <v>0.99677689999999997</v>
      </c>
      <c r="AB3725">
        <v>40</v>
      </c>
      <c r="AC3725">
        <v>24.153199999999998</v>
      </c>
      <c r="AD3725">
        <v>-1.11093699076</v>
      </c>
      <c r="AE3725">
        <v>2.79660000000001</v>
      </c>
      <c r="AF3725">
        <v>-1.9816052385253</v>
      </c>
      <c r="AG3725">
        <v>-1.11093699076</v>
      </c>
      <c r="AH3725">
        <v>24.1828581526003</v>
      </c>
      <c r="AI3725">
        <v>92.621489086004701</v>
      </c>
      <c r="AJ3725">
        <v>94.684496587332902</v>
      </c>
      <c r="AK3725">
        <v>24.289330347862201</v>
      </c>
      <c r="AL3725">
        <v>79.691260323621506</v>
      </c>
      <c r="AM3725">
        <v>93.466556741640005</v>
      </c>
      <c r="AN3725">
        <v>1.0000000500128301</v>
      </c>
    </row>
    <row r="3726" spans="1:40" x14ac:dyDescent="0.25">
      <c r="A3726" t="str">
        <f>"20190304155130721"</f>
        <v>20190304155130721</v>
      </c>
      <c r="B3726" t="str">
        <f>"1551685890710421"</f>
        <v>1551685890710421</v>
      </c>
      <c r="C3726" t="s">
        <v>40</v>
      </c>
      <c r="D3726">
        <v>5.0943659999999999</v>
      </c>
      <c r="E3726">
        <v>0.48929040000000001</v>
      </c>
      <c r="F3726" t="s">
        <v>72</v>
      </c>
      <c r="G3726">
        <v>-296.09859999999998</v>
      </c>
      <c r="H3726" s="1">
        <v>1.9762050000000002E-6</v>
      </c>
      <c r="I3726">
        <v>215.86519999999999</v>
      </c>
      <c r="J3726">
        <v>-320.04349999999999</v>
      </c>
      <c r="K3726">
        <v>1.110922</v>
      </c>
      <c r="L3726">
        <v>213.06010000000001</v>
      </c>
      <c r="M3726">
        <v>0.99934509999999999</v>
      </c>
      <c r="N3726">
        <v>-1.068151E-2</v>
      </c>
      <c r="O3726">
        <v>3.457408E-2</v>
      </c>
      <c r="P3726">
        <v>0.98121990000000003</v>
      </c>
      <c r="Q3726">
        <v>0.16804079999999999</v>
      </c>
      <c r="R3726">
        <v>9.4709639999999998E-2</v>
      </c>
      <c r="S3726">
        <v>3.0477599999999998</v>
      </c>
      <c r="T3726">
        <v>-0.13910999999999901</v>
      </c>
      <c r="U3726">
        <v>0.353012099999999</v>
      </c>
      <c r="V3726">
        <v>-6.1241699999999899E-2</v>
      </c>
      <c r="W3726">
        <v>0.17836489999999999</v>
      </c>
      <c r="X3726">
        <v>0.9820567</v>
      </c>
      <c r="Y3726">
        <v>-8.0560820000000005E-2</v>
      </c>
      <c r="Z3726">
        <v>1.0606260000000001E-3</v>
      </c>
      <c r="AA3726">
        <v>0.99674910000000005</v>
      </c>
      <c r="AB3726">
        <v>40</v>
      </c>
      <c r="AC3726">
        <v>23.944900000000001</v>
      </c>
      <c r="AD3726">
        <v>-1.1109200237950001</v>
      </c>
      <c r="AE3726">
        <v>2.8050999999999799</v>
      </c>
      <c r="AF3726">
        <v>-1.9713168828741401</v>
      </c>
      <c r="AG3726">
        <v>-1.1109200237950001</v>
      </c>
      <c r="AH3726">
        <v>23.976661245792599</v>
      </c>
      <c r="AI3726">
        <v>92.643902127673798</v>
      </c>
      <c r="AJ3726">
        <v>94.700181579638297</v>
      </c>
      <c r="AK3726">
        <v>24.083199912957301</v>
      </c>
      <c r="AL3726">
        <v>79.725465394243201</v>
      </c>
      <c r="AM3726">
        <v>93.568381546021698</v>
      </c>
      <c r="AN3726">
        <v>0.99999997269289398</v>
      </c>
    </row>
    <row r="3727" spans="1:40" x14ac:dyDescent="0.25">
      <c r="A3727" t="str">
        <f>"20190304155130743"</f>
        <v>20190304155130743</v>
      </c>
      <c r="B3727" t="str">
        <f>"1551685890740674"</f>
        <v>1551685890740674</v>
      </c>
      <c r="C3727" t="s">
        <v>40</v>
      </c>
      <c r="D3727">
        <v>5.1144959999999999</v>
      </c>
      <c r="E3727">
        <v>0.48945090000000002</v>
      </c>
      <c r="F3727" t="s">
        <v>72</v>
      </c>
      <c r="G3727">
        <v>-295.5677</v>
      </c>
      <c r="H3727" s="1">
        <v>1.8820280000000001E-6</v>
      </c>
      <c r="I3727">
        <v>215.9735</v>
      </c>
      <c r="J3727">
        <v>-319.63670000000002</v>
      </c>
      <c r="K3727">
        <v>1.1109020000000001</v>
      </c>
      <c r="L3727">
        <v>213.07509999999999</v>
      </c>
      <c r="M3727">
        <v>0.99930750000000002</v>
      </c>
      <c r="N3727">
        <v>-1.0685729999999999E-2</v>
      </c>
      <c r="O3727">
        <v>3.5642939999999998E-2</v>
      </c>
      <c r="P3727">
        <v>0.98100480000000001</v>
      </c>
      <c r="Q3727">
        <v>0.16816970000000001</v>
      </c>
      <c r="R3727">
        <v>9.6687800000000004E-2</v>
      </c>
      <c r="S3727">
        <v>3.046173</v>
      </c>
      <c r="T3727">
        <v>-0.1382611</v>
      </c>
      <c r="U3727">
        <v>0.36259459999999999</v>
      </c>
      <c r="V3727">
        <v>-6.2164530000000003E-2</v>
      </c>
      <c r="W3727">
        <v>0.17849770000000001</v>
      </c>
      <c r="X3727">
        <v>0.98197460000000003</v>
      </c>
      <c r="Y3727">
        <v>-8.2645469999999999E-2</v>
      </c>
      <c r="Z3727">
        <v>1.0809299999999999E-3</v>
      </c>
      <c r="AA3727">
        <v>0.99657839999999998</v>
      </c>
      <c r="AB3727">
        <v>40</v>
      </c>
      <c r="AC3727">
        <v>24.068999999999999</v>
      </c>
      <c r="AD3727">
        <v>-1.1109001179719999</v>
      </c>
      <c r="AE3727">
        <v>2.8984000000000001</v>
      </c>
      <c r="AF3727">
        <v>-2.0343474858625901</v>
      </c>
      <c r="AG3727">
        <v>-1.1109001179719999</v>
      </c>
      <c r="AH3727">
        <v>24.1063989048526</v>
      </c>
      <c r="AI3727">
        <v>92.629174090675406</v>
      </c>
      <c r="AJ3727">
        <v>94.823781434901704</v>
      </c>
      <c r="AK3727">
        <v>24.217579088860699</v>
      </c>
      <c r="AL3727">
        <v>79.717732560753504</v>
      </c>
      <c r="AM3727">
        <v>93.6223121908059</v>
      </c>
      <c r="AN3727">
        <v>0.99999998637028498</v>
      </c>
    </row>
    <row r="3728" spans="1:40" x14ac:dyDescent="0.25">
      <c r="A3728" t="str">
        <f>"20190304155130767"</f>
        <v>20190304155130767</v>
      </c>
      <c r="B3728" t="str">
        <f>"1551685890760194"</f>
        <v>1551685890760194</v>
      </c>
      <c r="C3728" t="s">
        <v>40</v>
      </c>
      <c r="D3728">
        <v>5.1268560000000001</v>
      </c>
      <c r="E3728">
        <v>0.48996050000000002</v>
      </c>
      <c r="F3728" t="s">
        <v>72</v>
      </c>
      <c r="G3728">
        <v>-295.05180000000001</v>
      </c>
      <c r="H3728" s="1">
        <v>1.790514E-6</v>
      </c>
      <c r="I3728">
        <v>216.04419999999999</v>
      </c>
      <c r="J3728">
        <v>-319.22320000000002</v>
      </c>
      <c r="K3728">
        <v>1.1108720000000001</v>
      </c>
      <c r="L3728">
        <v>213.0907</v>
      </c>
      <c r="M3728">
        <v>0.99926990000000004</v>
      </c>
      <c r="N3728">
        <v>-1.068973E-2</v>
      </c>
      <c r="O3728">
        <v>3.6681129999999999E-2</v>
      </c>
      <c r="P3728">
        <v>0.98077239999999999</v>
      </c>
      <c r="Q3728">
        <v>0.168736</v>
      </c>
      <c r="R3728">
        <v>9.804852E-2</v>
      </c>
      <c r="S3728">
        <v>3.045471</v>
      </c>
      <c r="T3728">
        <v>-0.1376134</v>
      </c>
      <c r="U3728">
        <v>0.36779790000000001</v>
      </c>
      <c r="V3728">
        <v>-6.2497379999999998E-2</v>
      </c>
      <c r="W3728">
        <v>0.17907100000000001</v>
      </c>
      <c r="X3728">
        <v>0.98184910000000003</v>
      </c>
      <c r="Y3728">
        <v>-8.3315979999999998E-2</v>
      </c>
      <c r="Z3728">
        <v>1.0631970000000001E-3</v>
      </c>
      <c r="AA3728">
        <v>0.99652260000000004</v>
      </c>
      <c r="AB3728">
        <v>40</v>
      </c>
      <c r="AC3728">
        <v>24.171399999999998</v>
      </c>
      <c r="AD3728">
        <v>-1.1108702094859999</v>
      </c>
      <c r="AE3728">
        <v>2.9534999999999898</v>
      </c>
      <c r="AF3728">
        <v>-2.0605391222764098</v>
      </c>
      <c r="AG3728">
        <v>-1.1108702094859999</v>
      </c>
      <c r="AH3728">
        <v>24.213086058890799</v>
      </c>
      <c r="AI3728">
        <v>92.617379134069793</v>
      </c>
      <c r="AJ3728">
        <v>94.864164267721705</v>
      </c>
      <c r="AK3728">
        <v>24.325981801193699</v>
      </c>
      <c r="AL3728">
        <v>79.684347136459806</v>
      </c>
      <c r="AM3728">
        <v>93.642119450479399</v>
      </c>
      <c r="AN3728">
        <v>1.0000000003593299</v>
      </c>
    </row>
    <row r="3729" spans="1:40" x14ac:dyDescent="0.25">
      <c r="A3729" t="str">
        <f>"20190304155130790"</f>
        <v>20190304155130790</v>
      </c>
      <c r="B3729" t="str">
        <f>"1551685890780689"</f>
        <v>1551685890780689</v>
      </c>
      <c r="C3729" t="s">
        <v>40</v>
      </c>
      <c r="D3729">
        <v>5.1723059999999998</v>
      </c>
      <c r="E3729">
        <v>0.4902205</v>
      </c>
      <c r="F3729" t="s">
        <v>72</v>
      </c>
      <c r="G3729">
        <v>-294.66309999999999</v>
      </c>
      <c r="H3729" s="1">
        <v>1.7215670000000001E-6</v>
      </c>
      <c r="I3729">
        <v>216.05109999999999</v>
      </c>
      <c r="J3729">
        <v>-318.80250000000001</v>
      </c>
      <c r="K3729">
        <v>1.110833</v>
      </c>
      <c r="L3729">
        <v>213.107</v>
      </c>
      <c r="M3729">
        <v>0.99923309999999999</v>
      </c>
      <c r="N3729">
        <v>-1.069399E-2</v>
      </c>
      <c r="O3729">
        <v>3.7669040000000001E-2</v>
      </c>
      <c r="P3729">
        <v>0.98050090000000001</v>
      </c>
      <c r="Q3729">
        <v>0.1694889</v>
      </c>
      <c r="R3729">
        <v>9.9456600000000006E-2</v>
      </c>
      <c r="S3729">
        <v>3.045776</v>
      </c>
      <c r="T3729">
        <v>-0.13776279999999999</v>
      </c>
      <c r="U3729">
        <v>0.36712650000000002</v>
      </c>
      <c r="V3729">
        <v>-6.2924389999999997E-2</v>
      </c>
      <c r="W3729">
        <v>0.17983189999999999</v>
      </c>
      <c r="X3729">
        <v>0.98168279999999997</v>
      </c>
      <c r="Y3729">
        <v>-8.2104250000000004E-2</v>
      </c>
      <c r="Z3729">
        <v>9.9606739999999992E-4</v>
      </c>
      <c r="AA3729">
        <v>0.99662329999999999</v>
      </c>
      <c r="AB3729">
        <v>40</v>
      </c>
      <c r="AC3729">
        <v>24.139399999999998</v>
      </c>
      <c r="AD3729">
        <v>-1.1108312784329999</v>
      </c>
      <c r="AE3729">
        <v>2.9440999999999899</v>
      </c>
      <c r="AF3729">
        <v>-2.0284178548292702</v>
      </c>
      <c r="AG3729">
        <v>-1.1108312784329999</v>
      </c>
      <c r="AH3729">
        <v>24.1827146654548</v>
      </c>
      <c r="AI3729">
        <v>92.6208381934957</v>
      </c>
      <c r="AJ3729">
        <v>94.794679493802207</v>
      </c>
      <c r="AK3729">
        <v>24.293046612430899</v>
      </c>
      <c r="AL3729">
        <v>79.640031968857897</v>
      </c>
      <c r="AM3729">
        <v>93.667555864407404</v>
      </c>
      <c r="AN3729">
        <v>1.00000005546515</v>
      </c>
    </row>
    <row r="3730" spans="1:40" x14ac:dyDescent="0.25">
      <c r="A3730" t="str">
        <f>"20190304155130810"</f>
        <v>20190304155130810</v>
      </c>
      <c r="B3730" t="str">
        <f>"1551685890800210"</f>
        <v>1551685890800210</v>
      </c>
      <c r="C3730" t="s">
        <v>40</v>
      </c>
      <c r="D3730">
        <v>5.1761299999999997</v>
      </c>
      <c r="E3730">
        <v>0.4903882</v>
      </c>
      <c r="F3730" t="s">
        <v>72</v>
      </c>
      <c r="G3730">
        <v>-293.80579999999998</v>
      </c>
      <c r="H3730" s="1">
        <v>1.5694909999999999E-6</v>
      </c>
      <c r="I3730">
        <v>216.13730000000001</v>
      </c>
      <c r="J3730">
        <v>-318.41899999999998</v>
      </c>
      <c r="K3730">
        <v>1.1107769999999999</v>
      </c>
      <c r="L3730">
        <v>213.12209999999999</v>
      </c>
      <c r="M3730">
        <v>0.99920149999999996</v>
      </c>
      <c r="N3730">
        <v>-1.0697730000000001E-2</v>
      </c>
      <c r="O3730">
        <v>3.8498650000000002E-2</v>
      </c>
      <c r="P3730">
        <v>0.98029659999999996</v>
      </c>
      <c r="Q3730">
        <v>0.16983679999999901</v>
      </c>
      <c r="R3730">
        <v>0.1008681</v>
      </c>
      <c r="S3730">
        <v>3.0456240000000001</v>
      </c>
      <c r="T3730">
        <v>-0.13534499999999999</v>
      </c>
      <c r="U3730">
        <v>0.36921690000000001</v>
      </c>
      <c r="V3730">
        <v>-6.3503420000000005E-2</v>
      </c>
      <c r="W3730">
        <v>0.18018880000000001</v>
      </c>
      <c r="X3730">
        <v>0.98158000000000001</v>
      </c>
      <c r="Y3730">
        <v>-8.1959790000000005E-2</v>
      </c>
      <c r="Z3730">
        <v>9.6190450000000003E-4</v>
      </c>
      <c r="AA3730">
        <v>0.99663520000000005</v>
      </c>
      <c r="AB3730">
        <v>40</v>
      </c>
      <c r="AC3730">
        <v>24.613199999999999</v>
      </c>
      <c r="AD3730">
        <v>-1.1107754305090001</v>
      </c>
      <c r="AE3730">
        <v>3.0152000000000201</v>
      </c>
      <c r="AF3730">
        <v>-2.0611994673192999</v>
      </c>
      <c r="AG3730">
        <v>-1.1107754305090001</v>
      </c>
      <c r="AH3730">
        <v>24.661554396107299</v>
      </c>
      <c r="AI3730">
        <v>92.569954581250599</v>
      </c>
      <c r="AJ3730">
        <v>94.777646326301195</v>
      </c>
      <c r="AK3730">
        <v>24.7724570951946</v>
      </c>
      <c r="AL3730">
        <v>79.619242856966096</v>
      </c>
      <c r="AM3730">
        <v>93.701597862751399</v>
      </c>
      <c r="AN3730">
        <v>0.99999999219856806</v>
      </c>
    </row>
    <row r="3731" spans="1:40" x14ac:dyDescent="0.25">
      <c r="A3731" t="str">
        <f>"20190304155130832"</f>
        <v>20190304155130832</v>
      </c>
      <c r="B3731" t="str">
        <f>"1551685890820706"</f>
        <v>1551685890820706</v>
      </c>
      <c r="C3731" t="s">
        <v>40</v>
      </c>
      <c r="D3731">
        <v>5.1593400000000003</v>
      </c>
      <c r="E3731">
        <v>0.490541</v>
      </c>
      <c r="F3731" t="s">
        <v>72</v>
      </c>
      <c r="G3731">
        <v>-293.05020000000002</v>
      </c>
      <c r="H3731" s="1">
        <v>1.43546699999999E-6</v>
      </c>
      <c r="I3731">
        <v>216.22139999999999</v>
      </c>
      <c r="J3731">
        <v>-318.024</v>
      </c>
      <c r="K3731">
        <v>1.110716</v>
      </c>
      <c r="L3731">
        <v>213.13800000000001</v>
      </c>
      <c r="M3731">
        <v>0.99917049999999996</v>
      </c>
      <c r="N3731">
        <v>-1.0701810000000001E-2</v>
      </c>
      <c r="O3731">
        <v>3.929005E-2</v>
      </c>
      <c r="P3731">
        <v>0.98012630000000001</v>
      </c>
      <c r="Q3731">
        <v>0.169985</v>
      </c>
      <c r="R3731">
        <v>0.1022632</v>
      </c>
      <c r="S3731">
        <v>3.0450740000000001</v>
      </c>
      <c r="T3731">
        <v>-0.13332920000000001</v>
      </c>
      <c r="U3731">
        <v>0.37200929999999999</v>
      </c>
      <c r="V3731">
        <v>-6.4100149999999995E-2</v>
      </c>
      <c r="W3731">
        <v>0.1803478</v>
      </c>
      <c r="X3731">
        <v>0.98151200000000005</v>
      </c>
      <c r="Y3731">
        <v>-8.2094509999999996E-2</v>
      </c>
      <c r="Z3731">
        <v>9.3826330000000005E-4</v>
      </c>
      <c r="AA3731">
        <v>0.99662410000000001</v>
      </c>
      <c r="AB3731">
        <v>41</v>
      </c>
      <c r="AC3731">
        <v>24.973799999999901</v>
      </c>
      <c r="AD3731">
        <v>-1.1107145645329899</v>
      </c>
      <c r="AE3731">
        <v>3.0833999999999802</v>
      </c>
      <c r="AF3731">
        <v>-2.0956577320539802</v>
      </c>
      <c r="AG3731">
        <v>-1.1107145645329899</v>
      </c>
      <c r="AH3731">
        <v>25.026907104754098</v>
      </c>
      <c r="AI3731">
        <v>92.532315054410304</v>
      </c>
      <c r="AJ3731">
        <v>94.786563461332804</v>
      </c>
      <c r="AK3731">
        <v>25.1390442818293</v>
      </c>
      <c r="AL3731">
        <v>79.609980991577103</v>
      </c>
      <c r="AM3731">
        <v>93.736541151319798</v>
      </c>
      <c r="AN3731">
        <v>0.99999998216943098</v>
      </c>
    </row>
    <row r="3732" spans="1:40" x14ac:dyDescent="0.25">
      <c r="A3732" t="str">
        <f>"20190304155130854"</f>
        <v>20190304155130854</v>
      </c>
      <c r="B3732" t="str">
        <f>"1551685890849986"</f>
        <v>1551685890849986</v>
      </c>
      <c r="C3732" t="s">
        <v>40</v>
      </c>
      <c r="D3732">
        <v>5.1702729999999999</v>
      </c>
      <c r="E3732">
        <v>0.49060110000000001</v>
      </c>
      <c r="F3732" t="s">
        <v>72</v>
      </c>
      <c r="G3732">
        <v>-292.25959999999998</v>
      </c>
      <c r="H3732" s="1">
        <v>1.2952169999999999E-6</v>
      </c>
      <c r="I3732">
        <v>216.3159</v>
      </c>
      <c r="J3732">
        <v>-317.6309</v>
      </c>
      <c r="K3732">
        <v>1.110652</v>
      </c>
      <c r="L3732">
        <v>213.1541</v>
      </c>
      <c r="M3732">
        <v>0.99914219999999998</v>
      </c>
      <c r="N3732">
        <v>-1.0705889999999999E-2</v>
      </c>
      <c r="O3732">
        <v>4.0004869999999998E-2</v>
      </c>
      <c r="P3732">
        <v>0.980078</v>
      </c>
      <c r="Q3732">
        <v>0.16960059999999999</v>
      </c>
      <c r="R3732">
        <v>0.1033577</v>
      </c>
      <c r="S3732">
        <v>3.044403</v>
      </c>
      <c r="T3732">
        <v>-0.13124539999999901</v>
      </c>
      <c r="U3732">
        <v>0.37550349999999999</v>
      </c>
      <c r="V3732">
        <v>-6.4464499999999994E-2</v>
      </c>
      <c r="W3732">
        <v>0.17997679999999999</v>
      </c>
      <c r="X3732">
        <v>0.98155619999999999</v>
      </c>
      <c r="Y3732">
        <v>-8.2536540000000005E-2</v>
      </c>
      <c r="Z3732">
        <v>9.2626579999999996E-4</v>
      </c>
      <c r="AA3732">
        <v>0.99658760000000002</v>
      </c>
      <c r="AB3732">
        <v>41</v>
      </c>
      <c r="AC3732">
        <v>25.371300000000002</v>
      </c>
      <c r="AD3732">
        <v>-1.1106507047830001</v>
      </c>
      <c r="AE3732">
        <v>3.1617999999999902</v>
      </c>
      <c r="AF3732">
        <v>-2.1401963890084899</v>
      </c>
      <c r="AG3732">
        <v>-1.1106507047830001</v>
      </c>
      <c r="AH3732">
        <v>25.429496220252702</v>
      </c>
      <c r="AI3732">
        <v>92.492044009103196</v>
      </c>
      <c r="AJ3732">
        <v>94.810788156576507</v>
      </c>
      <c r="AK3732">
        <v>25.543556204792701</v>
      </c>
      <c r="AL3732">
        <v>79.631590970250002</v>
      </c>
      <c r="AM3732">
        <v>93.757550520769797</v>
      </c>
      <c r="AN3732">
        <v>0.99999994702846295</v>
      </c>
    </row>
    <row r="3733" spans="1:40" x14ac:dyDescent="0.25">
      <c r="A3733" t="str">
        <f>"20190304155130877"</f>
        <v>20190304155130877</v>
      </c>
      <c r="B3733" t="str">
        <f>"1551685890870482"</f>
        <v>1551685890870482</v>
      </c>
      <c r="C3733" t="s">
        <v>40</v>
      </c>
      <c r="D3733">
        <v>5.1943739999999998</v>
      </c>
      <c r="E3733">
        <v>0.4909752</v>
      </c>
      <c r="F3733" t="s">
        <v>72</v>
      </c>
      <c r="G3733">
        <v>-292.57960000000003</v>
      </c>
      <c r="H3733" s="1">
        <v>1.351994E-6</v>
      </c>
      <c r="I3733">
        <v>216.26490000000001</v>
      </c>
      <c r="J3733">
        <v>-317.21800000000002</v>
      </c>
      <c r="K3733">
        <v>1.1105750000000001</v>
      </c>
      <c r="L3733">
        <v>213.1712</v>
      </c>
      <c r="M3733">
        <v>0.99911559999999999</v>
      </c>
      <c r="N3733">
        <v>-1.07101E-2</v>
      </c>
      <c r="O3733">
        <v>4.0662869999999997E-2</v>
      </c>
      <c r="P3733">
        <v>0.97999709999999995</v>
      </c>
      <c r="Q3733">
        <v>0.16940529999999901</v>
      </c>
      <c r="R3733">
        <v>0.10444009999999999</v>
      </c>
      <c r="S3733">
        <v>3.044495</v>
      </c>
      <c r="T3733">
        <v>-0.13497790000000001</v>
      </c>
      <c r="U3733">
        <v>0.37805179999999999</v>
      </c>
      <c r="V3733">
        <v>-6.4869200000000002E-2</v>
      </c>
      <c r="W3733">
        <v>0.17979619999999999</v>
      </c>
      <c r="X3733">
        <v>0.98156270000000001</v>
      </c>
      <c r="Y3733">
        <v>-8.2694989999999996E-2</v>
      </c>
      <c r="Z3733">
        <v>9.1058459999999997E-4</v>
      </c>
      <c r="AA3733">
        <v>0.99657450000000003</v>
      </c>
      <c r="AB3733">
        <v>41</v>
      </c>
      <c r="AC3733">
        <v>24.638399999999901</v>
      </c>
      <c r="AD3733">
        <v>-1.110573648006</v>
      </c>
      <c r="AE3733">
        <v>3.0937000000000099</v>
      </c>
      <c r="AF3733">
        <v>-2.0850450067371198</v>
      </c>
      <c r="AG3733">
        <v>-1.110573648006</v>
      </c>
      <c r="AH3733">
        <v>24.694431664868699</v>
      </c>
      <c r="AI3733">
        <v>92.565889375537395</v>
      </c>
      <c r="AJ3733">
        <v>94.826253913764504</v>
      </c>
      <c r="AK3733">
        <v>24.8071711760659</v>
      </c>
      <c r="AL3733">
        <v>79.642110847619705</v>
      </c>
      <c r="AM3733">
        <v>93.781046767701</v>
      </c>
      <c r="AN3733">
        <v>1.00000001033718</v>
      </c>
    </row>
    <row r="3734" spans="1:40" x14ac:dyDescent="0.25">
      <c r="A3734" t="str">
        <f>"20190304155130899"</f>
        <v>20190304155130899</v>
      </c>
      <c r="B3734" t="str">
        <f>"1551685890890978"</f>
        <v>1551685890890978</v>
      </c>
      <c r="C3734" t="s">
        <v>40</v>
      </c>
      <c r="D3734">
        <v>5.1118589999999999</v>
      </c>
      <c r="E3734">
        <v>0.49118479999999998</v>
      </c>
      <c r="F3734" t="s">
        <v>72</v>
      </c>
      <c r="G3734">
        <v>-292.17720000000003</v>
      </c>
      <c r="H3734" s="1">
        <v>1.280612E-6</v>
      </c>
      <c r="I3734">
        <v>216.27709999999999</v>
      </c>
      <c r="J3734">
        <v>-316.79809999999998</v>
      </c>
      <c r="K3734">
        <v>1.1104879999999999</v>
      </c>
      <c r="L3734">
        <v>213.18879999999999</v>
      </c>
      <c r="M3734">
        <v>0.99909269999999994</v>
      </c>
      <c r="N3734">
        <v>-1.071422E-2</v>
      </c>
      <c r="O3734">
        <v>4.122141E-2</v>
      </c>
      <c r="P3734">
        <v>0.98015529999999995</v>
      </c>
      <c r="Q3734">
        <v>0.1681647</v>
      </c>
      <c r="R3734">
        <v>0.1049592</v>
      </c>
      <c r="S3734">
        <v>3.0443419999999999</v>
      </c>
      <c r="T3734">
        <v>-0.13501830000000001</v>
      </c>
      <c r="U3734">
        <v>0.37759399999999999</v>
      </c>
      <c r="V3734">
        <v>-6.4791150000000006E-2</v>
      </c>
      <c r="W3734">
        <v>0.1785756</v>
      </c>
      <c r="X3734">
        <v>0.98179070000000002</v>
      </c>
      <c r="Y3734">
        <v>-8.1997490000000006E-2</v>
      </c>
      <c r="Z3734">
        <v>8.7313089999999896E-4</v>
      </c>
      <c r="AA3734">
        <v>0.99663219999999997</v>
      </c>
      <c r="AB3734">
        <v>41</v>
      </c>
      <c r="AC3734">
        <v>24.620899999999899</v>
      </c>
      <c r="AD3734">
        <v>-1.1104867193879999</v>
      </c>
      <c r="AE3734">
        <v>3.0882999999999998</v>
      </c>
      <c r="AF3734">
        <v>-2.0665694590608199</v>
      </c>
      <c r="AG3734">
        <v>-1.1104867193879999</v>
      </c>
      <c r="AH3734">
        <v>24.677857131322</v>
      </c>
      <c r="AI3734">
        <v>92.567557848820499</v>
      </c>
      <c r="AJ3734">
        <v>94.786885874466606</v>
      </c>
      <c r="AK3734">
        <v>24.789121054950702</v>
      </c>
      <c r="AL3734">
        <v>79.713197085340298</v>
      </c>
      <c r="AM3734">
        <v>93.775636143915406</v>
      </c>
      <c r="AN3734">
        <v>1.0000000583200801</v>
      </c>
    </row>
    <row r="3735" spans="1:40" x14ac:dyDescent="0.25">
      <c r="A3735" t="str">
        <f>"20190304155130922"</f>
        <v>20190304155130922</v>
      </c>
      <c r="B3735" t="str">
        <f>"1551685890910497"</f>
        <v>1551685890910497</v>
      </c>
      <c r="C3735" t="s">
        <v>40</v>
      </c>
      <c r="D3735">
        <v>5.1621889999999997</v>
      </c>
      <c r="E3735">
        <v>0.49135669999999998</v>
      </c>
      <c r="F3735" t="s">
        <v>72</v>
      </c>
      <c r="G3735">
        <v>-292.64920000000001</v>
      </c>
      <c r="H3735" s="1">
        <v>1.364332E-6</v>
      </c>
      <c r="I3735">
        <v>216.18260000000001</v>
      </c>
      <c r="J3735">
        <v>-316.40499999999997</v>
      </c>
      <c r="K3735">
        <v>1.110387</v>
      </c>
      <c r="L3735">
        <v>213.2054</v>
      </c>
      <c r="M3735">
        <v>0.99907550000000001</v>
      </c>
      <c r="N3735">
        <v>-1.0718190000000001E-2</v>
      </c>
      <c r="O3735">
        <v>4.1632780000000001E-2</v>
      </c>
      <c r="P3735">
        <v>0.98029569999999999</v>
      </c>
      <c r="Q3735">
        <v>0.16707920000000001</v>
      </c>
      <c r="R3735">
        <v>0.1053809</v>
      </c>
      <c r="S3735">
        <v>3.0443419999999999</v>
      </c>
      <c r="T3735">
        <v>-0.139993799999999</v>
      </c>
      <c r="U3735">
        <v>0.37741089999999999</v>
      </c>
      <c r="V3735">
        <v>-6.475794E-2</v>
      </c>
      <c r="W3735">
        <v>0.1775119</v>
      </c>
      <c r="X3735">
        <v>0.98198569999999996</v>
      </c>
      <c r="Y3735">
        <v>-8.1524540000000006E-2</v>
      </c>
      <c r="Z3735">
        <v>8.4538339999999895E-4</v>
      </c>
      <c r="AA3735">
        <v>0.99667099999999997</v>
      </c>
      <c r="AB3735">
        <v>41</v>
      </c>
      <c r="AC3735">
        <v>23.755799999999901</v>
      </c>
      <c r="AD3735">
        <v>-1.110385635668</v>
      </c>
      <c r="AE3735">
        <v>2.9772000000000101</v>
      </c>
      <c r="AF3735">
        <v>-1.9812798827892599</v>
      </c>
      <c r="AG3735">
        <v>-1.110385635668</v>
      </c>
      <c r="AH3735">
        <v>23.807946246811301</v>
      </c>
      <c r="AI3735">
        <v>92.661113745430896</v>
      </c>
      <c r="AJ3735">
        <v>94.757151295725393</v>
      </c>
      <c r="AK3735">
        <v>23.9160350126207</v>
      </c>
      <c r="AL3735">
        <v>79.775131465100898</v>
      </c>
      <c r="AM3735">
        <v>93.772959251992503</v>
      </c>
      <c r="AN3735">
        <v>0.99999999021957098</v>
      </c>
    </row>
    <row r="3736" spans="1:40" x14ac:dyDescent="0.25">
      <c r="A3736" t="str">
        <f>"20190304155130944"</f>
        <v>20190304155130944</v>
      </c>
      <c r="B3736" t="str">
        <f>"1551685890940754"</f>
        <v>1551685890940754</v>
      </c>
      <c r="C3736" t="s">
        <v>40</v>
      </c>
      <c r="D3736">
        <v>5.4209110000000003</v>
      </c>
      <c r="E3736">
        <v>0.53019519999999998</v>
      </c>
      <c r="F3736" t="s">
        <v>72</v>
      </c>
      <c r="G3736">
        <v>-292.69990000000001</v>
      </c>
      <c r="H3736" s="1">
        <v>1.3733310000000001E-6</v>
      </c>
      <c r="I3736">
        <v>216.1352</v>
      </c>
      <c r="J3736">
        <v>-315.99959999999999</v>
      </c>
      <c r="K3736">
        <v>1.110271</v>
      </c>
      <c r="L3736">
        <v>213.2225</v>
      </c>
      <c r="M3736">
        <v>0.99906269999999997</v>
      </c>
      <c r="N3736">
        <v>-1.072241E-2</v>
      </c>
      <c r="O3736">
        <v>4.1944269999999999E-2</v>
      </c>
      <c r="P3736">
        <v>0.98045280000000001</v>
      </c>
      <c r="Q3736">
        <v>0.16604739999999901</v>
      </c>
      <c r="R3736">
        <v>0.1055517</v>
      </c>
      <c r="S3736">
        <v>3.0441889999999998</v>
      </c>
      <c r="T3736">
        <v>-0.14259520000000001</v>
      </c>
      <c r="U3736">
        <v>0.37625120000000001</v>
      </c>
      <c r="V3736">
        <v>-6.4567089999999994E-2</v>
      </c>
      <c r="W3736">
        <v>0.1765033</v>
      </c>
      <c r="X3736">
        <v>0.9821801</v>
      </c>
      <c r="Y3736">
        <v>-8.0844700000000005E-2</v>
      </c>
      <c r="Z3736">
        <v>8.1433519999999998E-4</v>
      </c>
      <c r="AA3736">
        <v>0.99672640000000001</v>
      </c>
      <c r="AB3736">
        <v>41</v>
      </c>
      <c r="AC3736">
        <v>23.299699999999898</v>
      </c>
      <c r="AD3736">
        <v>-1.110269626669</v>
      </c>
      <c r="AE3736">
        <v>2.9127000000000001</v>
      </c>
      <c r="AF3736">
        <v>-1.9284799923773901</v>
      </c>
      <c r="AG3736">
        <v>-1.110269626669</v>
      </c>
      <c r="AH3736">
        <v>23.349168131293698</v>
      </c>
      <c r="AI3736">
        <v>92.713180100721004</v>
      </c>
      <c r="AJ3736">
        <v>94.721518916919393</v>
      </c>
      <c r="AK3736">
        <v>23.454965063890601</v>
      </c>
      <c r="AL3736">
        <v>79.833847617249006</v>
      </c>
      <c r="AM3736">
        <v>93.761129391193606</v>
      </c>
      <c r="AN3736">
        <v>1.0000000364289801</v>
      </c>
    </row>
    <row r="3737" spans="1:40" x14ac:dyDescent="0.25">
      <c r="A3737" t="str">
        <f>"20190304155130968"</f>
        <v>20190304155130968</v>
      </c>
      <c r="B3737" t="str">
        <f>"1551685890960274"</f>
        <v>1551685890960274</v>
      </c>
      <c r="C3737" t="s">
        <v>40</v>
      </c>
      <c r="D3737">
        <v>5.1476139999999999</v>
      </c>
      <c r="E3737">
        <v>0.53227170000000001</v>
      </c>
      <c r="F3737" t="s">
        <v>72</v>
      </c>
      <c r="G3737">
        <v>-296.07170000000002</v>
      </c>
      <c r="H3737" s="1">
        <v>1.9714380000000001E-6</v>
      </c>
      <c r="I3737">
        <v>213.66059999999999</v>
      </c>
      <c r="J3737">
        <v>-315.56950000000001</v>
      </c>
      <c r="K3737">
        <v>1.1101620000000001</v>
      </c>
      <c r="L3737">
        <v>213.24080000000001</v>
      </c>
      <c r="M3737">
        <v>0.99905319999999997</v>
      </c>
      <c r="N3737">
        <v>-1.072706E-2</v>
      </c>
      <c r="O3737">
        <v>4.2163020000000002E-2</v>
      </c>
      <c r="P3737">
        <v>0.98071620000000004</v>
      </c>
      <c r="Q3737">
        <v>0.16470460000000001</v>
      </c>
      <c r="R3737">
        <v>0.1052054</v>
      </c>
      <c r="S3737">
        <v>3.081604</v>
      </c>
      <c r="T3737">
        <v>-0.1716896</v>
      </c>
      <c r="U3737">
        <v>6.7733760000000004E-2</v>
      </c>
      <c r="V3737">
        <v>-6.3944000000000001E-2</v>
      </c>
      <c r="W3737">
        <v>0.1751866</v>
      </c>
      <c r="X3737">
        <v>0.98245649999999995</v>
      </c>
      <c r="Y3737">
        <v>2.0120320000000001E-2</v>
      </c>
      <c r="Z3737">
        <v>-2.5621009999999998E-3</v>
      </c>
      <c r="AA3737">
        <v>0.99979430000000002</v>
      </c>
      <c r="AB3737">
        <v>41</v>
      </c>
      <c r="AC3737">
        <v>19.497799999999899</v>
      </c>
      <c r="AD3737">
        <v>-1.1101600285619999</v>
      </c>
      <c r="AE3737">
        <v>0.41979999999998002</v>
      </c>
      <c r="AF3737">
        <v>0.40140603468029601</v>
      </c>
      <c r="AG3737">
        <v>-1.1101600285619999</v>
      </c>
      <c r="AH3737">
        <v>19.435182759309299</v>
      </c>
      <c r="AI3737">
        <v>93.268552808687303</v>
      </c>
      <c r="AJ3737">
        <v>88.816805451818993</v>
      </c>
      <c r="AK3737">
        <v>19.471001797068599</v>
      </c>
      <c r="AL3737">
        <v>79.910482513253001</v>
      </c>
      <c r="AM3737">
        <v>93.723891142079097</v>
      </c>
      <c r="AN3737">
        <v>0.99999997717390399</v>
      </c>
    </row>
    <row r="3738" spans="1:40" x14ac:dyDescent="0.25">
      <c r="A3738" t="str">
        <f>"20190304155130991"</f>
        <v>20190304155130991</v>
      </c>
      <c r="B3738" t="str">
        <f>"1551685890980770"</f>
        <v>1551685890980770</v>
      </c>
      <c r="C3738" t="s">
        <v>40</v>
      </c>
      <c r="D3738">
        <v>5.2183780000000004</v>
      </c>
      <c r="E3738">
        <v>0.53487090000000004</v>
      </c>
      <c r="F3738" t="s">
        <v>72</v>
      </c>
      <c r="G3738">
        <v>-294.92180000000002</v>
      </c>
      <c r="H3738" s="1">
        <v>1.7674589999999999E-6</v>
      </c>
      <c r="I3738">
        <v>213.57230000000001</v>
      </c>
      <c r="J3738">
        <v>-315.15410000000003</v>
      </c>
      <c r="K3738">
        <v>1.1100460000000001</v>
      </c>
      <c r="L3738">
        <v>213.25839999999999</v>
      </c>
      <c r="M3738">
        <v>0.99904959999999998</v>
      </c>
      <c r="N3738">
        <v>-1.073181E-2</v>
      </c>
      <c r="O3738">
        <v>4.2247270000000003E-2</v>
      </c>
      <c r="P3738">
        <v>0.98089079999999995</v>
      </c>
      <c r="Q3738">
        <v>0.16381770000000001</v>
      </c>
      <c r="R3738">
        <v>0.10496279999999999</v>
      </c>
      <c r="S3738">
        <v>3.0814509999999999</v>
      </c>
      <c r="T3738">
        <v>-0.16567989999999999</v>
      </c>
      <c r="U3738">
        <v>4.9468989999999997E-2</v>
      </c>
      <c r="V3738">
        <v>-6.3563179999999997E-2</v>
      </c>
      <c r="W3738">
        <v>0.17432320000000001</v>
      </c>
      <c r="X3738">
        <v>0.98263480000000003</v>
      </c>
      <c r="Y3738">
        <v>2.6122570000000001E-2</v>
      </c>
      <c r="Z3738">
        <v>-2.6577839999999998E-3</v>
      </c>
      <c r="AA3738">
        <v>0.99965519999999997</v>
      </c>
      <c r="AB3738">
        <v>41</v>
      </c>
      <c r="AC3738">
        <v>20.232299999999999</v>
      </c>
      <c r="AD3738">
        <v>-1.1100442325409901</v>
      </c>
      <c r="AE3738">
        <v>0.313900000000018</v>
      </c>
      <c r="AF3738">
        <v>0.53956511994016698</v>
      </c>
      <c r="AG3738">
        <v>-1.1100442325409901</v>
      </c>
      <c r="AH3738">
        <v>20.1668056416765</v>
      </c>
      <c r="AI3738">
        <v>93.149435402476698</v>
      </c>
      <c r="AJ3738">
        <v>88.467410693687398</v>
      </c>
      <c r="AK3738">
        <v>20.204538562065899</v>
      </c>
      <c r="AL3738">
        <v>79.960725084885496</v>
      </c>
      <c r="AM3738">
        <v>93.701105445893006</v>
      </c>
      <c r="AN3738">
        <v>1.0000000030404901</v>
      </c>
    </row>
    <row r="3739" spans="1:40" x14ac:dyDescent="0.25">
      <c r="A3739" t="str">
        <f>"20190304155131012"</f>
        <v>20190304155131012</v>
      </c>
      <c r="B3739" t="str">
        <f>"1551685891000290"</f>
        <v>1551685891000290</v>
      </c>
      <c r="C3739" t="s">
        <v>40</v>
      </c>
      <c r="D3739">
        <v>5.1931820000000002</v>
      </c>
      <c r="E3739">
        <v>0.53605209999999903</v>
      </c>
      <c r="F3739" t="s">
        <v>72</v>
      </c>
      <c r="G3739">
        <v>-294.37959999999998</v>
      </c>
      <c r="H3739" s="1">
        <v>1.6712730000000001E-6</v>
      </c>
      <c r="I3739">
        <v>213.44149999999999</v>
      </c>
      <c r="J3739">
        <v>-314.77429999999998</v>
      </c>
      <c r="K3739">
        <v>1.109937</v>
      </c>
      <c r="L3739">
        <v>213.27449999999999</v>
      </c>
      <c r="M3739">
        <v>0.99905060000000001</v>
      </c>
      <c r="N3739">
        <v>-1.073605E-2</v>
      </c>
      <c r="O3739">
        <v>4.222124E-2</v>
      </c>
      <c r="P3739">
        <v>0.98122640000000005</v>
      </c>
      <c r="Q3739">
        <v>0.16200909999999999</v>
      </c>
      <c r="R3739">
        <v>0.104632</v>
      </c>
      <c r="S3739">
        <v>3.0830380000000002</v>
      </c>
      <c r="T3739">
        <v>-0.16473589999999999</v>
      </c>
      <c r="U3739">
        <v>2.716064E-2</v>
      </c>
      <c r="V3739">
        <v>-6.3200069999999997E-2</v>
      </c>
      <c r="W3739">
        <v>0.17253869999999999</v>
      </c>
      <c r="X3739">
        <v>0.98297310000000004</v>
      </c>
      <c r="Y3739">
        <v>3.3325019999999997E-2</v>
      </c>
      <c r="Z3739">
        <v>-2.8693170000000001E-3</v>
      </c>
      <c r="AA3739">
        <v>0.99944040000000001</v>
      </c>
      <c r="AB3739">
        <v>41</v>
      </c>
      <c r="AC3739">
        <v>20.3947</v>
      </c>
      <c r="AD3739">
        <v>-1.109935328727</v>
      </c>
      <c r="AE3739">
        <v>0.16700000000000101</v>
      </c>
      <c r="AF3739">
        <v>0.69223793177739401</v>
      </c>
      <c r="AG3739">
        <v>-1.109935328727</v>
      </c>
      <c r="AH3739">
        <v>20.323372594656899</v>
      </c>
      <c r="AI3739">
        <v>93.124222959626394</v>
      </c>
      <c r="AJ3739">
        <v>88.049192665412207</v>
      </c>
      <c r="AK3739">
        <v>20.3654271600032</v>
      </c>
      <c r="AL3739">
        <v>80.064542471505604</v>
      </c>
      <c r="AM3739">
        <v>93.678757798364799</v>
      </c>
      <c r="AN3739">
        <v>0.99999998358465203</v>
      </c>
    </row>
    <row r="3740" spans="1:40" x14ac:dyDescent="0.25">
      <c r="A3740" t="str">
        <f>"20190304155131032"</f>
        <v>20190304155131032</v>
      </c>
      <c r="B3740" t="str">
        <f>"1551685891030546"</f>
        <v>1551685891030546</v>
      </c>
      <c r="C3740" t="s">
        <v>40</v>
      </c>
      <c r="D3740">
        <v>5.1848489999999998</v>
      </c>
      <c r="E3740">
        <v>0.53710170000000002</v>
      </c>
      <c r="F3740" t="s">
        <v>51</v>
      </c>
      <c r="G3740">
        <v>-313.73660000000001</v>
      </c>
      <c r="H3740">
        <v>1.0522689999999999</v>
      </c>
      <c r="I3740">
        <v>213.27969999999999</v>
      </c>
      <c r="J3740">
        <v>-314.3793</v>
      </c>
      <c r="K3740">
        <v>1.1098269999999999</v>
      </c>
      <c r="L3740">
        <v>213.2911</v>
      </c>
      <c r="M3740">
        <v>0.99905569999999999</v>
      </c>
      <c r="N3740">
        <v>-1.074051E-2</v>
      </c>
      <c r="O3740">
        <v>4.2100289999999999E-2</v>
      </c>
      <c r="P3740">
        <v>0.98138150000000002</v>
      </c>
      <c r="Q3740">
        <v>0.16152439999999901</v>
      </c>
      <c r="R3740">
        <v>0.1039243</v>
      </c>
      <c r="S3740">
        <v>3.0840450000000001</v>
      </c>
      <c r="T3740">
        <v>-0.17144860000000001</v>
      </c>
      <c r="U3740">
        <v>1.5472410000000001E-2</v>
      </c>
      <c r="V3740">
        <v>-6.2561640000000002E-2</v>
      </c>
      <c r="W3740">
        <v>0.17207600000000001</v>
      </c>
      <c r="X3740">
        <v>0.98309500000000005</v>
      </c>
      <c r="Y3740">
        <v>3.6979360000000003E-2</v>
      </c>
      <c r="Z3740">
        <v>-3.1118830000000002E-3</v>
      </c>
      <c r="AA3740">
        <v>0.99931119999999996</v>
      </c>
      <c r="AB3740">
        <v>41</v>
      </c>
      <c r="AC3740">
        <v>0.64269999999998995</v>
      </c>
      <c r="AD3740">
        <v>-5.7557999999999998E-2</v>
      </c>
      <c r="AE3740">
        <v>-1.14000000000089E-2</v>
      </c>
      <c r="AF3740">
        <v>3.8143478664766403E-2</v>
      </c>
      <c r="AG3740">
        <v>-5.7557999999999998E-2</v>
      </c>
      <c r="AH3740">
        <v>0.63654640245494398</v>
      </c>
      <c r="AI3740">
        <v>95.157564822992697</v>
      </c>
      <c r="AJ3740">
        <v>86.570791743415299</v>
      </c>
      <c r="AK3740">
        <v>0.64028054070616602</v>
      </c>
      <c r="AL3740">
        <v>80.091455366995106</v>
      </c>
      <c r="AM3740">
        <v>93.641246153384003</v>
      </c>
      <c r="AN3740">
        <v>0.99999994380024304</v>
      </c>
    </row>
    <row r="3741" spans="1:40" x14ac:dyDescent="0.25">
      <c r="A3741" t="str">
        <f>"20190304155131055"</f>
        <v>20190304155131055</v>
      </c>
      <c r="B3741" t="str">
        <f>"1551685891050066"</f>
        <v>1551685891050066</v>
      </c>
      <c r="C3741" t="s">
        <v>40</v>
      </c>
      <c r="D3741">
        <v>5.1371880000000001</v>
      </c>
      <c r="E3741">
        <v>0.53730919999999904</v>
      </c>
      <c r="F3741" t="s">
        <v>72</v>
      </c>
      <c r="G3741">
        <v>-294.02379999999999</v>
      </c>
      <c r="H3741" s="1">
        <v>1.608158E-6</v>
      </c>
      <c r="I3741">
        <v>213.32259999999999</v>
      </c>
      <c r="J3741">
        <v>-313.96559999999999</v>
      </c>
      <c r="K3741">
        <v>1.1097140000000001</v>
      </c>
      <c r="L3741">
        <v>213.30840000000001</v>
      </c>
      <c r="M3741">
        <v>0.99906519999999999</v>
      </c>
      <c r="N3741">
        <v>-1.074523E-2</v>
      </c>
      <c r="O3741">
        <v>4.1872960000000001E-2</v>
      </c>
      <c r="P3741">
        <v>0.98167559999999998</v>
      </c>
      <c r="Q3741">
        <v>0.1603251</v>
      </c>
      <c r="R3741">
        <v>0.1029984</v>
      </c>
      <c r="S3741">
        <v>3.084076</v>
      </c>
      <c r="T3741">
        <v>-0.1681501</v>
      </c>
      <c r="U3741">
        <v>4.7760009999999898E-3</v>
      </c>
      <c r="V3741">
        <v>-6.1802379999999997E-2</v>
      </c>
      <c r="W3741">
        <v>0.17090069999999999</v>
      </c>
      <c r="X3741">
        <v>0.98334809999999995</v>
      </c>
      <c r="Y3741">
        <v>4.0216519999999999E-2</v>
      </c>
      <c r="Z3741">
        <v>-3.142798E-3</v>
      </c>
      <c r="AA3741">
        <v>0.99918600000000002</v>
      </c>
      <c r="AB3741">
        <v>41</v>
      </c>
      <c r="AC3741">
        <v>19.941800000000001</v>
      </c>
      <c r="AD3741">
        <v>-1.10971239184199</v>
      </c>
      <c r="AE3741">
        <v>1.4199999999988199E-2</v>
      </c>
      <c r="AF3741">
        <v>0.81834868815090001</v>
      </c>
      <c r="AG3741">
        <v>-1.10971239184199</v>
      </c>
      <c r="AH3741">
        <v>19.8633925671888</v>
      </c>
      <c r="AI3741">
        <v>93.194926874935803</v>
      </c>
      <c r="AJ3741">
        <v>87.640814653914305</v>
      </c>
      <c r="AK3741">
        <v>19.911190834459301</v>
      </c>
      <c r="AL3741">
        <v>80.159808568178903</v>
      </c>
      <c r="AM3741">
        <v>93.596248605022595</v>
      </c>
      <c r="AN3741">
        <v>1.00000003460388</v>
      </c>
    </row>
    <row r="3742" spans="1:40" x14ac:dyDescent="0.25">
      <c r="A3742" t="str">
        <f>"20190304155131079"</f>
        <v>20190304155131079</v>
      </c>
      <c r="B3742" t="str">
        <f>"1551685891070565"</f>
        <v>1551685891070565</v>
      </c>
      <c r="C3742" t="s">
        <v>40</v>
      </c>
      <c r="D3742">
        <v>5.1685569999999998</v>
      </c>
      <c r="E3742">
        <v>0.53773029999999999</v>
      </c>
      <c r="F3742" t="s">
        <v>72</v>
      </c>
      <c r="G3742">
        <v>-293.6626</v>
      </c>
      <c r="H3742" s="1">
        <v>1.5440970000000001E-6</v>
      </c>
      <c r="I3742">
        <v>213.31020000000001</v>
      </c>
      <c r="J3742">
        <v>-313.5437</v>
      </c>
      <c r="K3742">
        <v>1.10959599999999</v>
      </c>
      <c r="L3742">
        <v>213.32579999999999</v>
      </c>
      <c r="M3742">
        <v>0.99907919999999995</v>
      </c>
      <c r="N3742">
        <v>-1.0750030000000001E-2</v>
      </c>
      <c r="O3742">
        <v>4.1536780000000002E-2</v>
      </c>
      <c r="P3742">
        <v>0.9819523</v>
      </c>
      <c r="Q3742">
        <v>0.15941949999999999</v>
      </c>
      <c r="R3742">
        <v>0.1017618</v>
      </c>
      <c r="S3742">
        <v>3.0835270000000001</v>
      </c>
      <c r="T3742">
        <v>-0.1685382</v>
      </c>
      <c r="U3742">
        <v>2.7465820000000001E-4</v>
      </c>
      <c r="V3742">
        <v>-6.0840690000000003E-2</v>
      </c>
      <c r="W3742">
        <v>0.17001830000000001</v>
      </c>
      <c r="X3742">
        <v>0.98356100000000002</v>
      </c>
      <c r="Y3742">
        <v>4.1336350000000001E-2</v>
      </c>
      <c r="Z3742">
        <v>-3.1729729999999999E-3</v>
      </c>
      <c r="AA3742">
        <v>0.99914029999999998</v>
      </c>
      <c r="AB3742">
        <v>41</v>
      </c>
      <c r="AC3742">
        <v>19.8811</v>
      </c>
      <c r="AD3742">
        <v>-1.10959445590299</v>
      </c>
      <c r="AE3742">
        <v>-1.55999999999778E-2</v>
      </c>
      <c r="AF3742">
        <v>0.83881822944142104</v>
      </c>
      <c r="AG3742">
        <v>-1.10959445590299</v>
      </c>
      <c r="AH3742">
        <v>19.801611614169001</v>
      </c>
      <c r="AI3742">
        <v>93.204379383491002</v>
      </c>
      <c r="AJ3742">
        <v>87.574337461894601</v>
      </c>
      <c r="AK3742">
        <v>19.850406504578402</v>
      </c>
      <c r="AL3742">
        <v>80.211117201353701</v>
      </c>
      <c r="AM3742">
        <v>93.5396674120027</v>
      </c>
      <c r="AN3742">
        <v>1.00000002630778</v>
      </c>
    </row>
    <row r="3743" spans="1:40" x14ac:dyDescent="0.25">
      <c r="A3743" t="str">
        <f>"20190304155131101"</f>
        <v>20190304155131101</v>
      </c>
      <c r="B3743" t="str">
        <f>"1551685891090082"</f>
        <v>1551685891090082</v>
      </c>
      <c r="C3743" t="s">
        <v>40</v>
      </c>
      <c r="D3743">
        <v>5.1539299999999999</v>
      </c>
      <c r="E3743">
        <v>0.53836309999999998</v>
      </c>
      <c r="F3743" t="s">
        <v>72</v>
      </c>
      <c r="G3743">
        <v>-293.35730000000001</v>
      </c>
      <c r="H3743" s="1">
        <v>1.4899359999999899E-6</v>
      </c>
      <c r="I3743">
        <v>213.27699999999999</v>
      </c>
      <c r="J3743">
        <v>-313.12950000000001</v>
      </c>
      <c r="K3743">
        <v>1.109483</v>
      </c>
      <c r="L3743">
        <v>213.34270000000001</v>
      </c>
      <c r="M3743">
        <v>0.99909689999999995</v>
      </c>
      <c r="N3743">
        <v>-1.075485E-2</v>
      </c>
      <c r="O3743">
        <v>4.1106759999999999E-2</v>
      </c>
      <c r="P3743">
        <v>0.98209930000000001</v>
      </c>
      <c r="Q3743">
        <v>0.15937680000000001</v>
      </c>
      <c r="R3743">
        <v>0.10039910000000001</v>
      </c>
      <c r="S3743">
        <v>3.083466</v>
      </c>
      <c r="T3743">
        <v>-0.1694899</v>
      </c>
      <c r="U3743">
        <v>-7.4615480000000001E-3</v>
      </c>
      <c r="V3743">
        <v>-5.9850819999999999E-2</v>
      </c>
      <c r="W3743">
        <v>0.16999710000000001</v>
      </c>
      <c r="X3743">
        <v>0.98362539999999998</v>
      </c>
      <c r="Y3743">
        <v>4.3408339999999997E-2</v>
      </c>
      <c r="Z3743">
        <v>-3.2412040000000001E-3</v>
      </c>
      <c r="AA3743">
        <v>0.99905219999999995</v>
      </c>
      <c r="AB3743">
        <v>41</v>
      </c>
      <c r="AC3743">
        <v>19.772200000000002</v>
      </c>
      <c r="AD3743">
        <v>-1.1094815100640001</v>
      </c>
      <c r="AE3743">
        <v>-6.5699999999992501E-2</v>
      </c>
      <c r="AF3743">
        <v>0.87570523579437098</v>
      </c>
      <c r="AG3743">
        <v>-1.1094815100640001</v>
      </c>
      <c r="AH3743">
        <v>19.6907854113282</v>
      </c>
      <c r="AI3743">
        <v>93.221755242645003</v>
      </c>
      <c r="AJ3743">
        <v>87.453571632282504</v>
      </c>
      <c r="AK3743">
        <v>19.741449769359601</v>
      </c>
      <c r="AL3743">
        <v>80.212349862644203</v>
      </c>
      <c r="AM3743">
        <v>93.481992940469596</v>
      </c>
      <c r="AN3743">
        <v>1.0000000310941199</v>
      </c>
    </row>
    <row r="3744" spans="1:40" x14ac:dyDescent="0.25">
      <c r="A3744" t="str">
        <f>"20190304155131123"</f>
        <v>20190304155131123</v>
      </c>
      <c r="B3744" t="str">
        <f>"1551685891110578"</f>
        <v>1551685891110578</v>
      </c>
      <c r="C3744" t="s">
        <v>40</v>
      </c>
      <c r="D3744">
        <v>4.9397209999999996</v>
      </c>
      <c r="E3744">
        <v>0.53799039999999998</v>
      </c>
      <c r="F3744" t="s">
        <v>72</v>
      </c>
      <c r="G3744">
        <v>-293.02699999999999</v>
      </c>
      <c r="H3744" s="1">
        <v>1.431348E-6</v>
      </c>
      <c r="I3744">
        <v>213.2346</v>
      </c>
      <c r="J3744">
        <v>-312.73599999999999</v>
      </c>
      <c r="K3744">
        <v>1.1093770000000001</v>
      </c>
      <c r="L3744">
        <v>213.35849999999999</v>
      </c>
      <c r="M3744">
        <v>0.99911719999999904</v>
      </c>
      <c r="N3744">
        <v>-1.075957E-2</v>
      </c>
      <c r="O3744">
        <v>4.0609619999999999E-2</v>
      </c>
      <c r="P3744">
        <v>0.98206090000000001</v>
      </c>
      <c r="Q3744">
        <v>0.15998009999999999</v>
      </c>
      <c r="R3744">
        <v>9.9816520000000006E-2</v>
      </c>
      <c r="S3744">
        <v>3.0839539999999999</v>
      </c>
      <c r="T3744">
        <v>-0.17020679999999999</v>
      </c>
      <c r="U3744">
        <v>-1.6586299999999998E-2</v>
      </c>
      <c r="V3744">
        <v>-5.971721E-2</v>
      </c>
      <c r="W3744">
        <v>0.1706192</v>
      </c>
      <c r="X3744">
        <v>0.98352580000000001</v>
      </c>
      <c r="Y3744">
        <v>4.5861680000000002E-2</v>
      </c>
      <c r="Z3744">
        <v>-3.3139720000000001E-3</v>
      </c>
      <c r="AA3744">
        <v>0.99894229999999995</v>
      </c>
      <c r="AB3744">
        <v>41</v>
      </c>
      <c r="AC3744">
        <v>19.709</v>
      </c>
      <c r="AD3744">
        <v>-1.1093755686519999</v>
      </c>
      <c r="AE3744">
        <v>-0.123899999999991</v>
      </c>
      <c r="AF3744">
        <v>0.92130022806328205</v>
      </c>
      <c r="AG3744">
        <v>-1.1093755686519999</v>
      </c>
      <c r="AH3744">
        <v>19.625530769288499</v>
      </c>
      <c r="AI3744">
        <v>93.231773338046494</v>
      </c>
      <c r="AJ3744">
        <v>87.312282117369904</v>
      </c>
      <c r="AK3744">
        <v>19.678439120998402</v>
      </c>
      <c r="AL3744">
        <v>80.1761776830228</v>
      </c>
      <c r="AM3744">
        <v>93.474589825216896</v>
      </c>
      <c r="AN3744">
        <v>1.0000000279222301</v>
      </c>
    </row>
    <row r="3745" spans="1:40" x14ac:dyDescent="0.25">
      <c r="A3745" t="str">
        <f>"20190304155131143"</f>
        <v>20190304155131143</v>
      </c>
      <c r="B3745" t="str">
        <f>"1551685891140835"</f>
        <v>1551685891140835</v>
      </c>
      <c r="C3745" t="s">
        <v>40</v>
      </c>
      <c r="D3745">
        <v>5.2020099999999996</v>
      </c>
      <c r="E3745">
        <v>0.53812340000000003</v>
      </c>
      <c r="F3745" t="s">
        <v>72</v>
      </c>
      <c r="G3745">
        <v>-292.65719999999999</v>
      </c>
      <c r="H3745" s="1">
        <v>1.3657520000000001E-6</v>
      </c>
      <c r="I3745">
        <v>213.25960000000001</v>
      </c>
      <c r="J3745">
        <v>-312.35340000000002</v>
      </c>
      <c r="K3745">
        <v>1.1092850000000001</v>
      </c>
      <c r="L3745">
        <v>213.37370000000001</v>
      </c>
      <c r="M3745">
        <v>0.99913980000000002</v>
      </c>
      <c r="N3745">
        <v>-1.076421E-2</v>
      </c>
      <c r="O3745">
        <v>4.0048889999999997E-2</v>
      </c>
      <c r="P3745">
        <v>0.98204820000000004</v>
      </c>
      <c r="Q3745">
        <v>0.16050020000000001</v>
      </c>
      <c r="R3745">
        <v>9.9102309999999999E-2</v>
      </c>
      <c r="S3745">
        <v>3.0841059999999998</v>
      </c>
      <c r="T3745">
        <v>-0.17040039999999901</v>
      </c>
      <c r="U3745">
        <v>-1.5197749999999999E-2</v>
      </c>
      <c r="V3745">
        <v>-5.9515520000000002E-2</v>
      </c>
      <c r="W3745">
        <v>0.17115720000000001</v>
      </c>
      <c r="X3745">
        <v>0.98344450000000005</v>
      </c>
      <c r="Y3745">
        <v>4.485314E-2</v>
      </c>
      <c r="Z3745">
        <v>-3.2595150000000002E-3</v>
      </c>
      <c r="AA3745">
        <v>0.99898830000000005</v>
      </c>
      <c r="AB3745">
        <v>41</v>
      </c>
      <c r="AC3745">
        <v>19.696200000000001</v>
      </c>
      <c r="AD3745">
        <v>-1.1092836342479999</v>
      </c>
      <c r="AE3745">
        <v>-0.114100000000007</v>
      </c>
      <c r="AF3745">
        <v>0.90001039896560198</v>
      </c>
      <c r="AG3745">
        <v>-1.1092836342479999</v>
      </c>
      <c r="AH3745">
        <v>19.6136160267022</v>
      </c>
      <c r="AI3745">
        <v>93.233622932112894</v>
      </c>
      <c r="AJ3745">
        <v>87.372710385030899</v>
      </c>
      <c r="AK3745">
        <v>19.665565401034499</v>
      </c>
      <c r="AL3745">
        <v>80.144891927204995</v>
      </c>
      <c r="AM3745">
        <v>93.4631688619518</v>
      </c>
      <c r="AN3745">
        <v>0.99999998440647997</v>
      </c>
    </row>
    <row r="3746" spans="1:40" x14ac:dyDescent="0.25">
      <c r="A3746" t="str">
        <f>"20190304155131168"</f>
        <v>20190304155131168</v>
      </c>
      <c r="B3746" t="str">
        <f>"1551685891160354"</f>
        <v>1551685891160354</v>
      </c>
      <c r="C3746" t="s">
        <v>40</v>
      </c>
      <c r="D3746">
        <v>5.1632959999999999</v>
      </c>
      <c r="E3746">
        <v>0.53810880000000005</v>
      </c>
      <c r="F3746" t="s">
        <v>72</v>
      </c>
      <c r="G3746">
        <v>-291.91480000000001</v>
      </c>
      <c r="H3746" s="1">
        <v>1.23407E-6</v>
      </c>
      <c r="I3746">
        <v>213.25139999999999</v>
      </c>
      <c r="J3746">
        <v>-311.91460000000001</v>
      </c>
      <c r="K3746">
        <v>1.109175</v>
      </c>
      <c r="L3746">
        <v>213.39070000000001</v>
      </c>
      <c r="M3746">
        <v>0.99916850000000001</v>
      </c>
      <c r="N3746">
        <v>-1.076936E-2</v>
      </c>
      <c r="O3746">
        <v>3.932356E-2</v>
      </c>
      <c r="P3746">
        <v>0.98200339999999997</v>
      </c>
      <c r="Q3746">
        <v>0.1611755</v>
      </c>
      <c r="R3746">
        <v>9.844659E-2</v>
      </c>
      <c r="S3746">
        <v>3.0840450000000001</v>
      </c>
      <c r="T3746">
        <v>-0.1673837</v>
      </c>
      <c r="U3746">
        <v>-1.844788E-2</v>
      </c>
      <c r="V3746">
        <v>-5.953166E-2</v>
      </c>
      <c r="W3746">
        <v>0.171852</v>
      </c>
      <c r="X3746">
        <v>0.98332240000000004</v>
      </c>
      <c r="Y3746">
        <v>4.5185250000000003E-2</v>
      </c>
      <c r="Z3746">
        <v>-3.177806E-3</v>
      </c>
      <c r="AA3746">
        <v>0.99897349999999996</v>
      </c>
      <c r="AB3746">
        <v>41</v>
      </c>
      <c r="AC3746">
        <v>19.9998</v>
      </c>
      <c r="AD3746">
        <v>-1.1091737659300001</v>
      </c>
      <c r="AE3746">
        <v>-0.13930000000001899</v>
      </c>
      <c r="AF3746">
        <v>0.92286284688019404</v>
      </c>
      <c r="AG3746">
        <v>-1.1091737659300001</v>
      </c>
      <c r="AH3746">
        <v>19.917592745650602</v>
      </c>
      <c r="AI3746">
        <v>93.183994528791601</v>
      </c>
      <c r="AJ3746">
        <v>87.347151506789601</v>
      </c>
      <c r="AK3746">
        <v>19.9697882577351</v>
      </c>
      <c r="AL3746">
        <v>80.104484617925607</v>
      </c>
      <c r="AM3746">
        <v>93.464534844543294</v>
      </c>
      <c r="AN3746">
        <v>1.0000000353940499</v>
      </c>
    </row>
    <row r="3747" spans="1:40" x14ac:dyDescent="0.25">
      <c r="A3747" t="str">
        <f>"20190304155131191"</f>
        <v>20190304155131191</v>
      </c>
      <c r="B3747" t="str">
        <f>"1551685891180851"</f>
        <v>1551685891180851</v>
      </c>
      <c r="C3747" t="s">
        <v>40</v>
      </c>
      <c r="D3747">
        <v>5.1718599999999997</v>
      </c>
      <c r="E3747">
        <v>0.53807749999999999</v>
      </c>
      <c r="F3747" t="s">
        <v>72</v>
      </c>
      <c r="G3747">
        <v>-290.86020000000002</v>
      </c>
      <c r="H3747" s="1">
        <v>1.046987E-6</v>
      </c>
      <c r="I3747">
        <v>213.25020000000001</v>
      </c>
      <c r="J3747">
        <v>-311.49180000000001</v>
      </c>
      <c r="K3747">
        <v>1.109083</v>
      </c>
      <c r="L3747">
        <v>213.4067</v>
      </c>
      <c r="M3747">
        <v>0.99919899999999995</v>
      </c>
      <c r="N3747">
        <v>-1.077446E-2</v>
      </c>
      <c r="O3747">
        <v>3.8538799999999998E-2</v>
      </c>
      <c r="P3747">
        <v>0.98211289999999996</v>
      </c>
      <c r="Q3747">
        <v>0.1612286</v>
      </c>
      <c r="R3747">
        <v>9.7260680000000002E-2</v>
      </c>
      <c r="S3747">
        <v>3.08371</v>
      </c>
      <c r="T3747">
        <v>-0.16245379999999901</v>
      </c>
      <c r="U3747">
        <v>-2.056885E-2</v>
      </c>
      <c r="V3747">
        <v>-5.9077499999999998E-2</v>
      </c>
      <c r="W3747">
        <v>0.17192289999999999</v>
      </c>
      <c r="X3747">
        <v>0.98333729999999997</v>
      </c>
      <c r="Y3747">
        <v>4.50961E-2</v>
      </c>
      <c r="Z3747">
        <v>-3.0436339999999999E-3</v>
      </c>
      <c r="AA3747">
        <v>0.99897800000000003</v>
      </c>
      <c r="AB3747">
        <v>41</v>
      </c>
      <c r="AC3747">
        <v>20.631599999999899</v>
      </c>
      <c r="AD3747">
        <v>-1.1090819530130001</v>
      </c>
      <c r="AE3747">
        <v>-0.15649999999999401</v>
      </c>
      <c r="AF3747">
        <v>0.94880533770585196</v>
      </c>
      <c r="AG3747">
        <v>-1.1090819530130001</v>
      </c>
      <c r="AH3747">
        <v>20.550855843164399</v>
      </c>
      <c r="AI3747">
        <v>93.085842729284707</v>
      </c>
      <c r="AJ3747">
        <v>87.356608124950895</v>
      </c>
      <c r="AK3747">
        <v>20.602620470073202</v>
      </c>
      <c r="AL3747">
        <v>80.100360020163507</v>
      </c>
      <c r="AM3747">
        <v>93.438115991666507</v>
      </c>
      <c r="AN3747">
        <v>0.99999994006097304</v>
      </c>
    </row>
    <row r="3748" spans="1:40" x14ac:dyDescent="0.25">
      <c r="A3748" t="str">
        <f>"20190304155131213"</f>
        <v>20190304155131213</v>
      </c>
      <c r="B3748" t="str">
        <f>"1551685891210130"</f>
        <v>1551685891210130</v>
      </c>
      <c r="C3748" t="s">
        <v>40</v>
      </c>
      <c r="D3748">
        <v>5.2637340000000004</v>
      </c>
      <c r="E3748">
        <v>0.53812939999999998</v>
      </c>
      <c r="F3748" t="s">
        <v>72</v>
      </c>
      <c r="G3748">
        <v>-290.1891</v>
      </c>
      <c r="H3748" s="1">
        <v>9.2794609999999998E-7</v>
      </c>
      <c r="I3748">
        <v>213.24160000000001</v>
      </c>
      <c r="J3748">
        <v>-311.09210000000002</v>
      </c>
      <c r="K3748">
        <v>1.1089990000000001</v>
      </c>
      <c r="L3748">
        <v>213.42140000000001</v>
      </c>
      <c r="M3748">
        <v>0.99922960000000005</v>
      </c>
      <c r="N3748">
        <v>-1.0779230000000001E-2</v>
      </c>
      <c r="O3748">
        <v>3.7737050000000001E-2</v>
      </c>
      <c r="P3748">
        <v>0.98222580000000004</v>
      </c>
      <c r="Q3748">
        <v>0.1611445</v>
      </c>
      <c r="R3748">
        <v>9.6254199999999998E-2</v>
      </c>
      <c r="S3748">
        <v>3.0833439999999999</v>
      </c>
      <c r="T3748">
        <v>-0.16052810000000001</v>
      </c>
      <c r="U3748">
        <v>-2.3895260000000001E-2</v>
      </c>
      <c r="V3748">
        <v>-5.8824540000000002E-2</v>
      </c>
      <c r="W3748">
        <v>0.17185529999999999</v>
      </c>
      <c r="X3748">
        <v>0.98336429999999997</v>
      </c>
      <c r="Y3748">
        <v>4.5375840000000001E-2</v>
      </c>
      <c r="Z3748">
        <v>-2.9815979999999998E-3</v>
      </c>
      <c r="AA3748">
        <v>0.99896560000000001</v>
      </c>
      <c r="AB3748">
        <v>41</v>
      </c>
      <c r="AC3748">
        <v>20.902999999999999</v>
      </c>
      <c r="AD3748">
        <v>-1.1089980720538899</v>
      </c>
      <c r="AE3748">
        <v>-0.17979999999999999</v>
      </c>
      <c r="AF3748">
        <v>0.96581691348380705</v>
      </c>
      <c r="AG3748">
        <v>-1.1089980720538899</v>
      </c>
      <c r="AH3748">
        <v>20.8227166136733</v>
      </c>
      <c r="AI3748">
        <v>93.045370433038002</v>
      </c>
      <c r="AJ3748">
        <v>87.344361857257894</v>
      </c>
      <c r="AK3748">
        <v>20.874582779244701</v>
      </c>
      <c r="AL3748">
        <v>80.104291918612205</v>
      </c>
      <c r="AM3748">
        <v>93.423335867534703</v>
      </c>
      <c r="AN3748">
        <v>0.99999995857939405</v>
      </c>
    </row>
    <row r="3749" spans="1:40" x14ac:dyDescent="0.25">
      <c r="A3749" t="str">
        <f>"20190304155131234"</f>
        <v>20190304155131234</v>
      </c>
      <c r="B3749" t="str">
        <f>"1551685891230626"</f>
        <v>1551685891230626</v>
      </c>
      <c r="C3749" t="s">
        <v>40</v>
      </c>
      <c r="D3749">
        <v>5.1036339999999996</v>
      </c>
      <c r="E3749">
        <v>0.53807740000000004</v>
      </c>
      <c r="F3749" t="s">
        <v>72</v>
      </c>
      <c r="G3749">
        <v>-289.86709999999999</v>
      </c>
      <c r="H3749" s="1">
        <v>2.880425E-6</v>
      </c>
      <c r="I3749">
        <v>213.23070000000001</v>
      </c>
      <c r="J3749">
        <v>-310.69049999999999</v>
      </c>
      <c r="K3749">
        <v>1.1089249999999999</v>
      </c>
      <c r="L3749">
        <v>213.4359</v>
      </c>
      <c r="M3749">
        <v>0.99926139999999997</v>
      </c>
      <c r="N3749">
        <v>-1.0783879999999999E-2</v>
      </c>
      <c r="O3749">
        <v>3.6884090000000001E-2</v>
      </c>
      <c r="P3749">
        <v>0.98238419999999904</v>
      </c>
      <c r="Q3749">
        <v>0.16081319999999999</v>
      </c>
      <c r="R3749">
        <v>9.5186179999999995E-2</v>
      </c>
      <c r="S3749">
        <v>3.0834350000000001</v>
      </c>
      <c r="T3749">
        <v>-0.16110849999999999</v>
      </c>
      <c r="U3749">
        <v>-2.7709959999999999E-2</v>
      </c>
      <c r="V3749">
        <v>-5.8562889999999999E-2</v>
      </c>
      <c r="W3749">
        <v>0.17153860000000001</v>
      </c>
      <c r="X3749">
        <v>0.98343530000000001</v>
      </c>
      <c r="Y3749">
        <v>4.5757989999999998E-2</v>
      </c>
      <c r="Z3749">
        <v>-2.969509E-3</v>
      </c>
      <c r="AA3749">
        <v>0.99894819999999995</v>
      </c>
      <c r="AB3749">
        <v>41</v>
      </c>
      <c r="AC3749">
        <v>20.8233999999999</v>
      </c>
      <c r="AD3749">
        <v>-1.1089221195750001</v>
      </c>
      <c r="AE3749">
        <v>-0.20519999999999</v>
      </c>
      <c r="AF3749">
        <v>0.970405394516894</v>
      </c>
      <c r="AG3749">
        <v>-1.1089221195750001</v>
      </c>
      <c r="AH3749">
        <v>20.742840046296099</v>
      </c>
      <c r="AI3749">
        <v>93.056809673522594</v>
      </c>
      <c r="AJ3749">
        <v>87.321503511743302</v>
      </c>
      <c r="AK3749">
        <v>20.7951150052895</v>
      </c>
      <c r="AL3749">
        <v>80.122711895344906</v>
      </c>
      <c r="AM3749">
        <v>93.407899458253695</v>
      </c>
      <c r="AN3749">
        <v>1.0000000463306</v>
      </c>
    </row>
    <row r="3750" spans="1:40" x14ac:dyDescent="0.25">
      <c r="A3750" t="str">
        <f>"20190304155131257"</f>
        <v>20190304155131257</v>
      </c>
      <c r="B3750" t="str">
        <f>"1551685891250146"</f>
        <v>1551685891250146</v>
      </c>
      <c r="C3750" t="s">
        <v>40</v>
      </c>
      <c r="D3750">
        <v>5.2827260000000003</v>
      </c>
      <c r="E3750">
        <v>0.53831779999999996</v>
      </c>
      <c r="F3750" t="s">
        <v>72</v>
      </c>
      <c r="G3750">
        <v>-289.6859</v>
      </c>
      <c r="H3750" s="1">
        <v>2.9618690000000002E-6</v>
      </c>
      <c r="I3750">
        <v>213.2216</v>
      </c>
      <c r="J3750">
        <v>-310.26409999999998</v>
      </c>
      <c r="K3750">
        <v>1.108857</v>
      </c>
      <c r="L3750">
        <v>213.45089999999999</v>
      </c>
      <c r="M3750">
        <v>0.99929590000000001</v>
      </c>
      <c r="N3750">
        <v>-1.078878E-2</v>
      </c>
      <c r="O3750">
        <v>3.5932819999999997E-2</v>
      </c>
      <c r="P3750">
        <v>0.98241109999999998</v>
      </c>
      <c r="Q3750">
        <v>0.16145909999999999</v>
      </c>
      <c r="R3750">
        <v>9.3804899999999997E-2</v>
      </c>
      <c r="S3750">
        <v>3.083466</v>
      </c>
      <c r="T3750">
        <v>-0.16278970000000001</v>
      </c>
      <c r="U3750">
        <v>-3.1463619999999998E-2</v>
      </c>
      <c r="V3750">
        <v>-5.8090450000000002E-2</v>
      </c>
      <c r="W3750">
        <v>0.17219719999999999</v>
      </c>
      <c r="X3750">
        <v>0.98334820000000001</v>
      </c>
      <c r="Y3750">
        <v>4.6021039999999999E-2</v>
      </c>
      <c r="Z3750">
        <v>-2.9703870000000001E-3</v>
      </c>
      <c r="AA3750">
        <v>0.99893609999999999</v>
      </c>
      <c r="AB3750">
        <v>41</v>
      </c>
      <c r="AC3750">
        <v>20.578199999999899</v>
      </c>
      <c r="AD3750">
        <v>-1.1088540381309999</v>
      </c>
      <c r="AE3750">
        <v>-0.22929999999999401</v>
      </c>
      <c r="AF3750">
        <v>0.96582374871107501</v>
      </c>
      <c r="AG3750">
        <v>-1.1088540381309999</v>
      </c>
      <c r="AH3750">
        <v>20.497161544599098</v>
      </c>
      <c r="AI3750">
        <v>93.093139469683095</v>
      </c>
      <c r="AJ3750">
        <v>87.302225293648206</v>
      </c>
      <c r="AK3750">
        <v>20.549841950167</v>
      </c>
      <c r="AL3750">
        <v>80.084406747122301</v>
      </c>
      <c r="AM3750">
        <v>93.380769912761806</v>
      </c>
      <c r="AN3750">
        <v>1.00000002925614</v>
      </c>
    </row>
    <row r="3751" spans="1:40" x14ac:dyDescent="0.25">
      <c r="A3751" t="str">
        <f>"20190304155131279"</f>
        <v>20190304155131279</v>
      </c>
      <c r="B3751" t="str">
        <f>"1551685891270645"</f>
        <v>1551685891270645</v>
      </c>
      <c r="C3751" t="s">
        <v>40</v>
      </c>
      <c r="D3751">
        <v>5.2502009999999997</v>
      </c>
      <c r="E3751">
        <v>0.53831989999999996</v>
      </c>
      <c r="F3751" t="s">
        <v>72</v>
      </c>
      <c r="G3751">
        <v>-288.77800000000002</v>
      </c>
      <c r="H3751" s="1">
        <v>3.3687719999999999E-6</v>
      </c>
      <c r="I3751">
        <v>213.18559999999999</v>
      </c>
      <c r="J3751">
        <v>-309.86360000000002</v>
      </c>
      <c r="K3751">
        <v>1.108795</v>
      </c>
      <c r="L3751">
        <v>213.46459999999999</v>
      </c>
      <c r="M3751">
        <v>0.99932909999999997</v>
      </c>
      <c r="N3751">
        <v>-1.079335E-2</v>
      </c>
      <c r="O3751">
        <v>3.4999450000000001E-2</v>
      </c>
      <c r="P3751">
        <v>0.98260729999999996</v>
      </c>
      <c r="Q3751">
        <v>0.1608571</v>
      </c>
      <c r="R3751">
        <v>9.2779979999999998E-2</v>
      </c>
      <c r="S3751">
        <v>3.083466</v>
      </c>
      <c r="T3751">
        <v>-0.159131299999999</v>
      </c>
      <c r="U3751">
        <v>-3.8070680000000003E-2</v>
      </c>
      <c r="V3751">
        <v>-5.7955819999999998E-2</v>
      </c>
      <c r="W3751">
        <v>0.17160909999999999</v>
      </c>
      <c r="X3751">
        <v>0.98345890000000002</v>
      </c>
      <c r="Y3751">
        <v>4.72319E-2</v>
      </c>
      <c r="Z3751">
        <v>-2.9002339999999998E-3</v>
      </c>
      <c r="AA3751">
        <v>0.99887969999999904</v>
      </c>
      <c r="AB3751">
        <v>41</v>
      </c>
      <c r="AC3751">
        <v>21.085599999999999</v>
      </c>
      <c r="AD3751">
        <v>-1.108791631228</v>
      </c>
      <c r="AE3751">
        <v>-0.27899999999999597</v>
      </c>
      <c r="AF3751">
        <v>1.0140528216095801</v>
      </c>
      <c r="AG3751">
        <v>-1.108791631228</v>
      </c>
      <c r="AH3751">
        <v>21.004841990054999</v>
      </c>
      <c r="AI3751">
        <v>93.018183734996299</v>
      </c>
      <c r="AJ3751">
        <v>87.236071962745399</v>
      </c>
      <c r="AK3751">
        <v>21.058516306560499</v>
      </c>
      <c r="AL3751">
        <v>80.118611122217104</v>
      </c>
      <c r="AM3751">
        <v>93.372573986525296</v>
      </c>
      <c r="AN3751">
        <v>0.99999998413194602</v>
      </c>
    </row>
    <row r="3752" spans="1:40" x14ac:dyDescent="0.25">
      <c r="A3752" t="str">
        <f>"20190304155131300"</f>
        <v>20190304155131300</v>
      </c>
      <c r="B3752" t="str">
        <f>"1551685891290162"</f>
        <v>1551685891290162</v>
      </c>
      <c r="C3752" t="s">
        <v>40</v>
      </c>
      <c r="D3752">
        <v>5.2146949999999999</v>
      </c>
      <c r="E3752">
        <v>0.53802430000000001</v>
      </c>
      <c r="F3752" t="s">
        <v>72</v>
      </c>
      <c r="G3752">
        <v>-288.43770000000001</v>
      </c>
      <c r="H3752" s="1">
        <v>3.5199840000000002E-6</v>
      </c>
      <c r="I3752">
        <v>213.18299999999999</v>
      </c>
      <c r="J3752">
        <v>-309.45909999999998</v>
      </c>
      <c r="K3752">
        <v>1.1087389999999999</v>
      </c>
      <c r="L3752">
        <v>213.47800000000001</v>
      </c>
      <c r="M3752">
        <v>0.9993628</v>
      </c>
      <c r="N3752">
        <v>-1.079799E-2</v>
      </c>
      <c r="O3752">
        <v>3.4020740000000001E-2</v>
      </c>
      <c r="P3752">
        <v>0.98285239999999996</v>
      </c>
      <c r="Q3752">
        <v>0.1599836</v>
      </c>
      <c r="R3752">
        <v>9.1686749999999997E-2</v>
      </c>
      <c r="S3752">
        <v>3.0830690000000001</v>
      </c>
      <c r="T3752">
        <v>-0.15954939999999901</v>
      </c>
      <c r="U3752">
        <v>-4.0512079999999999E-2</v>
      </c>
      <c r="V3752">
        <v>-5.7798099999999998E-2</v>
      </c>
      <c r="W3752">
        <v>0.1707494</v>
      </c>
      <c r="X3752">
        <v>0.98361779999999999</v>
      </c>
      <c r="Y3752">
        <v>4.7046640000000001E-2</v>
      </c>
      <c r="Z3752">
        <v>-2.862678E-3</v>
      </c>
      <c r="AA3752">
        <v>0.99888860000000002</v>
      </c>
      <c r="AB3752">
        <v>41</v>
      </c>
      <c r="AC3752">
        <v>21.0213999999999</v>
      </c>
      <c r="AD3752">
        <v>-1.1087354800160001</v>
      </c>
      <c r="AE3752">
        <v>-0.29499999999998699</v>
      </c>
      <c r="AF3752">
        <v>1.0072330754882599</v>
      </c>
      <c r="AG3752">
        <v>-1.1087354800160001</v>
      </c>
      <c r="AH3752">
        <v>20.9409501921157</v>
      </c>
      <c r="AI3752">
        <v>93.027248132887095</v>
      </c>
      <c r="AJ3752">
        <v>87.246268129791105</v>
      </c>
      <c r="AK3752">
        <v>20.9944565964846</v>
      </c>
      <c r="AL3752">
        <v>80.1686061705783</v>
      </c>
      <c r="AM3752">
        <v>93.362874918167506</v>
      </c>
      <c r="AN3752">
        <v>0.99999997722040401</v>
      </c>
    </row>
    <row r="3753" spans="1:40" x14ac:dyDescent="0.25">
      <c r="A3753" t="str">
        <f>"20190304155131323"</f>
        <v>20190304155131323</v>
      </c>
      <c r="B3753" t="str">
        <f>"1551685891320418"</f>
        <v>1551685891320418</v>
      </c>
      <c r="C3753" t="s">
        <v>40</v>
      </c>
      <c r="D3753">
        <v>5.1308059999999998</v>
      </c>
      <c r="E3753">
        <v>0.53840290000000002</v>
      </c>
      <c r="F3753" t="s">
        <v>72</v>
      </c>
      <c r="G3753">
        <v>-288.29820000000001</v>
      </c>
      <c r="H3753" s="1">
        <v>3.5806340000000002E-6</v>
      </c>
      <c r="I3753">
        <v>213.1935</v>
      </c>
      <c r="J3753">
        <v>-309.05900000000003</v>
      </c>
      <c r="K3753">
        <v>1.108679</v>
      </c>
      <c r="L3753">
        <v>213.49080000000001</v>
      </c>
      <c r="M3753">
        <v>0.99939639999999996</v>
      </c>
      <c r="N3753">
        <v>-1.08027E-2</v>
      </c>
      <c r="O3753">
        <v>3.3020140000000003E-2</v>
      </c>
      <c r="P3753">
        <v>0.98304559999999996</v>
      </c>
      <c r="Q3753">
        <v>0.1592433</v>
      </c>
      <c r="R3753">
        <v>9.0901490000000001E-2</v>
      </c>
      <c r="S3753">
        <v>3.0825200000000001</v>
      </c>
      <c r="T3753">
        <v>-0.1615096</v>
      </c>
      <c r="U3753">
        <v>-4.144287E-2</v>
      </c>
      <c r="V3753">
        <v>-5.7973400000000001E-2</v>
      </c>
      <c r="W3753">
        <v>0.1700229</v>
      </c>
      <c r="X3753">
        <v>0.98373339999999998</v>
      </c>
      <c r="Y3753">
        <v>4.6349799999999997E-2</v>
      </c>
      <c r="Z3753">
        <v>-2.8361079999999999E-3</v>
      </c>
      <c r="AA3753">
        <v>0.99892119999999995</v>
      </c>
      <c r="AB3753">
        <v>41</v>
      </c>
      <c r="AC3753">
        <v>20.7608</v>
      </c>
      <c r="AD3753">
        <v>-1.108675419366</v>
      </c>
      <c r="AE3753">
        <v>-0.297300000000007</v>
      </c>
      <c r="AF3753">
        <v>0.97990837918649198</v>
      </c>
      <c r="AG3753">
        <v>-1.108675419366</v>
      </c>
      <c r="AH3753">
        <v>20.680694745291099</v>
      </c>
      <c r="AI3753">
        <v>93.065210828288997</v>
      </c>
      <c r="AJ3753">
        <v>87.287196856993603</v>
      </c>
      <c r="AK3753">
        <v>20.7335601565437</v>
      </c>
      <c r="AL3753">
        <v>80.210850000296404</v>
      </c>
      <c r="AM3753">
        <v>93.372655450915801</v>
      </c>
      <c r="AN3753">
        <v>1.00000005195376</v>
      </c>
    </row>
    <row r="3754" spans="1:40" x14ac:dyDescent="0.25">
      <c r="A3754" t="str">
        <f>"20190304155131346"</f>
        <v>20190304155131346</v>
      </c>
      <c r="B3754" t="str">
        <f>"1551685891339940"</f>
        <v>1551685891339940</v>
      </c>
      <c r="C3754" t="s">
        <v>40</v>
      </c>
      <c r="D3754">
        <v>5.1558310000000001</v>
      </c>
      <c r="E3754">
        <v>0.53840269999999901</v>
      </c>
      <c r="F3754" t="s">
        <v>72</v>
      </c>
      <c r="G3754">
        <v>-287.8913</v>
      </c>
      <c r="H3754" s="1">
        <v>3.7640689999999999E-6</v>
      </c>
      <c r="I3754">
        <v>213.16810000000001</v>
      </c>
      <c r="J3754">
        <v>-308.61520000000002</v>
      </c>
      <c r="K3754">
        <v>1.108633</v>
      </c>
      <c r="L3754">
        <v>213.50450000000001</v>
      </c>
      <c r="M3754">
        <v>0.99943340000000003</v>
      </c>
      <c r="N3754">
        <v>-1.0807829999999999E-2</v>
      </c>
      <c r="O3754">
        <v>3.1878730000000001E-2</v>
      </c>
      <c r="P3754">
        <v>0.98317699999999997</v>
      </c>
      <c r="Q3754">
        <v>0.15881679999999901</v>
      </c>
      <c r="R3754">
        <v>9.0224260000000001E-2</v>
      </c>
      <c r="S3754">
        <v>3.0822750000000001</v>
      </c>
      <c r="T3754">
        <v>-0.16143729999999901</v>
      </c>
      <c r="U3754">
        <v>-4.6981809999999999E-2</v>
      </c>
      <c r="V3754">
        <v>-5.8396030000000002E-2</v>
      </c>
      <c r="W3754">
        <v>0.16961039999999999</v>
      </c>
      <c r="X3754">
        <v>0.98377950000000003</v>
      </c>
      <c r="Y3754">
        <v>4.7004700000000003E-2</v>
      </c>
      <c r="Z3754">
        <v>-2.80825E-3</v>
      </c>
      <c r="AA3754">
        <v>0.99889070000000002</v>
      </c>
      <c r="AB3754">
        <v>41</v>
      </c>
      <c r="AC3754">
        <v>20.7239</v>
      </c>
      <c r="AD3754">
        <v>-1.1086292359309999</v>
      </c>
      <c r="AE3754">
        <v>-0.33639999999999698</v>
      </c>
      <c r="AF3754">
        <v>0.99407511133550797</v>
      </c>
      <c r="AG3754">
        <v>-1.1086292359309999</v>
      </c>
      <c r="AH3754">
        <v>20.643580167424201</v>
      </c>
      <c r="AI3754">
        <v>93.070470810076003</v>
      </c>
      <c r="AJ3754">
        <v>87.243097120630907</v>
      </c>
      <c r="AK3754">
        <v>20.697213489709402</v>
      </c>
      <c r="AL3754">
        <v>80.234831781953105</v>
      </c>
      <c r="AM3754">
        <v>93.397026141097101</v>
      </c>
      <c r="AN3754">
        <v>0.99999994436408302</v>
      </c>
    </row>
    <row r="3755" spans="1:40" x14ac:dyDescent="0.25">
      <c r="A3755" t="str">
        <f>"20190304155131370"</f>
        <v>20190304155131370</v>
      </c>
      <c r="B3755" t="str">
        <f>"1551685891360434"</f>
        <v>1551685891360434</v>
      </c>
      <c r="C3755" t="s">
        <v>40</v>
      </c>
      <c r="D3755">
        <v>5.0822859999999999</v>
      </c>
      <c r="E3755">
        <v>0.53844110000000001</v>
      </c>
      <c r="F3755" t="s">
        <v>72</v>
      </c>
      <c r="G3755">
        <v>-287.44060000000002</v>
      </c>
      <c r="H3755" s="1">
        <v>3.9641879999999998E-6</v>
      </c>
      <c r="I3755">
        <v>213.166</v>
      </c>
      <c r="J3755">
        <v>-308.1977</v>
      </c>
      <c r="K3755">
        <v>1.1085929999999999</v>
      </c>
      <c r="L3755">
        <v>213.517</v>
      </c>
      <c r="M3755">
        <v>0.99946780000000002</v>
      </c>
      <c r="N3755">
        <v>-1.0812799999999999E-2</v>
      </c>
      <c r="O3755">
        <v>3.077794E-2</v>
      </c>
      <c r="P3755">
        <v>0.98310909999999996</v>
      </c>
      <c r="Q3755">
        <v>0.15982469999999999</v>
      </c>
      <c r="R3755">
        <v>8.9178489999999999E-2</v>
      </c>
      <c r="S3755">
        <v>3.0819399999999999</v>
      </c>
      <c r="T3755">
        <v>-0.16136029999999901</v>
      </c>
      <c r="U3755">
        <v>-4.9270630000000003E-2</v>
      </c>
      <c r="V3755">
        <v>-5.8417980000000001E-2</v>
      </c>
      <c r="W3755">
        <v>0.1706281</v>
      </c>
      <c r="X3755">
        <v>0.98360219999999998</v>
      </c>
      <c r="Y3755">
        <v>4.6649459999999997E-2</v>
      </c>
      <c r="Z3755">
        <v>-2.7502429999999999E-3</v>
      </c>
      <c r="AA3755">
        <v>0.99890749999999995</v>
      </c>
      <c r="AB3755">
        <v>41</v>
      </c>
      <c r="AC3755">
        <v>20.757099999999902</v>
      </c>
      <c r="AD3755">
        <v>-1.1085890358120001</v>
      </c>
      <c r="AE3755">
        <v>-0.35099999999999898</v>
      </c>
      <c r="AF3755">
        <v>0.98691753376798697</v>
      </c>
      <c r="AG3755">
        <v>-1.1085890358120001</v>
      </c>
      <c r="AH3755">
        <v>20.6774981448192</v>
      </c>
      <c r="AI3755">
        <v>93.065395101719702</v>
      </c>
      <c r="AJ3755">
        <v>87.267400098383604</v>
      </c>
      <c r="AK3755">
        <v>20.7306995877559</v>
      </c>
      <c r="AL3755">
        <v>80.175659372519604</v>
      </c>
      <c r="AM3755">
        <v>93.398911156495302</v>
      </c>
      <c r="AN3755">
        <v>0.99999994837086303</v>
      </c>
    </row>
    <row r="3756" spans="1:40" x14ac:dyDescent="0.25">
      <c r="A3756" t="str">
        <f>"20190304155131392"</f>
        <v>20190304155131392</v>
      </c>
      <c r="B3756" t="str">
        <f>"1551685891379954"</f>
        <v>1551685891379954</v>
      </c>
      <c r="C3756" t="s">
        <v>40</v>
      </c>
      <c r="D3756">
        <v>5.135186</v>
      </c>
      <c r="E3756">
        <v>0.5385276</v>
      </c>
      <c r="F3756" t="s">
        <v>51</v>
      </c>
      <c r="G3756">
        <v>-307.11349999999999</v>
      </c>
      <c r="H3756">
        <v>1.0535099999999999</v>
      </c>
      <c r="I3756">
        <v>213.4983</v>
      </c>
      <c r="J3756">
        <v>-307.77749999999997</v>
      </c>
      <c r="K3756">
        <v>1.1085560000000001</v>
      </c>
      <c r="L3756">
        <v>213.52889999999999</v>
      </c>
      <c r="M3756">
        <v>0.9995018</v>
      </c>
      <c r="N3756">
        <v>-1.081766E-2</v>
      </c>
      <c r="O3756">
        <v>2.964955E-2</v>
      </c>
      <c r="P3756">
        <v>0.98299590000000003</v>
      </c>
      <c r="Q3756">
        <v>0.16103010000000001</v>
      </c>
      <c r="R3756">
        <v>8.8253129999999999E-2</v>
      </c>
      <c r="S3756">
        <v>3.0817570000000001</v>
      </c>
      <c r="T3756">
        <v>-0.15665780000000001</v>
      </c>
      <c r="U3756">
        <v>-5.2688600000000002E-2</v>
      </c>
      <c r="V3756">
        <v>-5.8589750000000003E-2</v>
      </c>
      <c r="W3756">
        <v>0.17184160000000001</v>
      </c>
      <c r="X3756">
        <v>0.9833807</v>
      </c>
      <c r="Y3756">
        <v>4.6637129999999999E-2</v>
      </c>
      <c r="Z3756">
        <v>-2.6224719999999998E-3</v>
      </c>
      <c r="AA3756">
        <v>0.99890849999999998</v>
      </c>
      <c r="AB3756">
        <v>41</v>
      </c>
      <c r="AC3756">
        <v>0.66399999999998705</v>
      </c>
      <c r="AD3756">
        <v>-5.5045999999999901E-2</v>
      </c>
      <c r="AE3756">
        <v>-3.0599999999992598E-2</v>
      </c>
      <c r="AF3756">
        <v>4.99325640722737E-2</v>
      </c>
      <c r="AG3756">
        <v>-5.5045999999999901E-2</v>
      </c>
      <c r="AH3756">
        <v>0.65828622165994</v>
      </c>
      <c r="AI3756">
        <v>94.7663332702421</v>
      </c>
      <c r="AJ3756">
        <v>85.662286256346306</v>
      </c>
      <c r="AK3756">
        <v>0.66246816730930702</v>
      </c>
      <c r="AL3756">
        <v>80.105088615996706</v>
      </c>
      <c r="AM3756">
        <v>93.409647668499105</v>
      </c>
      <c r="AN3756">
        <v>0.99999994771405398</v>
      </c>
    </row>
    <row r="3757" spans="1:40" x14ac:dyDescent="0.25">
      <c r="A3757" t="str">
        <f>"20190304155131415"</f>
        <v>20190304155131415</v>
      </c>
      <c r="B3757" t="str">
        <f>"1551685891410210"</f>
        <v>1551685891410210</v>
      </c>
      <c r="C3757" t="s">
        <v>40</v>
      </c>
      <c r="D3757">
        <v>5.0713019999999904</v>
      </c>
      <c r="E3757">
        <v>0.5382015</v>
      </c>
      <c r="F3757" t="s">
        <v>72</v>
      </c>
      <c r="G3757">
        <v>-285.20389999999998</v>
      </c>
      <c r="H3757" s="1">
        <v>4.9618459999999997E-6</v>
      </c>
      <c r="I3757">
        <v>213.11750000000001</v>
      </c>
      <c r="J3757">
        <v>-307.3698</v>
      </c>
      <c r="K3757">
        <v>1.1085259999999999</v>
      </c>
      <c r="L3757">
        <v>213.5401</v>
      </c>
      <c r="M3757">
        <v>0.99953409999999998</v>
      </c>
      <c r="N3757">
        <v>-1.0822470000000001E-2</v>
      </c>
      <c r="O3757">
        <v>2.8540469999999998E-2</v>
      </c>
      <c r="P3757">
        <v>0.98316740000000002</v>
      </c>
      <c r="Q3757">
        <v>0.1608057</v>
      </c>
      <c r="R3757">
        <v>8.6739369999999996E-2</v>
      </c>
      <c r="S3757">
        <v>3.0817260000000002</v>
      </c>
      <c r="T3757">
        <v>-0.15133849999999999</v>
      </c>
      <c r="U3757">
        <v>-5.6167599999999901E-2</v>
      </c>
      <c r="V3757">
        <v>-5.8153070000000001E-2</v>
      </c>
      <c r="W3757">
        <v>0.17162559999999999</v>
      </c>
      <c r="X3757">
        <v>0.9834444</v>
      </c>
      <c r="Y3757">
        <v>4.6663459999999997E-2</v>
      </c>
      <c r="Z3757">
        <v>-2.4895540000000002E-3</v>
      </c>
      <c r="AA3757">
        <v>0.99890760000000001</v>
      </c>
      <c r="AB3757">
        <v>41</v>
      </c>
      <c r="AC3757">
        <v>22.165900000000001</v>
      </c>
      <c r="AD3757">
        <v>-1.108521038154</v>
      </c>
      <c r="AE3757">
        <v>-0.42259999999998799</v>
      </c>
      <c r="AF3757">
        <v>1.0524587882344301</v>
      </c>
      <c r="AG3757">
        <v>-1.108521038154</v>
      </c>
      <c r="AH3757">
        <v>22.0895810781644</v>
      </c>
      <c r="AI3757">
        <v>92.869613267419794</v>
      </c>
      <c r="AJ3757">
        <v>87.272203604434793</v>
      </c>
      <c r="AK3757">
        <v>22.142404580391901</v>
      </c>
      <c r="AL3757">
        <v>80.117651732994204</v>
      </c>
      <c r="AM3757">
        <v>93.384075537074494</v>
      </c>
      <c r="AN3757">
        <v>1.0000000070085699</v>
      </c>
    </row>
    <row r="3758" spans="1:40" x14ac:dyDescent="0.25">
      <c r="A3758" t="str">
        <f>"20190304155131435"</f>
        <v>20190304155131435</v>
      </c>
      <c r="B3758" t="str">
        <f>"1551685891430707"</f>
        <v>1551685891430707</v>
      </c>
      <c r="C3758" t="s">
        <v>40</v>
      </c>
      <c r="D3758">
        <v>5.1611209999999996</v>
      </c>
      <c r="E3758">
        <v>0.53827849999999999</v>
      </c>
      <c r="F3758" t="s">
        <v>72</v>
      </c>
      <c r="G3758">
        <v>-285.11470000000003</v>
      </c>
      <c r="H3758" s="1">
        <v>5.0008929999999999E-6</v>
      </c>
      <c r="I3758">
        <v>213.12200000000001</v>
      </c>
      <c r="J3758">
        <v>-306.98039999999997</v>
      </c>
      <c r="K3758">
        <v>1.108501</v>
      </c>
      <c r="L3758">
        <v>213.5504</v>
      </c>
      <c r="M3758">
        <v>0.99956389999999995</v>
      </c>
      <c r="N3758">
        <v>-1.082705E-2</v>
      </c>
      <c r="O3758">
        <v>2.7472030000000001E-2</v>
      </c>
      <c r="P3758">
        <v>0.98324109999999998</v>
      </c>
      <c r="Q3758">
        <v>0.16103020000000001</v>
      </c>
      <c r="R3758">
        <v>8.5476209999999997E-2</v>
      </c>
      <c r="S3758">
        <v>3.0815730000000001</v>
      </c>
      <c r="T3758">
        <v>-0.15349209999999999</v>
      </c>
      <c r="U3758">
        <v>-5.7891850000000002E-2</v>
      </c>
      <c r="V3758">
        <v>-5.7931240000000002E-2</v>
      </c>
      <c r="W3758">
        <v>0.17185710000000001</v>
      </c>
      <c r="X3758">
        <v>0.98341699999999999</v>
      </c>
      <c r="Y3758">
        <v>4.6154349999999997E-2</v>
      </c>
      <c r="Z3758">
        <v>-2.4688029999999999E-3</v>
      </c>
      <c r="AA3758">
        <v>0.99893129999999997</v>
      </c>
      <c r="AB3758">
        <v>41</v>
      </c>
      <c r="AC3758">
        <v>21.865699999999901</v>
      </c>
      <c r="AD3758">
        <v>-1.108495999107</v>
      </c>
      <c r="AE3758">
        <v>-0.42839999999998202</v>
      </c>
      <c r="AF3758">
        <v>1.02633197869837</v>
      </c>
      <c r="AG3758">
        <v>-1.108495999107</v>
      </c>
      <c r="AH3758">
        <v>21.789697495293399</v>
      </c>
      <c r="AI3758">
        <v>92.9090483040777</v>
      </c>
      <c r="AJ3758">
        <v>87.303264019327202</v>
      </c>
      <c r="AK3758">
        <v>21.8420016859016</v>
      </c>
      <c r="AL3758">
        <v>80.104187079293496</v>
      </c>
      <c r="AM3758">
        <v>93.371290224585707</v>
      </c>
      <c r="AN3758">
        <v>0.99999994363867195</v>
      </c>
    </row>
    <row r="3759" spans="1:40" x14ac:dyDescent="0.25">
      <c r="A3759" t="str">
        <f>"20190304155131458"</f>
        <v>20190304155131458</v>
      </c>
      <c r="B3759" t="str">
        <f>"1551685891450226"</f>
        <v>1551685891450226</v>
      </c>
      <c r="C3759" t="s">
        <v>40</v>
      </c>
      <c r="D3759">
        <v>5.1757059999999999</v>
      </c>
      <c r="E3759">
        <v>0.53841700000000003</v>
      </c>
      <c r="F3759" t="s">
        <v>72</v>
      </c>
      <c r="G3759">
        <v>-284.27969999999999</v>
      </c>
      <c r="H3759" s="1">
        <v>5.3747469999999998E-6</v>
      </c>
      <c r="I3759">
        <v>213.09190000000001</v>
      </c>
      <c r="J3759">
        <v>-306.56130000000002</v>
      </c>
      <c r="K3759">
        <v>1.108484</v>
      </c>
      <c r="L3759">
        <v>213.56100000000001</v>
      </c>
      <c r="M3759">
        <v>0.99959500000000001</v>
      </c>
      <c r="N3759">
        <v>-1.0832059999999999E-2</v>
      </c>
      <c r="O3759">
        <v>2.6315720000000001E-2</v>
      </c>
      <c r="P3759">
        <v>0.98322390000000004</v>
      </c>
      <c r="Q3759">
        <v>0.16195499999999999</v>
      </c>
      <c r="R3759">
        <v>8.3914669999999997E-2</v>
      </c>
      <c r="S3759">
        <v>3.0811769999999998</v>
      </c>
      <c r="T3759">
        <v>-0.1504569</v>
      </c>
      <c r="U3759">
        <v>-6.2225339999999997E-2</v>
      </c>
      <c r="V3759">
        <v>-5.7499229999999998E-2</v>
      </c>
      <c r="W3759">
        <v>0.17278669999999999</v>
      </c>
      <c r="X3759">
        <v>0.98327949999999997</v>
      </c>
      <c r="Y3759">
        <v>4.6409560000000002E-2</v>
      </c>
      <c r="Z3759">
        <v>-2.3830879999999998E-3</v>
      </c>
      <c r="AA3759">
        <v>0.99891969999999997</v>
      </c>
      <c r="AB3759">
        <v>41</v>
      </c>
      <c r="AC3759">
        <v>22.281600000000001</v>
      </c>
      <c r="AD3759">
        <v>-1.1084786252529999</v>
      </c>
      <c r="AE3759">
        <v>-0.46909999999996899</v>
      </c>
      <c r="AF3759">
        <v>1.0527240102192801</v>
      </c>
      <c r="AG3759">
        <v>-1.1084786252529999</v>
      </c>
      <c r="AH3759">
        <v>22.206601828694701</v>
      </c>
      <c r="AI3759">
        <v>92.854439798449903</v>
      </c>
      <c r="AJ3759">
        <v>87.285873792020794</v>
      </c>
      <c r="AK3759">
        <v>22.259158058707499</v>
      </c>
      <c r="AL3759">
        <v>80.050116519529197</v>
      </c>
      <c r="AM3759">
        <v>93.346673744865299</v>
      </c>
      <c r="AN3759">
        <v>0.99999999013386598</v>
      </c>
    </row>
    <row r="3760" spans="1:40" x14ac:dyDescent="0.25">
      <c r="A3760" t="str">
        <f>"20190304155131480"</f>
        <v>20190304155131480</v>
      </c>
      <c r="B3760" t="str">
        <f>"1551685891470726"</f>
        <v>1551685891470726</v>
      </c>
      <c r="C3760" t="s">
        <v>40</v>
      </c>
      <c r="D3760">
        <v>5.1646539999999996</v>
      </c>
      <c r="E3760">
        <v>0.53797249999999996</v>
      </c>
      <c r="F3760" t="s">
        <v>72</v>
      </c>
      <c r="G3760">
        <v>-283.35289999999998</v>
      </c>
      <c r="H3760" s="1">
        <v>5.7910150000000003E-6</v>
      </c>
      <c r="I3760">
        <v>213.0479</v>
      </c>
      <c r="J3760">
        <v>-306.15010000000001</v>
      </c>
      <c r="K3760">
        <v>1.108463</v>
      </c>
      <c r="L3760">
        <v>213.57089999999999</v>
      </c>
      <c r="M3760">
        <v>0.99962430000000002</v>
      </c>
      <c r="N3760">
        <v>-1.083686E-2</v>
      </c>
      <c r="O3760">
        <v>2.5177580000000001E-2</v>
      </c>
      <c r="P3760">
        <v>0.98318709999999998</v>
      </c>
      <c r="Q3760">
        <v>0.1631696</v>
      </c>
      <c r="R3760">
        <v>8.1969810000000004E-2</v>
      </c>
      <c r="S3760">
        <v>3.081207</v>
      </c>
      <c r="T3760">
        <v>-0.14716409999999999</v>
      </c>
      <c r="U3760">
        <v>-6.8115229999999999E-2</v>
      </c>
      <c r="V3760">
        <v>-5.666682E-2</v>
      </c>
      <c r="W3760">
        <v>0.174004399999999</v>
      </c>
      <c r="X3760">
        <v>0.98311309999999996</v>
      </c>
      <c r="Y3760">
        <v>4.7184049999999998E-2</v>
      </c>
      <c r="Z3760">
        <v>-2.3108809999999999E-3</v>
      </c>
      <c r="AA3760">
        <v>0.99888350000000004</v>
      </c>
      <c r="AB3760">
        <v>41</v>
      </c>
      <c r="AC3760">
        <v>22.7972</v>
      </c>
      <c r="AD3760">
        <v>-1.108457208985</v>
      </c>
      <c r="AE3760">
        <v>-0.52299999999999602</v>
      </c>
      <c r="AF3760">
        <v>1.09426055991468</v>
      </c>
      <c r="AG3760">
        <v>-1.108457208985</v>
      </c>
      <c r="AH3760">
        <v>22.723111104872299</v>
      </c>
      <c r="AI3760">
        <v>92.789506991472393</v>
      </c>
      <c r="AJ3760">
        <v>87.242978136856806</v>
      </c>
      <c r="AK3760">
        <v>22.776432157857901</v>
      </c>
      <c r="AL3760">
        <v>79.979274581803693</v>
      </c>
      <c r="AM3760">
        <v>93.298889106472203</v>
      </c>
      <c r="AN3760">
        <v>1.0000000135499401</v>
      </c>
    </row>
    <row r="3761" spans="1:40" x14ac:dyDescent="0.25">
      <c r="A3761" t="str">
        <f>"20190304155131502"</f>
        <v>20190304155131502</v>
      </c>
      <c r="B3761" t="str">
        <f>"1551685891490260"</f>
        <v>1551685891490260</v>
      </c>
      <c r="C3761" t="s">
        <v>40</v>
      </c>
      <c r="D3761">
        <v>5.2827780000000004</v>
      </c>
      <c r="E3761">
        <v>0.53766449999999999</v>
      </c>
      <c r="F3761" t="s">
        <v>72</v>
      </c>
      <c r="G3761">
        <v>-282.25220000000002</v>
      </c>
      <c r="H3761" s="1">
        <v>6.2814819999999998E-6</v>
      </c>
      <c r="I3761">
        <v>213.02809999999999</v>
      </c>
      <c r="J3761">
        <v>-305.7423</v>
      </c>
      <c r="K3761">
        <v>1.108452</v>
      </c>
      <c r="L3761">
        <v>213.58019999999999</v>
      </c>
      <c r="M3761">
        <v>0.99965210000000004</v>
      </c>
      <c r="N3761">
        <v>-1.0841480000000001E-2</v>
      </c>
      <c r="O3761">
        <v>2.4047720000000002E-2</v>
      </c>
      <c r="P3761">
        <v>0.98319460000000003</v>
      </c>
      <c r="Q3761">
        <v>0.1643115</v>
      </c>
      <c r="R3761">
        <v>7.956531E-2</v>
      </c>
      <c r="S3761">
        <v>3.0808409999999999</v>
      </c>
      <c r="T3761">
        <v>-0.1428989</v>
      </c>
      <c r="U3761">
        <v>-6.997681E-2</v>
      </c>
      <c r="V3761">
        <v>-5.5366690000000003E-2</v>
      </c>
      <c r="W3761">
        <v>0.17514769999999999</v>
      </c>
      <c r="X3761">
        <v>0.98298410000000003</v>
      </c>
      <c r="Y3761">
        <v>4.6666979999999997E-2</v>
      </c>
      <c r="Z3761">
        <v>-2.1888150000000002E-3</v>
      </c>
      <c r="AA3761">
        <v>0.99890809999999997</v>
      </c>
      <c r="AB3761">
        <v>41</v>
      </c>
      <c r="AC3761">
        <v>23.490099999999899</v>
      </c>
      <c r="AD3761">
        <v>-1.1084457185179999</v>
      </c>
      <c r="AE3761">
        <v>-0.55209999999999504</v>
      </c>
      <c r="AF3761">
        <v>1.1143768275031201</v>
      </c>
      <c r="AG3761">
        <v>-1.1084457185179999</v>
      </c>
      <c r="AH3761">
        <v>23.4179130485428</v>
      </c>
      <c r="AI3761">
        <v>92.706913725476994</v>
      </c>
      <c r="AJ3761">
        <v>87.275548878673305</v>
      </c>
      <c r="AK3761">
        <v>23.470601593774401</v>
      </c>
      <c r="AL3761">
        <v>79.912746186383799</v>
      </c>
      <c r="AM3761">
        <v>93.223784932953805</v>
      </c>
      <c r="AN3761">
        <v>0.99999996401482705</v>
      </c>
    </row>
    <row r="3762" spans="1:40" x14ac:dyDescent="0.25">
      <c r="A3762" t="str">
        <f>"20190304155131524"</f>
        <v>20190304155131524</v>
      </c>
      <c r="B3762" t="str">
        <f>"1551685891520515"</f>
        <v>1551685891520515</v>
      </c>
      <c r="C3762" t="s">
        <v>40</v>
      </c>
      <c r="D3762">
        <v>5.2410370000000004</v>
      </c>
      <c r="E3762">
        <v>0.53721079999999999</v>
      </c>
      <c r="F3762" t="s">
        <v>72</v>
      </c>
      <c r="G3762">
        <v>-280.7423</v>
      </c>
      <c r="H3762" s="1">
        <v>6.957957E-6</v>
      </c>
      <c r="I3762">
        <v>212.97020000000001</v>
      </c>
      <c r="J3762">
        <v>-305.33390000000003</v>
      </c>
      <c r="K3762">
        <v>1.108449</v>
      </c>
      <c r="L3762">
        <v>213.5891</v>
      </c>
      <c r="M3762">
        <v>0.99967870000000003</v>
      </c>
      <c r="N3762">
        <v>-1.084617E-2</v>
      </c>
      <c r="O3762">
        <v>2.291586E-2</v>
      </c>
      <c r="P3762">
        <v>0.98320300000000005</v>
      </c>
      <c r="Q3762">
        <v>0.16533789999999901</v>
      </c>
      <c r="R3762">
        <v>7.7302430000000005E-2</v>
      </c>
      <c r="S3762">
        <v>3.0801699999999999</v>
      </c>
      <c r="T3762">
        <v>-0.1365681</v>
      </c>
      <c r="U3762">
        <v>-7.5164789999999995E-2</v>
      </c>
      <c r="V3762">
        <v>-5.4211000000000002E-2</v>
      </c>
      <c r="W3762">
        <v>0.17617529999999901</v>
      </c>
      <c r="X3762">
        <v>0.98286490000000004</v>
      </c>
      <c r="Y3762">
        <v>4.7228949999999999E-2</v>
      </c>
      <c r="Z3762">
        <v>-2.069642E-3</v>
      </c>
      <c r="AA3762">
        <v>0.99888189999999999</v>
      </c>
      <c r="AB3762">
        <v>41</v>
      </c>
      <c r="AC3762">
        <v>24.5916</v>
      </c>
      <c r="AD3762">
        <v>-1.1084420420429999</v>
      </c>
      <c r="AE3762">
        <v>-0.61889999999999601</v>
      </c>
      <c r="AF3762">
        <v>1.1799125188724899</v>
      </c>
      <c r="AG3762">
        <v>-1.1084420420429999</v>
      </c>
      <c r="AH3762">
        <v>24.521170655795501</v>
      </c>
      <c r="AI3762">
        <v>92.585219177407893</v>
      </c>
      <c r="AJ3762">
        <v>87.245159901897495</v>
      </c>
      <c r="AK3762">
        <v>24.574552847272798</v>
      </c>
      <c r="AL3762">
        <v>79.852939344218399</v>
      </c>
      <c r="AM3762">
        <v>93.157013228124796</v>
      </c>
      <c r="AN3762">
        <v>0.99999999025154995</v>
      </c>
    </row>
    <row r="3763" spans="1:40" x14ac:dyDescent="0.25">
      <c r="A3763" t="str">
        <f>"20190304155131547"</f>
        <v>20190304155131547</v>
      </c>
      <c r="B3763" t="str">
        <f>"1551685891540035"</f>
        <v>1551685891540035</v>
      </c>
      <c r="C3763" t="s">
        <v>40</v>
      </c>
      <c r="D3763">
        <v>5.1605540000000003</v>
      </c>
      <c r="E3763">
        <v>0.53687719999999906</v>
      </c>
      <c r="F3763" t="s">
        <v>70</v>
      </c>
      <c r="G3763">
        <v>-279.31639999999999</v>
      </c>
      <c r="H3763" s="1">
        <v>3.494784E-6</v>
      </c>
      <c r="I3763">
        <v>212.92699999999999</v>
      </c>
      <c r="J3763">
        <v>-304.90949999999998</v>
      </c>
      <c r="K3763">
        <v>1.1084449999999999</v>
      </c>
      <c r="L3763">
        <v>213.59790000000001</v>
      </c>
      <c r="M3763">
        <v>0.99970479999999995</v>
      </c>
      <c r="N3763">
        <v>-1.0851059999999999E-2</v>
      </c>
      <c r="O3763">
        <v>2.1740820000000001E-2</v>
      </c>
      <c r="P3763">
        <v>0.98314889999999999</v>
      </c>
      <c r="Q3763">
        <v>0.16683919999999999</v>
      </c>
      <c r="R3763">
        <v>7.4720510000000004E-2</v>
      </c>
      <c r="S3763">
        <v>3.0794679999999999</v>
      </c>
      <c r="T3763">
        <v>-0.13119749999999999</v>
      </c>
      <c r="U3763">
        <v>-7.8369140000000004E-2</v>
      </c>
      <c r="V3763">
        <v>-5.2779220000000002E-2</v>
      </c>
      <c r="W3763">
        <v>0.1776761</v>
      </c>
      <c r="X3763">
        <v>0.98267260000000001</v>
      </c>
      <c r="Y3763">
        <v>4.7105189999999998E-2</v>
      </c>
      <c r="Z3763">
        <v>-1.9484680000000001E-3</v>
      </c>
      <c r="AA3763">
        <v>0.998888</v>
      </c>
      <c r="AB3763">
        <v>41</v>
      </c>
      <c r="AC3763">
        <v>25.5931</v>
      </c>
      <c r="AD3763">
        <v>-1.1084415052159999</v>
      </c>
      <c r="AE3763">
        <v>-0.67089999999998895</v>
      </c>
      <c r="AF3763">
        <v>1.2248930810541501</v>
      </c>
      <c r="AG3763">
        <v>-1.1084415052159999</v>
      </c>
      <c r="AH3763">
        <v>25.524617885462099</v>
      </c>
      <c r="AI3763">
        <v>92.483730728096603</v>
      </c>
      <c r="AJ3763">
        <v>87.252558108617393</v>
      </c>
      <c r="AK3763">
        <v>25.578020326627101</v>
      </c>
      <c r="AL3763">
        <v>79.765571019342701</v>
      </c>
      <c r="AM3763">
        <v>93.074394992565601</v>
      </c>
      <c r="AN3763">
        <v>0.999999940682887</v>
      </c>
    </row>
    <row r="3764" spans="1:40" x14ac:dyDescent="0.25">
      <c r="A3764" t="str">
        <f>"20190304155131582"</f>
        <v>20190304155131582</v>
      </c>
      <c r="B3764" t="str">
        <f>"1551685891570291"</f>
        <v>1551685891570291</v>
      </c>
      <c r="C3764" t="s">
        <v>40</v>
      </c>
      <c r="D3764">
        <v>5.2275390000000002</v>
      </c>
      <c r="E3764">
        <v>0.53631260000000003</v>
      </c>
      <c r="F3764" t="s">
        <v>70</v>
      </c>
      <c r="G3764">
        <v>-277.4871</v>
      </c>
      <c r="H3764" s="1">
        <v>2.5244189999999998E-6</v>
      </c>
      <c r="I3764">
        <v>212.85599999999999</v>
      </c>
      <c r="J3764">
        <v>-304.26710000000003</v>
      </c>
      <c r="K3764">
        <v>1.1084369999999999</v>
      </c>
      <c r="L3764">
        <v>213.61019999999999</v>
      </c>
      <c r="M3764">
        <v>0.99974180000000001</v>
      </c>
      <c r="N3764">
        <v>-1.085827E-2</v>
      </c>
      <c r="O3764">
        <v>1.9971619999999999E-2</v>
      </c>
      <c r="P3764">
        <v>0.98301479999999997</v>
      </c>
      <c r="Q3764">
        <v>0.16862659999999999</v>
      </c>
      <c r="R3764">
        <v>7.2438470000000005E-2</v>
      </c>
      <c r="S3764">
        <v>3.0788880000000001</v>
      </c>
      <c r="T3764">
        <v>-0.12445199999999999</v>
      </c>
      <c r="U3764">
        <v>-8.329773E-2</v>
      </c>
      <c r="V3764">
        <v>-5.2233410000000001E-2</v>
      </c>
      <c r="W3764">
        <v>0.17946689999999901</v>
      </c>
      <c r="X3764">
        <v>0.98237629999999998</v>
      </c>
      <c r="Y3764">
        <v>4.6947349999999999E-2</v>
      </c>
      <c r="Z3764">
        <v>-1.793397E-3</v>
      </c>
      <c r="AA3764">
        <v>0.9988958</v>
      </c>
      <c r="AB3764">
        <v>41</v>
      </c>
      <c r="AC3764">
        <v>26.78</v>
      </c>
      <c r="AD3764">
        <v>-1.1084344755810001</v>
      </c>
      <c r="AE3764">
        <v>-0.75419999999999698</v>
      </c>
      <c r="AF3764">
        <v>1.2867183423131101</v>
      </c>
      <c r="AG3764">
        <v>-1.1084344755810001</v>
      </c>
      <c r="AH3764">
        <v>26.7138655891995</v>
      </c>
      <c r="AI3764">
        <v>92.373254117367694</v>
      </c>
      <c r="AJ3764">
        <v>87.242383516743303</v>
      </c>
      <c r="AK3764">
        <v>26.767795684309199</v>
      </c>
      <c r="AL3764">
        <v>79.661289649917407</v>
      </c>
      <c r="AM3764">
        <v>93.043577543924002</v>
      </c>
      <c r="AN3764">
        <v>0.99999994605876197</v>
      </c>
    </row>
    <row r="3765" spans="1:40" x14ac:dyDescent="0.25">
      <c r="A3765" t="str">
        <f>"20190304155131604"</f>
        <v>20190304155131604</v>
      </c>
      <c r="B3765" t="str">
        <f>"1551685891600548"</f>
        <v>1551685891600548</v>
      </c>
      <c r="C3765" t="s">
        <v>40</v>
      </c>
      <c r="D3765">
        <v>5.212313</v>
      </c>
      <c r="E3765">
        <v>0.53563700000000003</v>
      </c>
      <c r="F3765" t="s">
        <v>70</v>
      </c>
      <c r="G3765">
        <v>-274.55590000000001</v>
      </c>
      <c r="H3765" s="1">
        <v>9.6786280000000003E-7</v>
      </c>
      <c r="I3765">
        <v>212.78110000000001</v>
      </c>
      <c r="J3765">
        <v>-303.85820000000001</v>
      </c>
      <c r="K3765">
        <v>1.108436</v>
      </c>
      <c r="L3765">
        <v>213.61750000000001</v>
      </c>
      <c r="M3765">
        <v>0.99976330000000002</v>
      </c>
      <c r="N3765">
        <v>-1.086292E-2</v>
      </c>
      <c r="O3765">
        <v>1.885293E-2</v>
      </c>
      <c r="P3765">
        <v>0.98311020000000005</v>
      </c>
      <c r="Q3765">
        <v>0.1685141</v>
      </c>
      <c r="R3765">
        <v>7.1397310000000005E-2</v>
      </c>
      <c r="S3765">
        <v>3.0778500000000002</v>
      </c>
      <c r="T3765">
        <v>-0.11482539999999999</v>
      </c>
      <c r="U3765">
        <v>-8.5891720000000005E-2</v>
      </c>
      <c r="V3765">
        <v>-5.2291589999999999E-2</v>
      </c>
      <c r="W3765">
        <v>0.17935950000000001</v>
      </c>
      <c r="X3765">
        <v>0.98239279999999995</v>
      </c>
      <c r="Y3765">
        <v>4.6688790000000001E-2</v>
      </c>
      <c r="Z3765">
        <v>-1.622467E-3</v>
      </c>
      <c r="AA3765">
        <v>0.99890820000000002</v>
      </c>
      <c r="AB3765">
        <v>42</v>
      </c>
      <c r="AC3765">
        <v>29.302299999999999</v>
      </c>
      <c r="AD3765">
        <v>-1.1084350321371901</v>
      </c>
      <c r="AE3765">
        <v>-0.83639999999999703</v>
      </c>
      <c r="AF3765">
        <v>1.3867354099970399</v>
      </c>
      <c r="AG3765">
        <v>-1.1084350321371901</v>
      </c>
      <c r="AH3765">
        <v>29.239516388211801</v>
      </c>
      <c r="AI3765">
        <v>92.168539652033402</v>
      </c>
      <c r="AJ3765">
        <v>87.284681676769395</v>
      </c>
      <c r="AK3765">
        <v>29.293360714235501</v>
      </c>
      <c r="AL3765">
        <v>79.667544514363996</v>
      </c>
      <c r="AM3765">
        <v>93.046910158163698</v>
      </c>
      <c r="AN3765">
        <v>0.99999992705840601</v>
      </c>
    </row>
    <row r="3766" spans="1:40" x14ac:dyDescent="0.25">
      <c r="A3766" t="str">
        <f>"20190304155131624"</f>
        <v>20190304155131624</v>
      </c>
      <c r="B3766" t="str">
        <f>"1551685891620068"</f>
        <v>1551685891620068</v>
      </c>
      <c r="C3766" t="s">
        <v>40</v>
      </c>
      <c r="D3766">
        <v>5.2213229999999999</v>
      </c>
      <c r="E3766">
        <v>0.535354</v>
      </c>
      <c r="F3766" t="s">
        <v>70</v>
      </c>
      <c r="G3766">
        <v>-273.59120000000001</v>
      </c>
      <c r="H3766" s="1">
        <v>4.5400239999999999E-7</v>
      </c>
      <c r="I3766">
        <v>212.79179999999999</v>
      </c>
      <c r="J3766">
        <v>-303.46230000000003</v>
      </c>
      <c r="K3766">
        <v>1.1084369999999999</v>
      </c>
      <c r="L3766">
        <v>213.6241</v>
      </c>
      <c r="M3766">
        <v>0.99978290000000003</v>
      </c>
      <c r="N3766">
        <v>-1.086735E-2</v>
      </c>
      <c r="O3766">
        <v>1.7779420000000001E-2</v>
      </c>
      <c r="P3766">
        <v>0.98314520000000005</v>
      </c>
      <c r="Q3766">
        <v>0.16881760000000001</v>
      </c>
      <c r="R3766">
        <v>7.0186289999999998E-2</v>
      </c>
      <c r="S3766">
        <v>3.076965</v>
      </c>
      <c r="T3766">
        <v>-0.112684199999999</v>
      </c>
      <c r="U3766">
        <v>-8.3938600000000002E-2</v>
      </c>
      <c r="V3766">
        <v>-5.2137320000000001E-2</v>
      </c>
      <c r="W3766">
        <v>0.17966679999999999</v>
      </c>
      <c r="X3766">
        <v>0.98234489999999997</v>
      </c>
      <c r="Y3766">
        <v>4.499409E-2</v>
      </c>
      <c r="Z3766">
        <v>-1.525752E-3</v>
      </c>
      <c r="AA3766">
        <v>0.99898609999999999</v>
      </c>
      <c r="AB3766">
        <v>42</v>
      </c>
      <c r="AC3766">
        <v>29.871099999999998</v>
      </c>
      <c r="AD3766">
        <v>-1.1084365459976</v>
      </c>
      <c r="AE3766">
        <v>-0.83230000000000304</v>
      </c>
      <c r="AF3766">
        <v>1.36141745352703</v>
      </c>
      <c r="AG3766">
        <v>-1.1084365459976</v>
      </c>
      <c r="AH3766">
        <v>29.810563227567702</v>
      </c>
      <c r="AI3766">
        <v>92.127214359402103</v>
      </c>
      <c r="AJ3766">
        <v>87.385178133361705</v>
      </c>
      <c r="AK3766">
        <v>29.8622130627333</v>
      </c>
      <c r="AL3766">
        <v>79.649647344490504</v>
      </c>
      <c r="AM3766">
        <v>93.038085919327202</v>
      </c>
      <c r="AN3766">
        <v>0.99999998085751596</v>
      </c>
    </row>
    <row r="3767" spans="1:40" x14ac:dyDescent="0.25">
      <c r="A3767" t="str">
        <f>"20190304155131647"</f>
        <v>20190304155131647</v>
      </c>
      <c r="B3767" t="str">
        <f>"1551685891640567"</f>
        <v>1551685891640567</v>
      </c>
      <c r="C3767" t="s">
        <v>40</v>
      </c>
      <c r="D3767">
        <v>5.2338459999999998</v>
      </c>
      <c r="E3767">
        <v>0.53508840000000002</v>
      </c>
      <c r="F3767" t="s">
        <v>70</v>
      </c>
      <c r="G3767">
        <v>-272.58999999999997</v>
      </c>
      <c r="H3767" s="1">
        <v>-7.788407E-8</v>
      </c>
      <c r="I3767">
        <v>212.77119999999999</v>
      </c>
      <c r="J3767">
        <v>-303.04899999999998</v>
      </c>
      <c r="K3767">
        <v>1.108449</v>
      </c>
      <c r="L3767">
        <v>213.63059999999999</v>
      </c>
      <c r="M3767">
        <v>0.99980190000000002</v>
      </c>
      <c r="N3767">
        <v>-1.087174E-2</v>
      </c>
      <c r="O3767">
        <v>1.6673509999999999E-2</v>
      </c>
      <c r="P3767">
        <v>0.98326380000000002</v>
      </c>
      <c r="Q3767">
        <v>0.16837839999999901</v>
      </c>
      <c r="R3767">
        <v>6.9577719999999996E-2</v>
      </c>
      <c r="S3767">
        <v>3.0764469999999999</v>
      </c>
      <c r="T3767">
        <v>-0.11045629999999999</v>
      </c>
      <c r="U3767">
        <v>-8.4991460000000005E-2</v>
      </c>
      <c r="V3767">
        <v>-5.2619329999999999E-2</v>
      </c>
      <c r="W3767">
        <v>0.1792328</v>
      </c>
      <c r="X3767">
        <v>0.98239849999999995</v>
      </c>
      <c r="Y3767">
        <v>4.4237930000000002E-2</v>
      </c>
      <c r="Z3767">
        <v>-1.451529E-3</v>
      </c>
      <c r="AA3767">
        <v>0.99902000000000002</v>
      </c>
      <c r="AB3767">
        <v>42</v>
      </c>
      <c r="AC3767">
        <v>30.459</v>
      </c>
      <c r="AD3767">
        <v>-1.1084490778840701</v>
      </c>
      <c r="AE3767">
        <v>-0.85939999999999295</v>
      </c>
      <c r="AF3767">
        <v>1.36536219673256</v>
      </c>
      <c r="AG3767">
        <v>-1.1084490778840701</v>
      </c>
      <c r="AH3767">
        <v>30.400207001543201</v>
      </c>
      <c r="AI3767">
        <v>92.086086408342695</v>
      </c>
      <c r="AJ3767">
        <v>87.428407175026507</v>
      </c>
      <c r="AK3767">
        <v>30.451033792355901</v>
      </c>
      <c r="AL3767">
        <v>79.674924243540204</v>
      </c>
      <c r="AM3767">
        <v>93.065952734720597</v>
      </c>
      <c r="AN3767">
        <v>1.0000000016438599</v>
      </c>
    </row>
    <row r="3768" spans="1:40" x14ac:dyDescent="0.25">
      <c r="A3768" t="str">
        <f>"20190304155131670"</f>
        <v>20190304155131670</v>
      </c>
      <c r="B3768" t="str">
        <f>"1551685891660083"</f>
        <v>1551685891660083</v>
      </c>
      <c r="C3768" t="s">
        <v>40</v>
      </c>
      <c r="D3768">
        <v>5.4426059999999996</v>
      </c>
      <c r="E3768">
        <v>0.53485209999999905</v>
      </c>
      <c r="F3768" t="s">
        <v>70</v>
      </c>
      <c r="G3768">
        <v>-272.00889999999998</v>
      </c>
      <c r="H3768" s="1">
        <v>-3.8760159999999998E-7</v>
      </c>
      <c r="I3768">
        <v>212.78299999999999</v>
      </c>
      <c r="J3768">
        <v>-302.62279999999998</v>
      </c>
      <c r="K3768">
        <v>1.1084560000000001</v>
      </c>
      <c r="L3768">
        <v>213.63669999999999</v>
      </c>
      <c r="M3768">
        <v>0.99981989999999998</v>
      </c>
      <c r="N3768">
        <v>-1.0876490000000001E-2</v>
      </c>
      <c r="O3768">
        <v>1.555637E-2</v>
      </c>
      <c r="P3768">
        <v>0.98350389999999999</v>
      </c>
      <c r="Q3768">
        <v>0.16702539999999999</v>
      </c>
      <c r="R3768">
        <v>6.9447129999999996E-2</v>
      </c>
      <c r="S3768">
        <v>3.075806</v>
      </c>
      <c r="T3768">
        <v>-0.1098379</v>
      </c>
      <c r="U3768">
        <v>-8.3984379999999997E-2</v>
      </c>
      <c r="V3768">
        <v>-5.3594780000000002E-2</v>
      </c>
      <c r="W3768">
        <v>0.17788770000000001</v>
      </c>
      <c r="X3768">
        <v>0.98259019999999997</v>
      </c>
      <c r="Y3768">
        <v>4.2802489999999999E-2</v>
      </c>
      <c r="Z3768">
        <v>-1.3829000000000001E-3</v>
      </c>
      <c r="AA3768">
        <v>0.99908260000000004</v>
      </c>
      <c r="AB3768">
        <v>42</v>
      </c>
      <c r="AC3768">
        <v>30.613900000000001</v>
      </c>
      <c r="AD3768">
        <v>-1.10845638760159</v>
      </c>
      <c r="AE3768">
        <v>-0.85370000000000301</v>
      </c>
      <c r="AF3768">
        <v>1.3281261702779299</v>
      </c>
      <c r="AG3768">
        <v>-1.10845638760159</v>
      </c>
      <c r="AH3768">
        <v>30.5568850968893</v>
      </c>
      <c r="AI3768">
        <v>92.075545715721105</v>
      </c>
      <c r="AJ3768">
        <v>87.511259412146302</v>
      </c>
      <c r="AK3768">
        <v>30.605813524752001</v>
      </c>
      <c r="AL3768">
        <v>79.753251252000197</v>
      </c>
      <c r="AM3768">
        <v>93.122069470076198</v>
      </c>
      <c r="AN3768">
        <v>0.99999996769528798</v>
      </c>
    </row>
    <row r="3769" spans="1:40" x14ac:dyDescent="0.25">
      <c r="A3769" t="str">
        <f>"20190304155131692"</f>
        <v>20190304155131692</v>
      </c>
      <c r="B3769" t="str">
        <f>"1551685891680579"</f>
        <v>1551685891680579</v>
      </c>
      <c r="C3769" t="s">
        <v>40</v>
      </c>
      <c r="D3769">
        <v>5.3432510000000004</v>
      </c>
      <c r="E3769">
        <v>0.53463640000000001</v>
      </c>
      <c r="F3769" t="s">
        <v>70</v>
      </c>
      <c r="G3769">
        <v>-272.65469999999999</v>
      </c>
      <c r="H3769" s="1">
        <v>-4.6307800000000003E-8</v>
      </c>
      <c r="I3769">
        <v>212.83629999999999</v>
      </c>
      <c r="J3769">
        <v>-302.2176</v>
      </c>
      <c r="K3769">
        <v>1.108466</v>
      </c>
      <c r="L3769">
        <v>213.6422</v>
      </c>
      <c r="M3769">
        <v>0.99983540000000004</v>
      </c>
      <c r="N3769">
        <v>-1.088073E-2</v>
      </c>
      <c r="O3769">
        <v>1.452002E-2</v>
      </c>
      <c r="P3769">
        <v>0.98379620000000001</v>
      </c>
      <c r="Q3769">
        <v>0.165481399999999</v>
      </c>
      <c r="R3769">
        <v>6.8999669999999999E-2</v>
      </c>
      <c r="S3769">
        <v>3.0754389999999998</v>
      </c>
      <c r="T3769">
        <v>-0.1137538</v>
      </c>
      <c r="U3769">
        <v>-8.2138059999999999E-2</v>
      </c>
      <c r="V3769">
        <v>-5.417553E-2</v>
      </c>
      <c r="W3769">
        <v>0.176349799999999</v>
      </c>
      <c r="X3769">
        <v>0.98283560000000003</v>
      </c>
      <c r="Y3769">
        <v>4.1169749999999998E-2</v>
      </c>
      <c r="Z3769">
        <v>-1.3639909999999999E-3</v>
      </c>
      <c r="AA3769">
        <v>0.99915120000000002</v>
      </c>
      <c r="AB3769">
        <v>42</v>
      </c>
      <c r="AC3769">
        <v>29.562899999999999</v>
      </c>
      <c r="AD3769">
        <v>-1.1084660463078</v>
      </c>
      <c r="AE3769">
        <v>-0.80590000000000805</v>
      </c>
      <c r="AF3769">
        <v>1.2333616512866501</v>
      </c>
      <c r="AG3769">
        <v>-1.1084660463078</v>
      </c>
      <c r="AH3769">
        <v>29.506628492687302</v>
      </c>
      <c r="AI3769">
        <v>92.1495252507423</v>
      </c>
      <c r="AJ3769">
        <v>87.606459704272197</v>
      </c>
      <c r="AK3769">
        <v>29.553189387004299</v>
      </c>
      <c r="AL3769">
        <v>79.842782592885399</v>
      </c>
      <c r="AM3769">
        <v>93.155045648056202</v>
      </c>
      <c r="AN3769">
        <v>1.00000002831909</v>
      </c>
    </row>
    <row r="3770" spans="1:40" x14ac:dyDescent="0.25">
      <c r="A3770" t="str">
        <f>"20190304155131713"</f>
        <v>20190304155131713</v>
      </c>
      <c r="B3770" t="str">
        <f>"1551685891710836"</f>
        <v>1551685891710836</v>
      </c>
      <c r="C3770" t="s">
        <v>40</v>
      </c>
      <c r="D3770">
        <v>5.2418800000000001</v>
      </c>
      <c r="E3770">
        <v>0.53413569999999999</v>
      </c>
      <c r="F3770" t="s">
        <v>70</v>
      </c>
      <c r="G3770">
        <v>-272.97829999999999</v>
      </c>
      <c r="H3770" s="1">
        <v>1.245712E-7</v>
      </c>
      <c r="I3770">
        <v>212.86760000000001</v>
      </c>
      <c r="J3770">
        <v>-301.80540000000002</v>
      </c>
      <c r="K3770">
        <v>1.108476</v>
      </c>
      <c r="L3770">
        <v>213.6473</v>
      </c>
      <c r="M3770">
        <v>0.99984969999999995</v>
      </c>
      <c r="N3770">
        <v>-1.0884909999999999E-2</v>
      </c>
      <c r="O3770">
        <v>1.349085E-2</v>
      </c>
      <c r="P3770">
        <v>0.98402670000000003</v>
      </c>
      <c r="Q3770">
        <v>0.16439100000000001</v>
      </c>
      <c r="R3770">
        <v>6.831653E-2</v>
      </c>
      <c r="S3770">
        <v>3.0747680000000002</v>
      </c>
      <c r="T3770">
        <v>-0.1165651</v>
      </c>
      <c r="U3770">
        <v>-8.1451419999999997E-2</v>
      </c>
      <c r="V3770">
        <v>-5.4514319999999998E-2</v>
      </c>
      <c r="W3770">
        <v>0.17526410000000001</v>
      </c>
      <c r="X3770">
        <v>0.98301099999999997</v>
      </c>
      <c r="Y3770">
        <v>3.992366E-2</v>
      </c>
      <c r="Z3770">
        <v>-1.338175E-3</v>
      </c>
      <c r="AA3770">
        <v>0.99920180000000003</v>
      </c>
      <c r="AB3770">
        <v>42</v>
      </c>
      <c r="AC3770">
        <v>28.827100000000002</v>
      </c>
      <c r="AD3770">
        <v>-1.1084758754288</v>
      </c>
      <c r="AE3770">
        <v>-0.77969999999999096</v>
      </c>
      <c r="AF3770">
        <v>1.16683016209681</v>
      </c>
      <c r="AG3770">
        <v>-1.1084758754288</v>
      </c>
      <c r="AH3770">
        <v>28.771446470331298</v>
      </c>
      <c r="AI3770">
        <v>92.204529633909203</v>
      </c>
      <c r="AJ3770">
        <v>87.677634052263997</v>
      </c>
      <c r="AK3770">
        <v>28.816424889092801</v>
      </c>
      <c r="AL3770">
        <v>79.905972246756406</v>
      </c>
      <c r="AM3770">
        <v>93.174170371126607</v>
      </c>
      <c r="AN3770">
        <v>0.99999997097743498</v>
      </c>
    </row>
    <row r="3771" spans="1:40" x14ac:dyDescent="0.25">
      <c r="A3771" t="str">
        <f>"20190304155131738"</f>
        <v>20190304155131738</v>
      </c>
      <c r="B3771" t="str">
        <f>"1551685891730355"</f>
        <v>1551685891730355</v>
      </c>
      <c r="C3771" t="s">
        <v>40</v>
      </c>
      <c r="D3771">
        <v>5.5410130000000004</v>
      </c>
      <c r="E3771">
        <v>0.53358099999999997</v>
      </c>
      <c r="F3771" t="s">
        <v>70</v>
      </c>
      <c r="G3771">
        <v>-273.20420000000001</v>
      </c>
      <c r="H3771" s="1">
        <v>2.4301979999999998E-7</v>
      </c>
      <c r="I3771">
        <v>212.90729999999999</v>
      </c>
      <c r="J3771">
        <v>-301.36489999999998</v>
      </c>
      <c r="K3771">
        <v>1.108498</v>
      </c>
      <c r="L3771">
        <v>213.6524</v>
      </c>
      <c r="M3771">
        <v>0.99986350000000002</v>
      </c>
      <c r="N3771">
        <v>-1.0889279999999999E-2</v>
      </c>
      <c r="O3771">
        <v>1.242417E-2</v>
      </c>
      <c r="P3771">
        <v>0.98421210000000003</v>
      </c>
      <c r="Q3771">
        <v>0.1634282</v>
      </c>
      <c r="R3771">
        <v>6.7954849999999997E-2</v>
      </c>
      <c r="S3771">
        <v>3.0741269999999998</v>
      </c>
      <c r="T3771">
        <v>-0.1191415</v>
      </c>
      <c r="U3771">
        <v>-7.9544069999999995E-2</v>
      </c>
      <c r="V3771">
        <v>-5.5214300000000001E-2</v>
      </c>
      <c r="W3771">
        <v>0.1743054</v>
      </c>
      <c r="X3771">
        <v>0.98314239999999997</v>
      </c>
      <c r="Y3771">
        <v>3.8243850000000003E-2</v>
      </c>
      <c r="Z3771">
        <v>-1.295086E-3</v>
      </c>
      <c r="AA3771">
        <v>0.99926760000000003</v>
      </c>
      <c r="AB3771">
        <v>42</v>
      </c>
      <c r="AC3771">
        <v>28.160699999999899</v>
      </c>
      <c r="AD3771">
        <v>-1.1084977569801999</v>
      </c>
      <c r="AE3771">
        <v>-0.74510000000000698</v>
      </c>
      <c r="AF3771">
        <v>1.09324379957939</v>
      </c>
      <c r="AG3771">
        <v>-1.1084977569801999</v>
      </c>
      <c r="AH3771">
        <v>28.105749909791399</v>
      </c>
      <c r="AI3771">
        <v>92.2568842168277</v>
      </c>
      <c r="AJ3771">
        <v>87.772459598603902</v>
      </c>
      <c r="AK3771">
        <v>28.1488388263937</v>
      </c>
      <c r="AL3771">
        <v>79.961760623980595</v>
      </c>
      <c r="AM3771">
        <v>93.214413935649702</v>
      </c>
      <c r="AN3771">
        <v>0.99999998503570398</v>
      </c>
    </row>
    <row r="3772" spans="1:40" x14ac:dyDescent="0.25">
      <c r="A3772" t="str">
        <f>"20190304155131759"</f>
        <v>20190304155131759</v>
      </c>
      <c r="B3772" t="str">
        <f>"1551685891750855"</f>
        <v>1551685891750855</v>
      </c>
      <c r="C3772" t="s">
        <v>40</v>
      </c>
      <c r="D3772">
        <v>5.2449180000000002</v>
      </c>
      <c r="E3772">
        <v>0.53327179999999996</v>
      </c>
      <c r="F3772" t="s">
        <v>70</v>
      </c>
      <c r="G3772">
        <v>-273.66329999999999</v>
      </c>
      <c r="H3772" s="1">
        <v>4.8488760000000003E-7</v>
      </c>
      <c r="I3772">
        <v>212.9639</v>
      </c>
      <c r="J3772">
        <v>-300.95769999999999</v>
      </c>
      <c r="K3772">
        <v>1.1085240000000001</v>
      </c>
      <c r="L3772">
        <v>213.6567</v>
      </c>
      <c r="M3772">
        <v>0.99987490000000001</v>
      </c>
      <c r="N3772">
        <v>-1.089325E-2</v>
      </c>
      <c r="O3772">
        <v>1.147722E-2</v>
      </c>
      <c r="P3772">
        <v>0.98446270000000002</v>
      </c>
      <c r="Q3772">
        <v>0.16219620000000001</v>
      </c>
      <c r="R3772">
        <v>6.7276489999999994E-2</v>
      </c>
      <c r="S3772">
        <v>3.0737920000000001</v>
      </c>
      <c r="T3772">
        <v>-0.12299980000000001</v>
      </c>
      <c r="U3772">
        <v>-7.6400759999999998E-2</v>
      </c>
      <c r="V3772">
        <v>-5.5481530000000001E-2</v>
      </c>
      <c r="W3772">
        <v>0.17307639999999999</v>
      </c>
      <c r="X3772">
        <v>0.98334449999999995</v>
      </c>
      <c r="Y3772">
        <v>3.6278810000000002E-2</v>
      </c>
      <c r="Z3772">
        <v>-1.2572449999999999E-3</v>
      </c>
      <c r="AA3772">
        <v>0.99934089999999998</v>
      </c>
      <c r="AB3772">
        <v>42</v>
      </c>
      <c r="AC3772">
        <v>27.2944</v>
      </c>
      <c r="AD3772">
        <v>-1.1085235151124</v>
      </c>
      <c r="AE3772">
        <v>-0.69280000000000497</v>
      </c>
      <c r="AF3772">
        <v>1.0043811291193101</v>
      </c>
      <c r="AG3772">
        <v>-1.1085235151124</v>
      </c>
      <c r="AH3772">
        <v>27.239748097949501</v>
      </c>
      <c r="AI3772">
        <v>92.328789262032799</v>
      </c>
      <c r="AJ3772">
        <v>87.888352646554196</v>
      </c>
      <c r="AK3772">
        <v>27.2807896197275</v>
      </c>
      <c r="AL3772">
        <v>80.033264361104102</v>
      </c>
      <c r="AM3772">
        <v>93.229275997366997</v>
      </c>
      <c r="AN3772">
        <v>1.0000000230441699</v>
      </c>
    </row>
    <row r="3773" spans="1:40" x14ac:dyDescent="0.25">
      <c r="A3773" t="str">
        <f>"20190304155131781"</f>
        <v>20190304155131781</v>
      </c>
      <c r="B3773" t="str">
        <f>"1551685891770379"</f>
        <v>1551685891770379</v>
      </c>
      <c r="C3773" t="s">
        <v>40</v>
      </c>
      <c r="D3773">
        <v>5.2821379999999998</v>
      </c>
      <c r="E3773">
        <v>0.53304589999999996</v>
      </c>
      <c r="F3773" t="s">
        <v>70</v>
      </c>
      <c r="G3773">
        <v>-273.80020000000002</v>
      </c>
      <c r="H3773" s="1">
        <v>5.5691859999999898E-7</v>
      </c>
      <c r="I3773">
        <v>212.98169999999999</v>
      </c>
      <c r="J3773">
        <v>-300.53500000000003</v>
      </c>
      <c r="K3773">
        <v>1.1085590000000001</v>
      </c>
      <c r="L3773">
        <v>213.66079999999999</v>
      </c>
      <c r="M3773">
        <v>0.99988509999999997</v>
      </c>
      <c r="N3773">
        <v>-1.08973E-2</v>
      </c>
      <c r="O3773">
        <v>1.0542279999999999E-2</v>
      </c>
      <c r="P3773">
        <v>0.98449830000000005</v>
      </c>
      <c r="Q3773">
        <v>0.16234179999999901</v>
      </c>
      <c r="R3773">
        <v>6.6396360000000001E-2</v>
      </c>
      <c r="S3773">
        <v>3.0732119999999998</v>
      </c>
      <c r="T3773">
        <v>-0.125443</v>
      </c>
      <c r="U3773">
        <v>-7.6385499999999995E-2</v>
      </c>
      <c r="V3773">
        <v>-5.5537309999999999E-2</v>
      </c>
      <c r="W3773">
        <v>0.1732206</v>
      </c>
      <c r="X3773">
        <v>0.98331590000000002</v>
      </c>
      <c r="Y3773">
        <v>3.5343880000000001E-2</v>
      </c>
      <c r="Z3773">
        <v>-1.228888E-3</v>
      </c>
      <c r="AA3773">
        <v>0.9993744</v>
      </c>
      <c r="AB3773">
        <v>42</v>
      </c>
      <c r="AC3773">
        <v>26.7348</v>
      </c>
      <c r="AD3773">
        <v>-1.1085584430813999</v>
      </c>
      <c r="AE3773">
        <v>-0.67910000000000503</v>
      </c>
      <c r="AF3773">
        <v>0.95927646118663301</v>
      </c>
      <c r="AG3773">
        <v>-1.1085584430813999</v>
      </c>
      <c r="AH3773">
        <v>26.680311336854999</v>
      </c>
      <c r="AI3773">
        <v>92.377718262950395</v>
      </c>
      <c r="AJ3773">
        <v>87.940847597501403</v>
      </c>
      <c r="AK3773">
        <v>26.720556247619999</v>
      </c>
      <c r="AL3773">
        <v>80.024875010132305</v>
      </c>
      <c r="AM3773">
        <v>93.232609583297702</v>
      </c>
      <c r="AN3773">
        <v>0.99999996412960201</v>
      </c>
    </row>
    <row r="3774" spans="1:40" x14ac:dyDescent="0.25">
      <c r="A3774" t="str">
        <f>"20190304155131804"</f>
        <v>20190304155131804</v>
      </c>
      <c r="B3774" t="str">
        <f>"1551685891800435"</f>
        <v>1551685891800435</v>
      </c>
      <c r="C3774" t="s">
        <v>40</v>
      </c>
      <c r="D3774">
        <v>5.243436</v>
      </c>
      <c r="E3774">
        <v>0.53280340000000004</v>
      </c>
      <c r="F3774" t="s">
        <v>70</v>
      </c>
      <c r="G3774">
        <v>-272.8802</v>
      </c>
      <c r="H3774" s="1">
        <v>6.8326830000000006E-8</v>
      </c>
      <c r="I3774">
        <v>212.96</v>
      </c>
      <c r="J3774">
        <v>-300.12180000000001</v>
      </c>
      <c r="K3774">
        <v>1.108614</v>
      </c>
      <c r="L3774">
        <v>213.6645</v>
      </c>
      <c r="M3774">
        <v>0.9998937</v>
      </c>
      <c r="N3774">
        <v>-1.090117E-2</v>
      </c>
      <c r="O3774">
        <v>9.6822469999999997E-3</v>
      </c>
      <c r="P3774">
        <v>0.98443590000000003</v>
      </c>
      <c r="Q3774">
        <v>0.16308800000000001</v>
      </c>
      <c r="R3774">
        <v>6.5485039999999994E-2</v>
      </c>
      <c r="S3774">
        <v>3.0728149999999999</v>
      </c>
      <c r="T3774">
        <v>-0.1231756</v>
      </c>
      <c r="U3774">
        <v>-7.7865599999999993E-2</v>
      </c>
      <c r="V3774">
        <v>-5.5490539999999998E-2</v>
      </c>
      <c r="W3774">
        <v>0.17396349999999999</v>
      </c>
      <c r="X3774">
        <v>0.98318740000000004</v>
      </c>
      <c r="Y3774">
        <v>3.4970729999999998E-2</v>
      </c>
      <c r="Z3774">
        <v>-1.173669E-3</v>
      </c>
      <c r="AA3774">
        <v>0.99938760000000004</v>
      </c>
      <c r="AB3774">
        <v>42</v>
      </c>
      <c r="AC3774">
        <v>27.241599999999998</v>
      </c>
      <c r="AD3774">
        <v>-1.10861393167316</v>
      </c>
      <c r="AE3774">
        <v>-0.70449999999999502</v>
      </c>
      <c r="AF3774">
        <v>0.96664272775322502</v>
      </c>
      <c r="AG3774">
        <v>-1.10861393167316</v>
      </c>
      <c r="AH3774">
        <v>27.188503668238599</v>
      </c>
      <c r="AI3774">
        <v>92.3334749189858</v>
      </c>
      <c r="AJ3774">
        <v>87.963800037276997</v>
      </c>
      <c r="AK3774">
        <v>27.228260222247801</v>
      </c>
      <c r="AL3774">
        <v>79.981653948037106</v>
      </c>
      <c r="AM3774">
        <v>93.230314295205304</v>
      </c>
      <c r="AN3774">
        <v>0.99999998144025004</v>
      </c>
    </row>
    <row r="3775" spans="1:40" x14ac:dyDescent="0.25">
      <c r="A3775" t="str">
        <f>"20190304155131826"</f>
        <v>20190304155131826</v>
      </c>
      <c r="B3775" t="str">
        <f>"1551685891820931"</f>
        <v>1551685891820931</v>
      </c>
      <c r="C3775" t="s">
        <v>40</v>
      </c>
      <c r="D3775">
        <v>5.2565939999999998</v>
      </c>
      <c r="E3775">
        <v>0.532578199999999</v>
      </c>
      <c r="F3775" t="s">
        <v>70</v>
      </c>
      <c r="G3775">
        <v>-271.6807</v>
      </c>
      <c r="H3775" s="1">
        <v>-5.6896910000000001E-7</v>
      </c>
      <c r="I3775">
        <v>212.93629999999999</v>
      </c>
      <c r="J3775">
        <v>-299.697</v>
      </c>
      <c r="K3775">
        <v>1.1086720000000001</v>
      </c>
      <c r="L3775">
        <v>213.6679</v>
      </c>
      <c r="M3775">
        <v>0.99990140000000005</v>
      </c>
      <c r="N3775">
        <v>-1.0905110000000001E-2</v>
      </c>
      <c r="O3775">
        <v>8.8583540000000006E-3</v>
      </c>
      <c r="P3775">
        <v>0.98433630000000005</v>
      </c>
      <c r="Q3775">
        <v>0.1641253</v>
      </c>
      <c r="R3775">
        <v>6.4382159999999994E-2</v>
      </c>
      <c r="S3775">
        <v>3.0725099999999999</v>
      </c>
      <c r="T3775">
        <v>-0.1197642</v>
      </c>
      <c r="U3775">
        <v>-7.8659060000000003E-2</v>
      </c>
      <c r="V3775">
        <v>-5.5219629999999999E-2</v>
      </c>
      <c r="W3775">
        <v>0.17499509999999999</v>
      </c>
      <c r="X3775">
        <v>0.98301959999999999</v>
      </c>
      <c r="Y3775">
        <v>3.4410589999999998E-2</v>
      </c>
      <c r="Z3775">
        <v>-1.10659E-3</v>
      </c>
      <c r="AA3775">
        <v>0.99940720000000005</v>
      </c>
      <c r="AB3775">
        <v>42</v>
      </c>
      <c r="AC3775">
        <v>28.016300000000001</v>
      </c>
      <c r="AD3775">
        <v>-1.1086725689690999</v>
      </c>
      <c r="AE3775">
        <v>-0.73160000000001402</v>
      </c>
      <c r="AF3775">
        <v>0.978233481807806</v>
      </c>
      <c r="AG3775">
        <v>-1.1086725689690999</v>
      </c>
      <c r="AH3775">
        <v>27.964956862170201</v>
      </c>
      <c r="AI3775">
        <v>92.268919734607394</v>
      </c>
      <c r="AJ3775">
        <v>87.996571006819494</v>
      </c>
      <c r="AK3775">
        <v>28.0040159247411</v>
      </c>
      <c r="AL3775">
        <v>79.921627176875901</v>
      </c>
      <c r="AM3775">
        <v>93.215124326500799</v>
      </c>
      <c r="AN3775">
        <v>1.00000001327275</v>
      </c>
    </row>
    <row r="3776" spans="1:40" x14ac:dyDescent="0.25">
      <c r="A3776" t="str">
        <f>"20190304155131849"</f>
        <v>20190304155131849</v>
      </c>
      <c r="B3776" t="str">
        <f>"1551685891840451"</f>
        <v>1551685891840451</v>
      </c>
      <c r="C3776" t="s">
        <v>40</v>
      </c>
      <c r="D3776">
        <v>5.283989</v>
      </c>
      <c r="E3776">
        <v>0.53246280000000001</v>
      </c>
      <c r="F3776" t="s">
        <v>70</v>
      </c>
      <c r="G3776">
        <v>-270.28379999999999</v>
      </c>
      <c r="H3776" s="1">
        <v>-1.3107169999999901E-6</v>
      </c>
      <c r="I3776">
        <v>212.899</v>
      </c>
      <c r="J3776">
        <v>-299.28109999999998</v>
      </c>
      <c r="K3776">
        <v>1.108733</v>
      </c>
      <c r="L3776">
        <v>213.67099999999999</v>
      </c>
      <c r="M3776">
        <v>0.99990760000000001</v>
      </c>
      <c r="N3776">
        <v>-1.0908960000000001E-2</v>
      </c>
      <c r="O3776">
        <v>8.1193540000000005E-3</v>
      </c>
      <c r="P3776">
        <v>0.98435410000000001</v>
      </c>
      <c r="Q3776">
        <v>0.1642644</v>
      </c>
      <c r="R3776">
        <v>6.374958E-2</v>
      </c>
      <c r="S3776">
        <v>3.072327</v>
      </c>
      <c r="T3776">
        <v>-0.1158053</v>
      </c>
      <c r="U3776">
        <v>-8.0322270000000001E-2</v>
      </c>
      <c r="V3776">
        <v>-5.5339199999999901E-2</v>
      </c>
      <c r="W3776">
        <v>0.17513029999999999</v>
      </c>
      <c r="X3776">
        <v>0.9829888</v>
      </c>
      <c r="Y3776">
        <v>3.4216829999999997E-2</v>
      </c>
      <c r="Z3776">
        <v>-1.048637E-3</v>
      </c>
      <c r="AA3776">
        <v>0.99941389999999997</v>
      </c>
      <c r="AB3776">
        <v>42</v>
      </c>
      <c r="AC3776">
        <v>28.997299999999999</v>
      </c>
      <c r="AD3776">
        <v>-1.108734310717</v>
      </c>
      <c r="AE3776">
        <v>-0.77199999999999103</v>
      </c>
      <c r="AF3776">
        <v>1.0059582441582</v>
      </c>
      <c r="AG3776">
        <v>-1.108734310717</v>
      </c>
      <c r="AH3776">
        <v>28.947784596462999</v>
      </c>
      <c r="AI3776">
        <v>92.192101899819605</v>
      </c>
      <c r="AJ3776">
        <v>88.009727578486604</v>
      </c>
      <c r="AK3776">
        <v>28.9864705820487</v>
      </c>
      <c r="AL3776">
        <v>79.913759303403907</v>
      </c>
      <c r="AM3776">
        <v>93.222172297881002</v>
      </c>
      <c r="AN3776">
        <v>1.0000000149800801</v>
      </c>
    </row>
    <row r="3777" spans="1:40" x14ac:dyDescent="0.25">
      <c r="A3777" t="str">
        <f>"20190304155131871"</f>
        <v>20190304155131871</v>
      </c>
      <c r="B3777" t="str">
        <f>"1551685891859974"</f>
        <v>1551685891859974</v>
      </c>
      <c r="C3777" t="s">
        <v>40</v>
      </c>
      <c r="D3777">
        <v>5.2221859999999998</v>
      </c>
      <c r="E3777">
        <v>0.53217099999999995</v>
      </c>
      <c r="F3777" t="s">
        <v>70</v>
      </c>
      <c r="G3777">
        <v>-269.73180000000002</v>
      </c>
      <c r="H3777" s="1">
        <v>3.7175180000000001E-6</v>
      </c>
      <c r="I3777">
        <v>212.8886</v>
      </c>
      <c r="J3777">
        <v>-298.85969999999998</v>
      </c>
      <c r="K3777">
        <v>1.1087899999999999</v>
      </c>
      <c r="L3777">
        <v>213.6739</v>
      </c>
      <c r="M3777">
        <v>0.99991280000000005</v>
      </c>
      <c r="N3777">
        <v>-1.091289E-2</v>
      </c>
      <c r="O3777">
        <v>7.4410889999999997E-3</v>
      </c>
      <c r="P3777">
        <v>0.98453630000000003</v>
      </c>
      <c r="Q3777">
        <v>0.16304370000000001</v>
      </c>
      <c r="R3777">
        <v>6.4072829999999997E-2</v>
      </c>
      <c r="S3777">
        <v>3.0721440000000002</v>
      </c>
      <c r="T3777">
        <v>-0.1152711</v>
      </c>
      <c r="U3777">
        <v>-8.1344600000000003E-2</v>
      </c>
      <c r="V3777">
        <v>-5.6358390000000001E-2</v>
      </c>
      <c r="W3777">
        <v>0.17390910000000001</v>
      </c>
      <c r="X3777">
        <v>0.98314769999999896</v>
      </c>
      <c r="Y3777">
        <v>3.3873649999999998E-2</v>
      </c>
      <c r="Z3777">
        <v>-1.017998E-3</v>
      </c>
      <c r="AA3777">
        <v>0.99942560000000003</v>
      </c>
      <c r="AB3777">
        <v>42</v>
      </c>
      <c r="AC3777">
        <v>29.127899999999901</v>
      </c>
      <c r="AD3777">
        <v>-1.1087862824819901</v>
      </c>
      <c r="AE3777">
        <v>-0.78530000000000599</v>
      </c>
      <c r="AF3777">
        <v>1.0005856269004201</v>
      </c>
      <c r="AG3777">
        <v>-1.1087862824819901</v>
      </c>
      <c r="AH3777">
        <v>29.079143712146099</v>
      </c>
      <c r="AI3777">
        <v>92.182337045881695</v>
      </c>
      <c r="AJ3777">
        <v>88.029284340468905</v>
      </c>
      <c r="AK3777">
        <v>29.1174720339631</v>
      </c>
      <c r="AL3777">
        <v>79.984819491345107</v>
      </c>
      <c r="AM3777">
        <v>93.280857807889305</v>
      </c>
      <c r="AN3777">
        <v>1.0000000216007401</v>
      </c>
    </row>
    <row r="3778" spans="1:40" x14ac:dyDescent="0.25">
      <c r="A3778" t="str">
        <f>"20190304155131892"</f>
        <v>20190304155131892</v>
      </c>
      <c r="B3778" t="str">
        <f>"1551685891880468"</f>
        <v>1551685891880468</v>
      </c>
      <c r="C3778" t="s">
        <v>40</v>
      </c>
      <c r="D3778">
        <v>5.2100299999999997</v>
      </c>
      <c r="E3778">
        <v>0.53181060000000002</v>
      </c>
      <c r="F3778" t="s">
        <v>70</v>
      </c>
      <c r="G3778">
        <v>-269.93560000000002</v>
      </c>
      <c r="H3778" s="1">
        <v>3.8239139999999999E-6</v>
      </c>
      <c r="I3778">
        <v>212.93520000000001</v>
      </c>
      <c r="J3778">
        <v>-298.459</v>
      </c>
      <c r="K3778">
        <v>1.108841</v>
      </c>
      <c r="L3778">
        <v>213.6764</v>
      </c>
      <c r="M3778">
        <v>0.9999169</v>
      </c>
      <c r="N3778">
        <v>-1.091667E-2</v>
      </c>
      <c r="O3778">
        <v>6.8489789999999998E-3</v>
      </c>
      <c r="P3778">
        <v>0.98454940000000002</v>
      </c>
      <c r="Q3778">
        <v>0.16270860000000001</v>
      </c>
      <c r="R3778">
        <v>6.4718570000000003E-2</v>
      </c>
      <c r="S3778">
        <v>3.0717159999999999</v>
      </c>
      <c r="T3778">
        <v>-0.117752</v>
      </c>
      <c r="U3778">
        <v>-7.8445429999999997E-2</v>
      </c>
      <c r="V3778">
        <v>-5.7612110000000001E-2</v>
      </c>
      <c r="W3778">
        <v>0.17357239999999999</v>
      </c>
      <c r="X3778">
        <v>0.98313450000000002</v>
      </c>
      <c r="Y3778">
        <v>3.2343129999999998E-2</v>
      </c>
      <c r="Z3778">
        <v>-9.8393169999999998E-4</v>
      </c>
      <c r="AA3778">
        <v>0.99947629999999998</v>
      </c>
      <c r="AB3778">
        <v>42</v>
      </c>
      <c r="AC3778">
        <v>28.523399999999899</v>
      </c>
      <c r="AD3778">
        <v>-1.1088371760860001</v>
      </c>
      <c r="AE3778">
        <v>-0.74119999999999198</v>
      </c>
      <c r="AF3778">
        <v>0.93513817052179105</v>
      </c>
      <c r="AG3778">
        <v>-1.1088371760860001</v>
      </c>
      <c r="AH3778">
        <v>28.474651203682999</v>
      </c>
      <c r="AI3778">
        <v>92.228839414045495</v>
      </c>
      <c r="AJ3778">
        <v>88.119021018447398</v>
      </c>
      <c r="AK3778">
        <v>28.511572465447099</v>
      </c>
      <c r="AL3778">
        <v>80.004408579628304</v>
      </c>
      <c r="AM3778">
        <v>93.353722242918494</v>
      </c>
      <c r="AN3778">
        <v>0.99999998917533095</v>
      </c>
    </row>
    <row r="3779" spans="1:40" x14ac:dyDescent="0.25">
      <c r="A3779" t="str">
        <f>"20190304155131914"</f>
        <v>20190304155131914</v>
      </c>
      <c r="B3779" t="str">
        <f>"1551685891910512"</f>
        <v>1551685891910512</v>
      </c>
      <c r="C3779" t="s">
        <v>40</v>
      </c>
      <c r="D3779">
        <v>5.2448569999999997</v>
      </c>
      <c r="E3779">
        <v>0.53144820000000004</v>
      </c>
      <c r="F3779" t="s">
        <v>70</v>
      </c>
      <c r="G3779">
        <v>-269.48700000000002</v>
      </c>
      <c r="H3779" s="1">
        <v>3.583199E-6</v>
      </c>
      <c r="I3779">
        <v>212.9813</v>
      </c>
      <c r="J3779">
        <v>-298.04199999999997</v>
      </c>
      <c r="K3779">
        <v>1.108903</v>
      </c>
      <c r="L3779">
        <v>213.6788</v>
      </c>
      <c r="M3779">
        <v>0.99992060000000005</v>
      </c>
      <c r="N3779">
        <v>-1.0920640000000001E-2</v>
      </c>
      <c r="O3779">
        <v>6.2896530000000001E-3</v>
      </c>
      <c r="P3779">
        <v>0.98422900000000002</v>
      </c>
      <c r="Q3779">
        <v>0.1642409</v>
      </c>
      <c r="R3779">
        <v>6.5711829999999999E-2</v>
      </c>
      <c r="S3779">
        <v>3.0713499999999998</v>
      </c>
      <c r="T3779">
        <v>-0.11754920000000001</v>
      </c>
      <c r="U3779">
        <v>-7.3684689999999997E-2</v>
      </c>
      <c r="V3779">
        <v>-5.9179379999999997E-2</v>
      </c>
      <c r="W3779">
        <v>0.17509930000000001</v>
      </c>
      <c r="X3779">
        <v>0.98277060000000005</v>
      </c>
      <c r="Y3779">
        <v>3.024102E-2</v>
      </c>
      <c r="Z3779">
        <v>-9.1558440000000002E-4</v>
      </c>
      <c r="AA3779">
        <v>0.99954219999999905</v>
      </c>
      <c r="AB3779">
        <v>42</v>
      </c>
      <c r="AC3779">
        <v>28.555</v>
      </c>
      <c r="AD3779">
        <v>-1.108899416801</v>
      </c>
      <c r="AE3779">
        <v>-0.69749999999999002</v>
      </c>
      <c r="AF3779">
        <v>0.87577800903565395</v>
      </c>
      <c r="AG3779">
        <v>-1.108899416801</v>
      </c>
      <c r="AH3779">
        <v>28.507082927540399</v>
      </c>
      <c r="AI3779">
        <v>92.226580804999301</v>
      </c>
      <c r="AJ3779">
        <v>88.240345862212195</v>
      </c>
      <c r="AK3779">
        <v>28.542081600250398</v>
      </c>
      <c r="AL3779">
        <v>79.915563278002693</v>
      </c>
      <c r="AM3779">
        <v>93.446011977509201</v>
      </c>
      <c r="AN3779">
        <v>1.0000000080510101</v>
      </c>
    </row>
    <row r="3780" spans="1:40" x14ac:dyDescent="0.25">
      <c r="A3780" t="str">
        <f>"20190304155131937"</f>
        <v>20190304155131937</v>
      </c>
      <c r="B3780" t="str">
        <f>"1551685891931008"</f>
        <v>1551685891931008</v>
      </c>
      <c r="C3780" t="s">
        <v>40</v>
      </c>
      <c r="D3780">
        <v>5.1954140000000004</v>
      </c>
      <c r="E3780">
        <v>0.53115579999999996</v>
      </c>
      <c r="F3780" t="s">
        <v>70</v>
      </c>
      <c r="G3780">
        <v>-267.45119999999997</v>
      </c>
      <c r="H3780" s="1">
        <v>2.4987080000000001E-6</v>
      </c>
      <c r="I3780">
        <v>213.00729999999999</v>
      </c>
      <c r="J3780">
        <v>-297.6044</v>
      </c>
      <c r="K3780">
        <v>1.1089770000000001</v>
      </c>
      <c r="L3780">
        <v>213.68109999999999</v>
      </c>
      <c r="M3780">
        <v>0.99992380000000003</v>
      </c>
      <c r="N3780">
        <v>-1.092482E-2</v>
      </c>
      <c r="O3780">
        <v>5.7679280000000003E-3</v>
      </c>
      <c r="P3780">
        <v>0.98404340000000001</v>
      </c>
      <c r="Q3780">
        <v>0.16508629999999999</v>
      </c>
      <c r="R3780">
        <v>6.6372249999999994E-2</v>
      </c>
      <c r="S3780">
        <v>3.0711360000000001</v>
      </c>
      <c r="T3780">
        <v>-0.1113272</v>
      </c>
      <c r="U3780">
        <v>-6.7413329999999994E-2</v>
      </c>
      <c r="V3780">
        <v>-6.0379189999999999E-2</v>
      </c>
      <c r="W3780">
        <v>0.1759396</v>
      </c>
      <c r="X3780">
        <v>0.98254750000000002</v>
      </c>
      <c r="Y3780">
        <v>2.768634E-2</v>
      </c>
      <c r="Z3780">
        <v>-7.989049E-4</v>
      </c>
      <c r="AA3780">
        <v>0.99961630000000001</v>
      </c>
      <c r="AB3780">
        <v>42</v>
      </c>
      <c r="AC3780">
        <v>30.153199999999998</v>
      </c>
      <c r="AD3780">
        <v>-1.108974501292</v>
      </c>
      <c r="AE3780">
        <v>-0.67379999999999995</v>
      </c>
      <c r="AF3780">
        <v>0.84657611136715405</v>
      </c>
      <c r="AG3780">
        <v>-1.108974501292</v>
      </c>
      <c r="AH3780">
        <v>30.1081071419806</v>
      </c>
      <c r="AI3780">
        <v>92.108594160027295</v>
      </c>
      <c r="AJ3780">
        <v>88.389388577030402</v>
      </c>
      <c r="AK3780">
        <v>30.1404152464733</v>
      </c>
      <c r="AL3780">
        <v>79.866658243673399</v>
      </c>
      <c r="AM3780">
        <v>93.516499628734806</v>
      </c>
      <c r="AN3780">
        <v>0.99999998959473302</v>
      </c>
    </row>
    <row r="3781" spans="1:40" x14ac:dyDescent="0.25">
      <c r="A3781" t="str">
        <f>"20190304155131960"</f>
        <v>20190304155131960</v>
      </c>
      <c r="B3781" t="str">
        <f>"1551685891950532"</f>
        <v>1551685891950532</v>
      </c>
      <c r="C3781" t="s">
        <v>40</v>
      </c>
      <c r="D3781">
        <v>5.1980680000000001</v>
      </c>
      <c r="E3781">
        <v>0.53092919999999999</v>
      </c>
      <c r="F3781" t="s">
        <v>70</v>
      </c>
      <c r="G3781">
        <v>-266.02949999999998</v>
      </c>
      <c r="H3781" s="1">
        <v>1.7410449999999999E-6</v>
      </c>
      <c r="I3781">
        <v>213.03270000000001</v>
      </c>
      <c r="J3781">
        <v>-297.18439999999998</v>
      </c>
      <c r="K3781">
        <v>1.109049</v>
      </c>
      <c r="L3781">
        <v>213.6831</v>
      </c>
      <c r="M3781">
        <v>0.99992599999999998</v>
      </c>
      <c r="N3781">
        <v>-1.0928810000000001E-2</v>
      </c>
      <c r="O3781">
        <v>5.3322760000000004E-3</v>
      </c>
      <c r="P3781">
        <v>0.98379000000000005</v>
      </c>
      <c r="Q3781">
        <v>0.16644999999999999</v>
      </c>
      <c r="R3781">
        <v>6.6721069999999993E-2</v>
      </c>
      <c r="S3781">
        <v>3.0709840000000002</v>
      </c>
      <c r="T3781">
        <v>-0.10785930000000001</v>
      </c>
      <c r="U3781">
        <v>-6.3064579999999995E-2</v>
      </c>
      <c r="V3781">
        <v>-6.1183469999999997E-2</v>
      </c>
      <c r="W3781">
        <v>0.17729639999999999</v>
      </c>
      <c r="X3781">
        <v>0.98225379999999995</v>
      </c>
      <c r="Y3781">
        <v>2.584003E-2</v>
      </c>
      <c r="Z3781">
        <v>-7.2381339999999896E-4</v>
      </c>
      <c r="AA3781">
        <v>0.9996659</v>
      </c>
      <c r="AB3781">
        <v>42</v>
      </c>
      <c r="AC3781">
        <v>31.154900000000001</v>
      </c>
      <c r="AD3781">
        <v>-1.109047258955</v>
      </c>
      <c r="AE3781">
        <v>-0.65039999999998999</v>
      </c>
      <c r="AF3781">
        <v>0.81549426053829799</v>
      </c>
      <c r="AG3781">
        <v>-1.109047258955</v>
      </c>
      <c r="AH3781">
        <v>31.111581085757901</v>
      </c>
      <c r="AI3781">
        <v>92.040881218402703</v>
      </c>
      <c r="AJ3781">
        <v>88.498511447058604</v>
      </c>
      <c r="AK3781">
        <v>31.142021359687899</v>
      </c>
      <c r="AL3781">
        <v>79.787677597825095</v>
      </c>
      <c r="AM3781">
        <v>93.564283890566301</v>
      </c>
      <c r="AN3781">
        <v>0.99999997903432003</v>
      </c>
    </row>
    <row r="3782" spans="1:40" x14ac:dyDescent="0.25">
      <c r="A3782" t="str">
        <f>"20190304155131982"</f>
        <v>20190304155131982</v>
      </c>
      <c r="B3782" t="str">
        <f>"1551685891980784"</f>
        <v>1551685891980784</v>
      </c>
      <c r="C3782" t="s">
        <v>40</v>
      </c>
      <c r="D3782">
        <v>5.1578710000000001</v>
      </c>
      <c r="E3782">
        <v>0.53068439999999995</v>
      </c>
      <c r="F3782" t="s">
        <v>70</v>
      </c>
      <c r="G3782">
        <v>-264.15769999999998</v>
      </c>
      <c r="H3782" s="1">
        <v>7.4475370000000002E-7</v>
      </c>
      <c r="I3782">
        <v>213.0377</v>
      </c>
      <c r="J3782">
        <v>-296.77</v>
      </c>
      <c r="K3782">
        <v>1.109113</v>
      </c>
      <c r="L3782">
        <v>213.685</v>
      </c>
      <c r="M3782">
        <v>0.99992809999999999</v>
      </c>
      <c r="N3782">
        <v>-1.093275E-2</v>
      </c>
      <c r="O3782">
        <v>4.96365E-3</v>
      </c>
      <c r="P3782">
        <v>0.98355119999999896</v>
      </c>
      <c r="Q3782">
        <v>0.1679107</v>
      </c>
      <c r="R3782">
        <v>6.6583799999999999E-2</v>
      </c>
      <c r="S3782">
        <v>3.0709529999999998</v>
      </c>
      <c r="T3782">
        <v>-0.1031237</v>
      </c>
      <c r="U3782">
        <v>-6.0012820000000001E-2</v>
      </c>
      <c r="V3782">
        <v>-6.1436379999999999E-2</v>
      </c>
      <c r="W3782">
        <v>0.1787482</v>
      </c>
      <c r="X3782">
        <v>0.98197489999999998</v>
      </c>
      <c r="Y3782">
        <v>2.4481550000000001E-2</v>
      </c>
      <c r="Z3782">
        <v>-6.5715420000000003E-4</v>
      </c>
      <c r="AA3782">
        <v>0.99970009999999998</v>
      </c>
      <c r="AB3782">
        <v>42</v>
      </c>
      <c r="AC3782">
        <v>32.612299999999998</v>
      </c>
      <c r="AD3782">
        <v>-1.1091122552463</v>
      </c>
      <c r="AE3782">
        <v>-0.64730000000000099</v>
      </c>
      <c r="AF3782">
        <v>0.80824325636197702</v>
      </c>
      <c r="AG3782">
        <v>-1.1091122552463</v>
      </c>
      <c r="AH3782">
        <v>32.571027793642699</v>
      </c>
      <c r="AI3782">
        <v>91.949688934698301</v>
      </c>
      <c r="AJ3782">
        <v>88.578508914813796</v>
      </c>
      <c r="AK3782">
        <v>32.599926973697897</v>
      </c>
      <c r="AL3782">
        <v>79.703145783321801</v>
      </c>
      <c r="AM3782">
        <v>93.579992971072002</v>
      </c>
      <c r="AN3782">
        <v>1.0000000260103701</v>
      </c>
    </row>
    <row r="3783" spans="1:40" x14ac:dyDescent="0.25">
      <c r="A3783" t="str">
        <f>"20190304155132007"</f>
        <v>20190304155132007</v>
      </c>
      <c r="B3783" t="str">
        <f>"1551685892000305"</f>
        <v>1551685892000305</v>
      </c>
      <c r="C3783" t="s">
        <v>40</v>
      </c>
      <c r="D3783">
        <v>5.2067379999999996</v>
      </c>
      <c r="E3783">
        <v>0.53042679999999998</v>
      </c>
      <c r="F3783" t="s">
        <v>70</v>
      </c>
      <c r="G3783">
        <v>-262.34300000000002</v>
      </c>
      <c r="H3783" s="1">
        <v>-2.2069060000000001E-7</v>
      </c>
      <c r="I3783">
        <v>213.0316</v>
      </c>
      <c r="J3783">
        <v>-296.31169999999997</v>
      </c>
      <c r="K3783">
        <v>1.1091869999999999</v>
      </c>
      <c r="L3783">
        <v>213.68700000000001</v>
      </c>
      <c r="M3783">
        <v>0.99992959999999997</v>
      </c>
      <c r="N3783">
        <v>-1.0936990000000001E-2</v>
      </c>
      <c r="O3783">
        <v>4.6245419999999997E-3</v>
      </c>
      <c r="P3783">
        <v>0.98341239999999996</v>
      </c>
      <c r="Q3783">
        <v>0.16882920000000001</v>
      </c>
      <c r="R3783">
        <v>6.6309980000000004E-2</v>
      </c>
      <c r="S3783">
        <v>3.0710139999999999</v>
      </c>
      <c r="T3783">
        <v>-9.8937029999999995E-2</v>
      </c>
      <c r="U3783">
        <v>-5.8288569999999998E-2</v>
      </c>
      <c r="V3783">
        <v>-6.1528569999999998E-2</v>
      </c>
      <c r="W3783">
        <v>0.17965780000000001</v>
      </c>
      <c r="X3783">
        <v>0.98180310000000004</v>
      </c>
      <c r="Y3783">
        <v>2.3583170000000001E-2</v>
      </c>
      <c r="Z3783">
        <v>-6.0714329999999998E-4</v>
      </c>
      <c r="AA3783">
        <v>0.99972169999999905</v>
      </c>
      <c r="AB3783">
        <v>42</v>
      </c>
      <c r="AC3783">
        <v>33.968699999999899</v>
      </c>
      <c r="AD3783">
        <v>-1.1091872206905999</v>
      </c>
      <c r="AE3783">
        <v>-0.65540000000001397</v>
      </c>
      <c r="AF3783">
        <v>0.81162698948393097</v>
      </c>
      <c r="AG3783">
        <v>-1.1091872206905999</v>
      </c>
      <c r="AH3783">
        <v>33.929142727108697</v>
      </c>
      <c r="AI3783">
        <v>91.871870622010107</v>
      </c>
      <c r="AJ3783">
        <v>88.629675543961795</v>
      </c>
      <c r="AK3783">
        <v>33.956969253116696</v>
      </c>
      <c r="AL3783">
        <v>79.650171826256098</v>
      </c>
      <c r="AM3783">
        <v>93.585976765412298</v>
      </c>
      <c r="AN3783">
        <v>1.00000000859834</v>
      </c>
    </row>
    <row r="3784" spans="1:40" x14ac:dyDescent="0.25">
      <c r="A3784" t="str">
        <f>"20190304155132028"</f>
        <v>20190304155132028</v>
      </c>
      <c r="B3784" t="str">
        <f>"1551685892020802"</f>
        <v>1551685892020802</v>
      </c>
      <c r="C3784" t="s">
        <v>40</v>
      </c>
      <c r="D3784">
        <v>5.1783169999999998</v>
      </c>
      <c r="E3784">
        <v>0.5303099</v>
      </c>
      <c r="F3784" t="s">
        <v>70</v>
      </c>
      <c r="G3784">
        <v>-260.63850000000002</v>
      </c>
      <c r="H3784" s="1">
        <v>-1.1274349999999999E-6</v>
      </c>
      <c r="I3784">
        <v>213.02420000000001</v>
      </c>
      <c r="J3784">
        <v>-295.91899999999998</v>
      </c>
      <c r="K3784">
        <v>1.109253</v>
      </c>
      <c r="L3784">
        <v>213.68860000000001</v>
      </c>
      <c r="M3784">
        <v>0.9999306</v>
      </c>
      <c r="N3784">
        <v>-1.0940729999999999E-2</v>
      </c>
      <c r="O3784">
        <v>4.3930250000000001E-3</v>
      </c>
      <c r="P3784">
        <v>0.98339849999999995</v>
      </c>
      <c r="Q3784">
        <v>0.16904350000000001</v>
      </c>
      <c r="R3784">
        <v>6.5969E-2</v>
      </c>
      <c r="S3784">
        <v>3.0708310000000001</v>
      </c>
      <c r="T3784">
        <v>-9.5481399999999994E-2</v>
      </c>
      <c r="U3784">
        <v>-5.7052609999999997E-2</v>
      </c>
      <c r="V3784">
        <v>-6.1442860000000002E-2</v>
      </c>
      <c r="W3784">
        <v>0.17986559999999999</v>
      </c>
      <c r="X3784">
        <v>0.98177040000000004</v>
      </c>
      <c r="Y3784">
        <v>2.2952139999999999E-2</v>
      </c>
      <c r="Z3784">
        <v>-5.7081720000000001E-4</v>
      </c>
      <c r="AA3784">
        <v>0.99973639999999997</v>
      </c>
      <c r="AB3784">
        <v>42</v>
      </c>
      <c r="AC3784">
        <v>35.280500000000004</v>
      </c>
      <c r="AD3784">
        <v>-1.1092541274349901</v>
      </c>
      <c r="AE3784">
        <v>-0.66439999999999999</v>
      </c>
      <c r="AF3784">
        <v>0.81858205655232996</v>
      </c>
      <c r="AG3784">
        <v>-1.1092541274349901</v>
      </c>
      <c r="AH3784">
        <v>35.242414567000701</v>
      </c>
      <c r="AI3784">
        <v>91.802302289455497</v>
      </c>
      <c r="AJ3784">
        <v>88.669419621734406</v>
      </c>
      <c r="AK3784">
        <v>35.2693678113868</v>
      </c>
      <c r="AL3784">
        <v>79.63806839579</v>
      </c>
      <c r="AM3784">
        <v>93.581113428839103</v>
      </c>
      <c r="AN3784">
        <v>0.99999998871224904</v>
      </c>
    </row>
    <row r="3785" spans="1:40" x14ac:dyDescent="0.25">
      <c r="A3785" t="str">
        <f>"20190304155132050"</f>
        <v>20190304155132050</v>
      </c>
      <c r="B3785" t="str">
        <f>"1551685892040321"</f>
        <v>1551685892040321</v>
      </c>
      <c r="C3785" t="s">
        <v>40</v>
      </c>
      <c r="D3785">
        <v>5.1676580000000003</v>
      </c>
      <c r="E3785">
        <v>0.53005230000000003</v>
      </c>
      <c r="F3785" t="s">
        <v>70</v>
      </c>
      <c r="G3785">
        <v>-260.0514</v>
      </c>
      <c r="H3785" s="1">
        <v>-1.4399059999999999E-6</v>
      </c>
      <c r="I3785">
        <v>213.02510000000001</v>
      </c>
      <c r="J3785">
        <v>-295.49630000000002</v>
      </c>
      <c r="K3785">
        <v>1.1093170000000001</v>
      </c>
      <c r="L3785">
        <v>213.69030000000001</v>
      </c>
      <c r="M3785">
        <v>0.99993140000000003</v>
      </c>
      <c r="N3785">
        <v>-1.0944809999999999E-2</v>
      </c>
      <c r="O3785">
        <v>4.1981609999999997E-3</v>
      </c>
      <c r="P3785">
        <v>0.98352720000000005</v>
      </c>
      <c r="Q3785">
        <v>0.1683588</v>
      </c>
      <c r="R3785">
        <v>6.580126E-2</v>
      </c>
      <c r="S3785">
        <v>3.0707399999999998</v>
      </c>
      <c r="T3785">
        <v>-9.496665E-2</v>
      </c>
      <c r="U3785">
        <v>-5.680847E-2</v>
      </c>
      <c r="V3785">
        <v>-6.1495660000000001E-2</v>
      </c>
      <c r="W3785">
        <v>0.17917659999999999</v>
      </c>
      <c r="X3785">
        <v>0.98189309999999996</v>
      </c>
      <c r="Y3785">
        <v>2.2678779999999999E-2</v>
      </c>
      <c r="Z3785">
        <v>-5.5858809999999998E-4</v>
      </c>
      <c r="AA3785">
        <v>0.99974260000000004</v>
      </c>
      <c r="AB3785">
        <v>42</v>
      </c>
      <c r="AC3785">
        <v>35.444899999999997</v>
      </c>
      <c r="AD3785">
        <v>-1.1093184399060001</v>
      </c>
      <c r="AE3785">
        <v>-0.66519999999999802</v>
      </c>
      <c r="AF3785">
        <v>0.81321017138212803</v>
      </c>
      <c r="AG3785">
        <v>-1.1093184399060001</v>
      </c>
      <c r="AH3785">
        <v>35.407125717341202</v>
      </c>
      <c r="AI3785">
        <v>91.7940383044496</v>
      </c>
      <c r="AJ3785">
        <v>88.684295333230494</v>
      </c>
      <c r="AK3785">
        <v>35.433831993556097</v>
      </c>
      <c r="AL3785">
        <v>79.678197389847597</v>
      </c>
      <c r="AM3785">
        <v>93.583736064555794</v>
      </c>
      <c r="AN3785">
        <v>1.0000000150070001</v>
      </c>
    </row>
    <row r="3786" spans="1:40" x14ac:dyDescent="0.25">
      <c r="A3786" t="str">
        <f>"20190304155132070"</f>
        <v>20190304155132070</v>
      </c>
      <c r="B3786" t="str">
        <f>"1551685892060818"</f>
        <v>1551685892060818</v>
      </c>
      <c r="C3786" t="s">
        <v>40</v>
      </c>
      <c r="D3786">
        <v>5.1608029999999996</v>
      </c>
      <c r="E3786">
        <v>0.52973749999999997</v>
      </c>
      <c r="F3786" t="s">
        <v>70</v>
      </c>
      <c r="G3786">
        <v>-260.25779999999997</v>
      </c>
      <c r="H3786" s="1">
        <v>-1.3313770000000001E-6</v>
      </c>
      <c r="I3786">
        <v>213.05549999999999</v>
      </c>
      <c r="J3786">
        <v>-295.1121</v>
      </c>
      <c r="K3786">
        <v>1.10937</v>
      </c>
      <c r="L3786">
        <v>213.6918</v>
      </c>
      <c r="M3786">
        <v>0.99993189999999998</v>
      </c>
      <c r="N3786">
        <v>-1.094853E-2</v>
      </c>
      <c r="O3786">
        <v>4.0565710000000001E-3</v>
      </c>
      <c r="P3786">
        <v>0.9836395</v>
      </c>
      <c r="Q3786">
        <v>0.16783199999999901</v>
      </c>
      <c r="R3786">
        <v>6.5467360000000002E-2</v>
      </c>
      <c r="S3786">
        <v>3.0704959999999999</v>
      </c>
      <c r="T3786">
        <v>-9.6660140000000006E-2</v>
      </c>
      <c r="U3786">
        <v>-5.5313109999999999E-2</v>
      </c>
      <c r="V3786">
        <v>-6.1324690000000001E-2</v>
      </c>
      <c r="W3786">
        <v>0.17864639999999901</v>
      </c>
      <c r="X3786">
        <v>0.9820004</v>
      </c>
      <c r="Y3786">
        <v>2.2051899999999999E-2</v>
      </c>
      <c r="Z3786">
        <v>-5.510151E-4</v>
      </c>
      <c r="AA3786">
        <v>0.99975670000000005</v>
      </c>
      <c r="AB3786">
        <v>42</v>
      </c>
      <c r="AC3786">
        <v>34.854300000000002</v>
      </c>
      <c r="AD3786">
        <v>-1.1093713313769999</v>
      </c>
      <c r="AE3786">
        <v>-0.63630000000000497</v>
      </c>
      <c r="AF3786">
        <v>0.77690537187549502</v>
      </c>
      <c r="AG3786">
        <v>-1.1093713313769999</v>
      </c>
      <c r="AH3786">
        <v>34.816172230981003</v>
      </c>
      <c r="AI3786">
        <v>91.824582936545795</v>
      </c>
      <c r="AJ3786">
        <v>88.721685643250495</v>
      </c>
      <c r="AK3786">
        <v>34.842504725192498</v>
      </c>
      <c r="AL3786">
        <v>79.709073846643406</v>
      </c>
      <c r="AM3786">
        <v>93.573408947978393</v>
      </c>
      <c r="AN3786">
        <v>1.0000000197183501</v>
      </c>
    </row>
    <row r="3787" spans="1:40" x14ac:dyDescent="0.25">
      <c r="A3787" t="str">
        <f>"20190304155132093"</f>
        <v>20190304155132093</v>
      </c>
      <c r="B3787" t="str">
        <f>"1551685892090098"</f>
        <v>1551685892090098</v>
      </c>
      <c r="C3787" t="s">
        <v>40</v>
      </c>
      <c r="D3787">
        <v>5.171773</v>
      </c>
      <c r="E3787">
        <v>0.52941059999999995</v>
      </c>
      <c r="F3787" t="s">
        <v>70</v>
      </c>
      <c r="G3787">
        <v>-260.14420000000001</v>
      </c>
      <c r="H3787" s="1">
        <v>-1.392507E-6</v>
      </c>
      <c r="I3787">
        <v>213.07079999999999</v>
      </c>
      <c r="J3787">
        <v>-294.67959999999999</v>
      </c>
      <c r="K3787">
        <v>1.1094170000000001</v>
      </c>
      <c r="L3787">
        <v>213.6935</v>
      </c>
      <c r="M3787">
        <v>0.9999323</v>
      </c>
      <c r="N3787">
        <v>-1.0952760000000001E-2</v>
      </c>
      <c r="O3787">
        <v>3.9288639999999998E-3</v>
      </c>
      <c r="P3787">
        <v>0.98355159999999997</v>
      </c>
      <c r="Q3787">
        <v>0.16841020000000001</v>
      </c>
      <c r="R3787">
        <v>6.5303630000000001E-2</v>
      </c>
      <c r="S3787">
        <v>3.07016</v>
      </c>
      <c r="T3787">
        <v>-9.7402219999999998E-2</v>
      </c>
      <c r="U3787">
        <v>-5.4519650000000003E-2</v>
      </c>
      <c r="V3787">
        <v>-6.130741E-2</v>
      </c>
      <c r="W3787">
        <v>0.1792202</v>
      </c>
      <c r="X3787">
        <v>0.98189689999999996</v>
      </c>
      <c r="Y3787">
        <v>2.166796E-2</v>
      </c>
      <c r="Z3787">
        <v>-5.4389659999999997E-4</v>
      </c>
      <c r="AA3787">
        <v>0.99976509999999996</v>
      </c>
      <c r="AB3787">
        <v>42</v>
      </c>
      <c r="AC3787">
        <v>34.535399999999903</v>
      </c>
      <c r="AD3787">
        <v>-1.109418392507</v>
      </c>
      <c r="AE3787">
        <v>-0.62270000000000802</v>
      </c>
      <c r="AF3787">
        <v>0.75760665861992604</v>
      </c>
      <c r="AG3787">
        <v>-1.109418392507</v>
      </c>
      <c r="AH3787">
        <v>34.497098808711698</v>
      </c>
      <c r="AI3787">
        <v>91.841539893060798</v>
      </c>
      <c r="AJ3787">
        <v>88.741903261459001</v>
      </c>
      <c r="AK3787">
        <v>34.523247286963503</v>
      </c>
      <c r="AL3787">
        <v>79.675658039529793</v>
      </c>
      <c r="AM3787">
        <v>93.572780230370796</v>
      </c>
      <c r="AN3787">
        <v>1.00000000041927</v>
      </c>
    </row>
    <row r="3788" spans="1:40" x14ac:dyDescent="0.25">
      <c r="A3788" t="str">
        <f>"20190304155132116"</f>
        <v>20190304155132116</v>
      </c>
      <c r="B3788" t="str">
        <f>"1551685892110594"</f>
        <v>1551685892110594</v>
      </c>
      <c r="C3788" t="s">
        <v>40</v>
      </c>
      <c r="D3788">
        <v>5.273034</v>
      </c>
      <c r="E3788">
        <v>0.52918379999999998</v>
      </c>
      <c r="F3788" t="s">
        <v>70</v>
      </c>
      <c r="G3788">
        <v>-259.06830000000002</v>
      </c>
      <c r="H3788" s="1">
        <v>3.356072E-6</v>
      </c>
      <c r="I3788">
        <v>213.07980000000001</v>
      </c>
      <c r="J3788">
        <v>-294.25020000000001</v>
      </c>
      <c r="K3788">
        <v>1.1094569999999999</v>
      </c>
      <c r="L3788">
        <v>213.69499999999999</v>
      </c>
      <c r="M3788">
        <v>0.99993279999999995</v>
      </c>
      <c r="N3788">
        <v>-1.095695E-2</v>
      </c>
      <c r="O3788">
        <v>3.8244310000000001E-3</v>
      </c>
      <c r="P3788">
        <v>0.9833423</v>
      </c>
      <c r="Q3788">
        <v>0.1696706</v>
      </c>
      <c r="R3788">
        <v>6.5190520000000002E-2</v>
      </c>
      <c r="S3788">
        <v>3.0700989999999999</v>
      </c>
      <c r="T3788">
        <v>-9.5644119999999999E-2</v>
      </c>
      <c r="U3788">
        <v>-5.290222E-2</v>
      </c>
      <c r="V3788">
        <v>-6.1314159999999999E-2</v>
      </c>
      <c r="W3788">
        <v>0.18047679999999999</v>
      </c>
      <c r="X3788">
        <v>0.98166629999999999</v>
      </c>
      <c r="Y3788">
        <v>2.1038270000000001E-2</v>
      </c>
      <c r="Z3788">
        <v>-5.2012260000000002E-4</v>
      </c>
      <c r="AA3788">
        <v>0.99977850000000001</v>
      </c>
      <c r="AB3788">
        <v>42</v>
      </c>
      <c r="AC3788">
        <v>35.181899999999899</v>
      </c>
      <c r="AD3788">
        <v>-1.1094536439279901</v>
      </c>
      <c r="AE3788">
        <v>-0.61519999999998698</v>
      </c>
      <c r="AF3788">
        <v>0.749009688147391</v>
      </c>
      <c r="AG3788">
        <v>-1.1094536439279901</v>
      </c>
      <c r="AH3788">
        <v>35.1443513885134</v>
      </c>
      <c r="AI3788">
        <v>91.807729772475696</v>
      </c>
      <c r="AJ3788">
        <v>88.779075543423005</v>
      </c>
      <c r="AK3788">
        <v>35.169835618328797</v>
      </c>
      <c r="AL3788">
        <v>79.602466856373894</v>
      </c>
      <c r="AM3788">
        <v>93.574009764382495</v>
      </c>
      <c r="AN3788">
        <v>1.00000001305521</v>
      </c>
    </row>
    <row r="3789" spans="1:40" x14ac:dyDescent="0.25">
      <c r="A3789" t="str">
        <f>"20190304155132138"</f>
        <v>20190304155132138</v>
      </c>
      <c r="B3789" t="str">
        <f>"1551685892130113"</f>
        <v>1551685892130113</v>
      </c>
      <c r="C3789" t="s">
        <v>40</v>
      </c>
      <c r="D3789">
        <v>5.1786649999999996</v>
      </c>
      <c r="E3789">
        <v>0.52894779999999997</v>
      </c>
      <c r="F3789" t="s">
        <v>70</v>
      </c>
      <c r="G3789">
        <v>-257.13389999999998</v>
      </c>
      <c r="H3789" s="1">
        <v>2.3269059999999999E-6</v>
      </c>
      <c r="I3789">
        <v>213.07480000000001</v>
      </c>
      <c r="J3789">
        <v>-293.83449999999999</v>
      </c>
      <c r="K3789">
        <v>1.1094850000000001</v>
      </c>
      <c r="L3789">
        <v>213.69649999999999</v>
      </c>
      <c r="M3789">
        <v>0.99993310000000002</v>
      </c>
      <c r="N3789">
        <v>-1.096103E-2</v>
      </c>
      <c r="O3789">
        <v>3.7373300000000001E-3</v>
      </c>
      <c r="P3789">
        <v>0.98328470000000001</v>
      </c>
      <c r="Q3789">
        <v>0.17014209999999999</v>
      </c>
      <c r="R3789">
        <v>6.4832749999999995E-2</v>
      </c>
      <c r="S3789">
        <v>3.0700989999999999</v>
      </c>
      <c r="T3789">
        <v>-9.1769340000000005E-2</v>
      </c>
      <c r="U3789">
        <v>-5.130005E-2</v>
      </c>
      <c r="V3789">
        <v>-6.1055079999999998E-2</v>
      </c>
      <c r="W3789">
        <v>0.18094669999999999</v>
      </c>
      <c r="X3789">
        <v>0.98159589999999997</v>
      </c>
      <c r="Y3789">
        <v>2.0431020000000001E-2</v>
      </c>
      <c r="Z3789">
        <v>-4.8800809999999999E-4</v>
      </c>
      <c r="AA3789">
        <v>0.99979110000000004</v>
      </c>
      <c r="AB3789">
        <v>42</v>
      </c>
      <c r="AC3789">
        <v>36.700600000000001</v>
      </c>
      <c r="AD3789">
        <v>-1.1094826730939999</v>
      </c>
      <c r="AE3789">
        <v>-0.62169999999997505</v>
      </c>
      <c r="AF3789">
        <v>0.75817344007207998</v>
      </c>
      <c r="AG3789">
        <v>-1.1094826730939999</v>
      </c>
      <c r="AH3789">
        <v>36.6645222316793</v>
      </c>
      <c r="AI3789">
        <v>91.732893376996202</v>
      </c>
      <c r="AJ3789">
        <v>88.815368497212901</v>
      </c>
      <c r="AK3789">
        <v>36.689139663454</v>
      </c>
      <c r="AL3789">
        <v>79.575092443736395</v>
      </c>
      <c r="AM3789">
        <v>93.559201448418705</v>
      </c>
      <c r="AN3789">
        <v>0.99999997096575199</v>
      </c>
    </row>
    <row r="3790" spans="1:40" x14ac:dyDescent="0.25">
      <c r="A3790" t="str">
        <f>"20190304155132160"</f>
        <v>20190304155132160</v>
      </c>
      <c r="B3790" t="str">
        <f>"1551685892150609"</f>
        <v>1551685892150609</v>
      </c>
      <c r="C3790" t="s">
        <v>40</v>
      </c>
      <c r="D3790">
        <v>5.1265549999999998</v>
      </c>
      <c r="E3790">
        <v>0.52884419999999899</v>
      </c>
      <c r="F3790" t="s">
        <v>70</v>
      </c>
      <c r="G3790">
        <v>-256.09089999999998</v>
      </c>
      <c r="H3790" s="1">
        <v>1.7719900000000001E-6</v>
      </c>
      <c r="I3790">
        <v>213.07239999999999</v>
      </c>
      <c r="J3790">
        <v>-293.4119</v>
      </c>
      <c r="K3790">
        <v>1.1095109999999999</v>
      </c>
      <c r="L3790">
        <v>213.69800000000001</v>
      </c>
      <c r="M3790">
        <v>0.99993339999999997</v>
      </c>
      <c r="N3790">
        <v>-1.096519E-2</v>
      </c>
      <c r="O3790">
        <v>3.656533E-3</v>
      </c>
      <c r="P3790">
        <v>0.98326199999999997</v>
      </c>
      <c r="Q3790">
        <v>0.17044179999999901</v>
      </c>
      <c r="R3790">
        <v>6.438837E-2</v>
      </c>
      <c r="S3790">
        <v>3.0700069999999999</v>
      </c>
      <c r="T3790">
        <v>-9.0243699999999996E-2</v>
      </c>
      <c r="U3790">
        <v>-5.0765989999999997E-2</v>
      </c>
      <c r="V3790">
        <v>-6.0701100000000001E-2</v>
      </c>
      <c r="W3790">
        <v>0.1812464</v>
      </c>
      <c r="X3790">
        <v>0.98156259999999995</v>
      </c>
      <c r="Y3790">
        <v>2.017741E-2</v>
      </c>
      <c r="Z3790">
        <v>-4.7451159999999999E-4</v>
      </c>
      <c r="AA3790">
        <v>0.99979629999999997</v>
      </c>
      <c r="AB3790">
        <v>42</v>
      </c>
      <c r="AC3790">
        <v>37.320999999999998</v>
      </c>
      <c r="AD3790">
        <v>-1.1095092280100001</v>
      </c>
      <c r="AE3790">
        <v>-0.62559999999999105</v>
      </c>
      <c r="AF3790">
        <v>0.76139672670819203</v>
      </c>
      <c r="AG3790">
        <v>-1.1095092280100001</v>
      </c>
      <c r="AH3790">
        <v>37.285519026632798</v>
      </c>
      <c r="AI3790">
        <v>91.704098683078399</v>
      </c>
      <c r="AJ3790">
        <v>88.830142165019794</v>
      </c>
      <c r="AK3790">
        <v>37.309793148553901</v>
      </c>
      <c r="AL3790">
        <v>79.557632604199995</v>
      </c>
      <c r="AM3790">
        <v>93.538738540211298</v>
      </c>
      <c r="AN3790">
        <v>1.0000000093864601</v>
      </c>
    </row>
    <row r="3791" spans="1:40" x14ac:dyDescent="0.25">
      <c r="A3791" t="str">
        <f>"20190304155132182"</f>
        <v>20190304155132182</v>
      </c>
      <c r="B3791" t="str">
        <f>"1551685892180866"</f>
        <v>1551685892180866</v>
      </c>
      <c r="C3791" t="s">
        <v>40</v>
      </c>
      <c r="D3791">
        <v>5.25251</v>
      </c>
      <c r="E3791">
        <v>0.52885590000000005</v>
      </c>
      <c r="F3791" t="s">
        <v>70</v>
      </c>
      <c r="G3791">
        <v>-255.244</v>
      </c>
      <c r="H3791" s="1">
        <v>1.3215069999999999E-6</v>
      </c>
      <c r="I3791">
        <v>213.0676</v>
      </c>
      <c r="J3791">
        <v>-292.99610000000001</v>
      </c>
      <c r="K3791">
        <v>1.1095389999999901</v>
      </c>
      <c r="L3791">
        <v>213.6994</v>
      </c>
      <c r="M3791">
        <v>0.99993350000000003</v>
      </c>
      <c r="N3791">
        <v>-1.096928E-2</v>
      </c>
      <c r="O3791">
        <v>3.5809140000000001E-3</v>
      </c>
      <c r="P3791">
        <v>0.98312129999999998</v>
      </c>
      <c r="Q3791">
        <v>0.17122029999999999</v>
      </c>
      <c r="R3791">
        <v>6.4471009999999995E-2</v>
      </c>
      <c r="S3791">
        <v>3.069855</v>
      </c>
      <c r="T3791">
        <v>-8.9238170000000006E-2</v>
      </c>
      <c r="U3791">
        <v>-5.070496E-2</v>
      </c>
      <c r="V3791">
        <v>-6.0867249999999998E-2</v>
      </c>
      <c r="W3791">
        <v>0.1820243</v>
      </c>
      <c r="X3791">
        <v>0.98140839999999996</v>
      </c>
      <c r="Y3791">
        <v>2.0083070000000001E-2</v>
      </c>
      <c r="Z3791">
        <v>-4.6680160000000002E-4</v>
      </c>
      <c r="AA3791">
        <v>0.99979819999999997</v>
      </c>
      <c r="AB3791">
        <v>42</v>
      </c>
      <c r="AC3791">
        <v>37.752099999999899</v>
      </c>
      <c r="AD3791">
        <v>-1.10953767849299</v>
      </c>
      <c r="AE3791">
        <v>-0.63179999999999803</v>
      </c>
      <c r="AF3791">
        <v>0.76632934308142298</v>
      </c>
      <c r="AG3791">
        <v>-1.10953767849299</v>
      </c>
      <c r="AH3791">
        <v>37.717025370889303</v>
      </c>
      <c r="AI3791">
        <v>91.684660726327493</v>
      </c>
      <c r="AJ3791">
        <v>88.8360323686952</v>
      </c>
      <c r="AK3791">
        <v>37.741122629704201</v>
      </c>
      <c r="AL3791">
        <v>79.512308802722799</v>
      </c>
      <c r="AM3791">
        <v>93.548956103077401</v>
      </c>
      <c r="AN3791">
        <v>1.0000000577518</v>
      </c>
    </row>
    <row r="3792" spans="1:40" x14ac:dyDescent="0.25">
      <c r="A3792" t="str">
        <f>"20190304155132209"</f>
        <v>20190304155132209</v>
      </c>
      <c r="B3792" t="str">
        <f>"1551685892200385"</f>
        <v>1551685892200385</v>
      </c>
      <c r="C3792" t="s">
        <v>40</v>
      </c>
      <c r="D3792">
        <v>5.1453319999999998</v>
      </c>
      <c r="E3792">
        <v>0.52891840000000001</v>
      </c>
      <c r="F3792" t="s">
        <v>70</v>
      </c>
      <c r="G3792">
        <v>-253.81370000000001</v>
      </c>
      <c r="H3792" s="1">
        <v>5.6092829999999996E-7</v>
      </c>
      <c r="I3792">
        <v>213.05500000000001</v>
      </c>
      <c r="J3792">
        <v>-292.51560000000001</v>
      </c>
      <c r="K3792">
        <v>1.1095549999999901</v>
      </c>
      <c r="L3792">
        <v>213.7011</v>
      </c>
      <c r="M3792">
        <v>0.99993370000000004</v>
      </c>
      <c r="N3792">
        <v>-1.0974070000000001E-2</v>
      </c>
      <c r="O3792">
        <v>3.4943190000000001E-3</v>
      </c>
      <c r="P3792">
        <v>0.98298050000000003</v>
      </c>
      <c r="Q3792">
        <v>0.1721077</v>
      </c>
      <c r="R3792">
        <v>6.4249280000000006E-2</v>
      </c>
      <c r="S3792">
        <v>3.0699770000000002</v>
      </c>
      <c r="T3792">
        <v>-8.6933369999999996E-2</v>
      </c>
      <c r="U3792">
        <v>-5.0491330000000001E-2</v>
      </c>
      <c r="V3792">
        <v>-6.0739609999999999E-2</v>
      </c>
      <c r="W3792">
        <v>0.18291180000000001</v>
      </c>
      <c r="X3792">
        <v>0.98125119999999999</v>
      </c>
      <c r="Y3792">
        <v>1.9926940000000001E-2</v>
      </c>
      <c r="Z3792">
        <v>-4.5202669999999998E-4</v>
      </c>
      <c r="AA3792">
        <v>0.9998013</v>
      </c>
      <c r="AB3792">
        <v>42</v>
      </c>
      <c r="AC3792">
        <v>38.701900000000002</v>
      </c>
      <c r="AD3792">
        <v>-1.10955443907169</v>
      </c>
      <c r="AE3792">
        <v>-0.64609999999998902</v>
      </c>
      <c r="AF3792">
        <v>0.78069948216342699</v>
      </c>
      <c r="AG3792">
        <v>-1.10955443907169</v>
      </c>
      <c r="AH3792">
        <v>38.667632802006999</v>
      </c>
      <c r="AI3792">
        <v>91.643296979570493</v>
      </c>
      <c r="AJ3792">
        <v>88.843355393629807</v>
      </c>
      <c r="AK3792">
        <v>38.691425784604498</v>
      </c>
      <c r="AL3792">
        <v>79.460589629681706</v>
      </c>
      <c r="AM3792">
        <v>93.542098745348596</v>
      </c>
      <c r="AN3792">
        <v>0.99999997215181502</v>
      </c>
    </row>
    <row r="3793" spans="1:40" x14ac:dyDescent="0.25">
      <c r="A3793" t="str">
        <f>"20190304155132228"</f>
        <v>20190304155132228</v>
      </c>
      <c r="B3793" t="str">
        <f>"1551685892219906"</f>
        <v>1551685892219906</v>
      </c>
      <c r="C3793" t="s">
        <v>40</v>
      </c>
      <c r="D3793">
        <v>5.2541440000000001</v>
      </c>
      <c r="E3793">
        <v>0.52890599999999999</v>
      </c>
      <c r="F3793" t="s">
        <v>70</v>
      </c>
      <c r="G3793">
        <v>-251.61490000000001</v>
      </c>
      <c r="H3793" s="1">
        <v>-6.0743509999999995E-7</v>
      </c>
      <c r="I3793">
        <v>213.01560000000001</v>
      </c>
      <c r="J3793">
        <v>-292.12169999999998</v>
      </c>
      <c r="K3793">
        <v>1.109575</v>
      </c>
      <c r="L3793">
        <v>213.70240000000001</v>
      </c>
      <c r="M3793">
        <v>0.99993390000000004</v>
      </c>
      <c r="N3793">
        <v>-1.097801E-2</v>
      </c>
      <c r="O3793">
        <v>3.423794E-3</v>
      </c>
      <c r="P3793">
        <v>0.98280319999999999</v>
      </c>
      <c r="Q3793">
        <v>0.1731703</v>
      </c>
      <c r="R3793">
        <v>6.4110710000000001E-2</v>
      </c>
      <c r="S3793">
        <v>3.0699459999999998</v>
      </c>
      <c r="T3793">
        <v>-8.3281759999999996E-2</v>
      </c>
      <c r="U3793">
        <v>-5.1452640000000001E-2</v>
      </c>
      <c r="V3793">
        <v>-6.0676380000000002E-2</v>
      </c>
      <c r="W3793">
        <v>0.183974</v>
      </c>
      <c r="X3793">
        <v>0.98105659999999895</v>
      </c>
      <c r="Y3793">
        <v>2.017031E-2</v>
      </c>
      <c r="Z3793">
        <v>-4.3955330000000002E-4</v>
      </c>
      <c r="AA3793">
        <v>0.99979649999999998</v>
      </c>
      <c r="AB3793">
        <v>42</v>
      </c>
      <c r="AC3793">
        <v>40.506799999999899</v>
      </c>
      <c r="AD3793">
        <v>-1.1095756074351</v>
      </c>
      <c r="AE3793">
        <v>-0.68680000000000496</v>
      </c>
      <c r="AF3793">
        <v>0.82487251091084601</v>
      </c>
      <c r="AG3793">
        <v>-1.1095756074351</v>
      </c>
      <c r="AH3793">
        <v>40.473850540304099</v>
      </c>
      <c r="AI3793">
        <v>91.570023362327404</v>
      </c>
      <c r="AJ3793">
        <v>88.832451793687397</v>
      </c>
      <c r="AK3793">
        <v>40.497458565282201</v>
      </c>
      <c r="AL3793">
        <v>79.398680333357603</v>
      </c>
      <c r="AM3793">
        <v>93.539120878686106</v>
      </c>
      <c r="AN3793">
        <v>1.00000005408473</v>
      </c>
    </row>
    <row r="3794" spans="1:40" x14ac:dyDescent="0.25">
      <c r="A3794" t="str">
        <f>"20190304155132251"</f>
        <v>20190304155132251</v>
      </c>
      <c r="B3794" t="str">
        <f>"1551685892240405"</f>
        <v>1551685892240405</v>
      </c>
      <c r="C3794" t="s">
        <v>40</v>
      </c>
      <c r="D3794">
        <v>5.187087</v>
      </c>
      <c r="E3794">
        <v>0.52903040000000001</v>
      </c>
      <c r="F3794" t="s">
        <v>70</v>
      </c>
      <c r="G3794">
        <v>-248.69540000000001</v>
      </c>
      <c r="H3794" s="1">
        <v>3.1624559999999998E-6</v>
      </c>
      <c r="I3794">
        <v>212.96950000000001</v>
      </c>
      <c r="J3794">
        <v>-291.70030000000003</v>
      </c>
      <c r="K3794">
        <v>1.109588</v>
      </c>
      <c r="L3794">
        <v>213.7038</v>
      </c>
      <c r="M3794">
        <v>0.9999342</v>
      </c>
      <c r="N3794">
        <v>-1.0982240000000001E-2</v>
      </c>
      <c r="O3794">
        <v>3.3487159999999998E-3</v>
      </c>
      <c r="P3794">
        <v>0.98271589999999998</v>
      </c>
      <c r="Q3794">
        <v>0.173704</v>
      </c>
      <c r="R3794">
        <v>6.4005320000000004E-2</v>
      </c>
      <c r="S3794">
        <v>3.0696720000000002</v>
      </c>
      <c r="T3794">
        <v>-7.8432199999999994E-2</v>
      </c>
      <c r="U3794">
        <v>-5.1803589999999997E-2</v>
      </c>
      <c r="V3794">
        <v>-6.0650540000000003E-2</v>
      </c>
      <c r="W3794">
        <v>0.18450920000000001</v>
      </c>
      <c r="X3794">
        <v>0.98095759999999999</v>
      </c>
      <c r="Y3794">
        <v>2.02121E-2</v>
      </c>
      <c r="Z3794">
        <v>-4.179513E-4</v>
      </c>
      <c r="AA3794">
        <v>0.99979560000000001</v>
      </c>
      <c r="AB3794">
        <v>42</v>
      </c>
      <c r="AC3794">
        <v>43.004899999999999</v>
      </c>
      <c r="AD3794">
        <v>-1.1095848375440001</v>
      </c>
      <c r="AE3794">
        <v>-0.73429999999998996</v>
      </c>
      <c r="AF3794">
        <v>0.87773160347990298</v>
      </c>
      <c r="AG3794">
        <v>-1.1095848375440001</v>
      </c>
      <c r="AH3794">
        <v>42.9736001125885</v>
      </c>
      <c r="AI3794">
        <v>91.478748762009701</v>
      </c>
      <c r="AJ3794">
        <v>88.829901969405199</v>
      </c>
      <c r="AK3794">
        <v>42.9968824208933</v>
      </c>
      <c r="AL3794">
        <v>79.367480668108499</v>
      </c>
      <c r="AM3794">
        <v>93.537973632126494</v>
      </c>
      <c r="AN3794">
        <v>0.99999997294234499</v>
      </c>
    </row>
    <row r="3795" spans="1:40" x14ac:dyDescent="0.25">
      <c r="A3795" t="str">
        <f>"20190304155132272"</f>
        <v>20190304155132272</v>
      </c>
      <c r="B3795" t="str">
        <f>"1551685892259923"</f>
        <v>1551685892259923</v>
      </c>
      <c r="C3795" t="s">
        <v>40</v>
      </c>
      <c r="D3795">
        <v>5.180218</v>
      </c>
      <c r="E3795">
        <v>0.52913520000000003</v>
      </c>
      <c r="F3795" t="s">
        <v>70</v>
      </c>
      <c r="G3795">
        <v>-247.04949999999999</v>
      </c>
      <c r="H3795" s="1">
        <v>2.2884259999999998E-6</v>
      </c>
      <c r="I3795">
        <v>212.92779999999999</v>
      </c>
      <c r="J3795">
        <v>-291.29320000000001</v>
      </c>
      <c r="K3795">
        <v>1.1095969999999999</v>
      </c>
      <c r="L3795">
        <v>213.70500000000001</v>
      </c>
      <c r="M3795">
        <v>0.99993430000000005</v>
      </c>
      <c r="N3795">
        <v>-1.0986320000000001E-2</v>
      </c>
      <c r="O3795">
        <v>3.2766449999999999E-3</v>
      </c>
      <c r="P3795">
        <v>0.98256480000000002</v>
      </c>
      <c r="Q3795">
        <v>0.1746046</v>
      </c>
      <c r="R3795">
        <v>6.38735E-2</v>
      </c>
      <c r="S3795">
        <v>3.0697329999999998</v>
      </c>
      <c r="T3795">
        <v>-7.6283809999999994E-2</v>
      </c>
      <c r="U3795">
        <v>-5.334473E-2</v>
      </c>
      <c r="V3795">
        <v>-6.0593769999999998E-2</v>
      </c>
      <c r="W3795">
        <v>0.18541079999999999</v>
      </c>
      <c r="X3795">
        <v>0.98079119999999997</v>
      </c>
      <c r="Y3795">
        <v>2.0641779999999998E-2</v>
      </c>
      <c r="Z3795">
        <v>-4.1525820000000001E-4</v>
      </c>
      <c r="AA3795">
        <v>0.99978690000000003</v>
      </c>
      <c r="AB3795">
        <v>42</v>
      </c>
      <c r="AC3795">
        <v>44.243699999999997</v>
      </c>
      <c r="AD3795">
        <v>-1.1095947115739999</v>
      </c>
      <c r="AE3795">
        <v>-0.77720000000002099</v>
      </c>
      <c r="AF3795">
        <v>0.92159600052375801</v>
      </c>
      <c r="AG3795">
        <v>-1.1095947115739999</v>
      </c>
      <c r="AH3795">
        <v>44.2131158139129</v>
      </c>
      <c r="AI3795">
        <v>91.437310001669601</v>
      </c>
      <c r="AJ3795">
        <v>88.805876610531499</v>
      </c>
      <c r="AK3795">
        <v>44.2366380909152</v>
      </c>
      <c r="AL3795">
        <v>79.314916929876603</v>
      </c>
      <c r="AM3795">
        <v>93.535268592492301</v>
      </c>
      <c r="AN3795">
        <v>1.00000007385844</v>
      </c>
    </row>
    <row r="3796" spans="1:40" x14ac:dyDescent="0.25">
      <c r="A3796" t="str">
        <f>"20190304155132294"</f>
        <v>20190304155132294</v>
      </c>
      <c r="B3796" t="str">
        <f>"1551685892290178"</f>
        <v>1551685892290178</v>
      </c>
      <c r="C3796" t="s">
        <v>40</v>
      </c>
      <c r="D3796">
        <v>5.1787910000000004</v>
      </c>
      <c r="E3796">
        <v>0.52931110000000003</v>
      </c>
      <c r="F3796" t="s">
        <v>70</v>
      </c>
      <c r="G3796">
        <v>-244.68090000000001</v>
      </c>
      <c r="H3796" s="1">
        <v>1.0303079999999999E-6</v>
      </c>
      <c r="I3796">
        <v>212.8742</v>
      </c>
      <c r="J3796">
        <v>-290.88310000000001</v>
      </c>
      <c r="K3796">
        <v>1.109605</v>
      </c>
      <c r="L3796">
        <v>213.7063</v>
      </c>
      <c r="M3796">
        <v>0.99993460000000001</v>
      </c>
      <c r="N3796">
        <v>-1.099049E-2</v>
      </c>
      <c r="O3796">
        <v>3.205018E-3</v>
      </c>
      <c r="P3796">
        <v>0.98255919999999997</v>
      </c>
      <c r="Q3796">
        <v>0.1748536</v>
      </c>
      <c r="R3796">
        <v>6.3274170000000005E-2</v>
      </c>
      <c r="S3796">
        <v>3.069763</v>
      </c>
      <c r="T3796">
        <v>-7.3075180000000003E-2</v>
      </c>
      <c r="U3796">
        <v>-5.4718019999999999E-2</v>
      </c>
      <c r="V3796">
        <v>-6.0068000000000003E-2</v>
      </c>
      <c r="W3796">
        <v>0.18566199999999999</v>
      </c>
      <c r="X3796">
        <v>0.98077599999999998</v>
      </c>
      <c r="Y3796">
        <v>2.1017649999999999E-2</v>
      </c>
      <c r="Z3796">
        <v>-4.0669760000000001E-4</v>
      </c>
      <c r="AA3796">
        <v>0.99977899999999997</v>
      </c>
      <c r="AB3796">
        <v>42</v>
      </c>
      <c r="AC3796">
        <v>46.202199999999998</v>
      </c>
      <c r="AD3796">
        <v>-1.1096039696919999</v>
      </c>
      <c r="AE3796">
        <v>-0.83209999999999695</v>
      </c>
      <c r="AF3796">
        <v>0.97961869078817199</v>
      </c>
      <c r="AG3796">
        <v>-1.1096039696919999</v>
      </c>
      <c r="AH3796">
        <v>46.172672747393896</v>
      </c>
      <c r="AI3796">
        <v>91.376335619821404</v>
      </c>
      <c r="AJ3796">
        <v>88.784571182581402</v>
      </c>
      <c r="AK3796">
        <v>46.196391443345803</v>
      </c>
      <c r="AL3796">
        <v>79.300269689859505</v>
      </c>
      <c r="AM3796">
        <v>93.5047241629388</v>
      </c>
      <c r="AN3796">
        <v>1.0000000525219901</v>
      </c>
    </row>
    <row r="3797" spans="1:40" x14ac:dyDescent="0.25">
      <c r="A3797" t="str">
        <f>"20190304155132317"</f>
        <v>20190304155132317</v>
      </c>
      <c r="B3797" t="str">
        <f>"1551685892310677"</f>
        <v>1551685892310677</v>
      </c>
      <c r="C3797" t="s">
        <v>40</v>
      </c>
      <c r="D3797">
        <v>5.148809</v>
      </c>
      <c r="E3797">
        <v>0.52940589999999998</v>
      </c>
      <c r="F3797" t="s">
        <v>70</v>
      </c>
      <c r="G3797">
        <v>-243.41569999999999</v>
      </c>
      <c r="H3797" s="1">
        <v>3.5975449999999999E-7</v>
      </c>
      <c r="I3797">
        <v>212.81190000000001</v>
      </c>
      <c r="J3797">
        <v>-290.44619999999998</v>
      </c>
      <c r="K3797">
        <v>1.10961</v>
      </c>
      <c r="L3797">
        <v>213.70769999999999</v>
      </c>
      <c r="M3797">
        <v>0.99993469999999995</v>
      </c>
      <c r="N3797">
        <v>-1.0995019999999999E-2</v>
      </c>
      <c r="O3797">
        <v>3.1299740000000002E-3</v>
      </c>
      <c r="P3797">
        <v>0.98255219999999999</v>
      </c>
      <c r="Q3797">
        <v>0.1750669</v>
      </c>
      <c r="R3797">
        <v>6.2792070000000005E-2</v>
      </c>
      <c r="S3797">
        <v>3.0697329999999998</v>
      </c>
      <c r="T3797">
        <v>-7.1758509999999998E-2</v>
      </c>
      <c r="U3797">
        <v>-5.7846069999999999E-2</v>
      </c>
      <c r="V3797">
        <v>-5.9662380000000001E-2</v>
      </c>
      <c r="W3797">
        <v>0.18587890000000001</v>
      </c>
      <c r="X3797">
        <v>0.98075959999999995</v>
      </c>
      <c r="Y3797">
        <v>2.1961120000000001E-2</v>
      </c>
      <c r="Z3797">
        <v>-4.1613670000000002E-4</v>
      </c>
      <c r="AA3797">
        <v>0.9997587</v>
      </c>
      <c r="AB3797">
        <v>42</v>
      </c>
      <c r="AC3797">
        <v>47.030499999999897</v>
      </c>
      <c r="AD3797">
        <v>-1.1096096402455</v>
      </c>
      <c r="AE3797">
        <v>-0.89579999999997995</v>
      </c>
      <c r="AF3797">
        <v>1.0424286893744199</v>
      </c>
      <c r="AG3797">
        <v>-1.1096096402455</v>
      </c>
      <c r="AH3797">
        <v>47.001311865037302</v>
      </c>
      <c r="AI3797">
        <v>91.3520584359254</v>
      </c>
      <c r="AJ3797">
        <v>88.729461545698399</v>
      </c>
      <c r="AK3797">
        <v>47.025963128474601</v>
      </c>
      <c r="AL3797">
        <v>79.287621284509996</v>
      </c>
      <c r="AM3797">
        <v>93.481174343588904</v>
      </c>
      <c r="AN3797">
        <v>0.99999997902231696</v>
      </c>
    </row>
    <row r="3798" spans="1:40" x14ac:dyDescent="0.25">
      <c r="A3798" t="str">
        <f>"20190304155132339"</f>
        <v>20190304155132339</v>
      </c>
      <c r="B3798" t="str">
        <f>"1551685892330194"</f>
        <v>1551685892330194</v>
      </c>
      <c r="C3798" t="s">
        <v>40</v>
      </c>
      <c r="D3798">
        <v>5.2006899999999998</v>
      </c>
      <c r="E3798">
        <v>0.52951380000000003</v>
      </c>
      <c r="F3798" t="s">
        <v>70</v>
      </c>
      <c r="G3798">
        <v>-242.31819999999999</v>
      </c>
      <c r="H3798" s="1">
        <v>-2.2233610000000001E-7</v>
      </c>
      <c r="I3798">
        <v>212.767</v>
      </c>
      <c r="J3798">
        <v>-290.02010000000001</v>
      </c>
      <c r="K3798">
        <v>1.1096140000000001</v>
      </c>
      <c r="L3798">
        <v>213.7089</v>
      </c>
      <c r="M3798">
        <v>0.99993489999999996</v>
      </c>
      <c r="N3798">
        <v>-1.099924E-2</v>
      </c>
      <c r="O3798">
        <v>3.0576510000000002E-3</v>
      </c>
      <c r="P3798">
        <v>0.98253619999999997</v>
      </c>
      <c r="Q3798">
        <v>0.17526079999999999</v>
      </c>
      <c r="R3798">
        <v>6.2501570000000006E-2</v>
      </c>
      <c r="S3798">
        <v>3.0697019999999999</v>
      </c>
      <c r="T3798">
        <v>-7.0773119999999995E-2</v>
      </c>
      <c r="U3798">
        <v>-5.9997559999999998E-2</v>
      </c>
      <c r="V3798">
        <v>-5.9444990000000003E-2</v>
      </c>
      <c r="W3798">
        <v>0.18607609999999999</v>
      </c>
      <c r="X3798">
        <v>0.98073540000000003</v>
      </c>
      <c r="Y3798">
        <v>2.2589419999999999E-2</v>
      </c>
      <c r="Z3798">
        <v>-4.2146989999999998E-4</v>
      </c>
      <c r="AA3798">
        <v>0.99974470000000004</v>
      </c>
      <c r="AB3798">
        <v>42</v>
      </c>
      <c r="AC3798">
        <v>47.701900000000002</v>
      </c>
      <c r="AD3798">
        <v>-1.1096142223361001</v>
      </c>
      <c r="AE3798">
        <v>-0.94190000000000396</v>
      </c>
      <c r="AF3798">
        <v>1.0871721395595799</v>
      </c>
      <c r="AG3798">
        <v>-1.1096142223361001</v>
      </c>
      <c r="AH3798">
        <v>47.673011284697701</v>
      </c>
      <c r="AI3798">
        <v>91.333001981350193</v>
      </c>
      <c r="AJ3798">
        <v>88.6936092624276</v>
      </c>
      <c r="AK3798">
        <v>47.698314351079098</v>
      </c>
      <c r="AL3798">
        <v>79.2761218771073</v>
      </c>
      <c r="AM3798">
        <v>93.468606495893198</v>
      </c>
      <c r="AN3798">
        <v>0.99999997332023405</v>
      </c>
    </row>
    <row r="3799" spans="1:40" x14ac:dyDescent="0.25">
      <c r="A3799" t="str">
        <f>"20190304155132362"</f>
        <v>20190304155132362</v>
      </c>
      <c r="B3799" t="str">
        <f>"1551685892350690"</f>
        <v>1551685892350690</v>
      </c>
      <c r="C3799" t="s">
        <v>40</v>
      </c>
      <c r="D3799">
        <v>5.1786289999999999</v>
      </c>
      <c r="E3799">
        <v>0.52961919999999996</v>
      </c>
      <c r="F3799" t="s">
        <v>70</v>
      </c>
      <c r="G3799">
        <v>-241.27070000000001</v>
      </c>
      <c r="H3799" s="1">
        <v>-7.777944E-7</v>
      </c>
      <c r="I3799">
        <v>212.7225</v>
      </c>
      <c r="J3799">
        <v>-289.58870000000002</v>
      </c>
      <c r="K3799">
        <v>1.1096189999999999</v>
      </c>
      <c r="L3799">
        <v>213.71019999999999</v>
      </c>
      <c r="M3799">
        <v>0.99993509999999997</v>
      </c>
      <c r="N3799">
        <v>-1.100337E-2</v>
      </c>
      <c r="O3799">
        <v>2.9851370000000001E-3</v>
      </c>
      <c r="P3799">
        <v>0.98258270000000003</v>
      </c>
      <c r="Q3799">
        <v>0.17514399999999999</v>
      </c>
      <c r="R3799">
        <v>6.2098130000000001E-2</v>
      </c>
      <c r="S3799">
        <v>3.0697329999999998</v>
      </c>
      <c r="T3799">
        <v>-6.9872139999999999E-2</v>
      </c>
      <c r="U3799">
        <v>-6.2118529999999998E-2</v>
      </c>
      <c r="V3799">
        <v>-5.9114239999999998E-2</v>
      </c>
      <c r="W3799">
        <v>0.1859632</v>
      </c>
      <c r="X3799">
        <v>0.9807768</v>
      </c>
      <c r="Y3799">
        <v>2.3207169999999999E-2</v>
      </c>
      <c r="Z3799">
        <v>-4.2686489999999998E-4</v>
      </c>
      <c r="AA3799">
        <v>0.99973060000000002</v>
      </c>
      <c r="AB3799">
        <v>42</v>
      </c>
      <c r="AC3799">
        <v>48.317999999999998</v>
      </c>
      <c r="AD3799">
        <v>-1.1096197777943999</v>
      </c>
      <c r="AE3799">
        <v>-0.98769999999998903</v>
      </c>
      <c r="AF3799">
        <v>1.13134375882356</v>
      </c>
      <c r="AG3799">
        <v>-1.1096197777943999</v>
      </c>
      <c r="AH3799">
        <v>48.289379477845998</v>
      </c>
      <c r="AI3799">
        <v>91.315981126719805</v>
      </c>
      <c r="AJ3799">
        <v>88.657896058288898</v>
      </c>
      <c r="AK3799">
        <v>48.315374003595501</v>
      </c>
      <c r="AL3799">
        <v>79.2827054261097</v>
      </c>
      <c r="AM3799">
        <v>93.449208758454901</v>
      </c>
      <c r="AN3799">
        <v>0.99999996827162796</v>
      </c>
    </row>
    <row r="3800" spans="1:40" x14ac:dyDescent="0.25">
      <c r="A3800" t="str">
        <f>"20190304155132384"</f>
        <v>20190304155132384</v>
      </c>
      <c r="B3800" t="str">
        <f>"1551685892380946"</f>
        <v>1551685892380946</v>
      </c>
      <c r="C3800" t="s">
        <v>40</v>
      </c>
      <c r="D3800">
        <v>5.212523</v>
      </c>
      <c r="E3800">
        <v>0.52976269999999903</v>
      </c>
      <c r="F3800" t="s">
        <v>70</v>
      </c>
      <c r="G3800">
        <v>-240.82910000000001</v>
      </c>
      <c r="H3800" s="1">
        <v>-1.0113270000000001E-6</v>
      </c>
      <c r="I3800">
        <v>212.6891</v>
      </c>
      <c r="J3800">
        <v>-289.17489999999998</v>
      </c>
      <c r="K3800">
        <v>1.1096220000000001</v>
      </c>
      <c r="L3800">
        <v>213.7114</v>
      </c>
      <c r="M3800">
        <v>0.99993520000000002</v>
      </c>
      <c r="N3800">
        <v>-1.1007309999999999E-2</v>
      </c>
      <c r="O3800">
        <v>2.9171499999999999E-3</v>
      </c>
      <c r="P3800">
        <v>0.9826511</v>
      </c>
      <c r="Q3800">
        <v>0.17485390000000001</v>
      </c>
      <c r="R3800">
        <v>6.1832060000000001E-2</v>
      </c>
      <c r="S3800">
        <v>3.0697329999999998</v>
      </c>
      <c r="T3800">
        <v>-6.9857719999999998E-2</v>
      </c>
      <c r="U3800">
        <v>-6.428528E-2</v>
      </c>
      <c r="V3800">
        <v>-5.8915910000000002E-2</v>
      </c>
      <c r="W3800">
        <v>0.18567739999999999</v>
      </c>
      <c r="X3800">
        <v>0.98084289999999996</v>
      </c>
      <c r="Y3800">
        <v>2.3844299999999999E-2</v>
      </c>
      <c r="Z3800">
        <v>-4.3678610000000002E-4</v>
      </c>
      <c r="AA3800">
        <v>0.99971560000000004</v>
      </c>
      <c r="AB3800">
        <v>42</v>
      </c>
      <c r="AC3800">
        <v>48.345799999999898</v>
      </c>
      <c r="AD3800">
        <v>-1.10962301132699</v>
      </c>
      <c r="AE3800">
        <v>-1.0223</v>
      </c>
      <c r="AF3800">
        <v>1.16272390767084</v>
      </c>
      <c r="AG3800">
        <v>-1.10962301132699</v>
      </c>
      <c r="AH3800">
        <v>48.3171705006487</v>
      </c>
      <c r="AI3800">
        <v>91.315208454500095</v>
      </c>
      <c r="AJ3800">
        <v>88.621477276031996</v>
      </c>
      <c r="AK3800">
        <v>48.343894705552003</v>
      </c>
      <c r="AL3800">
        <v>79.299371021579105</v>
      </c>
      <c r="AM3800">
        <v>93.437433248737804</v>
      </c>
      <c r="AN3800">
        <v>0.99999998790114797</v>
      </c>
    </row>
    <row r="3801" spans="1:40" x14ac:dyDescent="0.25">
      <c r="A3801" t="str">
        <f>"20190304155132407"</f>
        <v>20190304155132407</v>
      </c>
      <c r="B3801" t="str">
        <f>"1551685892400467"</f>
        <v>1551685892400467</v>
      </c>
      <c r="C3801" t="s">
        <v>40</v>
      </c>
      <c r="D3801">
        <v>5.1485399999999997</v>
      </c>
      <c r="E3801">
        <v>0.52986650000000002</v>
      </c>
      <c r="F3801" t="s">
        <v>70</v>
      </c>
      <c r="G3801">
        <v>-240.72239999999999</v>
      </c>
      <c r="H3801" s="1">
        <v>-1.067086E-6</v>
      </c>
      <c r="I3801">
        <v>212.66589999999999</v>
      </c>
      <c r="J3801">
        <v>-288.73349999999999</v>
      </c>
      <c r="K3801">
        <v>1.1096220000000001</v>
      </c>
      <c r="L3801">
        <v>213.71260000000001</v>
      </c>
      <c r="M3801">
        <v>0.99993540000000003</v>
      </c>
      <c r="N3801">
        <v>-1.101155E-2</v>
      </c>
      <c r="O3801">
        <v>2.8484629999999999E-3</v>
      </c>
      <c r="P3801">
        <v>0.982603</v>
      </c>
      <c r="Q3801">
        <v>0.1751036</v>
      </c>
      <c r="R3801">
        <v>6.1889470000000002E-2</v>
      </c>
      <c r="S3801">
        <v>3.0696409999999998</v>
      </c>
      <c r="T3801">
        <v>-7.0298669999999994E-2</v>
      </c>
      <c r="U3801">
        <v>-6.6238399999999906E-2</v>
      </c>
      <c r="V3801">
        <v>-5.9042589999999999E-2</v>
      </c>
      <c r="W3801">
        <v>0.18593000000000001</v>
      </c>
      <c r="X3801">
        <v>0.98078750000000003</v>
      </c>
      <c r="Y3801">
        <v>2.441173E-2</v>
      </c>
      <c r="Z3801">
        <v>-4.4776869999999999E-4</v>
      </c>
      <c r="AA3801">
        <v>0.99970190000000003</v>
      </c>
      <c r="AB3801">
        <v>43</v>
      </c>
      <c r="AC3801">
        <v>48.011099999999999</v>
      </c>
      <c r="AD3801">
        <v>-1.1096230670859999</v>
      </c>
      <c r="AE3801">
        <v>-1.04670000000001</v>
      </c>
      <c r="AF3801">
        <v>1.18283036021007</v>
      </c>
      <c r="AG3801">
        <v>-1.1096230670859999</v>
      </c>
      <c r="AH3801">
        <v>47.9823057017338</v>
      </c>
      <c r="AI3801">
        <v>91.324365083807393</v>
      </c>
      <c r="AJ3801">
        <v>88.587865598466905</v>
      </c>
      <c r="AK3801">
        <v>48.009707471163402</v>
      </c>
      <c r="AL3801">
        <v>79.284642363709807</v>
      </c>
      <c r="AM3801">
        <v>93.445000692312703</v>
      </c>
      <c r="AN3801">
        <v>1.0000000562450699</v>
      </c>
    </row>
    <row r="3802" spans="1:40" x14ac:dyDescent="0.25">
      <c r="A3802" t="str">
        <f>"20190304155132430"</f>
        <v>20190304155132430</v>
      </c>
      <c r="B3802" t="str">
        <f>"1551685892419987"</f>
        <v>1551685892419987</v>
      </c>
      <c r="C3802" t="s">
        <v>40</v>
      </c>
      <c r="D3802">
        <v>5.1916500000000001</v>
      </c>
      <c r="E3802">
        <v>0.52993999999999997</v>
      </c>
      <c r="F3802" t="s">
        <v>70</v>
      </c>
      <c r="G3802">
        <v>-239.5505</v>
      </c>
      <c r="H3802" s="1">
        <v>3.631927E-6</v>
      </c>
      <c r="I3802">
        <v>212.63890000000001</v>
      </c>
      <c r="J3802">
        <v>-288.29520000000002</v>
      </c>
      <c r="K3802">
        <v>1.1096299999999999</v>
      </c>
      <c r="L3802">
        <v>213.71379999999999</v>
      </c>
      <c r="M3802">
        <v>0.99993560000000004</v>
      </c>
      <c r="N3802">
        <v>-1.101588E-2</v>
      </c>
      <c r="O3802">
        <v>2.7864090000000001E-3</v>
      </c>
      <c r="P3802">
        <v>0.98261019999999999</v>
      </c>
      <c r="Q3802">
        <v>0.17526040000000001</v>
      </c>
      <c r="R3802">
        <v>6.132837E-2</v>
      </c>
      <c r="S3802">
        <v>3.0696720000000002</v>
      </c>
      <c r="T3802">
        <v>-6.9254880000000005E-2</v>
      </c>
      <c r="U3802">
        <v>-6.7016599999999996E-2</v>
      </c>
      <c r="V3802">
        <v>-5.854504E-2</v>
      </c>
      <c r="W3802">
        <v>0.1860897</v>
      </c>
      <c r="X3802">
        <v>0.98078699999999996</v>
      </c>
      <c r="Y3802">
        <v>2.460298E-2</v>
      </c>
      <c r="Z3802">
        <v>-4.4518249999999997E-4</v>
      </c>
      <c r="AA3802">
        <v>0.99969719999999995</v>
      </c>
      <c r="AB3802">
        <v>43</v>
      </c>
      <c r="AC3802">
        <v>48.744700000000002</v>
      </c>
      <c r="AD3802">
        <v>-1.1096263680730001</v>
      </c>
      <c r="AE3802">
        <v>-1.07489999999998</v>
      </c>
      <c r="AF3802">
        <v>1.21009994672079</v>
      </c>
      <c r="AG3802">
        <v>-1.1096263680730001</v>
      </c>
      <c r="AH3802">
        <v>48.716282870863402</v>
      </c>
      <c r="AI3802">
        <v>91.304416471325297</v>
      </c>
      <c r="AJ3802">
        <v>88.577080166694401</v>
      </c>
      <c r="AK3802">
        <v>48.743941462624399</v>
      </c>
      <c r="AL3802">
        <v>79.275329295803004</v>
      </c>
      <c r="AM3802">
        <v>93.416040559195295</v>
      </c>
      <c r="AN3802">
        <v>1.0000000187618401</v>
      </c>
    </row>
    <row r="3803" spans="1:40" x14ac:dyDescent="0.25">
      <c r="A3803" t="str">
        <f>"20190304155132451"</f>
        <v>20190304155132451</v>
      </c>
      <c r="B3803" t="str">
        <f>"1551685892440482"</f>
        <v>1551685892440482</v>
      </c>
      <c r="C3803" t="s">
        <v>40</v>
      </c>
      <c r="D3803">
        <v>5.1725440000000003</v>
      </c>
      <c r="E3803">
        <v>0.53002569999999904</v>
      </c>
      <c r="F3803" t="s">
        <v>70</v>
      </c>
      <c r="G3803">
        <v>-238.6293</v>
      </c>
      <c r="H3803" s="1">
        <v>3.1435189999999999E-6</v>
      </c>
      <c r="I3803">
        <v>212.59790000000001</v>
      </c>
      <c r="J3803">
        <v>-287.89170000000001</v>
      </c>
      <c r="K3803">
        <v>1.109634</v>
      </c>
      <c r="L3803">
        <v>213.7149</v>
      </c>
      <c r="M3803">
        <v>0.99993569999999998</v>
      </c>
      <c r="N3803">
        <v>-1.1019879999999999E-2</v>
      </c>
      <c r="O3803">
        <v>2.7351530000000002E-3</v>
      </c>
      <c r="P3803">
        <v>0.9825718</v>
      </c>
      <c r="Q3803">
        <v>0.1756905</v>
      </c>
      <c r="R3803">
        <v>6.07129E-2</v>
      </c>
      <c r="S3803">
        <v>3.0696110000000001</v>
      </c>
      <c r="T3803">
        <v>-6.8580749999999996E-2</v>
      </c>
      <c r="U3803">
        <v>-6.8969730000000007E-2</v>
      </c>
      <c r="V3803">
        <v>-5.7983659999999999E-2</v>
      </c>
      <c r="W3803">
        <v>0.18652260000000001</v>
      </c>
      <c r="X3803">
        <v>0.98073809999999995</v>
      </c>
      <c r="Y3803">
        <v>2.5187879999999999E-2</v>
      </c>
      <c r="Z3803">
        <v>-4.5108980000000001E-4</v>
      </c>
      <c r="AA3803">
        <v>0.99968259999999998</v>
      </c>
      <c r="AB3803">
        <v>43</v>
      </c>
      <c r="AC3803">
        <v>49.2624</v>
      </c>
      <c r="AD3803">
        <v>-1.109630856481</v>
      </c>
      <c r="AE3803">
        <v>-1.11699999999999</v>
      </c>
      <c r="AF3803">
        <v>1.2511097317092801</v>
      </c>
      <c r="AG3803">
        <v>-1.109630856481</v>
      </c>
      <c r="AH3803">
        <v>49.234193177552498</v>
      </c>
      <c r="AI3803">
        <v>91.290686259964303</v>
      </c>
      <c r="AJ3803">
        <v>88.544347350678905</v>
      </c>
      <c r="AK3803">
        <v>49.262585539565301</v>
      </c>
      <c r="AL3803">
        <v>79.250083779203493</v>
      </c>
      <c r="AM3803">
        <v>93.383529399980603</v>
      </c>
      <c r="AN3803">
        <v>1.0000000029646801</v>
      </c>
    </row>
    <row r="3804" spans="1:40" x14ac:dyDescent="0.25">
      <c r="A3804" t="str">
        <f>"20190304155132473"</f>
        <v>20190304155132473</v>
      </c>
      <c r="B3804" t="str">
        <f>"1551685892470739"</f>
        <v>1551685892470739</v>
      </c>
      <c r="C3804" t="s">
        <v>40</v>
      </c>
      <c r="D3804">
        <v>6.104177</v>
      </c>
      <c r="E3804">
        <v>0.53012819999999905</v>
      </c>
      <c r="F3804" t="s">
        <v>70</v>
      </c>
      <c r="G3804">
        <v>-237.1782</v>
      </c>
      <c r="H3804" s="1">
        <v>2.374106E-6</v>
      </c>
      <c r="I3804">
        <v>212.53460000000001</v>
      </c>
      <c r="J3804">
        <v>-287.47770000000003</v>
      </c>
      <c r="K3804">
        <v>1.10964</v>
      </c>
      <c r="L3804">
        <v>213.71600000000001</v>
      </c>
      <c r="M3804">
        <v>0.99993569999999998</v>
      </c>
      <c r="N3804">
        <v>-1.1023949999999999E-2</v>
      </c>
      <c r="O3804">
        <v>2.6887299999999999E-3</v>
      </c>
      <c r="P3804">
        <v>0.98252640000000002</v>
      </c>
      <c r="Q3804">
        <v>0.17613329999999999</v>
      </c>
      <c r="R3804">
        <v>6.016167E-2</v>
      </c>
      <c r="S3804">
        <v>3.0696110000000001</v>
      </c>
      <c r="T3804">
        <v>-6.7164299999999996E-2</v>
      </c>
      <c r="U3804">
        <v>-7.1441649999999995E-2</v>
      </c>
      <c r="V3804">
        <v>-5.7480660000000003E-2</v>
      </c>
      <c r="W3804">
        <v>0.18696760000000001</v>
      </c>
      <c r="X3804">
        <v>0.98068299999999997</v>
      </c>
      <c r="Y3804">
        <v>2.5946130000000001E-2</v>
      </c>
      <c r="Z3804">
        <v>-4.5602799999999998E-4</v>
      </c>
      <c r="AA3804">
        <v>0.99966319999999997</v>
      </c>
      <c r="AB3804">
        <v>43</v>
      </c>
      <c r="AC3804">
        <v>50.299500000000002</v>
      </c>
      <c r="AD3804">
        <v>-1.1096376258939999</v>
      </c>
      <c r="AE3804">
        <v>-1.18139999999996</v>
      </c>
      <c r="AF3804">
        <v>1.31600560346977</v>
      </c>
      <c r="AG3804">
        <v>-1.1096376258939999</v>
      </c>
      <c r="AH3804">
        <v>50.271689246435002</v>
      </c>
      <c r="AI3804">
        <v>91.264040836666496</v>
      </c>
      <c r="AJ3804">
        <v>88.500461166993603</v>
      </c>
      <c r="AK3804">
        <v>50.301152134909302</v>
      </c>
      <c r="AL3804">
        <v>79.224130873402999</v>
      </c>
      <c r="AM3804">
        <v>93.354433102477103</v>
      </c>
      <c r="AN3804">
        <v>1.0000000281063901</v>
      </c>
    </row>
    <row r="3805" spans="1:40" x14ac:dyDescent="0.25">
      <c r="A3805" t="str">
        <f>"20190304155132496"</f>
        <v>20190304155132496</v>
      </c>
      <c r="B3805" t="str">
        <f>"1551685892490258"</f>
        <v>1551685892490258</v>
      </c>
      <c r="C3805" t="s">
        <v>40</v>
      </c>
      <c r="D3805">
        <v>5.188682</v>
      </c>
      <c r="E3805">
        <v>0.53025059999999902</v>
      </c>
      <c r="F3805" t="s">
        <v>70</v>
      </c>
      <c r="G3805">
        <v>-235.59880000000001</v>
      </c>
      <c r="H3805" s="1">
        <v>1.5363790000000001E-6</v>
      </c>
      <c r="I3805">
        <v>212.47139999999999</v>
      </c>
      <c r="J3805">
        <v>-287.05309999999997</v>
      </c>
      <c r="K3805">
        <v>1.1096490000000001</v>
      </c>
      <c r="L3805">
        <v>213.71709999999999</v>
      </c>
      <c r="M3805">
        <v>0.99993580000000004</v>
      </c>
      <c r="N3805">
        <v>-1.1028120000000001E-2</v>
      </c>
      <c r="O3805">
        <v>2.6485749999999998E-3</v>
      </c>
      <c r="P3805">
        <v>0.98245380000000004</v>
      </c>
      <c r="Q3805">
        <v>0.176792899999999</v>
      </c>
      <c r="R3805">
        <v>5.9404350000000002E-2</v>
      </c>
      <c r="S3805">
        <v>3.0696110000000001</v>
      </c>
      <c r="T3805">
        <v>-6.5655950000000005E-2</v>
      </c>
      <c r="U3805">
        <v>-7.3638919999999997E-2</v>
      </c>
      <c r="V3805">
        <v>-5.6766299999999999E-2</v>
      </c>
      <c r="W3805">
        <v>0.18762899999999999</v>
      </c>
      <c r="X3805">
        <v>0.98059830000000003</v>
      </c>
      <c r="Y3805">
        <v>2.6621289999999999E-2</v>
      </c>
      <c r="Z3805">
        <v>-4.589029E-4</v>
      </c>
      <c r="AA3805">
        <v>0.99964549999999996</v>
      </c>
      <c r="AB3805">
        <v>43</v>
      </c>
      <c r="AC3805">
        <v>51.454299999999897</v>
      </c>
      <c r="AD3805">
        <v>-1.1096474636210001</v>
      </c>
      <c r="AE3805">
        <v>-1.24569999999999</v>
      </c>
      <c r="AF3805">
        <v>1.38134241751993</v>
      </c>
      <c r="AG3805">
        <v>-1.1096474636210001</v>
      </c>
      <c r="AH3805">
        <v>51.426916405986397</v>
      </c>
      <c r="AI3805">
        <v>91.235643605731099</v>
      </c>
      <c r="AJ3805">
        <v>88.461388109627507</v>
      </c>
      <c r="AK3805">
        <v>51.457430516848298</v>
      </c>
      <c r="AL3805">
        <v>79.1855528634254</v>
      </c>
      <c r="AM3805">
        <v>93.313123715792102</v>
      </c>
      <c r="AN3805">
        <v>1.00000004020978</v>
      </c>
    </row>
    <row r="3806" spans="1:40" x14ac:dyDescent="0.25">
      <c r="A3806" t="str">
        <f>"20190304155132519"</f>
        <v>20190304155132519</v>
      </c>
      <c r="B3806" t="str">
        <f>"1551685892510754"</f>
        <v>1551685892510754</v>
      </c>
      <c r="C3806" t="s">
        <v>40</v>
      </c>
      <c r="D3806">
        <v>5.1705579999999998</v>
      </c>
      <c r="E3806">
        <v>0.53019740000000004</v>
      </c>
      <c r="F3806" t="s">
        <v>70</v>
      </c>
      <c r="G3806">
        <v>-233.39340000000001</v>
      </c>
      <c r="H3806" s="1">
        <v>3.6676869999999999E-7</v>
      </c>
      <c r="I3806">
        <v>212.37989999999999</v>
      </c>
      <c r="J3806">
        <v>-286.59809999999999</v>
      </c>
      <c r="K3806">
        <v>1.1096629999999901</v>
      </c>
      <c r="L3806">
        <v>213.7183</v>
      </c>
      <c r="M3806">
        <v>0.99993580000000004</v>
      </c>
      <c r="N3806">
        <v>-1.10326E-2</v>
      </c>
      <c r="O3806">
        <v>2.6146279999999999E-3</v>
      </c>
      <c r="P3806">
        <v>0.9824058</v>
      </c>
      <c r="Q3806">
        <v>0.17725879999999999</v>
      </c>
      <c r="R3806">
        <v>5.8806629999999999E-2</v>
      </c>
      <c r="S3806">
        <v>3.0696110000000001</v>
      </c>
      <c r="T3806">
        <v>-6.3477640000000002E-2</v>
      </c>
      <c r="U3806">
        <v>-7.6492309999999994E-2</v>
      </c>
      <c r="V3806">
        <v>-5.6205199999999997E-2</v>
      </c>
      <c r="W3806">
        <v>0.18809780000000001</v>
      </c>
      <c r="X3806">
        <v>0.98054079999999999</v>
      </c>
      <c r="Y3806">
        <v>2.7516249999999999E-2</v>
      </c>
      <c r="Z3806">
        <v>-4.6149E-4</v>
      </c>
      <c r="AA3806">
        <v>0.99962130000000005</v>
      </c>
      <c r="AB3806">
        <v>43</v>
      </c>
      <c r="AC3806">
        <v>53.204699999999903</v>
      </c>
      <c r="AD3806">
        <v>-1.10966263323129</v>
      </c>
      <c r="AE3806">
        <v>-1.3384</v>
      </c>
      <c r="AF3806">
        <v>1.47687235647413</v>
      </c>
      <c r="AG3806">
        <v>-1.10966263323129</v>
      </c>
      <c r="AH3806">
        <v>53.177901117975097</v>
      </c>
      <c r="AI3806">
        <v>91.194956253241003</v>
      </c>
      <c r="AJ3806">
        <v>88.409173627595294</v>
      </c>
      <c r="AK3806">
        <v>53.209977169982302</v>
      </c>
      <c r="AL3806">
        <v>79.1582056191628</v>
      </c>
      <c r="AM3806">
        <v>93.280639348772098</v>
      </c>
      <c r="AN3806">
        <v>1.00000003366825</v>
      </c>
    </row>
    <row r="3807" spans="1:40" x14ac:dyDescent="0.25">
      <c r="A3807" t="str">
        <f>"20190304155132541"</f>
        <v>20190304155132541</v>
      </c>
      <c r="B3807" t="str">
        <f>"1551685892530274"</f>
        <v>1551685892530274</v>
      </c>
      <c r="C3807" t="s">
        <v>40</v>
      </c>
      <c r="D3807">
        <v>5.2078949999999997</v>
      </c>
      <c r="E3807">
        <v>0.53010360000000001</v>
      </c>
      <c r="F3807" t="s">
        <v>70</v>
      </c>
      <c r="G3807">
        <v>-232.4648</v>
      </c>
      <c r="H3807" s="1">
        <v>-1.2637229999999999E-7</v>
      </c>
      <c r="I3807">
        <v>212.3562</v>
      </c>
      <c r="J3807">
        <v>-286.19099999999997</v>
      </c>
      <c r="K3807">
        <v>1.1096729999999999</v>
      </c>
      <c r="L3807">
        <v>213.7193</v>
      </c>
      <c r="M3807">
        <v>0.99993580000000004</v>
      </c>
      <c r="N3807">
        <v>-1.103665E-2</v>
      </c>
      <c r="O3807">
        <v>2.590799E-3</v>
      </c>
      <c r="P3807">
        <v>0.9823636</v>
      </c>
      <c r="Q3807">
        <v>0.17771139999999999</v>
      </c>
      <c r="R3807">
        <v>5.8144189999999998E-2</v>
      </c>
      <c r="S3807">
        <v>3.0697019999999999</v>
      </c>
      <c r="T3807">
        <v>-6.2924859999999999E-2</v>
      </c>
      <c r="U3807">
        <v>-7.7239989999999994E-2</v>
      </c>
      <c r="V3807">
        <v>-5.5569979999999998E-2</v>
      </c>
      <c r="W3807">
        <v>0.188553</v>
      </c>
      <c r="X3807">
        <v>0.98048959999999996</v>
      </c>
      <c r="Y3807">
        <v>2.7735059999999999E-2</v>
      </c>
      <c r="Z3807">
        <v>-4.618019E-4</v>
      </c>
      <c r="AA3807">
        <v>0.99961520000000004</v>
      </c>
      <c r="AB3807">
        <v>43</v>
      </c>
      <c r="AC3807">
        <v>53.726199999999899</v>
      </c>
      <c r="AD3807">
        <v>-1.1096731263723001</v>
      </c>
      <c r="AE3807">
        <v>-1.3631</v>
      </c>
      <c r="AF3807">
        <v>1.5016574888946299</v>
      </c>
      <c r="AG3807">
        <v>-1.1096731263723001</v>
      </c>
      <c r="AH3807">
        <v>53.699594578870197</v>
      </c>
      <c r="AI3807">
        <v>91.183355398354905</v>
      </c>
      <c r="AJ3807">
        <v>88.398196103046899</v>
      </c>
      <c r="AK3807">
        <v>53.732046374546101</v>
      </c>
      <c r="AL3807">
        <v>79.131649648997694</v>
      </c>
      <c r="AM3807">
        <v>93.243810852547895</v>
      </c>
      <c r="AN3807">
        <v>1.00000005609717</v>
      </c>
    </row>
    <row r="3808" spans="1:40" x14ac:dyDescent="0.25">
      <c r="A3808" t="str">
        <f>"20190304155132563"</f>
        <v>20190304155132563</v>
      </c>
      <c r="B3808" t="str">
        <f>"1551685892560530"</f>
        <v>1551685892560530</v>
      </c>
      <c r="C3808" t="s">
        <v>40</v>
      </c>
      <c r="D3808">
        <v>5.1482049999999999</v>
      </c>
      <c r="E3808">
        <v>0.50056729999999905</v>
      </c>
      <c r="F3808" t="s">
        <v>70</v>
      </c>
      <c r="G3808">
        <v>-231.22970000000001</v>
      </c>
      <c r="H3808" s="1">
        <v>-7.8189779999999899E-7</v>
      </c>
      <c r="I3808">
        <v>212.31700000000001</v>
      </c>
      <c r="J3808">
        <v>-285.7636</v>
      </c>
      <c r="K3808">
        <v>1.109674</v>
      </c>
      <c r="L3808">
        <v>213.72040000000001</v>
      </c>
      <c r="M3808">
        <v>0.99993580000000004</v>
      </c>
      <c r="N3808">
        <v>-1.104086E-2</v>
      </c>
      <c r="O3808">
        <v>2.5706549999999998E-3</v>
      </c>
      <c r="P3808">
        <v>0.98236650000000003</v>
      </c>
      <c r="Q3808">
        <v>0.17791019999999999</v>
      </c>
      <c r="R3808">
        <v>5.7485759999999997E-2</v>
      </c>
      <c r="S3808">
        <v>3.0696720000000002</v>
      </c>
      <c r="T3808">
        <v>-6.1976910000000003E-2</v>
      </c>
      <c r="U3808">
        <v>-7.8323359999999995E-2</v>
      </c>
      <c r="V3808">
        <v>-5.4934289999999997E-2</v>
      </c>
      <c r="W3808">
        <v>0.1887549</v>
      </c>
      <c r="X3808">
        <v>0.98048650000000004</v>
      </c>
      <c r="Y3808">
        <v>2.806786E-2</v>
      </c>
      <c r="Z3808">
        <v>-4.6178369999999997E-4</v>
      </c>
      <c r="AA3808">
        <v>0.99960590000000005</v>
      </c>
      <c r="AB3808">
        <v>43</v>
      </c>
      <c r="AC3808">
        <v>54.533899999999903</v>
      </c>
      <c r="AD3808">
        <v>-1.1096747818977999</v>
      </c>
      <c r="AE3808">
        <v>-1.4034</v>
      </c>
      <c r="AF3808">
        <v>1.54295329733359</v>
      </c>
      <c r="AG3808">
        <v>-1.1096747818977999</v>
      </c>
      <c r="AH3808">
        <v>54.507557708722302</v>
      </c>
      <c r="AI3808">
        <v>91.165809947416903</v>
      </c>
      <c r="AJ3808">
        <v>88.378553098869105</v>
      </c>
      <c r="AK3808">
        <v>54.540681425602202</v>
      </c>
      <c r="AL3808">
        <v>79.119869304497698</v>
      </c>
      <c r="AM3808">
        <v>93.206791449750497</v>
      </c>
      <c r="AN3808">
        <v>0.99999998258703104</v>
      </c>
    </row>
    <row r="3809" spans="1:40" x14ac:dyDescent="0.25">
      <c r="A3809" t="str">
        <f>"20190304155132585"</f>
        <v>20190304155132585</v>
      </c>
      <c r="B3809" t="str">
        <f>"1551685892580050"</f>
        <v>1551685892580050</v>
      </c>
      <c r="C3809" t="s">
        <v>40</v>
      </c>
      <c r="D3809">
        <v>5.1497809999999999</v>
      </c>
      <c r="E3809">
        <v>0.50111049999999902</v>
      </c>
      <c r="F3809" t="s">
        <v>70</v>
      </c>
      <c r="G3809">
        <v>-267.09710000000001</v>
      </c>
      <c r="H3809" s="1">
        <v>2.2385409999999999E-6</v>
      </c>
      <c r="I3809">
        <v>214.64840000000001</v>
      </c>
      <c r="J3809">
        <v>-285.33749999999998</v>
      </c>
      <c r="K3809">
        <v>1.1096809999999999</v>
      </c>
      <c r="L3809">
        <v>213.72149999999999</v>
      </c>
      <c r="M3809">
        <v>0.99993589999999999</v>
      </c>
      <c r="N3809">
        <v>-1.1045060000000001E-2</v>
      </c>
      <c r="O3809">
        <v>2.553895E-3</v>
      </c>
      <c r="P3809">
        <v>0.98243760000000002</v>
      </c>
      <c r="Q3809">
        <v>0.17756920000000001</v>
      </c>
      <c r="R3809">
        <v>5.7322480000000002E-2</v>
      </c>
      <c r="S3809">
        <v>3.0780029999999998</v>
      </c>
      <c r="T3809">
        <v>-0.18297869999999999</v>
      </c>
      <c r="U3809">
        <v>0.15301509999999999</v>
      </c>
      <c r="V3809">
        <v>-5.4789690000000002E-2</v>
      </c>
      <c r="W3809">
        <v>0.18841810000000001</v>
      </c>
      <c r="X3809">
        <v>0.98055939999999997</v>
      </c>
      <c r="Y3809">
        <v>-4.7004860000000002E-2</v>
      </c>
      <c r="Z3809">
        <v>1.5316679999999999E-3</v>
      </c>
      <c r="AA3809">
        <v>0.99889349999999999</v>
      </c>
      <c r="AB3809">
        <v>43</v>
      </c>
      <c r="AC3809">
        <v>18.240399999999902</v>
      </c>
      <c r="AD3809">
        <v>-1.109678761459</v>
      </c>
      <c r="AE3809">
        <v>0.92690000000001704</v>
      </c>
      <c r="AF3809">
        <v>-0.87707234163975001</v>
      </c>
      <c r="AG3809">
        <v>-1.109678761459</v>
      </c>
      <c r="AH3809">
        <v>18.175612128451402</v>
      </c>
      <c r="AI3809">
        <v>93.489701750113596</v>
      </c>
      <c r="AJ3809">
        <v>92.762690561647204</v>
      </c>
      <c r="AK3809">
        <v>18.230565517559</v>
      </c>
      <c r="AL3809">
        <v>79.139519450485295</v>
      </c>
      <c r="AM3809">
        <v>93.1981306762288</v>
      </c>
      <c r="AN3809">
        <v>1.00000001373313</v>
      </c>
    </row>
    <row r="3810" spans="1:40" x14ac:dyDescent="0.25">
      <c r="A3810" t="str">
        <f>"20190304155132608"</f>
        <v>20190304155132608</v>
      </c>
      <c r="B3810" t="str">
        <f>"1551685892600546"</f>
        <v>1551685892600546</v>
      </c>
      <c r="C3810" t="s">
        <v>40</v>
      </c>
      <c r="D3810">
        <v>5.163481</v>
      </c>
      <c r="E3810">
        <v>0.50036429999999998</v>
      </c>
      <c r="F3810" t="s">
        <v>70</v>
      </c>
      <c r="G3810">
        <v>-266.30500000000001</v>
      </c>
      <c r="H3810" s="1">
        <v>1.8175449999999999E-6</v>
      </c>
      <c r="I3810">
        <v>214.6361</v>
      </c>
      <c r="J3810">
        <v>-284.90219999999999</v>
      </c>
      <c r="K3810">
        <v>1.109686</v>
      </c>
      <c r="L3810">
        <v>213.7226</v>
      </c>
      <c r="M3810">
        <v>0.99993580000000004</v>
      </c>
      <c r="N3810">
        <v>-1.1049349999999999E-2</v>
      </c>
      <c r="O3810">
        <v>2.5396210000000002E-3</v>
      </c>
      <c r="P3810">
        <v>0.98243400000000003</v>
      </c>
      <c r="Q3810">
        <v>0.17741579999999901</v>
      </c>
      <c r="R3810">
        <v>5.7858809999999997E-2</v>
      </c>
      <c r="S3810">
        <v>3.0773929999999998</v>
      </c>
      <c r="T3810">
        <v>-0.17942559999999999</v>
      </c>
      <c r="U3810">
        <v>0.1478882</v>
      </c>
      <c r="V3810">
        <v>-5.5341630000000003E-2</v>
      </c>
      <c r="W3810">
        <v>0.1882683</v>
      </c>
      <c r="X3810">
        <v>0.98055709999999996</v>
      </c>
      <c r="Y3810">
        <v>-4.5375260000000001E-2</v>
      </c>
      <c r="Z3810">
        <v>1.4521639999999999E-3</v>
      </c>
      <c r="AA3810">
        <v>0.998969</v>
      </c>
      <c r="AB3810">
        <v>43</v>
      </c>
      <c r="AC3810">
        <v>18.597199999999901</v>
      </c>
      <c r="AD3810">
        <v>-1.1096841824549999</v>
      </c>
      <c r="AE3810">
        <v>0.91349999999999898</v>
      </c>
      <c r="AF3810">
        <v>-0.86319836568830899</v>
      </c>
      <c r="AG3810">
        <v>-1.1096841824549999</v>
      </c>
      <c r="AH3810">
        <v>18.5336310566422</v>
      </c>
      <c r="AI3810">
        <v>93.422740268056998</v>
      </c>
      <c r="AJ3810">
        <v>92.666606902317696</v>
      </c>
      <c r="AK3810">
        <v>18.586876836818199</v>
      </c>
      <c r="AL3810">
        <v>79.148257926797598</v>
      </c>
      <c r="AM3810">
        <v>93.230287655796303</v>
      </c>
      <c r="AN3810">
        <v>0.99999993757817596</v>
      </c>
    </row>
    <row r="3811" spans="1:40" x14ac:dyDescent="0.25">
      <c r="A3811" t="str">
        <f>"20190304155132630"</f>
        <v>20190304155132630</v>
      </c>
      <c r="B3811" t="str">
        <f>"1551685892620066"</f>
        <v>1551685892620066</v>
      </c>
      <c r="C3811" t="s">
        <v>40</v>
      </c>
      <c r="D3811">
        <v>5.1551999999999998</v>
      </c>
      <c r="E3811">
        <v>0.50036890000000001</v>
      </c>
      <c r="F3811" t="s">
        <v>70</v>
      </c>
      <c r="G3811">
        <v>-264.73169999999999</v>
      </c>
      <c r="H3811" s="1">
        <v>9.7574959999999996E-7</v>
      </c>
      <c r="I3811">
        <v>214.74019999999999</v>
      </c>
      <c r="J3811">
        <v>-284.47730000000001</v>
      </c>
      <c r="K3811">
        <v>1.109688</v>
      </c>
      <c r="L3811">
        <v>213.72370000000001</v>
      </c>
      <c r="M3811">
        <v>0.99993580000000004</v>
      </c>
      <c r="N3811">
        <v>-1.1053550000000001E-2</v>
      </c>
      <c r="O3811">
        <v>2.5268270000000002E-3</v>
      </c>
      <c r="P3811">
        <v>0.98246219999999995</v>
      </c>
      <c r="Q3811">
        <v>0.17691670000000001</v>
      </c>
      <c r="R3811">
        <v>5.8894399999999902E-2</v>
      </c>
      <c r="S3811">
        <v>3.0751040000000001</v>
      </c>
      <c r="T3811">
        <v>-0.1691771</v>
      </c>
      <c r="U3811">
        <v>0.1551361</v>
      </c>
      <c r="V3811">
        <v>-5.6391099999999902E-2</v>
      </c>
      <c r="W3811">
        <v>0.18777369999999999</v>
      </c>
      <c r="X3811">
        <v>0.98059220000000002</v>
      </c>
      <c r="Y3811">
        <v>-4.7776890000000002E-2</v>
      </c>
      <c r="Z3811">
        <v>1.465945E-3</v>
      </c>
      <c r="AA3811">
        <v>0.99885699999999999</v>
      </c>
      <c r="AB3811">
        <v>43</v>
      </c>
      <c r="AC3811">
        <v>19.7456</v>
      </c>
      <c r="AD3811">
        <v>-1.1096870242504</v>
      </c>
      <c r="AE3811">
        <v>1.01649999999997</v>
      </c>
      <c r="AF3811">
        <v>-0.96356476369961097</v>
      </c>
      <c r="AG3811">
        <v>-1.1096870242504</v>
      </c>
      <c r="AH3811">
        <v>19.6860943835838</v>
      </c>
      <c r="AI3811">
        <v>93.222446454098701</v>
      </c>
      <c r="AJ3811">
        <v>92.802189605220093</v>
      </c>
      <c r="AK3811">
        <v>19.7408757258892</v>
      </c>
      <c r="AL3811">
        <v>79.177111597285304</v>
      </c>
      <c r="AM3811">
        <v>93.291294170985793</v>
      </c>
      <c r="AN3811">
        <v>0.99999999063586997</v>
      </c>
    </row>
    <row r="3812" spans="1:40" x14ac:dyDescent="0.25">
      <c r="A3812" t="str">
        <f>"20190304155132663"</f>
        <v>20190304155132663</v>
      </c>
      <c r="B3812" t="str">
        <f>"1551685892660082"</f>
        <v>1551685892660082</v>
      </c>
      <c r="C3812" t="s">
        <v>40</v>
      </c>
      <c r="D3812">
        <v>5.1835839999999997</v>
      </c>
      <c r="E3812">
        <v>0.50045969999999995</v>
      </c>
      <c r="F3812" t="s">
        <v>70</v>
      </c>
      <c r="G3812">
        <v>-264.34710000000001</v>
      </c>
      <c r="H3812" s="1">
        <v>7.7045729999999998E-7</v>
      </c>
      <c r="I3812">
        <v>214.75559999999999</v>
      </c>
      <c r="J3812">
        <v>-283.8415</v>
      </c>
      <c r="K3812">
        <v>1.109693</v>
      </c>
      <c r="L3812">
        <v>213.7253</v>
      </c>
      <c r="M3812">
        <v>0.99993569999999998</v>
      </c>
      <c r="N3812">
        <v>-1.1059859999999999E-2</v>
      </c>
      <c r="O3812">
        <v>2.5094980000000002E-3</v>
      </c>
      <c r="P3812">
        <v>0.98255769999999998</v>
      </c>
      <c r="Q3812">
        <v>0.1758624</v>
      </c>
      <c r="R3812">
        <v>6.0440349999999997E-2</v>
      </c>
      <c r="S3812">
        <v>3.0746150000000001</v>
      </c>
      <c r="T3812">
        <v>-0.16949029999999901</v>
      </c>
      <c r="U3812">
        <v>0.157608</v>
      </c>
      <c r="V3812">
        <v>-5.7956130000000002E-2</v>
      </c>
      <c r="W3812">
        <v>0.1867259</v>
      </c>
      <c r="X3812">
        <v>0.98070100000000004</v>
      </c>
      <c r="Y3812">
        <v>-4.8601329999999998E-2</v>
      </c>
      <c r="Z3812">
        <v>1.49647E-3</v>
      </c>
      <c r="AA3812">
        <v>0.99881710000000001</v>
      </c>
      <c r="AB3812">
        <v>43</v>
      </c>
      <c r="AC3812">
        <v>19.494399999999899</v>
      </c>
      <c r="AD3812">
        <v>-1.1096922295426901</v>
      </c>
      <c r="AE3812">
        <v>1.03029999999998</v>
      </c>
      <c r="AF3812">
        <v>-0.978211734504982</v>
      </c>
      <c r="AG3812">
        <v>-1.1096922295426901</v>
      </c>
      <c r="AH3812">
        <v>19.434127288904701</v>
      </c>
      <c r="AI3812">
        <v>93.2639276867707</v>
      </c>
      <c r="AJ3812">
        <v>92.881536238283502</v>
      </c>
      <c r="AK3812">
        <v>19.4903468035636</v>
      </c>
      <c r="AL3812">
        <v>79.238226809639897</v>
      </c>
      <c r="AM3812">
        <v>93.382054308866799</v>
      </c>
      <c r="AN3812">
        <v>0.99999996306819205</v>
      </c>
    </row>
    <row r="3813" spans="1:40" x14ac:dyDescent="0.25">
      <c r="A3813" t="str">
        <f>"20190304155132685"</f>
        <v>20190304155132685</v>
      </c>
      <c r="B3813" t="str">
        <f>"1551685892680579"</f>
        <v>1551685892680579</v>
      </c>
      <c r="C3813" t="s">
        <v>40</v>
      </c>
      <c r="D3813">
        <v>5.1636199999999999</v>
      </c>
      <c r="E3813">
        <v>0.50044319999999998</v>
      </c>
      <c r="F3813" t="s">
        <v>70</v>
      </c>
      <c r="G3813">
        <v>-263.86829999999998</v>
      </c>
      <c r="H3813" s="1">
        <v>5.1488249999999998E-7</v>
      </c>
      <c r="I3813">
        <v>214.7723</v>
      </c>
      <c r="J3813">
        <v>-283.42500000000001</v>
      </c>
      <c r="K3813">
        <v>1.109688</v>
      </c>
      <c r="L3813">
        <v>213.72630000000001</v>
      </c>
      <c r="M3813">
        <v>0.99993569999999998</v>
      </c>
      <c r="N3813">
        <v>-1.1064020000000001E-2</v>
      </c>
      <c r="O3813">
        <v>2.4982390000000002E-3</v>
      </c>
      <c r="P3813">
        <v>0.98251999999999995</v>
      </c>
      <c r="Q3813">
        <v>0.17552490000000001</v>
      </c>
      <c r="R3813">
        <v>6.2009509999999997E-2</v>
      </c>
      <c r="S3813">
        <v>3.073944</v>
      </c>
      <c r="T3813">
        <v>-0.1707851</v>
      </c>
      <c r="U3813">
        <v>0.16113279999999999</v>
      </c>
      <c r="V3813">
        <v>-5.9536760000000001E-2</v>
      </c>
      <c r="W3813">
        <v>0.18639240000000001</v>
      </c>
      <c r="X3813">
        <v>0.98066980000000004</v>
      </c>
      <c r="Y3813">
        <v>-4.9762550000000003E-2</v>
      </c>
      <c r="Z3813">
        <v>1.5451149999999999E-3</v>
      </c>
      <c r="AA3813">
        <v>0.99875990000000003</v>
      </c>
      <c r="AB3813">
        <v>43</v>
      </c>
      <c r="AC3813">
        <v>19.556699999999999</v>
      </c>
      <c r="AD3813">
        <v>-1.1096874851175</v>
      </c>
      <c r="AE3813">
        <v>1.04599999999999</v>
      </c>
      <c r="AF3813">
        <v>-0.99394539633516199</v>
      </c>
      <c r="AG3813">
        <v>-1.1096874851175</v>
      </c>
      <c r="AH3813">
        <v>19.4966586996335</v>
      </c>
      <c r="AI3813">
        <v>93.253362079538405</v>
      </c>
      <c r="AJ3813">
        <v>92.9184291225545</v>
      </c>
      <c r="AK3813">
        <v>19.553491611871198</v>
      </c>
      <c r="AL3813">
        <v>79.257676866918601</v>
      </c>
      <c r="AM3813">
        <v>93.474179972034804</v>
      </c>
      <c r="AN3813">
        <v>1.0000000046005399</v>
      </c>
    </row>
    <row r="3814" spans="1:40" x14ac:dyDescent="0.25">
      <c r="A3814" t="str">
        <f>"20190304155132708"</f>
        <v>20190304155132708</v>
      </c>
      <c r="B3814" t="str">
        <f>"1551685892700098"</f>
        <v>1551685892700098</v>
      </c>
      <c r="C3814" t="s">
        <v>40</v>
      </c>
      <c r="D3814">
        <v>5.126932</v>
      </c>
      <c r="E3814">
        <v>0.50026709999999996</v>
      </c>
      <c r="F3814" t="s">
        <v>70</v>
      </c>
      <c r="G3814">
        <v>-263.89330000000001</v>
      </c>
      <c r="H3814" s="1">
        <v>5.2800270000000002E-7</v>
      </c>
      <c r="I3814">
        <v>214.77760000000001</v>
      </c>
      <c r="J3814">
        <v>-282.98950000000002</v>
      </c>
      <c r="K3814">
        <v>1.1096900000000001</v>
      </c>
      <c r="L3814">
        <v>213.72739999999999</v>
      </c>
      <c r="M3814">
        <v>0.99993569999999998</v>
      </c>
      <c r="N3814">
        <v>-1.107142E-2</v>
      </c>
      <c r="O3814">
        <v>2.4860669999999998E-3</v>
      </c>
      <c r="P3814">
        <v>0.98262669999999996</v>
      </c>
      <c r="Q3814">
        <v>0.1744588</v>
      </c>
      <c r="R3814">
        <v>6.3315389999999999E-2</v>
      </c>
      <c r="S3814">
        <v>3.0741580000000002</v>
      </c>
      <c r="T3814">
        <v>-0.17465720000000001</v>
      </c>
      <c r="U3814">
        <v>0.16546629999999901</v>
      </c>
      <c r="V3814">
        <v>-6.0855619999999999E-2</v>
      </c>
      <c r="W3814">
        <v>0.18533440000000001</v>
      </c>
      <c r="X3814">
        <v>0.98078940000000003</v>
      </c>
      <c r="Y3814">
        <v>-5.116855E-2</v>
      </c>
      <c r="Z3814">
        <v>1.6215439999999999E-3</v>
      </c>
      <c r="AA3814">
        <v>0.99868869999999998</v>
      </c>
      <c r="AB3814">
        <v>43</v>
      </c>
      <c r="AC3814">
        <v>19.0962</v>
      </c>
      <c r="AD3814">
        <v>-1.1096894719973001</v>
      </c>
      <c r="AE3814">
        <v>1.05020000000001</v>
      </c>
      <c r="AF3814">
        <v>-0.99935494087715504</v>
      </c>
      <c r="AG3814">
        <v>-1.1096894719973001</v>
      </c>
      <c r="AH3814">
        <v>19.034669009781599</v>
      </c>
      <c r="AI3814">
        <v>93.331893402041004</v>
      </c>
      <c r="AJ3814">
        <v>93.005373875984404</v>
      </c>
      <c r="AK3814">
        <v>19.093159647739299</v>
      </c>
      <c r="AL3814">
        <v>79.319371239770206</v>
      </c>
      <c r="AM3814">
        <v>93.550513409867193</v>
      </c>
      <c r="AN3814">
        <v>1.00000004673065</v>
      </c>
    </row>
    <row r="3815" spans="1:40" x14ac:dyDescent="0.25">
      <c r="A3815" t="str">
        <f>"20190304155132730"</f>
        <v>20190304155132730</v>
      </c>
      <c r="B3815" t="str">
        <f>"1551685892720598"</f>
        <v>1551685892720598</v>
      </c>
      <c r="C3815" t="s">
        <v>40</v>
      </c>
      <c r="D3815">
        <v>5.1222599999999998</v>
      </c>
      <c r="E3815">
        <v>0.50010069999999995</v>
      </c>
      <c r="F3815" t="s">
        <v>70</v>
      </c>
      <c r="G3815">
        <v>-264.06740000000002</v>
      </c>
      <c r="H3815" s="1">
        <v>6.2066819999999904E-7</v>
      </c>
      <c r="I3815">
        <v>214.7774</v>
      </c>
      <c r="J3815">
        <v>-282.55970000000002</v>
      </c>
      <c r="K3815">
        <v>1.109677</v>
      </c>
      <c r="L3815">
        <v>213.7285</v>
      </c>
      <c r="M3815">
        <v>0.99993560000000004</v>
      </c>
      <c r="N3815">
        <v>-1.1086250000000001E-2</v>
      </c>
      <c r="O3815">
        <v>2.4742639999999999E-3</v>
      </c>
      <c r="P3815">
        <v>0.982684</v>
      </c>
      <c r="Q3815">
        <v>0.17341860000000001</v>
      </c>
      <c r="R3815">
        <v>6.5255060000000004E-2</v>
      </c>
      <c r="S3815">
        <v>3.0740660000000002</v>
      </c>
      <c r="T3815">
        <v>-0.18027940000000001</v>
      </c>
      <c r="U3815">
        <v>0.17057800000000001</v>
      </c>
      <c r="V3815">
        <v>-6.2807279999999993E-2</v>
      </c>
      <c r="W3815">
        <v>0.1843091</v>
      </c>
      <c r="X3815">
        <v>0.9808595</v>
      </c>
      <c r="Y3815">
        <v>-5.2828479999999997E-2</v>
      </c>
      <c r="Z3815">
        <v>1.722447E-3</v>
      </c>
      <c r="AA3815">
        <v>0.99860210000000005</v>
      </c>
      <c r="AB3815">
        <v>43</v>
      </c>
      <c r="AC3815">
        <v>18.4923</v>
      </c>
      <c r="AD3815">
        <v>-1.1096763793318001</v>
      </c>
      <c r="AE3815">
        <v>1.0488999999999999</v>
      </c>
      <c r="AF3815">
        <v>-0.99955141003862302</v>
      </c>
      <c r="AG3815">
        <v>-1.1096763793318001</v>
      </c>
      <c r="AH3815">
        <v>18.428691775345701</v>
      </c>
      <c r="AI3815">
        <v>93.440836681199201</v>
      </c>
      <c r="AJ3815">
        <v>93.104616254529603</v>
      </c>
      <c r="AK3815">
        <v>18.489109368459399</v>
      </c>
      <c r="AL3815">
        <v>79.379145675240494</v>
      </c>
      <c r="AM3815">
        <v>93.663813013341297</v>
      </c>
      <c r="AN3815">
        <v>0.99999997875202895</v>
      </c>
    </row>
    <row r="3816" spans="1:40" x14ac:dyDescent="0.25">
      <c r="A3816" t="str">
        <f>"20190304155132752"</f>
        <v>20190304155132752</v>
      </c>
      <c r="B3816" t="str">
        <f>"1551685892740114"</f>
        <v>1551685892740114</v>
      </c>
      <c r="C3816" t="s">
        <v>40</v>
      </c>
      <c r="D3816">
        <v>5.1696109999999997</v>
      </c>
      <c r="E3816">
        <v>0.49995849999999997</v>
      </c>
      <c r="F3816" t="s">
        <v>70</v>
      </c>
      <c r="G3816">
        <v>-264.2457</v>
      </c>
      <c r="H3816" s="1">
        <v>7.1532569999999895E-7</v>
      </c>
      <c r="I3816">
        <v>214.78190000000001</v>
      </c>
      <c r="J3816">
        <v>-282.14159999999998</v>
      </c>
      <c r="K3816">
        <v>1.1096729999999999</v>
      </c>
      <c r="L3816">
        <v>213.7295</v>
      </c>
      <c r="M3816">
        <v>0.99993540000000003</v>
      </c>
      <c r="N3816">
        <v>-1.1105179999999999E-2</v>
      </c>
      <c r="O3816">
        <v>2.4628499999999999E-3</v>
      </c>
      <c r="P3816">
        <v>0.98275210000000002</v>
      </c>
      <c r="Q3816">
        <v>0.1724926</v>
      </c>
      <c r="R3816">
        <v>6.6671439999999998E-2</v>
      </c>
      <c r="S3816">
        <v>3.0739749999999999</v>
      </c>
      <c r="T3816">
        <v>-0.18625749999999999</v>
      </c>
      <c r="U3816">
        <v>0.1768188</v>
      </c>
      <c r="V3816">
        <v>-6.4235920000000002E-2</v>
      </c>
      <c r="W3816">
        <v>0.1834026</v>
      </c>
      <c r="X3816">
        <v>0.9809369</v>
      </c>
      <c r="Y3816">
        <v>-5.4851490000000003E-2</v>
      </c>
      <c r="Z3816">
        <v>1.8423840000000001E-3</v>
      </c>
      <c r="AA3816">
        <v>0.99849279999999996</v>
      </c>
      <c r="AB3816">
        <v>43</v>
      </c>
      <c r="AC3816">
        <v>17.895899999999902</v>
      </c>
      <c r="AD3816">
        <v>-1.1096722846742999</v>
      </c>
      <c r="AE3816">
        <v>1.0524</v>
      </c>
      <c r="AF3816">
        <v>-1.00447042204863</v>
      </c>
      <c r="AG3816">
        <v>-1.1096722846742999</v>
      </c>
      <c r="AH3816">
        <v>17.830119435695501</v>
      </c>
      <c r="AI3816">
        <v>93.555633914490699</v>
      </c>
      <c r="AJ3816">
        <v>93.224383748479895</v>
      </c>
      <c r="AK3816">
        <v>17.8928335514337</v>
      </c>
      <c r="AL3816">
        <v>79.431985104642294</v>
      </c>
      <c r="AM3816">
        <v>93.746622018021398</v>
      </c>
      <c r="AN3816">
        <v>0.99999998444330795</v>
      </c>
    </row>
    <row r="3817" spans="1:40" x14ac:dyDescent="0.25">
      <c r="A3817" t="str">
        <f>"20190304155132774"</f>
        <v>20190304155132774</v>
      </c>
      <c r="B3817" t="str">
        <f>"1551685892770370"</f>
        <v>1551685892770370</v>
      </c>
      <c r="C3817" t="s">
        <v>40</v>
      </c>
      <c r="D3817">
        <v>5.152774</v>
      </c>
      <c r="E3817">
        <v>0.49987359999999997</v>
      </c>
      <c r="F3817" t="s">
        <v>70</v>
      </c>
      <c r="G3817">
        <v>-263.91160000000002</v>
      </c>
      <c r="H3817" s="1">
        <v>5.3639030000000003E-7</v>
      </c>
      <c r="I3817">
        <v>214.80789999999999</v>
      </c>
      <c r="J3817">
        <v>-281.7158</v>
      </c>
      <c r="K3817">
        <v>1.109685</v>
      </c>
      <c r="L3817">
        <v>213.73050000000001</v>
      </c>
      <c r="M3817">
        <v>0.99993520000000002</v>
      </c>
      <c r="N3817">
        <v>-1.112571E-2</v>
      </c>
      <c r="O3817">
        <v>2.451188E-3</v>
      </c>
      <c r="P3817">
        <v>0.98268679999999997</v>
      </c>
      <c r="Q3817">
        <v>0.17228850000000001</v>
      </c>
      <c r="R3817">
        <v>6.8143980000000007E-2</v>
      </c>
      <c r="S3817">
        <v>3.0731809999999999</v>
      </c>
      <c r="T3817">
        <v>-0.18706619999999999</v>
      </c>
      <c r="U3817">
        <v>0.18179319999999999</v>
      </c>
      <c r="V3817">
        <v>-6.5720440000000005E-2</v>
      </c>
      <c r="W3817">
        <v>0.18321789999999999</v>
      </c>
      <c r="X3817">
        <v>0.98087310000000005</v>
      </c>
      <c r="Y3817">
        <v>-5.6483980000000003E-2</v>
      </c>
      <c r="Z3817">
        <v>1.909153E-3</v>
      </c>
      <c r="AA3817">
        <v>0.99840169999999995</v>
      </c>
      <c r="AB3817">
        <v>43</v>
      </c>
      <c r="AC3817">
        <v>17.804199999999899</v>
      </c>
      <c r="AD3817">
        <v>-1.1096844636096901</v>
      </c>
      <c r="AE3817">
        <v>1.0773999999999799</v>
      </c>
      <c r="AF3817">
        <v>-1.02976691566195</v>
      </c>
      <c r="AG3817">
        <v>-1.1096844636096901</v>
      </c>
      <c r="AH3817">
        <v>17.738132208050601</v>
      </c>
      <c r="AI3817">
        <v>93.573715166217099</v>
      </c>
      <c r="AJ3817">
        <v>93.322511532364899</v>
      </c>
      <c r="AK3817">
        <v>17.802616485776799</v>
      </c>
      <c r="AL3817">
        <v>79.442750283797906</v>
      </c>
      <c r="AM3817">
        <v>93.833201447663697</v>
      </c>
      <c r="AN3817">
        <v>1.0000000067089001</v>
      </c>
    </row>
    <row r="3818" spans="1:40" x14ac:dyDescent="0.25">
      <c r="A3818" t="str">
        <f>"20190304155132797"</f>
        <v>20190304155132797</v>
      </c>
      <c r="B3818" t="str">
        <f>"1551685892789890"</f>
        <v>1551685892789890</v>
      </c>
      <c r="C3818" t="s">
        <v>40</v>
      </c>
      <c r="D3818">
        <v>5.1469950000000004</v>
      </c>
      <c r="E3818">
        <v>0.49983149999999998</v>
      </c>
      <c r="F3818" t="s">
        <v>70</v>
      </c>
      <c r="G3818">
        <v>-263.41539999999998</v>
      </c>
      <c r="H3818" s="1">
        <v>2.7069299999999997E-7</v>
      </c>
      <c r="I3818">
        <v>214.846</v>
      </c>
      <c r="J3818">
        <v>-281.27589999999998</v>
      </c>
      <c r="K3818">
        <v>1.1096889999999999</v>
      </c>
      <c r="L3818">
        <v>213.73159999999999</v>
      </c>
      <c r="M3818">
        <v>0.99993489999999996</v>
      </c>
      <c r="N3818">
        <v>-1.1147839999999999E-2</v>
      </c>
      <c r="O3818">
        <v>2.439273E-3</v>
      </c>
      <c r="P3818">
        <v>0.98264629999999997</v>
      </c>
      <c r="Q3818">
        <v>0.17247870000000001</v>
      </c>
      <c r="R3818">
        <v>6.8243659999999998E-2</v>
      </c>
      <c r="S3818">
        <v>3.07254</v>
      </c>
      <c r="T3818">
        <v>-0.1863109</v>
      </c>
      <c r="U3818">
        <v>0.18728639999999999</v>
      </c>
      <c r="V3818">
        <v>-6.5831920000000002E-2</v>
      </c>
      <c r="W3818">
        <v>0.18342929999999999</v>
      </c>
      <c r="X3818">
        <v>0.98082610000000003</v>
      </c>
      <c r="Y3818">
        <v>-5.8283500000000002E-2</v>
      </c>
      <c r="Z3818">
        <v>1.9688700000000002E-3</v>
      </c>
      <c r="AA3818">
        <v>0.99829809999999997</v>
      </c>
      <c r="AB3818">
        <v>43</v>
      </c>
      <c r="AC3818">
        <v>17.860499999999998</v>
      </c>
      <c r="AD3818">
        <v>-1.1096887293069999</v>
      </c>
      <c r="AE3818">
        <v>1.1143999999999801</v>
      </c>
      <c r="AF3818">
        <v>-1.0667254868212801</v>
      </c>
      <c r="AG3818">
        <v>-1.1096887293069999</v>
      </c>
      <c r="AH3818">
        <v>17.794739645158799</v>
      </c>
      <c r="AI3818">
        <v>93.561994388612007</v>
      </c>
      <c r="AJ3818">
        <v>93.430553972493101</v>
      </c>
      <c r="AK3818">
        <v>17.861188968799699</v>
      </c>
      <c r="AL3818">
        <v>79.430429010432306</v>
      </c>
      <c r="AM3818">
        <v>93.839867623841897</v>
      </c>
      <c r="AN3818">
        <v>0.99999999411529295</v>
      </c>
    </row>
    <row r="3819" spans="1:40" x14ac:dyDescent="0.25">
      <c r="A3819" t="str">
        <f>"20190304155132820"</f>
        <v>20190304155132820</v>
      </c>
      <c r="B3819" t="str">
        <f>"1551685892810386"</f>
        <v>1551685892810386</v>
      </c>
      <c r="C3819" t="s">
        <v>40</v>
      </c>
      <c r="D3819">
        <v>5.2880909999999997</v>
      </c>
      <c r="E3819">
        <v>0.4998996</v>
      </c>
      <c r="F3819" t="s">
        <v>70</v>
      </c>
      <c r="G3819">
        <v>-262.79629999999997</v>
      </c>
      <c r="H3819" s="1">
        <v>-5.9534729999999997E-8</v>
      </c>
      <c r="I3819">
        <v>214.86369999999999</v>
      </c>
      <c r="J3819">
        <v>-280.83730000000003</v>
      </c>
      <c r="K3819">
        <v>1.109694</v>
      </c>
      <c r="L3819">
        <v>213.73269999999999</v>
      </c>
      <c r="M3819">
        <v>0.99993469999999995</v>
      </c>
      <c r="N3819">
        <v>-1.1172380000000001E-2</v>
      </c>
      <c r="O3819">
        <v>2.4275189999999999E-3</v>
      </c>
      <c r="P3819">
        <v>0.98269779999999995</v>
      </c>
      <c r="Q3819">
        <v>0.1721435</v>
      </c>
      <c r="R3819">
        <v>6.8352319999999994E-2</v>
      </c>
      <c r="S3819">
        <v>3.0722659999999999</v>
      </c>
      <c r="T3819">
        <v>-0.18448829999999999</v>
      </c>
      <c r="U3819">
        <v>0.1882172</v>
      </c>
      <c r="V3819">
        <v>-6.5953199999999906E-2</v>
      </c>
      <c r="W3819">
        <v>0.18311849999999999</v>
      </c>
      <c r="X3819">
        <v>0.98087599999999997</v>
      </c>
      <c r="Y3819">
        <v>-5.8603410000000002E-2</v>
      </c>
      <c r="Z3819">
        <v>1.9659410000000001E-3</v>
      </c>
      <c r="AA3819">
        <v>0.99827940000000004</v>
      </c>
      <c r="AB3819">
        <v>43</v>
      </c>
      <c r="AC3819">
        <v>18.041</v>
      </c>
      <c r="AD3819">
        <v>-1.10969405953473</v>
      </c>
      <c r="AE3819">
        <v>1.131</v>
      </c>
      <c r="AF3819">
        <v>-1.0831172136254601</v>
      </c>
      <c r="AG3819">
        <v>-1.10969405953473</v>
      </c>
      <c r="AH3819">
        <v>17.975948095081101</v>
      </c>
      <c r="AI3819">
        <v>93.526130495887401</v>
      </c>
      <c r="AJ3819">
        <v>93.448113399811206</v>
      </c>
      <c r="AK3819">
        <v>18.0427069399597</v>
      </c>
      <c r="AL3819">
        <v>79.448543088458806</v>
      </c>
      <c r="AM3819">
        <v>93.846725349196404</v>
      </c>
      <c r="AN3819">
        <v>0.999999968504244</v>
      </c>
    </row>
    <row r="3820" spans="1:40" x14ac:dyDescent="0.25">
      <c r="A3820" t="str">
        <f>"20190304155132842"</f>
        <v>20190304155132842</v>
      </c>
      <c r="B3820" t="str">
        <f>"1551685892840642"</f>
        <v>1551685892840642</v>
      </c>
      <c r="C3820" t="s">
        <v>40</v>
      </c>
      <c r="D3820">
        <v>5.1762249999999996</v>
      </c>
      <c r="E3820">
        <v>0.50004209999999905</v>
      </c>
      <c r="F3820" t="s">
        <v>70</v>
      </c>
      <c r="G3820">
        <v>-262.3741</v>
      </c>
      <c r="H3820" s="1">
        <v>-2.8406649999999998E-7</v>
      </c>
      <c r="I3820">
        <v>214.85990000000001</v>
      </c>
      <c r="J3820">
        <v>-280.4008</v>
      </c>
      <c r="K3820">
        <v>1.1096919999999999</v>
      </c>
      <c r="L3820">
        <v>213.7337</v>
      </c>
      <c r="M3820">
        <v>0.9999344</v>
      </c>
      <c r="N3820">
        <v>-1.1198039999999999E-2</v>
      </c>
      <c r="O3820">
        <v>2.4162329999999998E-3</v>
      </c>
      <c r="P3820">
        <v>0.98272910000000002</v>
      </c>
      <c r="Q3820">
        <v>0.17216300000000001</v>
      </c>
      <c r="R3820">
        <v>6.7847019999999994E-2</v>
      </c>
      <c r="S3820">
        <v>3.0721129999999999</v>
      </c>
      <c r="T3820">
        <v>-0.18464269999999999</v>
      </c>
      <c r="U3820">
        <v>0.18756100000000001</v>
      </c>
      <c r="V3820">
        <v>-6.5458260000000004E-2</v>
      </c>
      <c r="W3820">
        <v>0.18316350000000001</v>
      </c>
      <c r="X3820">
        <v>0.98090080000000002</v>
      </c>
      <c r="Y3820">
        <v>-5.8405449999999998E-2</v>
      </c>
      <c r="Z3820">
        <v>1.961693E-3</v>
      </c>
      <c r="AA3820">
        <v>0.99829100000000004</v>
      </c>
      <c r="AB3820">
        <v>43</v>
      </c>
      <c r="AC3820">
        <v>18.026700000000002</v>
      </c>
      <c r="AD3820">
        <v>-1.1096922840665</v>
      </c>
      <c r="AE3820">
        <v>1.1262000000000101</v>
      </c>
      <c r="AF3820">
        <v>-1.0785660254479901</v>
      </c>
      <c r="AG3820">
        <v>-1.1096922840665</v>
      </c>
      <c r="AH3820">
        <v>17.9615694056927</v>
      </c>
      <c r="AI3820">
        <v>93.528983770599197</v>
      </c>
      <c r="AJ3820">
        <v>93.436401536111902</v>
      </c>
      <c r="AK3820">
        <v>18.0281085295181</v>
      </c>
      <c r="AL3820">
        <v>79.4459209217585</v>
      </c>
      <c r="AM3820">
        <v>93.817847392322605</v>
      </c>
      <c r="AN3820">
        <v>1.0000000154875499</v>
      </c>
    </row>
    <row r="3821" spans="1:40" x14ac:dyDescent="0.25">
      <c r="A3821" t="str">
        <f>"20190304155132863"</f>
        <v>20190304155132863</v>
      </c>
      <c r="B3821" t="str">
        <f>"1551685892860162"</f>
        <v>1551685892860162</v>
      </c>
      <c r="C3821" t="s">
        <v>40</v>
      </c>
      <c r="D3821">
        <v>5.1484639999999997</v>
      </c>
      <c r="E3821">
        <v>0.50065209999999905</v>
      </c>
      <c r="F3821" t="s">
        <v>70</v>
      </c>
      <c r="G3821">
        <v>-261.66860000000003</v>
      </c>
      <c r="H3821" s="1">
        <v>-6.596453E-7</v>
      </c>
      <c r="I3821">
        <v>214.86349999999999</v>
      </c>
      <c r="J3821">
        <v>-280.00049999999999</v>
      </c>
      <c r="K3821">
        <v>1.109701</v>
      </c>
      <c r="L3821">
        <v>213.7346</v>
      </c>
      <c r="M3821">
        <v>0.9999342</v>
      </c>
      <c r="N3821">
        <v>-1.1221170000000001E-2</v>
      </c>
      <c r="O3821">
        <v>2.4056770000000002E-3</v>
      </c>
      <c r="P3821">
        <v>0.98264689999999999</v>
      </c>
      <c r="Q3821">
        <v>0.17290339999999901</v>
      </c>
      <c r="R3821">
        <v>6.7153840000000006E-2</v>
      </c>
      <c r="S3821">
        <v>3.0718079999999999</v>
      </c>
      <c r="T3821">
        <v>-0.18197379999999999</v>
      </c>
      <c r="U3821">
        <v>0.1852722</v>
      </c>
      <c r="V3821">
        <v>-6.4775799999999994E-2</v>
      </c>
      <c r="W3821">
        <v>0.18392520000000001</v>
      </c>
      <c r="X3821">
        <v>0.98080350000000005</v>
      </c>
      <c r="Y3821">
        <v>-5.7685519999999997E-2</v>
      </c>
      <c r="Z3821">
        <v>1.914589E-3</v>
      </c>
      <c r="AA3821">
        <v>0.99833300000000003</v>
      </c>
      <c r="AB3821">
        <v>43</v>
      </c>
      <c r="AC3821">
        <v>18.331899999999901</v>
      </c>
      <c r="AD3821">
        <v>-1.1097016596453</v>
      </c>
      <c r="AE3821">
        <v>1.12889999999998</v>
      </c>
      <c r="AF3821">
        <v>-1.0808476818825601</v>
      </c>
      <c r="AG3821">
        <v>-1.1097016596453</v>
      </c>
      <c r="AH3821">
        <v>18.267875802899599</v>
      </c>
      <c r="AI3821">
        <v>93.470167967681107</v>
      </c>
      <c r="AJ3821">
        <v>93.386047676164793</v>
      </c>
      <c r="AK3821">
        <v>18.333438189139901</v>
      </c>
      <c r="AL3821">
        <v>79.401523733511596</v>
      </c>
      <c r="AM3821">
        <v>93.7785325863277</v>
      </c>
      <c r="AN3821">
        <v>0.99999994453646301</v>
      </c>
    </row>
    <row r="3822" spans="1:40" x14ac:dyDescent="0.25">
      <c r="A3822" t="str">
        <f>"20190304155132886"</f>
        <v>20190304155132886</v>
      </c>
      <c r="B3822" t="str">
        <f>"1551685892880661"</f>
        <v>1551685892880661</v>
      </c>
      <c r="C3822" t="s">
        <v>40</v>
      </c>
      <c r="D3822">
        <v>5.1614940000000002</v>
      </c>
      <c r="E3822">
        <v>0.50068880000000004</v>
      </c>
      <c r="F3822" t="s">
        <v>70</v>
      </c>
      <c r="G3822">
        <v>-260.73039999999997</v>
      </c>
      <c r="H3822" s="1">
        <v>-1.158693E-6</v>
      </c>
      <c r="I3822">
        <v>214.85820000000001</v>
      </c>
      <c r="J3822">
        <v>-279.55900000000003</v>
      </c>
      <c r="K3822">
        <v>1.1097079999999999</v>
      </c>
      <c r="L3822">
        <v>213.73570000000001</v>
      </c>
      <c r="M3822">
        <v>0.99993410000000005</v>
      </c>
      <c r="N3822">
        <v>-1.12453E-2</v>
      </c>
      <c r="O3822">
        <v>2.393924E-3</v>
      </c>
      <c r="P3822">
        <v>0.98266240000000005</v>
      </c>
      <c r="Q3822">
        <v>0.17313410000000001</v>
      </c>
      <c r="R3822">
        <v>6.6328419999999999E-2</v>
      </c>
      <c r="S3822">
        <v>3.071869</v>
      </c>
      <c r="T3822">
        <v>-0.17689869999999999</v>
      </c>
      <c r="U3822">
        <v>0.17910770000000001</v>
      </c>
      <c r="V3822">
        <v>-6.3962190000000002E-2</v>
      </c>
      <c r="W3822">
        <v>0.1841797</v>
      </c>
      <c r="X3822">
        <v>0.98080919999999905</v>
      </c>
      <c r="Y3822">
        <v>-5.5709269999999998E-2</v>
      </c>
      <c r="Z3822">
        <v>1.8044459999999999E-3</v>
      </c>
      <c r="AA3822">
        <v>0.99844540000000004</v>
      </c>
      <c r="AB3822">
        <v>43</v>
      </c>
      <c r="AC3822">
        <v>18.828600000000002</v>
      </c>
      <c r="AD3822">
        <v>-1.1097091586929999</v>
      </c>
      <c r="AE3822">
        <v>1.1225000000000001</v>
      </c>
      <c r="AF3822">
        <v>-1.07370327611168</v>
      </c>
      <c r="AG3822">
        <v>-1.1097091586929999</v>
      </c>
      <c r="AH3822">
        <v>18.766277341432801</v>
      </c>
      <c r="AI3822">
        <v>93.378626705535794</v>
      </c>
      <c r="AJ3822">
        <v>93.274579687761602</v>
      </c>
      <c r="AK3822">
        <v>18.8296961844209</v>
      </c>
      <c r="AL3822">
        <v>79.386689169764495</v>
      </c>
      <c r="AM3822">
        <v>93.7311859958143</v>
      </c>
      <c r="AN3822">
        <v>1.0000000052231599</v>
      </c>
    </row>
    <row r="3823" spans="1:40" x14ac:dyDescent="0.25">
      <c r="A3823" t="str">
        <f>"20190304155132908"</f>
        <v>20190304155132908</v>
      </c>
      <c r="B3823" t="str">
        <f>"1551685892900178"</f>
        <v>1551685892900178</v>
      </c>
      <c r="C3823" t="s">
        <v>40</v>
      </c>
      <c r="D3823">
        <v>5.1534409999999999</v>
      </c>
      <c r="E3823">
        <v>0.50088339999999998</v>
      </c>
      <c r="F3823" t="s">
        <v>70</v>
      </c>
      <c r="G3823">
        <v>-260.05130000000003</v>
      </c>
      <c r="H3823" s="1">
        <v>-1.5200029999999999E-6</v>
      </c>
      <c r="I3823">
        <v>214.8569</v>
      </c>
      <c r="J3823">
        <v>-279.12349999999998</v>
      </c>
      <c r="K3823">
        <v>1.1097049999999999</v>
      </c>
      <c r="L3823">
        <v>213.73670000000001</v>
      </c>
      <c r="M3823">
        <v>0.99993379999999998</v>
      </c>
      <c r="N3823">
        <v>-1.1267340000000001E-2</v>
      </c>
      <c r="O3823">
        <v>2.382894E-3</v>
      </c>
      <c r="P3823">
        <v>0.98266710000000002</v>
      </c>
      <c r="Q3823">
        <v>0.1733748</v>
      </c>
      <c r="R3823">
        <v>6.5625589999999998E-2</v>
      </c>
      <c r="S3823">
        <v>3.071777</v>
      </c>
      <c r="T3823">
        <v>-0.1747408</v>
      </c>
      <c r="U3823">
        <v>0.17655940000000001</v>
      </c>
      <c r="V3823">
        <v>-6.3270099999999996E-2</v>
      </c>
      <c r="W3823">
        <v>0.1844422</v>
      </c>
      <c r="X3823">
        <v>0.98080469999999997</v>
      </c>
      <c r="Y3823">
        <v>-5.4900360000000002E-2</v>
      </c>
      <c r="Z3823">
        <v>1.7603180000000001E-3</v>
      </c>
      <c r="AA3823">
        <v>0.99849030000000005</v>
      </c>
      <c r="AB3823">
        <v>43</v>
      </c>
      <c r="AC3823">
        <v>19.072199999999899</v>
      </c>
      <c r="AD3823">
        <v>-1.1097065200030001</v>
      </c>
      <c r="AE3823">
        <v>1.1201999999999801</v>
      </c>
      <c r="AF3823">
        <v>-1.0711331219486699</v>
      </c>
      <c r="AG3823">
        <v>-1.1097065200030001</v>
      </c>
      <c r="AH3823">
        <v>19.010677150933699</v>
      </c>
      <c r="AI3823">
        <v>93.335446119040199</v>
      </c>
      <c r="AJ3823">
        <v>93.224850250825099</v>
      </c>
      <c r="AK3823">
        <v>19.073138715547199</v>
      </c>
      <c r="AL3823">
        <v>79.3713862221407</v>
      </c>
      <c r="AM3823">
        <v>93.690942542829006</v>
      </c>
      <c r="AN3823">
        <v>0.99999994511846801</v>
      </c>
    </row>
    <row r="3824" spans="1:40" x14ac:dyDescent="0.25">
      <c r="A3824" t="str">
        <f>"20190304155132931"</f>
        <v>20190304155132931</v>
      </c>
      <c r="B3824" t="str">
        <f>"1551685892920674"</f>
        <v>1551685892920674</v>
      </c>
      <c r="C3824" t="s">
        <v>40</v>
      </c>
      <c r="D3824">
        <v>5.2231569999999996</v>
      </c>
      <c r="E3824">
        <v>0.50087890000000002</v>
      </c>
      <c r="F3824" t="s">
        <v>70</v>
      </c>
      <c r="G3824">
        <v>-259.2944</v>
      </c>
      <c r="H3824" s="1">
        <v>3.3986969999999999E-6</v>
      </c>
      <c r="I3824">
        <v>214.85769999999999</v>
      </c>
      <c r="J3824">
        <v>-278.70330000000001</v>
      </c>
      <c r="K3824">
        <v>1.109707</v>
      </c>
      <c r="L3824">
        <v>213.73769999999999</v>
      </c>
      <c r="M3824">
        <v>0.99993350000000003</v>
      </c>
      <c r="N3824">
        <v>-1.129026E-2</v>
      </c>
      <c r="O3824">
        <v>2.371799E-3</v>
      </c>
      <c r="P3824">
        <v>0.98273440000000001</v>
      </c>
      <c r="Q3824">
        <v>0.17335610000000001</v>
      </c>
      <c r="R3824">
        <v>6.4659809999999998E-2</v>
      </c>
      <c r="S3824">
        <v>3.071625</v>
      </c>
      <c r="T3824">
        <v>-0.17189869999999999</v>
      </c>
      <c r="U3824">
        <v>0.17364499999999999</v>
      </c>
      <c r="V3824">
        <v>-6.2315009999999997E-2</v>
      </c>
      <c r="W3824">
        <v>0.18444679999999999</v>
      </c>
      <c r="X3824">
        <v>0.98086499999999999</v>
      </c>
      <c r="Y3824">
        <v>-5.3974649999999999E-2</v>
      </c>
      <c r="Z3824">
        <v>1.707374E-3</v>
      </c>
      <c r="AA3824">
        <v>0.99854080000000001</v>
      </c>
      <c r="AB3824">
        <v>43</v>
      </c>
      <c r="AC3824">
        <v>19.408899999999999</v>
      </c>
      <c r="AD3824">
        <v>-1.1097036013029999</v>
      </c>
      <c r="AE3824">
        <v>1.1200000000000001</v>
      </c>
      <c r="AF3824">
        <v>-1.07047217051031</v>
      </c>
      <c r="AG3824">
        <v>-1.1097036013029999</v>
      </c>
      <c r="AH3824">
        <v>19.3484621842194</v>
      </c>
      <c r="AI3824">
        <v>93.277520697556398</v>
      </c>
      <c r="AJ3824">
        <v>93.166715353967206</v>
      </c>
      <c r="AK3824">
        <v>19.4098001443794</v>
      </c>
      <c r="AL3824">
        <v>79.371118278357599</v>
      </c>
      <c r="AM3824">
        <v>93.635153806183993</v>
      </c>
      <c r="AN3824">
        <v>0.99999996536326896</v>
      </c>
    </row>
    <row r="3825" spans="1:40" x14ac:dyDescent="0.25">
      <c r="A3825" t="str">
        <f>"20190304155132952"</f>
        <v>20190304155132952</v>
      </c>
      <c r="B3825" t="str">
        <f>"1551685892949954"</f>
        <v>1551685892949954</v>
      </c>
      <c r="C3825" t="s">
        <v>40</v>
      </c>
      <c r="D3825">
        <v>5.2008409999999996</v>
      </c>
      <c r="E3825">
        <v>0.50099899999999997</v>
      </c>
      <c r="F3825" t="s">
        <v>70</v>
      </c>
      <c r="G3825">
        <v>-258.72620000000001</v>
      </c>
      <c r="H3825" s="1">
        <v>3.096672E-6</v>
      </c>
      <c r="I3825">
        <v>214.84989999999999</v>
      </c>
      <c r="J3825">
        <v>-278.28320000000002</v>
      </c>
      <c r="K3825">
        <v>1.1097109999999999</v>
      </c>
      <c r="L3825">
        <v>213.73869999999999</v>
      </c>
      <c r="M3825">
        <v>0.99993319999999997</v>
      </c>
      <c r="N3825">
        <v>-1.131443E-2</v>
      </c>
      <c r="O3825">
        <v>2.3605779999999999E-3</v>
      </c>
      <c r="P3825">
        <v>0.98273750000000004</v>
      </c>
      <c r="Q3825">
        <v>0.17390139999999901</v>
      </c>
      <c r="R3825">
        <v>6.3131209999999993E-2</v>
      </c>
      <c r="S3825">
        <v>3.0715330000000001</v>
      </c>
      <c r="T3825">
        <v>-0.17062040000000001</v>
      </c>
      <c r="U3825">
        <v>0.1710052</v>
      </c>
      <c r="V3825">
        <v>-6.0798079999999997E-2</v>
      </c>
      <c r="W3825">
        <v>0.18501529999999999</v>
      </c>
      <c r="X3825">
        <v>0.98085310000000003</v>
      </c>
      <c r="Y3825">
        <v>-5.3134849999999997E-2</v>
      </c>
      <c r="Z3825">
        <v>1.6703829999999999E-3</v>
      </c>
      <c r="AA3825">
        <v>0.99858590000000003</v>
      </c>
      <c r="AB3825">
        <v>43</v>
      </c>
      <c r="AC3825">
        <v>19.556999999999999</v>
      </c>
      <c r="AD3825">
        <v>-1.109707903328</v>
      </c>
      <c r="AE3825">
        <v>1.11119999999999</v>
      </c>
      <c r="AF3825">
        <v>-1.0616210420452701</v>
      </c>
      <c r="AG3825">
        <v>-1.109707903328</v>
      </c>
      <c r="AH3825">
        <v>19.496996634837</v>
      </c>
      <c r="AI3825">
        <v>93.252773375656105</v>
      </c>
      <c r="AJ3825">
        <v>93.116705570464305</v>
      </c>
      <c r="AK3825">
        <v>19.5573865494976</v>
      </c>
      <c r="AL3825">
        <v>79.337974885118598</v>
      </c>
      <c r="AM3825">
        <v>93.546935138851296</v>
      </c>
      <c r="AN3825">
        <v>0.99999993577269097</v>
      </c>
    </row>
    <row r="3826" spans="1:40" x14ac:dyDescent="0.25">
      <c r="A3826" t="str">
        <f>"20190304155132976"</f>
        <v>20190304155132976</v>
      </c>
      <c r="B3826" t="str">
        <f>"1551685892970450"</f>
        <v>1551685892970450</v>
      </c>
      <c r="C3826" t="s">
        <v>40</v>
      </c>
      <c r="D3826">
        <v>5.1755079999999998</v>
      </c>
      <c r="E3826">
        <v>0.50096019999999997</v>
      </c>
      <c r="F3826" t="s">
        <v>70</v>
      </c>
      <c r="G3826">
        <v>-257.88380000000001</v>
      </c>
      <c r="H3826" s="1">
        <v>2.6486840000000001E-6</v>
      </c>
      <c r="I3826">
        <v>214.8424</v>
      </c>
      <c r="J3826">
        <v>-277.83390000000003</v>
      </c>
      <c r="K3826">
        <v>1.1097189999999999</v>
      </c>
      <c r="L3826">
        <v>213.7397</v>
      </c>
      <c r="M3826">
        <v>0.99993310000000002</v>
      </c>
      <c r="N3826">
        <v>-1.1339749999999999E-2</v>
      </c>
      <c r="O3826">
        <v>2.3488129999999999E-3</v>
      </c>
      <c r="P3826">
        <v>0.98262700000000003</v>
      </c>
      <c r="Q3826">
        <v>0.17488229999999999</v>
      </c>
      <c r="R3826">
        <v>6.2131890000000002E-2</v>
      </c>
      <c r="S3826">
        <v>3.071564</v>
      </c>
      <c r="T3826">
        <v>-0.16708990000000001</v>
      </c>
      <c r="U3826">
        <v>0.16618350000000001</v>
      </c>
      <c r="V3826">
        <v>-5.9809929999999997E-2</v>
      </c>
      <c r="W3826">
        <v>0.1860194</v>
      </c>
      <c r="X3826">
        <v>0.98072400000000004</v>
      </c>
      <c r="Y3826">
        <v>-5.1589379999999997E-2</v>
      </c>
      <c r="Z3826">
        <v>1.5931529999999999E-3</v>
      </c>
      <c r="AA3826">
        <v>0.99866710000000003</v>
      </c>
      <c r="AB3826">
        <v>43</v>
      </c>
      <c r="AC3826">
        <v>19.950099999999999</v>
      </c>
      <c r="AD3826">
        <v>-1.109716351316</v>
      </c>
      <c r="AE3826">
        <v>1.10269999999999</v>
      </c>
      <c r="AF3826">
        <v>-1.0525880087844499</v>
      </c>
      <c r="AG3826">
        <v>-1.109716351316</v>
      </c>
      <c r="AH3826">
        <v>19.891277092733102</v>
      </c>
      <c r="AI3826">
        <v>93.188717409609794</v>
      </c>
      <c r="AJ3826">
        <v>93.029099236814801</v>
      </c>
      <c r="AK3826">
        <v>19.949995395400599</v>
      </c>
      <c r="AL3826">
        <v>79.279428613930307</v>
      </c>
      <c r="AM3826">
        <v>93.489888689715301</v>
      </c>
      <c r="AN3826">
        <v>1.0000000045394799</v>
      </c>
    </row>
    <row r="3827" spans="1:40" x14ac:dyDescent="0.25">
      <c r="A3827" t="str">
        <f>"20190304155132998"</f>
        <v>20190304155132998</v>
      </c>
      <c r="B3827" t="str">
        <f>"1551685892990946"</f>
        <v>1551685892990946</v>
      </c>
      <c r="C3827" t="s">
        <v>40</v>
      </c>
      <c r="D3827">
        <v>5.1946009999999996</v>
      </c>
      <c r="E3827">
        <v>0.50090190000000001</v>
      </c>
      <c r="F3827" t="s">
        <v>70</v>
      </c>
      <c r="G3827">
        <v>-256.95949999999999</v>
      </c>
      <c r="H3827" s="1">
        <v>2.1562429999999999E-6</v>
      </c>
      <c r="I3827">
        <v>214.8561</v>
      </c>
      <c r="J3827">
        <v>-277.40539999999999</v>
      </c>
      <c r="K3827">
        <v>1.109729</v>
      </c>
      <c r="L3827">
        <v>213.7407</v>
      </c>
      <c r="M3827">
        <v>0.99993270000000001</v>
      </c>
      <c r="N3827">
        <v>-1.136244E-2</v>
      </c>
      <c r="O3827">
        <v>2.337717E-3</v>
      </c>
      <c r="P3827">
        <v>0.98244790000000004</v>
      </c>
      <c r="Q3827">
        <v>0.1759868</v>
      </c>
      <c r="R3827">
        <v>6.1843240000000001E-2</v>
      </c>
      <c r="S3827">
        <v>3.0717159999999999</v>
      </c>
      <c r="T3827">
        <v>-0.16329769999999999</v>
      </c>
      <c r="U3827">
        <v>0.16427610000000001</v>
      </c>
      <c r="V3827">
        <v>-5.9532769999999999E-2</v>
      </c>
      <c r="W3827">
        <v>0.18714420000000001</v>
      </c>
      <c r="X3827">
        <v>0.98052689999999998</v>
      </c>
      <c r="Y3827">
        <v>-5.0984099999999997E-2</v>
      </c>
      <c r="Z3827">
        <v>1.5458259999999999E-3</v>
      </c>
      <c r="AA3827">
        <v>0.99869830000000004</v>
      </c>
      <c r="AB3827">
        <v>43</v>
      </c>
      <c r="AC3827">
        <v>20.445899999999899</v>
      </c>
      <c r="AD3827">
        <v>-1.109726843757</v>
      </c>
      <c r="AE3827">
        <v>1.11539999999999</v>
      </c>
      <c r="AF3827">
        <v>-1.06447060603303</v>
      </c>
      <c r="AG3827">
        <v>-1.109726843757</v>
      </c>
      <c r="AH3827">
        <v>20.388567088997501</v>
      </c>
      <c r="AI3827">
        <v>93.111241842433699</v>
      </c>
      <c r="AJ3827">
        <v>92.988652813074495</v>
      </c>
      <c r="AK3827">
        <v>20.446473027918898</v>
      </c>
      <c r="AL3827">
        <v>79.213830892633894</v>
      </c>
      <c r="AM3827">
        <v>93.474452757600304</v>
      </c>
      <c r="AN3827">
        <v>1.0000000519605601</v>
      </c>
    </row>
    <row r="3828" spans="1:40" x14ac:dyDescent="0.25">
      <c r="A3828" t="str">
        <f>"20190304155133022"</f>
        <v>20190304155133022</v>
      </c>
      <c r="B3828" t="str">
        <f>"1551685893010466"</f>
        <v>1551685893010466</v>
      </c>
      <c r="C3828" t="s">
        <v>40</v>
      </c>
      <c r="D3828">
        <v>5.2290289999999997</v>
      </c>
      <c r="E3828">
        <v>0.48243589999999997</v>
      </c>
      <c r="F3828" t="s">
        <v>70</v>
      </c>
      <c r="G3828">
        <v>-256.13049999999998</v>
      </c>
      <c r="H3828" s="1">
        <v>1.714222E-6</v>
      </c>
      <c r="I3828">
        <v>214.87530000000001</v>
      </c>
      <c r="J3828">
        <v>-276.94880000000001</v>
      </c>
      <c r="K3828">
        <v>1.1097360000000001</v>
      </c>
      <c r="L3828">
        <v>213.74170000000001</v>
      </c>
      <c r="M3828">
        <v>0.9999325</v>
      </c>
      <c r="N3828">
        <v>-1.138457E-2</v>
      </c>
      <c r="O3828">
        <v>2.325789E-3</v>
      </c>
      <c r="P3828">
        <v>0.98232980000000003</v>
      </c>
      <c r="Q3828">
        <v>0.1766363</v>
      </c>
      <c r="R3828">
        <v>6.1869840000000002E-2</v>
      </c>
      <c r="S3828">
        <v>3.0719910000000001</v>
      </c>
      <c r="T3828">
        <v>-0.16023870000000001</v>
      </c>
      <c r="U3828">
        <v>0.1638336</v>
      </c>
      <c r="V3828">
        <v>-5.9571760000000001E-2</v>
      </c>
      <c r="W3828">
        <v>0.1878145</v>
      </c>
      <c r="X3828">
        <v>0.9803963</v>
      </c>
      <c r="Y3828">
        <v>-5.0850840000000001E-2</v>
      </c>
      <c r="Z3828">
        <v>1.5195930000000001E-3</v>
      </c>
      <c r="AA3828">
        <v>0.99870510000000001</v>
      </c>
      <c r="AB3828">
        <v>43</v>
      </c>
      <c r="AC3828">
        <v>20.818300000000001</v>
      </c>
      <c r="AD3828">
        <v>-1.1097342857779999</v>
      </c>
      <c r="AE3828">
        <v>1.1335999999999999</v>
      </c>
      <c r="AF3828">
        <v>-1.0821091011575299</v>
      </c>
      <c r="AG3828">
        <v>-1.1097342857779999</v>
      </c>
      <c r="AH3828">
        <v>20.7620594099782</v>
      </c>
      <c r="AI3828">
        <v>93.055414855491904</v>
      </c>
      <c r="AJ3828">
        <v>92.983530410298002</v>
      </c>
      <c r="AK3828">
        <v>20.819836244200001</v>
      </c>
      <c r="AL3828">
        <v>79.174731611473106</v>
      </c>
      <c r="AM3828">
        <v>93.477184715855898</v>
      </c>
      <c r="AN3828">
        <v>0.99999999302671805</v>
      </c>
    </row>
    <row r="3829" spans="1:40" x14ac:dyDescent="0.25">
      <c r="A3829" t="str">
        <f>"20190304155133042"</f>
        <v>20190304155133042</v>
      </c>
      <c r="B3829" t="str">
        <f>"1551685893030964"</f>
        <v>1551685893030964</v>
      </c>
      <c r="C3829" t="s">
        <v>40</v>
      </c>
      <c r="D3829">
        <v>5.2655079999999996</v>
      </c>
      <c r="E3829">
        <v>0.48117100000000002</v>
      </c>
      <c r="F3829" t="s">
        <v>70</v>
      </c>
      <c r="G3829">
        <v>-257.88659999999999</v>
      </c>
      <c r="H3829" s="1">
        <v>2.6138069999999998E-6</v>
      </c>
      <c r="I3829">
        <v>215.67500000000001</v>
      </c>
      <c r="J3829">
        <v>-276.54520000000002</v>
      </c>
      <c r="K3829">
        <v>1.109737</v>
      </c>
      <c r="L3829">
        <v>213.74270000000001</v>
      </c>
      <c r="M3829">
        <v>0.9999323</v>
      </c>
      <c r="N3829">
        <v>-1.140237E-2</v>
      </c>
      <c r="O3829">
        <v>2.3152580000000002E-3</v>
      </c>
      <c r="P3829">
        <v>0.98217750000000004</v>
      </c>
      <c r="Q3829">
        <v>0.17731459999999999</v>
      </c>
      <c r="R3829">
        <v>6.2347189999999997E-2</v>
      </c>
      <c r="S3829">
        <v>3.0664669999999998</v>
      </c>
      <c r="T3829">
        <v>-0.17851919999999999</v>
      </c>
      <c r="U3829">
        <v>0.31100460000000002</v>
      </c>
      <c r="V3829">
        <v>-6.0059639999999997E-2</v>
      </c>
      <c r="W3829">
        <v>0.18850810000000001</v>
      </c>
      <c r="X3829">
        <v>0.98023340000000003</v>
      </c>
      <c r="Y3829">
        <v>-9.8404649999999996E-2</v>
      </c>
      <c r="Z3829">
        <v>3.309696E-3</v>
      </c>
      <c r="AA3829">
        <v>0.99514100000000005</v>
      </c>
      <c r="AB3829">
        <v>43</v>
      </c>
      <c r="AC3829">
        <v>18.6586</v>
      </c>
      <c r="AD3829">
        <v>-1.109734386193</v>
      </c>
      <c r="AE3829">
        <v>1.9322999999999899</v>
      </c>
      <c r="AF3829">
        <v>-1.88250409281704</v>
      </c>
      <c r="AG3829">
        <v>-1.109734386193</v>
      </c>
      <c r="AH3829">
        <v>18.597934426522201</v>
      </c>
      <c r="AI3829">
        <v>93.397457453503506</v>
      </c>
      <c r="AJ3829">
        <v>95.779858067123499</v>
      </c>
      <c r="AK3829">
        <v>18.725877736453199</v>
      </c>
      <c r="AL3829">
        <v>79.134268492350799</v>
      </c>
      <c r="AM3829">
        <v>93.506172510226094</v>
      </c>
      <c r="AN3829">
        <v>0.99999999129904904</v>
      </c>
    </row>
    <row r="3830" spans="1:40" x14ac:dyDescent="0.25">
      <c r="A3830" t="str">
        <f>"20190304155133066"</f>
        <v>20190304155133066</v>
      </c>
      <c r="B3830" t="str">
        <f>"1551685893060242"</f>
        <v>1551685893060242</v>
      </c>
      <c r="C3830" t="s">
        <v>40</v>
      </c>
      <c r="D3830">
        <v>5.1925480000000004</v>
      </c>
      <c r="E3830">
        <v>0.48204360000000002</v>
      </c>
      <c r="F3830" t="s">
        <v>70</v>
      </c>
      <c r="G3830">
        <v>-253.702</v>
      </c>
      <c r="H3830" s="1">
        <v>3.6590120000000003E-7</v>
      </c>
      <c r="I3830">
        <v>216.1568</v>
      </c>
      <c r="J3830">
        <v>-276.1087</v>
      </c>
      <c r="K3830">
        <v>1.1097399999999999</v>
      </c>
      <c r="L3830">
        <v>213.74369999999999</v>
      </c>
      <c r="M3830">
        <v>0.99993220000000005</v>
      </c>
      <c r="N3830">
        <v>-1.142248E-2</v>
      </c>
      <c r="O3830">
        <v>2.3036990000000002E-3</v>
      </c>
      <c r="P3830">
        <v>0.98198249999999998</v>
      </c>
      <c r="Q3830">
        <v>0.17825929999999901</v>
      </c>
      <c r="R3830">
        <v>6.272266E-2</v>
      </c>
      <c r="S3830">
        <v>3.06073</v>
      </c>
      <c r="T3830">
        <v>-0.14869250000000001</v>
      </c>
      <c r="U3830">
        <v>0.32347110000000001</v>
      </c>
      <c r="V3830">
        <v>-6.044646E-2</v>
      </c>
      <c r="W3830">
        <v>0.18947030000000001</v>
      </c>
      <c r="X3830">
        <v>0.98002409999999995</v>
      </c>
      <c r="Y3830">
        <v>-0.102661</v>
      </c>
      <c r="Z3830">
        <v>2.9883829999999998E-3</v>
      </c>
      <c r="AA3830">
        <v>0.99471189999999998</v>
      </c>
      <c r="AB3830">
        <v>43</v>
      </c>
      <c r="AC3830">
        <v>22.406700000000001</v>
      </c>
      <c r="AD3830">
        <v>-1.1097396340987999</v>
      </c>
      <c r="AE3830">
        <v>2.4131000000000098</v>
      </c>
      <c r="AF3830">
        <v>-2.3557596633457698</v>
      </c>
      <c r="AG3830">
        <v>-1.1097396340987999</v>
      </c>
      <c r="AH3830">
        <v>22.357986012924499</v>
      </c>
      <c r="AI3830">
        <v>92.825928892866798</v>
      </c>
      <c r="AJ3830">
        <v>96.014803601560601</v>
      </c>
      <c r="AK3830">
        <v>22.509124021184402</v>
      </c>
      <c r="AL3830">
        <v>79.078126897335906</v>
      </c>
      <c r="AM3830">
        <v>93.529449186751606</v>
      </c>
      <c r="AN3830">
        <v>1.00000000284471</v>
      </c>
    </row>
    <row r="3831" spans="1:40" x14ac:dyDescent="0.25">
      <c r="A3831" t="str">
        <f>"20190304155133087"</f>
        <v>20190304155133087</v>
      </c>
      <c r="B3831" t="str">
        <f>"1551685893080741"</f>
        <v>1551685893080741</v>
      </c>
      <c r="C3831" t="s">
        <v>40</v>
      </c>
      <c r="D3831">
        <v>5.1878289999999998</v>
      </c>
      <c r="E3831">
        <v>0.48198350000000001</v>
      </c>
      <c r="F3831" t="s">
        <v>70</v>
      </c>
      <c r="G3831">
        <v>-253.17060000000001</v>
      </c>
      <c r="H3831" s="1">
        <v>8.4434819999999997E-8</v>
      </c>
      <c r="I3831">
        <v>216.1267</v>
      </c>
      <c r="J3831">
        <v>-275.68380000000002</v>
      </c>
      <c r="K3831">
        <v>1.109748</v>
      </c>
      <c r="L3831">
        <v>213.74469999999999</v>
      </c>
      <c r="M3831">
        <v>0.99993189999999998</v>
      </c>
      <c r="N3831">
        <v>-1.1444060000000001E-2</v>
      </c>
      <c r="O3831">
        <v>2.2927849999999999E-3</v>
      </c>
      <c r="P3831">
        <v>0.98174980000000001</v>
      </c>
      <c r="Q3831">
        <v>0.1793315</v>
      </c>
      <c r="R3831">
        <v>6.3308630000000005E-2</v>
      </c>
      <c r="S3831">
        <v>3.0616150000000002</v>
      </c>
      <c r="T3831">
        <v>-0.14812030000000001</v>
      </c>
      <c r="U3831">
        <v>0.31806950000000001</v>
      </c>
      <c r="V3831">
        <v>-6.1044109999999999E-2</v>
      </c>
      <c r="W3831">
        <v>0.1905607</v>
      </c>
      <c r="X3831">
        <v>0.97977559999999997</v>
      </c>
      <c r="Y3831">
        <v>-0.10090929999999999</v>
      </c>
      <c r="Z3831">
        <v>2.9280090000000001E-3</v>
      </c>
      <c r="AA3831">
        <v>0.99489130000000003</v>
      </c>
      <c r="AB3831">
        <v>43</v>
      </c>
      <c r="AC3831">
        <v>22.513200000000001</v>
      </c>
      <c r="AD3831">
        <v>-1.1097479155651799</v>
      </c>
      <c r="AE3831">
        <v>2.3820000000000001</v>
      </c>
      <c r="AF3831">
        <v>-2.3247861540919401</v>
      </c>
      <c r="AG3831">
        <v>-1.1097479155651799</v>
      </c>
      <c r="AH3831">
        <v>22.464621880405399</v>
      </c>
      <c r="AI3831">
        <v>92.813102287204202</v>
      </c>
      <c r="AJ3831">
        <v>95.908310677549096</v>
      </c>
      <c r="AK3831">
        <v>22.611842192266099</v>
      </c>
      <c r="AL3831">
        <v>79.014492134908593</v>
      </c>
      <c r="AM3831">
        <v>93.565157924423403</v>
      </c>
      <c r="AN3831">
        <v>0.99999999505277104</v>
      </c>
    </row>
    <row r="3832" spans="1:40" x14ac:dyDescent="0.25">
      <c r="A3832" t="str">
        <f>"20190304155133110"</f>
        <v>20190304155133110</v>
      </c>
      <c r="B3832" t="str">
        <f>"1551685893100258"</f>
        <v>1551685893100258</v>
      </c>
      <c r="C3832" t="s">
        <v>40</v>
      </c>
      <c r="D3832">
        <v>5.2053459999999996</v>
      </c>
      <c r="E3832">
        <v>0.48164709999999999</v>
      </c>
      <c r="F3832" t="s">
        <v>70</v>
      </c>
      <c r="G3832">
        <v>-252.11279999999999</v>
      </c>
      <c r="H3832" s="1">
        <v>-4.8220100000000004E-7</v>
      </c>
      <c r="I3832">
        <v>216.2114</v>
      </c>
      <c r="J3832">
        <v>-275.25450000000001</v>
      </c>
      <c r="K3832">
        <v>1.1097440000000001</v>
      </c>
      <c r="L3832">
        <v>213.7456</v>
      </c>
      <c r="M3832">
        <v>0.99993169999999998</v>
      </c>
      <c r="N3832">
        <v>-1.146604E-2</v>
      </c>
      <c r="O3832">
        <v>2.2818690000000002E-3</v>
      </c>
      <c r="P3832">
        <v>0.98150210000000004</v>
      </c>
      <c r="Q3832">
        <v>0.18047830000000001</v>
      </c>
      <c r="R3832">
        <v>6.3885670000000006E-2</v>
      </c>
      <c r="S3832">
        <v>3.0614620000000001</v>
      </c>
      <c r="T3832">
        <v>-0.14413689999999901</v>
      </c>
      <c r="U3832">
        <v>0.32038879999999997</v>
      </c>
      <c r="V3832">
        <v>-6.1632039999999999E-2</v>
      </c>
      <c r="W3832">
        <v>0.19172649999999999</v>
      </c>
      <c r="X3832">
        <v>0.97951129999999997</v>
      </c>
      <c r="Y3832">
        <v>-0.1016765</v>
      </c>
      <c r="Z3832">
        <v>2.8896149999999999E-3</v>
      </c>
      <c r="AA3832">
        <v>0.99481330000000001</v>
      </c>
      <c r="AB3832">
        <v>43</v>
      </c>
      <c r="AC3832">
        <v>23.1417</v>
      </c>
      <c r="AD3832">
        <v>-1.1097444822010001</v>
      </c>
      <c r="AE3832">
        <v>2.4658000000000002</v>
      </c>
      <c r="AF3832">
        <v>-2.4075095834885198</v>
      </c>
      <c r="AG3832">
        <v>-1.1097444822010001</v>
      </c>
      <c r="AH3832">
        <v>23.094753860788799</v>
      </c>
      <c r="AI3832">
        <v>92.736244757633997</v>
      </c>
      <c r="AJ3832">
        <v>95.951295567503294</v>
      </c>
      <c r="AK3832">
        <v>23.246403831577599</v>
      </c>
      <c r="AL3832">
        <v>78.946441760973102</v>
      </c>
      <c r="AM3832">
        <v>93.600373614740604</v>
      </c>
      <c r="AN3832">
        <v>0.99999997299224996</v>
      </c>
    </row>
    <row r="3833" spans="1:40" x14ac:dyDescent="0.25">
      <c r="A3833" t="str">
        <f>"20190304155133131"</f>
        <v>20190304155133131</v>
      </c>
      <c r="B3833" t="str">
        <f>"1551685893120755"</f>
        <v>1551685893120755</v>
      </c>
      <c r="C3833" t="s">
        <v>40</v>
      </c>
      <c r="D3833">
        <v>5.1900529999999998</v>
      </c>
      <c r="E3833">
        <v>0.48155829999999999</v>
      </c>
      <c r="F3833" t="s">
        <v>70</v>
      </c>
      <c r="G3833">
        <v>-251.279</v>
      </c>
      <c r="H3833" s="1">
        <v>-9.2953560000000002E-7</v>
      </c>
      <c r="I3833">
        <v>216.29499999999999</v>
      </c>
      <c r="J3833">
        <v>-274.82679999999999</v>
      </c>
      <c r="K3833">
        <v>1.1097520000000001</v>
      </c>
      <c r="L3833">
        <v>213.7466</v>
      </c>
      <c r="M3833">
        <v>0.99993160000000003</v>
      </c>
      <c r="N3833">
        <v>-1.1486639999999999E-2</v>
      </c>
      <c r="O3833">
        <v>2.2706649999999998E-3</v>
      </c>
      <c r="P3833">
        <v>0.9813231</v>
      </c>
      <c r="Q3833">
        <v>0.18125910000000001</v>
      </c>
      <c r="R3833">
        <v>6.4424309999999999E-2</v>
      </c>
      <c r="S3833">
        <v>3.0614319999999999</v>
      </c>
      <c r="T3833">
        <v>-0.14170360000000001</v>
      </c>
      <c r="U3833">
        <v>0.32553100000000001</v>
      </c>
      <c r="V3833">
        <v>-6.2182149999999999E-2</v>
      </c>
      <c r="W3833">
        <v>0.19252530000000001</v>
      </c>
      <c r="X3833">
        <v>0.97931990000000002</v>
      </c>
      <c r="Y3833">
        <v>-0.103343</v>
      </c>
      <c r="Z3833">
        <v>2.9005820000000001E-3</v>
      </c>
      <c r="AA3833">
        <v>0.99464149999999996</v>
      </c>
      <c r="AB3833">
        <v>43</v>
      </c>
      <c r="AC3833">
        <v>23.547799999999899</v>
      </c>
      <c r="AD3833">
        <v>-1.1097529295355999</v>
      </c>
      <c r="AE3833">
        <v>2.54839999999998</v>
      </c>
      <c r="AF3833">
        <v>-2.4894556286526002</v>
      </c>
      <c r="AG3833">
        <v>-1.1097529295355999</v>
      </c>
      <c r="AH3833">
        <v>23.501932307016901</v>
      </c>
      <c r="AI3833">
        <v>92.688460080238201</v>
      </c>
      <c r="AJ3833">
        <v>96.046540981259</v>
      </c>
      <c r="AK3833">
        <v>23.659453988950101</v>
      </c>
      <c r="AL3833">
        <v>78.899805800175699</v>
      </c>
      <c r="AM3833">
        <v>93.633131887580703</v>
      </c>
      <c r="AN3833">
        <v>1.00000003872736</v>
      </c>
    </row>
    <row r="3834" spans="1:40" x14ac:dyDescent="0.25">
      <c r="A3834" t="str">
        <f>"20190304155133153"</f>
        <v>20190304155133153</v>
      </c>
      <c r="B3834" t="str">
        <f>"1551685893151011"</f>
        <v>1551685893151011</v>
      </c>
      <c r="C3834" t="s">
        <v>40</v>
      </c>
      <c r="D3834">
        <v>5.1637760000000004</v>
      </c>
      <c r="E3834">
        <v>0.4812843</v>
      </c>
      <c r="F3834" t="s">
        <v>70</v>
      </c>
      <c r="G3834">
        <v>-249.96270000000001</v>
      </c>
      <c r="H3834" s="1">
        <v>-1.6352619999999901E-6</v>
      </c>
      <c r="I3834">
        <v>216.41460000000001</v>
      </c>
      <c r="J3834">
        <v>-274.3922</v>
      </c>
      <c r="K3834">
        <v>1.1097549999999901</v>
      </c>
      <c r="L3834">
        <v>213.74760000000001</v>
      </c>
      <c r="M3834">
        <v>0.99993129999999997</v>
      </c>
      <c r="N3834">
        <v>-1.150676E-2</v>
      </c>
      <c r="O3834">
        <v>2.2595800000000002E-3</v>
      </c>
      <c r="P3834">
        <v>0.98132350000000002</v>
      </c>
      <c r="Q3834">
        <v>0.1812551</v>
      </c>
      <c r="R3834">
        <v>6.4426559999999994E-2</v>
      </c>
      <c r="S3834">
        <v>3.060791</v>
      </c>
      <c r="T3834">
        <v>-0.13661110000000001</v>
      </c>
      <c r="U3834">
        <v>0.32843020000000001</v>
      </c>
      <c r="V3834">
        <v>-6.2195500000000001E-2</v>
      </c>
      <c r="W3834">
        <v>0.19254070000000001</v>
      </c>
      <c r="X3834">
        <v>0.97931599999999996</v>
      </c>
      <c r="Y3834">
        <v>-0.1043147</v>
      </c>
      <c r="Z3834">
        <v>2.8477899999999998E-3</v>
      </c>
      <c r="AA3834">
        <v>0.99454030000000004</v>
      </c>
      <c r="AB3834">
        <v>43</v>
      </c>
      <c r="AC3834">
        <v>24.429499999999901</v>
      </c>
      <c r="AD3834">
        <v>-1.1097566352620001</v>
      </c>
      <c r="AE3834">
        <v>2.6669999999999998</v>
      </c>
      <c r="AF3834">
        <v>-2.6064737506505198</v>
      </c>
      <c r="AG3834">
        <v>-1.1097566352620001</v>
      </c>
      <c r="AH3834">
        <v>24.385734526122199</v>
      </c>
      <c r="AI3834">
        <v>92.590906003897203</v>
      </c>
      <c r="AJ3834">
        <v>96.100907208074403</v>
      </c>
      <c r="AK3834">
        <v>24.5497314360228</v>
      </c>
      <c r="AL3834">
        <v>78.898906350973903</v>
      </c>
      <c r="AM3834">
        <v>93.633924234301602</v>
      </c>
      <c r="AN3834">
        <v>1.0000000146163699</v>
      </c>
    </row>
    <row r="3835" spans="1:40" x14ac:dyDescent="0.25">
      <c r="A3835" t="str">
        <f>"20190304155133177"</f>
        <v>20190304155133177</v>
      </c>
      <c r="B3835" t="str">
        <f>"1551685893170534"</f>
        <v>1551685893170534</v>
      </c>
      <c r="C3835" t="s">
        <v>40</v>
      </c>
      <c r="D3835">
        <v>5.2853000000000003</v>
      </c>
      <c r="E3835">
        <v>0.48186649999999998</v>
      </c>
      <c r="F3835" t="s">
        <v>70</v>
      </c>
      <c r="G3835">
        <v>-250.02279999999999</v>
      </c>
      <c r="H3835" s="1">
        <v>-1.6016909999999901E-6</v>
      </c>
      <c r="I3835">
        <v>216.37819999999999</v>
      </c>
      <c r="J3835">
        <v>-273.95490000000001</v>
      </c>
      <c r="K3835">
        <v>1.1097619999999999</v>
      </c>
      <c r="L3835">
        <v>213.74850000000001</v>
      </c>
      <c r="M3835">
        <v>0.99993100000000001</v>
      </c>
      <c r="N3835">
        <v>-1.1528989999999999E-2</v>
      </c>
      <c r="O3835">
        <v>2.2481860000000001E-3</v>
      </c>
      <c r="P3835">
        <v>0.98124319999999998</v>
      </c>
      <c r="Q3835">
        <v>0.18172250000000001</v>
      </c>
      <c r="R3835">
        <v>6.4331910000000006E-2</v>
      </c>
      <c r="S3835">
        <v>3.0611570000000001</v>
      </c>
      <c r="T3835">
        <v>-0.13940139999999901</v>
      </c>
      <c r="U3835">
        <v>0.33044430000000002</v>
      </c>
      <c r="V3835">
        <v>-6.2111899999999998E-2</v>
      </c>
      <c r="W3835">
        <v>0.19302920000000001</v>
      </c>
      <c r="X3835">
        <v>0.97922509999999996</v>
      </c>
      <c r="Y3835">
        <v>-0.1049547</v>
      </c>
      <c r="Z3835">
        <v>2.912591E-3</v>
      </c>
      <c r="AA3835">
        <v>0.99447269999999999</v>
      </c>
      <c r="AB3835">
        <v>43</v>
      </c>
      <c r="AC3835">
        <v>23.932099999999998</v>
      </c>
      <c r="AD3835">
        <v>-1.109763601691</v>
      </c>
      <c r="AE3835">
        <v>2.6296999999999802</v>
      </c>
      <c r="AF3835">
        <v>-2.5704247157414302</v>
      </c>
      <c r="AG3835">
        <v>-1.109763601691</v>
      </c>
      <c r="AH3835">
        <v>23.8872000575948</v>
      </c>
      <c r="AI3835">
        <v>92.644717659285803</v>
      </c>
      <c r="AJ3835">
        <v>96.141781502338404</v>
      </c>
      <c r="AK3835">
        <v>24.0507169344801</v>
      </c>
      <c r="AL3835">
        <v>78.870381871565002</v>
      </c>
      <c r="AM3835">
        <v>93.629388741106794</v>
      </c>
      <c r="AN3835">
        <v>0.99999997832212895</v>
      </c>
    </row>
    <row r="3836" spans="1:40" x14ac:dyDescent="0.25">
      <c r="A3836" t="str">
        <f>"20190304155133193"</f>
        <v>20190304155133193</v>
      </c>
      <c r="B3836" t="str">
        <f>"1551685893191027"</f>
        <v>1551685893191027</v>
      </c>
      <c r="C3836" t="s">
        <v>40</v>
      </c>
      <c r="D3836">
        <v>5.1922309999999996</v>
      </c>
      <c r="E3836">
        <v>0.48198839999999998</v>
      </c>
      <c r="F3836" t="s">
        <v>70</v>
      </c>
      <c r="G3836">
        <v>-249.5531</v>
      </c>
      <c r="H3836" s="1">
        <v>3.4714240000000002E-6</v>
      </c>
      <c r="I3836">
        <v>216.34229999999999</v>
      </c>
      <c r="J3836">
        <v>-273.63310000000001</v>
      </c>
      <c r="K3836">
        <v>1.109766</v>
      </c>
      <c r="L3836">
        <v>213.74930000000001</v>
      </c>
      <c r="M3836">
        <v>0.99993089999999996</v>
      </c>
      <c r="N3836">
        <v>-1.154705E-2</v>
      </c>
      <c r="O3836">
        <v>2.2398549999999998E-3</v>
      </c>
      <c r="P3836">
        <v>0.9812147</v>
      </c>
      <c r="Q3836">
        <v>0.18186910000000001</v>
      </c>
      <c r="R3836">
        <v>6.4354739999999994E-2</v>
      </c>
      <c r="S3836">
        <v>3.061798</v>
      </c>
      <c r="T3836">
        <v>-0.13924589999999901</v>
      </c>
      <c r="U3836">
        <v>0.32545469999999999</v>
      </c>
      <c r="V3836">
        <v>-6.214302E-2</v>
      </c>
      <c r="W3836">
        <v>0.193193</v>
      </c>
      <c r="X3836">
        <v>0.97919080000000003</v>
      </c>
      <c r="Y3836">
        <v>-0.10334069999999999</v>
      </c>
      <c r="Z3836">
        <v>2.865065E-3</v>
      </c>
      <c r="AA3836">
        <v>0.99464189999999997</v>
      </c>
      <c r="AB3836">
        <v>43</v>
      </c>
      <c r="AC3836">
        <v>24.08</v>
      </c>
      <c r="AD3836">
        <v>-1.109762528576</v>
      </c>
      <c r="AE3836">
        <v>2.59299999999998</v>
      </c>
      <c r="AF3836">
        <v>-2.5337343208762602</v>
      </c>
      <c r="AG3836">
        <v>-1.109762528576</v>
      </c>
      <c r="AH3836">
        <v>24.035283012438899</v>
      </c>
      <c r="AI3836">
        <v>92.629049080026405</v>
      </c>
      <c r="AJ3836">
        <v>96.017739971510807</v>
      </c>
      <c r="AK3836">
        <v>24.1939292378616</v>
      </c>
      <c r="AL3836">
        <v>78.860816531657605</v>
      </c>
      <c r="AM3836">
        <v>93.631329170749495</v>
      </c>
      <c r="AN3836">
        <v>0.99999995649417905</v>
      </c>
    </row>
    <row r="3837" spans="1:40" x14ac:dyDescent="0.25">
      <c r="A3837" t="str">
        <f>"20190304155133210"</f>
        <v>20190304155133210</v>
      </c>
      <c r="B3837" t="str">
        <f>"1551685893200787"</f>
        <v>1551685893200787</v>
      </c>
      <c r="C3837" t="s">
        <v>40</v>
      </c>
      <c r="D3837">
        <v>5.1390690000000001</v>
      </c>
      <c r="E3837">
        <v>0.4819869</v>
      </c>
      <c r="F3837" t="s">
        <v>70</v>
      </c>
      <c r="G3837">
        <v>-249.14930000000001</v>
      </c>
      <c r="H3837" s="1">
        <v>3.2564580000000002E-6</v>
      </c>
      <c r="I3837">
        <v>216.345</v>
      </c>
      <c r="J3837">
        <v>-273.30470000000003</v>
      </c>
      <c r="K3837">
        <v>1.1097649999999999</v>
      </c>
      <c r="L3837">
        <v>213.75</v>
      </c>
      <c r="M3837">
        <v>0.9999306</v>
      </c>
      <c r="N3837">
        <v>-1.15675E-2</v>
      </c>
      <c r="O3837">
        <v>2.2314520000000001E-3</v>
      </c>
      <c r="P3837">
        <v>0.98113680000000003</v>
      </c>
      <c r="Q3837">
        <v>0.18250640000000001</v>
      </c>
      <c r="R3837">
        <v>6.3735529999999999E-2</v>
      </c>
      <c r="S3837">
        <v>3.06189</v>
      </c>
      <c r="T3837">
        <v>-0.13878480000000001</v>
      </c>
      <c r="U3837">
        <v>0.3246155</v>
      </c>
      <c r="V3837">
        <v>-6.153256E-2</v>
      </c>
      <c r="W3837">
        <v>0.1938493</v>
      </c>
      <c r="X3837">
        <v>0.97909970000000002</v>
      </c>
      <c r="Y3837">
        <v>-0.1030774</v>
      </c>
      <c r="Z3837">
        <v>2.8515210000000001E-3</v>
      </c>
      <c r="AA3837">
        <v>0.99466929999999998</v>
      </c>
      <c r="AB3837">
        <v>43</v>
      </c>
      <c r="AC3837">
        <v>24.1554</v>
      </c>
      <c r="AD3837">
        <v>-1.109761743542</v>
      </c>
      <c r="AE3837">
        <v>2.5950000000000002</v>
      </c>
      <c r="AF3837">
        <v>-2.5357970206750302</v>
      </c>
      <c r="AG3837">
        <v>-1.109761743542</v>
      </c>
      <c r="AH3837">
        <v>24.1108202580896</v>
      </c>
      <c r="AI3837">
        <v>92.620888831359693</v>
      </c>
      <c r="AJ3837">
        <v>96.003872695037202</v>
      </c>
      <c r="AK3837">
        <v>24.269188102929999</v>
      </c>
      <c r="AL3837">
        <v>78.822489425006495</v>
      </c>
      <c r="AM3837">
        <v>93.596084663166906</v>
      </c>
      <c r="AN3837">
        <v>1.00000001479536</v>
      </c>
    </row>
    <row r="3838" spans="1:40" x14ac:dyDescent="0.25">
      <c r="A3838" t="str">
        <f>"20190304155133232"</f>
        <v>20190304155133232</v>
      </c>
      <c r="B3838" t="str">
        <f>"1551685893231042"</f>
        <v>1551685893231042</v>
      </c>
      <c r="C3838" t="s">
        <v>40</v>
      </c>
      <c r="D3838">
        <v>5.2480529999999996</v>
      </c>
      <c r="E3838">
        <v>0.4821028</v>
      </c>
      <c r="F3838" t="s">
        <v>70</v>
      </c>
      <c r="G3838">
        <v>-248.86080000000001</v>
      </c>
      <c r="H3838" s="1">
        <v>3.1037149999999998E-6</v>
      </c>
      <c r="I3838">
        <v>216.32640000000001</v>
      </c>
      <c r="J3838">
        <v>-272.8664</v>
      </c>
      <c r="K3838">
        <v>1.1097760000000001</v>
      </c>
      <c r="L3838">
        <v>213.7509</v>
      </c>
      <c r="M3838">
        <v>0.9999304</v>
      </c>
      <c r="N3838">
        <v>-1.159745E-2</v>
      </c>
      <c r="O3838">
        <v>2.2196540000000002E-3</v>
      </c>
      <c r="P3838">
        <v>0.98103479999999998</v>
      </c>
      <c r="Q3838">
        <v>0.18316850000000001</v>
      </c>
      <c r="R3838">
        <v>6.340556E-2</v>
      </c>
      <c r="S3838">
        <v>3.0625610000000001</v>
      </c>
      <c r="T3838">
        <v>-0.13904140000000001</v>
      </c>
      <c r="U3838">
        <v>0.32279970000000002</v>
      </c>
      <c r="V3838">
        <v>-6.121356E-2</v>
      </c>
      <c r="W3838">
        <v>0.19453970000000001</v>
      </c>
      <c r="X3838">
        <v>0.97898269999999998</v>
      </c>
      <c r="Y3838">
        <v>-0.1024833</v>
      </c>
      <c r="Z3838">
        <v>2.8403180000000001E-3</v>
      </c>
      <c r="AA3838">
        <v>0.99473069999999997</v>
      </c>
      <c r="AB3838">
        <v>43</v>
      </c>
      <c r="AC3838">
        <v>24.005599999999902</v>
      </c>
      <c r="AD3838">
        <v>-1.109772896285</v>
      </c>
      <c r="AE3838">
        <v>2.5754999999999999</v>
      </c>
      <c r="AF3838">
        <v>-2.5168880950578898</v>
      </c>
      <c r="AG3838">
        <v>-1.109772896285</v>
      </c>
      <c r="AH3838">
        <v>23.9606322711576</v>
      </c>
      <c r="AI3838">
        <v>92.637355780971205</v>
      </c>
      <c r="AJ3838">
        <v>95.9965094487399</v>
      </c>
      <c r="AK3838">
        <v>24.118006144746101</v>
      </c>
      <c r="AL3838">
        <v>78.782164146713498</v>
      </c>
      <c r="AM3838">
        <v>93.5779166557775</v>
      </c>
      <c r="AN3838">
        <v>0.99999996085162601</v>
      </c>
    </row>
    <row r="3839" spans="1:40" x14ac:dyDescent="0.25">
      <c r="A3839" t="str">
        <f>"20190304155133255"</f>
        <v>20190304155133255</v>
      </c>
      <c r="B3839" t="str">
        <f>"1551685893250563"</f>
        <v>1551685893250563</v>
      </c>
      <c r="C3839" t="s">
        <v>40</v>
      </c>
      <c r="D3839">
        <v>5.1020190000000003</v>
      </c>
      <c r="E3839">
        <v>0.48207549999999999</v>
      </c>
      <c r="F3839" t="s">
        <v>70</v>
      </c>
      <c r="G3839">
        <v>-248.3261</v>
      </c>
      <c r="H3839" s="1">
        <v>2.8195150000000001E-6</v>
      </c>
      <c r="I3839">
        <v>216.31970000000001</v>
      </c>
      <c r="J3839">
        <v>-272.43290000000002</v>
      </c>
      <c r="K3839">
        <v>1.109783</v>
      </c>
      <c r="L3839">
        <v>213.75190000000001</v>
      </c>
      <c r="M3839">
        <v>0.99992999999999999</v>
      </c>
      <c r="N3839">
        <v>-1.163146E-2</v>
      </c>
      <c r="O3839">
        <v>2.2083670000000001E-3</v>
      </c>
      <c r="P3839">
        <v>0.98094460000000006</v>
      </c>
      <c r="Q3839">
        <v>0.1837376</v>
      </c>
      <c r="R3839">
        <v>6.3155379999999997E-2</v>
      </c>
      <c r="S3839">
        <v>3.0631409999999999</v>
      </c>
      <c r="T3839">
        <v>-0.13852300000000001</v>
      </c>
      <c r="U3839">
        <v>0.3206329</v>
      </c>
      <c r="V3839">
        <v>-6.0975050000000003E-2</v>
      </c>
      <c r="W3839">
        <v>0.19514119999999999</v>
      </c>
      <c r="X3839">
        <v>0.97887789999999997</v>
      </c>
      <c r="Y3839">
        <v>-0.1017806</v>
      </c>
      <c r="Z3839">
        <v>2.8139609999999998E-3</v>
      </c>
      <c r="AA3839">
        <v>0.99480290000000005</v>
      </c>
      <c r="AB3839">
        <v>43</v>
      </c>
      <c r="AC3839">
        <v>24.1068</v>
      </c>
      <c r="AD3839">
        <v>-1.109780180485</v>
      </c>
      <c r="AE3839">
        <v>2.5678000000000001</v>
      </c>
      <c r="AF3839">
        <v>-2.5092951619151398</v>
      </c>
      <c r="AG3839">
        <v>-1.109780180485</v>
      </c>
      <c r="AH3839">
        <v>24.061989482502401</v>
      </c>
      <c r="AI3839">
        <v>92.626484976642502</v>
      </c>
      <c r="AJ3839">
        <v>95.953548025937096</v>
      </c>
      <c r="AK3839">
        <v>24.217917171273498</v>
      </c>
      <c r="AL3839">
        <v>78.747027711135402</v>
      </c>
      <c r="AM3839">
        <v>93.564392395720603</v>
      </c>
      <c r="AN3839">
        <v>0.99999999388417604</v>
      </c>
    </row>
    <row r="3840" spans="1:40" x14ac:dyDescent="0.25">
      <c r="A3840" t="str">
        <f>"20190304155133277"</f>
        <v>20190304155133277</v>
      </c>
      <c r="B3840" t="str">
        <f>"1551685893271058"</f>
        <v>1551685893271058</v>
      </c>
      <c r="C3840" t="s">
        <v>40</v>
      </c>
      <c r="D3840">
        <v>5.2778479999999997</v>
      </c>
      <c r="E3840">
        <v>0.48209000000000002</v>
      </c>
      <c r="F3840" t="s">
        <v>70</v>
      </c>
      <c r="G3840">
        <v>-247.8887</v>
      </c>
      <c r="H3840" s="1">
        <v>2.586871E-6</v>
      </c>
      <c r="I3840">
        <v>216.3159</v>
      </c>
      <c r="J3840">
        <v>-272.00479999999999</v>
      </c>
      <c r="K3840">
        <v>1.109793</v>
      </c>
      <c r="L3840">
        <v>213.75280000000001</v>
      </c>
      <c r="M3840">
        <v>0.99992950000000003</v>
      </c>
      <c r="N3840">
        <v>-1.1669590000000001E-2</v>
      </c>
      <c r="O3840">
        <v>2.1975340000000001E-3</v>
      </c>
      <c r="P3840">
        <v>0.98082100000000005</v>
      </c>
      <c r="Q3840">
        <v>0.18445429999999999</v>
      </c>
      <c r="R3840">
        <v>6.2983419999999998E-2</v>
      </c>
      <c r="S3840">
        <v>3.063599</v>
      </c>
      <c r="T3840">
        <v>-0.13852239999999999</v>
      </c>
      <c r="U3840">
        <v>0.32003779999999998</v>
      </c>
      <c r="V3840">
        <v>-6.0813579999999999E-2</v>
      </c>
      <c r="W3840">
        <v>0.1958936</v>
      </c>
      <c r="X3840">
        <v>0.97873770000000004</v>
      </c>
      <c r="Y3840">
        <v>-0.1015851</v>
      </c>
      <c r="Z3840">
        <v>2.810482E-3</v>
      </c>
      <c r="AA3840">
        <v>0.99482289999999995</v>
      </c>
      <c r="AB3840">
        <v>43</v>
      </c>
      <c r="AC3840">
        <v>24.1160999999999</v>
      </c>
      <c r="AD3840">
        <v>-1.109790413129</v>
      </c>
      <c r="AE3840">
        <v>2.5630999999999902</v>
      </c>
      <c r="AF3840">
        <v>-2.5048489426096801</v>
      </c>
      <c r="AG3840">
        <v>-1.109790413129</v>
      </c>
      <c r="AH3840">
        <v>24.071267911871601</v>
      </c>
      <c r="AI3840">
        <v>92.625558939957699</v>
      </c>
      <c r="AJ3840">
        <v>95.940800094907502</v>
      </c>
      <c r="AK3840">
        <v>24.226676244822901</v>
      </c>
      <c r="AL3840">
        <v>78.703070515997297</v>
      </c>
      <c r="AM3840">
        <v>93.555485580502605</v>
      </c>
      <c r="AN3840">
        <v>1.0000000397173301</v>
      </c>
    </row>
    <row r="3841" spans="1:40" x14ac:dyDescent="0.25">
      <c r="A3841" t="str">
        <f>"20190304155133299"</f>
        <v>20190304155133299</v>
      </c>
      <c r="B3841" t="str">
        <f>"1551685893290578"</f>
        <v>1551685893290578</v>
      </c>
      <c r="C3841" t="s">
        <v>40</v>
      </c>
      <c r="D3841">
        <v>5.1332440000000004</v>
      </c>
      <c r="E3841">
        <v>0.48190500000000003</v>
      </c>
      <c r="F3841" t="s">
        <v>70</v>
      </c>
      <c r="G3841">
        <v>-247.11429999999999</v>
      </c>
      <c r="H3841" s="1">
        <v>2.1732760000000002E-6</v>
      </c>
      <c r="I3841">
        <v>216.3501</v>
      </c>
      <c r="J3841">
        <v>-271.58550000000002</v>
      </c>
      <c r="K3841">
        <v>1.1098030000000001</v>
      </c>
      <c r="L3841">
        <v>213.75370000000001</v>
      </c>
      <c r="M3841">
        <v>0.99992910000000002</v>
      </c>
      <c r="N3841">
        <v>-1.1710089999999999E-2</v>
      </c>
      <c r="O3841">
        <v>2.1861509999999999E-3</v>
      </c>
      <c r="P3841">
        <v>0.98068100000000002</v>
      </c>
      <c r="Q3841">
        <v>0.1851563</v>
      </c>
      <c r="R3841">
        <v>6.3103649999999997E-2</v>
      </c>
      <c r="S3841">
        <v>3.0638429999999999</v>
      </c>
      <c r="T3841">
        <v>-0.13660710000000001</v>
      </c>
      <c r="U3841">
        <v>0.31970209999999999</v>
      </c>
      <c r="V3841">
        <v>-6.094579E-2</v>
      </c>
      <c r="W3841">
        <v>0.19663330000000001</v>
      </c>
      <c r="X3841">
        <v>0.97858109999999998</v>
      </c>
      <c r="Y3841">
        <v>-0.10148359999999999</v>
      </c>
      <c r="Z3841">
        <v>2.7797329999999999E-3</v>
      </c>
      <c r="AA3841">
        <v>0.99483339999999998</v>
      </c>
      <c r="AB3841">
        <v>43</v>
      </c>
      <c r="AC3841">
        <v>24.4712</v>
      </c>
      <c r="AD3841">
        <v>-1.109800826724</v>
      </c>
      <c r="AE3841">
        <v>2.5963999999999801</v>
      </c>
      <c r="AF3841">
        <v>-2.5377310387811001</v>
      </c>
      <c r="AG3841">
        <v>-1.109800826724</v>
      </c>
      <c r="AH3841">
        <v>24.4271370099294</v>
      </c>
      <c r="AI3841">
        <v>92.587429990858396</v>
      </c>
      <c r="AJ3841">
        <v>95.931171127329407</v>
      </c>
      <c r="AK3841">
        <v>24.583668546456899</v>
      </c>
      <c r="AL3841">
        <v>78.659847826350997</v>
      </c>
      <c r="AM3841">
        <v>93.563764128071696</v>
      </c>
      <c r="AN3841">
        <v>1.00000000663241</v>
      </c>
    </row>
    <row r="3842" spans="1:40" x14ac:dyDescent="0.25">
      <c r="A3842" t="str">
        <f>"20190304155133316"</f>
        <v>20190304155133316</v>
      </c>
      <c r="B3842" t="str">
        <f>"1551685893310099"</f>
        <v>1551685893310099</v>
      </c>
      <c r="C3842" t="s">
        <v>40</v>
      </c>
      <c r="D3842">
        <v>5.1563169999999996</v>
      </c>
      <c r="E3842">
        <v>0.48181089999999999</v>
      </c>
      <c r="F3842" t="s">
        <v>70</v>
      </c>
      <c r="G3842">
        <v>-246.48759999999999</v>
      </c>
      <c r="H3842" s="1">
        <v>1.8381180000000001E-6</v>
      </c>
      <c r="I3842">
        <v>216.3887</v>
      </c>
      <c r="J3842">
        <v>-271.2518</v>
      </c>
      <c r="K3842">
        <v>1.1098110000000001</v>
      </c>
      <c r="L3842">
        <v>213.75450000000001</v>
      </c>
      <c r="M3842">
        <v>0.99992859999999995</v>
      </c>
      <c r="N3842">
        <v>-1.1745159999999999E-2</v>
      </c>
      <c r="O3842">
        <v>2.1773600000000001E-3</v>
      </c>
      <c r="P3842">
        <v>0.98058040000000002</v>
      </c>
      <c r="Q3842">
        <v>0.1857724</v>
      </c>
      <c r="R3842">
        <v>6.2856229999999999E-2</v>
      </c>
      <c r="S3842">
        <v>3.0639949999999998</v>
      </c>
      <c r="T3842">
        <v>-0.13548659999999901</v>
      </c>
      <c r="U3842">
        <v>0.32168580000000002</v>
      </c>
      <c r="V3842">
        <v>-6.0707190000000001E-2</v>
      </c>
      <c r="W3842">
        <v>0.19728219999999999</v>
      </c>
      <c r="X3842">
        <v>0.97846529999999998</v>
      </c>
      <c r="Y3842">
        <v>-0.1021252</v>
      </c>
      <c r="Z3842">
        <v>2.7819540000000001E-3</v>
      </c>
      <c r="AA3842">
        <v>0.99476770000000003</v>
      </c>
      <c r="AB3842">
        <v>43</v>
      </c>
      <c r="AC3842">
        <v>24.764199999999999</v>
      </c>
      <c r="AD3842">
        <v>-1.1098091618820001</v>
      </c>
      <c r="AE3842">
        <v>2.6341999999999901</v>
      </c>
      <c r="AF3842">
        <v>-2.5751554029234298</v>
      </c>
      <c r="AG3842">
        <v>-1.1098091618820001</v>
      </c>
      <c r="AH3842">
        <v>24.720783802846299</v>
      </c>
      <c r="AI3842">
        <v>92.556681777470899</v>
      </c>
      <c r="AJ3842">
        <v>95.947032166304993</v>
      </c>
      <c r="AK3842">
        <v>24.879313767708101</v>
      </c>
      <c r="AL3842">
        <v>78.621925542442497</v>
      </c>
      <c r="AM3842">
        <v>93.5502669449791</v>
      </c>
      <c r="AN3842">
        <v>0.99999998632931297</v>
      </c>
    </row>
    <row r="3843" spans="1:40" x14ac:dyDescent="0.25">
      <c r="A3843" t="str">
        <f>"20190304155133333"</f>
        <v>20190304155133333</v>
      </c>
      <c r="B3843" t="str">
        <f>"1551685893330595"</f>
        <v>1551685893330595</v>
      </c>
      <c r="C3843" t="s">
        <v>40</v>
      </c>
      <c r="D3843">
        <v>5.1869649999999998</v>
      </c>
      <c r="E3843">
        <v>0.4820218</v>
      </c>
      <c r="F3843" t="s">
        <v>70</v>
      </c>
      <c r="G3843">
        <v>-245.99600000000001</v>
      </c>
      <c r="H3843" s="1">
        <v>1.5757499999999999E-6</v>
      </c>
      <c r="I3843">
        <v>216.40649999999999</v>
      </c>
      <c r="J3843">
        <v>-270.93340000000001</v>
      </c>
      <c r="K3843">
        <v>1.1098129999999999</v>
      </c>
      <c r="L3843">
        <v>213.7552</v>
      </c>
      <c r="M3843">
        <v>0.99992829999999999</v>
      </c>
      <c r="N3843">
        <v>-1.178073E-2</v>
      </c>
      <c r="O3843">
        <v>2.1691010000000001E-3</v>
      </c>
      <c r="P3843">
        <v>0.9804098</v>
      </c>
      <c r="Q3843">
        <v>0.18657869999999999</v>
      </c>
      <c r="R3843">
        <v>6.3126039999999994E-2</v>
      </c>
      <c r="S3843">
        <v>3.0643009999999999</v>
      </c>
      <c r="T3843">
        <v>-0.1346542</v>
      </c>
      <c r="U3843">
        <v>0.32177729999999999</v>
      </c>
      <c r="V3843">
        <v>-6.0985009999999999E-2</v>
      </c>
      <c r="W3843">
        <v>0.1981222</v>
      </c>
      <c r="X3843">
        <v>0.97827830000000005</v>
      </c>
      <c r="Y3843">
        <v>-0.1021538</v>
      </c>
      <c r="Z3843">
        <v>2.7714689999999999E-3</v>
      </c>
      <c r="AA3843">
        <v>0.99476469999999995</v>
      </c>
      <c r="AB3843">
        <v>43</v>
      </c>
      <c r="AC3843">
        <v>24.9374</v>
      </c>
      <c r="AD3843">
        <v>-1.1098114242499999</v>
      </c>
      <c r="AE3843">
        <v>2.6512999999999902</v>
      </c>
      <c r="AF3843">
        <v>-2.5921217070021001</v>
      </c>
      <c r="AG3843">
        <v>-1.1098114242499999</v>
      </c>
      <c r="AH3843">
        <v>24.894338120414599</v>
      </c>
      <c r="AI3843">
        <v>92.538897768482002</v>
      </c>
      <c r="AJ3843">
        <v>95.944498500148399</v>
      </c>
      <c r="AK3843">
        <v>25.0535196488404</v>
      </c>
      <c r="AL3843">
        <v>78.572828219640698</v>
      </c>
      <c r="AM3843">
        <v>93.567152501830407</v>
      </c>
      <c r="AN3843">
        <v>1.0000000049142099</v>
      </c>
    </row>
    <row r="3844" spans="1:40" x14ac:dyDescent="0.25">
      <c r="A3844" t="str">
        <f>"20190304155133355"</f>
        <v>20190304155133355</v>
      </c>
      <c r="B3844" t="str">
        <f>"1551685893351092"</f>
        <v>1551685893351092</v>
      </c>
      <c r="C3844" t="s">
        <v>40</v>
      </c>
      <c r="D3844">
        <v>5.0822640000000003</v>
      </c>
      <c r="E3844">
        <v>0.48193439999999999</v>
      </c>
      <c r="F3844" t="s">
        <v>70</v>
      </c>
      <c r="G3844">
        <v>-245.4083</v>
      </c>
      <c r="H3844" s="1">
        <v>1.2619609999999999E-6</v>
      </c>
      <c r="I3844">
        <v>216.43049999999999</v>
      </c>
      <c r="J3844">
        <v>-270.49689999999998</v>
      </c>
      <c r="K3844">
        <v>1.109826</v>
      </c>
      <c r="L3844">
        <v>213.7561</v>
      </c>
      <c r="M3844">
        <v>0.99992760000000003</v>
      </c>
      <c r="N3844">
        <v>-1.183056E-2</v>
      </c>
      <c r="O3844">
        <v>2.1571820000000001E-3</v>
      </c>
      <c r="P3844">
        <v>0.98023680000000002</v>
      </c>
      <c r="Q3844">
        <v>0.18741169999999999</v>
      </c>
      <c r="R3844">
        <v>6.3343090000000005E-2</v>
      </c>
      <c r="S3844">
        <v>3.0646059999999999</v>
      </c>
      <c r="T3844">
        <v>-0.1332469</v>
      </c>
      <c r="U3844">
        <v>0.32121280000000002</v>
      </c>
      <c r="V3844">
        <v>-6.1214110000000002E-2</v>
      </c>
      <c r="W3844">
        <v>0.1990017</v>
      </c>
      <c r="X3844">
        <v>0.97808550000000005</v>
      </c>
      <c r="Y3844">
        <v>-0.1019765</v>
      </c>
      <c r="Z3844">
        <v>2.7470429999999998E-3</v>
      </c>
      <c r="AA3844">
        <v>0.99478299999999997</v>
      </c>
      <c r="AB3844">
        <v>43</v>
      </c>
      <c r="AC3844">
        <v>25.0885999999999</v>
      </c>
      <c r="AD3844">
        <v>-1.1098247380390001</v>
      </c>
      <c r="AE3844">
        <v>2.6743999999999901</v>
      </c>
      <c r="AF3844">
        <v>-2.6152092523714798</v>
      </c>
      <c r="AG3844">
        <v>-1.1098247380390001</v>
      </c>
      <c r="AH3844">
        <v>25.045851056424599</v>
      </c>
      <c r="AI3844">
        <v>92.5235131653167</v>
      </c>
      <c r="AJ3844">
        <v>95.961044126840505</v>
      </c>
      <c r="AK3844">
        <v>25.2064611860424</v>
      </c>
      <c r="AL3844">
        <v>78.521413275372396</v>
      </c>
      <c r="AM3844">
        <v>93.581222242342093</v>
      </c>
      <c r="AN3844">
        <v>1.0000000445881101</v>
      </c>
    </row>
    <row r="3845" spans="1:40" x14ac:dyDescent="0.25">
      <c r="A3845" t="str">
        <f>"20190304155133379"</f>
        <v>20190304155133379</v>
      </c>
      <c r="B3845" t="str">
        <f>"1551685893370611"</f>
        <v>1551685893370611</v>
      </c>
      <c r="C3845" t="s">
        <v>40</v>
      </c>
      <c r="D3845">
        <v>5.1115190000000004</v>
      </c>
      <c r="E3845">
        <v>0.48170950000000001</v>
      </c>
      <c r="F3845" t="s">
        <v>70</v>
      </c>
      <c r="G3845">
        <v>-244.2842</v>
      </c>
      <c r="H3845" s="1">
        <v>6.6001689999999898E-7</v>
      </c>
      <c r="I3845">
        <v>216.51580000000001</v>
      </c>
      <c r="J3845">
        <v>-270.05099999999999</v>
      </c>
      <c r="K3845">
        <v>1.109831</v>
      </c>
      <c r="L3845">
        <v>213.75700000000001</v>
      </c>
      <c r="M3845">
        <v>0.99992720000000002</v>
      </c>
      <c r="N3845">
        <v>-1.1880669999999999E-2</v>
      </c>
      <c r="O3845">
        <v>2.1452590000000001E-3</v>
      </c>
      <c r="P3845">
        <v>0.9801242</v>
      </c>
      <c r="Q3845">
        <v>0.1878928</v>
      </c>
      <c r="R3845">
        <v>6.3665739999999998E-2</v>
      </c>
      <c r="S3845">
        <v>3.0644529999999999</v>
      </c>
      <c r="T3845">
        <v>-0.12974630000000001</v>
      </c>
      <c r="U3845">
        <v>0.32263180000000002</v>
      </c>
      <c r="V3845">
        <v>-6.1548739999999998E-2</v>
      </c>
      <c r="W3845">
        <v>0.19953019999999999</v>
      </c>
      <c r="X3845">
        <v>0.97795679999999996</v>
      </c>
      <c r="Y3845">
        <v>-0.1024539</v>
      </c>
      <c r="Z3845">
        <v>2.7074989999999999E-3</v>
      </c>
      <c r="AA3845">
        <v>0.99473400000000001</v>
      </c>
      <c r="AB3845">
        <v>43</v>
      </c>
      <c r="AC3845">
        <v>25.7667999999999</v>
      </c>
      <c r="AD3845">
        <v>-1.1098303399831</v>
      </c>
      <c r="AE3845">
        <v>2.7587999999999999</v>
      </c>
      <c r="AF3845">
        <v>-2.69856364243208</v>
      </c>
      <c r="AG3845">
        <v>-1.1098303399831</v>
      </c>
      <c r="AH3845">
        <v>25.725474305654998</v>
      </c>
      <c r="AI3845">
        <v>92.456819079236297</v>
      </c>
      <c r="AJ3845">
        <v>95.988340730911602</v>
      </c>
      <c r="AK3845">
        <v>25.890422888912401</v>
      </c>
      <c r="AL3845">
        <v>78.490512536904106</v>
      </c>
      <c r="AM3845">
        <v>93.601220422239706</v>
      </c>
      <c r="AN3845">
        <v>1.0000000253869299</v>
      </c>
    </row>
    <row r="3846" spans="1:40" x14ac:dyDescent="0.25">
      <c r="A3846" t="str">
        <f>"20190304155133400"</f>
        <v>20190304155133400</v>
      </c>
      <c r="B3846" t="str">
        <f>"1551685893390134"</f>
        <v>1551685893390134</v>
      </c>
      <c r="C3846" t="s">
        <v>40</v>
      </c>
      <c r="D3846">
        <v>4.8383789999999998</v>
      </c>
      <c r="E3846">
        <v>0.4812784</v>
      </c>
      <c r="F3846" t="s">
        <v>70</v>
      </c>
      <c r="G3846">
        <v>-243.42689999999999</v>
      </c>
      <c r="H3846" s="1">
        <v>2.008865E-7</v>
      </c>
      <c r="I3846">
        <v>216.58269999999999</v>
      </c>
      <c r="J3846">
        <v>-269.62189999999998</v>
      </c>
      <c r="K3846">
        <v>1.1098410000000001</v>
      </c>
      <c r="L3846">
        <v>213.75790000000001</v>
      </c>
      <c r="M3846">
        <v>0.99992669999999995</v>
      </c>
      <c r="N3846">
        <v>-1.1928619999999999E-2</v>
      </c>
      <c r="O3846">
        <v>2.1340019999999999E-3</v>
      </c>
      <c r="P3846">
        <v>0.98010129999999995</v>
      </c>
      <c r="Q3846">
        <v>0.1879441</v>
      </c>
      <c r="R3846">
        <v>6.3862890000000005E-2</v>
      </c>
      <c r="S3846">
        <v>3.064209</v>
      </c>
      <c r="T3846">
        <v>-0.12773219999999999</v>
      </c>
      <c r="U3846">
        <v>0.32521060000000002</v>
      </c>
      <c r="V3846">
        <v>-6.1756409999999998E-2</v>
      </c>
      <c r="W3846">
        <v>0.19962779999999999</v>
      </c>
      <c r="X3846">
        <v>0.97792380000000001</v>
      </c>
      <c r="Y3846">
        <v>-0.1033034</v>
      </c>
      <c r="Z3846">
        <v>2.7010900000000002E-3</v>
      </c>
      <c r="AA3846">
        <v>0.99464629999999998</v>
      </c>
      <c r="AB3846">
        <v>43</v>
      </c>
      <c r="AC3846">
        <v>26.195</v>
      </c>
      <c r="AD3846">
        <v>-1.1098407991135</v>
      </c>
      <c r="AE3846">
        <v>2.8247999999999802</v>
      </c>
      <c r="AF3846">
        <v>-2.7639848660774899</v>
      </c>
      <c r="AG3846">
        <v>-1.1098407991135</v>
      </c>
      <c r="AH3846">
        <v>26.154558991388999</v>
      </c>
      <c r="AI3846">
        <v>92.416387946394494</v>
      </c>
      <c r="AJ3846">
        <v>96.032563817911495</v>
      </c>
      <c r="AK3846">
        <v>26.323607560008298</v>
      </c>
      <c r="AL3846">
        <v>78.484805776347699</v>
      </c>
      <c r="AM3846">
        <v>93.613460677673203</v>
      </c>
      <c r="AN3846">
        <v>1.0000000356576799</v>
      </c>
    </row>
    <row r="3847" spans="1:40" x14ac:dyDescent="0.25">
      <c r="A3847" t="str">
        <f>"20190304155133467"</f>
        <v>20190304155133467</v>
      </c>
      <c r="B3847" t="str">
        <f>"1551685893461010"</f>
        <v>1551685893461010</v>
      </c>
      <c r="C3847" t="s">
        <v>40</v>
      </c>
      <c r="D3847">
        <v>5.171716</v>
      </c>
      <c r="E3847">
        <v>0.4813364</v>
      </c>
      <c r="F3847" t="s">
        <v>70</v>
      </c>
      <c r="G3847">
        <v>-242.51929999999999</v>
      </c>
      <c r="H3847" s="1">
        <v>-2.8601930000000002E-7</v>
      </c>
      <c r="I3847">
        <v>216.67189999999999</v>
      </c>
      <c r="J3847">
        <v>-268.3236</v>
      </c>
      <c r="K3847">
        <v>1.109858</v>
      </c>
      <c r="L3847">
        <v>213.76070000000001</v>
      </c>
      <c r="M3847">
        <v>0.9999247</v>
      </c>
      <c r="N3847">
        <v>-1.208644E-2</v>
      </c>
      <c r="O3847">
        <v>2.0995469999999998E-3</v>
      </c>
      <c r="P3847">
        <v>0.98004500000000005</v>
      </c>
      <c r="Q3847">
        <v>0.1885696</v>
      </c>
      <c r="R3847">
        <v>6.2874920000000001E-2</v>
      </c>
      <c r="S3847">
        <v>3.0635379999999999</v>
      </c>
      <c r="T3847">
        <v>-0.12545049999999999</v>
      </c>
      <c r="U3847">
        <v>0.32937620000000001</v>
      </c>
      <c r="V3847">
        <v>-6.0802229999999999E-2</v>
      </c>
      <c r="W3847">
        <v>0.2004071</v>
      </c>
      <c r="X3847">
        <v>0.97782420000000003</v>
      </c>
      <c r="Y3847">
        <v>-0.1046993</v>
      </c>
      <c r="Z3847">
        <v>2.7111570000000001E-3</v>
      </c>
      <c r="AA3847">
        <v>0.99450019999999995</v>
      </c>
      <c r="AB3847">
        <v>43</v>
      </c>
      <c r="AC3847">
        <v>25.804300000000001</v>
      </c>
      <c r="AD3847">
        <v>-1.1098582860193</v>
      </c>
      <c r="AE3847">
        <v>2.91119999999998</v>
      </c>
      <c r="AF3847">
        <v>-2.8518030027643499</v>
      </c>
      <c r="AG3847">
        <v>-1.1098582860193</v>
      </c>
      <c r="AH3847">
        <v>25.763294946405001</v>
      </c>
      <c r="AI3847">
        <v>92.451766260290498</v>
      </c>
      <c r="AJ3847">
        <v>96.316497355242504</v>
      </c>
      <c r="AK3847">
        <v>25.9444007885532</v>
      </c>
      <c r="AL3847">
        <v>78.439234350746304</v>
      </c>
      <c r="AM3847">
        <v>93.558136149812</v>
      </c>
      <c r="AN3847">
        <v>1.0000000415045101</v>
      </c>
    </row>
    <row r="3848" spans="1:40" x14ac:dyDescent="0.25">
      <c r="A3848" t="str">
        <f>"20190304155133489"</f>
        <v>20190304155133489</v>
      </c>
      <c r="B3848" t="str">
        <f>"1551685893480531"</f>
        <v>1551685893480531</v>
      </c>
      <c r="C3848" t="s">
        <v>40</v>
      </c>
      <c r="D3848">
        <v>5.415343</v>
      </c>
      <c r="E3848">
        <v>0.58415150000000005</v>
      </c>
      <c r="F3848" t="s">
        <v>70</v>
      </c>
      <c r="G3848">
        <v>-241.1156</v>
      </c>
      <c r="H3848" s="1">
        <v>-1.0320039999999999E-6</v>
      </c>
      <c r="I3848">
        <v>216.6497</v>
      </c>
      <c r="J3848">
        <v>-267.89850000000001</v>
      </c>
      <c r="K3848">
        <v>1.1098680000000001</v>
      </c>
      <c r="L3848">
        <v>213.76159999999999</v>
      </c>
      <c r="M3848">
        <v>0.99992409999999998</v>
      </c>
      <c r="N3848">
        <v>-1.214779E-2</v>
      </c>
      <c r="O3848">
        <v>2.0873649999999999E-3</v>
      </c>
      <c r="P3848">
        <v>0.98004049999999998</v>
      </c>
      <c r="Q3848">
        <v>0.18878919999999999</v>
      </c>
      <c r="R3848">
        <v>6.2286359999999999E-2</v>
      </c>
      <c r="S3848">
        <v>3.06427</v>
      </c>
      <c r="T3848">
        <v>-0.1249967</v>
      </c>
      <c r="U3848">
        <v>0.32537840000000001</v>
      </c>
      <c r="V3848">
        <v>-6.022566E-2</v>
      </c>
      <c r="W3848">
        <v>0.200687</v>
      </c>
      <c r="X3848">
        <v>0.97780250000000002</v>
      </c>
      <c r="Y3848">
        <v>-0.1034052</v>
      </c>
      <c r="Z3848">
        <v>2.6728580000000002E-3</v>
      </c>
      <c r="AA3848">
        <v>0.99463570000000001</v>
      </c>
      <c r="AB3848">
        <v>43</v>
      </c>
      <c r="AC3848">
        <v>26.782900000000001</v>
      </c>
      <c r="AD3848">
        <v>-1.1098690320039999</v>
      </c>
      <c r="AE3848">
        <v>2.8881000000000001</v>
      </c>
      <c r="AF3848">
        <v>-2.8273844388972398</v>
      </c>
      <c r="AG3848">
        <v>-1.1098690320039999</v>
      </c>
      <c r="AH3848">
        <v>26.743473811466501</v>
      </c>
      <c r="AI3848">
        <v>92.363287277851597</v>
      </c>
      <c r="AJ3848">
        <v>96.035029418826596</v>
      </c>
      <c r="AK3848">
        <v>26.915410149914401</v>
      </c>
      <c r="AL3848">
        <v>78.422864980220297</v>
      </c>
      <c r="AM3848">
        <v>93.524558848465105</v>
      </c>
      <c r="AN3848">
        <v>1.0000000655488399</v>
      </c>
    </row>
    <row r="3849" spans="1:40" x14ac:dyDescent="0.25">
      <c r="A3849" t="str">
        <f>"20190304155133512"</f>
        <v>20190304155133512</v>
      </c>
      <c r="B3849" t="str">
        <f>"1551685893500582"</f>
        <v>1551685893500582</v>
      </c>
      <c r="C3849" t="s">
        <v>40</v>
      </c>
      <c r="D3849">
        <v>5.0942109999999996</v>
      </c>
      <c r="E3849">
        <v>0.57719160000000003</v>
      </c>
      <c r="F3849" t="s">
        <v>70</v>
      </c>
      <c r="G3849">
        <v>-250.13310000000001</v>
      </c>
      <c r="H3849" s="1">
        <v>-1.305727E-6</v>
      </c>
      <c r="I3849">
        <v>210.95079999999999</v>
      </c>
      <c r="J3849">
        <v>-267.47059999999999</v>
      </c>
      <c r="K3849">
        <v>1.10988</v>
      </c>
      <c r="L3849">
        <v>213.76240000000001</v>
      </c>
      <c r="M3849">
        <v>0.99992329999999996</v>
      </c>
      <c r="N3849">
        <v>-1.221385E-2</v>
      </c>
      <c r="O3849">
        <v>2.0720909999999999E-3</v>
      </c>
      <c r="P3849">
        <v>0.980132</v>
      </c>
      <c r="Q3849">
        <v>0.18844250000000001</v>
      </c>
      <c r="R3849">
        <v>6.189397E-2</v>
      </c>
      <c r="S3849">
        <v>3.1302490000000001</v>
      </c>
      <c r="T3849">
        <v>-0.1955585</v>
      </c>
      <c r="U3849">
        <v>-0.49525449999999999</v>
      </c>
      <c r="V3849">
        <v>-5.9847299999999999E-2</v>
      </c>
      <c r="W3849">
        <v>0.20040620000000001</v>
      </c>
      <c r="X3849">
        <v>0.97788330000000001</v>
      </c>
      <c r="Y3849">
        <v>0.15795529999999999</v>
      </c>
      <c r="Z3849">
        <v>-5.9739709999999998E-3</v>
      </c>
      <c r="AA3849">
        <v>0.98742819999999998</v>
      </c>
      <c r="AB3849">
        <v>43</v>
      </c>
      <c r="AC3849">
        <v>17.337499999999899</v>
      </c>
      <c r="AD3849">
        <v>-1.1098813057269901</v>
      </c>
      <c r="AE3849">
        <v>-2.8116000000000199</v>
      </c>
      <c r="AF3849">
        <v>2.8361964036117602</v>
      </c>
      <c r="AG3849">
        <v>-1.1098813057269901</v>
      </c>
      <c r="AH3849">
        <v>17.262705349370702</v>
      </c>
      <c r="AI3849">
        <v>93.630152360188603</v>
      </c>
      <c r="AJ3849">
        <v>80.669876934014795</v>
      </c>
      <c r="AK3849">
        <v>17.5293138066456</v>
      </c>
      <c r="AL3849">
        <v>78.4392870417349</v>
      </c>
      <c r="AM3849">
        <v>93.502182873171904</v>
      </c>
      <c r="AN3849">
        <v>1.0000000463673</v>
      </c>
    </row>
    <row r="3850" spans="1:40" x14ac:dyDescent="0.25">
      <c r="A3850" t="str">
        <f>"20190304155133534"</f>
        <v>20190304155133534</v>
      </c>
      <c r="B3850" t="str">
        <f>"1551685893530839"</f>
        <v>1551685893530839</v>
      </c>
      <c r="C3850" t="s">
        <v>40</v>
      </c>
      <c r="D3850">
        <v>4.8840680000000001</v>
      </c>
      <c r="E3850">
        <v>0.55371150000000002</v>
      </c>
      <c r="F3850" t="s">
        <v>70</v>
      </c>
      <c r="G3850">
        <v>-223.12450000000001</v>
      </c>
      <c r="H3850">
        <v>8.0000859999999993E-2</v>
      </c>
      <c r="I3850">
        <v>207.48050000000001</v>
      </c>
      <c r="J3850">
        <v>-267.0333</v>
      </c>
      <c r="K3850">
        <v>1.1098870000000001</v>
      </c>
      <c r="L3850">
        <v>213.76329999999999</v>
      </c>
      <c r="M3850">
        <v>0.99992259999999999</v>
      </c>
      <c r="N3850">
        <v>-1.2282980000000001E-2</v>
      </c>
      <c r="O3850">
        <v>2.0529609999999998E-3</v>
      </c>
      <c r="P3850">
        <v>0.98014349999999995</v>
      </c>
      <c r="Q3850">
        <v>0.18839049999999999</v>
      </c>
      <c r="R3850">
        <v>6.1868739999999998E-2</v>
      </c>
      <c r="S3850">
        <v>3.1024479999999999</v>
      </c>
      <c r="T3850">
        <v>-7.2050089999999997E-2</v>
      </c>
      <c r="U3850">
        <v>-0.43948359999999898</v>
      </c>
      <c r="V3850">
        <v>-5.9839179999999999E-2</v>
      </c>
      <c r="W3850">
        <v>0.20042209999999999</v>
      </c>
      <c r="X3850">
        <v>0.97788050000000004</v>
      </c>
      <c r="Y3850">
        <v>0.14223139999999901</v>
      </c>
      <c r="Z3850">
        <v>-2.5435520000000001E-3</v>
      </c>
      <c r="AA3850">
        <v>0.98983019999999999</v>
      </c>
      <c r="AB3850">
        <v>43</v>
      </c>
      <c r="AC3850">
        <v>43.9087999999999</v>
      </c>
      <c r="AD3850">
        <v>-1.0298861399999999</v>
      </c>
      <c r="AE3850">
        <v>-6.2827999999999804</v>
      </c>
      <c r="AF3850">
        <v>6.36950276907484</v>
      </c>
      <c r="AG3850">
        <v>-1.0298861399999999</v>
      </c>
      <c r="AH3850">
        <v>43.872156443806603</v>
      </c>
      <c r="AI3850">
        <v>91.330807553329905</v>
      </c>
      <c r="AJ3850">
        <v>81.739329137544701</v>
      </c>
      <c r="AK3850">
        <v>44.344078996146202</v>
      </c>
      <c r="AL3850">
        <v>78.438356734521804</v>
      </c>
      <c r="AM3850">
        <v>93.501718885836098</v>
      </c>
      <c r="AN3850">
        <v>1.0000000089558601</v>
      </c>
    </row>
    <row r="3851" spans="1:40" x14ac:dyDescent="0.25">
      <c r="A3851" t="str">
        <f>"20190304155133556"</f>
        <v>20190304155133556</v>
      </c>
      <c r="B3851" t="str">
        <f>"1551685893550357"</f>
        <v>1551685893550357</v>
      </c>
      <c r="C3851" t="s">
        <v>40</v>
      </c>
      <c r="D3851">
        <v>4.9885859999999997</v>
      </c>
      <c r="E3851">
        <v>0.54864860000000004</v>
      </c>
      <c r="F3851" t="s">
        <v>70</v>
      </c>
      <c r="G3851">
        <v>-222.5436</v>
      </c>
      <c r="H3851" s="1">
        <v>1.342799E-8</v>
      </c>
      <c r="I3851">
        <v>210.1183</v>
      </c>
      <c r="J3851">
        <v>-266.60140000000001</v>
      </c>
      <c r="K3851">
        <v>1.1098969999999999</v>
      </c>
      <c r="L3851">
        <v>213.76419999999999</v>
      </c>
      <c r="M3851">
        <v>0.99992170000000002</v>
      </c>
      <c r="N3851">
        <v>-1.235635E-2</v>
      </c>
      <c r="O3851">
        <v>2.0392100000000001E-3</v>
      </c>
      <c r="P3851">
        <v>0.98005489999999995</v>
      </c>
      <c r="Q3851">
        <v>0.18877640000000001</v>
      </c>
      <c r="R3851">
        <v>6.209903E-2</v>
      </c>
      <c r="S3851">
        <v>3.0916139999999999</v>
      </c>
      <c r="T3851">
        <v>-7.7126739999999999E-2</v>
      </c>
      <c r="U3851">
        <v>-0.25329590000000002</v>
      </c>
      <c r="V3851">
        <v>-6.0082900000000002E-2</v>
      </c>
      <c r="W3851">
        <v>0.2008789</v>
      </c>
      <c r="X3851">
        <v>0.97777179999999997</v>
      </c>
      <c r="Y3851">
        <v>8.3649899999999902E-2</v>
      </c>
      <c r="Z3851">
        <v>-1.5849379999999999E-3</v>
      </c>
      <c r="AA3851">
        <v>0.99649390000000004</v>
      </c>
      <c r="AB3851">
        <v>43</v>
      </c>
      <c r="AC3851">
        <v>44.0578</v>
      </c>
      <c r="AD3851">
        <v>-1.1098969865720101</v>
      </c>
      <c r="AE3851">
        <v>-3.6458999999999802</v>
      </c>
      <c r="AF3851">
        <v>3.7333891717740899</v>
      </c>
      <c r="AG3851">
        <v>-1.1098969865720101</v>
      </c>
      <c r="AH3851">
        <v>44.022525117665403</v>
      </c>
      <c r="AI3851">
        <v>91.439073112722198</v>
      </c>
      <c r="AJ3851">
        <v>85.152553647551301</v>
      </c>
      <c r="AK3851">
        <v>44.194488160450597</v>
      </c>
      <c r="AL3851">
        <v>78.4116404739122</v>
      </c>
      <c r="AM3851">
        <v>93.516335281366693</v>
      </c>
      <c r="AN3851">
        <v>0.99999999010643004</v>
      </c>
    </row>
    <row r="3852" spans="1:40" x14ac:dyDescent="0.25">
      <c r="A3852" t="str">
        <f>"20190304155133579"</f>
        <v>20190304155133579</v>
      </c>
      <c r="B3852" t="str">
        <f>"1551685893570857"</f>
        <v>1551685893570857</v>
      </c>
      <c r="C3852" t="s">
        <v>40</v>
      </c>
      <c r="D3852">
        <v>4.9694390000000004</v>
      </c>
      <c r="E3852">
        <v>0.5485852</v>
      </c>
      <c r="F3852" t="s">
        <v>70</v>
      </c>
      <c r="G3852">
        <v>-223.98339999999999</v>
      </c>
      <c r="H3852" s="1">
        <v>7.4787059999999899E-7</v>
      </c>
      <c r="I3852">
        <v>210.84450000000001</v>
      </c>
      <c r="J3852">
        <v>-266.1628</v>
      </c>
      <c r="K3852">
        <v>1.109907</v>
      </c>
      <c r="L3852">
        <v>213.76499999999999</v>
      </c>
      <c r="M3852">
        <v>0.99992060000000005</v>
      </c>
      <c r="N3852">
        <v>-1.24382E-2</v>
      </c>
      <c r="O3852">
        <v>2.0302319999999999E-3</v>
      </c>
      <c r="P3852">
        <v>0.9799736</v>
      </c>
      <c r="Q3852">
        <v>0.18921470000000001</v>
      </c>
      <c r="R3852">
        <v>6.2045790000000003E-2</v>
      </c>
      <c r="S3852">
        <v>3.089966</v>
      </c>
      <c r="T3852">
        <v>-8.0471749999999995E-2</v>
      </c>
      <c r="U3852">
        <v>-0.21168519999999999</v>
      </c>
      <c r="V3852">
        <v>-6.003816E-2</v>
      </c>
      <c r="W3852">
        <v>0.20139599999999999</v>
      </c>
      <c r="X3852">
        <v>0.97766819999999999</v>
      </c>
      <c r="Y3852">
        <v>7.0337280000000002E-2</v>
      </c>
      <c r="Z3852">
        <v>-1.3803229999999999E-3</v>
      </c>
      <c r="AA3852">
        <v>0.99752229999999997</v>
      </c>
      <c r="AB3852">
        <v>43</v>
      </c>
      <c r="AC3852">
        <v>42.179400000000001</v>
      </c>
      <c r="AD3852">
        <v>-1.1099062521293901</v>
      </c>
      <c r="AE3852">
        <v>-2.9204999999999699</v>
      </c>
      <c r="AF3852">
        <v>3.0040644110175498</v>
      </c>
      <c r="AG3852">
        <v>-1.1099062521293901</v>
      </c>
      <c r="AH3852">
        <v>42.144340809561498</v>
      </c>
      <c r="AI3852">
        <v>91.504767104797395</v>
      </c>
      <c r="AJ3852">
        <v>85.922831245294702</v>
      </c>
      <c r="AK3852">
        <v>42.265846225368897</v>
      </c>
      <c r="AL3852">
        <v>78.381395038349098</v>
      </c>
      <c r="AM3852">
        <v>93.514094851305202</v>
      </c>
      <c r="AN3852">
        <v>1.00000001938171</v>
      </c>
    </row>
    <row r="3853" spans="1:40" x14ac:dyDescent="0.25">
      <c r="A3853" t="str">
        <f>"20190304155133600"</f>
        <v>20190304155133600</v>
      </c>
      <c r="B3853" t="str">
        <f>"1551685893590374"</f>
        <v>1551685893590374</v>
      </c>
      <c r="C3853" t="s">
        <v>40</v>
      </c>
      <c r="D3853">
        <v>4.9474519999999904</v>
      </c>
      <c r="E3853">
        <v>0.54532440000000004</v>
      </c>
      <c r="F3853" t="s">
        <v>70</v>
      </c>
      <c r="G3853">
        <v>-226.90950000000001</v>
      </c>
      <c r="H3853" s="1">
        <v>2.2945959999999999E-6</v>
      </c>
      <c r="I3853">
        <v>211.0823</v>
      </c>
      <c r="J3853">
        <v>-265.73919999999998</v>
      </c>
      <c r="K3853">
        <v>1.1099250000000001</v>
      </c>
      <c r="L3853">
        <v>213.76589999999999</v>
      </c>
      <c r="M3853">
        <v>0.99991960000000002</v>
      </c>
      <c r="N3853">
        <v>-1.252528E-2</v>
      </c>
      <c r="O3853">
        <v>2.0221369999999998E-3</v>
      </c>
      <c r="P3853">
        <v>0.98002310000000004</v>
      </c>
      <c r="Q3853">
        <v>0.18897810000000001</v>
      </c>
      <c r="R3853">
        <v>6.1984289999999997E-2</v>
      </c>
      <c r="S3853">
        <v>3.0915530000000002</v>
      </c>
      <c r="T3853">
        <v>-8.7414980000000003E-2</v>
      </c>
      <c r="U3853">
        <v>-0.21128849999999999</v>
      </c>
      <c r="V3853">
        <v>-5.9985520000000001E-2</v>
      </c>
      <c r="W3853">
        <v>0.20124520000000001</v>
      </c>
      <c r="X3853">
        <v>0.97770250000000003</v>
      </c>
      <c r="Y3853">
        <v>7.0161619999999994E-2</v>
      </c>
      <c r="Z3853">
        <v>-1.462428E-3</v>
      </c>
      <c r="AA3853">
        <v>0.99753460000000005</v>
      </c>
      <c r="AB3853">
        <v>43</v>
      </c>
      <c r="AC3853">
        <v>38.829699999999903</v>
      </c>
      <c r="AD3853">
        <v>-1.109922705404</v>
      </c>
      <c r="AE3853">
        <v>-2.6835999999999798</v>
      </c>
      <c r="AF3853">
        <v>2.7598753564699399</v>
      </c>
      <c r="AG3853">
        <v>-1.109922705404</v>
      </c>
      <c r="AH3853">
        <v>38.792648070670602</v>
      </c>
      <c r="AI3853">
        <v>91.634751523589998</v>
      </c>
      <c r="AJ3853">
        <v>85.930589062354599</v>
      </c>
      <c r="AK3853">
        <v>38.906533959350902</v>
      </c>
      <c r="AL3853">
        <v>78.390216037669703</v>
      </c>
      <c r="AM3853">
        <v>93.510898622644007</v>
      </c>
      <c r="AN3853">
        <v>1.0000000358194701</v>
      </c>
    </row>
    <row r="3854" spans="1:40" x14ac:dyDescent="0.25">
      <c r="A3854" t="str">
        <f>"20190304155133624"</f>
        <v>20190304155133624</v>
      </c>
      <c r="B3854" t="str">
        <f>"1551685893620219"</f>
        <v>1551685893620219</v>
      </c>
      <c r="C3854" t="s">
        <v>40</v>
      </c>
      <c r="D3854">
        <v>4.9388300000000003</v>
      </c>
      <c r="E3854">
        <v>0.54223279999999996</v>
      </c>
      <c r="F3854" t="s">
        <v>70</v>
      </c>
      <c r="G3854">
        <v>-226.02930000000001</v>
      </c>
      <c r="H3854" s="1">
        <v>1.813046E-6</v>
      </c>
      <c r="I3854">
        <v>211.38300000000001</v>
      </c>
      <c r="J3854">
        <v>-265.29840000000002</v>
      </c>
      <c r="K3854">
        <v>1.109947</v>
      </c>
      <c r="L3854">
        <v>213.76669999999999</v>
      </c>
      <c r="M3854">
        <v>0.99991830000000004</v>
      </c>
      <c r="N3854">
        <v>-1.2622100000000001E-2</v>
      </c>
      <c r="O3854">
        <v>2.0096570000000002E-3</v>
      </c>
      <c r="P3854">
        <v>0.98012489999999997</v>
      </c>
      <c r="Q3854">
        <v>0.18846209999999999</v>
      </c>
      <c r="R3854">
        <v>6.1946340000000003E-2</v>
      </c>
      <c r="S3854">
        <v>3.0895389999999998</v>
      </c>
      <c r="T3854">
        <v>-8.6355089999999995E-2</v>
      </c>
      <c r="U3854">
        <v>-0.18539430000000001</v>
      </c>
      <c r="V3854">
        <v>-5.9961439999999998E-2</v>
      </c>
      <c r="W3854">
        <v>0.20082430000000001</v>
      </c>
      <c r="X3854">
        <v>0.97779050000000001</v>
      </c>
      <c r="Y3854">
        <v>6.1870229999999998E-2</v>
      </c>
      <c r="Z3854">
        <v>-1.285429E-3</v>
      </c>
      <c r="AA3854">
        <v>0.99808339999999995</v>
      </c>
      <c r="AB3854">
        <v>43</v>
      </c>
      <c r="AC3854">
        <v>39.269100000000002</v>
      </c>
      <c r="AD3854">
        <v>-1.109945186954</v>
      </c>
      <c r="AE3854">
        <v>-2.3837000000000002</v>
      </c>
      <c r="AF3854">
        <v>2.4606602519855798</v>
      </c>
      <c r="AG3854">
        <v>-1.109945186954</v>
      </c>
      <c r="AH3854">
        <v>39.233001080352601</v>
      </c>
      <c r="AI3854">
        <v>91.617352730162196</v>
      </c>
      <c r="AJ3854">
        <v>86.411158614500394</v>
      </c>
      <c r="AK3854">
        <v>39.325757474773297</v>
      </c>
      <c r="AL3854">
        <v>78.414834225729706</v>
      </c>
      <c r="AM3854">
        <v>93.509177704173595</v>
      </c>
      <c r="AN3854">
        <v>1.0000000178238</v>
      </c>
    </row>
    <row r="3855" spans="1:40" x14ac:dyDescent="0.25">
      <c r="A3855" t="str">
        <f>"20190304155133646"</f>
        <v>20190304155133646</v>
      </c>
      <c r="B3855" t="str">
        <f>"1551685893640715"</f>
        <v>1551685893640715</v>
      </c>
      <c r="C3855" t="s">
        <v>40</v>
      </c>
      <c r="D3855">
        <v>4.9943080000000002</v>
      </c>
      <c r="E3855">
        <v>0.54121940000000002</v>
      </c>
      <c r="F3855" t="s">
        <v>70</v>
      </c>
      <c r="G3855">
        <v>-225.68</v>
      </c>
      <c r="H3855" s="1">
        <v>1.61306E-6</v>
      </c>
      <c r="I3855">
        <v>211.7054</v>
      </c>
      <c r="J3855">
        <v>-264.86610000000002</v>
      </c>
      <c r="K3855">
        <v>1.1099669999999999</v>
      </c>
      <c r="L3855">
        <v>213.76759999999999</v>
      </c>
      <c r="M3855">
        <v>0.9999171</v>
      </c>
      <c r="N3855">
        <v>-1.271774E-2</v>
      </c>
      <c r="O3855">
        <v>1.9949070000000002E-3</v>
      </c>
      <c r="P3855">
        <v>0.98007679999999997</v>
      </c>
      <c r="Q3855">
        <v>0.1889197</v>
      </c>
      <c r="R3855">
        <v>6.1310669999999998E-2</v>
      </c>
      <c r="S3855">
        <v>3.0876160000000001</v>
      </c>
      <c r="T3855">
        <v>-8.6502309999999999E-2</v>
      </c>
      <c r="U3855">
        <v>-0.1606445</v>
      </c>
      <c r="V3855">
        <v>-5.9341930000000001E-2</v>
      </c>
      <c r="W3855">
        <v>0.20137450000000001</v>
      </c>
      <c r="X3855">
        <v>0.97771509999999995</v>
      </c>
      <c r="Y3855">
        <v>5.3919729999999999E-2</v>
      </c>
      <c r="Z3855">
        <v>-1.1283479999999999E-3</v>
      </c>
      <c r="AA3855">
        <v>0.9985446</v>
      </c>
      <c r="AB3855">
        <v>43</v>
      </c>
      <c r="AC3855">
        <v>39.186100000000003</v>
      </c>
      <c r="AD3855">
        <v>-1.1099653869399999</v>
      </c>
      <c r="AE3855">
        <v>-2.06219999999999</v>
      </c>
      <c r="AF3855">
        <v>2.1386636646831501</v>
      </c>
      <c r="AG3855">
        <v>-1.1099653869399999</v>
      </c>
      <c r="AH3855">
        <v>39.150582723587597</v>
      </c>
      <c r="AI3855">
        <v>91.621551875633202</v>
      </c>
      <c r="AJ3855">
        <v>86.873233412227407</v>
      </c>
      <c r="AK3855">
        <v>39.224661031388401</v>
      </c>
      <c r="AL3855">
        <v>78.382652262650495</v>
      </c>
      <c r="AM3855">
        <v>93.473277942143596</v>
      </c>
      <c r="AN3855">
        <v>0.99999998533719203</v>
      </c>
    </row>
    <row r="3856" spans="1:40" x14ac:dyDescent="0.25">
      <c r="A3856" t="str">
        <f>"20190304155133680"</f>
        <v>20190304155133680</v>
      </c>
      <c r="B3856" t="str">
        <f>"1551685893670974"</f>
        <v>1551685893670974</v>
      </c>
      <c r="C3856" t="s">
        <v>40</v>
      </c>
      <c r="D3856">
        <v>5.0993180000000002</v>
      </c>
      <c r="E3856">
        <v>0.54035880000000003</v>
      </c>
      <c r="F3856" t="s">
        <v>70</v>
      </c>
      <c r="G3856">
        <v>-222.9375</v>
      </c>
      <c r="H3856" s="1">
        <v>1.551856E-7</v>
      </c>
      <c r="I3856">
        <v>211.67070000000001</v>
      </c>
      <c r="J3856">
        <v>-264.2056</v>
      </c>
      <c r="K3856">
        <v>1.109988</v>
      </c>
      <c r="L3856">
        <v>213.7689</v>
      </c>
      <c r="M3856">
        <v>0.99991549999999996</v>
      </c>
      <c r="N3856">
        <v>-1.2858970000000001E-2</v>
      </c>
      <c r="O3856">
        <v>1.9744630000000001E-3</v>
      </c>
      <c r="P3856">
        <v>0.98005960000000003</v>
      </c>
      <c r="Q3856">
        <v>0.1894014</v>
      </c>
      <c r="R3856">
        <v>6.0085300000000001E-2</v>
      </c>
      <c r="S3856">
        <v>3.086395</v>
      </c>
      <c r="T3856">
        <v>-8.1705689999999997E-2</v>
      </c>
      <c r="U3856">
        <v>-0.15435789999999999</v>
      </c>
      <c r="V3856">
        <v>-5.8137090000000002E-2</v>
      </c>
      <c r="W3856">
        <v>0.2019939</v>
      </c>
      <c r="X3856">
        <v>0.97765979999999997</v>
      </c>
      <c r="Y3856">
        <v>5.1894849999999999E-2</v>
      </c>
      <c r="Z3856">
        <v>-1.0471759999999999E-3</v>
      </c>
      <c r="AA3856">
        <v>0.99865199999999998</v>
      </c>
      <c r="AB3856">
        <v>43</v>
      </c>
      <c r="AC3856">
        <v>41.268099999999997</v>
      </c>
      <c r="AD3856">
        <v>-1.1099878448143901</v>
      </c>
      <c r="AE3856">
        <v>-2.0981999999999901</v>
      </c>
      <c r="AF3856">
        <v>2.1781132834162</v>
      </c>
      <c r="AG3856">
        <v>-1.1099878448143901</v>
      </c>
      <c r="AH3856">
        <v>41.234122543208599</v>
      </c>
      <c r="AI3856">
        <v>91.539835978877306</v>
      </c>
      <c r="AJ3856">
        <v>86.976270811358603</v>
      </c>
      <c r="AK3856">
        <v>41.306526268852103</v>
      </c>
      <c r="AL3856">
        <v>78.346419686047696</v>
      </c>
      <c r="AM3856">
        <v>93.403118220960096</v>
      </c>
      <c r="AN3856">
        <v>1.00000007070345</v>
      </c>
    </row>
    <row r="3857" spans="1:40" x14ac:dyDescent="0.25">
      <c r="A3857" t="str">
        <f>"20190304155133701"</f>
        <v>20190304155133701</v>
      </c>
      <c r="B3857" t="str">
        <f>"1551685893690491"</f>
        <v>1551685893690491</v>
      </c>
      <c r="C3857" t="s">
        <v>40</v>
      </c>
      <c r="D3857">
        <v>5.1771500000000001</v>
      </c>
      <c r="E3857">
        <v>0.53966840000000005</v>
      </c>
      <c r="F3857" t="s">
        <v>70</v>
      </c>
      <c r="G3857">
        <v>-219.80969999999999</v>
      </c>
      <c r="H3857" s="1">
        <v>3.8156780000000004E-6</v>
      </c>
      <c r="I3857">
        <v>211.5908</v>
      </c>
      <c r="J3857">
        <v>-263.80090000000001</v>
      </c>
      <c r="K3857">
        <v>1.1099939999999999</v>
      </c>
      <c r="L3857">
        <v>213.7697</v>
      </c>
      <c r="M3857">
        <v>0.99991450000000004</v>
      </c>
      <c r="N3857">
        <v>-1.2939529999999999E-2</v>
      </c>
      <c r="O3857">
        <v>1.9642150000000001E-3</v>
      </c>
      <c r="P3857">
        <v>0.98008379999999995</v>
      </c>
      <c r="Q3857">
        <v>0.18942719999999999</v>
      </c>
      <c r="R3857">
        <v>5.9613510000000001E-2</v>
      </c>
      <c r="S3857">
        <v>3.0852659999999998</v>
      </c>
      <c r="T3857">
        <v>-7.7137709999999998E-2</v>
      </c>
      <c r="U3857">
        <v>-0.15136720000000001</v>
      </c>
      <c r="V3857">
        <v>-5.7674759999999999E-2</v>
      </c>
      <c r="W3857">
        <v>0.20209849999999999</v>
      </c>
      <c r="X3857">
        <v>0.97766549999999997</v>
      </c>
      <c r="Y3857">
        <v>5.0940029999999997E-2</v>
      </c>
      <c r="Z3857">
        <v>-9.8985140000000006E-4</v>
      </c>
      <c r="AA3857">
        <v>0.99870119999999896</v>
      </c>
      <c r="AB3857">
        <v>43</v>
      </c>
      <c r="AC3857">
        <v>43.991199999999999</v>
      </c>
      <c r="AD3857">
        <v>-1.1099901843219999</v>
      </c>
      <c r="AE3857">
        <v>-2.1788999999999898</v>
      </c>
      <c r="AF3857">
        <v>2.2638734053772001</v>
      </c>
      <c r="AG3857">
        <v>-1.1099901843219999</v>
      </c>
      <c r="AH3857">
        <v>43.958916603237903</v>
      </c>
      <c r="AI3857">
        <v>91.444533432756003</v>
      </c>
      <c r="AJ3857">
        <v>87.051885944146207</v>
      </c>
      <c r="AK3857">
        <v>44.031165666324199</v>
      </c>
      <c r="AL3857">
        <v>78.340299574788204</v>
      </c>
      <c r="AM3857">
        <v>93.376098439985299</v>
      </c>
      <c r="AN3857">
        <v>1.00000000576677</v>
      </c>
    </row>
    <row r="3858" spans="1:40" x14ac:dyDescent="0.25">
      <c r="A3858" t="str">
        <f>"20190304155133723"</f>
        <v>20190304155133723</v>
      </c>
      <c r="B3858" t="str">
        <f>"1551685893720865"</f>
        <v>1551685893720865</v>
      </c>
      <c r="C3858" t="s">
        <v>40</v>
      </c>
      <c r="D3858">
        <v>5.0775040000000002</v>
      </c>
      <c r="E3858">
        <v>0.53920729999999994</v>
      </c>
      <c r="F3858" t="s">
        <v>70</v>
      </c>
      <c r="G3858">
        <v>-217.04130000000001</v>
      </c>
      <c r="H3858" s="1">
        <v>2.3449339999999999E-6</v>
      </c>
      <c r="I3858">
        <v>211.5351</v>
      </c>
      <c r="J3858">
        <v>-263.37310000000002</v>
      </c>
      <c r="K3858">
        <v>1.1100019999999999</v>
      </c>
      <c r="L3858">
        <v>213.7705</v>
      </c>
      <c r="M3858">
        <v>0.99991350000000001</v>
      </c>
      <c r="N3858">
        <v>-1.30177E-2</v>
      </c>
      <c r="O3858">
        <v>1.954571E-3</v>
      </c>
      <c r="P3858">
        <v>0.98007049999999996</v>
      </c>
      <c r="Q3858">
        <v>0.18957840000000001</v>
      </c>
      <c r="R3858">
        <v>5.9347469999999999E-2</v>
      </c>
      <c r="S3858">
        <v>3.084076</v>
      </c>
      <c r="T3858">
        <v>-7.3210600000000001E-2</v>
      </c>
      <c r="U3858">
        <v>-0.1473846</v>
      </c>
      <c r="V3858">
        <v>-5.7417459999999997E-2</v>
      </c>
      <c r="W3858">
        <v>0.2023259</v>
      </c>
      <c r="X3858">
        <v>0.97763359999999999</v>
      </c>
      <c r="Y3858">
        <v>4.9665109999999998E-2</v>
      </c>
      <c r="Z3858">
        <v>-9.3353070000000004E-4</v>
      </c>
      <c r="AA3858">
        <v>0.99876549999999997</v>
      </c>
      <c r="AB3858">
        <v>43</v>
      </c>
      <c r="AC3858">
        <v>46.331800000000001</v>
      </c>
      <c r="AD3858">
        <v>-1.1099996550659901</v>
      </c>
      <c r="AE3858">
        <v>-2.2353999999999901</v>
      </c>
      <c r="AF3858">
        <v>2.32463101886735</v>
      </c>
      <c r="AG3858">
        <v>-1.1099996550659901</v>
      </c>
      <c r="AH3858">
        <v>46.300828411276797</v>
      </c>
      <c r="AI3858">
        <v>91.371598675186803</v>
      </c>
      <c r="AJ3858">
        <v>87.125757671265902</v>
      </c>
      <c r="AK3858">
        <v>46.372434917509203</v>
      </c>
      <c r="AL3858">
        <v>78.3269955538738</v>
      </c>
      <c r="AM3858">
        <v>93.361180936157595</v>
      </c>
      <c r="AN3858">
        <v>0.99999999518631</v>
      </c>
    </row>
    <row r="3859" spans="1:40" x14ac:dyDescent="0.25">
      <c r="A3859" t="str">
        <f>"20190304155133746"</f>
        <v>20190304155133746</v>
      </c>
      <c r="B3859" t="str">
        <f>"1551685893740395"</f>
        <v>1551685893740395</v>
      </c>
      <c r="C3859" t="s">
        <v>40</v>
      </c>
      <c r="D3859">
        <v>5.0882209999999999</v>
      </c>
      <c r="E3859">
        <v>0.53896560000000004</v>
      </c>
      <c r="F3859" t="s">
        <v>70</v>
      </c>
      <c r="G3859">
        <v>-214.1943</v>
      </c>
      <c r="H3859" s="1">
        <v>8.3265529999999898E-7</v>
      </c>
      <c r="I3859">
        <v>211.47200000000001</v>
      </c>
      <c r="J3859">
        <v>-262.93450000000001</v>
      </c>
      <c r="K3859">
        <v>1.1100110000000001</v>
      </c>
      <c r="L3859">
        <v>213.7713</v>
      </c>
      <c r="M3859">
        <v>0.99991240000000003</v>
      </c>
      <c r="N3859">
        <v>-1.3089419999999999E-2</v>
      </c>
      <c r="O3859">
        <v>1.944971E-3</v>
      </c>
      <c r="P3859">
        <v>0.98006780000000004</v>
      </c>
      <c r="Q3859">
        <v>0.18962660000000001</v>
      </c>
      <c r="R3859">
        <v>5.9238689999999997E-2</v>
      </c>
      <c r="S3859">
        <v>3.083221</v>
      </c>
      <c r="T3859">
        <v>-6.9590570000000004E-2</v>
      </c>
      <c r="U3859">
        <v>-0.14410400000000001</v>
      </c>
      <c r="V3859">
        <v>-5.7318139999999997E-2</v>
      </c>
      <c r="W3859">
        <v>0.2024445</v>
      </c>
      <c r="X3859">
        <v>0.97761489999999995</v>
      </c>
      <c r="Y3859">
        <v>4.8610470000000003E-2</v>
      </c>
      <c r="Z3859">
        <v>-8.8503690000000005E-4</v>
      </c>
      <c r="AA3859">
        <v>0.99881739999999997</v>
      </c>
      <c r="AB3859">
        <v>43</v>
      </c>
      <c r="AC3859">
        <v>48.740200000000002</v>
      </c>
      <c r="AD3859">
        <v>-1.1100101673447</v>
      </c>
      <c r="AE3859">
        <v>-2.2992999999999801</v>
      </c>
      <c r="AF3859">
        <v>2.3928637344392398</v>
      </c>
      <c r="AG3859">
        <v>-1.1100101673447</v>
      </c>
      <c r="AH3859">
        <v>48.710427488392497</v>
      </c>
      <c r="AI3859">
        <v>91.303854962096807</v>
      </c>
      <c r="AJ3859">
        <v>87.1876479906729</v>
      </c>
      <c r="AK3859">
        <v>48.781796456517903</v>
      </c>
      <c r="AL3859">
        <v>78.320056960152598</v>
      </c>
      <c r="AM3859">
        <v>93.355444138959101</v>
      </c>
      <c r="AN3859">
        <v>1.0000000187276501</v>
      </c>
    </row>
    <row r="3860" spans="1:40" x14ac:dyDescent="0.25">
      <c r="A3860" t="str">
        <f>"20190304155133768"</f>
        <v>20190304155133768</v>
      </c>
      <c r="B3860" t="str">
        <f>"1551685893760884"</f>
        <v>1551685893760884</v>
      </c>
      <c r="C3860" t="s">
        <v>40</v>
      </c>
      <c r="D3860">
        <v>5.054246</v>
      </c>
      <c r="E3860">
        <v>0.53882759999999996</v>
      </c>
      <c r="F3860" t="s">
        <v>70</v>
      </c>
      <c r="G3860">
        <v>-212.13740000000001</v>
      </c>
      <c r="H3860" s="1">
        <v>-2.6015660000000002E-7</v>
      </c>
      <c r="I3860">
        <v>211.43090000000001</v>
      </c>
      <c r="J3860">
        <v>-262.50360000000001</v>
      </c>
      <c r="K3860">
        <v>1.1100099999999999</v>
      </c>
      <c r="L3860">
        <v>213.7722</v>
      </c>
      <c r="M3860">
        <v>0.99991169999999996</v>
      </c>
      <c r="N3860">
        <v>-1.315174E-2</v>
      </c>
      <c r="O3860">
        <v>1.934842E-3</v>
      </c>
      <c r="P3860">
        <v>0.98000030000000005</v>
      </c>
      <c r="Q3860">
        <v>0.1899508</v>
      </c>
      <c r="R3860">
        <v>5.9315189999999997E-2</v>
      </c>
      <c r="S3860">
        <v>3.0826419999999999</v>
      </c>
      <c r="T3860">
        <v>-6.736135E-2</v>
      </c>
      <c r="U3860">
        <v>-0.14202879999999901</v>
      </c>
      <c r="V3860">
        <v>-5.7404370000000003E-2</v>
      </c>
      <c r="W3860">
        <v>0.2028288</v>
      </c>
      <c r="X3860">
        <v>0.97753020000000002</v>
      </c>
      <c r="Y3860">
        <v>4.79394E-2</v>
      </c>
      <c r="Z3860">
        <v>-8.55746E-4</v>
      </c>
      <c r="AA3860">
        <v>0.99884989999999996</v>
      </c>
      <c r="AB3860">
        <v>43</v>
      </c>
      <c r="AC3860">
        <v>50.3661999999999</v>
      </c>
      <c r="AD3860">
        <v>-1.1100102601566</v>
      </c>
      <c r="AE3860">
        <v>-2.34129999999998</v>
      </c>
      <c r="AF3860">
        <v>2.4375732821791201</v>
      </c>
      <c r="AG3860">
        <v>-1.1100102601566</v>
      </c>
      <c r="AH3860">
        <v>50.337178798554397</v>
      </c>
      <c r="AI3860">
        <v>91.261775036664105</v>
      </c>
      <c r="AJ3860">
        <v>87.227622809582201</v>
      </c>
      <c r="AK3860">
        <v>50.408386759360603</v>
      </c>
      <c r="AL3860">
        <v>78.297571940369494</v>
      </c>
      <c r="AM3860">
        <v>93.360771051616098</v>
      </c>
      <c r="AN3860">
        <v>1.0000000378582801</v>
      </c>
    </row>
    <row r="3861" spans="1:40" x14ac:dyDescent="0.25">
      <c r="A3861" t="str">
        <f>"20190304155133791"</f>
        <v>20190304155133791</v>
      </c>
      <c r="B3861" t="str">
        <f>"1551685893780401"</f>
        <v>1551685893780401</v>
      </c>
      <c r="C3861" t="s">
        <v>40</v>
      </c>
      <c r="D3861">
        <v>5.0733420000000002</v>
      </c>
      <c r="E3861">
        <v>0.53867010000000004</v>
      </c>
      <c r="F3861" t="s">
        <v>62</v>
      </c>
      <c r="G3861">
        <v>-209.73859999999999</v>
      </c>
      <c r="H3861" s="1">
        <v>6.8199459999999997E-6</v>
      </c>
      <c r="I3861">
        <v>211.36439999999999</v>
      </c>
      <c r="J3861">
        <v>-262.07040000000001</v>
      </c>
      <c r="K3861">
        <v>1.110009</v>
      </c>
      <c r="L3861">
        <v>213.773</v>
      </c>
      <c r="M3861">
        <v>0.99991110000000005</v>
      </c>
      <c r="N3861">
        <v>-1.3206539999999999E-2</v>
      </c>
      <c r="O3861">
        <v>1.9236920000000001E-3</v>
      </c>
      <c r="P3861">
        <v>0.97995730000000003</v>
      </c>
      <c r="Q3861">
        <v>0.19009980000000001</v>
      </c>
      <c r="R3861">
        <v>5.9550390000000002E-2</v>
      </c>
      <c r="S3861">
        <v>3.0823360000000002</v>
      </c>
      <c r="T3861">
        <v>-6.4842220000000006E-2</v>
      </c>
      <c r="U3861">
        <v>-0.14065549999999999</v>
      </c>
      <c r="V3861">
        <v>-5.7650819999999998E-2</v>
      </c>
      <c r="W3861">
        <v>0.2030305</v>
      </c>
      <c r="X3861">
        <v>0.97747379999999995</v>
      </c>
      <c r="Y3861">
        <v>4.7489959999999998E-2</v>
      </c>
      <c r="Z3861">
        <v>-8.2807490000000002E-4</v>
      </c>
      <c r="AA3861">
        <v>0.99887139999999996</v>
      </c>
      <c r="AB3861">
        <v>43</v>
      </c>
      <c r="AC3861">
        <v>52.331800000000001</v>
      </c>
      <c r="AD3861">
        <v>-1.1100021800540001</v>
      </c>
      <c r="AE3861">
        <v>-2.4085999999999999</v>
      </c>
      <c r="AF3861">
        <v>2.5081485401266201</v>
      </c>
      <c r="AG3861">
        <v>-1.1100021800540001</v>
      </c>
      <c r="AH3861">
        <v>52.3035876865655</v>
      </c>
      <c r="AI3861">
        <v>91.214370415039994</v>
      </c>
      <c r="AJ3861">
        <v>87.254560722182305</v>
      </c>
      <c r="AK3861">
        <v>52.375454163427598</v>
      </c>
      <c r="AL3861">
        <v>78.285769551488698</v>
      </c>
      <c r="AM3861">
        <v>93.375360616107599</v>
      </c>
      <c r="AN3861">
        <v>1.0000000153316799</v>
      </c>
    </row>
    <row r="3862" spans="1:40" x14ac:dyDescent="0.25">
      <c r="A3862" t="str">
        <f>"20190304155133813"</f>
        <v>20190304155133813</v>
      </c>
      <c r="B3862" t="str">
        <f>"1551685893810190"</f>
        <v>1551685893810190</v>
      </c>
      <c r="C3862" t="s">
        <v>40</v>
      </c>
      <c r="D3862">
        <v>5.1028840000000004</v>
      </c>
      <c r="E3862">
        <v>0.53837480000000004</v>
      </c>
      <c r="F3862" t="s">
        <v>70</v>
      </c>
      <c r="G3862">
        <v>-211.0093</v>
      </c>
      <c r="H3862" s="1">
        <v>-8.6221029999999997E-7</v>
      </c>
      <c r="I3862">
        <v>211.4716</v>
      </c>
      <c r="J3862">
        <v>-261.64519999999999</v>
      </c>
      <c r="K3862">
        <v>1.1100179999999999</v>
      </c>
      <c r="L3862">
        <v>213.77379999999999</v>
      </c>
      <c r="M3862">
        <v>0.99991039999999998</v>
      </c>
      <c r="N3862">
        <v>-1.325374E-2</v>
      </c>
      <c r="O3862">
        <v>1.9125920000000001E-3</v>
      </c>
      <c r="P3862">
        <v>0.98007869999999997</v>
      </c>
      <c r="Q3862">
        <v>0.189413</v>
      </c>
      <c r="R3862">
        <v>5.9735870000000003E-2</v>
      </c>
      <c r="S3862">
        <v>3.0828250000000001</v>
      </c>
      <c r="T3862">
        <v>-6.7017199999999999E-2</v>
      </c>
      <c r="U3862">
        <v>-0.1389465</v>
      </c>
      <c r="V3862">
        <v>-5.7846929999999998E-2</v>
      </c>
      <c r="W3862">
        <v>0.20239170000000001</v>
      </c>
      <c r="X3862">
        <v>0.97759470000000004</v>
      </c>
      <c r="Y3862">
        <v>4.6918330000000001E-2</v>
      </c>
      <c r="Z3862">
        <v>-8.3702590000000001E-4</v>
      </c>
      <c r="AA3862">
        <v>0.99889839999999996</v>
      </c>
      <c r="AB3862">
        <v>43</v>
      </c>
      <c r="AC3862">
        <v>50.6358999999999</v>
      </c>
      <c r="AD3862">
        <v>-1.1100188622103</v>
      </c>
      <c r="AE3862">
        <v>-2.3021999999999898</v>
      </c>
      <c r="AF3862">
        <v>2.3979001594874498</v>
      </c>
      <c r="AG3862">
        <v>-1.1100188622103</v>
      </c>
      <c r="AH3862">
        <v>50.607134440384002</v>
      </c>
      <c r="AI3862">
        <v>91.255118682234794</v>
      </c>
      <c r="AJ3862">
        <v>87.287203076134801</v>
      </c>
      <c r="AK3862">
        <v>50.676070519688402</v>
      </c>
      <c r="AL3862">
        <v>78.323146288587296</v>
      </c>
      <c r="AM3862">
        <v>93.386397975795504</v>
      </c>
      <c r="AN3862">
        <v>1.0000000325037</v>
      </c>
    </row>
    <row r="3863" spans="1:40" x14ac:dyDescent="0.25">
      <c r="A3863" t="str">
        <f>"20190304155133836"</f>
        <v>20190304155133836</v>
      </c>
      <c r="B3863" t="str">
        <f>"1551685893830686"</f>
        <v>1551685893830686</v>
      </c>
      <c r="C3863" t="s">
        <v>40</v>
      </c>
      <c r="D3863">
        <v>5.0904069999999999</v>
      </c>
      <c r="E3863">
        <v>0.5381437</v>
      </c>
      <c r="F3863" t="s">
        <v>70</v>
      </c>
      <c r="G3863">
        <v>-214.44220000000001</v>
      </c>
      <c r="H3863" s="1">
        <v>9.5496999999999998E-7</v>
      </c>
      <c r="I3863">
        <v>211.69149999999999</v>
      </c>
      <c r="J3863">
        <v>-261.20240000000001</v>
      </c>
      <c r="K3863">
        <v>1.1100219999999901</v>
      </c>
      <c r="L3863">
        <v>213.7747</v>
      </c>
      <c r="M3863">
        <v>0.99990979999999996</v>
      </c>
      <c r="N3863">
        <v>-1.329662E-2</v>
      </c>
      <c r="O3863">
        <v>1.9008619999999999E-3</v>
      </c>
      <c r="P3863">
        <v>0.98017909999999997</v>
      </c>
      <c r="Q3863">
        <v>0.18888569999999999</v>
      </c>
      <c r="R3863">
        <v>5.976074E-2</v>
      </c>
      <c r="S3863">
        <v>3.0832820000000001</v>
      </c>
      <c r="T3863">
        <v>-7.2505829999999993E-2</v>
      </c>
      <c r="U3863">
        <v>-0.13601679999999999</v>
      </c>
      <c r="V3863">
        <v>-5.7883129999999998E-2</v>
      </c>
      <c r="W3863">
        <v>0.20190739999999999</v>
      </c>
      <c r="X3863">
        <v>0.97769269999999997</v>
      </c>
      <c r="Y3863">
        <v>4.5950570000000003E-2</v>
      </c>
      <c r="Z3863">
        <v>-8.6507740000000004E-4</v>
      </c>
      <c r="AA3863">
        <v>0.99894329999999998</v>
      </c>
      <c r="AB3863">
        <v>43</v>
      </c>
      <c r="AC3863">
        <v>46.760199999999998</v>
      </c>
      <c r="AD3863">
        <v>-1.1100210450300001</v>
      </c>
      <c r="AE3863">
        <v>-2.0832000000000002</v>
      </c>
      <c r="AF3863">
        <v>2.1708678752319601</v>
      </c>
      <c r="AG3863">
        <v>-1.1100210450300001</v>
      </c>
      <c r="AH3863">
        <v>46.729874201021303</v>
      </c>
      <c r="AI3863">
        <v>91.359282163687595</v>
      </c>
      <c r="AJ3863">
        <v>87.340198154785895</v>
      </c>
      <c r="AK3863">
        <v>46.793439250555203</v>
      </c>
      <c r="AL3863">
        <v>78.351479617087193</v>
      </c>
      <c r="AM3863">
        <v>93.388173352044802</v>
      </c>
      <c r="AN3863">
        <v>1.00000003527332</v>
      </c>
    </row>
    <row r="3864" spans="1:40" x14ac:dyDescent="0.25">
      <c r="A3864" t="str">
        <f>"20190304155133858"</f>
        <v>20190304155133858</v>
      </c>
      <c r="B3864" t="str">
        <f>"1551685893850205"</f>
        <v>1551685893850205</v>
      </c>
      <c r="C3864" t="s">
        <v>40</v>
      </c>
      <c r="D3864">
        <v>5.1016149999999998</v>
      </c>
      <c r="E3864">
        <v>0.53795709999999997</v>
      </c>
      <c r="F3864" t="s">
        <v>70</v>
      </c>
      <c r="G3864">
        <v>-215.94589999999999</v>
      </c>
      <c r="H3864" s="1">
        <v>1.7500589999999999E-6</v>
      </c>
      <c r="I3864">
        <v>211.80799999999999</v>
      </c>
      <c r="J3864">
        <v>-260.7595</v>
      </c>
      <c r="K3864">
        <v>1.11002</v>
      </c>
      <c r="L3864">
        <v>213.77549999999999</v>
      </c>
      <c r="M3864">
        <v>0.9999093</v>
      </c>
      <c r="N3864">
        <v>-1.3333920000000001E-2</v>
      </c>
      <c r="O3864">
        <v>1.8896430000000001E-3</v>
      </c>
      <c r="P3864">
        <v>0.98022580000000004</v>
      </c>
      <c r="Q3864">
        <v>0.18857789999999999</v>
      </c>
      <c r="R3864">
        <v>5.9966529999999997E-2</v>
      </c>
      <c r="S3864">
        <v>3.0833740000000001</v>
      </c>
      <c r="T3864">
        <v>-7.5626849999999995E-2</v>
      </c>
      <c r="U3864">
        <v>-0.13398740000000001</v>
      </c>
      <c r="V3864">
        <v>-5.8099959999999999E-2</v>
      </c>
      <c r="W3864">
        <v>0.20163700000000001</v>
      </c>
      <c r="X3864">
        <v>0.97773560000000004</v>
      </c>
      <c r="Y3864">
        <v>4.5280679999999997E-2</v>
      </c>
      <c r="Z3864">
        <v>-8.7820750000000005E-4</v>
      </c>
      <c r="AA3864">
        <v>0.99897389999999997</v>
      </c>
      <c r="AB3864">
        <v>43</v>
      </c>
      <c r="AC3864">
        <v>44.813600000000001</v>
      </c>
      <c r="AD3864">
        <v>-1.1100182499410001</v>
      </c>
      <c r="AE3864">
        <v>-1.9675</v>
      </c>
      <c r="AF3864">
        <v>2.0509298223334</v>
      </c>
      <c r="AG3864">
        <v>-1.1100182499410001</v>
      </c>
      <c r="AH3864">
        <v>44.782378998039597</v>
      </c>
      <c r="AI3864">
        <v>91.418410324419199</v>
      </c>
      <c r="AJ3864">
        <v>87.377817509304606</v>
      </c>
      <c r="AK3864">
        <v>44.843058798161799</v>
      </c>
      <c r="AL3864">
        <v>78.367297251713296</v>
      </c>
      <c r="AM3864">
        <v>93.400686835504601</v>
      </c>
      <c r="AN3864">
        <v>0.99999999431417996</v>
      </c>
    </row>
    <row r="3865" spans="1:40" x14ac:dyDescent="0.25">
      <c r="A3865" t="str">
        <f>"20190304155133880"</f>
        <v>20190304155133880</v>
      </c>
      <c r="B3865" t="str">
        <f>"1551685893870700"</f>
        <v>1551685893870700</v>
      </c>
      <c r="C3865" t="s">
        <v>40</v>
      </c>
      <c r="D3865">
        <v>5.0886639999999996</v>
      </c>
      <c r="E3865">
        <v>0.53771230000000003</v>
      </c>
      <c r="F3865" t="s">
        <v>70</v>
      </c>
      <c r="G3865">
        <v>-216.66220000000001</v>
      </c>
      <c r="H3865" s="1">
        <v>2.1279290000000002E-6</v>
      </c>
      <c r="I3865">
        <v>211.88419999999999</v>
      </c>
      <c r="J3865">
        <v>-260.34280000000001</v>
      </c>
      <c r="K3865">
        <v>1.1100190000000001</v>
      </c>
      <c r="L3865">
        <v>213.77629999999999</v>
      </c>
      <c r="M3865">
        <v>0.99990900000000005</v>
      </c>
      <c r="N3865">
        <v>-1.336392E-2</v>
      </c>
      <c r="O3865">
        <v>1.8790110000000001E-3</v>
      </c>
      <c r="P3865">
        <v>0.98033269999999995</v>
      </c>
      <c r="Q3865">
        <v>0.1881042</v>
      </c>
      <c r="R3865">
        <v>5.9707530000000002E-2</v>
      </c>
      <c r="S3865">
        <v>3.0835569999999999</v>
      </c>
      <c r="T3865">
        <v>-7.7619430000000003E-2</v>
      </c>
      <c r="U3865">
        <v>-0.1322479</v>
      </c>
      <c r="V3865">
        <v>-5.7851239999999998E-2</v>
      </c>
      <c r="W3865">
        <v>0.20119380000000001</v>
      </c>
      <c r="X3865">
        <v>0.97784170000000004</v>
      </c>
      <c r="Y3865">
        <v>4.4704309999999997E-2</v>
      </c>
      <c r="Z3865">
        <v>-8.8340879999999997E-4</v>
      </c>
      <c r="AA3865">
        <v>0.99899990000000005</v>
      </c>
      <c r="AB3865">
        <v>43</v>
      </c>
      <c r="AC3865">
        <v>43.680599999999998</v>
      </c>
      <c r="AD3865">
        <v>-1.110016872071</v>
      </c>
      <c r="AE3865">
        <v>-1.8920999999999899</v>
      </c>
      <c r="AF3865">
        <v>1.9729086406108001</v>
      </c>
      <c r="AG3865">
        <v>-1.110016872071</v>
      </c>
      <c r="AH3865">
        <v>43.6488326979254</v>
      </c>
      <c r="AI3865">
        <v>91.455268048633201</v>
      </c>
      <c r="AJ3865">
        <v>87.412016636670799</v>
      </c>
      <c r="AK3865">
        <v>43.707494801829597</v>
      </c>
      <c r="AL3865">
        <v>78.393222710030798</v>
      </c>
      <c r="AM3865">
        <v>93.385796231239397</v>
      </c>
      <c r="AN3865">
        <v>1.0000000506934299</v>
      </c>
    </row>
    <row r="3866" spans="1:40" x14ac:dyDescent="0.25">
      <c r="A3866" t="str">
        <f>"20190304155133902"</f>
        <v>20190304155133902</v>
      </c>
      <c r="B3866" t="str">
        <f>"1551685893900956"</f>
        <v>1551685893900956</v>
      </c>
      <c r="C3866" t="s">
        <v>40</v>
      </c>
      <c r="D3866">
        <v>5.1037720000000002</v>
      </c>
      <c r="E3866">
        <v>0.53744919999999996</v>
      </c>
      <c r="F3866" t="s">
        <v>70</v>
      </c>
      <c r="G3866">
        <v>-217.2353</v>
      </c>
      <c r="H3866" s="1">
        <v>2.4301249999999999E-6</v>
      </c>
      <c r="I3866">
        <v>211.94720000000001</v>
      </c>
      <c r="J3866">
        <v>-259.91930000000002</v>
      </c>
      <c r="K3866">
        <v>1.11002</v>
      </c>
      <c r="L3866">
        <v>213.77699999999999</v>
      </c>
      <c r="M3866">
        <v>0.99990869999999998</v>
      </c>
      <c r="N3866">
        <v>-1.3389979999999999E-2</v>
      </c>
      <c r="O3866">
        <v>1.8685220000000001E-3</v>
      </c>
      <c r="P3866">
        <v>0.98037609999999997</v>
      </c>
      <c r="Q3866">
        <v>0.18794959999999999</v>
      </c>
      <c r="R3866">
        <v>5.9479650000000002E-2</v>
      </c>
      <c r="S3866">
        <v>3.0833740000000001</v>
      </c>
      <c r="T3866">
        <v>-7.9396720000000004E-2</v>
      </c>
      <c r="U3866">
        <v>-0.1308289</v>
      </c>
      <c r="V3866">
        <v>-5.7633179999999999E-2</v>
      </c>
      <c r="W3866">
        <v>0.2010653</v>
      </c>
      <c r="X3866">
        <v>0.977881</v>
      </c>
      <c r="Y3866">
        <v>4.4236820000000003E-2</v>
      </c>
      <c r="Z3866">
        <v>-8.8866170000000003E-4</v>
      </c>
      <c r="AA3866">
        <v>0.99902069999999998</v>
      </c>
      <c r="AB3866">
        <v>43</v>
      </c>
      <c r="AC3866">
        <v>42.683999999999997</v>
      </c>
      <c r="AD3866">
        <v>-1.1100175698749899</v>
      </c>
      <c r="AE3866">
        <v>-1.8298000000000001</v>
      </c>
      <c r="AF3866">
        <v>1.90827177384272</v>
      </c>
      <c r="AG3866">
        <v>-1.1100175698749899</v>
      </c>
      <c r="AH3866">
        <v>42.651714360229498</v>
      </c>
      <c r="AI3866">
        <v>91.489305967873506</v>
      </c>
      <c r="AJ3866">
        <v>87.438249459701396</v>
      </c>
      <c r="AK3866">
        <v>42.708809138570899</v>
      </c>
      <c r="AL3866">
        <v>78.400738735476097</v>
      </c>
      <c r="AM3866">
        <v>93.372928347840798</v>
      </c>
      <c r="AN3866">
        <v>1.000000044231</v>
      </c>
    </row>
    <row r="3867" spans="1:40" x14ac:dyDescent="0.25">
      <c r="A3867" t="str">
        <f>"20190304155133924"</f>
        <v>20190304155133924</v>
      </c>
      <c r="B3867" t="str">
        <f>"1551685893920477"</f>
        <v>1551685893920477</v>
      </c>
      <c r="C3867" t="s">
        <v>40</v>
      </c>
      <c r="D3867">
        <v>5.1641729999999999</v>
      </c>
      <c r="E3867">
        <v>0.53750209999999998</v>
      </c>
      <c r="F3867" t="s">
        <v>70</v>
      </c>
      <c r="G3867">
        <v>-217.41480000000001</v>
      </c>
      <c r="H3867" s="1">
        <v>2.5236700000000001E-6</v>
      </c>
      <c r="I3867">
        <v>211.99250000000001</v>
      </c>
      <c r="J3867">
        <v>-259.50310000000002</v>
      </c>
      <c r="K3867">
        <v>1.110025</v>
      </c>
      <c r="L3867">
        <v>213.77780000000001</v>
      </c>
      <c r="M3867">
        <v>0.99990840000000003</v>
      </c>
      <c r="N3867">
        <v>-1.341202E-2</v>
      </c>
      <c r="O3867">
        <v>1.8577649999999999E-3</v>
      </c>
      <c r="P3867">
        <v>0.98036400000000001</v>
      </c>
      <c r="Q3867">
        <v>0.1881766</v>
      </c>
      <c r="R3867">
        <v>5.8959560000000001E-2</v>
      </c>
      <c r="S3867">
        <v>3.0833439999999999</v>
      </c>
      <c r="T3867">
        <v>-8.0522419999999997E-2</v>
      </c>
      <c r="U3867">
        <v>-0.1294556</v>
      </c>
      <c r="V3867">
        <v>-5.7123809999999997E-2</v>
      </c>
      <c r="W3867">
        <v>0.20131379999999999</v>
      </c>
      <c r="X3867">
        <v>0.9778597</v>
      </c>
      <c r="Y3867">
        <v>4.3782010000000003E-2</v>
      </c>
      <c r="Z3867">
        <v>-8.887446E-4</v>
      </c>
      <c r="AA3867">
        <v>0.9990407</v>
      </c>
      <c r="AB3867">
        <v>43</v>
      </c>
      <c r="AC3867">
        <v>42.088299999999997</v>
      </c>
      <c r="AD3867">
        <v>-1.11002247633</v>
      </c>
      <c r="AE3867">
        <v>-1.7853000000000001</v>
      </c>
      <c r="AF3867">
        <v>1.86220115256</v>
      </c>
      <c r="AG3867">
        <v>-1.11002247633</v>
      </c>
      <c r="AH3867">
        <v>42.055710244849998</v>
      </c>
      <c r="AI3867">
        <v>91.510439987910104</v>
      </c>
      <c r="AJ3867">
        <v>87.464634027345596</v>
      </c>
      <c r="AK3867">
        <v>42.1115507578305</v>
      </c>
      <c r="AL3867">
        <v>78.386202818068796</v>
      </c>
      <c r="AM3867">
        <v>93.343258516002194</v>
      </c>
      <c r="AN3867">
        <v>0.99999998431172299</v>
      </c>
    </row>
    <row r="3868" spans="1:40" x14ac:dyDescent="0.25">
      <c r="A3868" t="str">
        <f>"20190304155133948"</f>
        <v>20190304155133948</v>
      </c>
      <c r="B3868" t="str">
        <f>"1551685893940976"</f>
        <v>1551685893940976</v>
      </c>
      <c r="C3868" t="s">
        <v>40</v>
      </c>
      <c r="D3868">
        <v>5.1255169999999897</v>
      </c>
      <c r="E3868">
        <v>0.56263180000000002</v>
      </c>
      <c r="F3868" t="s">
        <v>70</v>
      </c>
      <c r="G3868">
        <v>-216.37629999999999</v>
      </c>
      <c r="H3868" s="1">
        <v>1.9735269999999999E-6</v>
      </c>
      <c r="I3868">
        <v>211.93629999999999</v>
      </c>
      <c r="J3868">
        <v>-259.05329999999998</v>
      </c>
      <c r="K3868">
        <v>1.11002</v>
      </c>
      <c r="L3868">
        <v>213.77860000000001</v>
      </c>
      <c r="M3868">
        <v>0.99990800000000002</v>
      </c>
      <c r="N3868">
        <v>-1.343537E-2</v>
      </c>
      <c r="O3868">
        <v>1.8463469999999999E-3</v>
      </c>
      <c r="P3868">
        <v>0.9802765</v>
      </c>
      <c r="Q3868">
        <v>0.1888444</v>
      </c>
      <c r="R3868">
        <v>5.8275859999999999E-2</v>
      </c>
      <c r="S3868">
        <v>3.0832519999999999</v>
      </c>
      <c r="T3868">
        <v>-7.9358700000000004E-2</v>
      </c>
      <c r="U3868">
        <v>-0.13165279999999999</v>
      </c>
      <c r="V3868">
        <v>-5.6451630000000003E-2</v>
      </c>
      <c r="W3868">
        <v>0.20200319999999999</v>
      </c>
      <c r="X3868">
        <v>0.97775659999999998</v>
      </c>
      <c r="Y3868">
        <v>4.44827E-2</v>
      </c>
      <c r="Z3868">
        <v>-8.9385159999999996E-4</v>
      </c>
      <c r="AA3868">
        <v>0.9990097</v>
      </c>
      <c r="AB3868">
        <v>43</v>
      </c>
      <c r="AC3868">
        <v>42.6769999999999</v>
      </c>
      <c r="AD3868">
        <v>-1.110018026473</v>
      </c>
      <c r="AE3868">
        <v>-1.84230000000002</v>
      </c>
      <c r="AF3868">
        <v>1.9198041805392601</v>
      </c>
      <c r="AG3868">
        <v>-1.110018026473</v>
      </c>
      <c r="AH3868">
        <v>42.644729614778598</v>
      </c>
      <c r="AI3868">
        <v>91.489531880158296</v>
      </c>
      <c r="AJ3868">
        <v>87.422367095449403</v>
      </c>
      <c r="AK3868">
        <v>42.702350661623903</v>
      </c>
      <c r="AL3868">
        <v>78.345875069023094</v>
      </c>
      <c r="AM3868">
        <v>93.304353444430703</v>
      </c>
      <c r="AN3868">
        <v>1.00000002409172</v>
      </c>
    </row>
    <row r="3869" spans="1:40" x14ac:dyDescent="0.25">
      <c r="A3869" t="str">
        <f>"20190304155133969"</f>
        <v>20190304155133969</v>
      </c>
      <c r="B3869" t="str">
        <f>"1551685893960496"</f>
        <v>1551685893960496</v>
      </c>
      <c r="C3869" t="s">
        <v>40</v>
      </c>
      <c r="D3869">
        <v>5.1392910000000001</v>
      </c>
      <c r="E3869">
        <v>0.56481749999999997</v>
      </c>
      <c r="F3869" t="s">
        <v>58</v>
      </c>
      <c r="G3869">
        <v>-168.41159999999999</v>
      </c>
      <c r="H3869">
        <v>0.78214450000000002</v>
      </c>
      <c r="I3869">
        <v>203.99430000000001</v>
      </c>
      <c r="J3869">
        <v>-258.63630000000001</v>
      </c>
      <c r="K3869">
        <v>1.110026</v>
      </c>
      <c r="L3869">
        <v>213.77940000000001</v>
      </c>
      <c r="M3869">
        <v>0.99990780000000001</v>
      </c>
      <c r="N3869">
        <v>-1.34577E-2</v>
      </c>
      <c r="O3869">
        <v>1.8357639999999999E-3</v>
      </c>
      <c r="P3869">
        <v>0.98031250000000003</v>
      </c>
      <c r="Q3869">
        <v>0.18884339999999999</v>
      </c>
      <c r="R3869">
        <v>5.7667799999999998E-2</v>
      </c>
      <c r="S3869">
        <v>3.0822910000000001</v>
      </c>
      <c r="T3869">
        <v>-1.114833E-2</v>
      </c>
      <c r="U3869">
        <v>-0.33271790000000001</v>
      </c>
      <c r="V3869">
        <v>-5.5853659999999999E-2</v>
      </c>
      <c r="W3869">
        <v>0.2020247</v>
      </c>
      <c r="X3869">
        <v>0.9777865</v>
      </c>
      <c r="Y3869">
        <v>0.1091432</v>
      </c>
      <c r="Z3869">
        <v>-9.1537409999999997E-4</v>
      </c>
      <c r="AA3869">
        <v>0.99402559999999995</v>
      </c>
      <c r="AB3869">
        <v>43</v>
      </c>
      <c r="AC3869">
        <v>90.224699999999999</v>
      </c>
      <c r="AD3869">
        <v>-0.32788149999999899</v>
      </c>
      <c r="AE3869">
        <v>-9.7850999999999999</v>
      </c>
      <c r="AF3869">
        <v>9.9505998751161897</v>
      </c>
      <c r="AG3869">
        <v>-0.32788149999999899</v>
      </c>
      <c r="AH3869">
        <v>90.205405746434906</v>
      </c>
      <c r="AI3869">
        <v>90.207003984463995</v>
      </c>
      <c r="AJ3869">
        <v>83.705126672778306</v>
      </c>
      <c r="AK3869">
        <v>90.753166170837602</v>
      </c>
      <c r="AL3869">
        <v>78.344617290129904</v>
      </c>
      <c r="AM3869">
        <v>93.2693282981799</v>
      </c>
      <c r="AN3869">
        <v>1.0000000251638601</v>
      </c>
    </row>
    <row r="3870" spans="1:40" x14ac:dyDescent="0.25">
      <c r="A3870" t="str">
        <f>"20190304155133991"</f>
        <v>20190304155133991</v>
      </c>
      <c r="B3870" t="str">
        <f>"1551685893980989"</f>
        <v>1551685893980989</v>
      </c>
      <c r="C3870" t="s">
        <v>40</v>
      </c>
      <c r="D3870">
        <v>5.1123200000000004</v>
      </c>
      <c r="E3870">
        <v>0.56558280000000005</v>
      </c>
      <c r="F3870" t="s">
        <v>58</v>
      </c>
      <c r="G3870">
        <v>-168.4118</v>
      </c>
      <c r="H3870">
        <v>0.88514139999999997</v>
      </c>
      <c r="I3870">
        <v>203.47630000000001</v>
      </c>
      <c r="J3870">
        <v>-258.21420000000001</v>
      </c>
      <c r="K3870">
        <v>1.1100300000000001</v>
      </c>
      <c r="L3870">
        <v>213.78020000000001</v>
      </c>
      <c r="M3870">
        <v>0.99990760000000001</v>
      </c>
      <c r="N3870">
        <v>-1.348032E-2</v>
      </c>
      <c r="O3870">
        <v>1.824645E-3</v>
      </c>
      <c r="P3870">
        <v>0.98030130000000004</v>
      </c>
      <c r="Q3870">
        <v>0.18911739999999999</v>
      </c>
      <c r="R3870">
        <v>5.6957500000000001E-2</v>
      </c>
      <c r="S3870">
        <v>3.0823969999999998</v>
      </c>
      <c r="T3870">
        <v>-7.6817269999999898E-3</v>
      </c>
      <c r="U3870">
        <v>-0.35198970000000002</v>
      </c>
      <c r="V3870">
        <v>-5.51540999999999E-2</v>
      </c>
      <c r="W3870">
        <v>0.20232030000000001</v>
      </c>
      <c r="X3870">
        <v>0.97776510000000005</v>
      </c>
      <c r="Y3870">
        <v>0.1152666</v>
      </c>
      <c r="Z3870">
        <v>-9.0265340000000003E-4</v>
      </c>
      <c r="AA3870">
        <v>0.99333419999999895</v>
      </c>
      <c r="AB3870">
        <v>43</v>
      </c>
      <c r="AC3870">
        <v>89.802400000000006</v>
      </c>
      <c r="AD3870">
        <v>-0.22488859999999899</v>
      </c>
      <c r="AE3870">
        <v>-10.303900000000001</v>
      </c>
      <c r="AF3870">
        <v>10.4676904202458</v>
      </c>
      <c r="AG3870">
        <v>-0.22488859999999899</v>
      </c>
      <c r="AH3870">
        <v>89.782892075329201</v>
      </c>
      <c r="AI3870">
        <v>90.142548873698402</v>
      </c>
      <c r="AJ3870">
        <v>83.349969732722201</v>
      </c>
      <c r="AK3870">
        <v>90.391320529278303</v>
      </c>
      <c r="AL3870">
        <v>78.327323653286498</v>
      </c>
      <c r="AM3870">
        <v>93.228538053485195</v>
      </c>
      <c r="AN3870">
        <v>1.0000000346584501</v>
      </c>
    </row>
    <row r="3871" spans="1:40" x14ac:dyDescent="0.25">
      <c r="A3871" t="str">
        <f>"20190304155134014"</f>
        <v>20190304155134014</v>
      </c>
      <c r="B3871" t="str">
        <f>"1551685894010268"</f>
        <v>1551685894010268</v>
      </c>
      <c r="C3871" t="s">
        <v>40</v>
      </c>
      <c r="D3871">
        <v>5.1072259999999998</v>
      </c>
      <c r="E3871">
        <v>0.56611009999999995</v>
      </c>
      <c r="F3871" t="s">
        <v>58</v>
      </c>
      <c r="G3871">
        <v>-168.4119</v>
      </c>
      <c r="H3871">
        <v>0.99104119999999996</v>
      </c>
      <c r="I3871">
        <v>203.2826</v>
      </c>
      <c r="J3871">
        <v>-257.78320000000002</v>
      </c>
      <c r="K3871">
        <v>1.110042</v>
      </c>
      <c r="L3871">
        <v>213.7809</v>
      </c>
      <c r="M3871">
        <v>0.9999072</v>
      </c>
      <c r="N3871">
        <v>-1.350694E-2</v>
      </c>
      <c r="O3871">
        <v>1.813559E-3</v>
      </c>
      <c r="P3871">
        <v>0.98031869999999999</v>
      </c>
      <c r="Q3871">
        <v>0.1890308</v>
      </c>
      <c r="R3871">
        <v>5.6945200000000001E-2</v>
      </c>
      <c r="S3871">
        <v>3.082001</v>
      </c>
      <c r="T3871">
        <v>-4.0825610000000002E-3</v>
      </c>
      <c r="U3871">
        <v>-0.36027530000000002</v>
      </c>
      <c r="V3871">
        <v>-5.5153420000000002E-2</v>
      </c>
      <c r="W3871">
        <v>0.20225960000000001</v>
      </c>
      <c r="X3871">
        <v>0.97777769999999997</v>
      </c>
      <c r="Y3871">
        <v>0.11790589999999999</v>
      </c>
      <c r="Z3871">
        <v>-8.5482419999999997E-4</v>
      </c>
      <c r="AA3871">
        <v>0.99302440000000003</v>
      </c>
      <c r="AB3871">
        <v>43</v>
      </c>
      <c r="AC3871">
        <v>89.371300000000005</v>
      </c>
      <c r="AD3871">
        <v>-0.119000799999999</v>
      </c>
      <c r="AE3871">
        <v>-10.4983</v>
      </c>
      <c r="AF3871">
        <v>10.660358990339899</v>
      </c>
      <c r="AG3871">
        <v>-0.119000799999999</v>
      </c>
      <c r="AH3871">
        <v>89.351955717099798</v>
      </c>
      <c r="AI3871">
        <v>90.075770308375397</v>
      </c>
      <c r="AJ3871">
        <v>83.196343532913403</v>
      </c>
      <c r="AK3871">
        <v>89.985717786012501</v>
      </c>
      <c r="AL3871">
        <v>78.330874967582901</v>
      </c>
      <c r="AM3871">
        <v>93.228456817143197</v>
      </c>
      <c r="AN3871">
        <v>1.0000000380735701</v>
      </c>
    </row>
    <row r="3872" spans="1:40" x14ac:dyDescent="0.25">
      <c r="A3872" t="str">
        <f>"20190304155134037"</f>
        <v>20190304155134037</v>
      </c>
      <c r="B3872" t="str">
        <f>"1551685894030765"</f>
        <v>1551685894030765</v>
      </c>
      <c r="C3872" t="s">
        <v>40</v>
      </c>
      <c r="D3872">
        <v>5.0772500000000003</v>
      </c>
      <c r="E3872">
        <v>0.56625029999999998</v>
      </c>
      <c r="F3872" t="s">
        <v>58</v>
      </c>
      <c r="G3872">
        <v>-168.41200000000001</v>
      </c>
      <c r="H3872">
        <v>1.136978</v>
      </c>
      <c r="I3872">
        <v>203.19579999999999</v>
      </c>
      <c r="J3872">
        <v>-257.33210000000003</v>
      </c>
      <c r="K3872">
        <v>1.11005</v>
      </c>
      <c r="L3872">
        <v>213.7817</v>
      </c>
      <c r="M3872">
        <v>0.99990670000000004</v>
      </c>
      <c r="N3872">
        <v>-1.3545089999999999E-2</v>
      </c>
      <c r="O3872">
        <v>1.8017969999999999E-3</v>
      </c>
      <c r="P3872">
        <v>0.98038670000000006</v>
      </c>
      <c r="Q3872">
        <v>0.18875839999999999</v>
      </c>
      <c r="R3872">
        <v>5.6681170000000003E-2</v>
      </c>
      <c r="S3872">
        <v>3.0812529999999998</v>
      </c>
      <c r="T3872">
        <v>9.2983249999999996E-4</v>
      </c>
      <c r="U3872">
        <v>-0.36494450000000001</v>
      </c>
      <c r="V3872">
        <v>-5.4900619999999997E-2</v>
      </c>
      <c r="W3872">
        <v>0.2020256</v>
      </c>
      <c r="X3872">
        <v>0.97784020000000005</v>
      </c>
      <c r="Y3872">
        <v>0.1194075</v>
      </c>
      <c r="Z3872">
        <v>-7.6872850000000005E-4</v>
      </c>
      <c r="AA3872">
        <v>0.99284510000000004</v>
      </c>
      <c r="AB3872">
        <v>43</v>
      </c>
      <c r="AC3872">
        <v>88.920100000000005</v>
      </c>
      <c r="AD3872">
        <v>2.6928000000000001E-2</v>
      </c>
      <c r="AE3872">
        <v>-10.585900000000001</v>
      </c>
      <c r="AF3872">
        <v>10.746112500507801</v>
      </c>
      <c r="AG3872">
        <v>2.6928000000000001E-2</v>
      </c>
      <c r="AH3872">
        <v>88.900872204451701</v>
      </c>
      <c r="AI3872">
        <v>89.982770572963602</v>
      </c>
      <c r="AJ3872">
        <v>83.107670111591005</v>
      </c>
      <c r="AK3872">
        <v>89.548002421622996</v>
      </c>
      <c r="AL3872">
        <v>78.344563619120805</v>
      </c>
      <c r="AM3872">
        <v>93.213485044764397</v>
      </c>
      <c r="AN3872">
        <v>0.99999993893389005</v>
      </c>
    </row>
    <row r="3873" spans="1:40" x14ac:dyDescent="0.25">
      <c r="A3873" t="str">
        <f>"20190304155134060"</f>
        <v>20190304155134060</v>
      </c>
      <c r="B3873" t="str">
        <f>"1551685894050285"</f>
        <v>1551685894050285</v>
      </c>
      <c r="C3873" t="s">
        <v>40</v>
      </c>
      <c r="D3873">
        <v>5.1128650000000002</v>
      </c>
      <c r="E3873">
        <v>0.5663861</v>
      </c>
      <c r="F3873" t="s">
        <v>58</v>
      </c>
      <c r="G3873">
        <v>-168.4119</v>
      </c>
      <c r="H3873">
        <v>1.0326059999999999</v>
      </c>
      <c r="I3873">
        <v>203.1891</v>
      </c>
      <c r="J3873">
        <v>-256.91109999999998</v>
      </c>
      <c r="K3873">
        <v>1.11006</v>
      </c>
      <c r="L3873">
        <v>213.7825</v>
      </c>
      <c r="M3873">
        <v>0.99990610000000002</v>
      </c>
      <c r="N3873">
        <v>-1.3590710000000001E-2</v>
      </c>
      <c r="O3873">
        <v>1.7910549999999999E-3</v>
      </c>
      <c r="P3873">
        <v>0.98039750000000003</v>
      </c>
      <c r="Q3873">
        <v>0.18869559999999999</v>
      </c>
      <c r="R3873">
        <v>5.6700399999999998E-2</v>
      </c>
      <c r="S3873">
        <v>3.0817260000000002</v>
      </c>
      <c r="T3873">
        <v>-2.6828049999999999E-3</v>
      </c>
      <c r="U3873">
        <v>-0.36711120000000003</v>
      </c>
      <c r="V3873">
        <v>-5.493021E-2</v>
      </c>
      <c r="W3873">
        <v>0.20200779999999999</v>
      </c>
      <c r="X3873">
        <v>0.97784230000000005</v>
      </c>
      <c r="Y3873">
        <v>0.1200664</v>
      </c>
      <c r="Z3873">
        <v>-8.4818329999999996E-4</v>
      </c>
      <c r="AA3873">
        <v>0.99276549999999997</v>
      </c>
      <c r="AB3873">
        <v>43</v>
      </c>
      <c r="AC3873">
        <v>88.499199999999902</v>
      </c>
      <c r="AD3873">
        <v>-7.7454000000000106E-2</v>
      </c>
      <c r="AE3873">
        <v>-10.593400000000001</v>
      </c>
      <c r="AF3873">
        <v>10.7518964519866</v>
      </c>
      <c r="AG3873">
        <v>-7.7454000000000106E-2</v>
      </c>
      <c r="AH3873">
        <v>88.480016097733099</v>
      </c>
      <c r="AI3873">
        <v>90.049789538928195</v>
      </c>
      <c r="AJ3873">
        <v>83.071513291204994</v>
      </c>
      <c r="AK3873">
        <v>89.130929116056393</v>
      </c>
      <c r="AL3873">
        <v>78.345605929394196</v>
      </c>
      <c r="AM3873">
        <v>93.215206506035699</v>
      </c>
      <c r="AN3873">
        <v>1.0000000214503799</v>
      </c>
    </row>
    <row r="3874" spans="1:40" x14ac:dyDescent="0.25">
      <c r="A3874" t="str">
        <f>"20190304155134081"</f>
        <v>20190304155134081</v>
      </c>
      <c r="B3874" t="str">
        <f>"1551685894070781"</f>
        <v>1551685894070781</v>
      </c>
      <c r="C3874" t="s">
        <v>40</v>
      </c>
      <c r="D3874">
        <v>4.7869229999999998</v>
      </c>
      <c r="E3874">
        <v>0.56617469999999903</v>
      </c>
      <c r="F3874" t="s">
        <v>58</v>
      </c>
      <c r="G3874">
        <v>-168.4119</v>
      </c>
      <c r="H3874">
        <v>1.124161</v>
      </c>
      <c r="I3874">
        <v>203.20150000000001</v>
      </c>
      <c r="J3874">
        <v>-256.49279999999999</v>
      </c>
      <c r="K3874">
        <v>1.1100760000000001</v>
      </c>
      <c r="L3874">
        <v>213.78319999999999</v>
      </c>
      <c r="M3874">
        <v>0.9999053</v>
      </c>
      <c r="N3874">
        <v>-1.3641820000000001E-2</v>
      </c>
      <c r="O3874">
        <v>1.780275E-3</v>
      </c>
      <c r="P3874">
        <v>0.98039520000000002</v>
      </c>
      <c r="Q3874">
        <v>0.1886581</v>
      </c>
      <c r="R3874">
        <v>5.686418E-2</v>
      </c>
      <c r="S3874">
        <v>3.081223</v>
      </c>
      <c r="T3874">
        <v>4.9209589999999999E-4</v>
      </c>
      <c r="U3874">
        <v>-0.36839290000000002</v>
      </c>
      <c r="V3874">
        <v>-5.5104430000000003E-2</v>
      </c>
      <c r="W3874">
        <v>0.20202039999999999</v>
      </c>
      <c r="X3874">
        <v>0.97782990000000003</v>
      </c>
      <c r="Y3874">
        <v>0.1204828</v>
      </c>
      <c r="Z3874">
        <v>-7.9068520000000002E-4</v>
      </c>
      <c r="AA3874">
        <v>0.99271509999999996</v>
      </c>
      <c r="AB3874">
        <v>43</v>
      </c>
      <c r="AC3874">
        <v>88.0808999999999</v>
      </c>
      <c r="AD3874">
        <v>1.40849999999999E-2</v>
      </c>
      <c r="AE3874">
        <v>-10.5816999999999</v>
      </c>
      <c r="AF3874">
        <v>10.738505784295301</v>
      </c>
      <c r="AG3874">
        <v>1.40849999999999E-2</v>
      </c>
      <c r="AH3874">
        <v>88.061918082938703</v>
      </c>
      <c r="AI3874">
        <v>89.990903252738605</v>
      </c>
      <c r="AJ3874">
        <v>83.047524969046506</v>
      </c>
      <c r="AK3874">
        <v>88.714244184982903</v>
      </c>
      <c r="AL3874">
        <v>78.344868867973702</v>
      </c>
      <c r="AM3874">
        <v>93.225423369823403</v>
      </c>
      <c r="AN3874">
        <v>1.0000000267778899</v>
      </c>
    </row>
    <row r="3875" spans="1:40" x14ac:dyDescent="0.25">
      <c r="A3875" t="str">
        <f>"20190304155134102"</f>
        <v>20190304155134102</v>
      </c>
      <c r="B3875" t="str">
        <f>"1551685894100061"</f>
        <v>1551685894100061</v>
      </c>
      <c r="C3875" t="s">
        <v>40</v>
      </c>
      <c r="D3875">
        <v>5.0947079999999998</v>
      </c>
      <c r="E3875">
        <v>0.5665924</v>
      </c>
      <c r="F3875" t="s">
        <v>58</v>
      </c>
      <c r="G3875">
        <v>-168.4119</v>
      </c>
      <c r="H3875">
        <v>1.1901930000000001</v>
      </c>
      <c r="I3875">
        <v>203.30719999999999</v>
      </c>
      <c r="J3875">
        <v>-256.08460000000002</v>
      </c>
      <c r="K3875">
        <v>1.110079</v>
      </c>
      <c r="L3875">
        <v>213.78399999999999</v>
      </c>
      <c r="M3875">
        <v>0.99990480000000004</v>
      </c>
      <c r="N3875">
        <v>-1.369425E-2</v>
      </c>
      <c r="O3875">
        <v>1.769662E-3</v>
      </c>
      <c r="P3875">
        <v>0.98036809999999996</v>
      </c>
      <c r="Q3875">
        <v>0.188582</v>
      </c>
      <c r="R3875">
        <v>5.7579829999999999E-2</v>
      </c>
      <c r="S3875">
        <v>3.0807039999999999</v>
      </c>
      <c r="T3875">
        <v>2.8033260000000001E-3</v>
      </c>
      <c r="U3875">
        <v>-0.36640929999999999</v>
      </c>
      <c r="V3875">
        <v>-5.5830240000000003E-2</v>
      </c>
      <c r="W3875">
        <v>0.20199529999999999</v>
      </c>
      <c r="X3875">
        <v>0.97779389999999999</v>
      </c>
      <c r="Y3875">
        <v>0.1198622</v>
      </c>
      <c r="Z3875">
        <v>-7.4353179999999905E-4</v>
      </c>
      <c r="AA3875">
        <v>0.99279030000000001</v>
      </c>
      <c r="AB3875">
        <v>43</v>
      </c>
      <c r="AC3875">
        <v>87.672700000000006</v>
      </c>
      <c r="AD3875">
        <v>8.0114000000000005E-2</v>
      </c>
      <c r="AE3875">
        <v>-10.476800000000001</v>
      </c>
      <c r="AF3875">
        <v>10.6319404134853</v>
      </c>
      <c r="AG3875">
        <v>8.0114000000000005E-2</v>
      </c>
      <c r="AH3875">
        <v>87.653948399852197</v>
      </c>
      <c r="AI3875">
        <v>89.948013812113999</v>
      </c>
      <c r="AJ3875">
        <v>83.084122234790996</v>
      </c>
      <c r="AK3875">
        <v>88.296428270303494</v>
      </c>
      <c r="AL3875">
        <v>78.346337112415299</v>
      </c>
      <c r="AM3875">
        <v>93.267935729312995</v>
      </c>
      <c r="AN3875">
        <v>1.0000000138988701</v>
      </c>
    </row>
    <row r="3876" spans="1:40" x14ac:dyDescent="0.25">
      <c r="A3876" t="str">
        <f>"20190304155134125"</f>
        <v>20190304155134125</v>
      </c>
      <c r="B3876" t="str">
        <f>"1551685894120557"</f>
        <v>1551685894120557</v>
      </c>
      <c r="C3876" t="s">
        <v>40</v>
      </c>
      <c r="D3876">
        <v>5.1144679999999996</v>
      </c>
      <c r="E3876">
        <v>0.56703199999999998</v>
      </c>
      <c r="F3876" t="s">
        <v>58</v>
      </c>
      <c r="G3876">
        <v>-168.4119</v>
      </c>
      <c r="H3876">
        <v>1.216108</v>
      </c>
      <c r="I3876">
        <v>203.3212</v>
      </c>
      <c r="J3876">
        <v>-255.6489</v>
      </c>
      <c r="K3876">
        <v>1.11009</v>
      </c>
      <c r="L3876">
        <v>213.78469999999999</v>
      </c>
      <c r="M3876">
        <v>0.99990400000000002</v>
      </c>
      <c r="N3876">
        <v>-1.375351E-2</v>
      </c>
      <c r="O3876">
        <v>1.758286E-3</v>
      </c>
      <c r="P3876">
        <v>0.98033349999999997</v>
      </c>
      <c r="Q3876">
        <v>0.18854409999999999</v>
      </c>
      <c r="R3876">
        <v>5.829028E-2</v>
      </c>
      <c r="S3876">
        <v>3.0809479999999998</v>
      </c>
      <c r="T3876">
        <v>3.7271980000000001E-3</v>
      </c>
      <c r="U3876">
        <v>-0.3676758</v>
      </c>
      <c r="V3876">
        <v>-5.6552669999999999E-2</v>
      </c>
      <c r="W3876">
        <v>0.20201440000000001</v>
      </c>
      <c r="X3876">
        <v>0.97774850000000002</v>
      </c>
      <c r="Y3876">
        <v>0.1202443</v>
      </c>
      <c r="Z3876">
        <v>-7.3115669999999997E-4</v>
      </c>
      <c r="AA3876">
        <v>0.99274410000000002</v>
      </c>
      <c r="AB3876">
        <v>43</v>
      </c>
      <c r="AC3876">
        <v>87.236999999999995</v>
      </c>
      <c r="AD3876">
        <v>0.106017999999999</v>
      </c>
      <c r="AE3876">
        <v>-10.4634999999999</v>
      </c>
      <c r="AF3876">
        <v>10.616870449931801</v>
      </c>
      <c r="AG3876">
        <v>0.106017999999999</v>
      </c>
      <c r="AH3876">
        <v>87.218338573466397</v>
      </c>
      <c r="AI3876">
        <v>89.930864640223803</v>
      </c>
      <c r="AJ3876">
        <v>83.059673123853798</v>
      </c>
      <c r="AK3876">
        <v>87.8622089494839</v>
      </c>
      <c r="AL3876">
        <v>78.345220458849397</v>
      </c>
      <c r="AM3876">
        <v>93.310281966127803</v>
      </c>
      <c r="AN3876">
        <v>1.0000000757718599</v>
      </c>
    </row>
    <row r="3877" spans="1:40" x14ac:dyDescent="0.25">
      <c r="A3877" t="str">
        <f>"20190304155134148"</f>
        <v>20190304155134148</v>
      </c>
      <c r="B3877" t="str">
        <f>"1551685894141068"</f>
        <v>1551685894141068</v>
      </c>
      <c r="C3877" t="s">
        <v>40</v>
      </c>
      <c r="D3877">
        <v>5.072438</v>
      </c>
      <c r="E3877">
        <v>0.56723669999999904</v>
      </c>
      <c r="F3877" t="s">
        <v>58</v>
      </c>
      <c r="G3877">
        <v>-168.4119</v>
      </c>
      <c r="H3877">
        <v>1.1983509999999999</v>
      </c>
      <c r="I3877">
        <v>203.3272</v>
      </c>
      <c r="J3877">
        <v>-255.20740000000001</v>
      </c>
      <c r="K3877">
        <v>1.110098</v>
      </c>
      <c r="L3877">
        <v>213.78550000000001</v>
      </c>
      <c r="M3877">
        <v>0.99990299999999999</v>
      </c>
      <c r="N3877">
        <v>-1.3818789999999999E-2</v>
      </c>
      <c r="O3877">
        <v>1.7466879999999999E-3</v>
      </c>
      <c r="P3877">
        <v>0.98032980000000003</v>
      </c>
      <c r="Q3877">
        <v>0.18848129999999999</v>
      </c>
      <c r="R3877">
        <v>5.8552079999999999E-2</v>
      </c>
      <c r="S3877">
        <v>3.0815579999999998</v>
      </c>
      <c r="T3877">
        <v>3.1188729999999999E-3</v>
      </c>
      <c r="U3877">
        <v>-0.36940000000000001</v>
      </c>
      <c r="V3877">
        <v>-5.6825399999999998E-2</v>
      </c>
      <c r="W3877">
        <v>0.2020158</v>
      </c>
      <c r="X3877">
        <v>0.9777323</v>
      </c>
      <c r="Y3877">
        <v>0.12075710000000001</v>
      </c>
      <c r="Z3877">
        <v>-7.5066719999999996E-4</v>
      </c>
      <c r="AA3877">
        <v>0.99268179999999995</v>
      </c>
      <c r="AB3877">
        <v>43</v>
      </c>
      <c r="AC3877">
        <v>86.795500000000004</v>
      </c>
      <c r="AD3877">
        <v>8.8252999999999901E-2</v>
      </c>
      <c r="AE3877">
        <v>-10.458299999999999</v>
      </c>
      <c r="AF3877">
        <v>10.6098923650425</v>
      </c>
      <c r="AG3877">
        <v>8.8252999999999901E-2</v>
      </c>
      <c r="AH3877">
        <v>86.777010008308096</v>
      </c>
      <c r="AI3877">
        <v>89.9421604151716</v>
      </c>
      <c r="AJ3877">
        <v>83.029262501264597</v>
      </c>
      <c r="AK3877">
        <v>87.423263897956801</v>
      </c>
      <c r="AL3877">
        <v>78.345137424253707</v>
      </c>
      <c r="AM3877">
        <v>93.326265308795598</v>
      </c>
      <c r="AN3877">
        <v>0.999999979999044</v>
      </c>
    </row>
    <row r="3878" spans="1:40" x14ac:dyDescent="0.25">
      <c r="A3878" t="str">
        <f>"20190304155134170"</f>
        <v>20190304155134170</v>
      </c>
      <c r="B3878" t="str">
        <f>"1551685894160573"</f>
        <v>1551685894160573</v>
      </c>
      <c r="C3878" t="s">
        <v>40</v>
      </c>
      <c r="D3878">
        <v>5.071218</v>
      </c>
      <c r="E3878">
        <v>0.56734640000000003</v>
      </c>
      <c r="F3878" t="s">
        <v>58</v>
      </c>
      <c r="G3878">
        <v>-168.4119</v>
      </c>
      <c r="H3878">
        <v>1.1493089999999999</v>
      </c>
      <c r="I3878">
        <v>203.3717</v>
      </c>
      <c r="J3878">
        <v>-254.78809999999999</v>
      </c>
      <c r="K3878">
        <v>1.1101099999999999</v>
      </c>
      <c r="L3878">
        <v>213.78620000000001</v>
      </c>
      <c r="M3878">
        <v>0.99990210000000002</v>
      </c>
      <c r="N3878">
        <v>-1.388931E-2</v>
      </c>
      <c r="O3878">
        <v>1.7355859999999999E-3</v>
      </c>
      <c r="P3878">
        <v>0.98044759999999997</v>
      </c>
      <c r="Q3878">
        <v>0.187754</v>
      </c>
      <c r="R3878">
        <v>5.891706E-2</v>
      </c>
      <c r="S3878">
        <v>3.082001</v>
      </c>
      <c r="T3878">
        <v>1.3935569999999999E-3</v>
      </c>
      <c r="U3878">
        <v>-0.36978149999999999</v>
      </c>
      <c r="V3878">
        <v>-5.7201599999999998E-2</v>
      </c>
      <c r="W3878">
        <v>0.20135910000000001</v>
      </c>
      <c r="X3878">
        <v>0.97784579999999999</v>
      </c>
      <c r="Y3878">
        <v>0.12085</v>
      </c>
      <c r="Z3878">
        <v>-7.9027329999999997E-4</v>
      </c>
      <c r="AA3878">
        <v>0.99267050000000001</v>
      </c>
      <c r="AB3878">
        <v>43</v>
      </c>
      <c r="AC3878">
        <v>86.376199999999898</v>
      </c>
      <c r="AD3878">
        <v>3.9198999999999901E-2</v>
      </c>
      <c r="AE3878">
        <v>-10.4145</v>
      </c>
      <c r="AF3878">
        <v>10.564409942365501</v>
      </c>
      <c r="AG3878">
        <v>3.9198999999999901E-2</v>
      </c>
      <c r="AH3878">
        <v>86.357975347603897</v>
      </c>
      <c r="AI3878">
        <v>89.974185153877599</v>
      </c>
      <c r="AJ3878">
        <v>83.025502903057799</v>
      </c>
      <c r="AK3878">
        <v>87.001771247080498</v>
      </c>
      <c r="AL3878">
        <v>78.383552764233499</v>
      </c>
      <c r="AM3878">
        <v>93.347848427151007</v>
      </c>
      <c r="AN3878">
        <v>0.99999995938650399</v>
      </c>
    </row>
    <row r="3879" spans="1:40" x14ac:dyDescent="0.25">
      <c r="A3879" t="str">
        <f>"20190304155134192"</f>
        <v>20190304155134192</v>
      </c>
      <c r="B3879" t="str">
        <f>"1551685894180093"</f>
        <v>1551685894180093</v>
      </c>
      <c r="C3879" t="s">
        <v>40</v>
      </c>
      <c r="D3879">
        <v>5.0603040000000004</v>
      </c>
      <c r="E3879">
        <v>0.56760319999999997</v>
      </c>
      <c r="F3879" t="s">
        <v>58</v>
      </c>
      <c r="G3879">
        <v>-168.4119</v>
      </c>
      <c r="H3879">
        <v>1.1356329999999999</v>
      </c>
      <c r="I3879">
        <v>203.41200000000001</v>
      </c>
      <c r="J3879">
        <v>-254.37360000000001</v>
      </c>
      <c r="K3879">
        <v>1.1101240000000001</v>
      </c>
      <c r="L3879">
        <v>213.78700000000001</v>
      </c>
      <c r="M3879">
        <v>0.99990100000000004</v>
      </c>
      <c r="N3879">
        <v>-1.396329E-2</v>
      </c>
      <c r="O3879">
        <v>1.7248159999999999E-3</v>
      </c>
      <c r="P3879">
        <v>0.98055440000000005</v>
      </c>
      <c r="Q3879">
        <v>0.1870202</v>
      </c>
      <c r="R3879">
        <v>5.946924E-2</v>
      </c>
      <c r="S3879">
        <v>3.0818789999999998</v>
      </c>
      <c r="T3879">
        <v>9.1183189999999997E-4</v>
      </c>
      <c r="U3879">
        <v>-0.37014770000000002</v>
      </c>
      <c r="V3879">
        <v>-5.7763509999999997E-2</v>
      </c>
      <c r="W3879">
        <v>0.20069909999999999</v>
      </c>
      <c r="X3879">
        <v>0.9779485</v>
      </c>
      <c r="Y3879">
        <v>0.1209601</v>
      </c>
      <c r="Z3879">
        <v>-8.052278E-4</v>
      </c>
      <c r="AA3879">
        <v>0.99265709999999996</v>
      </c>
      <c r="AB3879">
        <v>43</v>
      </c>
      <c r="AC3879">
        <v>85.961699999999993</v>
      </c>
      <c r="AD3879">
        <v>2.5509E-2</v>
      </c>
      <c r="AE3879">
        <v>-10.375</v>
      </c>
      <c r="AF3879">
        <v>10.523266225777199</v>
      </c>
      <c r="AG3879">
        <v>2.5509E-2</v>
      </c>
      <c r="AH3879">
        <v>85.943667936698006</v>
      </c>
      <c r="AI3879">
        <v>89.983120065480307</v>
      </c>
      <c r="AJ3879">
        <v>83.019236989556902</v>
      </c>
      <c r="AK3879">
        <v>86.585529051805693</v>
      </c>
      <c r="AL3879">
        <v>78.422156653844496</v>
      </c>
      <c r="AM3879">
        <v>93.380305330064601</v>
      </c>
      <c r="AN3879">
        <v>1.0000000102402899</v>
      </c>
    </row>
    <row r="3880" spans="1:40" x14ac:dyDescent="0.25">
      <c r="A3880" t="str">
        <f>"20190304155134215"</f>
        <v>20190304155134215</v>
      </c>
      <c r="B3880" t="str">
        <f>"1551685894210349"</f>
        <v>1551685894210349</v>
      </c>
      <c r="C3880" t="s">
        <v>40</v>
      </c>
      <c r="D3880">
        <v>5.0611940000000004</v>
      </c>
      <c r="E3880">
        <v>0.56763949999999996</v>
      </c>
      <c r="F3880" t="s">
        <v>58</v>
      </c>
      <c r="G3880">
        <v>-168.4119</v>
      </c>
      <c r="H3880">
        <v>1.121645</v>
      </c>
      <c r="I3880">
        <v>203.43879999999999</v>
      </c>
      <c r="J3880">
        <v>-253.93819999999999</v>
      </c>
      <c r="K3880">
        <v>1.110136</v>
      </c>
      <c r="L3880">
        <v>213.7877</v>
      </c>
      <c r="M3880">
        <v>0.99989989999999995</v>
      </c>
      <c r="N3880">
        <v>-1.404322E-2</v>
      </c>
      <c r="O3880">
        <v>1.713284E-3</v>
      </c>
      <c r="P3880">
        <v>0.98067110000000002</v>
      </c>
      <c r="Q3880">
        <v>0.18639559999999999</v>
      </c>
      <c r="R3880">
        <v>5.9503939999999998E-2</v>
      </c>
      <c r="S3880">
        <v>3.081909</v>
      </c>
      <c r="T3880">
        <v>4.1425229999999998E-4</v>
      </c>
      <c r="U3880">
        <v>-0.3710022</v>
      </c>
      <c r="V3880">
        <v>-5.7809260000000001E-2</v>
      </c>
      <c r="W3880">
        <v>0.20015440000000001</v>
      </c>
      <c r="X3880">
        <v>0.97805739999999997</v>
      </c>
      <c r="Y3880">
        <v>0.121218699999999</v>
      </c>
      <c r="Z3880">
        <v>-8.2193269999999996E-4</v>
      </c>
      <c r="AA3880">
        <v>0.99262550000000005</v>
      </c>
      <c r="AB3880">
        <v>43</v>
      </c>
      <c r="AC3880">
        <v>85.526299999999907</v>
      </c>
      <c r="AD3880">
        <v>1.15089999999999E-2</v>
      </c>
      <c r="AE3880">
        <v>-10.3489</v>
      </c>
      <c r="AF3880">
        <v>10.495429916352</v>
      </c>
      <c r="AG3880">
        <v>1.15089999999999E-2</v>
      </c>
      <c r="AH3880">
        <v>85.508440570839397</v>
      </c>
      <c r="AI3880">
        <v>89.992345722417198</v>
      </c>
      <c r="AJ3880">
        <v>83.002433443548099</v>
      </c>
      <c r="AK3880">
        <v>86.150145620555406</v>
      </c>
      <c r="AL3880">
        <v>78.454011769545502</v>
      </c>
      <c r="AM3880">
        <v>93.382600595801406</v>
      </c>
      <c r="AN3880">
        <v>0.99999998603793305</v>
      </c>
    </row>
    <row r="3881" spans="1:40" x14ac:dyDescent="0.25">
      <c r="A3881" t="str">
        <f>"20190304155134238"</f>
        <v>20190304155134238</v>
      </c>
      <c r="B3881" t="str">
        <f>"1551685894230846"</f>
        <v>1551685894230846</v>
      </c>
      <c r="C3881" t="s">
        <v>40</v>
      </c>
      <c r="D3881">
        <v>5.1831519999999998</v>
      </c>
      <c r="E3881">
        <v>0.53593649999999904</v>
      </c>
      <c r="F3881" t="s">
        <v>58</v>
      </c>
      <c r="G3881">
        <v>-168.4118</v>
      </c>
      <c r="H3881">
        <v>1.095415</v>
      </c>
      <c r="I3881">
        <v>203.4864</v>
      </c>
      <c r="J3881">
        <v>-253.50059999999999</v>
      </c>
      <c r="K3881">
        <v>1.1101490000000001</v>
      </c>
      <c r="L3881">
        <v>213.7884</v>
      </c>
      <c r="M3881">
        <v>0.99989879999999998</v>
      </c>
      <c r="N3881">
        <v>-1.4127870000000001E-2</v>
      </c>
      <c r="O3881">
        <v>1.7017759999999999E-3</v>
      </c>
      <c r="P3881">
        <v>0.98077119999999995</v>
      </c>
      <c r="Q3881">
        <v>0.18582770000000001</v>
      </c>
      <c r="R3881">
        <v>5.9631259999999998E-2</v>
      </c>
      <c r="S3881">
        <v>3.0817570000000001</v>
      </c>
      <c r="T3881">
        <v>-5.2928920000000002E-4</v>
      </c>
      <c r="U3881">
        <v>-0.3711853</v>
      </c>
      <c r="V3881">
        <v>-5.7948010000000001E-2</v>
      </c>
      <c r="W3881">
        <v>0.19967080000000001</v>
      </c>
      <c r="X3881">
        <v>0.97814800000000002</v>
      </c>
      <c r="Y3881">
        <v>0.121271</v>
      </c>
      <c r="Z3881">
        <v>-8.4648979999999905E-4</v>
      </c>
      <c r="AA3881">
        <v>0.99261909999999998</v>
      </c>
      <c r="AB3881">
        <v>43</v>
      </c>
      <c r="AC3881">
        <v>85.088799999999907</v>
      </c>
      <c r="AD3881">
        <v>-1.4734000000000001E-2</v>
      </c>
      <c r="AE3881">
        <v>-10.3019999999999</v>
      </c>
      <c r="AF3881">
        <v>10.446801294208599</v>
      </c>
      <c r="AG3881">
        <v>-1.4734000000000001E-2</v>
      </c>
      <c r="AH3881">
        <v>85.071140805668193</v>
      </c>
      <c r="AI3881">
        <v>90.009849425404198</v>
      </c>
      <c r="AJ3881">
        <v>82.999085282359701</v>
      </c>
      <c r="AK3881">
        <v>85.710179514158398</v>
      </c>
      <c r="AL3881">
        <v>78.482290496897093</v>
      </c>
      <c r="AM3881">
        <v>93.390387045225395</v>
      </c>
      <c r="AN3881">
        <v>0.999999955069799</v>
      </c>
    </row>
    <row r="3882" spans="1:40" x14ac:dyDescent="0.25">
      <c r="A3882" t="str">
        <f>"20190304155134261"</f>
        <v>20190304155134261</v>
      </c>
      <c r="B3882" t="str">
        <f>"1551685894250366"</f>
        <v>1551685894250366</v>
      </c>
      <c r="C3882" t="s">
        <v>40</v>
      </c>
      <c r="D3882">
        <v>4.9853529999999999</v>
      </c>
      <c r="E3882">
        <v>0.532995</v>
      </c>
      <c r="F3882" t="s">
        <v>58</v>
      </c>
      <c r="G3882">
        <v>-151.66820000000001</v>
      </c>
      <c r="H3882">
        <v>4.7203059999999998E-2</v>
      </c>
      <c r="I3882">
        <v>209.83619999999999</v>
      </c>
      <c r="J3882">
        <v>-253.06960000000001</v>
      </c>
      <c r="K3882">
        <v>1.1101620000000001</v>
      </c>
      <c r="L3882">
        <v>213.78909999999999</v>
      </c>
      <c r="M3882">
        <v>0.99989749999999999</v>
      </c>
      <c r="N3882">
        <v>-1.421829E-2</v>
      </c>
      <c r="O3882">
        <v>1.690343E-3</v>
      </c>
      <c r="P3882">
        <v>0.98086260000000003</v>
      </c>
      <c r="Q3882">
        <v>0.18524399999999999</v>
      </c>
      <c r="R3882">
        <v>5.9944450000000003E-2</v>
      </c>
      <c r="S3882">
        <v>3.0721440000000002</v>
      </c>
      <c r="T3882">
        <v>-3.2066579999999997E-2</v>
      </c>
      <c r="U3882">
        <v>-0.119232199999999</v>
      </c>
      <c r="V3882">
        <v>-5.8272079999999997E-2</v>
      </c>
      <c r="W3882">
        <v>0.19917699999999999</v>
      </c>
      <c r="X3882">
        <v>0.97822949999999997</v>
      </c>
      <c r="Y3882">
        <v>4.0465519999999998E-2</v>
      </c>
      <c r="Z3882">
        <v>-4.9252849999999995E-4</v>
      </c>
      <c r="AA3882">
        <v>0.99918079999999998</v>
      </c>
      <c r="AB3882">
        <v>43</v>
      </c>
      <c r="AC3882">
        <v>101.4014</v>
      </c>
      <c r="AD3882">
        <v>-1.0629589399999999</v>
      </c>
      <c r="AE3882">
        <v>-3.9529000000000001</v>
      </c>
      <c r="AF3882">
        <v>4.1238623540102104</v>
      </c>
      <c r="AG3882">
        <v>-1.0629589399999999</v>
      </c>
      <c r="AH3882">
        <v>101.38344888637501</v>
      </c>
      <c r="AI3882">
        <v>90.600201663215998</v>
      </c>
      <c r="AJ3882">
        <v>87.670727033039</v>
      </c>
      <c r="AK3882">
        <v>101.472852677547</v>
      </c>
      <c r="AL3882">
        <v>78.511164024640706</v>
      </c>
      <c r="AM3882">
        <v>93.409019564642605</v>
      </c>
      <c r="AN3882">
        <v>1.0000000336533801</v>
      </c>
    </row>
    <row r="3883" spans="1:40" x14ac:dyDescent="0.25">
      <c r="A3883" t="str">
        <f>"20190304155134282"</f>
        <v>20190304155134282</v>
      </c>
      <c r="B3883" t="str">
        <f>"1551685894270861"</f>
        <v>1551685894270861</v>
      </c>
      <c r="C3883" t="s">
        <v>40</v>
      </c>
      <c r="D3883">
        <v>4.95235</v>
      </c>
      <c r="E3883">
        <v>0.53470410000000002</v>
      </c>
      <c r="F3883" t="s">
        <v>58</v>
      </c>
      <c r="G3883">
        <v>-137.2063</v>
      </c>
      <c r="H3883">
        <v>0.33135989999999999</v>
      </c>
      <c r="I3883">
        <v>210.22640000000001</v>
      </c>
      <c r="J3883">
        <v>-252.6636</v>
      </c>
      <c r="K3883">
        <v>1.1101719999999999</v>
      </c>
      <c r="L3883">
        <v>213.78980000000001</v>
      </c>
      <c r="M3883">
        <v>0.99989629999999996</v>
      </c>
      <c r="N3883">
        <v>-1.4308670000000001E-2</v>
      </c>
      <c r="O3883">
        <v>1.679561E-3</v>
      </c>
      <c r="P3883">
        <v>0.98096609999999995</v>
      </c>
      <c r="Q3883">
        <v>0.18461820000000001</v>
      </c>
      <c r="R3883">
        <v>6.0182899999999998E-2</v>
      </c>
      <c r="S3883">
        <v>3.0681919999999998</v>
      </c>
      <c r="T3883">
        <v>-2.0622729999999999E-2</v>
      </c>
      <c r="U3883">
        <v>-9.4345090000000006E-2</v>
      </c>
      <c r="V3883">
        <v>-5.8521129999999998E-2</v>
      </c>
      <c r="W3883">
        <v>0.1986414</v>
      </c>
      <c r="X3883">
        <v>0.97832350000000001</v>
      </c>
      <c r="Y3883">
        <v>3.2411450000000001E-2</v>
      </c>
      <c r="Z3883">
        <v>-3.2811480000000001E-4</v>
      </c>
      <c r="AA3883">
        <v>0.99947459999999999</v>
      </c>
      <c r="AB3883">
        <v>43</v>
      </c>
      <c r="AC3883">
        <v>115.4573</v>
      </c>
      <c r="AD3883">
        <v>-0.77881209999999901</v>
      </c>
      <c r="AE3883">
        <v>-3.5634000000000001</v>
      </c>
      <c r="AF3883">
        <v>3.7571615963421201</v>
      </c>
      <c r="AG3883">
        <v>-0.77881209999999901</v>
      </c>
      <c r="AH3883">
        <v>115.44590363337601</v>
      </c>
      <c r="AI3883">
        <v>90.386313905977005</v>
      </c>
      <c r="AJ3883">
        <v>88.135979345330995</v>
      </c>
      <c r="AK3883">
        <v>115.50965101356201</v>
      </c>
      <c r="AL3883">
        <v>78.542476952725195</v>
      </c>
      <c r="AM3883">
        <v>93.423226685788904</v>
      </c>
      <c r="AN3883">
        <v>0.999999999551343</v>
      </c>
    </row>
    <row r="3884" spans="1:40" x14ac:dyDescent="0.25">
      <c r="A3884" t="str">
        <f>"20190304155134305"</f>
        <v>20190304155134305</v>
      </c>
      <c r="B3884" t="str">
        <f>"1551685894300141"</f>
        <v>1551685894300141</v>
      </c>
      <c r="C3884" t="s">
        <v>40</v>
      </c>
      <c r="D3884">
        <v>5.0035270000000001</v>
      </c>
      <c r="E3884">
        <v>0.5337288</v>
      </c>
      <c r="F3884" t="s">
        <v>58</v>
      </c>
      <c r="G3884">
        <v>-150.90180000000001</v>
      </c>
      <c r="H3884">
        <v>0.4540749</v>
      </c>
      <c r="I3884">
        <v>210.23089999999999</v>
      </c>
      <c r="J3884">
        <v>-252.2423</v>
      </c>
      <c r="K3884">
        <v>1.110179</v>
      </c>
      <c r="L3884">
        <v>213.79050000000001</v>
      </c>
      <c r="M3884">
        <v>0.99989490000000003</v>
      </c>
      <c r="N3884">
        <v>-1.440316E-2</v>
      </c>
      <c r="O3884">
        <v>1.668271E-3</v>
      </c>
      <c r="P3884">
        <v>0.98105039999999999</v>
      </c>
      <c r="Q3884">
        <v>0.18416060000000001</v>
      </c>
      <c r="R3884">
        <v>6.0206419999999997E-2</v>
      </c>
      <c r="S3884">
        <v>3.0685120000000001</v>
      </c>
      <c r="T3884">
        <v>-1.978278E-2</v>
      </c>
      <c r="U3884">
        <v>-0.1073151</v>
      </c>
      <c r="V3884">
        <v>-5.855585E-2</v>
      </c>
      <c r="W3884">
        <v>0.19827739999999999</v>
      </c>
      <c r="X3884">
        <v>0.97839529999999997</v>
      </c>
      <c r="Y3884">
        <v>3.6616490000000002E-2</v>
      </c>
      <c r="Z3884">
        <v>-3.6852590000000001E-4</v>
      </c>
      <c r="AA3884">
        <v>0.99932929999999998</v>
      </c>
      <c r="AB3884">
        <v>42</v>
      </c>
      <c r="AC3884">
        <v>101.34050000000001</v>
      </c>
      <c r="AD3884">
        <v>-0.65610409999999997</v>
      </c>
      <c r="AE3884">
        <v>-3.5596000000000099</v>
      </c>
      <c r="AF3884">
        <v>3.7285199060205501</v>
      </c>
      <c r="AG3884">
        <v>-0.65610409999999997</v>
      </c>
      <c r="AH3884">
        <v>101.330177837609</v>
      </c>
      <c r="AI3884">
        <v>90.3707291330999</v>
      </c>
      <c r="AJ3884">
        <v>87.892709508781607</v>
      </c>
      <c r="AK3884">
        <v>101.400874127796</v>
      </c>
      <c r="AL3884">
        <v>78.563756330419807</v>
      </c>
      <c r="AM3884">
        <v>93.425002052421505</v>
      </c>
      <c r="AN3884">
        <v>1.00000003899103</v>
      </c>
    </row>
    <row r="3885" spans="1:40" x14ac:dyDescent="0.25">
      <c r="A3885" t="str">
        <f>"20190304155134327"</f>
        <v>20190304155134327</v>
      </c>
      <c r="B3885" t="str">
        <f>"1551685894320640"</f>
        <v>1551685894320640</v>
      </c>
      <c r="C3885" t="s">
        <v>40</v>
      </c>
      <c r="D3885">
        <v>5.1085310000000002</v>
      </c>
      <c r="E3885">
        <v>0.53291089999999997</v>
      </c>
      <c r="F3885" t="s">
        <v>42</v>
      </c>
      <c r="G3885">
        <v>-157.6491</v>
      </c>
      <c r="H3885">
        <v>-0.05</v>
      </c>
      <c r="I3885">
        <v>210.70840000000001</v>
      </c>
      <c r="J3885">
        <v>-251.8168</v>
      </c>
      <c r="K3885">
        <v>1.1101970000000001</v>
      </c>
      <c r="L3885">
        <v>213.7912</v>
      </c>
      <c r="M3885">
        <v>0.9998937</v>
      </c>
      <c r="N3885">
        <v>-1.4496719999999999E-2</v>
      </c>
      <c r="O3885">
        <v>1.656982E-3</v>
      </c>
      <c r="P3885">
        <v>0.98111119999999996</v>
      </c>
      <c r="Q3885">
        <v>0.18387609999999999</v>
      </c>
      <c r="R3885">
        <v>6.0091489999999997E-2</v>
      </c>
      <c r="S3885">
        <v>3.0711360000000001</v>
      </c>
      <c r="T3885">
        <v>-3.7667270000000003E-2</v>
      </c>
      <c r="U3885">
        <v>-0.10006710000000001</v>
      </c>
      <c r="V3885">
        <v>-5.8452259999999999E-2</v>
      </c>
      <c r="W3885">
        <v>0.19808519999999999</v>
      </c>
      <c r="X3885">
        <v>0.97844039999999999</v>
      </c>
      <c r="Y3885">
        <v>3.4216429999999999E-2</v>
      </c>
      <c r="Z3885">
        <v>-4.5418079999999999E-4</v>
      </c>
      <c r="AA3885">
        <v>0.99941429999999998</v>
      </c>
      <c r="AB3885">
        <v>42</v>
      </c>
      <c r="AC3885">
        <v>94.167699999999996</v>
      </c>
      <c r="AD3885">
        <v>-1.1601969999999999</v>
      </c>
      <c r="AE3885">
        <v>-3.08279999999999</v>
      </c>
      <c r="AF3885">
        <v>3.2383552826330102</v>
      </c>
      <c r="AG3885">
        <v>-1.1601969999999999</v>
      </c>
      <c r="AH3885">
        <v>94.148186027309805</v>
      </c>
      <c r="AI3885">
        <v>90.705608331670504</v>
      </c>
      <c r="AJ3885">
        <v>88.030010168333206</v>
      </c>
      <c r="AK3885">
        <v>94.211007500441795</v>
      </c>
      <c r="AL3885">
        <v>78.574991141973697</v>
      </c>
      <c r="AM3885">
        <v>93.418800115771305</v>
      </c>
      <c r="AN3885">
        <v>1.00000001475515</v>
      </c>
    </row>
    <row r="3886" spans="1:40" x14ac:dyDescent="0.25">
      <c r="A3886" t="str">
        <f>"20190304155134349"</f>
        <v>20190304155134349</v>
      </c>
      <c r="B3886" t="str">
        <f>"1551685894340158"</f>
        <v>1551685894340158</v>
      </c>
      <c r="C3886" t="s">
        <v>40</v>
      </c>
      <c r="D3886">
        <v>4.9228339999999999</v>
      </c>
      <c r="E3886">
        <v>0.53218269999999901</v>
      </c>
      <c r="F3886" t="s">
        <v>42</v>
      </c>
      <c r="G3886">
        <v>-165.011</v>
      </c>
      <c r="H3886">
        <v>-0.05</v>
      </c>
      <c r="I3886">
        <v>211.13069999999999</v>
      </c>
      <c r="J3886">
        <v>-251.3895</v>
      </c>
      <c r="K3886">
        <v>1.1102080000000001</v>
      </c>
      <c r="L3886">
        <v>213.7919</v>
      </c>
      <c r="M3886">
        <v>0.99989229999999996</v>
      </c>
      <c r="N3886">
        <v>-1.458745E-2</v>
      </c>
      <c r="O3886">
        <v>1.6465449999999999E-3</v>
      </c>
      <c r="P3886">
        <v>0.98110450000000005</v>
      </c>
      <c r="Q3886">
        <v>0.18400459999999999</v>
      </c>
      <c r="R3886">
        <v>5.9803790000000003E-2</v>
      </c>
      <c r="S3886">
        <v>3.0712280000000001</v>
      </c>
      <c r="T3886">
        <v>-4.1048290000000001E-2</v>
      </c>
      <c r="U3886">
        <v>-9.4131469999999995E-2</v>
      </c>
      <c r="V3886">
        <v>-5.8174379999999998E-2</v>
      </c>
      <c r="W3886">
        <v>0.1983026</v>
      </c>
      <c r="X3886">
        <v>0.97841290000000003</v>
      </c>
      <c r="Y3886">
        <v>3.2274959999999998E-2</v>
      </c>
      <c r="Z3886">
        <v>-4.491047E-4</v>
      </c>
      <c r="AA3886">
        <v>0.99947889999999995</v>
      </c>
      <c r="AB3886">
        <v>42</v>
      </c>
      <c r="AC3886">
        <v>86.378500000000003</v>
      </c>
      <c r="AD3886">
        <v>-1.1602079999999999</v>
      </c>
      <c r="AE3886">
        <v>-2.6612</v>
      </c>
      <c r="AF3886">
        <v>2.8029324083792599</v>
      </c>
      <c r="AG3886">
        <v>-1.1602079999999999</v>
      </c>
      <c r="AH3886">
        <v>86.358435488791301</v>
      </c>
      <c r="AI3886">
        <v>90.769305767555394</v>
      </c>
      <c r="AJ3886">
        <v>88.141005700453803</v>
      </c>
      <c r="AK3886">
        <v>86.411699976108196</v>
      </c>
      <c r="AL3886">
        <v>78.562282672804002</v>
      </c>
      <c r="AM3886">
        <v>93.402680947391204</v>
      </c>
      <c r="AN3886">
        <v>0.99999999127077699</v>
      </c>
    </row>
    <row r="3887" spans="1:40" x14ac:dyDescent="0.25">
      <c r="A3887" t="str">
        <f>"20190304155134372"</f>
        <v>20190304155134372</v>
      </c>
      <c r="B3887" t="str">
        <f>"1551685894360653"</f>
        <v>1551685894360653</v>
      </c>
      <c r="C3887" t="s">
        <v>40</v>
      </c>
      <c r="D3887">
        <v>5.0205109999999999</v>
      </c>
      <c r="E3887">
        <v>0.53239269999999905</v>
      </c>
      <c r="F3887" t="s">
        <v>42</v>
      </c>
      <c r="G3887">
        <v>-163.88630000000001</v>
      </c>
      <c r="H3887">
        <v>-0.05</v>
      </c>
      <c r="I3887">
        <v>211.2353</v>
      </c>
      <c r="J3887">
        <v>-250.97020000000001</v>
      </c>
      <c r="K3887">
        <v>1.11022</v>
      </c>
      <c r="L3887">
        <v>213.79259999999999</v>
      </c>
      <c r="M3887">
        <v>0.99989099999999997</v>
      </c>
      <c r="N3887">
        <v>-1.4670819999999999E-2</v>
      </c>
      <c r="O3887">
        <v>1.6377259999999999E-3</v>
      </c>
      <c r="P3887">
        <v>0.98112739999999998</v>
      </c>
      <c r="Q3887">
        <v>0.183972</v>
      </c>
      <c r="R3887">
        <v>5.9529869999999999E-2</v>
      </c>
      <c r="S3887">
        <v>3.0708769999999999</v>
      </c>
      <c r="T3887">
        <v>-4.0716889999999999E-2</v>
      </c>
      <c r="U3887">
        <v>-8.9721679999999998E-2</v>
      </c>
      <c r="V3887">
        <v>-5.790973E-2</v>
      </c>
      <c r="W3887">
        <v>0.19835159999999999</v>
      </c>
      <c r="X3887">
        <v>0.97841860000000003</v>
      </c>
      <c r="Y3887">
        <v>3.0835950000000001E-2</v>
      </c>
      <c r="Z3887">
        <v>-4.2833699999999999E-4</v>
      </c>
      <c r="AA3887">
        <v>0.99952439999999998</v>
      </c>
      <c r="AB3887">
        <v>42</v>
      </c>
      <c r="AC3887">
        <v>87.0839</v>
      </c>
      <c r="AD3887">
        <v>-1.16022</v>
      </c>
      <c r="AE3887">
        <v>-2.5572999999999899</v>
      </c>
      <c r="AF3887">
        <v>2.6994527455567798</v>
      </c>
      <c r="AG3887">
        <v>-1.16022</v>
      </c>
      <c r="AH3887">
        <v>87.064153774704906</v>
      </c>
      <c r="AI3887">
        <v>90.763113726827498</v>
      </c>
      <c r="AJ3887">
        <v>88.224094428439201</v>
      </c>
      <c r="AK3887">
        <v>87.1137189429963</v>
      </c>
      <c r="AL3887">
        <v>78.559417517655405</v>
      </c>
      <c r="AM3887">
        <v>93.387217726465494</v>
      </c>
      <c r="AN3887">
        <v>0.99999992543859295</v>
      </c>
    </row>
    <row r="3888" spans="1:40" x14ac:dyDescent="0.25">
      <c r="A3888" t="str">
        <f>"20190304155134394"</f>
        <v>20190304155134394</v>
      </c>
      <c r="B3888" t="str">
        <f>"1551685894390909"</f>
        <v>1551685894390909</v>
      </c>
      <c r="C3888" t="s">
        <v>40</v>
      </c>
      <c r="D3888">
        <v>5.0312029999999996</v>
      </c>
      <c r="E3888">
        <v>0.53404830000000003</v>
      </c>
      <c r="F3888" t="s">
        <v>62</v>
      </c>
      <c r="G3888">
        <v>-179.9375</v>
      </c>
      <c r="H3888">
        <v>7.0199250000000005E-2</v>
      </c>
      <c r="I3888">
        <v>211.65260000000001</v>
      </c>
      <c r="J3888">
        <v>-250.5531</v>
      </c>
      <c r="K3888">
        <v>1.110223</v>
      </c>
      <c r="L3888">
        <v>213.79329999999999</v>
      </c>
      <c r="M3888">
        <v>0.99988999999999995</v>
      </c>
      <c r="N3888">
        <v>-1.4746449999999999E-2</v>
      </c>
      <c r="O3888">
        <v>1.6307579999999999E-3</v>
      </c>
      <c r="P3888">
        <v>0.98101099999999997</v>
      </c>
      <c r="Q3888">
        <v>0.18458189999999999</v>
      </c>
      <c r="R3888">
        <v>5.9558020000000003E-2</v>
      </c>
      <c r="S3888">
        <v>3.071777</v>
      </c>
      <c r="T3888">
        <v>-4.4975279999999999E-2</v>
      </c>
      <c r="U3888">
        <v>-9.2544559999999998E-2</v>
      </c>
      <c r="V3888">
        <v>-5.7945879999999998E-2</v>
      </c>
      <c r="W3888">
        <v>0.1990335</v>
      </c>
      <c r="X3888">
        <v>0.97827799999999998</v>
      </c>
      <c r="Y3888">
        <v>3.1737029999999999E-2</v>
      </c>
      <c r="Z3888">
        <v>-4.6619469999999998E-4</v>
      </c>
      <c r="AA3888">
        <v>0.99949619999999995</v>
      </c>
      <c r="AB3888">
        <v>42</v>
      </c>
      <c r="AC3888">
        <v>70.615600000000001</v>
      </c>
      <c r="AD3888">
        <v>-1.04002375</v>
      </c>
      <c r="AE3888">
        <v>-2.1406999999999798</v>
      </c>
      <c r="AF3888">
        <v>2.2553778518521002</v>
      </c>
      <c r="AG3888">
        <v>-1.04002375</v>
      </c>
      <c r="AH3888">
        <v>70.596715467617102</v>
      </c>
      <c r="AI3888">
        <v>90.843584314130297</v>
      </c>
      <c r="AJ3888">
        <v>88.170174138247404</v>
      </c>
      <c r="AK3888">
        <v>70.640389392123794</v>
      </c>
      <c r="AL3888">
        <v>78.5195530031354</v>
      </c>
      <c r="AM3888">
        <v>93.389813245447002</v>
      </c>
      <c r="AN3888">
        <v>0.99999995220761095</v>
      </c>
    </row>
    <row r="3889" spans="1:40" x14ac:dyDescent="0.25">
      <c r="A3889" t="str">
        <f>"20190304155134416"</f>
        <v>20190304155134416</v>
      </c>
      <c r="B3889" t="str">
        <f>"1551685894410432"</f>
        <v>1551685894410432</v>
      </c>
      <c r="C3889" t="s">
        <v>40</v>
      </c>
      <c r="D3889">
        <v>4.9219059999999999</v>
      </c>
      <c r="E3889">
        <v>0.53360160000000001</v>
      </c>
      <c r="F3889" t="s">
        <v>62</v>
      </c>
      <c r="G3889">
        <v>-185.73480000000001</v>
      </c>
      <c r="H3889" s="1">
        <v>3.4898270000000001E-6</v>
      </c>
      <c r="I3889">
        <v>211.5642</v>
      </c>
      <c r="J3889">
        <v>-250.1259</v>
      </c>
      <c r="K3889">
        <v>1.1102320000000001</v>
      </c>
      <c r="L3889">
        <v>213.79400000000001</v>
      </c>
      <c r="M3889">
        <v>0.99988880000000002</v>
      </c>
      <c r="N3889">
        <v>-1.481525E-2</v>
      </c>
      <c r="O3889">
        <v>1.6259270000000001E-3</v>
      </c>
      <c r="P3889">
        <v>0.98106119999999997</v>
      </c>
      <c r="Q3889">
        <v>0.18445610000000001</v>
      </c>
      <c r="R3889">
        <v>5.9118589999999999E-2</v>
      </c>
      <c r="S3889">
        <v>3.074417</v>
      </c>
      <c r="T3889">
        <v>-5.2659150000000002E-2</v>
      </c>
      <c r="U3889">
        <v>-0.10572810000000001</v>
      </c>
      <c r="V3889">
        <v>-5.7511809999999997E-2</v>
      </c>
      <c r="W3889">
        <v>0.1989755</v>
      </c>
      <c r="X3889">
        <v>0.9783155</v>
      </c>
      <c r="Y3889">
        <v>3.5984599999999999E-2</v>
      </c>
      <c r="Z3889">
        <v>-5.7850860000000003E-4</v>
      </c>
      <c r="AA3889">
        <v>0.99935220000000002</v>
      </c>
      <c r="AB3889">
        <v>42</v>
      </c>
      <c r="AC3889">
        <v>64.391099999999994</v>
      </c>
      <c r="AD3889">
        <v>-1.1102285101729901</v>
      </c>
      <c r="AE3889">
        <v>-2.2298000000000102</v>
      </c>
      <c r="AF3889">
        <v>2.3338108089203899</v>
      </c>
      <c r="AG3889">
        <v>-1.1102285101729901</v>
      </c>
      <c r="AH3889">
        <v>64.368276170987599</v>
      </c>
      <c r="AI3889">
        <v>90.987494883986301</v>
      </c>
      <c r="AJ3889">
        <v>87.923527404089498</v>
      </c>
      <c r="AK3889">
        <v>64.420138601691704</v>
      </c>
      <c r="AL3889">
        <v>78.522944977650795</v>
      </c>
      <c r="AM3889">
        <v>93.364350189603897</v>
      </c>
      <c r="AN3889">
        <v>1.00000003771498</v>
      </c>
    </row>
    <row r="3890" spans="1:40" x14ac:dyDescent="0.25">
      <c r="A3890" t="str">
        <f>"20190304155134439"</f>
        <v>20190304155134439</v>
      </c>
      <c r="B3890" t="str">
        <f>"1551685894430925"</f>
        <v>1551685894430925</v>
      </c>
      <c r="C3890" t="s">
        <v>40</v>
      </c>
      <c r="D3890">
        <v>4.9158720000000002</v>
      </c>
      <c r="E3890">
        <v>0.53325649999999902</v>
      </c>
      <c r="F3890" t="s">
        <v>62</v>
      </c>
      <c r="G3890">
        <v>-183.62610000000001</v>
      </c>
      <c r="H3890" s="1">
        <v>3.1159219999999999E-6</v>
      </c>
      <c r="I3890">
        <v>211.56270000000001</v>
      </c>
      <c r="J3890">
        <v>-249.6987</v>
      </c>
      <c r="K3890">
        <v>1.110242</v>
      </c>
      <c r="L3890">
        <v>213.79470000000001</v>
      </c>
      <c r="M3890">
        <v>0.9998882</v>
      </c>
      <c r="N3890">
        <v>-1.4875650000000001E-2</v>
      </c>
      <c r="O3890">
        <v>1.6221110000000001E-3</v>
      </c>
      <c r="P3890">
        <v>0.98106930000000003</v>
      </c>
      <c r="Q3890">
        <v>0.1844201</v>
      </c>
      <c r="R3890">
        <v>5.9099150000000003E-2</v>
      </c>
      <c r="S3890">
        <v>3.0737920000000001</v>
      </c>
      <c r="T3890">
        <v>-5.1317689999999999E-2</v>
      </c>
      <c r="U3890">
        <v>-0.103134199999999</v>
      </c>
      <c r="V3890">
        <v>-5.7497079999999999E-2</v>
      </c>
      <c r="W3890">
        <v>0.19899849999999999</v>
      </c>
      <c r="X3890">
        <v>0.97831170000000001</v>
      </c>
      <c r="Y3890">
        <v>3.5145959999999997E-2</v>
      </c>
      <c r="Z3890">
        <v>-5.5776199999999995E-4</v>
      </c>
      <c r="AA3890">
        <v>0.99938199999999999</v>
      </c>
      <c r="AB3890">
        <v>42</v>
      </c>
      <c r="AC3890">
        <v>66.072599999999994</v>
      </c>
      <c r="AD3890">
        <v>-1.110238884078</v>
      </c>
      <c r="AE3890">
        <v>-2.23199999999999</v>
      </c>
      <c r="AF3890">
        <v>2.3385264630428901</v>
      </c>
      <c r="AG3890">
        <v>-1.110238884078</v>
      </c>
      <c r="AH3890">
        <v>66.050263969987896</v>
      </c>
      <c r="AI3890">
        <v>90.962391174807195</v>
      </c>
      <c r="AJ3890">
        <v>87.972275284419595</v>
      </c>
      <c r="AK3890">
        <v>66.100973570009899</v>
      </c>
      <c r="AL3890">
        <v>78.521600424173997</v>
      </c>
      <c r="AM3890">
        <v>93.363503521000695</v>
      </c>
      <c r="AN3890">
        <v>1.0000000497838299</v>
      </c>
    </row>
    <row r="3891" spans="1:40" x14ac:dyDescent="0.25">
      <c r="A3891" t="str">
        <f>"20190304155134462"</f>
        <v>20190304155134462</v>
      </c>
      <c r="B3891" t="str">
        <f>"1551685894450446"</f>
        <v>1551685894450446</v>
      </c>
      <c r="C3891" t="s">
        <v>40</v>
      </c>
      <c r="D3891">
        <v>4.8797839999999999</v>
      </c>
      <c r="E3891">
        <v>0.5327752</v>
      </c>
      <c r="F3891" t="s">
        <v>62</v>
      </c>
      <c r="G3891">
        <v>-180.5539</v>
      </c>
      <c r="H3891" s="1">
        <v>2.5731789999999998E-6</v>
      </c>
      <c r="I3891">
        <v>211.53739999999999</v>
      </c>
      <c r="J3891">
        <v>-249.27510000000001</v>
      </c>
      <c r="K3891">
        <v>1.1102459999999901</v>
      </c>
      <c r="L3891">
        <v>213.7953</v>
      </c>
      <c r="M3891">
        <v>0.99988730000000003</v>
      </c>
      <c r="N3891">
        <v>-1.4927869999999999E-2</v>
      </c>
      <c r="O3891">
        <v>1.620256E-3</v>
      </c>
      <c r="P3891">
        <v>0.9811455</v>
      </c>
      <c r="Q3891">
        <v>0.1839481</v>
      </c>
      <c r="R3891">
        <v>5.930026E-2</v>
      </c>
      <c r="S3891">
        <v>3.0731809999999999</v>
      </c>
      <c r="T3891">
        <v>-4.934525E-2</v>
      </c>
      <c r="U3891">
        <v>-0.1003265</v>
      </c>
      <c r="V3891">
        <v>-5.7700349999999997E-2</v>
      </c>
      <c r="W3891">
        <v>0.19857830000000001</v>
      </c>
      <c r="X3891">
        <v>0.97838499999999995</v>
      </c>
      <c r="Y3891">
        <v>3.4239459999999999E-2</v>
      </c>
      <c r="Z3891">
        <v>-5.322972E-4</v>
      </c>
      <c r="AA3891">
        <v>0.99941349999999995</v>
      </c>
      <c r="AB3891">
        <v>42</v>
      </c>
      <c r="AC3891">
        <v>68.721199999999996</v>
      </c>
      <c r="AD3891">
        <v>-1.11024342682099</v>
      </c>
      <c r="AE3891">
        <v>-2.2578999999999998</v>
      </c>
      <c r="AF3891">
        <v>2.3686378077527901</v>
      </c>
      <c r="AG3891">
        <v>-1.11024342682099</v>
      </c>
      <c r="AH3891">
        <v>68.699539151771603</v>
      </c>
      <c r="AI3891">
        <v>90.925318573752904</v>
      </c>
      <c r="AJ3891">
        <v>88.025325738306705</v>
      </c>
      <c r="AK3891">
        <v>68.749325561760301</v>
      </c>
      <c r="AL3891">
        <v>78.546165111142301</v>
      </c>
      <c r="AM3891">
        <v>93.375114807885794</v>
      </c>
      <c r="AN3891">
        <v>0.99999993992300396</v>
      </c>
    </row>
    <row r="3892" spans="1:40" x14ac:dyDescent="0.25">
      <c r="A3892" t="str">
        <f>"20190304155134483"</f>
        <v>20190304155134483</v>
      </c>
      <c r="B3892" t="str">
        <f>"1551685894480701"</f>
        <v>1551685894480701</v>
      </c>
      <c r="C3892" t="s">
        <v>40</v>
      </c>
      <c r="D3892">
        <v>4.9253</v>
      </c>
      <c r="E3892">
        <v>0.53229709999999997</v>
      </c>
      <c r="F3892" t="s">
        <v>62</v>
      </c>
      <c r="G3892">
        <v>-181.91030000000001</v>
      </c>
      <c r="H3892" s="1">
        <v>2.8008380000000001E-6</v>
      </c>
      <c r="I3892">
        <v>211.68530000000001</v>
      </c>
      <c r="J3892">
        <v>-248.87049999999999</v>
      </c>
      <c r="K3892">
        <v>1.110247</v>
      </c>
      <c r="L3892">
        <v>213.79599999999999</v>
      </c>
      <c r="M3892">
        <v>0.99988679999999996</v>
      </c>
      <c r="N3892">
        <v>-1.497135E-2</v>
      </c>
      <c r="O3892">
        <v>1.618934E-3</v>
      </c>
      <c r="P3892">
        <v>0.98126820000000003</v>
      </c>
      <c r="Q3892">
        <v>0.1833978</v>
      </c>
      <c r="R3892">
        <v>5.8976389999999997E-2</v>
      </c>
      <c r="S3892">
        <v>3.0729679999999999</v>
      </c>
      <c r="T3892">
        <v>-5.0645709999999997E-2</v>
      </c>
      <c r="U3892">
        <v>-9.6252439999999995E-2</v>
      </c>
      <c r="V3892">
        <v>-5.7378369999999998E-2</v>
      </c>
      <c r="W3892">
        <v>0.1980722</v>
      </c>
      <c r="X3892">
        <v>0.9785066</v>
      </c>
      <c r="Y3892">
        <v>3.2916710000000002E-2</v>
      </c>
      <c r="Z3892">
        <v>-5.201165E-4</v>
      </c>
      <c r="AA3892">
        <v>0.99945799999999996</v>
      </c>
      <c r="AB3892">
        <v>42</v>
      </c>
      <c r="AC3892">
        <v>66.960199999999901</v>
      </c>
      <c r="AD3892">
        <v>-1.110244199162</v>
      </c>
      <c r="AE3892">
        <v>-2.11069999999998</v>
      </c>
      <c r="AF3892">
        <v>2.2185042065796701</v>
      </c>
      <c r="AG3892">
        <v>-1.110244199162</v>
      </c>
      <c r="AH3892">
        <v>66.938310469404101</v>
      </c>
      <c r="AI3892">
        <v>90.949703925561494</v>
      </c>
      <c r="AJ3892">
        <v>88.101768375174402</v>
      </c>
      <c r="AK3892">
        <v>66.984265403113298</v>
      </c>
      <c r="AL3892">
        <v>78.575751104424697</v>
      </c>
      <c r="AM3892">
        <v>93.355907998354596</v>
      </c>
      <c r="AN3892">
        <v>1.00000002000012</v>
      </c>
    </row>
    <row r="3893" spans="1:40" x14ac:dyDescent="0.25">
      <c r="A3893" t="str">
        <f>"20190304155134506"</f>
        <v>20190304155134506</v>
      </c>
      <c r="B3893" t="str">
        <f>"1551685894500221"</f>
        <v>1551685894500221</v>
      </c>
      <c r="C3893" t="s">
        <v>40</v>
      </c>
      <c r="D3893">
        <v>4.9423059999999897</v>
      </c>
      <c r="E3893">
        <v>0.53231539999999999</v>
      </c>
      <c r="F3893" t="s">
        <v>62</v>
      </c>
      <c r="G3893">
        <v>-183.4348</v>
      </c>
      <c r="H3893" s="1">
        <v>3.0611779999999998E-6</v>
      </c>
      <c r="I3893">
        <v>211.80080000000001</v>
      </c>
      <c r="J3893">
        <v>-248.4545</v>
      </c>
      <c r="K3893">
        <v>1.110255</v>
      </c>
      <c r="L3893">
        <v>213.79669999999999</v>
      </c>
      <c r="M3893">
        <v>0.99988619999999995</v>
      </c>
      <c r="N3893">
        <v>-1.5010249999999999E-2</v>
      </c>
      <c r="O3893">
        <v>1.6186550000000001E-3</v>
      </c>
      <c r="P3893">
        <v>0.98132030000000003</v>
      </c>
      <c r="Q3893">
        <v>0.18322359999999999</v>
      </c>
      <c r="R3893">
        <v>5.8650969999999997E-2</v>
      </c>
      <c r="S3893">
        <v>3.072632</v>
      </c>
      <c r="T3893">
        <v>-5.2133199999999998E-2</v>
      </c>
      <c r="U3893">
        <v>-9.3688960000000002E-2</v>
      </c>
      <c r="V3893">
        <v>-5.7052869999999999E-2</v>
      </c>
      <c r="W3893">
        <v>0.1979371</v>
      </c>
      <c r="X3893">
        <v>0.97855289999999995</v>
      </c>
      <c r="Y3893">
        <v>3.2086620000000003E-2</v>
      </c>
      <c r="Z3893">
        <v>-5.1620319999999998E-4</v>
      </c>
      <c r="AA3893">
        <v>0.99948499999999996</v>
      </c>
      <c r="AB3893">
        <v>42</v>
      </c>
      <c r="AC3893">
        <v>65.0197</v>
      </c>
      <c r="AD3893">
        <v>-1.110251938822</v>
      </c>
      <c r="AE3893">
        <v>-1.99589999999997</v>
      </c>
      <c r="AF3893">
        <v>2.1005417945625502</v>
      </c>
      <c r="AG3893">
        <v>-1.110251938822</v>
      </c>
      <c r="AH3893">
        <v>64.997449851096107</v>
      </c>
      <c r="AI3893">
        <v>90.978090393865202</v>
      </c>
      <c r="AJ3893">
        <v>88.148999581965896</v>
      </c>
      <c r="AK3893">
        <v>65.040859637185903</v>
      </c>
      <c r="AL3893">
        <v>78.583647327492301</v>
      </c>
      <c r="AM3893">
        <v>93.336755984394799</v>
      </c>
      <c r="AN3893">
        <v>0.99999995181502699</v>
      </c>
    </row>
    <row r="3894" spans="1:40" x14ac:dyDescent="0.25">
      <c r="A3894" t="str">
        <f>"20190304155134528"</f>
        <v>20190304155134528</v>
      </c>
      <c r="B3894" t="str">
        <f>"1551685894520717"</f>
        <v>1551685894520717</v>
      </c>
      <c r="C3894" t="s">
        <v>40</v>
      </c>
      <c r="D3894">
        <v>4.9504780000000004</v>
      </c>
      <c r="E3894">
        <v>0.53194869999999905</v>
      </c>
      <c r="F3894" t="s">
        <v>62</v>
      </c>
      <c r="G3894">
        <v>-182.1284</v>
      </c>
      <c r="H3894" s="1">
        <v>2.83399E-6</v>
      </c>
      <c r="I3894">
        <v>211.74879999999999</v>
      </c>
      <c r="J3894">
        <v>-248.03280000000001</v>
      </c>
      <c r="K3894">
        <v>1.1102609999999999</v>
      </c>
      <c r="L3894">
        <v>213.79740000000001</v>
      </c>
      <c r="M3894">
        <v>0.99988569999999999</v>
      </c>
      <c r="N3894">
        <v>-1.5044180000000001E-2</v>
      </c>
      <c r="O3894">
        <v>1.61858799999999E-3</v>
      </c>
      <c r="P3894">
        <v>0.98134370000000004</v>
      </c>
      <c r="Q3894">
        <v>0.1830968</v>
      </c>
      <c r="R3894">
        <v>5.8655800000000001E-2</v>
      </c>
      <c r="S3894">
        <v>3.0723720000000001</v>
      </c>
      <c r="T3894">
        <v>-5.1429389999999998E-2</v>
      </c>
      <c r="U3894">
        <v>-9.4863890000000006E-2</v>
      </c>
      <c r="V3894">
        <v>-5.7058169999999998E-2</v>
      </c>
      <c r="W3894">
        <v>0.19784360000000001</v>
      </c>
      <c r="X3894">
        <v>0.97857150000000004</v>
      </c>
      <c r="Y3894">
        <v>3.2471050000000001E-2</v>
      </c>
      <c r="Z3894">
        <v>-5.1878250000000003E-4</v>
      </c>
      <c r="AA3894">
        <v>0.99947260000000004</v>
      </c>
      <c r="AB3894">
        <v>42</v>
      </c>
      <c r="AC3894">
        <v>65.904399999999995</v>
      </c>
      <c r="AD3894">
        <v>-1.1102581660099999</v>
      </c>
      <c r="AE3894">
        <v>-2.04860000000002</v>
      </c>
      <c r="AF3894">
        <v>2.1546705264279602</v>
      </c>
      <c r="AG3894">
        <v>-1.1102581660099999</v>
      </c>
      <c r="AH3894">
        <v>65.882317794360105</v>
      </c>
      <c r="AI3894">
        <v>90.9649493935175</v>
      </c>
      <c r="AJ3894">
        <v>88.126818481784795</v>
      </c>
      <c r="AK3894">
        <v>65.9268919048192</v>
      </c>
      <c r="AL3894">
        <v>78.589112573197994</v>
      </c>
      <c r="AM3894">
        <v>93.337001970908304</v>
      </c>
      <c r="AN3894">
        <v>0.99999995271847797</v>
      </c>
    </row>
    <row r="3895" spans="1:40" x14ac:dyDescent="0.25">
      <c r="A3895" t="str">
        <f>"20190304155134550"</f>
        <v>20190304155134550</v>
      </c>
      <c r="B3895" t="str">
        <f>"1551685894540238"</f>
        <v>1551685894540238</v>
      </c>
      <c r="C3895" t="s">
        <v>40</v>
      </c>
      <c r="D3895">
        <v>4.9231790000000002</v>
      </c>
      <c r="E3895">
        <v>0.53169580000000005</v>
      </c>
      <c r="F3895" t="s">
        <v>62</v>
      </c>
      <c r="G3895">
        <v>-181.61750000000001</v>
      </c>
      <c r="H3895" s="1">
        <v>2.7373189999999999E-6</v>
      </c>
      <c r="I3895">
        <v>211.81780000000001</v>
      </c>
      <c r="J3895">
        <v>-247.60749999999999</v>
      </c>
      <c r="K3895">
        <v>1.110268</v>
      </c>
      <c r="L3895">
        <v>213.79810000000001</v>
      </c>
      <c r="M3895">
        <v>0.99988509999999997</v>
      </c>
      <c r="N3895">
        <v>-1.507295E-2</v>
      </c>
      <c r="O3895">
        <v>1.619035E-3</v>
      </c>
      <c r="P3895">
        <v>0.98135229999999996</v>
      </c>
      <c r="Q3895">
        <v>0.18306520000000001</v>
      </c>
      <c r="R3895">
        <v>5.8604169999999997E-2</v>
      </c>
      <c r="S3895">
        <v>3.072098</v>
      </c>
      <c r="T3895">
        <v>-5.1355959999999999E-2</v>
      </c>
      <c r="U3895">
        <v>-9.1567990000000002E-2</v>
      </c>
      <c r="V3895">
        <v>-5.7006420000000002E-2</v>
      </c>
      <c r="W3895">
        <v>0.19783980000000001</v>
      </c>
      <c r="X3895">
        <v>0.97857530000000004</v>
      </c>
      <c r="Y3895">
        <v>3.1403220000000003E-2</v>
      </c>
      <c r="Z3895">
        <v>-5.01831E-4</v>
      </c>
      <c r="AA3895">
        <v>0.99950669999999997</v>
      </c>
      <c r="AB3895">
        <v>42</v>
      </c>
      <c r="AC3895">
        <v>65.989999999999895</v>
      </c>
      <c r="AD3895">
        <v>-1.1102652626809999</v>
      </c>
      <c r="AE3895">
        <v>-1.9802999999999999</v>
      </c>
      <c r="AF3895">
        <v>2.08655954525564</v>
      </c>
      <c r="AG3895">
        <v>-1.1102652626809999</v>
      </c>
      <c r="AH3895">
        <v>65.968050031291199</v>
      </c>
      <c r="AI3895">
        <v>90.963735022470701</v>
      </c>
      <c r="AJ3895">
        <v>88.188347066168106</v>
      </c>
      <c r="AK3895">
        <v>66.010378309932094</v>
      </c>
      <c r="AL3895">
        <v>78.589334865098607</v>
      </c>
      <c r="AM3895">
        <v>93.333969326084301</v>
      </c>
      <c r="AN3895">
        <v>0.999999968077672</v>
      </c>
    </row>
    <row r="3896" spans="1:40" x14ac:dyDescent="0.25">
      <c r="A3896" t="str">
        <f>"20190304155134573"</f>
        <v>20190304155134573</v>
      </c>
      <c r="B3896" t="str">
        <f>"1551685894570493"</f>
        <v>1551685894570493</v>
      </c>
      <c r="C3896" t="s">
        <v>40</v>
      </c>
      <c r="D3896">
        <v>4.9622830000000002</v>
      </c>
      <c r="E3896">
        <v>0.53136989999999995</v>
      </c>
      <c r="F3896" t="s">
        <v>62</v>
      </c>
      <c r="G3896">
        <v>-182.27279999999999</v>
      </c>
      <c r="H3896" s="1">
        <v>2.8480760000000001E-6</v>
      </c>
      <c r="I3896">
        <v>211.88059999999999</v>
      </c>
      <c r="J3896">
        <v>-247.19710000000001</v>
      </c>
      <c r="K3896">
        <v>1.110269</v>
      </c>
      <c r="L3896">
        <v>213.7988</v>
      </c>
      <c r="M3896">
        <v>0.99988480000000002</v>
      </c>
      <c r="N3896">
        <v>-1.5096389999999999E-2</v>
      </c>
      <c r="O3896">
        <v>1.619044E-3</v>
      </c>
      <c r="P3896">
        <v>0.9813364</v>
      </c>
      <c r="Q3896">
        <v>0.18300440000000001</v>
      </c>
      <c r="R3896">
        <v>5.9065350000000003E-2</v>
      </c>
      <c r="S3896">
        <v>3.0721440000000002</v>
      </c>
      <c r="T3896">
        <v>-5.2206519999999999E-2</v>
      </c>
      <c r="U3896">
        <v>-9.0164179999999997E-2</v>
      </c>
      <c r="V3896">
        <v>-5.7467890000000001E-2</v>
      </c>
      <c r="W3896">
        <v>0.19780200000000001</v>
      </c>
      <c r="X3896">
        <v>0.97855599999999998</v>
      </c>
      <c r="Y3896">
        <v>3.0946370000000001E-2</v>
      </c>
      <c r="Z3896">
        <v>-4.9962089999999997E-4</v>
      </c>
      <c r="AA3896">
        <v>0.99952090000000005</v>
      </c>
      <c r="AB3896">
        <v>42</v>
      </c>
      <c r="AC3896">
        <v>64.924300000000002</v>
      </c>
      <c r="AD3896">
        <v>-1.110266151924</v>
      </c>
      <c r="AE3896">
        <v>-1.9182000000000099</v>
      </c>
      <c r="AF3896">
        <v>2.02273374030369</v>
      </c>
      <c r="AG3896">
        <v>-1.110266151924</v>
      </c>
      <c r="AH3896">
        <v>64.902145328156607</v>
      </c>
      <c r="AI3896">
        <v>90.979574669659002</v>
      </c>
      <c r="AJ3896">
        <v>88.214903305535401</v>
      </c>
      <c r="AK3896">
        <v>64.943149068315407</v>
      </c>
      <c r="AL3896">
        <v>78.591544878043393</v>
      </c>
      <c r="AM3896">
        <v>93.360962500696601</v>
      </c>
      <c r="AN3896">
        <v>1.0000000173605199</v>
      </c>
    </row>
    <row r="3897" spans="1:40" x14ac:dyDescent="0.25">
      <c r="A3897" t="str">
        <f>"20190304155134594"</f>
        <v>20190304155134594</v>
      </c>
      <c r="B3897" t="str">
        <f>"1551685894590990"</f>
        <v>1551685894590990</v>
      </c>
      <c r="C3897" t="s">
        <v>40</v>
      </c>
      <c r="D3897">
        <v>4.96983</v>
      </c>
      <c r="E3897">
        <v>0.53117899999999996</v>
      </c>
      <c r="F3897" t="s">
        <v>62</v>
      </c>
      <c r="G3897">
        <v>-181.61529999999999</v>
      </c>
      <c r="H3897" s="1">
        <v>2.725514E-6</v>
      </c>
      <c r="I3897">
        <v>211.9485</v>
      </c>
      <c r="J3897">
        <v>-246.79089999999999</v>
      </c>
      <c r="K3897">
        <v>1.110276</v>
      </c>
      <c r="L3897">
        <v>213.79939999999999</v>
      </c>
      <c r="M3897">
        <v>0.99988449999999995</v>
      </c>
      <c r="N3897">
        <v>-1.5115989999999999E-2</v>
      </c>
      <c r="O3897">
        <v>1.6190810000000001E-3</v>
      </c>
      <c r="P3897">
        <v>0.98123959999999999</v>
      </c>
      <c r="Q3897">
        <v>0.1833785</v>
      </c>
      <c r="R3897">
        <v>5.9510229999999997E-2</v>
      </c>
      <c r="S3897">
        <v>3.0719599999999998</v>
      </c>
      <c r="T3897">
        <v>-5.2006719999999999E-2</v>
      </c>
      <c r="U3897">
        <v>-8.6669919999999998E-2</v>
      </c>
      <c r="V3897">
        <v>-5.7913020000000003E-2</v>
      </c>
      <c r="W3897">
        <v>0.19819419999999999</v>
      </c>
      <c r="X3897">
        <v>0.97845040000000005</v>
      </c>
      <c r="Y3897">
        <v>2.981251E-2</v>
      </c>
      <c r="Z3897">
        <v>-4.8063069999999998E-4</v>
      </c>
      <c r="AA3897">
        <v>0.99955539999999998</v>
      </c>
      <c r="AB3897">
        <v>42</v>
      </c>
      <c r="AC3897">
        <v>65.175600000000003</v>
      </c>
      <c r="AD3897">
        <v>-1.110273274486</v>
      </c>
      <c r="AE3897">
        <v>-1.85089999999999</v>
      </c>
      <c r="AF3897">
        <v>1.9558670750393199</v>
      </c>
      <c r="AG3897">
        <v>-1.110273274486</v>
      </c>
      <c r="AH3897">
        <v>65.153625444505394</v>
      </c>
      <c r="AI3897">
        <v>90.975834886425702</v>
      </c>
      <c r="AJ3897">
        <v>88.280536440829394</v>
      </c>
      <c r="AK3897">
        <v>65.192430782431799</v>
      </c>
      <c r="AL3897">
        <v>78.568619662417504</v>
      </c>
      <c r="AM3897">
        <v>93.387299879159002</v>
      </c>
      <c r="AN3897">
        <v>1.0000000220296601</v>
      </c>
    </row>
    <row r="3898" spans="1:40" x14ac:dyDescent="0.25">
      <c r="A3898" t="str">
        <f>"20190304155134617"</f>
        <v>20190304155134617</v>
      </c>
      <c r="B3898" t="str">
        <f>"1551685894610512"</f>
        <v>1551685894610512</v>
      </c>
      <c r="C3898" t="s">
        <v>40</v>
      </c>
      <c r="D3898">
        <v>4.9905390000000001</v>
      </c>
      <c r="E3898">
        <v>0.53106359999999997</v>
      </c>
      <c r="F3898" t="s">
        <v>62</v>
      </c>
      <c r="G3898">
        <v>-179.95769999999999</v>
      </c>
      <c r="H3898">
        <v>9.1584059999999991E-3</v>
      </c>
      <c r="I3898">
        <v>211.97130000000001</v>
      </c>
      <c r="J3898">
        <v>-246.36699999999999</v>
      </c>
      <c r="K3898">
        <v>1.110284</v>
      </c>
      <c r="L3898">
        <v>213.80009999999999</v>
      </c>
      <c r="M3898">
        <v>0.99988410000000005</v>
      </c>
      <c r="N3898">
        <v>-1.5133209999999999E-2</v>
      </c>
      <c r="O3898">
        <v>1.6192540000000001E-3</v>
      </c>
      <c r="P3898">
        <v>0.98126469999999999</v>
      </c>
      <c r="Q3898">
        <v>0.18322359999999999</v>
      </c>
      <c r="R3898">
        <v>5.9572960000000001E-2</v>
      </c>
      <c r="S3898">
        <v>3.0719150000000002</v>
      </c>
      <c r="T3898">
        <v>-5.0611730000000001E-2</v>
      </c>
      <c r="U3898">
        <v>-8.4030149999999998E-2</v>
      </c>
      <c r="V3898">
        <v>-5.7975779999999998E-2</v>
      </c>
      <c r="W3898">
        <v>0.19805629999999999</v>
      </c>
      <c r="X3898">
        <v>0.97847459999999997</v>
      </c>
      <c r="Y3898">
        <v>2.8955359999999999E-2</v>
      </c>
      <c r="Z3898">
        <v>-4.5981439999999999E-4</v>
      </c>
      <c r="AA3898">
        <v>0.99958060000000004</v>
      </c>
      <c r="AB3898">
        <v>42</v>
      </c>
      <c r="AC3898">
        <v>66.409300000000002</v>
      </c>
      <c r="AD3898">
        <v>-1.101125594</v>
      </c>
      <c r="AE3898">
        <v>-1.82879999999997</v>
      </c>
      <c r="AF3898">
        <v>1.9358116483505501</v>
      </c>
      <c r="AG3898">
        <v>-1.101125594</v>
      </c>
      <c r="AH3898">
        <v>66.388013322782399</v>
      </c>
      <c r="AI3898">
        <v>90.949829118751893</v>
      </c>
      <c r="AJ3898">
        <v>88.329782546361699</v>
      </c>
      <c r="AK3898">
        <v>66.425357787953104</v>
      </c>
      <c r="AL3898">
        <v>78.576680472917502</v>
      </c>
      <c r="AM3898">
        <v>93.390878444182306</v>
      </c>
      <c r="AN3898">
        <v>1.0000000159407201</v>
      </c>
    </row>
    <row r="3899" spans="1:40" x14ac:dyDescent="0.25">
      <c r="A3899" t="str">
        <f>"20190304155134640"</f>
        <v>20190304155134640</v>
      </c>
      <c r="B3899" t="str">
        <f>"1551685894631009"</f>
        <v>1551685894631009</v>
      </c>
      <c r="C3899" t="s">
        <v>40</v>
      </c>
      <c r="D3899">
        <v>4.9916809999999998</v>
      </c>
      <c r="E3899">
        <v>0.53093199999999996</v>
      </c>
      <c r="F3899" t="s">
        <v>62</v>
      </c>
      <c r="G3899">
        <v>-179.95769999999999</v>
      </c>
      <c r="H3899">
        <v>2.5025129999999999E-4</v>
      </c>
      <c r="I3899">
        <v>212.00729999999999</v>
      </c>
      <c r="J3899">
        <v>-245.93989999999999</v>
      </c>
      <c r="K3899">
        <v>1.1102829999999999</v>
      </c>
      <c r="L3899">
        <v>213.80080000000001</v>
      </c>
      <c r="M3899">
        <v>0.99988390000000005</v>
      </c>
      <c r="N3899">
        <v>-1.514763E-2</v>
      </c>
      <c r="O3899">
        <v>1.619328E-3</v>
      </c>
      <c r="P3899">
        <v>0.98119970000000001</v>
      </c>
      <c r="Q3899">
        <v>0.18343110000000001</v>
      </c>
      <c r="R3899">
        <v>6.0003109999999998E-2</v>
      </c>
      <c r="S3899">
        <v>3.0718839999999998</v>
      </c>
      <c r="T3899">
        <v>-5.1346660000000002E-2</v>
      </c>
      <c r="U3899">
        <v>-8.2931519999999995E-2</v>
      </c>
      <c r="V3899">
        <v>-5.8406100000000002E-2</v>
      </c>
      <c r="W3899">
        <v>0.19827690000000001</v>
      </c>
      <c r="X3899">
        <v>0.9784043</v>
      </c>
      <c r="Y3899">
        <v>2.85984E-2</v>
      </c>
      <c r="Z3899">
        <v>-4.581659E-4</v>
      </c>
      <c r="AA3899">
        <v>0.99959089999999995</v>
      </c>
      <c r="AB3899">
        <v>42</v>
      </c>
      <c r="AC3899">
        <v>65.982200000000006</v>
      </c>
      <c r="AD3899">
        <v>-1.1100327486999999</v>
      </c>
      <c r="AE3899">
        <v>-1.7935000000000201</v>
      </c>
      <c r="AF3899">
        <v>1.89981944715152</v>
      </c>
      <c r="AG3899">
        <v>-1.1100327486999999</v>
      </c>
      <c r="AH3899">
        <v>65.960554460799102</v>
      </c>
      <c r="AI3899">
        <v>90.963724948084902</v>
      </c>
      <c r="AJ3899">
        <v>88.350202605258204</v>
      </c>
      <c r="AK3899">
        <v>65.997244119819101</v>
      </c>
      <c r="AL3899">
        <v>78.563784966717606</v>
      </c>
      <c r="AM3899">
        <v>93.416232415885204</v>
      </c>
      <c r="AN3899">
        <v>0.99999998792465405</v>
      </c>
    </row>
    <row r="3900" spans="1:40" x14ac:dyDescent="0.25">
      <c r="A3900" t="str">
        <f>"20190304155134663"</f>
        <v>20190304155134663</v>
      </c>
      <c r="B3900" t="str">
        <f>"1551685894650526"</f>
        <v>1551685894650526</v>
      </c>
      <c r="C3900" t="s">
        <v>40</v>
      </c>
      <c r="D3900">
        <v>4.9986430000000004</v>
      </c>
      <c r="E3900">
        <v>0.53113199999999905</v>
      </c>
      <c r="F3900" t="s">
        <v>62</v>
      </c>
      <c r="G3900">
        <v>-180.5069</v>
      </c>
      <c r="H3900" s="1">
        <v>2.5170319999999998E-6</v>
      </c>
      <c r="I3900">
        <v>212.08420000000001</v>
      </c>
      <c r="J3900">
        <v>-245.52979999999999</v>
      </c>
      <c r="K3900">
        <v>1.110285</v>
      </c>
      <c r="L3900">
        <v>213.8015</v>
      </c>
      <c r="M3900">
        <v>0.99988379999999999</v>
      </c>
      <c r="N3900">
        <v>-1.5158980000000001E-2</v>
      </c>
      <c r="O3900">
        <v>1.6192450000000001E-3</v>
      </c>
      <c r="P3900">
        <v>0.9811896</v>
      </c>
      <c r="Q3900">
        <v>0.18329239999999999</v>
      </c>
      <c r="R3900">
        <v>6.0590659999999998E-2</v>
      </c>
      <c r="S3900">
        <v>3.072174</v>
      </c>
      <c r="T3900">
        <v>-5.2129269999999998E-2</v>
      </c>
      <c r="U3900">
        <v>-8.0596920000000002E-2</v>
      </c>
      <c r="V3900">
        <v>-5.8994079999999997E-2</v>
      </c>
      <c r="W3900">
        <v>0.1981493</v>
      </c>
      <c r="X3900">
        <v>0.97839489999999996</v>
      </c>
      <c r="Y3900">
        <v>2.7836730000000001E-2</v>
      </c>
      <c r="Z3900">
        <v>-4.5010340000000001E-4</v>
      </c>
      <c r="AA3900">
        <v>0.99961239999999996</v>
      </c>
      <c r="AB3900">
        <v>42</v>
      </c>
      <c r="AC3900">
        <v>65.022899999999893</v>
      </c>
      <c r="AD3900">
        <v>-1.110282482968</v>
      </c>
      <c r="AE3900">
        <v>-1.7172999999999901</v>
      </c>
      <c r="AF3900">
        <v>1.8220669723304199</v>
      </c>
      <c r="AG3900">
        <v>-1.110282482968</v>
      </c>
      <c r="AH3900">
        <v>65.001094901178107</v>
      </c>
      <c r="AI3900">
        <v>90.978188814911405</v>
      </c>
      <c r="AJ3900">
        <v>88.394343708914306</v>
      </c>
      <c r="AK3900">
        <v>65.0361053077105</v>
      </c>
      <c r="AL3900">
        <v>78.571244197099205</v>
      </c>
      <c r="AM3900">
        <v>93.450574355135899</v>
      </c>
      <c r="AN3900">
        <v>1.0000000134557701</v>
      </c>
    </row>
    <row r="3901" spans="1:40" x14ac:dyDescent="0.25">
      <c r="A3901" t="str">
        <f>"20190304155134684"</f>
        <v>20190304155134684</v>
      </c>
      <c r="B3901" t="str">
        <f>"1551685894680782"</f>
        <v>1551685894680782</v>
      </c>
      <c r="C3901" t="s">
        <v>40</v>
      </c>
      <c r="D3901">
        <v>5.0734370000000002</v>
      </c>
      <c r="E3901">
        <v>0.53107360000000003</v>
      </c>
      <c r="F3901" t="s">
        <v>62</v>
      </c>
      <c r="G3901">
        <v>-180.90729999999999</v>
      </c>
      <c r="H3901" s="1">
        <v>2.5857979999999998E-6</v>
      </c>
      <c r="I3901">
        <v>212.11009999999999</v>
      </c>
      <c r="J3901">
        <v>-245.114</v>
      </c>
      <c r="K3901">
        <v>1.1102860000000001</v>
      </c>
      <c r="L3901">
        <v>213.8022</v>
      </c>
      <c r="M3901">
        <v>0.99988370000000004</v>
      </c>
      <c r="N3901">
        <v>-1.5168320000000001E-2</v>
      </c>
      <c r="O3901">
        <v>1.6195339999999999E-3</v>
      </c>
      <c r="P3901">
        <v>0.98114170000000001</v>
      </c>
      <c r="Q3901">
        <v>0.18336959999999999</v>
      </c>
      <c r="R3901">
        <v>6.1126529999999998E-2</v>
      </c>
      <c r="S3901">
        <v>3.0723419999999999</v>
      </c>
      <c r="T3901">
        <v>-5.2786109999999997E-2</v>
      </c>
      <c r="U3901">
        <v>-8.0413819999999997E-2</v>
      </c>
      <c r="V3901">
        <v>-5.9529070000000003E-2</v>
      </c>
      <c r="W3901">
        <v>0.19823479999999999</v>
      </c>
      <c r="X3901">
        <v>0.97834520000000003</v>
      </c>
      <c r="Y3901">
        <v>2.7775919999999999E-2</v>
      </c>
      <c r="Z3901">
        <v>-4.5254209999999998E-4</v>
      </c>
      <c r="AA3901">
        <v>0.99961409999999995</v>
      </c>
      <c r="AB3901">
        <v>42</v>
      </c>
      <c r="AC3901">
        <v>64.206699999999998</v>
      </c>
      <c r="AD3901">
        <v>-1.1102834142019999</v>
      </c>
      <c r="AE3901">
        <v>-1.6921000000000099</v>
      </c>
      <c r="AF3901">
        <v>1.7955581289921001</v>
      </c>
      <c r="AG3901">
        <v>-1.1102834142019999</v>
      </c>
      <c r="AH3901">
        <v>64.1846955623177</v>
      </c>
      <c r="AI3901">
        <v>90.990630851237995</v>
      </c>
      <c r="AJ3901">
        <v>88.397576288567393</v>
      </c>
      <c r="AK3901">
        <v>64.219404409273693</v>
      </c>
      <c r="AL3901">
        <v>78.566246552208398</v>
      </c>
      <c r="AM3901">
        <v>93.481965821317004</v>
      </c>
      <c r="AN3901">
        <v>1.00000003823457</v>
      </c>
    </row>
    <row r="3902" spans="1:40" x14ac:dyDescent="0.25">
      <c r="A3902" t="str">
        <f>"20190304155134718"</f>
        <v>20190304155134718</v>
      </c>
      <c r="B3902" t="str">
        <f>"1551685894711041"</f>
        <v>1551685894711041</v>
      </c>
      <c r="C3902" t="s">
        <v>40</v>
      </c>
      <c r="D3902">
        <v>5.0522489999999998</v>
      </c>
      <c r="E3902">
        <v>0.53137760000000001</v>
      </c>
      <c r="F3902" t="s">
        <v>62</v>
      </c>
      <c r="G3902">
        <v>-182.20679999999999</v>
      </c>
      <c r="H3902" s="1">
        <v>2.8090269999999998E-6</v>
      </c>
      <c r="I3902">
        <v>212.19329999999999</v>
      </c>
      <c r="J3902">
        <v>-244.49639999999999</v>
      </c>
      <c r="K3902">
        <v>1.110287</v>
      </c>
      <c r="L3902">
        <v>213.8032</v>
      </c>
      <c r="M3902">
        <v>0.99988359999999998</v>
      </c>
      <c r="N3902">
        <v>-1.517861E-2</v>
      </c>
      <c r="O3902">
        <v>1.6196369999999999E-3</v>
      </c>
      <c r="P3902">
        <v>0.9811687</v>
      </c>
      <c r="Q3902">
        <v>0.1832425</v>
      </c>
      <c r="R3902">
        <v>6.1075709999999998E-2</v>
      </c>
      <c r="S3902">
        <v>3.0726930000000001</v>
      </c>
      <c r="T3902">
        <v>-5.4231639999999998E-2</v>
      </c>
      <c r="U3902">
        <v>-7.8582760000000001E-2</v>
      </c>
      <c r="V3902">
        <v>-5.9478250000000003E-2</v>
      </c>
      <c r="W3902">
        <v>0.1981184</v>
      </c>
      <c r="X3902">
        <v>0.97837180000000001</v>
      </c>
      <c r="Y3902">
        <v>2.7177590000000001E-2</v>
      </c>
      <c r="Z3902">
        <v>-4.5011090000000002E-4</v>
      </c>
      <c r="AA3902">
        <v>0.99963049999999998</v>
      </c>
      <c r="AB3902">
        <v>42</v>
      </c>
      <c r="AC3902">
        <v>62.2896</v>
      </c>
      <c r="AD3902">
        <v>-1.1102841909729999</v>
      </c>
      <c r="AE3902">
        <v>-1.6099000000000101</v>
      </c>
      <c r="AF3902">
        <v>1.7102530313090401</v>
      </c>
      <c r="AG3902">
        <v>-1.1102841909729999</v>
      </c>
      <c r="AH3902">
        <v>62.267140551484097</v>
      </c>
      <c r="AI3902">
        <v>91.021146670017103</v>
      </c>
      <c r="AJ3902">
        <v>88.426687824180803</v>
      </c>
      <c r="AK3902">
        <v>62.300517565058001</v>
      </c>
      <c r="AL3902">
        <v>78.573049952039298</v>
      </c>
      <c r="AM3902">
        <v>93.4789062144187</v>
      </c>
      <c r="AN3902">
        <v>0.99999997083842995</v>
      </c>
    </row>
    <row r="3903" spans="1:40" x14ac:dyDescent="0.25">
      <c r="A3903" t="str">
        <f>"20190304155134740"</f>
        <v>20190304155134740</v>
      </c>
      <c r="B3903" t="str">
        <f>"1551685894730558"</f>
        <v>1551685894730558</v>
      </c>
      <c r="C3903" t="s">
        <v>40</v>
      </c>
      <c r="D3903">
        <v>5.1434240000000004</v>
      </c>
      <c r="E3903">
        <v>0.56210380000000004</v>
      </c>
      <c r="F3903" t="s">
        <v>62</v>
      </c>
      <c r="G3903">
        <v>-182.9427</v>
      </c>
      <c r="H3903" s="1">
        <v>2.9410010000000001E-6</v>
      </c>
      <c r="I3903">
        <v>212.17679999999999</v>
      </c>
      <c r="J3903">
        <v>-244.0839</v>
      </c>
      <c r="K3903">
        <v>1.110293</v>
      </c>
      <c r="L3903">
        <v>213.8038</v>
      </c>
      <c r="M3903">
        <v>0.99988339999999998</v>
      </c>
      <c r="N3903">
        <v>-1.518362E-2</v>
      </c>
      <c r="O3903">
        <v>1.619779E-3</v>
      </c>
      <c r="P3903">
        <v>0.98117019999999999</v>
      </c>
      <c r="Q3903">
        <v>0.1833851</v>
      </c>
      <c r="R3903">
        <v>6.0623440000000001E-2</v>
      </c>
      <c r="S3903">
        <v>3.0729980000000001</v>
      </c>
      <c r="T3903">
        <v>-5.5429699999999998E-2</v>
      </c>
      <c r="U3903">
        <v>-8.1192020000000004E-2</v>
      </c>
      <c r="V3903">
        <v>-5.9026250000000002E-2</v>
      </c>
      <c r="W3903">
        <v>0.19826569999999999</v>
      </c>
      <c r="X3903">
        <v>0.97836939999999994</v>
      </c>
      <c r="Y3903">
        <v>2.802286E-2</v>
      </c>
      <c r="Z3903">
        <v>-4.7011319999999999E-4</v>
      </c>
      <c r="AA3903">
        <v>0.99960709999999997</v>
      </c>
      <c r="AB3903">
        <v>41</v>
      </c>
      <c r="AC3903">
        <v>61.141199999999998</v>
      </c>
      <c r="AD3903">
        <v>-1.1102900589989999</v>
      </c>
      <c r="AE3903">
        <v>-1.627</v>
      </c>
      <c r="AF3903">
        <v>1.7254759163372499</v>
      </c>
      <c r="AG3903">
        <v>-1.1102900589989999</v>
      </c>
      <c r="AH3903">
        <v>61.118343641024701</v>
      </c>
      <c r="AI3903">
        <v>91.040319585101201</v>
      </c>
      <c r="AJ3903">
        <v>88.382871182890796</v>
      </c>
      <c r="AK3903">
        <v>61.1527754118761</v>
      </c>
      <c r="AL3903">
        <v>78.564440216194598</v>
      </c>
      <c r="AM3903">
        <v>93.4525412003958</v>
      </c>
      <c r="AN3903">
        <v>1.0000000344209501</v>
      </c>
    </row>
    <row r="3904" spans="1:40" x14ac:dyDescent="0.25">
      <c r="A3904" t="str">
        <f>"20190304155134761"</f>
        <v>20190304155134761</v>
      </c>
      <c r="B3904" t="str">
        <f>"1551685894751054"</f>
        <v>1551685894751054</v>
      </c>
      <c r="C3904" t="s">
        <v>40</v>
      </c>
      <c r="D3904">
        <v>5.0589139999999997</v>
      </c>
      <c r="E3904">
        <v>0.56258140000000001</v>
      </c>
      <c r="F3904" t="s">
        <v>62</v>
      </c>
      <c r="G3904">
        <v>-179.95779999999999</v>
      </c>
      <c r="H3904">
        <v>3.626534E-2</v>
      </c>
      <c r="I3904">
        <v>207.00649999999999</v>
      </c>
      <c r="J3904">
        <v>-243.68780000000001</v>
      </c>
      <c r="K3904">
        <v>1.110293</v>
      </c>
      <c r="L3904">
        <v>213.80449999999999</v>
      </c>
      <c r="M3904">
        <v>0.99988339999999998</v>
      </c>
      <c r="N3904">
        <v>-1.518715E-2</v>
      </c>
      <c r="O3904">
        <v>1.6197529999999901E-3</v>
      </c>
      <c r="P3904">
        <v>0.98120469999999904</v>
      </c>
      <c r="Q3904">
        <v>0.18335950000000001</v>
      </c>
      <c r="R3904">
        <v>6.0138560000000001E-2</v>
      </c>
      <c r="S3904">
        <v>3.0874790000000001</v>
      </c>
      <c r="T3904">
        <v>-5.1711199999999999E-2</v>
      </c>
      <c r="U3904">
        <v>-0.32727050000000002</v>
      </c>
      <c r="V3904">
        <v>-5.8541320000000001E-2</v>
      </c>
      <c r="W3904">
        <v>0.19824420000000001</v>
      </c>
      <c r="X3904">
        <v>0.97840289999999996</v>
      </c>
      <c r="Y3904">
        <v>0.10699110000000001</v>
      </c>
      <c r="Z3904">
        <v>-1.7108049999999999E-3</v>
      </c>
      <c r="AA3904">
        <v>0.99425850000000005</v>
      </c>
      <c r="AB3904">
        <v>41</v>
      </c>
      <c r="AC3904">
        <v>63.73</v>
      </c>
      <c r="AD3904">
        <v>-1.0740276600000001</v>
      </c>
      <c r="AE3904">
        <v>-6.798</v>
      </c>
      <c r="AF3904">
        <v>6.8992923754017204</v>
      </c>
      <c r="AG3904">
        <v>-1.0740276600000001</v>
      </c>
      <c r="AH3904">
        <v>63.701015449808999</v>
      </c>
      <c r="AI3904">
        <v>90.960325921597999</v>
      </c>
      <c r="AJ3904">
        <v>83.818537570556302</v>
      </c>
      <c r="AK3904">
        <v>64.082549418952794</v>
      </c>
      <c r="AL3904">
        <v>78.565697108549003</v>
      </c>
      <c r="AM3904">
        <v>93.424127662941999</v>
      </c>
      <c r="AN3904">
        <v>1.0000000418546899</v>
      </c>
    </row>
    <row r="3905" spans="1:40" x14ac:dyDescent="0.25">
      <c r="A3905" t="str">
        <f>"20190304155134784"</f>
        <v>20190304155134784</v>
      </c>
      <c r="B3905" t="str">
        <f>"1551685894780334"</f>
        <v>1551685894780334</v>
      </c>
      <c r="C3905" t="s">
        <v>40</v>
      </c>
      <c r="D3905">
        <v>5.0726899999999997</v>
      </c>
      <c r="E3905">
        <v>0.56438920000000004</v>
      </c>
      <c r="F3905" t="s">
        <v>62</v>
      </c>
      <c r="G3905">
        <v>-181.4299</v>
      </c>
      <c r="H3905" s="1">
        <v>3.6294849999999999E-6</v>
      </c>
      <c r="I3905">
        <v>207.0949</v>
      </c>
      <c r="J3905">
        <v>-243.273</v>
      </c>
      <c r="K3905">
        <v>1.1102959999999999</v>
      </c>
      <c r="L3905">
        <v>213.80510000000001</v>
      </c>
      <c r="M3905">
        <v>0.99988330000000003</v>
      </c>
      <c r="N3905">
        <v>-1.51897E-2</v>
      </c>
      <c r="O3905">
        <v>1.6200330000000001E-3</v>
      </c>
      <c r="P3905">
        <v>0.98116510000000001</v>
      </c>
      <c r="Q3905">
        <v>0.18356349999999999</v>
      </c>
      <c r="R3905">
        <v>6.0162500000000001E-2</v>
      </c>
      <c r="S3905">
        <v>3.0881349999999999</v>
      </c>
      <c r="T3905">
        <v>-5.5072900000000001E-2</v>
      </c>
      <c r="U3905">
        <v>-0.33280939999999998</v>
      </c>
      <c r="V3905">
        <v>-5.8564959999999999E-2</v>
      </c>
      <c r="W3905">
        <v>0.19844980000000001</v>
      </c>
      <c r="X3905">
        <v>0.9783598</v>
      </c>
      <c r="Y3905">
        <v>0.1087289</v>
      </c>
      <c r="Z3905">
        <v>-1.799246E-3</v>
      </c>
      <c r="AA3905">
        <v>0.9940698</v>
      </c>
      <c r="AB3905">
        <v>41</v>
      </c>
      <c r="AC3905">
        <v>61.8430999999999</v>
      </c>
      <c r="AD3905">
        <v>-1.1102923705149901</v>
      </c>
      <c r="AE3905">
        <v>-6.7102000000000102</v>
      </c>
      <c r="AF3905">
        <v>6.8082217007475503</v>
      </c>
      <c r="AG3905">
        <v>-1.1102923705149901</v>
      </c>
      <c r="AH3905">
        <v>61.8124550417579</v>
      </c>
      <c r="AI3905">
        <v>91.022867494930793</v>
      </c>
      <c r="AJ3905">
        <v>83.714594877688199</v>
      </c>
      <c r="AK3905">
        <v>62.196175366045601</v>
      </c>
      <c r="AL3905">
        <v>78.553678260330997</v>
      </c>
      <c r="AM3905">
        <v>93.425657638736695</v>
      </c>
      <c r="AN3905">
        <v>1.0000000379579399</v>
      </c>
    </row>
    <row r="3906" spans="1:40" x14ac:dyDescent="0.25">
      <c r="A3906" t="str">
        <f>"20190304155134808"</f>
        <v>20190304155134808</v>
      </c>
      <c r="B3906" t="str">
        <f>"1551685894800833"</f>
        <v>1551685894800833</v>
      </c>
      <c r="C3906" t="s">
        <v>40</v>
      </c>
      <c r="D3906">
        <v>5.1299060000000001</v>
      </c>
      <c r="E3906">
        <v>0.56476769999999998</v>
      </c>
      <c r="F3906" t="s">
        <v>62</v>
      </c>
      <c r="G3906">
        <v>-188.97020000000001</v>
      </c>
      <c r="H3906" s="1">
        <v>4.9102900000000004E-6</v>
      </c>
      <c r="I3906">
        <v>207.70330000000001</v>
      </c>
      <c r="J3906">
        <v>-242.8389</v>
      </c>
      <c r="K3906">
        <v>1.1103099999999999</v>
      </c>
      <c r="L3906">
        <v>213.8058</v>
      </c>
      <c r="M3906">
        <v>0.99988350000000004</v>
      </c>
      <c r="N3906">
        <v>-1.51912E-2</v>
      </c>
      <c r="O3906">
        <v>1.620022E-3</v>
      </c>
      <c r="P3906">
        <v>0.98109869999999999</v>
      </c>
      <c r="Q3906">
        <v>0.18392069999999999</v>
      </c>
      <c r="R3906">
        <v>6.0158089999999997E-2</v>
      </c>
      <c r="S3906">
        <v>3.0906829999999998</v>
      </c>
      <c r="T3906">
        <v>-6.3193079999999999E-2</v>
      </c>
      <c r="U3906">
        <v>-0.34728999999999999</v>
      </c>
      <c r="V3906">
        <v>-5.8560630000000002E-2</v>
      </c>
      <c r="W3906">
        <v>0.19880729999999999</v>
      </c>
      <c r="X3906">
        <v>0.97828749999999998</v>
      </c>
      <c r="Y3906">
        <v>0.113233</v>
      </c>
      <c r="Z3906">
        <v>-2.025308E-3</v>
      </c>
      <c r="AA3906">
        <v>0.99356639999999996</v>
      </c>
      <c r="AB3906">
        <v>41</v>
      </c>
      <c r="AC3906">
        <v>53.868699999999897</v>
      </c>
      <c r="AD3906">
        <v>-1.11030508971</v>
      </c>
      <c r="AE3906">
        <v>-6.1024999999999903</v>
      </c>
      <c r="AF3906">
        <v>6.1871753512044299</v>
      </c>
      <c r="AG3906">
        <v>-1.11030508971</v>
      </c>
      <c r="AH3906">
        <v>53.836160735177799</v>
      </c>
      <c r="AI3906">
        <v>91.173764090222804</v>
      </c>
      <c r="AJ3906">
        <v>83.443987401646993</v>
      </c>
      <c r="AK3906">
        <v>54.201901432723702</v>
      </c>
      <c r="AL3906">
        <v>78.532778861809106</v>
      </c>
      <c r="AM3906">
        <v>93.425657516376901</v>
      </c>
      <c r="AN3906">
        <v>1.00000006128776</v>
      </c>
    </row>
    <row r="3907" spans="1:40" x14ac:dyDescent="0.25">
      <c r="A3907" t="str">
        <f>"20190304155134830"</f>
        <v>20190304155134830</v>
      </c>
      <c r="B3907" t="str">
        <f>"1551685894820350"</f>
        <v>1551685894820350</v>
      </c>
      <c r="C3907" t="s">
        <v>40</v>
      </c>
      <c r="D3907">
        <v>5.3280139999999996</v>
      </c>
      <c r="E3907">
        <v>0.56631629999999999</v>
      </c>
      <c r="F3907" t="s">
        <v>62</v>
      </c>
      <c r="G3907">
        <v>-189.32130000000001</v>
      </c>
      <c r="H3907" s="1">
        <v>4.9602170000000002E-6</v>
      </c>
      <c r="I3907">
        <v>207.73820000000001</v>
      </c>
      <c r="J3907">
        <v>-242.43719999999999</v>
      </c>
      <c r="K3907">
        <v>1.1103190000000001</v>
      </c>
      <c r="L3907">
        <v>213.8064</v>
      </c>
      <c r="M3907">
        <v>0.99988350000000004</v>
      </c>
      <c r="N3907">
        <v>-1.519174E-2</v>
      </c>
      <c r="O3907">
        <v>1.6201970000000001E-3</v>
      </c>
      <c r="P3907">
        <v>0.98110810000000004</v>
      </c>
      <c r="Q3907">
        <v>0.1840299</v>
      </c>
      <c r="R3907">
        <v>5.9668590000000001E-2</v>
      </c>
      <c r="S3907">
        <v>3.0913089999999999</v>
      </c>
      <c r="T3907">
        <v>-6.4133999999999997E-2</v>
      </c>
      <c r="U3907">
        <v>-0.35047909999999999</v>
      </c>
      <c r="V3907">
        <v>-5.8071360000000002E-2</v>
      </c>
      <c r="W3907">
        <v>0.19891710000000001</v>
      </c>
      <c r="X3907">
        <v>0.97829429999999995</v>
      </c>
      <c r="Y3907">
        <v>0.11422160000000001</v>
      </c>
      <c r="Z3907">
        <v>-2.0605049999999998E-3</v>
      </c>
      <c r="AA3907">
        <v>0.99345309999999998</v>
      </c>
      <c r="AB3907">
        <v>41</v>
      </c>
      <c r="AC3907">
        <v>53.115899999999897</v>
      </c>
      <c r="AD3907">
        <v>-1.110314039783</v>
      </c>
      <c r="AE3907">
        <v>-6.0681999999999903</v>
      </c>
      <c r="AF3907">
        <v>6.15160678911458</v>
      </c>
      <c r="AG3907">
        <v>-1.110314039783</v>
      </c>
      <c r="AH3907">
        <v>53.083101056204598</v>
      </c>
      <c r="AI3907">
        <v>91.190290292906894</v>
      </c>
      <c r="AJ3907">
        <v>83.389687434896302</v>
      </c>
      <c r="AK3907">
        <v>53.4498894395307</v>
      </c>
      <c r="AL3907">
        <v>78.526359054962199</v>
      </c>
      <c r="AM3907">
        <v>93.397080138273296</v>
      </c>
      <c r="AN3907">
        <v>1.0000000164685701</v>
      </c>
    </row>
    <row r="3908" spans="1:40" x14ac:dyDescent="0.25">
      <c r="A3908" t="str">
        <f>"20190304155134852"</f>
        <v>20190304155134852</v>
      </c>
      <c r="B3908" t="str">
        <f>"1551685894850606"</f>
        <v>1551685894850606</v>
      </c>
      <c r="C3908" t="s">
        <v>40</v>
      </c>
      <c r="D3908">
        <v>5.0701660000000004</v>
      </c>
      <c r="E3908">
        <v>0.56672739999999999</v>
      </c>
      <c r="F3908" t="s">
        <v>62</v>
      </c>
      <c r="G3908">
        <v>-189.20259999999999</v>
      </c>
      <c r="H3908" s="1">
        <v>5.0033229999999996E-6</v>
      </c>
      <c r="I3908">
        <v>207.55670000000001</v>
      </c>
      <c r="J3908">
        <v>-242.01740000000001</v>
      </c>
      <c r="K3908">
        <v>1.1103190000000001</v>
      </c>
      <c r="L3908">
        <v>213.80709999999999</v>
      </c>
      <c r="M3908">
        <v>0.99988330000000003</v>
      </c>
      <c r="N3908">
        <v>-1.519158E-2</v>
      </c>
      <c r="O3908">
        <v>1.620556E-3</v>
      </c>
      <c r="P3908">
        <v>0.98114420000000002</v>
      </c>
      <c r="Q3908">
        <v>0.18385270000000001</v>
      </c>
      <c r="R3908">
        <v>5.9617610000000001E-2</v>
      </c>
      <c r="S3908">
        <v>3.0919189999999999</v>
      </c>
      <c r="T3908">
        <v>-6.4488169999999997E-2</v>
      </c>
      <c r="U3908">
        <v>-0.36299130000000002</v>
      </c>
      <c r="V3908">
        <v>-5.8019370000000001E-2</v>
      </c>
      <c r="W3908">
        <v>0.19874049999999999</v>
      </c>
      <c r="X3908">
        <v>0.97833329999999996</v>
      </c>
      <c r="Y3908">
        <v>0.1181647</v>
      </c>
      <c r="Z3908">
        <v>-2.1379229999999999E-3</v>
      </c>
      <c r="AA3908">
        <v>0.99299170000000003</v>
      </c>
      <c r="AB3908">
        <v>41</v>
      </c>
      <c r="AC3908">
        <v>52.814799999999998</v>
      </c>
      <c r="AD3908">
        <v>-1.1103139966769999</v>
      </c>
      <c r="AE3908">
        <v>-6.2503999999999804</v>
      </c>
      <c r="AF3908">
        <v>6.3332306516628503</v>
      </c>
      <c r="AG3908">
        <v>-1.1103139966769999</v>
      </c>
      <c r="AH3908">
        <v>52.781595328190697</v>
      </c>
      <c r="AI3908">
        <v>91.196516579091195</v>
      </c>
      <c r="AJ3908">
        <v>83.157826696065001</v>
      </c>
      <c r="AK3908">
        <v>53.171791516247303</v>
      </c>
      <c r="AL3908">
        <v>78.536683898061895</v>
      </c>
      <c r="AM3908">
        <v>93.393910937780305</v>
      </c>
      <c r="AN3908">
        <v>1.00000003976216</v>
      </c>
    </row>
    <row r="3909" spans="1:40" x14ac:dyDescent="0.25">
      <c r="A3909" t="str">
        <f>"20190304155134874"</f>
        <v>20190304155134874</v>
      </c>
      <c r="B3909" t="str">
        <f>"1551685894870126"</f>
        <v>1551685894870126</v>
      </c>
      <c r="C3909" t="s">
        <v>40</v>
      </c>
      <c r="D3909">
        <v>5.2058160000000004</v>
      </c>
      <c r="E3909">
        <v>0.56720919999999997</v>
      </c>
      <c r="F3909" t="s">
        <v>62</v>
      </c>
      <c r="G3909">
        <v>-186.66210000000001</v>
      </c>
      <c r="H3909" s="1">
        <v>4.659507E-6</v>
      </c>
      <c r="I3909">
        <v>207.25450000000001</v>
      </c>
      <c r="J3909">
        <v>-241.62200000000001</v>
      </c>
      <c r="K3909">
        <v>1.1103190000000001</v>
      </c>
      <c r="L3909">
        <v>213.80779999999999</v>
      </c>
      <c r="M3909">
        <v>0.99988350000000004</v>
      </c>
      <c r="N3909">
        <v>-1.5190850000000001E-2</v>
      </c>
      <c r="O3909">
        <v>1.6205620000000001E-3</v>
      </c>
      <c r="P3909">
        <v>0.98120580000000002</v>
      </c>
      <c r="Q3909">
        <v>0.18367120000000001</v>
      </c>
      <c r="R3909">
        <v>5.9164620000000001E-2</v>
      </c>
      <c r="S3909">
        <v>3.0914920000000001</v>
      </c>
      <c r="T3909">
        <v>-6.2009099999999998E-2</v>
      </c>
      <c r="U3909">
        <v>-0.36595149999999999</v>
      </c>
      <c r="V3909">
        <v>-5.7566689999999997E-2</v>
      </c>
      <c r="W3909">
        <v>0.1985587</v>
      </c>
      <c r="X3909">
        <v>0.97839690000000001</v>
      </c>
      <c r="Y3909">
        <v>0.11912059999999999</v>
      </c>
      <c r="Z3909">
        <v>-2.1063729999999999E-3</v>
      </c>
      <c r="AA3909">
        <v>0.99287749999999997</v>
      </c>
      <c r="AB3909">
        <v>41</v>
      </c>
      <c r="AC3909">
        <v>54.959899999999998</v>
      </c>
      <c r="AD3909">
        <v>-1.110314340493</v>
      </c>
      <c r="AE3909">
        <v>-6.5532999999999699</v>
      </c>
      <c r="AF3909">
        <v>6.6396956981263298</v>
      </c>
      <c r="AG3909">
        <v>-1.110314340493</v>
      </c>
      <c r="AH3909">
        <v>54.927103341972497</v>
      </c>
      <c r="AI3909">
        <v>91.1496707984479</v>
      </c>
      <c r="AJ3909">
        <v>83.107416767487294</v>
      </c>
      <c r="AK3909">
        <v>55.338097531792201</v>
      </c>
      <c r="AL3909">
        <v>78.547311477752302</v>
      </c>
      <c r="AM3909">
        <v>93.367273671469604</v>
      </c>
      <c r="AN3909">
        <v>0.99999998753642705</v>
      </c>
    </row>
    <row r="3910" spans="1:40" x14ac:dyDescent="0.25">
      <c r="A3910" t="str">
        <f>"20190304155134896"</f>
        <v>20190304155134896</v>
      </c>
      <c r="B3910" t="str">
        <f>"1551685894890622"</f>
        <v>1551685894890622</v>
      </c>
      <c r="C3910" t="s">
        <v>40</v>
      </c>
      <c r="D3910">
        <v>5.1369109999999996</v>
      </c>
      <c r="E3910">
        <v>0.56759009999999999</v>
      </c>
      <c r="F3910" t="s">
        <v>62</v>
      </c>
      <c r="G3910">
        <v>-183.334</v>
      </c>
      <c r="H3910" s="1">
        <v>4.1304619999999999E-6</v>
      </c>
      <c r="I3910">
        <v>206.79730000000001</v>
      </c>
      <c r="J3910">
        <v>-241.2088</v>
      </c>
      <c r="K3910">
        <v>1.1103209999999999</v>
      </c>
      <c r="L3910">
        <v>213.80840000000001</v>
      </c>
      <c r="M3910">
        <v>0.99988339999999998</v>
      </c>
      <c r="N3910">
        <v>-1.518953E-2</v>
      </c>
      <c r="O3910">
        <v>1.6208710000000001E-3</v>
      </c>
      <c r="P3910">
        <v>0.98126959999999996</v>
      </c>
      <c r="Q3910">
        <v>0.1835648</v>
      </c>
      <c r="R3910">
        <v>5.8431230000000001E-2</v>
      </c>
      <c r="S3910">
        <v>3.090897</v>
      </c>
      <c r="T3910">
        <v>-5.887771E-2</v>
      </c>
      <c r="U3910">
        <v>-0.37174990000000002</v>
      </c>
      <c r="V3910">
        <v>-5.683266E-2</v>
      </c>
      <c r="W3910">
        <v>0.19845260000000001</v>
      </c>
      <c r="X3910">
        <v>0.97846129999999998</v>
      </c>
      <c r="Y3910">
        <v>0.1209821</v>
      </c>
      <c r="Z3910">
        <v>-2.0766000000000001E-3</v>
      </c>
      <c r="AA3910">
        <v>0.99265250000000005</v>
      </c>
      <c r="AB3910">
        <v>41</v>
      </c>
      <c r="AC3910">
        <v>57.874799999999901</v>
      </c>
      <c r="AD3910">
        <v>-1.1103168695379999</v>
      </c>
      <c r="AE3910">
        <v>-7.0110999999999901</v>
      </c>
      <c r="AF3910">
        <v>7.1023329347064799</v>
      </c>
      <c r="AG3910">
        <v>-1.1103168695379999</v>
      </c>
      <c r="AH3910">
        <v>57.8423771894102</v>
      </c>
      <c r="AI3910">
        <v>91.091494222233706</v>
      </c>
      <c r="AJ3910">
        <v>82.999822348754407</v>
      </c>
      <c r="AK3910">
        <v>58.287361714081698</v>
      </c>
      <c r="AL3910">
        <v>78.553513563656495</v>
      </c>
      <c r="AM3910">
        <v>93.324216336659006</v>
      </c>
      <c r="AN3910">
        <v>0.99999995064356095</v>
      </c>
    </row>
    <row r="3911" spans="1:40" x14ac:dyDescent="0.25">
      <c r="A3911" t="str">
        <f>"20190304155134918"</f>
        <v>20190304155134918</v>
      </c>
      <c r="B3911" t="str">
        <f>"1551685894910142"</f>
        <v>1551685894910142</v>
      </c>
      <c r="C3911" t="s">
        <v>40</v>
      </c>
      <c r="D3911">
        <v>5.131183</v>
      </c>
      <c r="E3911">
        <v>0.56754369999999998</v>
      </c>
      <c r="F3911" t="s">
        <v>62</v>
      </c>
      <c r="G3911">
        <v>-183.08269999999999</v>
      </c>
      <c r="H3911" s="1">
        <v>4.0951029999999998E-6</v>
      </c>
      <c r="I3911">
        <v>206.72049999999999</v>
      </c>
      <c r="J3911">
        <v>-240.80889999999999</v>
      </c>
      <c r="K3911">
        <v>1.110322</v>
      </c>
      <c r="L3911">
        <v>213.8091</v>
      </c>
      <c r="M3911">
        <v>0.99988330000000003</v>
      </c>
      <c r="N3911">
        <v>-1.518796E-2</v>
      </c>
      <c r="O3911">
        <v>1.6212399999999999E-3</v>
      </c>
      <c r="P3911">
        <v>0.98136310000000004</v>
      </c>
      <c r="Q3911">
        <v>0.18315480000000001</v>
      </c>
      <c r="R3911">
        <v>5.814594E-2</v>
      </c>
      <c r="S3911">
        <v>3.0907749999999998</v>
      </c>
      <c r="T3911">
        <v>-5.9039590000000003E-2</v>
      </c>
      <c r="U3911">
        <v>-0.37689210000000001</v>
      </c>
      <c r="V3911">
        <v>-5.6547229999999997E-2</v>
      </c>
      <c r="W3911">
        <v>0.1980422</v>
      </c>
      <c r="X3911">
        <v>0.97856100000000001</v>
      </c>
      <c r="Y3911">
        <v>0.122613899999999</v>
      </c>
      <c r="Z3911">
        <v>-2.1077399999999999E-3</v>
      </c>
      <c r="AA3911">
        <v>0.99245220000000001</v>
      </c>
      <c r="AB3911">
        <v>41</v>
      </c>
      <c r="AC3911">
        <v>57.726199999999999</v>
      </c>
      <c r="AD3911">
        <v>-1.110317904897</v>
      </c>
      <c r="AE3911">
        <v>-7.0886000000000102</v>
      </c>
      <c r="AF3911">
        <v>7.1795728453122702</v>
      </c>
      <c r="AG3911">
        <v>-1.110317904897</v>
      </c>
      <c r="AH3911">
        <v>57.693603507896903</v>
      </c>
      <c r="AI3911">
        <v>91.094088690754404</v>
      </c>
      <c r="AJ3911">
        <v>82.906400997378398</v>
      </c>
      <c r="AK3911">
        <v>58.149212873584901</v>
      </c>
      <c r="AL3911">
        <v>78.577504096225994</v>
      </c>
      <c r="AM3911">
        <v>93.307222083424094</v>
      </c>
      <c r="AN3911">
        <v>0.999999966461255</v>
      </c>
    </row>
    <row r="3912" spans="1:40" x14ac:dyDescent="0.25">
      <c r="A3912" t="str">
        <f>"20190304155134941"</f>
        <v>20190304155134941</v>
      </c>
      <c r="B3912" t="str">
        <f>"1551685894930638"</f>
        <v>1551685894930638</v>
      </c>
      <c r="C3912" t="s">
        <v>40</v>
      </c>
      <c r="D3912">
        <v>5.1259050000000004</v>
      </c>
      <c r="E3912">
        <v>0.56806230000000002</v>
      </c>
      <c r="F3912" t="s">
        <v>62</v>
      </c>
      <c r="G3912">
        <v>-186.7989</v>
      </c>
      <c r="H3912" s="1">
        <v>4.6967420000000002E-6</v>
      </c>
      <c r="I3912">
        <v>207.21780000000001</v>
      </c>
      <c r="J3912">
        <v>-240.39769999999999</v>
      </c>
      <c r="K3912">
        <v>1.110314</v>
      </c>
      <c r="L3912">
        <v>213.80969999999999</v>
      </c>
      <c r="M3912">
        <v>0.99988339999999998</v>
      </c>
      <c r="N3912">
        <v>-1.5186059999999999E-2</v>
      </c>
      <c r="O3912">
        <v>1.621255E-3</v>
      </c>
      <c r="P3912">
        <v>0.98144750000000003</v>
      </c>
      <c r="Q3912">
        <v>0.1827404</v>
      </c>
      <c r="R3912">
        <v>5.802798E-2</v>
      </c>
      <c r="S3912">
        <v>3.091202</v>
      </c>
      <c r="T3912">
        <v>-6.3547729999999997E-2</v>
      </c>
      <c r="U3912">
        <v>-0.37724299999999999</v>
      </c>
      <c r="V3912">
        <v>-5.6428869999999999E-2</v>
      </c>
      <c r="W3912">
        <v>0.1976272</v>
      </c>
      <c r="X3912">
        <v>0.97865179999999996</v>
      </c>
      <c r="Y3912">
        <v>0.1227036</v>
      </c>
      <c r="Z3912">
        <v>-2.2004870000000001E-3</v>
      </c>
      <c r="AA3912">
        <v>0.99244089999999996</v>
      </c>
      <c r="AB3912">
        <v>41</v>
      </c>
      <c r="AC3912">
        <v>53.598799999999898</v>
      </c>
      <c r="AD3912">
        <v>-1.110309303258</v>
      </c>
      <c r="AE3912">
        <v>-6.5918999999999803</v>
      </c>
      <c r="AF3912">
        <v>6.6759765732899297</v>
      </c>
      <c r="AG3912">
        <v>-1.110309303258</v>
      </c>
      <c r="AH3912">
        <v>53.565397719555698</v>
      </c>
      <c r="AI3912">
        <v>91.178349109676205</v>
      </c>
      <c r="AJ3912">
        <v>82.895730388496503</v>
      </c>
      <c r="AK3912">
        <v>53.991233388488098</v>
      </c>
      <c r="AL3912">
        <v>78.601762089504703</v>
      </c>
      <c r="AM3912">
        <v>93.300009467848497</v>
      </c>
      <c r="AN3912">
        <v>1.00000003659627</v>
      </c>
    </row>
    <row r="3913" spans="1:40" x14ac:dyDescent="0.25">
      <c r="A3913" t="str">
        <f>"20190304155134963"</f>
        <v>20190304155134963</v>
      </c>
      <c r="B3913" t="str">
        <f>"1551685894960894"</f>
        <v>1551685894960894</v>
      </c>
      <c r="C3913" t="s">
        <v>40</v>
      </c>
      <c r="D3913">
        <v>5.089264</v>
      </c>
      <c r="E3913">
        <v>0.56859329999999997</v>
      </c>
      <c r="F3913" t="s">
        <v>62</v>
      </c>
      <c r="G3913">
        <v>-185.6806</v>
      </c>
      <c r="H3913" s="1">
        <v>4.5556759999999996E-6</v>
      </c>
      <c r="I3913">
        <v>207.0557</v>
      </c>
      <c r="J3913">
        <v>-239.9905</v>
      </c>
      <c r="K3913">
        <v>1.110311</v>
      </c>
      <c r="L3913">
        <v>213.81039999999999</v>
      </c>
      <c r="M3913">
        <v>0.99988350000000004</v>
      </c>
      <c r="N3913">
        <v>-1.518357E-2</v>
      </c>
      <c r="O3913">
        <v>1.621274E-3</v>
      </c>
      <c r="P3913">
        <v>0.98154249999999998</v>
      </c>
      <c r="Q3913">
        <v>0.1822944</v>
      </c>
      <c r="R3913">
        <v>5.7819130000000003E-2</v>
      </c>
      <c r="S3913">
        <v>3.0909420000000001</v>
      </c>
      <c r="T3913">
        <v>-6.2720890000000001E-2</v>
      </c>
      <c r="U3913">
        <v>-0.3815308</v>
      </c>
      <c r="V3913">
        <v>-5.6219829999999998E-2</v>
      </c>
      <c r="W3913">
        <v>0.19718069999999999</v>
      </c>
      <c r="X3913">
        <v>0.97875389999999995</v>
      </c>
      <c r="Y3913">
        <v>0.12407020000000001</v>
      </c>
      <c r="Z3913">
        <v>-2.2078649999999998E-3</v>
      </c>
      <c r="AA3913">
        <v>0.99227100000000001</v>
      </c>
      <c r="AB3913">
        <v>41</v>
      </c>
      <c r="AC3913">
        <v>54.309899999999999</v>
      </c>
      <c r="AD3913">
        <v>-1.1103064443240001</v>
      </c>
      <c r="AE3913">
        <v>-6.7546999999999802</v>
      </c>
      <c r="AF3913">
        <v>6.8399372665538696</v>
      </c>
      <c r="AG3913">
        <v>-1.1103064443240001</v>
      </c>
      <c r="AH3913">
        <v>54.276536632706602</v>
      </c>
      <c r="AI3913">
        <v>91.162712410290695</v>
      </c>
      <c r="AJ3913">
        <v>82.817439863441194</v>
      </c>
      <c r="AK3913">
        <v>54.717090118648002</v>
      </c>
      <c r="AL3913">
        <v>78.627858289649694</v>
      </c>
      <c r="AM3913">
        <v>93.287469274663493</v>
      </c>
      <c r="AN3913">
        <v>1.0000000472514601</v>
      </c>
    </row>
    <row r="3914" spans="1:40" x14ac:dyDescent="0.25">
      <c r="A3914" t="str">
        <f>"20190304155134986"</f>
        <v>20190304155134986</v>
      </c>
      <c r="B3914" t="str">
        <f>"1551685894980413"</f>
        <v>1551685894980413</v>
      </c>
      <c r="C3914" t="s">
        <v>40</v>
      </c>
      <c r="D3914">
        <v>5.1753879999999999</v>
      </c>
      <c r="E3914">
        <v>0.56870889999999996</v>
      </c>
      <c r="F3914" t="s">
        <v>62</v>
      </c>
      <c r="G3914">
        <v>-186.38050000000001</v>
      </c>
      <c r="H3914" s="1">
        <v>4.6573369999999998E-6</v>
      </c>
      <c r="I3914">
        <v>207.11940000000001</v>
      </c>
      <c r="J3914">
        <v>-239.5829</v>
      </c>
      <c r="K3914">
        <v>1.110312</v>
      </c>
      <c r="L3914">
        <v>213.81110000000001</v>
      </c>
      <c r="M3914">
        <v>0.99988339999999998</v>
      </c>
      <c r="N3914">
        <v>-1.5180569999999999E-2</v>
      </c>
      <c r="O3914">
        <v>1.621476E-3</v>
      </c>
      <c r="P3914">
        <v>0.98143820000000004</v>
      </c>
      <c r="Q3914">
        <v>0.1828216</v>
      </c>
      <c r="R3914">
        <v>5.7928830000000001E-2</v>
      </c>
      <c r="S3914">
        <v>3.0910030000000002</v>
      </c>
      <c r="T3914">
        <v>-6.4017180000000007E-2</v>
      </c>
      <c r="U3914">
        <v>-0.38578800000000002</v>
      </c>
      <c r="V3914">
        <v>-5.6329539999999997E-2</v>
      </c>
      <c r="W3914">
        <v>0.19770289999999999</v>
      </c>
      <c r="X3914">
        <v>0.97864220000000002</v>
      </c>
      <c r="Y3914">
        <v>0.12541189999999999</v>
      </c>
      <c r="Z3914">
        <v>-2.2582850000000001E-3</v>
      </c>
      <c r="AA3914">
        <v>0.99210220000000005</v>
      </c>
      <c r="AB3914">
        <v>41</v>
      </c>
      <c r="AC3914">
        <v>53.202399999999898</v>
      </c>
      <c r="AD3914">
        <v>-1.1103073426629999</v>
      </c>
      <c r="AE3914">
        <v>-6.6916999999999902</v>
      </c>
      <c r="AF3914">
        <v>6.7750627338895004</v>
      </c>
      <c r="AG3914">
        <v>-1.1103073426629999</v>
      </c>
      <c r="AH3914">
        <v>53.168682131334599</v>
      </c>
      <c r="AI3914">
        <v>91.186725473064797</v>
      </c>
      <c r="AJ3914">
        <v>82.738174001921294</v>
      </c>
      <c r="AK3914">
        <v>53.610101818838302</v>
      </c>
      <c r="AL3914">
        <v>78.597337131555307</v>
      </c>
      <c r="AM3914">
        <v>93.294245610668895</v>
      </c>
      <c r="AN3914">
        <v>1.00000000468293</v>
      </c>
    </row>
    <row r="3915" spans="1:40" x14ac:dyDescent="0.25">
      <c r="A3915" t="str">
        <f>"20190304155135008"</f>
        <v>20190304155135008</v>
      </c>
      <c r="B3915" t="str">
        <f>"1551685895000912"</f>
        <v>1551685895000912</v>
      </c>
      <c r="C3915" t="s">
        <v>40</v>
      </c>
      <c r="D3915">
        <v>5.0832959999999998</v>
      </c>
      <c r="E3915">
        <v>0.56900169999999906</v>
      </c>
      <c r="F3915" t="s">
        <v>62</v>
      </c>
      <c r="G3915">
        <v>-183.13239999999999</v>
      </c>
      <c r="H3915" s="1">
        <v>4.0983259999999997E-6</v>
      </c>
      <c r="I3915">
        <v>206.7499</v>
      </c>
      <c r="J3915">
        <v>-239.1754</v>
      </c>
      <c r="K3915">
        <v>1.1103209999999999</v>
      </c>
      <c r="L3915">
        <v>213.8117</v>
      </c>
      <c r="M3915">
        <v>0.99988359999999998</v>
      </c>
      <c r="N3915">
        <v>-1.5177360000000001E-2</v>
      </c>
      <c r="O3915">
        <v>1.621679E-3</v>
      </c>
      <c r="P3915">
        <v>0.98150669999999995</v>
      </c>
      <c r="Q3915">
        <v>0.1825996</v>
      </c>
      <c r="R3915">
        <v>5.7464920000000003E-2</v>
      </c>
      <c r="S3915">
        <v>3.090881</v>
      </c>
      <c r="T3915">
        <v>-6.0793640000000003E-2</v>
      </c>
      <c r="U3915">
        <v>-0.3866272</v>
      </c>
      <c r="V3915">
        <v>-5.5864980000000002E-2</v>
      </c>
      <c r="W3915">
        <v>0.1974786</v>
      </c>
      <c r="X3915">
        <v>0.97871410000000003</v>
      </c>
      <c r="Y3915">
        <v>0.12568560000000001</v>
      </c>
      <c r="Z3915">
        <v>-2.1960809999999999E-3</v>
      </c>
      <c r="AA3915">
        <v>0.9920677</v>
      </c>
      <c r="AB3915">
        <v>41</v>
      </c>
      <c r="AC3915">
        <v>56.042999999999999</v>
      </c>
      <c r="AD3915">
        <v>-1.110316901674</v>
      </c>
      <c r="AE3915">
        <v>-7.0617999999999999</v>
      </c>
      <c r="AF3915">
        <v>7.1499223731940598</v>
      </c>
      <c r="AG3915">
        <v>-1.110316901674</v>
      </c>
      <c r="AH3915">
        <v>56.0098321662635</v>
      </c>
      <c r="AI3915">
        <v>91.126520999287905</v>
      </c>
      <c r="AJ3915">
        <v>82.725265772671705</v>
      </c>
      <c r="AK3915">
        <v>56.475264433713299</v>
      </c>
      <c r="AL3915">
        <v>78.610446889776199</v>
      </c>
      <c r="AM3915">
        <v>93.2668969675466</v>
      </c>
      <c r="AN3915">
        <v>0.99999999149358498</v>
      </c>
    </row>
    <row r="3916" spans="1:40" x14ac:dyDescent="0.25">
      <c r="A3916" t="str">
        <f>"20190304155135031"</f>
        <v>20190304155135031</v>
      </c>
      <c r="B3916" t="str">
        <f>"1551685895020430"</f>
        <v>1551685895020430</v>
      </c>
      <c r="C3916" t="s">
        <v>40</v>
      </c>
      <c r="D3916">
        <v>5.101674</v>
      </c>
      <c r="E3916">
        <v>0.56930879999999995</v>
      </c>
      <c r="F3916" t="s">
        <v>62</v>
      </c>
      <c r="G3916">
        <v>-181.70930000000001</v>
      </c>
      <c r="H3916" s="1">
        <v>3.835348E-6</v>
      </c>
      <c r="I3916">
        <v>206.5514</v>
      </c>
      <c r="J3916">
        <v>-238.76249999999999</v>
      </c>
      <c r="K3916">
        <v>1.1103179999999999</v>
      </c>
      <c r="L3916">
        <v>213.8124</v>
      </c>
      <c r="M3916">
        <v>0.99988370000000004</v>
      </c>
      <c r="N3916">
        <v>-1.5173910000000001E-2</v>
      </c>
      <c r="O3916">
        <v>1.6215260000000001E-3</v>
      </c>
      <c r="P3916">
        <v>0.9814792</v>
      </c>
      <c r="Q3916">
        <v>0.18290290000000001</v>
      </c>
      <c r="R3916">
        <v>5.6967139999999999E-2</v>
      </c>
      <c r="S3916">
        <v>3.0905</v>
      </c>
      <c r="T3916">
        <v>-5.9712290000000001E-2</v>
      </c>
      <c r="U3916">
        <v>-0.3904572</v>
      </c>
      <c r="V3916">
        <v>-5.5367800000000002E-2</v>
      </c>
      <c r="W3916">
        <v>0.1977786</v>
      </c>
      <c r="X3916">
        <v>0.97868180000000005</v>
      </c>
      <c r="Y3916">
        <v>0.12691150000000001</v>
      </c>
      <c r="Z3916">
        <v>-2.1946719999999999E-3</v>
      </c>
      <c r="AA3916">
        <v>0.9919116</v>
      </c>
      <c r="AB3916">
        <v>41</v>
      </c>
      <c r="AC3916">
        <v>57.053199999999897</v>
      </c>
      <c r="AD3916">
        <v>-1.1103141646520001</v>
      </c>
      <c r="AE3916">
        <v>-7.2609999999999904</v>
      </c>
      <c r="AF3916">
        <v>7.3507747391492302</v>
      </c>
      <c r="AG3916">
        <v>-1.1103141646520001</v>
      </c>
      <c r="AH3916">
        <v>57.020098601936702</v>
      </c>
      <c r="AI3916">
        <v>91.106387877772903</v>
      </c>
      <c r="AJ3916">
        <v>82.654200710915504</v>
      </c>
      <c r="AK3916">
        <v>57.502681079968099</v>
      </c>
      <c r="AL3916">
        <v>78.592912613089098</v>
      </c>
      <c r="AM3916">
        <v>93.237991428362406</v>
      </c>
      <c r="AN3916">
        <v>1.0000000167730101</v>
      </c>
    </row>
    <row r="3917" spans="1:40" x14ac:dyDescent="0.25">
      <c r="A3917" t="str">
        <f>"20190304155135053"</f>
        <v>20190304155135053</v>
      </c>
      <c r="B3917" t="str">
        <f>"1551685895050686"</f>
        <v>1551685895050686</v>
      </c>
      <c r="C3917" t="s">
        <v>40</v>
      </c>
      <c r="D3917">
        <v>5.0886239999999896</v>
      </c>
      <c r="E3917">
        <v>0.56965589999999999</v>
      </c>
      <c r="F3917" t="s">
        <v>62</v>
      </c>
      <c r="G3917">
        <v>-179.95779999999999</v>
      </c>
      <c r="H3917">
        <v>4.597528E-2</v>
      </c>
      <c r="I3917">
        <v>206.31010000000001</v>
      </c>
      <c r="J3917">
        <v>-238.34540000000001</v>
      </c>
      <c r="K3917">
        <v>1.1103209999999999</v>
      </c>
      <c r="L3917">
        <v>213.81309999999999</v>
      </c>
      <c r="M3917">
        <v>0.99988370000000004</v>
      </c>
      <c r="N3917">
        <v>-1.5170319999999999E-2</v>
      </c>
      <c r="O3917">
        <v>1.6217320000000001E-3</v>
      </c>
      <c r="P3917">
        <v>0.98145740000000004</v>
      </c>
      <c r="Q3917">
        <v>0.18310389999999999</v>
      </c>
      <c r="R3917">
        <v>5.6698199999999997E-2</v>
      </c>
      <c r="S3917">
        <v>3.0899049999999999</v>
      </c>
      <c r="T3917">
        <v>-5.5926080000000003E-2</v>
      </c>
      <c r="U3917">
        <v>-0.39421079999999997</v>
      </c>
      <c r="V3917">
        <v>-5.5098620000000001E-2</v>
      </c>
      <c r="W3917">
        <v>0.1979754</v>
      </c>
      <c r="X3917">
        <v>0.9786572</v>
      </c>
      <c r="Y3917">
        <v>0.12812490000000001</v>
      </c>
      <c r="Z3917">
        <v>-2.1354329999999999E-3</v>
      </c>
      <c r="AA3917">
        <v>0.99175570000000002</v>
      </c>
      <c r="AB3917">
        <v>41</v>
      </c>
      <c r="AC3917">
        <v>58.387599999999999</v>
      </c>
      <c r="AD3917">
        <v>-1.0643457199999999</v>
      </c>
      <c r="AE3917">
        <v>-7.5029999999999797</v>
      </c>
      <c r="AF3917">
        <v>7.5952072075945303</v>
      </c>
      <c r="AG3917">
        <v>-1.0643457199999999</v>
      </c>
      <c r="AH3917">
        <v>58.356277443690402</v>
      </c>
      <c r="AI3917">
        <v>91.036150486379597</v>
      </c>
      <c r="AJ3917">
        <v>82.584503553708998</v>
      </c>
      <c r="AK3917">
        <v>58.8580930834745</v>
      </c>
      <c r="AL3917">
        <v>78.581409339466802</v>
      </c>
      <c r="AM3917">
        <v>93.2223634602977</v>
      </c>
      <c r="AN3917">
        <v>1.0000000160214499</v>
      </c>
    </row>
    <row r="3918" spans="1:40" x14ac:dyDescent="0.25">
      <c r="A3918" t="str">
        <f>"20190304155135076"</f>
        <v>20190304155135076</v>
      </c>
      <c r="B3918" t="str">
        <f>"1551685895070206"</f>
        <v>1551685895070206</v>
      </c>
      <c r="C3918" t="s">
        <v>40</v>
      </c>
      <c r="D3918">
        <v>5.0910260000000003</v>
      </c>
      <c r="E3918">
        <v>0.56977929999999999</v>
      </c>
      <c r="F3918" t="s">
        <v>44</v>
      </c>
      <c r="G3918">
        <v>-178.0574</v>
      </c>
      <c r="H3918">
        <v>0.1105049</v>
      </c>
      <c r="I3918">
        <v>206.04390000000001</v>
      </c>
      <c r="J3918">
        <v>-237.94550000000001</v>
      </c>
      <c r="K3918">
        <v>1.1103289999999999</v>
      </c>
      <c r="L3918">
        <v>213.81370000000001</v>
      </c>
      <c r="M3918">
        <v>0.99988370000000004</v>
      </c>
      <c r="N3918">
        <v>-1.5166870000000001E-2</v>
      </c>
      <c r="O3918">
        <v>1.621878E-3</v>
      </c>
      <c r="P3918">
        <v>0.98137470000000004</v>
      </c>
      <c r="Q3918">
        <v>0.1836217</v>
      </c>
      <c r="R3918">
        <v>5.6455159999999997E-2</v>
      </c>
      <c r="S3918">
        <v>3.0892330000000001</v>
      </c>
      <c r="T3918">
        <v>-5.1231859999999997E-2</v>
      </c>
      <c r="U3918">
        <v>-0.39810180000000001</v>
      </c>
      <c r="V3918">
        <v>-5.4855290000000001E-2</v>
      </c>
      <c r="W3918">
        <v>0.19848859999999999</v>
      </c>
      <c r="X3918">
        <v>0.97856690000000002</v>
      </c>
      <c r="Y3918">
        <v>0.12938549999999999</v>
      </c>
      <c r="Z3918">
        <v>-2.0560729999999998E-3</v>
      </c>
      <c r="AA3918">
        <v>0.99159219999999904</v>
      </c>
      <c r="AB3918">
        <v>41</v>
      </c>
      <c r="AC3918">
        <v>59.888100000000001</v>
      </c>
      <c r="AD3918">
        <v>-0.99982409999999999</v>
      </c>
      <c r="AE3918">
        <v>-7.7698</v>
      </c>
      <c r="AF3918">
        <v>7.8647763660517098</v>
      </c>
      <c r="AG3918">
        <v>-0.99982409999999999</v>
      </c>
      <c r="AH3918">
        <v>59.859010446426304</v>
      </c>
      <c r="AI3918">
        <v>90.948768811876704</v>
      </c>
      <c r="AJ3918">
        <v>82.514877436059095</v>
      </c>
      <c r="AK3918">
        <v>60.381747963638098</v>
      </c>
      <c r="AL3918">
        <v>78.551409651468205</v>
      </c>
      <c r="AM3918">
        <v>93.208457870785793</v>
      </c>
      <c r="AN3918">
        <v>1.00000000247327</v>
      </c>
    </row>
    <row r="3919" spans="1:40" x14ac:dyDescent="0.25">
      <c r="A3919" t="str">
        <f>"20190304155135098"</f>
        <v>20190304155135098</v>
      </c>
      <c r="B3919" t="str">
        <f>"1551685895090701"</f>
        <v>1551685895090701</v>
      </c>
      <c r="C3919" t="s">
        <v>40</v>
      </c>
      <c r="D3919">
        <v>5.1009719999999996</v>
      </c>
      <c r="E3919">
        <v>0.57025209999999904</v>
      </c>
      <c r="F3919" t="s">
        <v>44</v>
      </c>
      <c r="G3919">
        <v>-178.0574</v>
      </c>
      <c r="H3919">
        <v>0.16106029999999999</v>
      </c>
      <c r="I3919">
        <v>206.0658</v>
      </c>
      <c r="J3919">
        <v>-237.5352</v>
      </c>
      <c r="K3919">
        <v>1.110328</v>
      </c>
      <c r="L3919">
        <v>213.81440000000001</v>
      </c>
      <c r="M3919">
        <v>0.99988379999999999</v>
      </c>
      <c r="N3919">
        <v>-1.516317E-2</v>
      </c>
      <c r="O3919">
        <v>1.6219050000000001E-3</v>
      </c>
      <c r="P3919">
        <v>0.98138570000000003</v>
      </c>
      <c r="Q3919">
        <v>0.1836556</v>
      </c>
      <c r="R3919">
        <v>5.6148370000000003E-2</v>
      </c>
      <c r="S3919">
        <v>3.0890659999999999</v>
      </c>
      <c r="T3919">
        <v>-4.8963899999999998E-2</v>
      </c>
      <c r="U3919">
        <v>-0.39964290000000002</v>
      </c>
      <c r="V3919">
        <v>-5.4548850000000003E-2</v>
      </c>
      <c r="W3919">
        <v>0.19851849999999999</v>
      </c>
      <c r="X3919">
        <v>0.97857799999999995</v>
      </c>
      <c r="Y3919">
        <v>0.129881</v>
      </c>
      <c r="Z3919">
        <v>-2.0150950000000002E-3</v>
      </c>
      <c r="AA3919">
        <v>0.99152759999999995</v>
      </c>
      <c r="AB3919">
        <v>41</v>
      </c>
      <c r="AC3919">
        <v>59.477800000000002</v>
      </c>
      <c r="AD3919">
        <v>-0.94926769999999905</v>
      </c>
      <c r="AE3919">
        <v>-7.7485999999999997</v>
      </c>
      <c r="AF3919">
        <v>7.8431037560474</v>
      </c>
      <c r="AG3919">
        <v>-0.94926769999999905</v>
      </c>
      <c r="AH3919">
        <v>59.450262209851999</v>
      </c>
      <c r="AI3919">
        <v>90.906931325094405</v>
      </c>
      <c r="AJ3919">
        <v>82.484532137999807</v>
      </c>
      <c r="AK3919">
        <v>59.972902735440002</v>
      </c>
      <c r="AL3919">
        <v>78.549662124681504</v>
      </c>
      <c r="AM3919">
        <v>93.190535369706197</v>
      </c>
      <c r="AN3919">
        <v>1.00000003698128</v>
      </c>
    </row>
    <row r="3920" spans="1:40" x14ac:dyDescent="0.25">
      <c r="A3920" t="str">
        <f>"20190304155135119"</f>
        <v>20190304155135119</v>
      </c>
      <c r="B3920" t="str">
        <f>"1551685895110222"</f>
        <v>1551685895110222</v>
      </c>
      <c r="C3920" t="s">
        <v>40</v>
      </c>
      <c r="D3920">
        <v>5.0809419999999896</v>
      </c>
      <c r="E3920">
        <v>0.57058279999999995</v>
      </c>
      <c r="F3920" t="s">
        <v>44</v>
      </c>
      <c r="G3920">
        <v>-178.0574</v>
      </c>
      <c r="H3920">
        <v>0.18540470000000001</v>
      </c>
      <c r="I3920">
        <v>206.02809999999999</v>
      </c>
      <c r="J3920">
        <v>-237.14760000000001</v>
      </c>
      <c r="K3920">
        <v>1.1103320000000001</v>
      </c>
      <c r="L3920">
        <v>213.815</v>
      </c>
      <c r="M3920">
        <v>0.99988390000000005</v>
      </c>
      <c r="N3920">
        <v>-1.5159509999999999E-2</v>
      </c>
      <c r="O3920">
        <v>1.6219330000000001E-3</v>
      </c>
      <c r="P3920">
        <v>0.98150309999999996</v>
      </c>
      <c r="Q3920">
        <v>0.18312</v>
      </c>
      <c r="R3920">
        <v>5.5851409999999997E-2</v>
      </c>
      <c r="S3920">
        <v>3.089035</v>
      </c>
      <c r="T3920">
        <v>-4.8036809999999999E-2</v>
      </c>
      <c r="U3920">
        <v>-0.40438839999999998</v>
      </c>
      <c r="V3920">
        <v>-5.4252019999999998E-2</v>
      </c>
      <c r="W3920">
        <v>0.1979815</v>
      </c>
      <c r="X3920">
        <v>0.97870330000000005</v>
      </c>
      <c r="Y3920">
        <v>0.13138050000000001</v>
      </c>
      <c r="Z3920">
        <v>-2.0180010000000002E-3</v>
      </c>
      <c r="AA3920">
        <v>0.99133000000000004</v>
      </c>
      <c r="AB3920">
        <v>41</v>
      </c>
      <c r="AC3920">
        <v>59.090200000000003</v>
      </c>
      <c r="AD3920">
        <v>-0.92492730000000001</v>
      </c>
      <c r="AE3920">
        <v>-7.7869000000000002</v>
      </c>
      <c r="AF3920">
        <v>7.8808431747251104</v>
      </c>
      <c r="AG3920">
        <v>-0.92492730000000001</v>
      </c>
      <c r="AH3920">
        <v>59.063266886998001</v>
      </c>
      <c r="AI3920">
        <v>90.889295050116303</v>
      </c>
      <c r="AJ3920">
        <v>82.399884854234898</v>
      </c>
      <c r="AK3920">
        <v>59.593897967993797</v>
      </c>
      <c r="AL3920">
        <v>78.581053202302598</v>
      </c>
      <c r="AM3920">
        <v>93.172804080692501</v>
      </c>
      <c r="AN3920">
        <v>1.0000000527235999</v>
      </c>
    </row>
    <row r="3921" spans="1:40" x14ac:dyDescent="0.25">
      <c r="A3921" t="str">
        <f>"20190304155135141"</f>
        <v>20190304155135141</v>
      </c>
      <c r="B3921" t="str">
        <f>"1551685895130718"</f>
        <v>1551685895130718</v>
      </c>
      <c r="C3921" t="s">
        <v>40</v>
      </c>
      <c r="D3921">
        <v>5.0733379999999997</v>
      </c>
      <c r="E3921">
        <v>0.57077690000000003</v>
      </c>
      <c r="F3921" t="s">
        <v>44</v>
      </c>
      <c r="G3921">
        <v>-178.0574</v>
      </c>
      <c r="H3921">
        <v>0.1756867</v>
      </c>
      <c r="I3921">
        <v>206.01249999999999</v>
      </c>
      <c r="J3921">
        <v>-236.75030000000001</v>
      </c>
      <c r="K3921">
        <v>1.1103339999999999</v>
      </c>
      <c r="L3921">
        <v>213.81569999999999</v>
      </c>
      <c r="M3921">
        <v>0.999884</v>
      </c>
      <c r="N3921">
        <v>-1.515563E-2</v>
      </c>
      <c r="O3921">
        <v>1.622318E-3</v>
      </c>
      <c r="P3921">
        <v>0.98158820000000002</v>
      </c>
      <c r="Q3921">
        <v>0.18271589999999999</v>
      </c>
      <c r="R3921">
        <v>5.5674920000000003E-2</v>
      </c>
      <c r="S3921">
        <v>3.088867</v>
      </c>
      <c r="T3921">
        <v>-4.8857449999999997E-2</v>
      </c>
      <c r="U3921">
        <v>-0.40786739999999999</v>
      </c>
      <c r="V3921">
        <v>-5.4074539999999997E-2</v>
      </c>
      <c r="W3921">
        <v>0.19757479999999999</v>
      </c>
      <c r="X3921">
        <v>0.97879519999999998</v>
      </c>
      <c r="Y3921">
        <v>0.132484299999999</v>
      </c>
      <c r="Z3921">
        <v>-2.0527050000000002E-3</v>
      </c>
      <c r="AA3921">
        <v>0.99118300000000004</v>
      </c>
      <c r="AB3921">
        <v>41</v>
      </c>
      <c r="AC3921">
        <v>58.692900000000002</v>
      </c>
      <c r="AD3921">
        <v>-0.93464729999999996</v>
      </c>
      <c r="AE3921">
        <v>-7.8032000000000004</v>
      </c>
      <c r="AF3921">
        <v>7.8964515523027901</v>
      </c>
      <c r="AG3921">
        <v>-0.93464729999999996</v>
      </c>
      <c r="AH3921">
        <v>58.665543679338697</v>
      </c>
      <c r="AI3921">
        <v>90.904590984300697</v>
      </c>
      <c r="AJ3921">
        <v>82.333994976709306</v>
      </c>
      <c r="AK3921">
        <v>59.201972331043699</v>
      </c>
      <c r="AL3921">
        <v>78.604823782526694</v>
      </c>
      <c r="AM3921">
        <v>93.1621493528244</v>
      </c>
      <c r="AN3921">
        <v>0.99999995050714396</v>
      </c>
    </row>
    <row r="3922" spans="1:40" x14ac:dyDescent="0.25">
      <c r="A3922" t="str">
        <f>"20190304155135163"</f>
        <v>20190304155135163</v>
      </c>
      <c r="B3922" t="str">
        <f>"1551685895160974"</f>
        <v>1551685895160974</v>
      </c>
      <c r="C3922" t="s">
        <v>40</v>
      </c>
      <c r="D3922">
        <v>5.021808</v>
      </c>
      <c r="E3922">
        <v>0.57105550000000005</v>
      </c>
      <c r="F3922" t="s">
        <v>44</v>
      </c>
      <c r="G3922">
        <v>-178.0574</v>
      </c>
      <c r="H3922">
        <v>0.17196410000000001</v>
      </c>
      <c r="I3922">
        <v>206.00819999999999</v>
      </c>
      <c r="J3922">
        <v>-236.3425</v>
      </c>
      <c r="K3922">
        <v>1.11032999999999</v>
      </c>
      <c r="L3922">
        <v>213.81639999999999</v>
      </c>
      <c r="M3922">
        <v>0.99988390000000005</v>
      </c>
      <c r="N3922">
        <v>-1.515159E-2</v>
      </c>
      <c r="O3922">
        <v>1.622706E-3</v>
      </c>
      <c r="P3922">
        <v>0.98165709999999995</v>
      </c>
      <c r="Q3922">
        <v>0.18237500000000001</v>
      </c>
      <c r="R3922">
        <v>5.5576699999999903E-2</v>
      </c>
      <c r="S3922">
        <v>3.0887449999999999</v>
      </c>
      <c r="T3922">
        <v>-4.9382210000000003E-2</v>
      </c>
      <c r="U3922">
        <v>-0.4108734</v>
      </c>
      <c r="V3922">
        <v>-5.3976129999999997E-2</v>
      </c>
      <c r="W3922">
        <v>0.1972312</v>
      </c>
      <c r="X3922">
        <v>0.97887000000000002</v>
      </c>
      <c r="Y3922">
        <v>0.1334369</v>
      </c>
      <c r="Z3922">
        <v>-2.0787919999999999E-3</v>
      </c>
      <c r="AA3922">
        <v>0.99105509999999997</v>
      </c>
      <c r="AB3922">
        <v>40</v>
      </c>
      <c r="AC3922">
        <v>58.2851</v>
      </c>
      <c r="AD3922">
        <v>-0.93836589999999898</v>
      </c>
      <c r="AE3922">
        <v>-7.8081999999999896</v>
      </c>
      <c r="AF3922">
        <v>7.9007684082461997</v>
      </c>
      <c r="AG3922">
        <v>-0.93836589999999898</v>
      </c>
      <c r="AH3922">
        <v>58.257517446907002</v>
      </c>
      <c r="AI3922">
        <v>90.914425773833898</v>
      </c>
      <c r="AJ3922">
        <v>82.276779673250601</v>
      </c>
      <c r="AK3922">
        <v>58.798307892997201</v>
      </c>
      <c r="AL3922">
        <v>78.624906612746102</v>
      </c>
      <c r="AM3922">
        <v>93.156165511007202</v>
      </c>
      <c r="AN3922">
        <v>1.0000000228815999</v>
      </c>
    </row>
    <row r="3923" spans="1:40" x14ac:dyDescent="0.25">
      <c r="A3923" t="str">
        <f>"20190304155135186"</f>
        <v>20190304155135186</v>
      </c>
      <c r="B3923" t="str">
        <f>"1551685895180493"</f>
        <v>1551685895180493</v>
      </c>
      <c r="C3923" t="s">
        <v>40</v>
      </c>
      <c r="D3923">
        <v>5.0625169999999997</v>
      </c>
      <c r="E3923">
        <v>0.57136589999999998</v>
      </c>
      <c r="F3923" t="s">
        <v>44</v>
      </c>
      <c r="G3923">
        <v>-178.0574</v>
      </c>
      <c r="H3923">
        <v>0.1718208</v>
      </c>
      <c r="I3923">
        <v>206.01140000000001</v>
      </c>
      <c r="J3923">
        <v>-235.935</v>
      </c>
      <c r="K3923">
        <v>1.110333</v>
      </c>
      <c r="L3923">
        <v>213.81700000000001</v>
      </c>
      <c r="M3923">
        <v>0.99988410000000005</v>
      </c>
      <c r="N3923">
        <v>-1.51475E-2</v>
      </c>
      <c r="O3923">
        <v>1.6229160000000001E-3</v>
      </c>
      <c r="P3923">
        <v>0.98177999999999999</v>
      </c>
      <c r="Q3923">
        <v>0.18201809999999999</v>
      </c>
      <c r="R3923">
        <v>5.4567329999999997E-2</v>
      </c>
      <c r="S3923">
        <v>3.0886990000000001</v>
      </c>
      <c r="T3923">
        <v>-4.9734349999999997E-2</v>
      </c>
      <c r="U3923">
        <v>-0.41360469999999999</v>
      </c>
      <c r="V3923">
        <v>-5.2965739999999997E-2</v>
      </c>
      <c r="W3923">
        <v>0.19687180000000001</v>
      </c>
      <c r="X3923">
        <v>0.97899749999999996</v>
      </c>
      <c r="Y3923">
        <v>0.13429940000000001</v>
      </c>
      <c r="Z3923">
        <v>-2.0997699999999999E-3</v>
      </c>
      <c r="AA3923">
        <v>0.99093850000000006</v>
      </c>
      <c r="AB3923">
        <v>40</v>
      </c>
      <c r="AC3923">
        <v>57.877600000000001</v>
      </c>
      <c r="AD3923">
        <v>-0.93851219999999902</v>
      </c>
      <c r="AE3923">
        <v>-7.8055999999999903</v>
      </c>
      <c r="AF3923">
        <v>7.8974914832999801</v>
      </c>
      <c r="AG3923">
        <v>-0.93851219999999902</v>
      </c>
      <c r="AH3923">
        <v>57.849915066885899</v>
      </c>
      <c r="AI3923">
        <v>90.920900554574999</v>
      </c>
      <c r="AJ3923">
        <v>82.226212706138597</v>
      </c>
      <c r="AK3923">
        <v>58.394039508534199</v>
      </c>
      <c r="AL3923">
        <v>78.645910159726398</v>
      </c>
      <c r="AM3923">
        <v>93.096798155879398</v>
      </c>
      <c r="AN3923">
        <v>0.99999999012761798</v>
      </c>
    </row>
    <row r="3924" spans="1:40" x14ac:dyDescent="0.25">
      <c r="A3924" t="str">
        <f>"20190304155135209"</f>
        <v>20190304155135209</v>
      </c>
      <c r="B3924" t="str">
        <f>"1551685895200999"</f>
        <v>1551685895200999</v>
      </c>
      <c r="C3924" t="s">
        <v>40</v>
      </c>
      <c r="D3924">
        <v>5.0654709999999996</v>
      </c>
      <c r="E3924">
        <v>0.57165379999999999</v>
      </c>
      <c r="F3924" t="s">
        <v>44</v>
      </c>
      <c r="G3924">
        <v>-178.0574</v>
      </c>
      <c r="H3924">
        <v>0.1387854</v>
      </c>
      <c r="I3924">
        <v>205.95859999999999</v>
      </c>
      <c r="J3924">
        <v>-235.5316</v>
      </c>
      <c r="K3924">
        <v>1.110331</v>
      </c>
      <c r="L3924">
        <v>213.8177</v>
      </c>
      <c r="M3924">
        <v>0.99988410000000005</v>
      </c>
      <c r="N3924">
        <v>-1.514341E-2</v>
      </c>
      <c r="O3924">
        <v>1.6229479999999999E-3</v>
      </c>
      <c r="P3924">
        <v>0.98186289999999998</v>
      </c>
      <c r="Q3924">
        <v>0.1816566</v>
      </c>
      <c r="R3924">
        <v>5.4283049999999999E-2</v>
      </c>
      <c r="S3924">
        <v>3.0885929999999999</v>
      </c>
      <c r="T3924">
        <v>-5.1845910000000002E-2</v>
      </c>
      <c r="U3924">
        <v>-0.41935729999999999</v>
      </c>
      <c r="V3924">
        <v>-5.2682090000000001E-2</v>
      </c>
      <c r="W3924">
        <v>0.19650799999999999</v>
      </c>
      <c r="X3924">
        <v>0.97908589999999995</v>
      </c>
      <c r="Y3924">
        <v>0.13611379999999901</v>
      </c>
      <c r="Z3924">
        <v>-2.175293E-3</v>
      </c>
      <c r="AA3924">
        <v>0.99069079999999998</v>
      </c>
      <c r="AB3924">
        <v>40</v>
      </c>
      <c r="AC3924">
        <v>57.474200000000003</v>
      </c>
      <c r="AD3924">
        <v>-0.97154560000000001</v>
      </c>
      <c r="AE3924">
        <v>-7.8591000000000104</v>
      </c>
      <c r="AF3924">
        <v>7.9501479472199001</v>
      </c>
      <c r="AG3924">
        <v>-0.97154560000000001</v>
      </c>
      <c r="AH3924">
        <v>57.4452544459593</v>
      </c>
      <c r="AI3924">
        <v>90.959779117020602</v>
      </c>
      <c r="AJ3924">
        <v>82.120589672791695</v>
      </c>
      <c r="AK3924">
        <v>58.000913885873999</v>
      </c>
      <c r="AL3924">
        <v>78.667169744788197</v>
      </c>
      <c r="AM3924">
        <v>93.079968169583296</v>
      </c>
      <c r="AN3924">
        <v>0.99999999812478801</v>
      </c>
    </row>
    <row r="3925" spans="1:40" x14ac:dyDescent="0.25">
      <c r="A3925" t="str">
        <f>"20190304155135231"</f>
        <v>20190304155135231</v>
      </c>
      <c r="B3925" t="str">
        <f>"1551685895220510"</f>
        <v>1551685895220510</v>
      </c>
      <c r="C3925" t="s">
        <v>40</v>
      </c>
      <c r="D3925">
        <v>5.1236189999999997</v>
      </c>
      <c r="E3925">
        <v>0.57203909999999902</v>
      </c>
      <c r="F3925" t="s">
        <v>44</v>
      </c>
      <c r="G3925">
        <v>-178.0574</v>
      </c>
      <c r="H3925">
        <v>0.14380129999999999</v>
      </c>
      <c r="I3925">
        <v>205.95099999999999</v>
      </c>
      <c r="J3925">
        <v>-235.1369</v>
      </c>
      <c r="K3925">
        <v>1.1103350000000001</v>
      </c>
      <c r="L3925">
        <v>213.81829999999999</v>
      </c>
      <c r="M3925">
        <v>0.999884</v>
      </c>
      <c r="N3925">
        <v>-1.5139339999999999E-2</v>
      </c>
      <c r="O3925">
        <v>1.6232779999999999E-3</v>
      </c>
      <c r="P3925">
        <v>0.98186879999999999</v>
      </c>
      <c r="Q3925">
        <v>0.1817095</v>
      </c>
      <c r="R3925">
        <v>5.3992270000000002E-2</v>
      </c>
      <c r="S3925">
        <v>3.0883940000000001</v>
      </c>
      <c r="T3925">
        <v>-5.1936860000000001E-2</v>
      </c>
      <c r="U3925">
        <v>-0.42271419999999998</v>
      </c>
      <c r="V3925">
        <v>-5.2390239999999998E-2</v>
      </c>
      <c r="W3925">
        <v>0.19655710000000001</v>
      </c>
      <c r="X3925">
        <v>0.97909170000000001</v>
      </c>
      <c r="Y3925">
        <v>0.137179299999999</v>
      </c>
      <c r="Z3925">
        <v>-2.1941529999999999E-3</v>
      </c>
      <c r="AA3925">
        <v>0.99054379999999997</v>
      </c>
      <c r="AB3925">
        <v>40</v>
      </c>
      <c r="AC3925">
        <v>57.079500000000003</v>
      </c>
      <c r="AD3925">
        <v>-0.96653369999999905</v>
      </c>
      <c r="AE3925">
        <v>-7.8673000000000002</v>
      </c>
      <c r="AF3925">
        <v>7.9577169753868304</v>
      </c>
      <c r="AG3925">
        <v>-0.96653369999999905</v>
      </c>
      <c r="AH3925">
        <v>57.050599327227502</v>
      </c>
      <c r="AI3925">
        <v>90.961289941525493</v>
      </c>
      <c r="AJ3925">
        <v>82.059317832158996</v>
      </c>
      <c r="AK3925">
        <v>57.6110261186993</v>
      </c>
      <c r="AL3925">
        <v>78.664300516832299</v>
      </c>
      <c r="AM3925">
        <v>93.062920128377201</v>
      </c>
      <c r="AN3925">
        <v>0.99999999390827798</v>
      </c>
    </row>
    <row r="3926" spans="1:40" x14ac:dyDescent="0.25">
      <c r="A3926" t="str">
        <f>"20190304155135253"</f>
        <v>20190304155135253</v>
      </c>
      <c r="B3926" t="str">
        <f>"1551685895250766"</f>
        <v>1551685895250766</v>
      </c>
      <c r="C3926" t="s">
        <v>40</v>
      </c>
      <c r="D3926">
        <v>5.0985959999999997</v>
      </c>
      <c r="E3926">
        <v>0.57237629999999995</v>
      </c>
      <c r="F3926" t="s">
        <v>44</v>
      </c>
      <c r="G3926">
        <v>-178.0574</v>
      </c>
      <c r="H3926">
        <v>0.15835569999999999</v>
      </c>
      <c r="I3926">
        <v>205.9402</v>
      </c>
      <c r="J3926">
        <v>-234.73339999999999</v>
      </c>
      <c r="K3926">
        <v>1.1103350000000001</v>
      </c>
      <c r="L3926">
        <v>213.81899999999999</v>
      </c>
      <c r="M3926">
        <v>0.9998842</v>
      </c>
      <c r="N3926">
        <v>-1.513513E-2</v>
      </c>
      <c r="O3926">
        <v>1.623132E-3</v>
      </c>
      <c r="P3926">
        <v>0.98186470000000003</v>
      </c>
      <c r="Q3926">
        <v>0.18185370000000001</v>
      </c>
      <c r="R3926">
        <v>5.3582409999999997E-2</v>
      </c>
      <c r="S3926">
        <v>3.0883639999999999</v>
      </c>
      <c r="T3926">
        <v>-5.1508190000000002E-2</v>
      </c>
      <c r="U3926">
        <v>-0.42625429999999997</v>
      </c>
      <c r="V3926">
        <v>-5.1980709999999999E-2</v>
      </c>
      <c r="W3926">
        <v>0.19669690000000001</v>
      </c>
      <c r="X3926">
        <v>0.97908539999999999</v>
      </c>
      <c r="Y3926">
        <v>0.138294899999999</v>
      </c>
      <c r="Z3926">
        <v>-2.201915E-3</v>
      </c>
      <c r="AA3926">
        <v>0.99038859999999995</v>
      </c>
      <c r="AB3926">
        <v>40</v>
      </c>
      <c r="AC3926">
        <v>56.675999999999902</v>
      </c>
      <c r="AD3926">
        <v>-0.95197929999999997</v>
      </c>
      <c r="AE3926">
        <v>-7.8788000000000098</v>
      </c>
      <c r="AF3926">
        <v>7.9685871887306599</v>
      </c>
      <c r="AG3926">
        <v>-0.95197929999999997</v>
      </c>
      <c r="AH3926">
        <v>56.647456312939603</v>
      </c>
      <c r="AI3926">
        <v>90.953398995875602</v>
      </c>
      <c r="AJ3926">
        <v>81.992753251654307</v>
      </c>
      <c r="AK3926">
        <v>57.213101236503803</v>
      </c>
      <c r="AL3926">
        <v>78.656130496243193</v>
      </c>
      <c r="AM3926">
        <v>93.039042120134098</v>
      </c>
      <c r="AN3926">
        <v>0.99999994258743496</v>
      </c>
    </row>
    <row r="3927" spans="1:40" x14ac:dyDescent="0.25">
      <c r="A3927" t="str">
        <f>"20190304155135277"</f>
        <v>20190304155135277</v>
      </c>
      <c r="B3927" t="str">
        <f>"1551685895270286"</f>
        <v>1551685895270286</v>
      </c>
      <c r="C3927" t="s">
        <v>40</v>
      </c>
      <c r="D3927">
        <v>5.087815</v>
      </c>
      <c r="E3927">
        <v>0.57262409999999997</v>
      </c>
      <c r="F3927" t="s">
        <v>44</v>
      </c>
      <c r="G3927">
        <v>-178.0574</v>
      </c>
      <c r="H3927">
        <v>0.1922111</v>
      </c>
      <c r="I3927">
        <v>205.91540000000001</v>
      </c>
      <c r="J3927">
        <v>-234.3193</v>
      </c>
      <c r="K3927">
        <v>1.110341</v>
      </c>
      <c r="L3927">
        <v>213.81960000000001</v>
      </c>
      <c r="M3927">
        <v>0.99988440000000001</v>
      </c>
      <c r="N3927">
        <v>-1.513078E-2</v>
      </c>
      <c r="O3927">
        <v>1.623165E-3</v>
      </c>
      <c r="P3927">
        <v>0.98187310000000005</v>
      </c>
      <c r="Q3927">
        <v>0.1819559</v>
      </c>
      <c r="R3927">
        <v>5.3078519999999997E-2</v>
      </c>
      <c r="S3927">
        <v>3.088165</v>
      </c>
      <c r="T3927">
        <v>-5.0026769999999998E-2</v>
      </c>
      <c r="U3927">
        <v>-0.4306488</v>
      </c>
      <c r="V3927">
        <v>-5.1476859999999999E-2</v>
      </c>
      <c r="W3927">
        <v>0.19679459999999999</v>
      </c>
      <c r="X3927">
        <v>0.97909239999999997</v>
      </c>
      <c r="Y3927">
        <v>0.13968739999999999</v>
      </c>
      <c r="Z3927">
        <v>-2.189711E-3</v>
      </c>
      <c r="AA3927">
        <v>0.9901932</v>
      </c>
      <c r="AB3927">
        <v>40</v>
      </c>
      <c r="AC3927">
        <v>56.261899999999997</v>
      </c>
      <c r="AD3927">
        <v>-0.91812990000000005</v>
      </c>
      <c r="AE3927">
        <v>-7.9042000000000003</v>
      </c>
      <c r="AF3927">
        <v>7.99343487875832</v>
      </c>
      <c r="AG3927">
        <v>-0.91812990000000005</v>
      </c>
      <c r="AH3927">
        <v>56.234308951505199</v>
      </c>
      <c r="AI3927">
        <v>90.926069974521297</v>
      </c>
      <c r="AJ3927">
        <v>81.909879329869696</v>
      </c>
      <c r="AK3927">
        <v>56.807001918140102</v>
      </c>
      <c r="AL3927">
        <v>78.650421245138403</v>
      </c>
      <c r="AM3927">
        <v>93.0096175703749</v>
      </c>
      <c r="AN3927">
        <v>0.99999995472118797</v>
      </c>
    </row>
    <row r="3928" spans="1:40" x14ac:dyDescent="0.25">
      <c r="A3928" t="str">
        <f>"20190304155135298"</f>
        <v>20190304155135298</v>
      </c>
      <c r="B3928" t="str">
        <f>"1551685895290782"</f>
        <v>1551685895290782</v>
      </c>
      <c r="C3928" t="s">
        <v>40</v>
      </c>
      <c r="D3928">
        <v>5.0958809999999897</v>
      </c>
      <c r="E3928">
        <v>0.57270219999999905</v>
      </c>
      <c r="F3928" t="s">
        <v>44</v>
      </c>
      <c r="G3928">
        <v>-177.84370000000001</v>
      </c>
      <c r="H3928">
        <v>0.20526920000000001</v>
      </c>
      <c r="I3928">
        <v>205.88120000000001</v>
      </c>
      <c r="J3928">
        <v>-233.92160000000001</v>
      </c>
      <c r="K3928">
        <v>1.110341</v>
      </c>
      <c r="L3928">
        <v>213.8203</v>
      </c>
      <c r="M3928">
        <v>0.99988440000000001</v>
      </c>
      <c r="N3928">
        <v>-1.5126570000000001E-2</v>
      </c>
      <c r="O3928">
        <v>1.6233759999999999E-3</v>
      </c>
      <c r="P3928">
        <v>0.98183730000000002</v>
      </c>
      <c r="Q3928">
        <v>0.18228159999999999</v>
      </c>
      <c r="R3928">
        <v>5.2620460000000001E-2</v>
      </c>
      <c r="S3928">
        <v>3.0880429999999999</v>
      </c>
      <c r="T3928">
        <v>-4.9488659999999997E-2</v>
      </c>
      <c r="U3928">
        <v>-0.43406679999999997</v>
      </c>
      <c r="V3928">
        <v>-5.1018769999999998E-2</v>
      </c>
      <c r="W3928">
        <v>0.19711580000000001</v>
      </c>
      <c r="X3928">
        <v>0.97905180000000003</v>
      </c>
      <c r="Y3928">
        <v>0.14076810000000001</v>
      </c>
      <c r="Z3928">
        <v>-2.1938999999999999E-3</v>
      </c>
      <c r="AA3928">
        <v>0.99004020000000004</v>
      </c>
      <c r="AB3928">
        <v>40</v>
      </c>
      <c r="AC3928">
        <v>56.0779</v>
      </c>
      <c r="AD3928">
        <v>-0.90507179999999998</v>
      </c>
      <c r="AE3928">
        <v>-7.9390999999999901</v>
      </c>
      <c r="AF3928">
        <v>8.0280853531215008</v>
      </c>
      <c r="AG3928">
        <v>-0.90507179999999998</v>
      </c>
      <c r="AH3928">
        <v>56.050623013465703</v>
      </c>
      <c r="AI3928">
        <v>90.915753584707005</v>
      </c>
      <c r="AJ3928">
        <v>81.849008318437697</v>
      </c>
      <c r="AK3928">
        <v>56.629865350341497</v>
      </c>
      <c r="AL3928">
        <v>78.631650570768002</v>
      </c>
      <c r="AM3928">
        <v>92.9830071908722</v>
      </c>
      <c r="AN3928">
        <v>0.99999999029259601</v>
      </c>
    </row>
    <row r="3929" spans="1:40" x14ac:dyDescent="0.25">
      <c r="A3929" t="str">
        <f>"20190304155135321"</f>
        <v>20190304155135321</v>
      </c>
      <c r="B3929" t="str">
        <f>"1551685895310302"</f>
        <v>1551685895310302</v>
      </c>
      <c r="C3929" t="s">
        <v>40</v>
      </c>
      <c r="D3929">
        <v>5.1670540000000003</v>
      </c>
      <c r="E3929">
        <v>0.57308689999999995</v>
      </c>
      <c r="F3929" t="s">
        <v>44</v>
      </c>
      <c r="G3929">
        <v>-177.84039999999999</v>
      </c>
      <c r="H3929">
        <v>0.22005130000000001</v>
      </c>
      <c r="I3929">
        <v>205.8939</v>
      </c>
      <c r="J3929">
        <v>-233.52979999999999</v>
      </c>
      <c r="K3929">
        <v>1.1103400000000001</v>
      </c>
      <c r="L3929">
        <v>213.82089999999999</v>
      </c>
      <c r="M3929">
        <v>0.99988440000000001</v>
      </c>
      <c r="N3929">
        <v>-1.5122399999999999E-2</v>
      </c>
      <c r="O3929">
        <v>1.6234070000000001E-3</v>
      </c>
      <c r="P3929">
        <v>0.98178880000000002</v>
      </c>
      <c r="Q3929">
        <v>0.18266869999999999</v>
      </c>
      <c r="R3929">
        <v>5.2185099999999998E-2</v>
      </c>
      <c r="S3929">
        <v>3.0879819999999998</v>
      </c>
      <c r="T3929">
        <v>-4.9021719999999998E-2</v>
      </c>
      <c r="U3929">
        <v>-0.43644709999999998</v>
      </c>
      <c r="V3929">
        <v>-5.0583419999999997E-2</v>
      </c>
      <c r="W3929">
        <v>0.19749820000000001</v>
      </c>
      <c r="X3929">
        <v>0.97899729999999996</v>
      </c>
      <c r="Y3929">
        <v>0.14151939999999999</v>
      </c>
      <c r="Z3929">
        <v>-2.1944400000000002E-3</v>
      </c>
      <c r="AA3929">
        <v>0.98993310000000001</v>
      </c>
      <c r="AB3929">
        <v>40</v>
      </c>
      <c r="AC3929">
        <v>55.689399999999999</v>
      </c>
      <c r="AD3929">
        <v>-0.89028869999999904</v>
      </c>
      <c r="AE3929">
        <v>-7.9269999999999898</v>
      </c>
      <c r="AF3929">
        <v>8.0153986015123895</v>
      </c>
      <c r="AG3929">
        <v>-0.89028869999999904</v>
      </c>
      <c r="AH3929">
        <v>55.662513005856297</v>
      </c>
      <c r="AI3929">
        <v>90.906979965440698</v>
      </c>
      <c r="AJ3929">
        <v>81.805739964282793</v>
      </c>
      <c r="AK3929">
        <v>56.243707050990103</v>
      </c>
      <c r="AL3929">
        <v>78.609301052785796</v>
      </c>
      <c r="AM3929">
        <v>92.957762532767305</v>
      </c>
      <c r="AN3929">
        <v>0.99999996739471197</v>
      </c>
    </row>
    <row r="3930" spans="1:40" x14ac:dyDescent="0.25">
      <c r="A3930" t="str">
        <f>"20190304155135343"</f>
        <v>20190304155135343</v>
      </c>
      <c r="B3930" t="str">
        <f>"1551685895340558"</f>
        <v>1551685895340558</v>
      </c>
      <c r="C3930" t="s">
        <v>40</v>
      </c>
      <c r="D3930">
        <v>5.0942569999999998</v>
      </c>
      <c r="E3930">
        <v>0.57338269999999902</v>
      </c>
      <c r="F3930" t="s">
        <v>44</v>
      </c>
      <c r="G3930">
        <v>-177.83439999999999</v>
      </c>
      <c r="H3930">
        <v>0.24664059999999999</v>
      </c>
      <c r="I3930">
        <v>205.86789999999999</v>
      </c>
      <c r="J3930">
        <v>-233.13480000000001</v>
      </c>
      <c r="K3930">
        <v>1.1103459999999901</v>
      </c>
      <c r="L3930">
        <v>213.82149999999999</v>
      </c>
      <c r="M3930">
        <v>0.99988440000000001</v>
      </c>
      <c r="N3930">
        <v>-1.511816E-2</v>
      </c>
      <c r="O3930">
        <v>1.6236179999999901E-3</v>
      </c>
      <c r="P3930">
        <v>0.98187340000000001</v>
      </c>
      <c r="Q3930">
        <v>0.18234829999999999</v>
      </c>
      <c r="R3930">
        <v>5.1710310000000002E-2</v>
      </c>
      <c r="S3930">
        <v>3.0879970000000001</v>
      </c>
      <c r="T3930">
        <v>-4.7887329999999999E-2</v>
      </c>
      <c r="U3930">
        <v>-0.44094850000000002</v>
      </c>
      <c r="V3930">
        <v>-5.010825E-2</v>
      </c>
      <c r="W3930">
        <v>0.19717470000000001</v>
      </c>
      <c r="X3930">
        <v>0.97908700000000004</v>
      </c>
      <c r="Y3930">
        <v>0.14293410000000001</v>
      </c>
      <c r="Z3930">
        <v>-2.1893419999999999E-3</v>
      </c>
      <c r="AA3930">
        <v>0.98972979999999999</v>
      </c>
      <c r="AB3930">
        <v>40</v>
      </c>
      <c r="AC3930">
        <v>55.300400000000003</v>
      </c>
      <c r="AD3930">
        <v>-0.86370539999999896</v>
      </c>
      <c r="AE3930">
        <v>-7.95359999999999</v>
      </c>
      <c r="AF3930">
        <v>8.0414646585259995</v>
      </c>
      <c r="AG3930">
        <v>-0.86370539999999896</v>
      </c>
      <c r="AH3930">
        <v>55.274201938275503</v>
      </c>
      <c r="AI3930">
        <v>90.885896818371805</v>
      </c>
      <c r="AJ3930">
        <v>81.722502574506805</v>
      </c>
      <c r="AK3930">
        <v>55.862765244709898</v>
      </c>
      <c r="AL3930">
        <v>78.628208707134306</v>
      </c>
      <c r="AM3930">
        <v>92.929758608925496</v>
      </c>
      <c r="AN3930">
        <v>1.00000002630357</v>
      </c>
    </row>
    <row r="3931" spans="1:40" x14ac:dyDescent="0.25">
      <c r="A3931" t="str">
        <f>"20190304155135365"</f>
        <v>20190304155135365</v>
      </c>
      <c r="B3931" t="str">
        <f>"1551685895361054"</f>
        <v>1551685895361054</v>
      </c>
      <c r="C3931" t="s">
        <v>40</v>
      </c>
      <c r="D3931">
        <v>5.0914900000000003</v>
      </c>
      <c r="E3931">
        <v>0.57355219999999996</v>
      </c>
      <c r="F3931" t="s">
        <v>44</v>
      </c>
      <c r="G3931">
        <v>-177.8348</v>
      </c>
      <c r="H3931">
        <v>0.24490110000000001</v>
      </c>
      <c r="I3931">
        <v>205.858</v>
      </c>
      <c r="J3931">
        <v>-232.71850000000001</v>
      </c>
      <c r="K3931">
        <v>1.1103510000000001</v>
      </c>
      <c r="L3931">
        <v>213.82220000000001</v>
      </c>
      <c r="M3931">
        <v>0.99988460000000001</v>
      </c>
      <c r="N3931">
        <v>-1.5113649999999999E-2</v>
      </c>
      <c r="O3931">
        <v>1.623652E-3</v>
      </c>
      <c r="P3931">
        <v>0.98192610000000002</v>
      </c>
      <c r="Q3931">
        <v>0.1821604</v>
      </c>
      <c r="R3931">
        <v>5.1374650000000001E-2</v>
      </c>
      <c r="S3931">
        <v>3.0877690000000002</v>
      </c>
      <c r="T3931">
        <v>-4.8323629999999999E-2</v>
      </c>
      <c r="U3931">
        <v>-0.44465640000000001</v>
      </c>
      <c r="V3931">
        <v>-4.9772660000000003E-2</v>
      </c>
      <c r="W3931">
        <v>0.19698299999999999</v>
      </c>
      <c r="X3931">
        <v>0.97914270000000003</v>
      </c>
      <c r="Y3931">
        <v>0.14410809999999999</v>
      </c>
      <c r="Z3931">
        <v>-2.2174389999999999E-3</v>
      </c>
      <c r="AA3931">
        <v>0.98955950000000004</v>
      </c>
      <c r="AB3931">
        <v>40</v>
      </c>
      <c r="AC3931">
        <v>54.883699999999997</v>
      </c>
      <c r="AD3931">
        <v>-0.86544989999999999</v>
      </c>
      <c r="AE3931">
        <v>-7.9641999999999999</v>
      </c>
      <c r="AF3931">
        <v>8.0513509750619292</v>
      </c>
      <c r="AG3931">
        <v>-0.86544989999999999</v>
      </c>
      <c r="AH3931">
        <v>54.857335833757297</v>
      </c>
      <c r="AI3931">
        <v>90.894265878713796</v>
      </c>
      <c r="AJ3931">
        <v>81.650374169519495</v>
      </c>
      <c r="AK3931">
        <v>55.451785821835102</v>
      </c>
      <c r="AL3931">
        <v>78.639411998758007</v>
      </c>
      <c r="AM3931">
        <v>92.910005713449905</v>
      </c>
      <c r="AN3931">
        <v>1.0000000234678801</v>
      </c>
    </row>
    <row r="3932" spans="1:40" x14ac:dyDescent="0.25">
      <c r="A3932" t="str">
        <f>"20190304155135389"</f>
        <v>20190304155135389</v>
      </c>
      <c r="B3932" t="str">
        <f>"1551685895380575"</f>
        <v>1551685895380575</v>
      </c>
      <c r="C3932" t="s">
        <v>40</v>
      </c>
      <c r="D3932">
        <v>5.2853490000000001</v>
      </c>
      <c r="E3932">
        <v>0.57382290000000002</v>
      </c>
      <c r="F3932" t="s">
        <v>44</v>
      </c>
      <c r="G3932">
        <v>-177.8322</v>
      </c>
      <c r="H3932">
        <v>0.25647889999999901</v>
      </c>
      <c r="I3932">
        <v>205.8777</v>
      </c>
      <c r="J3932">
        <v>-232.3201</v>
      </c>
      <c r="K3932">
        <v>1.1103529999999999</v>
      </c>
      <c r="L3932">
        <v>213.8229</v>
      </c>
      <c r="M3932">
        <v>0.99988460000000001</v>
      </c>
      <c r="N3932">
        <v>-1.5109310000000001E-2</v>
      </c>
      <c r="O3932">
        <v>1.623864E-3</v>
      </c>
      <c r="P3932">
        <v>0.98193620000000004</v>
      </c>
      <c r="Q3932">
        <v>0.18214640000000001</v>
      </c>
      <c r="R3932">
        <v>5.122906E-2</v>
      </c>
      <c r="S3932">
        <v>3.0875089999999998</v>
      </c>
      <c r="T3932">
        <v>-4.8032760000000001E-2</v>
      </c>
      <c r="U3932">
        <v>-0.4468994</v>
      </c>
      <c r="V3932">
        <v>-4.9626719999999999E-2</v>
      </c>
      <c r="W3932">
        <v>0.1969648</v>
      </c>
      <c r="X3932">
        <v>0.97915379999999996</v>
      </c>
      <c r="Y3932">
        <v>0.14482439999999999</v>
      </c>
      <c r="Z3932">
        <v>-2.221303E-3</v>
      </c>
      <c r="AA3932">
        <v>0.98945490000000003</v>
      </c>
      <c r="AB3932">
        <v>40</v>
      </c>
      <c r="AC3932">
        <v>54.487900000000003</v>
      </c>
      <c r="AD3932">
        <v>-0.85387409999999997</v>
      </c>
      <c r="AE3932">
        <v>-7.9451999999999998</v>
      </c>
      <c r="AF3932">
        <v>8.0317492091632303</v>
      </c>
      <c r="AG3932">
        <v>-0.85387409999999997</v>
      </c>
      <c r="AH3932">
        <v>54.461828631924</v>
      </c>
      <c r="AI3932">
        <v>90.888622603364297</v>
      </c>
      <c r="AJ3932">
        <v>81.610784120495794</v>
      </c>
      <c r="AK3932">
        <v>55.057505158430502</v>
      </c>
      <c r="AL3932">
        <v>78.640475970077304</v>
      </c>
      <c r="AM3932">
        <v>92.9014549585699</v>
      </c>
      <c r="AN3932">
        <v>1.0000000539157099</v>
      </c>
    </row>
    <row r="3933" spans="1:40" x14ac:dyDescent="0.25">
      <c r="A3933" t="str">
        <f>"20190304155135410"</f>
        <v>20190304155135410</v>
      </c>
      <c r="B3933" t="str">
        <f>"1551685895401070"</f>
        <v>1551685895401070</v>
      </c>
      <c r="C3933" t="s">
        <v>40</v>
      </c>
      <c r="D3933">
        <v>5.224183</v>
      </c>
      <c r="E3933">
        <v>0.57412700000000005</v>
      </c>
      <c r="F3933" t="s">
        <v>44</v>
      </c>
      <c r="G3933">
        <v>-177.8312</v>
      </c>
      <c r="H3933">
        <v>0.26109209999999999</v>
      </c>
      <c r="I3933">
        <v>205.88460000000001</v>
      </c>
      <c r="J3933">
        <v>-231.93</v>
      </c>
      <c r="K3933">
        <v>1.110357</v>
      </c>
      <c r="L3933">
        <v>213.8235</v>
      </c>
      <c r="M3933">
        <v>0.99988469999999996</v>
      </c>
      <c r="N3933">
        <v>-1.5104950000000001E-2</v>
      </c>
      <c r="O3933">
        <v>1.623897E-3</v>
      </c>
      <c r="P3933">
        <v>0.98191949999999995</v>
      </c>
      <c r="Q3933">
        <v>0.1822115</v>
      </c>
      <c r="R3933">
        <v>5.1317040000000001E-2</v>
      </c>
      <c r="S3933">
        <v>3.0875699999999999</v>
      </c>
      <c r="T3933">
        <v>-4.8122640000000001E-2</v>
      </c>
      <c r="U3933">
        <v>-0.44981379999999999</v>
      </c>
      <c r="V3933">
        <v>-4.9714800000000003E-2</v>
      </c>
      <c r="W3933">
        <v>0.19702600000000001</v>
      </c>
      <c r="X3933">
        <v>0.97913689999999998</v>
      </c>
      <c r="Y3933">
        <v>0.14573599999999901</v>
      </c>
      <c r="Z3933">
        <v>-2.2371000000000001E-3</v>
      </c>
      <c r="AA3933">
        <v>0.98932100000000001</v>
      </c>
      <c r="AB3933">
        <v>40</v>
      </c>
      <c r="AC3933">
        <v>54.098799999999997</v>
      </c>
      <c r="AD3933">
        <v>-0.84926489999999999</v>
      </c>
      <c r="AE3933">
        <v>-7.9388999999999896</v>
      </c>
      <c r="AF3933">
        <v>8.0248144793716207</v>
      </c>
      <c r="AG3933">
        <v>-0.84926489999999999</v>
      </c>
      <c r="AH3933">
        <v>54.072790452379699</v>
      </c>
      <c r="AI3933">
        <v>90.890064267664201</v>
      </c>
      <c r="AJ3933">
        <v>81.558483813444298</v>
      </c>
      <c r="AK3933">
        <v>54.6716157215577</v>
      </c>
      <c r="AL3933">
        <v>78.636898042533602</v>
      </c>
      <c r="AM3933">
        <v>92.906645866211704</v>
      </c>
      <c r="AN3933">
        <v>0.99999993747832305</v>
      </c>
    </row>
    <row r="3934" spans="1:40" x14ac:dyDescent="0.25">
      <c r="A3934" t="str">
        <f>"20190304155135432"</f>
        <v>20190304155135432</v>
      </c>
      <c r="B3934" t="str">
        <f>"1551685895420410"</f>
        <v>1551685895420410</v>
      </c>
      <c r="C3934" t="s">
        <v>40</v>
      </c>
      <c r="D3934">
        <v>5.1048679999999997</v>
      </c>
      <c r="E3934">
        <v>0.57425969999999904</v>
      </c>
      <c r="F3934" t="s">
        <v>44</v>
      </c>
      <c r="G3934">
        <v>-177.82929999999999</v>
      </c>
      <c r="H3934">
        <v>0.26946320000000001</v>
      </c>
      <c r="I3934">
        <v>205.90219999999999</v>
      </c>
      <c r="J3934">
        <v>-231.54159999999999</v>
      </c>
      <c r="K3934">
        <v>1.110355</v>
      </c>
      <c r="L3934">
        <v>213.82409999999999</v>
      </c>
      <c r="M3934">
        <v>0.99988469999999996</v>
      </c>
      <c r="N3934">
        <v>-1.510066E-2</v>
      </c>
      <c r="O3934">
        <v>1.624108E-3</v>
      </c>
      <c r="P3934">
        <v>0.98196320000000004</v>
      </c>
      <c r="Q3934">
        <v>0.18194150000000001</v>
      </c>
      <c r="R3934">
        <v>5.1437330000000003E-2</v>
      </c>
      <c r="S3934">
        <v>3.0877690000000002</v>
      </c>
      <c r="T3934">
        <v>-4.799366E-2</v>
      </c>
      <c r="U3934">
        <v>-0.45210270000000002</v>
      </c>
      <c r="V3934">
        <v>-4.983431E-2</v>
      </c>
      <c r="W3934">
        <v>0.1967526</v>
      </c>
      <c r="X3934">
        <v>0.97918590000000005</v>
      </c>
      <c r="Y3934">
        <v>0.14644509999999999</v>
      </c>
      <c r="Z3934">
        <v>-2.244486E-3</v>
      </c>
      <c r="AA3934">
        <v>0.98921630000000005</v>
      </c>
      <c r="AB3934">
        <v>40</v>
      </c>
      <c r="AC3934">
        <v>53.712299999999999</v>
      </c>
      <c r="AD3934">
        <v>-0.84089179999999997</v>
      </c>
      <c r="AE3934">
        <v>-7.9218999999999902</v>
      </c>
      <c r="AF3934">
        <v>8.0072133309279092</v>
      </c>
      <c r="AG3934">
        <v>-0.84089179999999997</v>
      </c>
      <c r="AH3934">
        <v>53.686483552381802</v>
      </c>
      <c r="AI3934">
        <v>90.887535125319403</v>
      </c>
      <c r="AJ3934">
        <v>81.517001284259095</v>
      </c>
      <c r="AK3934">
        <v>54.2868407679657</v>
      </c>
      <c r="AL3934">
        <v>78.652876581998299</v>
      </c>
      <c r="AM3934">
        <v>92.913475610565598</v>
      </c>
      <c r="AN3934">
        <v>1.0000000354093701</v>
      </c>
    </row>
    <row r="3935" spans="1:40" x14ac:dyDescent="0.25">
      <c r="A3935" t="str">
        <f>"20190304155135455"</f>
        <v>20190304155135455</v>
      </c>
      <c r="B3935" t="str">
        <f>"1551685895450667"</f>
        <v>1551685895450667</v>
      </c>
      <c r="C3935" t="s">
        <v>40</v>
      </c>
      <c r="D3935">
        <v>5.3719190000000001</v>
      </c>
      <c r="E3935">
        <v>0.57475140000000002</v>
      </c>
      <c r="F3935" t="s">
        <v>44</v>
      </c>
      <c r="G3935">
        <v>-177.82509999999999</v>
      </c>
      <c r="H3935">
        <v>0.28802339999999998</v>
      </c>
      <c r="I3935">
        <v>205.93989999999999</v>
      </c>
      <c r="J3935">
        <v>-231.13929999999999</v>
      </c>
      <c r="K3935">
        <v>1.1103590000000001</v>
      </c>
      <c r="L3935">
        <v>213.82480000000001</v>
      </c>
      <c r="M3935">
        <v>0.99988480000000002</v>
      </c>
      <c r="N3935">
        <v>-1.50963E-2</v>
      </c>
      <c r="O3935">
        <v>1.624141E-3</v>
      </c>
      <c r="P3935">
        <v>0.98189899999999997</v>
      </c>
      <c r="Q3935">
        <v>0.1821364</v>
      </c>
      <c r="R3935">
        <v>5.1970570000000001E-2</v>
      </c>
      <c r="S3935">
        <v>3.0876160000000001</v>
      </c>
      <c r="T3935">
        <v>-4.726756E-2</v>
      </c>
      <c r="U3935">
        <v>-0.45318599999999998</v>
      </c>
      <c r="V3935">
        <v>-5.0368370000000003E-2</v>
      </c>
      <c r="W3935">
        <v>0.1969419</v>
      </c>
      <c r="X3935">
        <v>0.97912049999999995</v>
      </c>
      <c r="Y3935">
        <v>0.1467926</v>
      </c>
      <c r="Z3935">
        <v>-2.232005E-3</v>
      </c>
      <c r="AA3935">
        <v>0.98916479999999996</v>
      </c>
      <c r="AB3935">
        <v>40</v>
      </c>
      <c r="AC3935">
        <v>53.3142</v>
      </c>
      <c r="AD3935">
        <v>-0.82233559999999895</v>
      </c>
      <c r="AE3935">
        <v>-7.8849000000000098</v>
      </c>
      <c r="AF3935">
        <v>7.9696337685394703</v>
      </c>
      <c r="AG3935">
        <v>-0.82233559999999895</v>
      </c>
      <c r="AH3935">
        <v>53.288915430314397</v>
      </c>
      <c r="AI3935">
        <v>90.874375072113494</v>
      </c>
      <c r="AJ3935">
        <v>81.494161048779205</v>
      </c>
      <c r="AK3935">
        <v>53.8878446960247</v>
      </c>
      <c r="AL3935">
        <v>78.641813855807598</v>
      </c>
      <c r="AM3935">
        <v>92.944840172765396</v>
      </c>
      <c r="AN3935">
        <v>1.00000001909615</v>
      </c>
    </row>
    <row r="3936" spans="1:40" x14ac:dyDescent="0.25">
      <c r="A3936" t="str">
        <f>"20190304155135478"</f>
        <v>20190304155135478</v>
      </c>
      <c r="B3936" t="str">
        <f>"1551685895470186"</f>
        <v>1551685895470186</v>
      </c>
      <c r="C3936" t="s">
        <v>40</v>
      </c>
      <c r="D3936">
        <v>5.1758040000000003</v>
      </c>
      <c r="E3936">
        <v>0.5750499</v>
      </c>
      <c r="F3936" t="s">
        <v>44</v>
      </c>
      <c r="G3936">
        <v>-177.81819999999999</v>
      </c>
      <c r="H3936">
        <v>0.31908910000000001</v>
      </c>
      <c r="I3936">
        <v>205.95500000000001</v>
      </c>
      <c r="J3936">
        <v>-230.72980000000001</v>
      </c>
      <c r="K3936">
        <v>1.11036</v>
      </c>
      <c r="L3936">
        <v>213.82550000000001</v>
      </c>
      <c r="M3936">
        <v>0.99988480000000002</v>
      </c>
      <c r="N3936">
        <v>-1.5092019999999999E-2</v>
      </c>
      <c r="O3936">
        <v>1.6209250000000001E-3</v>
      </c>
      <c r="P3936">
        <v>0.98187009999999997</v>
      </c>
      <c r="Q3936">
        <v>0.18224979999999999</v>
      </c>
      <c r="R3936">
        <v>5.2116709999999997E-2</v>
      </c>
      <c r="S3936">
        <v>3.0879059999999998</v>
      </c>
      <c r="T3936">
        <v>-4.582369E-2</v>
      </c>
      <c r="U3936">
        <v>-0.45574949999999997</v>
      </c>
      <c r="V3936">
        <v>-5.0516640000000002E-2</v>
      </c>
      <c r="W3936">
        <v>0.19705130000000001</v>
      </c>
      <c r="X3936">
        <v>0.97909080000000004</v>
      </c>
      <c r="Y3936">
        <v>0.1475812</v>
      </c>
      <c r="Z3936">
        <v>-2.2085009999999999E-3</v>
      </c>
      <c r="AA3936">
        <v>0.98904749999999997</v>
      </c>
      <c r="AB3936">
        <v>40</v>
      </c>
      <c r="AC3936">
        <v>52.9116</v>
      </c>
      <c r="AD3936">
        <v>-0.7912709</v>
      </c>
      <c r="AE3936">
        <v>-7.8704999999999901</v>
      </c>
      <c r="AF3936">
        <v>7.9545247246661397</v>
      </c>
      <c r="AG3936">
        <v>-0.7912709</v>
      </c>
      <c r="AH3936">
        <v>52.887199895587401</v>
      </c>
      <c r="AI3936">
        <v>90.847633363187796</v>
      </c>
      <c r="AJ3936">
        <v>81.446514633259099</v>
      </c>
      <c r="AK3936">
        <v>53.487909718256297</v>
      </c>
      <c r="AL3936">
        <v>78.6354198497109</v>
      </c>
      <c r="AM3936">
        <v>92.953583043100707</v>
      </c>
      <c r="AN3936">
        <v>0.99999997019660902</v>
      </c>
    </row>
    <row r="3937" spans="1:40" x14ac:dyDescent="0.25">
      <c r="A3937" t="str">
        <f>"20190304155135500"</f>
        <v>20190304155135500</v>
      </c>
      <c r="B3937" t="str">
        <f>"1551685895490682"</f>
        <v>1551685895490682</v>
      </c>
      <c r="C3937" t="s">
        <v>40</v>
      </c>
      <c r="D3937">
        <v>5.2471269999999999</v>
      </c>
      <c r="E3937">
        <v>0.57537569999999905</v>
      </c>
      <c r="F3937" t="s">
        <v>44</v>
      </c>
      <c r="G3937">
        <v>-177.81290000000001</v>
      </c>
      <c r="H3937">
        <v>0.34255940000000001</v>
      </c>
      <c r="I3937">
        <v>205.9811</v>
      </c>
      <c r="J3937">
        <v>-230.33920000000001</v>
      </c>
      <c r="K3937">
        <v>1.110355</v>
      </c>
      <c r="L3937">
        <v>213.8261</v>
      </c>
      <c r="M3937">
        <v>0.99988489999999997</v>
      </c>
      <c r="N3937">
        <v>-1.5087659999999999E-2</v>
      </c>
      <c r="O3937">
        <v>1.604142E-3</v>
      </c>
      <c r="P3937">
        <v>0.98181249999999998</v>
      </c>
      <c r="Q3937">
        <v>0.18248619999999999</v>
      </c>
      <c r="R3937">
        <v>5.2374459999999998E-2</v>
      </c>
      <c r="S3937">
        <v>3.0880130000000001</v>
      </c>
      <c r="T3937">
        <v>-4.4805770000000002E-2</v>
      </c>
      <c r="U3937">
        <v>-0.4577637</v>
      </c>
      <c r="V3937">
        <v>-5.0787329999999999E-2</v>
      </c>
      <c r="W3937">
        <v>0.19728309999999999</v>
      </c>
      <c r="X3937">
        <v>0.97903010000000001</v>
      </c>
      <c r="Y3937">
        <v>0.14819179999999901</v>
      </c>
      <c r="Z3937">
        <v>-2.1924710000000001E-3</v>
      </c>
      <c r="AA3937">
        <v>0.98895619999999995</v>
      </c>
      <c r="AB3937">
        <v>40</v>
      </c>
      <c r="AC3937">
        <v>52.5262999999999</v>
      </c>
      <c r="AD3937">
        <v>-0.76779559999999902</v>
      </c>
      <c r="AE3937">
        <v>-7.84499999999999</v>
      </c>
      <c r="AF3937">
        <v>7.9276022311760199</v>
      </c>
      <c r="AG3937">
        <v>-0.76779559999999902</v>
      </c>
      <c r="AH3937">
        <v>52.502673159716402</v>
      </c>
      <c r="AI3937">
        <v>90.8284405819428</v>
      </c>
      <c r="AJ3937">
        <v>81.413529235264505</v>
      </c>
      <c r="AK3937">
        <v>53.103362192380402</v>
      </c>
      <c r="AL3937">
        <v>78.621872587817705</v>
      </c>
      <c r="AM3937">
        <v>92.9695651423161</v>
      </c>
      <c r="AN3937">
        <v>0.99999995557007304</v>
      </c>
    </row>
    <row r="3938" spans="1:40" x14ac:dyDescent="0.25">
      <c r="A3938" t="str">
        <f>"20190304155135522"</f>
        <v>20190304155135522</v>
      </c>
      <c r="B3938" t="str">
        <f>"1551685895510790"</f>
        <v>1551685895510790</v>
      </c>
      <c r="C3938" t="s">
        <v>40</v>
      </c>
      <c r="D3938">
        <v>5.2364280000000001</v>
      </c>
      <c r="E3938">
        <v>0.57553840000000001</v>
      </c>
      <c r="F3938" t="s">
        <v>44</v>
      </c>
      <c r="G3938">
        <v>-177.80770000000001</v>
      </c>
      <c r="H3938">
        <v>0.36579739999999999</v>
      </c>
      <c r="I3938">
        <v>206.0067</v>
      </c>
      <c r="J3938">
        <v>-229.94730000000001</v>
      </c>
      <c r="K3938">
        <v>1.1103400000000001</v>
      </c>
      <c r="L3938">
        <v>213.82669999999999</v>
      </c>
      <c r="M3938">
        <v>0.99988509999999997</v>
      </c>
      <c r="N3938">
        <v>-1.5083060000000001E-2</v>
      </c>
      <c r="O3938">
        <v>1.564144E-3</v>
      </c>
      <c r="P3938">
        <v>0.98173480000000002</v>
      </c>
      <c r="Q3938">
        <v>0.18276390000000001</v>
      </c>
      <c r="R3938">
        <v>5.2861419999999999E-2</v>
      </c>
      <c r="S3938">
        <v>3.0882260000000001</v>
      </c>
      <c r="T3938">
        <v>-4.3771150000000002E-2</v>
      </c>
      <c r="U3938">
        <v>-0.45968629999999999</v>
      </c>
      <c r="V3938">
        <v>-5.1306829999999998E-2</v>
      </c>
      <c r="W3938">
        <v>0.19755710000000001</v>
      </c>
      <c r="X3938">
        <v>0.97894780000000003</v>
      </c>
      <c r="Y3938">
        <v>0.14874570000000001</v>
      </c>
      <c r="Z3938">
        <v>-2.17498E-3</v>
      </c>
      <c r="AA3938">
        <v>0.98887309999999995</v>
      </c>
      <c r="AB3938">
        <v>40</v>
      </c>
      <c r="AC3938">
        <v>52.139600000000002</v>
      </c>
      <c r="AD3938">
        <v>-0.74454259999999906</v>
      </c>
      <c r="AE3938">
        <v>-7.8199999999999896</v>
      </c>
      <c r="AF3938">
        <v>7.8999780817932397</v>
      </c>
      <c r="AG3938">
        <v>-0.74454259999999906</v>
      </c>
      <c r="AH3938">
        <v>52.116909719062598</v>
      </c>
      <c r="AI3938">
        <v>90.809229490593097</v>
      </c>
      <c r="AJ3938">
        <v>81.380615545863705</v>
      </c>
      <c r="AK3938">
        <v>52.717513940254698</v>
      </c>
      <c r="AL3938">
        <v>78.605858843856893</v>
      </c>
      <c r="AM3938">
        <v>93.000137150323795</v>
      </c>
      <c r="AN3938">
        <v>0.999999996844949</v>
      </c>
    </row>
    <row r="3939" spans="1:40" x14ac:dyDescent="0.25">
      <c r="A3939" t="str">
        <f>"20190304155135543"</f>
        <v>20190304155135543</v>
      </c>
      <c r="B3939" t="str">
        <f>"1551685895541046"</f>
        <v>1551685895541046</v>
      </c>
      <c r="C3939" t="s">
        <v>40</v>
      </c>
      <c r="D3939">
        <v>5.2629169999999998</v>
      </c>
      <c r="E3939">
        <v>0.57577179999999994</v>
      </c>
      <c r="F3939" t="s">
        <v>44</v>
      </c>
      <c r="G3939">
        <v>-177.49610000000001</v>
      </c>
      <c r="H3939">
        <v>0.3870999</v>
      </c>
      <c r="I3939">
        <v>206.0171</v>
      </c>
      <c r="J3939">
        <v>-229.56299999999999</v>
      </c>
      <c r="K3939">
        <v>1.110317</v>
      </c>
      <c r="L3939">
        <v>213.82730000000001</v>
      </c>
      <c r="M3939">
        <v>0.99988520000000003</v>
      </c>
      <c r="N3939">
        <v>-1.50785E-2</v>
      </c>
      <c r="O3939">
        <v>1.4937079999999901E-3</v>
      </c>
      <c r="P3939">
        <v>0.98168250000000001</v>
      </c>
      <c r="Q3939">
        <v>0.18308740000000001</v>
      </c>
      <c r="R3939">
        <v>5.2714240000000002E-2</v>
      </c>
      <c r="S3939">
        <v>3.0884860000000001</v>
      </c>
      <c r="T3939">
        <v>-4.2586569999999997E-2</v>
      </c>
      <c r="U3939">
        <v>-0.45985409999999999</v>
      </c>
      <c r="V3939">
        <v>-5.1217079999999998E-2</v>
      </c>
      <c r="W3939">
        <v>0.1978782</v>
      </c>
      <c r="X3939">
        <v>0.97888770000000003</v>
      </c>
      <c r="Y3939">
        <v>0.14871770000000001</v>
      </c>
      <c r="Z3939">
        <v>-2.1452770000000001E-3</v>
      </c>
      <c r="AA3939">
        <v>0.98887740000000002</v>
      </c>
      <c r="AB3939">
        <v>40</v>
      </c>
      <c r="AC3939">
        <v>52.066899999999897</v>
      </c>
      <c r="AD3939">
        <v>-0.72321709999999995</v>
      </c>
      <c r="AE3939">
        <v>-7.8102</v>
      </c>
      <c r="AF3939">
        <v>7.8864847673548404</v>
      </c>
      <c r="AG3939">
        <v>-0.72321709999999995</v>
      </c>
      <c r="AH3939">
        <v>52.045353949437001</v>
      </c>
      <c r="AI3939">
        <v>90.787140671612804</v>
      </c>
      <c r="AJ3939">
        <v>81.383463888622302</v>
      </c>
      <c r="AK3939">
        <v>52.644454149336802</v>
      </c>
      <c r="AL3939">
        <v>78.587091284415294</v>
      </c>
      <c r="AM3939">
        <v>92.995082174221196</v>
      </c>
      <c r="AN3939">
        <v>1.0000000502651201</v>
      </c>
    </row>
    <row r="3940" spans="1:40" x14ac:dyDescent="0.25">
      <c r="A3940" t="str">
        <f>"20190304155135567"</f>
        <v>20190304155135567</v>
      </c>
      <c r="B3940" t="str">
        <f>"1551685895560567"</f>
        <v>1551685895560567</v>
      </c>
      <c r="C3940" t="s">
        <v>40</v>
      </c>
      <c r="D3940">
        <v>5.2772959999999998</v>
      </c>
      <c r="E3940">
        <v>0.5760767</v>
      </c>
      <c r="F3940" t="s">
        <v>44</v>
      </c>
      <c r="G3940">
        <v>-177.35319999999999</v>
      </c>
      <c r="H3940">
        <v>0.4142421</v>
      </c>
      <c r="I3940">
        <v>206.011</v>
      </c>
      <c r="J3940">
        <v>-229.14439999999999</v>
      </c>
      <c r="K3940">
        <v>1.1102860000000001</v>
      </c>
      <c r="L3940">
        <v>213.8278</v>
      </c>
      <c r="M3940">
        <v>0.99988560000000004</v>
      </c>
      <c r="N3940">
        <v>-1.5073649999999999E-2</v>
      </c>
      <c r="O3940">
        <v>1.3761789999999999E-3</v>
      </c>
      <c r="P3940">
        <v>0.98177250000000005</v>
      </c>
      <c r="Q3940">
        <v>0.18265400000000001</v>
      </c>
      <c r="R3940">
        <v>5.2540089999999998E-2</v>
      </c>
      <c r="S3940">
        <v>3.0884860000000001</v>
      </c>
      <c r="T3940">
        <v>-4.1176560000000001E-2</v>
      </c>
      <c r="U3940">
        <v>-0.4623718</v>
      </c>
      <c r="V3940">
        <v>-5.1141819999999998E-2</v>
      </c>
      <c r="W3940">
        <v>0.19744529999999999</v>
      </c>
      <c r="X3940">
        <v>0.97897900000000004</v>
      </c>
      <c r="Y3940">
        <v>0.14939129999999901</v>
      </c>
      <c r="Z3940">
        <v>-2.1202619999999999E-3</v>
      </c>
      <c r="AA3940">
        <v>0.98877590000000004</v>
      </c>
      <c r="AB3940">
        <v>40</v>
      </c>
      <c r="AC3940">
        <v>51.791200000000003</v>
      </c>
      <c r="AD3940">
        <v>-0.69604390000000005</v>
      </c>
      <c r="AE3940">
        <v>-7.8167999999999997</v>
      </c>
      <c r="AF3940">
        <v>7.8866818939680199</v>
      </c>
      <c r="AG3940">
        <v>-0.69604390000000005</v>
      </c>
      <c r="AH3940">
        <v>51.771249847484697</v>
      </c>
      <c r="AI3940">
        <v>90.761488550937401</v>
      </c>
      <c r="AJ3940">
        <v>81.338320306918803</v>
      </c>
      <c r="AK3940">
        <v>52.373147119282997</v>
      </c>
      <c r="AL3940">
        <v>78.612393343143793</v>
      </c>
      <c r="AM3940">
        <v>92.990410694412304</v>
      </c>
      <c r="AN3940">
        <v>1.000000007343</v>
      </c>
    </row>
    <row r="3941" spans="1:40" x14ac:dyDescent="0.25">
      <c r="A3941" t="str">
        <f>"20190304155135588"</f>
        <v>20190304155135588</v>
      </c>
      <c r="B3941" t="str">
        <f>"1551685895581062"</f>
        <v>1551685895581062</v>
      </c>
      <c r="C3941" t="s">
        <v>40</v>
      </c>
      <c r="D3941">
        <v>5.3337379999999897</v>
      </c>
      <c r="E3941">
        <v>0.57641969999999898</v>
      </c>
      <c r="F3941" t="s">
        <v>44</v>
      </c>
      <c r="G3941">
        <v>-177.26910000000001</v>
      </c>
      <c r="H3941">
        <v>0.39255980000000001</v>
      </c>
      <c r="I3941">
        <v>206.01580000000001</v>
      </c>
      <c r="J3941">
        <v>-228.77090000000001</v>
      </c>
      <c r="K3941">
        <v>1.1102479999999999</v>
      </c>
      <c r="L3941">
        <v>213.82820000000001</v>
      </c>
      <c r="M3941">
        <v>0.99988580000000005</v>
      </c>
      <c r="N3941">
        <v>-1.5069330000000001E-2</v>
      </c>
      <c r="O3941">
        <v>1.2279960000000001E-3</v>
      </c>
      <c r="P3941">
        <v>0.98197869999999998</v>
      </c>
      <c r="Q3941">
        <v>0.18169379999999999</v>
      </c>
      <c r="R3941">
        <v>5.201778E-2</v>
      </c>
      <c r="S3941">
        <v>3.0885310000000001</v>
      </c>
      <c r="T3941">
        <v>-4.2731640000000001E-2</v>
      </c>
      <c r="U3941">
        <v>-0.46510309999999999</v>
      </c>
      <c r="V3941">
        <v>-5.0748920000000003E-2</v>
      </c>
      <c r="W3941">
        <v>0.19648789999999999</v>
      </c>
      <c r="X3941">
        <v>0.97919199999999995</v>
      </c>
      <c r="Y3941">
        <v>0.15009600000000001</v>
      </c>
      <c r="Z3941">
        <v>-2.168396E-3</v>
      </c>
      <c r="AA3941">
        <v>0.98866900000000002</v>
      </c>
      <c r="AB3941">
        <v>40</v>
      </c>
      <c r="AC3941">
        <v>51.501800000000003</v>
      </c>
      <c r="AD3941">
        <v>-0.717688199999999</v>
      </c>
      <c r="AE3941">
        <v>-7.8123999999999896</v>
      </c>
      <c r="AF3941">
        <v>7.87415060048078</v>
      </c>
      <c r="AG3941">
        <v>-0.717688199999999</v>
      </c>
      <c r="AH3941">
        <v>51.482393979500401</v>
      </c>
      <c r="AI3941">
        <v>90.789497845835399</v>
      </c>
      <c r="AJ3941">
        <v>81.304091820725503</v>
      </c>
      <c r="AK3941">
        <v>52.086027050370902</v>
      </c>
      <c r="AL3941">
        <v>78.668343854244895</v>
      </c>
      <c r="AM3941">
        <v>92.966833560306895</v>
      </c>
      <c r="AN3941">
        <v>0.99999996029578697</v>
      </c>
    </row>
    <row r="3942" spans="1:40" x14ac:dyDescent="0.25">
      <c r="A3942" t="str">
        <f>"20190304155135611"</f>
        <v>20190304155135611</v>
      </c>
      <c r="B3942" t="str">
        <f>"1551685895600583"</f>
        <v>1551685895600583</v>
      </c>
      <c r="C3942" t="s">
        <v>40</v>
      </c>
      <c r="D3942">
        <v>5.287064</v>
      </c>
      <c r="E3942">
        <v>0.57674179999999997</v>
      </c>
      <c r="F3942" t="s">
        <v>44</v>
      </c>
      <c r="G3942">
        <v>-177.48519999999999</v>
      </c>
      <c r="H3942">
        <v>0.3624542</v>
      </c>
      <c r="I3942">
        <v>206.02260000000001</v>
      </c>
      <c r="J3942">
        <v>-228.37569999999999</v>
      </c>
      <c r="K3942">
        <v>1.1102110000000001</v>
      </c>
      <c r="L3942">
        <v>213.82849999999999</v>
      </c>
      <c r="M3942">
        <v>0.99988600000000005</v>
      </c>
      <c r="N3942">
        <v>-1.506501E-2</v>
      </c>
      <c r="O3942">
        <v>1.028375E-3</v>
      </c>
      <c r="P3942">
        <v>0.98209009999999997</v>
      </c>
      <c r="Q3942">
        <v>0.18111430000000001</v>
      </c>
      <c r="R3942">
        <v>5.1928670000000003E-2</v>
      </c>
      <c r="S3942">
        <v>3.0883029999999998</v>
      </c>
      <c r="T3942">
        <v>-4.5030359999999998E-2</v>
      </c>
      <c r="U3942">
        <v>-0.4700317</v>
      </c>
      <c r="V3942">
        <v>-5.0838000000000001E-2</v>
      </c>
      <c r="W3942">
        <v>0.1959109</v>
      </c>
      <c r="X3942">
        <v>0.97930300000000003</v>
      </c>
      <c r="Y3942">
        <v>0.1514491</v>
      </c>
      <c r="Z3942">
        <v>-2.2447700000000001E-3</v>
      </c>
      <c r="AA3942">
        <v>0.98846250000000002</v>
      </c>
      <c r="AB3942">
        <v>39</v>
      </c>
      <c r="AC3942">
        <v>50.890500000000003</v>
      </c>
      <c r="AD3942">
        <v>-0.7477568</v>
      </c>
      <c r="AE3942">
        <v>-7.8058999999999799</v>
      </c>
      <c r="AF3942">
        <v>7.8565791040167099</v>
      </c>
      <c r="AG3942">
        <v>-0.7477568</v>
      </c>
      <c r="AH3942">
        <v>50.871714175021097</v>
      </c>
      <c r="AI3942">
        <v>90.8322573078582</v>
      </c>
      <c r="AJ3942">
        <v>81.220655809984095</v>
      </c>
      <c r="AK3942">
        <v>51.480251345099902</v>
      </c>
      <c r="AL3942">
        <v>78.702058965445303</v>
      </c>
      <c r="AM3942">
        <v>92.971695675669693</v>
      </c>
      <c r="AN3942">
        <v>0.99999997439590405</v>
      </c>
    </row>
    <row r="3943" spans="1:40" x14ac:dyDescent="0.25">
      <c r="A3943" t="str">
        <f>"20190304155135632"</f>
        <v>20190304155135632</v>
      </c>
      <c r="B3943" t="str">
        <f>"1551685895630671"</f>
        <v>1551685895630671</v>
      </c>
      <c r="C3943" t="s">
        <v>40</v>
      </c>
      <c r="D3943">
        <v>5.2727700000000004</v>
      </c>
      <c r="E3943">
        <v>0.57701459999999904</v>
      </c>
      <c r="F3943" t="s">
        <v>44</v>
      </c>
      <c r="G3943">
        <v>-177.423</v>
      </c>
      <c r="H3943">
        <v>0.3504776</v>
      </c>
      <c r="I3943">
        <v>206.02529999999999</v>
      </c>
      <c r="J3943">
        <v>-227.99039999999999</v>
      </c>
      <c r="K3943">
        <v>1.1101730000000001</v>
      </c>
      <c r="L3943">
        <v>213.82859999999999</v>
      </c>
      <c r="M3943">
        <v>0.99988630000000001</v>
      </c>
      <c r="N3943">
        <v>-1.5060779999999999E-2</v>
      </c>
      <c r="O3943">
        <v>7.9843359999999996E-4</v>
      </c>
      <c r="P3943">
        <v>0.98217310000000002</v>
      </c>
      <c r="Q3943">
        <v>0.18081539999999999</v>
      </c>
      <c r="R3943">
        <v>5.139879E-2</v>
      </c>
      <c r="S3943">
        <v>3.0882109999999998</v>
      </c>
      <c r="T3943">
        <v>-4.604697E-2</v>
      </c>
      <c r="U3943">
        <v>-0.47294619999999998</v>
      </c>
      <c r="V3943">
        <v>-5.0517939999999997E-2</v>
      </c>
      <c r="W3943">
        <v>0.1956126</v>
      </c>
      <c r="X3943">
        <v>0.97937920000000001</v>
      </c>
      <c r="Y3943">
        <v>0.1521364</v>
      </c>
      <c r="Z3943">
        <v>-2.279943E-3</v>
      </c>
      <c r="AA3943">
        <v>0.98835689999999998</v>
      </c>
      <c r="AB3943">
        <v>39</v>
      </c>
      <c r="AC3943">
        <v>50.5673999999999</v>
      </c>
      <c r="AD3943">
        <v>-0.75969539999999902</v>
      </c>
      <c r="AE3943">
        <v>-7.8033000000000001</v>
      </c>
      <c r="AF3943">
        <v>7.8419480164289004</v>
      </c>
      <c r="AG3943">
        <v>-0.75969539999999902</v>
      </c>
      <c r="AH3943">
        <v>50.550008826306303</v>
      </c>
      <c r="AI3943">
        <v>90.850834275063505</v>
      </c>
      <c r="AJ3943">
        <v>81.181854942163</v>
      </c>
      <c r="AK3943">
        <v>51.160303733781703</v>
      </c>
      <c r="AL3943">
        <v>78.719487628600703</v>
      </c>
      <c r="AM3943">
        <v>92.952790685155307</v>
      </c>
      <c r="AN3943">
        <v>0.99999998446662097</v>
      </c>
    </row>
    <row r="3944" spans="1:40" x14ac:dyDescent="0.25">
      <c r="A3944" t="str">
        <f>"20190304155135656"</f>
        <v>20190304155135656</v>
      </c>
      <c r="B3944" t="str">
        <f>"1551685895651167"</f>
        <v>1551685895651167</v>
      </c>
      <c r="C3944" t="s">
        <v>40</v>
      </c>
      <c r="D3944">
        <v>5.3309119999999997</v>
      </c>
      <c r="E3944">
        <v>0.57731969999999899</v>
      </c>
      <c r="F3944" t="s">
        <v>44</v>
      </c>
      <c r="G3944">
        <v>-177.4306</v>
      </c>
      <c r="H3944">
        <v>0.34226410000000002</v>
      </c>
      <c r="I3944">
        <v>206.02709999999999</v>
      </c>
      <c r="J3944">
        <v>-227.5891</v>
      </c>
      <c r="K3944">
        <v>1.1101399999999999</v>
      </c>
      <c r="L3944">
        <v>213.8287</v>
      </c>
      <c r="M3944">
        <v>0.99988659999999996</v>
      </c>
      <c r="N3944">
        <v>-1.505627E-2</v>
      </c>
      <c r="O3944">
        <v>5.2898690000000004E-4</v>
      </c>
      <c r="P3944">
        <v>0.98219000000000001</v>
      </c>
      <c r="Q3944">
        <v>0.18089920000000001</v>
      </c>
      <c r="R3944">
        <v>5.0780909999999999E-2</v>
      </c>
      <c r="S3944">
        <v>3.0879970000000001</v>
      </c>
      <c r="T3944">
        <v>-4.6900989999999997E-2</v>
      </c>
      <c r="U3944">
        <v>-0.47648620000000003</v>
      </c>
      <c r="V3944">
        <v>-5.0150939999999998E-2</v>
      </c>
      <c r="W3944">
        <v>0.1956958</v>
      </c>
      <c r="X3944">
        <v>0.97938139999999996</v>
      </c>
      <c r="Y3944">
        <v>0.15298599999999901</v>
      </c>
      <c r="Z3944">
        <v>-2.313627E-3</v>
      </c>
      <c r="AA3944">
        <v>0.98822560000000004</v>
      </c>
      <c r="AB3944">
        <v>39</v>
      </c>
      <c r="AC3944">
        <v>50.158499999999997</v>
      </c>
      <c r="AD3944">
        <v>-0.76787589999999994</v>
      </c>
      <c r="AE3944">
        <v>-7.8015999999999996</v>
      </c>
      <c r="AF3944">
        <v>7.8263442069563602</v>
      </c>
      <c r="AG3944">
        <v>-0.76787589999999994</v>
      </c>
      <c r="AH3944">
        <v>50.142891410659601</v>
      </c>
      <c r="AI3944">
        <v>90.8668512755373</v>
      </c>
      <c r="AJ3944">
        <v>81.128802713166195</v>
      </c>
      <c r="AK3944">
        <v>50.755796280471898</v>
      </c>
      <c r="AL3944">
        <v>78.714626218097393</v>
      </c>
      <c r="AM3944">
        <v>92.931370388044897</v>
      </c>
      <c r="AN3944">
        <v>0.99999994479323995</v>
      </c>
    </row>
    <row r="3945" spans="1:40" x14ac:dyDescent="0.25">
      <c r="A3945" t="str">
        <f>"20190304155135680"</f>
        <v>20190304155135680</v>
      </c>
      <c r="B3945" t="str">
        <f>"1551685895670687"</f>
        <v>1551685895670687</v>
      </c>
      <c r="C3945" t="s">
        <v>40</v>
      </c>
      <c r="D3945">
        <v>5.2394299999999996</v>
      </c>
      <c r="E3945">
        <v>0.57759709999999997</v>
      </c>
      <c r="F3945" t="s">
        <v>44</v>
      </c>
      <c r="G3945">
        <v>-177.4427</v>
      </c>
      <c r="H3945">
        <v>0.35199190000000002</v>
      </c>
      <c r="I3945">
        <v>206.0249</v>
      </c>
      <c r="J3945">
        <v>-227.17</v>
      </c>
      <c r="K3945">
        <v>1.1101129999999999</v>
      </c>
      <c r="L3945">
        <v>213.82859999999999</v>
      </c>
      <c r="M3945">
        <v>0.99988659999999996</v>
      </c>
      <c r="N3945">
        <v>-1.5051520000000001E-2</v>
      </c>
      <c r="O3945">
        <v>2.2279E-4</v>
      </c>
      <c r="P3945">
        <v>0.98227109999999995</v>
      </c>
      <c r="Q3945">
        <v>0.18056359999999999</v>
      </c>
      <c r="R3945">
        <v>5.0402759999999998E-2</v>
      </c>
      <c r="S3945">
        <v>3.0878450000000002</v>
      </c>
      <c r="T3945">
        <v>-4.668427E-2</v>
      </c>
      <c r="U3945">
        <v>-0.48052980000000001</v>
      </c>
      <c r="V3945">
        <v>-5.0061439999999999E-2</v>
      </c>
      <c r="W3945">
        <v>0.19535959999999999</v>
      </c>
      <c r="X3945">
        <v>0.97945309999999997</v>
      </c>
      <c r="Y3945">
        <v>0.15395449999999999</v>
      </c>
      <c r="Z3945">
        <v>-2.322537E-3</v>
      </c>
      <c r="AA3945">
        <v>0.98807520000000004</v>
      </c>
      <c r="AB3945">
        <v>39</v>
      </c>
      <c r="AC3945">
        <v>49.7272999999999</v>
      </c>
      <c r="AD3945">
        <v>-0.75812109999999899</v>
      </c>
      <c r="AE3945">
        <v>-7.8036999999999903</v>
      </c>
      <c r="AF3945">
        <v>7.8130074969564101</v>
      </c>
      <c r="AG3945">
        <v>-0.75812109999999899</v>
      </c>
      <c r="AH3945">
        <v>49.714282742877103</v>
      </c>
      <c r="AI3945">
        <v>90.863076109542206</v>
      </c>
      <c r="AJ3945">
        <v>81.068551660363894</v>
      </c>
      <c r="AK3945">
        <v>50.330187188092999</v>
      </c>
      <c r="AL3945">
        <v>78.734268223794103</v>
      </c>
      <c r="AM3945">
        <v>92.925934293407295</v>
      </c>
      <c r="AN3945">
        <v>0.99999994809332005</v>
      </c>
    </row>
    <row r="3946" spans="1:40" x14ac:dyDescent="0.25">
      <c r="A3946" t="str">
        <f>"20190304155135701"</f>
        <v>20190304155135701</v>
      </c>
      <c r="B3946" t="str">
        <f>"1551685895690207"</f>
        <v>1551685895690207</v>
      </c>
      <c r="C3946" t="s">
        <v>40</v>
      </c>
      <c r="D3946">
        <v>5.8839779999999999</v>
      </c>
      <c r="E3946">
        <v>0.57776559999999999</v>
      </c>
      <c r="F3946" t="s">
        <v>44</v>
      </c>
      <c r="G3946">
        <v>-177.3862</v>
      </c>
      <c r="H3946">
        <v>0.34230539999999998</v>
      </c>
      <c r="I3946">
        <v>206.02709999999999</v>
      </c>
      <c r="J3946">
        <v>-226.79089999999999</v>
      </c>
      <c r="K3946">
        <v>1.110104</v>
      </c>
      <c r="L3946">
        <v>213.82849999999999</v>
      </c>
      <c r="M3946">
        <v>0.99988690000000002</v>
      </c>
      <c r="N3946">
        <v>-1.504721E-2</v>
      </c>
      <c r="O3946" s="1">
        <v>-6.9878139999999994E-5</v>
      </c>
      <c r="P3946">
        <v>0.98230419999999996</v>
      </c>
      <c r="Q3946">
        <v>0.18055879999999999</v>
      </c>
      <c r="R3946">
        <v>4.9773400000000002E-2</v>
      </c>
      <c r="S3946">
        <v>3.087723</v>
      </c>
      <c r="T3946">
        <v>-4.7621490000000002E-2</v>
      </c>
      <c r="U3946">
        <v>-0.48387150000000001</v>
      </c>
      <c r="V3946">
        <v>-4.971076E-2</v>
      </c>
      <c r="W3946">
        <v>0.19535259999999999</v>
      </c>
      <c r="X3946">
        <v>0.97947240000000002</v>
      </c>
      <c r="Y3946">
        <v>0.15471379999999901</v>
      </c>
      <c r="Z3946">
        <v>-2.3570000000000002E-3</v>
      </c>
      <c r="AA3946">
        <v>0.98795650000000002</v>
      </c>
      <c r="AB3946">
        <v>39</v>
      </c>
      <c r="AC3946">
        <v>49.404699999999899</v>
      </c>
      <c r="AD3946">
        <v>-0.7677986</v>
      </c>
      <c r="AE3946">
        <v>-7.8014000000000001</v>
      </c>
      <c r="AF3946">
        <v>7.79611015245401</v>
      </c>
      <c r="AG3946">
        <v>-0.7677986</v>
      </c>
      <c r="AH3946">
        <v>49.3936056365757</v>
      </c>
      <c r="AI3946">
        <v>90.879673951236995</v>
      </c>
      <c r="AJ3946">
        <v>81.030633145044206</v>
      </c>
      <c r="AK3946">
        <v>50.010970056387798</v>
      </c>
      <c r="AL3946">
        <v>78.734677654025205</v>
      </c>
      <c r="AM3946">
        <v>92.9054162364028</v>
      </c>
      <c r="AN3946">
        <v>0.99999999017414798</v>
      </c>
    </row>
    <row r="3947" spans="1:40" x14ac:dyDescent="0.25">
      <c r="A3947" t="str">
        <f>"20190304155135721"</f>
        <v>20190304155135721</v>
      </c>
      <c r="B3947" t="str">
        <f>"1551685895710235"</f>
        <v>1551685895710235</v>
      </c>
      <c r="C3947" t="s">
        <v>40</v>
      </c>
      <c r="D3947">
        <v>5.3114720000000002</v>
      </c>
      <c r="E3947">
        <v>0.57808159999999997</v>
      </c>
      <c r="F3947" t="s">
        <v>44</v>
      </c>
      <c r="G3947">
        <v>-177.3306</v>
      </c>
      <c r="H3947">
        <v>0.35138950000000002</v>
      </c>
      <c r="I3947">
        <v>206.02510000000001</v>
      </c>
      <c r="J3947">
        <v>-226.41890000000001</v>
      </c>
      <c r="K3947">
        <v>1.1100950000000001</v>
      </c>
      <c r="L3947">
        <v>213.82820000000001</v>
      </c>
      <c r="M3947">
        <v>0.99988690000000002</v>
      </c>
      <c r="N3947">
        <v>-1.5043010000000001E-2</v>
      </c>
      <c r="O3947">
        <v>-3.6540029999999999E-4</v>
      </c>
      <c r="P3947">
        <v>0.98231120000000005</v>
      </c>
      <c r="Q3947">
        <v>0.18062410000000001</v>
      </c>
      <c r="R3947">
        <v>4.9391909999999997E-2</v>
      </c>
      <c r="S3947">
        <v>3.0874329999999999</v>
      </c>
      <c r="T3947">
        <v>-4.7360779999999998E-2</v>
      </c>
      <c r="U3947">
        <v>-0.48710629999999999</v>
      </c>
      <c r="V3947">
        <v>-4.9612040000000003E-2</v>
      </c>
      <c r="W3947">
        <v>0.1954157</v>
      </c>
      <c r="X3947">
        <v>0.97946480000000002</v>
      </c>
      <c r="Y3947">
        <v>0.15544620000000001</v>
      </c>
      <c r="Z3947">
        <v>-2.3613359999999999E-3</v>
      </c>
      <c r="AA3947">
        <v>0.98784150000000004</v>
      </c>
      <c r="AB3947">
        <v>39</v>
      </c>
      <c r="AC3947">
        <v>49.088299999999997</v>
      </c>
      <c r="AD3947">
        <v>-0.75870550000000003</v>
      </c>
      <c r="AE3947">
        <v>-7.8030999999999997</v>
      </c>
      <c r="AF3947">
        <v>7.7833470644958496</v>
      </c>
      <c r="AG3947">
        <v>-0.75870550000000003</v>
      </c>
      <c r="AH3947">
        <v>49.079712806235499</v>
      </c>
      <c r="AI3947">
        <v>90.874714880715999</v>
      </c>
      <c r="AJ3947">
        <v>80.988743862877399</v>
      </c>
      <c r="AK3947">
        <v>49.698836351615803</v>
      </c>
      <c r="AL3947">
        <v>78.730991038131094</v>
      </c>
      <c r="AM3947">
        <v>92.899678722902095</v>
      </c>
      <c r="AN3947">
        <v>0.99999997237924498</v>
      </c>
    </row>
    <row r="3948" spans="1:40" x14ac:dyDescent="0.25">
      <c r="A3948" t="str">
        <f>"20190304155135745"</f>
        <v>20190304155135745</v>
      </c>
      <c r="B3948" t="str">
        <f>"1551685895740491"</f>
        <v>1551685895740491</v>
      </c>
      <c r="C3948" t="s">
        <v>40</v>
      </c>
      <c r="D3948">
        <v>5.3149110000000004</v>
      </c>
      <c r="E3948">
        <v>0.57859890000000003</v>
      </c>
      <c r="F3948" t="s">
        <v>44</v>
      </c>
      <c r="G3948">
        <v>-177.31190000000001</v>
      </c>
      <c r="H3948">
        <v>0.37657479999999999</v>
      </c>
      <c r="I3948">
        <v>206.01939999999999</v>
      </c>
      <c r="J3948">
        <v>-226.02690000000001</v>
      </c>
      <c r="K3948">
        <v>1.1100829999999999</v>
      </c>
      <c r="L3948">
        <v>213.82769999999999</v>
      </c>
      <c r="M3948">
        <v>0.99988679999999996</v>
      </c>
      <c r="N3948">
        <v>-1.5038589999999999E-2</v>
      </c>
      <c r="O3948">
        <v>-6.8150559999999999E-4</v>
      </c>
      <c r="P3948">
        <v>0.98227889999999995</v>
      </c>
      <c r="Q3948">
        <v>0.1809885</v>
      </c>
      <c r="R3948">
        <v>4.8699689999999997E-2</v>
      </c>
      <c r="S3948">
        <v>3.0871729999999999</v>
      </c>
      <c r="T3948">
        <v>-4.6113729999999999E-2</v>
      </c>
      <c r="U3948">
        <v>-0.4909058</v>
      </c>
      <c r="V3948">
        <v>-4.9224049999999998E-2</v>
      </c>
      <c r="W3948">
        <v>0.19577629999999999</v>
      </c>
      <c r="X3948">
        <v>0.97941239999999996</v>
      </c>
      <c r="Y3948">
        <v>0.1563339</v>
      </c>
      <c r="Z3948">
        <v>-2.3433690000000001E-3</v>
      </c>
      <c r="AA3948">
        <v>0.98770150000000001</v>
      </c>
      <c r="AB3948">
        <v>39</v>
      </c>
      <c r="AC3948">
        <v>48.715000000000003</v>
      </c>
      <c r="AD3948">
        <v>-0.73350819999999906</v>
      </c>
      <c r="AE3948">
        <v>-7.8083</v>
      </c>
      <c r="AF3948">
        <v>7.7733766749820896</v>
      </c>
      <c r="AG3948">
        <v>-0.73350819999999906</v>
      </c>
      <c r="AH3948">
        <v>48.709544003958499</v>
      </c>
      <c r="AI3948">
        <v>90.851962579382501</v>
      </c>
      <c r="AJ3948">
        <v>80.932835290149697</v>
      </c>
      <c r="AK3948">
        <v>49.331360170627697</v>
      </c>
      <c r="AL3948">
        <v>78.709923653144799</v>
      </c>
      <c r="AM3948">
        <v>92.877193757998697</v>
      </c>
      <c r="AN3948">
        <v>1.00000000800692</v>
      </c>
    </row>
    <row r="3949" spans="1:40" x14ac:dyDescent="0.25">
      <c r="A3949" t="str">
        <f>"20190304155135779"</f>
        <v>20190304155135779</v>
      </c>
      <c r="B3949" t="str">
        <f>"1551685895770750"</f>
        <v>1551685895770750</v>
      </c>
      <c r="C3949" t="s">
        <v>40</v>
      </c>
      <c r="D3949">
        <v>5.2800949999999904</v>
      </c>
      <c r="E3949">
        <v>0.57912299999999906</v>
      </c>
      <c r="F3949" t="s">
        <v>44</v>
      </c>
      <c r="G3949">
        <v>-177.4692</v>
      </c>
      <c r="H3949">
        <v>0.4138445</v>
      </c>
      <c r="I3949">
        <v>206.0111</v>
      </c>
      <c r="J3949">
        <v>-225.43459999999999</v>
      </c>
      <c r="K3949">
        <v>1.1100749999999999</v>
      </c>
      <c r="L3949">
        <v>213.82679999999999</v>
      </c>
      <c r="M3949">
        <v>0.99988630000000001</v>
      </c>
      <c r="N3949">
        <v>-1.503197E-2</v>
      </c>
      <c r="O3949">
        <v>-1.164893E-3</v>
      </c>
      <c r="P3949">
        <v>0.98223340000000003</v>
      </c>
      <c r="Q3949">
        <v>0.18165970000000001</v>
      </c>
      <c r="R3949">
        <v>4.7086610000000001E-2</v>
      </c>
      <c r="S3949">
        <v>3.0868989999999998</v>
      </c>
      <c r="T3949">
        <v>-4.4261099999999998E-2</v>
      </c>
      <c r="U3949">
        <v>-0.49691770000000002</v>
      </c>
      <c r="V3949">
        <v>-4.8077960000000003E-2</v>
      </c>
      <c r="W3949">
        <v>0.19644120000000001</v>
      </c>
      <c r="X3949">
        <v>0.97933619999999999</v>
      </c>
      <c r="Y3949">
        <v>0.1577472</v>
      </c>
      <c r="Z3949">
        <v>-2.317834E-3</v>
      </c>
      <c r="AA3949">
        <v>0.98747680000000004</v>
      </c>
      <c r="AB3949">
        <v>39</v>
      </c>
      <c r="AC3949">
        <v>47.965399999999903</v>
      </c>
      <c r="AD3949">
        <v>-0.69623049999999997</v>
      </c>
      <c r="AE3949">
        <v>-7.8156999999999899</v>
      </c>
      <c r="AF3949">
        <v>7.7582214968283996</v>
      </c>
      <c r="AG3949">
        <v>-0.69623049999999997</v>
      </c>
      <c r="AH3949">
        <v>47.964628502924398</v>
      </c>
      <c r="AI3949">
        <v>90.820950105506</v>
      </c>
      <c r="AJ3949">
        <v>80.812051566457498</v>
      </c>
      <c r="AK3949">
        <v>48.593006957035797</v>
      </c>
      <c r="AL3949">
        <v>78.671073366960997</v>
      </c>
      <c r="AM3949">
        <v>92.810530661948903</v>
      </c>
      <c r="AN3949">
        <v>1.00000001396282</v>
      </c>
    </row>
    <row r="3950" spans="1:40" x14ac:dyDescent="0.25">
      <c r="A3950" t="str">
        <f>"20190304155135800"</f>
        <v>20190304155135800</v>
      </c>
      <c r="B3950" t="str">
        <f>"1551685895790267"</f>
        <v>1551685895790267</v>
      </c>
      <c r="C3950" t="s">
        <v>40</v>
      </c>
      <c r="D3950">
        <v>5.2778450000000001</v>
      </c>
      <c r="E3950">
        <v>0.57947069999999901</v>
      </c>
      <c r="F3950" t="s">
        <v>44</v>
      </c>
      <c r="G3950">
        <v>-177.69390000000001</v>
      </c>
      <c r="H3950">
        <v>0.46272340000000001</v>
      </c>
      <c r="I3950">
        <v>206.0001</v>
      </c>
      <c r="J3950">
        <v>-225.05449999999999</v>
      </c>
      <c r="K3950">
        <v>1.1100639999999999</v>
      </c>
      <c r="L3950">
        <v>213.8261</v>
      </c>
      <c r="M3950">
        <v>0.99988600000000005</v>
      </c>
      <c r="N3950">
        <v>-1.5027749999999999E-2</v>
      </c>
      <c r="O3950">
        <v>-1.4811749999999999E-3</v>
      </c>
      <c r="P3950">
        <v>0.98214970000000001</v>
      </c>
      <c r="Q3950">
        <v>0.18244250000000001</v>
      </c>
      <c r="R3950">
        <v>4.5791369999999998E-2</v>
      </c>
      <c r="S3950">
        <v>3.0862579999999999</v>
      </c>
      <c r="T3950">
        <v>-4.1848900000000001E-2</v>
      </c>
      <c r="U3950">
        <v>-0.50596620000000003</v>
      </c>
      <c r="V3950">
        <v>-4.7087450000000003E-2</v>
      </c>
      <c r="W3950">
        <v>0.19721810000000001</v>
      </c>
      <c r="X3950">
        <v>0.97922810000000005</v>
      </c>
      <c r="Y3950">
        <v>0.160289299999999</v>
      </c>
      <c r="Z3950">
        <v>-2.2942140000000001E-3</v>
      </c>
      <c r="AA3950">
        <v>0.98706740000000004</v>
      </c>
      <c r="AB3950">
        <v>39</v>
      </c>
      <c r="AC3950">
        <v>47.360599999999899</v>
      </c>
      <c r="AD3950">
        <v>-0.64734059999999904</v>
      </c>
      <c r="AE3950">
        <v>-7.8259999999999899</v>
      </c>
      <c r="AF3950">
        <v>7.7544239536406803</v>
      </c>
      <c r="AG3950">
        <v>-0.64734059999999904</v>
      </c>
      <c r="AH3950">
        <v>47.363527596340901</v>
      </c>
      <c r="AI3950">
        <v>90.772753852538003</v>
      </c>
      <c r="AJ3950">
        <v>80.701945232651397</v>
      </c>
      <c r="AK3950">
        <v>47.998477966228798</v>
      </c>
      <c r="AL3950">
        <v>78.625671262817505</v>
      </c>
      <c r="AM3950">
        <v>92.753021058136596</v>
      </c>
      <c r="AN3950">
        <v>0.99999993937235898</v>
      </c>
    </row>
    <row r="3951" spans="1:40" x14ac:dyDescent="0.25">
      <c r="A3951" t="str">
        <f>"20190304155135822"</f>
        <v>20190304155135822</v>
      </c>
      <c r="B3951" t="str">
        <f>"1551685895821031"</f>
        <v>1551685895821031</v>
      </c>
      <c r="C3951" t="s">
        <v>40</v>
      </c>
      <c r="D3951">
        <v>5.9712149999999999</v>
      </c>
      <c r="E3951">
        <v>0.57983759999999995</v>
      </c>
      <c r="F3951" t="s">
        <v>44</v>
      </c>
      <c r="G3951">
        <v>-177.7739</v>
      </c>
      <c r="H3951">
        <v>0.51704529999999904</v>
      </c>
      <c r="I3951">
        <v>205.97120000000001</v>
      </c>
      <c r="J3951">
        <v>-224.66810000000001</v>
      </c>
      <c r="K3951">
        <v>1.1100540000000001</v>
      </c>
      <c r="L3951">
        <v>213.8252</v>
      </c>
      <c r="M3951">
        <v>0.99988560000000004</v>
      </c>
      <c r="N3951">
        <v>-1.502349E-2</v>
      </c>
      <c r="O3951">
        <v>-1.813112E-3</v>
      </c>
      <c r="P3951">
        <v>0.98220099999999999</v>
      </c>
      <c r="Q3951">
        <v>0.1825977</v>
      </c>
      <c r="R3951">
        <v>4.4041480000000001E-2</v>
      </c>
      <c r="S3951">
        <v>3.0856020000000002</v>
      </c>
      <c r="T3951">
        <v>-3.8701300000000001E-2</v>
      </c>
      <c r="U3951">
        <v>-0.51261899999999905</v>
      </c>
      <c r="V3951">
        <v>-4.5658099999999903E-2</v>
      </c>
      <c r="W3951">
        <v>0.19737009999999999</v>
      </c>
      <c r="X3951">
        <v>0.97926519999999995</v>
      </c>
      <c r="Y3951">
        <v>0.16206960000000001</v>
      </c>
      <c r="Z3951">
        <v>-2.239783E-3</v>
      </c>
      <c r="AA3951">
        <v>0.98677680000000001</v>
      </c>
      <c r="AB3951">
        <v>39</v>
      </c>
      <c r="AC3951">
        <v>46.894199999999998</v>
      </c>
      <c r="AD3951">
        <v>-0.59300870000000006</v>
      </c>
      <c r="AE3951">
        <v>-7.8539999999999797</v>
      </c>
      <c r="AF3951">
        <v>7.7677447918781999</v>
      </c>
      <c r="AG3951">
        <v>-0.59300870000000006</v>
      </c>
      <c r="AH3951">
        <v>46.901069240681799</v>
      </c>
      <c r="AI3951">
        <v>90.714664693632798</v>
      </c>
      <c r="AJ3951">
        <v>80.596048701852496</v>
      </c>
      <c r="AK3951">
        <v>47.543662189499599</v>
      </c>
      <c r="AL3951">
        <v>78.616788104661396</v>
      </c>
      <c r="AM3951">
        <v>92.669474281703501</v>
      </c>
      <c r="AN3951">
        <v>0.99999997520032902</v>
      </c>
    </row>
    <row r="3952" spans="1:40" x14ac:dyDescent="0.25">
      <c r="A3952" t="str">
        <f>"20190304155135846"</f>
        <v>20190304155135846</v>
      </c>
      <c r="B3952" t="str">
        <f>"1551685895840555"</f>
        <v>1551685895840555</v>
      </c>
      <c r="C3952" t="s">
        <v>40</v>
      </c>
      <c r="D3952">
        <v>5.8415369999999998</v>
      </c>
      <c r="E3952">
        <v>0.57977029999999996</v>
      </c>
      <c r="F3952" t="s">
        <v>44</v>
      </c>
      <c r="G3952">
        <v>-177.7756</v>
      </c>
      <c r="H3952">
        <v>0.50926479999999996</v>
      </c>
      <c r="I3952">
        <v>205.9153</v>
      </c>
      <c r="J3952">
        <v>-224.2627</v>
      </c>
      <c r="K3952">
        <v>1.110044</v>
      </c>
      <c r="L3952">
        <v>213.82409999999999</v>
      </c>
      <c r="M3952">
        <v>0.99988500000000002</v>
      </c>
      <c r="N3952">
        <v>-1.5019090000000001E-2</v>
      </c>
      <c r="O3952">
        <v>-2.1830719999999999E-3</v>
      </c>
      <c r="P3952">
        <v>0.98234469999999996</v>
      </c>
      <c r="Q3952">
        <v>0.1822011</v>
      </c>
      <c r="R3952">
        <v>4.244742E-2</v>
      </c>
      <c r="S3952">
        <v>3.0850219999999999</v>
      </c>
      <c r="T3952">
        <v>-3.952551E-2</v>
      </c>
      <c r="U3952">
        <v>-0.52038569999999995</v>
      </c>
      <c r="V3952">
        <v>-4.4419599999999997E-2</v>
      </c>
      <c r="W3952">
        <v>0.19697229999999999</v>
      </c>
      <c r="X3952">
        <v>0.97940229999999995</v>
      </c>
      <c r="Y3952">
        <v>0.1641494</v>
      </c>
      <c r="Z3952">
        <v>-2.2904319999999998E-3</v>
      </c>
      <c r="AA3952">
        <v>0.98643289999999995</v>
      </c>
      <c r="AB3952">
        <v>39</v>
      </c>
      <c r="AC3952">
        <v>46.487099999999998</v>
      </c>
      <c r="AD3952">
        <v>-0.60077919999999996</v>
      </c>
      <c r="AE3952">
        <v>-7.9087999999999798</v>
      </c>
      <c r="AF3952">
        <v>7.8060179570830801</v>
      </c>
      <c r="AG3952">
        <v>-0.60077919999999996</v>
      </c>
      <c r="AH3952">
        <v>46.496709259183497</v>
      </c>
      <c r="AI3952">
        <v>90.730056065400703</v>
      </c>
      <c r="AJ3952">
        <v>80.469870880052</v>
      </c>
      <c r="AK3952">
        <v>47.1512335355768</v>
      </c>
      <c r="AL3952">
        <v>78.640037350133596</v>
      </c>
      <c r="AM3952">
        <v>92.596800852411107</v>
      </c>
      <c r="AN3952">
        <v>1.00000002653836</v>
      </c>
    </row>
    <row r="3953" spans="1:40" x14ac:dyDescent="0.25">
      <c r="A3953" t="str">
        <f>"20190304155135868"</f>
        <v>20190304155135868</v>
      </c>
      <c r="B3953" t="str">
        <f>"1551685895861051"</f>
        <v>1551685895861051</v>
      </c>
      <c r="C3953" t="s">
        <v>40</v>
      </c>
      <c r="D3953">
        <v>5.5311820000000003</v>
      </c>
      <c r="E3953">
        <v>0.57963659999999995</v>
      </c>
      <c r="F3953" t="s">
        <v>44</v>
      </c>
      <c r="G3953">
        <v>-177.7816</v>
      </c>
      <c r="H3953">
        <v>0.48270619999999997</v>
      </c>
      <c r="I3953">
        <v>205.90770000000001</v>
      </c>
      <c r="J3953">
        <v>-223.88300000000001</v>
      </c>
      <c r="K3953">
        <v>1.1100190000000001</v>
      </c>
      <c r="L3953">
        <v>213.82300000000001</v>
      </c>
      <c r="M3953">
        <v>0.999884</v>
      </c>
      <c r="N3953">
        <v>-1.501505E-2</v>
      </c>
      <c r="O3953">
        <v>-2.5629519999999999E-3</v>
      </c>
      <c r="P3953">
        <v>0.98238040000000004</v>
      </c>
      <c r="Q3953">
        <v>0.18229100000000001</v>
      </c>
      <c r="R3953">
        <v>4.1218730000000002E-2</v>
      </c>
      <c r="S3953">
        <v>3.0843050000000001</v>
      </c>
      <c r="T3953">
        <v>-4.1627650000000002E-2</v>
      </c>
      <c r="U3953">
        <v>-0.52529910000000002</v>
      </c>
      <c r="V3953">
        <v>-4.3552010000000002E-2</v>
      </c>
      <c r="W3953">
        <v>0.1970606</v>
      </c>
      <c r="X3953">
        <v>0.9794235</v>
      </c>
      <c r="Y3953">
        <v>0.16533719999999999</v>
      </c>
      <c r="Z3953">
        <v>-2.3619259999999999E-3</v>
      </c>
      <c r="AA3953">
        <v>0.98623419999999895</v>
      </c>
      <c r="AB3953">
        <v>39</v>
      </c>
      <c r="AC3953">
        <v>46.101399999999899</v>
      </c>
      <c r="AD3953">
        <v>-0.6273128</v>
      </c>
      <c r="AE3953">
        <v>-7.91529999999997</v>
      </c>
      <c r="AF3953">
        <v>7.7957029056857001</v>
      </c>
      <c r="AG3953">
        <v>-0.6273128</v>
      </c>
      <c r="AH3953">
        <v>46.1132436707476</v>
      </c>
      <c r="AI3953">
        <v>90.768486193483497</v>
      </c>
      <c r="AJ3953">
        <v>80.404552150341004</v>
      </c>
      <c r="AK3953">
        <v>46.771762282177299</v>
      </c>
      <c r="AL3953">
        <v>78.6348769731228</v>
      </c>
      <c r="AM3953">
        <v>92.546093306331002</v>
      </c>
      <c r="AN3953">
        <v>1.00000002499982</v>
      </c>
    </row>
    <row r="3954" spans="1:40" x14ac:dyDescent="0.25">
      <c r="A3954" t="str">
        <f>"20190304155135891"</f>
        <v>20190304155135891</v>
      </c>
      <c r="B3954" t="str">
        <f>"1551685895880568"</f>
        <v>1551685895880568</v>
      </c>
      <c r="C3954" t="s">
        <v>40</v>
      </c>
      <c r="D3954">
        <v>5.85283</v>
      </c>
      <c r="E3954">
        <v>0.568277699999999</v>
      </c>
      <c r="F3954" t="s">
        <v>44</v>
      </c>
      <c r="G3954">
        <v>-177.78360000000001</v>
      </c>
      <c r="H3954">
        <v>0.47354550000000001</v>
      </c>
      <c r="I3954">
        <v>205.9228</v>
      </c>
      <c r="J3954">
        <v>-223.48769999999999</v>
      </c>
      <c r="K3954">
        <v>1.109979</v>
      </c>
      <c r="L3954">
        <v>213.82149999999999</v>
      </c>
      <c r="M3954">
        <v>0.99988279999999996</v>
      </c>
      <c r="N3954">
        <v>-1.501093E-2</v>
      </c>
      <c r="O3954">
        <v>-3.0106680000000002E-3</v>
      </c>
      <c r="P3954">
        <v>0.98239860000000001</v>
      </c>
      <c r="Q3954">
        <v>0.1824432</v>
      </c>
      <c r="R3954">
        <v>4.0093789999999997E-2</v>
      </c>
      <c r="S3954">
        <v>3.0838779999999999</v>
      </c>
      <c r="T3954">
        <v>-4.2577740000000003E-2</v>
      </c>
      <c r="U3954">
        <v>-0.52848819999999996</v>
      </c>
      <c r="V3954">
        <v>-4.2848259999999999E-2</v>
      </c>
      <c r="W3954">
        <v>0.1972121</v>
      </c>
      <c r="X3954">
        <v>0.97942399999999996</v>
      </c>
      <c r="Y3954">
        <v>0.1659079</v>
      </c>
      <c r="Z3954">
        <v>-2.3949980000000002E-3</v>
      </c>
      <c r="AA3954">
        <v>0.98613830000000002</v>
      </c>
      <c r="AB3954">
        <v>39</v>
      </c>
      <c r="AC3954">
        <v>45.704099999999897</v>
      </c>
      <c r="AD3954">
        <v>-0.63643349999999999</v>
      </c>
      <c r="AE3954">
        <v>-7.8986999999999901</v>
      </c>
      <c r="AF3954">
        <v>7.75958780905437</v>
      </c>
      <c r="AG3954">
        <v>-0.63643349999999999</v>
      </c>
      <c r="AH3954">
        <v>45.719067674972599</v>
      </c>
      <c r="AI3954">
        <v>90.786292792356704</v>
      </c>
      <c r="AJ3954">
        <v>80.367367760460894</v>
      </c>
      <c r="AK3954">
        <v>46.377250884836599</v>
      </c>
      <c r="AL3954">
        <v>78.626022378556698</v>
      </c>
      <c r="AM3954">
        <v>92.505002950166798</v>
      </c>
      <c r="AN3954">
        <v>0.99999997877371805</v>
      </c>
    </row>
    <row r="3955" spans="1:40" x14ac:dyDescent="0.25">
      <c r="A3955" t="str">
        <f>"20190304155135912"</f>
        <v>20190304155135912</v>
      </c>
      <c r="B3955" t="str">
        <f>"1551685895901064"</f>
        <v>1551685895901064</v>
      </c>
      <c r="C3955" t="s">
        <v>40</v>
      </c>
      <c r="D3955">
        <v>5.809965</v>
      </c>
      <c r="E3955">
        <v>0.56943920000000003</v>
      </c>
      <c r="F3955" t="s">
        <v>51</v>
      </c>
      <c r="G3955">
        <v>-222.4716</v>
      </c>
      <c r="H3955">
        <v>1.02494</v>
      </c>
      <c r="I3955">
        <v>213.6756</v>
      </c>
      <c r="J3955">
        <v>-223.10640000000001</v>
      </c>
      <c r="K3955">
        <v>1.1099349999999999</v>
      </c>
      <c r="L3955">
        <v>213.81989999999999</v>
      </c>
      <c r="M3955">
        <v>0.99988140000000003</v>
      </c>
      <c r="N3955">
        <v>-1.5007049999999999E-2</v>
      </c>
      <c r="O3955">
        <v>-3.4879049999999999E-3</v>
      </c>
      <c r="P3955">
        <v>0.98247050000000002</v>
      </c>
      <c r="Q3955">
        <v>0.1823198</v>
      </c>
      <c r="R3955">
        <v>3.8878030000000001E-2</v>
      </c>
      <c r="S3955">
        <v>3.1205289999999999</v>
      </c>
      <c r="T3955">
        <v>-0.26111630000000002</v>
      </c>
      <c r="U3955">
        <v>-0.44828800000000002</v>
      </c>
      <c r="V3955">
        <v>-4.208199E-2</v>
      </c>
      <c r="W3955">
        <v>0.19708919999999999</v>
      </c>
      <c r="X3955">
        <v>0.97948199999999996</v>
      </c>
      <c r="Y3955">
        <v>0.1381925</v>
      </c>
      <c r="Z3955">
        <v>-6.5488940000000004E-3</v>
      </c>
      <c r="AA3955">
        <v>0.99038369999999998</v>
      </c>
      <c r="AB3955">
        <v>39</v>
      </c>
      <c r="AC3955">
        <v>0.63480000000001202</v>
      </c>
      <c r="AD3955">
        <v>-8.4995000000000098E-2</v>
      </c>
      <c r="AE3955">
        <v>-0.14429999999998699</v>
      </c>
      <c r="AF3955">
        <v>0.13970331356862101</v>
      </c>
      <c r="AG3955">
        <v>-8.4995000000000098E-2</v>
      </c>
      <c r="AH3955">
        <v>0.62465144660684702</v>
      </c>
      <c r="AI3955">
        <v>97.563909805779204</v>
      </c>
      <c r="AJ3955">
        <v>77.393258406692496</v>
      </c>
      <c r="AK3955">
        <v>0.64570163047268103</v>
      </c>
      <c r="AL3955">
        <v>78.633205447742895</v>
      </c>
      <c r="AM3955">
        <v>92.460115171287896</v>
      </c>
      <c r="AN3955">
        <v>1.00000001748149</v>
      </c>
    </row>
    <row r="3956" spans="1:40" x14ac:dyDescent="0.25">
      <c r="A3956" t="str">
        <f>"20190304155135934"</f>
        <v>20190304155135934</v>
      </c>
      <c r="B3956" t="str">
        <f>"1551685895930344"</f>
        <v>1551685895930344</v>
      </c>
      <c r="C3956" t="s">
        <v>40</v>
      </c>
      <c r="D3956">
        <v>5.8440050000000001</v>
      </c>
      <c r="E3956">
        <v>0.57028389999999995</v>
      </c>
      <c r="F3956" t="s">
        <v>51</v>
      </c>
      <c r="G3956">
        <v>-222.1241</v>
      </c>
      <c r="H3956">
        <v>1.027563</v>
      </c>
      <c r="I3956">
        <v>213.67429999999999</v>
      </c>
      <c r="J3956">
        <v>-222.73060000000001</v>
      </c>
      <c r="K3956">
        <v>1.1098859999999999</v>
      </c>
      <c r="L3956">
        <v>213.81819999999999</v>
      </c>
      <c r="M3956">
        <v>0.99987939999999997</v>
      </c>
      <c r="N3956">
        <v>-1.5003270000000001E-2</v>
      </c>
      <c r="O3956">
        <v>-4.0142449999999996E-3</v>
      </c>
      <c r="P3956">
        <v>0.9824967</v>
      </c>
      <c r="Q3956">
        <v>0.18243789999999999</v>
      </c>
      <c r="R3956">
        <v>3.7636879999999998E-2</v>
      </c>
      <c r="S3956">
        <v>3.120377</v>
      </c>
      <c r="T3956">
        <v>-0.26179849999999999</v>
      </c>
      <c r="U3956">
        <v>-0.4617462</v>
      </c>
      <c r="V3956">
        <v>-4.1335549999999999E-2</v>
      </c>
      <c r="W3956">
        <v>0.1972074</v>
      </c>
      <c r="X3956">
        <v>0.97948999999999997</v>
      </c>
      <c r="Y3956">
        <v>0.14184369999999999</v>
      </c>
      <c r="Z3956">
        <v>-6.7053859999999998E-3</v>
      </c>
      <c r="AA3956">
        <v>0.98986640000000004</v>
      </c>
      <c r="AB3956">
        <v>39</v>
      </c>
      <c r="AC3956">
        <v>0.60650000000001103</v>
      </c>
      <c r="AD3956">
        <v>-8.2323000000000104E-2</v>
      </c>
      <c r="AE3956">
        <v>-0.143900000000002</v>
      </c>
      <c r="AF3956">
        <v>0.139038812922403</v>
      </c>
      <c r="AG3956">
        <v>-8.2323000000000104E-2</v>
      </c>
      <c r="AH3956">
        <v>0.59666578761334998</v>
      </c>
      <c r="AI3956">
        <v>97.653088132801201</v>
      </c>
      <c r="AJ3956">
        <v>76.882662942354202</v>
      </c>
      <c r="AK3956">
        <v>0.61815769018603295</v>
      </c>
      <c r="AL3956">
        <v>78.6262975752541</v>
      </c>
      <c r="AM3956">
        <v>92.416510735906598</v>
      </c>
      <c r="AN3956">
        <v>1.0000000232042801</v>
      </c>
    </row>
    <row r="3957" spans="1:40" x14ac:dyDescent="0.25">
      <c r="A3957" t="str">
        <f>"20190304155135957"</f>
        <v>20190304155135957</v>
      </c>
      <c r="B3957" t="str">
        <f>"1551685895950842"</f>
        <v>1551685895950842</v>
      </c>
      <c r="C3957" t="s">
        <v>40</v>
      </c>
      <c r="D3957">
        <v>5.6751480000000001</v>
      </c>
      <c r="E3957">
        <v>0.57145069999999998</v>
      </c>
      <c r="F3957" t="s">
        <v>51</v>
      </c>
      <c r="G3957">
        <v>-221.7782</v>
      </c>
      <c r="H3957">
        <v>1.0277320000000001</v>
      </c>
      <c r="I3957">
        <v>213.67410000000001</v>
      </c>
      <c r="J3957">
        <v>-222.33070000000001</v>
      </c>
      <c r="K3957">
        <v>1.109828</v>
      </c>
      <c r="L3957">
        <v>213.8159</v>
      </c>
      <c r="M3957">
        <v>0.99987680000000001</v>
      </c>
      <c r="N3957">
        <v>-1.499934E-2</v>
      </c>
      <c r="O3957">
        <v>-4.6572180000000003E-3</v>
      </c>
      <c r="P3957">
        <v>0.9826146</v>
      </c>
      <c r="Q3957">
        <v>0.18207219999999999</v>
      </c>
      <c r="R3957">
        <v>3.6310660000000002E-2</v>
      </c>
      <c r="S3957">
        <v>3.1215359999999999</v>
      </c>
      <c r="T3957">
        <v>-0.26930009999999999</v>
      </c>
      <c r="U3957">
        <v>-0.47206120000000001</v>
      </c>
      <c r="V3957">
        <v>-4.0612290000000002E-2</v>
      </c>
      <c r="W3957">
        <v>0.1968442</v>
      </c>
      <c r="X3957">
        <v>0.9795933</v>
      </c>
      <c r="Y3957">
        <v>0.14431440000000001</v>
      </c>
      <c r="Z3957">
        <v>-6.9400679999999998E-3</v>
      </c>
      <c r="AA3957">
        <v>0.98950760000000004</v>
      </c>
      <c r="AB3957">
        <v>39</v>
      </c>
      <c r="AC3957">
        <v>0.55250000000000898</v>
      </c>
      <c r="AD3957">
        <v>-8.2096000000000099E-2</v>
      </c>
      <c r="AE3957">
        <v>-0.14179999999998899</v>
      </c>
      <c r="AF3957">
        <v>0.13639960544770199</v>
      </c>
      <c r="AG3957">
        <v>-8.2096000000000099E-2</v>
      </c>
      <c r="AH3957">
        <v>0.54192867438114101</v>
      </c>
      <c r="AI3957">
        <v>98.357359796884197</v>
      </c>
      <c r="AJ3957">
        <v>75.8725020051629</v>
      </c>
      <c r="AK3957">
        <v>0.56482855248189201</v>
      </c>
      <c r="AL3957">
        <v>78.647523374399995</v>
      </c>
      <c r="AM3957">
        <v>92.374027085275699</v>
      </c>
      <c r="AN3957">
        <v>1.00000001528878</v>
      </c>
    </row>
    <row r="3958" spans="1:40" x14ac:dyDescent="0.25">
      <c r="A3958" t="str">
        <f>"20190304155135979"</f>
        <v>20190304155135979</v>
      </c>
      <c r="B3958" t="str">
        <f>"1551685895970360"</f>
        <v>1551685895970360</v>
      </c>
      <c r="C3958" t="s">
        <v>40</v>
      </c>
      <c r="D3958">
        <v>5.843521</v>
      </c>
      <c r="E3958">
        <v>0.57274749999999996</v>
      </c>
      <c r="F3958" t="s">
        <v>51</v>
      </c>
      <c r="G3958">
        <v>-221.4282</v>
      </c>
      <c r="H3958">
        <v>1.033687</v>
      </c>
      <c r="I3958">
        <v>213.67529999999999</v>
      </c>
      <c r="J3958">
        <v>-221.9478</v>
      </c>
      <c r="K3958">
        <v>1.1097629999999901</v>
      </c>
      <c r="L3958">
        <v>213.8135</v>
      </c>
      <c r="M3958">
        <v>0.99987320000000002</v>
      </c>
      <c r="N3958">
        <v>-1.499579E-2</v>
      </c>
      <c r="O3958">
        <v>-5.3699560000000004E-3</v>
      </c>
      <c r="P3958">
        <v>0.9826956</v>
      </c>
      <c r="Q3958">
        <v>0.18180070000000001</v>
      </c>
      <c r="R3958">
        <v>3.5464219999999998E-2</v>
      </c>
      <c r="S3958">
        <v>3.119812</v>
      </c>
      <c r="T3958">
        <v>-0.26331339999999998</v>
      </c>
      <c r="U3958">
        <v>-0.48544310000000002</v>
      </c>
      <c r="V3958">
        <v>-4.0431399999999999E-2</v>
      </c>
      <c r="W3958">
        <v>0.19657720000000001</v>
      </c>
      <c r="X3958">
        <v>0.97965440000000004</v>
      </c>
      <c r="Y3958">
        <v>0.14784729999999999</v>
      </c>
      <c r="Z3958">
        <v>-6.9388280000000002E-3</v>
      </c>
      <c r="AA3958">
        <v>0.98898589999999997</v>
      </c>
      <c r="AB3958">
        <v>39</v>
      </c>
      <c r="AC3958">
        <v>0.51959999999999695</v>
      </c>
      <c r="AD3958">
        <v>-7.6075999999999797E-2</v>
      </c>
      <c r="AE3958">
        <v>-0.13820000000001101</v>
      </c>
      <c r="AF3958">
        <v>0.13274976427659799</v>
      </c>
      <c r="AG3958">
        <v>-7.6075999999999797E-2</v>
      </c>
      <c r="AH3958">
        <v>0.51012188694102301</v>
      </c>
      <c r="AI3958">
        <v>98.212568257739903</v>
      </c>
      <c r="AJ3958">
        <v>75.413362455021897</v>
      </c>
      <c r="AK3958">
        <v>0.53257337262368099</v>
      </c>
      <c r="AL3958">
        <v>78.663126239504905</v>
      </c>
      <c r="AM3958">
        <v>92.3633177795991</v>
      </c>
      <c r="AN3958">
        <v>1.0000000185525799</v>
      </c>
    </row>
    <row r="3959" spans="1:40" x14ac:dyDescent="0.25">
      <c r="A3959" t="str">
        <f>"20190304155136001"</f>
        <v>20190304155136001</v>
      </c>
      <c r="B3959" t="str">
        <f>"1551685895990856"</f>
        <v>1551685895990856</v>
      </c>
      <c r="C3959" t="s">
        <v>40</v>
      </c>
      <c r="D3959">
        <v>5.8473139999999999</v>
      </c>
      <c r="E3959">
        <v>0.57297480000000001</v>
      </c>
      <c r="F3959" t="s">
        <v>51</v>
      </c>
      <c r="G3959">
        <v>-221.07980000000001</v>
      </c>
      <c r="H3959">
        <v>1.037798</v>
      </c>
      <c r="I3959">
        <v>213.6746</v>
      </c>
      <c r="J3959">
        <v>-221.5694</v>
      </c>
      <c r="K3959">
        <v>1.109674</v>
      </c>
      <c r="L3959">
        <v>213.8107</v>
      </c>
      <c r="M3959">
        <v>0.99986850000000005</v>
      </c>
      <c r="N3959">
        <v>-1.499255E-2</v>
      </c>
      <c r="O3959">
        <v>-6.1845880000000004E-3</v>
      </c>
      <c r="P3959">
        <v>0.98277899999999996</v>
      </c>
      <c r="Q3959">
        <v>0.1815987</v>
      </c>
      <c r="R3959">
        <v>3.416404E-2</v>
      </c>
      <c r="S3959">
        <v>3.1186829999999999</v>
      </c>
      <c r="T3959">
        <v>-0.2585732</v>
      </c>
      <c r="U3959">
        <v>-0.49899290000000002</v>
      </c>
      <c r="V3959">
        <v>-3.9889710000000002E-2</v>
      </c>
      <c r="W3959">
        <v>0.19638079999999999</v>
      </c>
      <c r="X3959">
        <v>0.97971589999999997</v>
      </c>
      <c r="Y3959">
        <v>0.15129509999999999</v>
      </c>
      <c r="Z3959">
        <v>-6.9489510000000001E-3</v>
      </c>
      <c r="AA3959">
        <v>0.98846420000000002</v>
      </c>
      <c r="AB3959">
        <v>39</v>
      </c>
      <c r="AC3959">
        <v>0.48959999999999498</v>
      </c>
      <c r="AD3959">
        <v>-7.1875999999999995E-2</v>
      </c>
      <c r="AE3959">
        <v>-0.136099999999999</v>
      </c>
      <c r="AF3959">
        <v>0.13045912548318001</v>
      </c>
      <c r="AG3959">
        <v>-7.1875999999999995E-2</v>
      </c>
      <c r="AH3959">
        <v>0.48081333233726098</v>
      </c>
      <c r="AI3959">
        <v>98.209531459036299</v>
      </c>
      <c r="AJ3959">
        <v>74.819418173307298</v>
      </c>
      <c r="AK3959">
        <v>0.50335594101102799</v>
      </c>
      <c r="AL3959">
        <v>78.674601771338004</v>
      </c>
      <c r="AM3959">
        <v>92.331543604475996</v>
      </c>
      <c r="AN3959">
        <v>0.99999992614266398</v>
      </c>
    </row>
    <row r="3960" spans="1:40" x14ac:dyDescent="0.25">
      <c r="A3960" t="str">
        <f>"20190304155136024"</f>
        <v>20190304155136024</v>
      </c>
      <c r="B3960" t="str">
        <f>"1551685896021111"</f>
        <v>1551685896021111</v>
      </c>
      <c r="C3960" t="s">
        <v>40</v>
      </c>
      <c r="D3960">
        <v>6.7646269999999999</v>
      </c>
      <c r="E3960">
        <v>0.57311529999999999</v>
      </c>
      <c r="F3960" t="s">
        <v>51</v>
      </c>
      <c r="G3960">
        <v>-220.73349999999999</v>
      </c>
      <c r="H3960">
        <v>1.0402020000000001</v>
      </c>
      <c r="I3960">
        <v>213.67500000000001</v>
      </c>
      <c r="J3960">
        <v>-221.18940000000001</v>
      </c>
      <c r="K3960">
        <v>1.1095699999999999</v>
      </c>
      <c r="L3960">
        <v>213.8075</v>
      </c>
      <c r="M3960">
        <v>0.99986240000000004</v>
      </c>
      <c r="N3960">
        <v>-1.4989540000000001E-2</v>
      </c>
      <c r="O3960">
        <v>-7.1223349999999996E-3</v>
      </c>
      <c r="P3960">
        <v>0.98284210000000005</v>
      </c>
      <c r="Q3960">
        <v>0.1815321</v>
      </c>
      <c r="R3960">
        <v>3.2672710000000001E-2</v>
      </c>
      <c r="S3960">
        <v>3.1180569999999999</v>
      </c>
      <c r="T3960">
        <v>-0.25925559999999997</v>
      </c>
      <c r="U3960">
        <v>-0.50534060000000003</v>
      </c>
      <c r="V3960">
        <v>-3.9270729999999997E-2</v>
      </c>
      <c r="W3960">
        <v>0.196321</v>
      </c>
      <c r="X3960">
        <v>0.97975299999999999</v>
      </c>
      <c r="Y3960">
        <v>0.1523555</v>
      </c>
      <c r="Z3960">
        <v>-6.952504E-3</v>
      </c>
      <c r="AA3960">
        <v>0.98830130000000005</v>
      </c>
      <c r="AB3960">
        <v>39</v>
      </c>
      <c r="AC3960">
        <v>0.45590000000001402</v>
      </c>
      <c r="AD3960">
        <v>-6.9368000000000096E-2</v>
      </c>
      <c r="AE3960">
        <v>-0.13249999999999301</v>
      </c>
      <c r="AF3960">
        <v>0.12654763035100999</v>
      </c>
      <c r="AG3960">
        <v>-6.9368000000000096E-2</v>
      </c>
      <c r="AH3960">
        <v>0.44728352619449502</v>
      </c>
      <c r="AI3960">
        <v>98.487592781523702</v>
      </c>
      <c r="AJ3960">
        <v>74.202472827116097</v>
      </c>
      <c r="AK3960">
        <v>0.46998805833386598</v>
      </c>
      <c r="AL3960">
        <v>78.6780973079685</v>
      </c>
      <c r="AM3960">
        <v>92.295316555044195</v>
      </c>
      <c r="AN3960">
        <v>1.00000003314236</v>
      </c>
    </row>
    <row r="3961" spans="1:40" x14ac:dyDescent="0.25">
      <c r="A3961" t="str">
        <f>"20190304155136047"</f>
        <v>20190304155136047</v>
      </c>
      <c r="B3961" t="str">
        <f>"1551685896040635"</f>
        <v>1551685896040635</v>
      </c>
      <c r="C3961" t="s">
        <v>40</v>
      </c>
      <c r="D3961">
        <v>5.8546290000000001</v>
      </c>
      <c r="E3961">
        <v>0.57011519999999904</v>
      </c>
      <c r="F3961" t="s">
        <v>51</v>
      </c>
      <c r="G3961">
        <v>-220.38720000000001</v>
      </c>
      <c r="H3961">
        <v>1.0431870000000001</v>
      </c>
      <c r="I3961">
        <v>213.67599999999999</v>
      </c>
      <c r="J3961">
        <v>-220.7886</v>
      </c>
      <c r="K3961">
        <v>1.1094469999999901</v>
      </c>
      <c r="L3961">
        <v>213.80359999999999</v>
      </c>
      <c r="M3961">
        <v>0.99985369999999996</v>
      </c>
      <c r="N3961">
        <v>-1.4987E-2</v>
      </c>
      <c r="O3961">
        <v>-8.2493040000000007E-3</v>
      </c>
      <c r="P3961">
        <v>0.98294289999999995</v>
      </c>
      <c r="Q3961">
        <v>0.18132619999999999</v>
      </c>
      <c r="R3961">
        <v>3.072749E-2</v>
      </c>
      <c r="S3961">
        <v>3.1170200000000001</v>
      </c>
      <c r="T3961">
        <v>-0.25793339999999998</v>
      </c>
      <c r="U3961">
        <v>-0.51148990000000005</v>
      </c>
      <c r="V3961">
        <v>-3.8376199999999902E-2</v>
      </c>
      <c r="W3961">
        <v>0.19612370000000001</v>
      </c>
      <c r="X3961">
        <v>0.97982789999999997</v>
      </c>
      <c r="Y3961">
        <v>0.15319730000000001</v>
      </c>
      <c r="Z3961">
        <v>-6.8896699999999996E-3</v>
      </c>
      <c r="AA3961">
        <v>0.98817160000000004</v>
      </c>
      <c r="AB3961">
        <v>39</v>
      </c>
      <c r="AC3961">
        <v>0.40139999999999498</v>
      </c>
      <c r="AD3961">
        <v>-6.6259999999999694E-2</v>
      </c>
      <c r="AE3961">
        <v>-0.12760000000000099</v>
      </c>
      <c r="AF3961">
        <v>0.121282514961256</v>
      </c>
      <c r="AG3961">
        <v>-6.6259999999999694E-2</v>
      </c>
      <c r="AH3961">
        <v>0.392720032139314</v>
      </c>
      <c r="AI3961">
        <v>99.157761462001901</v>
      </c>
      <c r="AJ3961">
        <v>72.837904243111197</v>
      </c>
      <c r="AK3961">
        <v>0.41632782717328698</v>
      </c>
      <c r="AL3961">
        <v>78.689625232522204</v>
      </c>
      <c r="AM3961">
        <v>92.242915325509699</v>
      </c>
      <c r="AN3961">
        <v>0.99999997602326895</v>
      </c>
    </row>
    <row r="3962" spans="1:40" x14ac:dyDescent="0.25">
      <c r="A3962" t="str">
        <f>"20190304155136069"</f>
        <v>20190304155136069</v>
      </c>
      <c r="B3962" t="str">
        <f>"1551685896061128"</f>
        <v>1551685896061128</v>
      </c>
      <c r="C3962" t="s">
        <v>40</v>
      </c>
      <c r="D3962">
        <v>6.353091</v>
      </c>
      <c r="E3962">
        <v>0.5776578</v>
      </c>
      <c r="F3962" t="s">
        <v>58</v>
      </c>
      <c r="G3962">
        <v>-169.71170000000001</v>
      </c>
      <c r="H3962">
        <v>7.6139109999999999</v>
      </c>
      <c r="I3962">
        <v>205.74709999999999</v>
      </c>
      <c r="J3962">
        <v>-220.4067</v>
      </c>
      <c r="K3962">
        <v>1.109321</v>
      </c>
      <c r="L3962">
        <v>213.79939999999999</v>
      </c>
      <c r="M3962">
        <v>0.99984280000000003</v>
      </c>
      <c r="N3962">
        <v>-1.4984799999999901E-2</v>
      </c>
      <c r="O3962">
        <v>-9.4780530000000002E-3</v>
      </c>
      <c r="P3962">
        <v>0.98310200000000003</v>
      </c>
      <c r="Q3962">
        <v>0.1807589</v>
      </c>
      <c r="R3962">
        <v>2.892865E-2</v>
      </c>
      <c r="S3962">
        <v>2.9964599999999999</v>
      </c>
      <c r="T3962">
        <v>0.38159080000000001</v>
      </c>
      <c r="U3962">
        <v>-0.47264099999999998</v>
      </c>
      <c r="V3962">
        <v>-3.7728699999999997E-2</v>
      </c>
      <c r="W3962">
        <v>0.1955663</v>
      </c>
      <c r="X3962">
        <v>0.97996450000000002</v>
      </c>
      <c r="Y3962">
        <v>0.1455217</v>
      </c>
      <c r="Z3962">
        <v>6.7365899999999998E-3</v>
      </c>
      <c r="AA3962">
        <v>0.98933210000000005</v>
      </c>
      <c r="AB3962">
        <v>38</v>
      </c>
      <c r="AC3962">
        <v>50.694999999999901</v>
      </c>
      <c r="AD3962">
        <v>6.5045900000000003</v>
      </c>
      <c r="AE3962">
        <v>-8.0523000000000007</v>
      </c>
      <c r="AF3962">
        <v>7.4517352312962402</v>
      </c>
      <c r="AG3962">
        <v>6.5045900000000003</v>
      </c>
      <c r="AH3962">
        <v>49.966691440132401</v>
      </c>
      <c r="AI3962">
        <v>82.663270313147805</v>
      </c>
      <c r="AJ3962">
        <v>81.517763852227603</v>
      </c>
      <c r="AK3962">
        <v>50.936316145740697</v>
      </c>
      <c r="AL3962">
        <v>78.722193153346595</v>
      </c>
      <c r="AM3962">
        <v>92.204802484179098</v>
      </c>
      <c r="AN3962">
        <v>1.0000000268798099</v>
      </c>
    </row>
    <row r="3963" spans="1:40" x14ac:dyDescent="0.25">
      <c r="A3963" t="str">
        <f>"20190304155136092"</f>
        <v>20190304155136092</v>
      </c>
      <c r="B3963" t="str">
        <f>"1551685896080647"</f>
        <v>1551685896080647</v>
      </c>
      <c r="C3963" t="s">
        <v>40</v>
      </c>
      <c r="D3963">
        <v>5.8505799999999999</v>
      </c>
      <c r="E3963">
        <v>0.57604509999999998</v>
      </c>
      <c r="F3963" t="s">
        <v>51</v>
      </c>
      <c r="G3963">
        <v>-219.36750000000001</v>
      </c>
      <c r="H3963">
        <v>1.0185150000000001</v>
      </c>
      <c r="I3963">
        <v>213.6123</v>
      </c>
      <c r="J3963">
        <v>-220.0214</v>
      </c>
      <c r="K3963">
        <v>1.109191</v>
      </c>
      <c r="L3963">
        <v>213.7944</v>
      </c>
      <c r="M3963">
        <v>0.99982870000000001</v>
      </c>
      <c r="N3963">
        <v>-1.498265E-2</v>
      </c>
      <c r="O3963">
        <v>-1.08679E-2</v>
      </c>
      <c r="P3963">
        <v>0.98323890000000003</v>
      </c>
      <c r="Q3963">
        <v>0.18033560000000001</v>
      </c>
      <c r="R3963">
        <v>2.684052E-2</v>
      </c>
      <c r="S3963">
        <v>3.1181950000000001</v>
      </c>
      <c r="T3963">
        <v>-0.27252959999999998</v>
      </c>
      <c r="U3963">
        <v>-0.56069950000000002</v>
      </c>
      <c r="V3963">
        <v>-3.69477E-2</v>
      </c>
      <c r="W3963">
        <v>0.19515199999999999</v>
      </c>
      <c r="X3963">
        <v>0.98007679999999997</v>
      </c>
      <c r="Y3963">
        <v>0.16557749999999999</v>
      </c>
      <c r="Z3963">
        <v>-7.6388810000000001E-3</v>
      </c>
      <c r="AA3963">
        <v>0.98616720000000002</v>
      </c>
      <c r="AB3963">
        <v>38</v>
      </c>
      <c r="AC3963">
        <v>0.65389999999999204</v>
      </c>
      <c r="AD3963">
        <v>-9.0675999999999896E-2</v>
      </c>
      <c r="AE3963">
        <v>-0.18209999999999099</v>
      </c>
      <c r="AF3963">
        <v>0.171914070126895</v>
      </c>
      <c r="AG3963">
        <v>-9.0675999999999896E-2</v>
      </c>
      <c r="AH3963">
        <v>0.64434217067352695</v>
      </c>
      <c r="AI3963">
        <v>97.743030240122593</v>
      </c>
      <c r="AJ3963">
        <v>75.061153703873401</v>
      </c>
      <c r="AK3963">
        <v>0.67301814046269703</v>
      </c>
      <c r="AL3963">
        <v>78.746396682690005</v>
      </c>
      <c r="AM3963">
        <v>92.158958624372701</v>
      </c>
      <c r="AN3963">
        <v>0.99999998476876395</v>
      </c>
    </row>
    <row r="3964" spans="1:40" x14ac:dyDescent="0.25">
      <c r="A3964" t="str">
        <f>"20190304155136113"</f>
        <v>20190304155136113</v>
      </c>
      <c r="B3964" t="str">
        <f>"1551685896110903"</f>
        <v>1551685896110903</v>
      </c>
      <c r="C3964" t="s">
        <v>40</v>
      </c>
      <c r="D3964">
        <v>6.8415869999999996</v>
      </c>
      <c r="E3964">
        <v>0.57226790000000005</v>
      </c>
      <c r="F3964" t="s">
        <v>58</v>
      </c>
      <c r="G3964">
        <v>-169.71199999999999</v>
      </c>
      <c r="H3964">
        <v>7.5877860000000004</v>
      </c>
      <c r="I3964">
        <v>204.86080000000001</v>
      </c>
      <c r="J3964">
        <v>-219.64439999999999</v>
      </c>
      <c r="K3964">
        <v>1.109067</v>
      </c>
      <c r="L3964">
        <v>213.78890000000001</v>
      </c>
      <c r="M3964">
        <v>0.99981149999999996</v>
      </c>
      <c r="N3964">
        <v>-1.4980540000000001E-2</v>
      </c>
      <c r="O3964">
        <v>-1.235117E-2</v>
      </c>
      <c r="P3964">
        <v>0.98329929999999999</v>
      </c>
      <c r="Q3964">
        <v>0.1803534</v>
      </c>
      <c r="R3964">
        <v>2.4402730000000001E-2</v>
      </c>
      <c r="S3964">
        <v>2.9949189999999999</v>
      </c>
      <c r="T3964">
        <v>0.38567259999999998</v>
      </c>
      <c r="U3964">
        <v>-0.53181460000000003</v>
      </c>
      <c r="V3964">
        <v>-3.5911419999999999E-2</v>
      </c>
      <c r="W3964">
        <v>0.19517580000000001</v>
      </c>
      <c r="X3964">
        <v>0.98011060000000005</v>
      </c>
      <c r="Y3964">
        <v>0.1616464</v>
      </c>
      <c r="Z3964">
        <v>7.307086E-3</v>
      </c>
      <c r="AA3964">
        <v>0.98682170000000002</v>
      </c>
      <c r="AB3964">
        <v>38</v>
      </c>
      <c r="AC3964">
        <v>49.932399999999902</v>
      </c>
      <c r="AD3964">
        <v>6.4787189999999999</v>
      </c>
      <c r="AE3964">
        <v>-8.9281000000000006</v>
      </c>
      <c r="AF3964">
        <v>8.1772272056698192</v>
      </c>
      <c r="AG3964">
        <v>6.4787189999999999</v>
      </c>
      <c r="AH3964">
        <v>49.235671215760703</v>
      </c>
      <c r="AI3964">
        <v>82.603919231132906</v>
      </c>
      <c r="AJ3964">
        <v>80.570196907475193</v>
      </c>
      <c r="AK3964">
        <v>50.3288402878567</v>
      </c>
      <c r="AL3964">
        <v>78.745006544743205</v>
      </c>
      <c r="AM3964">
        <v>92.098388465544005</v>
      </c>
      <c r="AN3964">
        <v>1.0000000056122</v>
      </c>
    </row>
    <row r="3965" spans="1:40" x14ac:dyDescent="0.25">
      <c r="A3965" t="str">
        <f>"20190304155136136"</f>
        <v>20190304155136136</v>
      </c>
      <c r="B3965" t="str">
        <f>"1551685896130435"</f>
        <v>1551685896130435</v>
      </c>
      <c r="C3965" t="s">
        <v>40</v>
      </c>
      <c r="D3965">
        <v>5.8510980000000004</v>
      </c>
      <c r="E3965">
        <v>0.57247579999999998</v>
      </c>
      <c r="F3965" t="s">
        <v>51</v>
      </c>
      <c r="G3965">
        <v>-218.6876</v>
      </c>
      <c r="H3965">
        <v>1.015274</v>
      </c>
      <c r="I3965">
        <v>213.62479999999999</v>
      </c>
      <c r="J3965">
        <v>-219.26009999999999</v>
      </c>
      <c r="K3965">
        <v>1.1089560000000001</v>
      </c>
      <c r="L3965">
        <v>213.78270000000001</v>
      </c>
      <c r="M3965">
        <v>0.99979010000000001</v>
      </c>
      <c r="N3965">
        <v>-1.497827E-2</v>
      </c>
      <c r="O3965">
        <v>-1.398688E-2</v>
      </c>
      <c r="P3965">
        <v>0.98342160000000001</v>
      </c>
      <c r="Q3965">
        <v>0.18002209999999999</v>
      </c>
      <c r="R3965">
        <v>2.178627E-2</v>
      </c>
      <c r="S3965">
        <v>3.1203310000000002</v>
      </c>
      <c r="T3965">
        <v>-0.30586249999999998</v>
      </c>
      <c r="U3965">
        <v>-0.53501889999999996</v>
      </c>
      <c r="V3965">
        <v>-3.485046E-2</v>
      </c>
      <c r="W3965">
        <v>0.19485079999999999</v>
      </c>
      <c r="X3965">
        <v>0.98021360000000002</v>
      </c>
      <c r="Y3965">
        <v>0.1544075</v>
      </c>
      <c r="Z3965">
        <v>-7.5134140000000004E-3</v>
      </c>
      <c r="AA3965">
        <v>0.98797869999999999</v>
      </c>
      <c r="AB3965">
        <v>38</v>
      </c>
      <c r="AC3965">
        <v>0.57249999999999002</v>
      </c>
      <c r="AD3965">
        <v>-9.3682000000000001E-2</v>
      </c>
      <c r="AE3965">
        <v>-0.157900000000012</v>
      </c>
      <c r="AF3965">
        <v>0.14623719279664699</v>
      </c>
      <c r="AG3965">
        <v>-9.3682000000000001E-2</v>
      </c>
      <c r="AH3965">
        <v>0.56070027516506504</v>
      </c>
      <c r="AI3965">
        <v>99.183666513011403</v>
      </c>
      <c r="AJ3965">
        <v>75.382230158758702</v>
      </c>
      <c r="AK3965">
        <v>0.58698077673057103</v>
      </c>
      <c r="AL3965">
        <v>78.763992636905002</v>
      </c>
      <c r="AM3965">
        <v>92.036233268593506</v>
      </c>
      <c r="AN3965">
        <v>1.0000000452239</v>
      </c>
    </row>
    <row r="3966" spans="1:40" x14ac:dyDescent="0.25">
      <c r="A3966" t="str">
        <f>"20190304155136158"</f>
        <v>20190304155136158</v>
      </c>
      <c r="B3966" t="str">
        <f>"1551685896150920"</f>
        <v>1551685896150920</v>
      </c>
      <c r="C3966" t="s">
        <v>40</v>
      </c>
      <c r="D3966">
        <v>7.1939789999999997</v>
      </c>
      <c r="E3966">
        <v>0.57457809999999998</v>
      </c>
      <c r="F3966" t="s">
        <v>51</v>
      </c>
      <c r="G3966">
        <v>-218.34100000000001</v>
      </c>
      <c r="H3966">
        <v>1.0243719999999901</v>
      </c>
      <c r="I3966">
        <v>213.62200000000001</v>
      </c>
      <c r="J3966">
        <v>-218.875</v>
      </c>
      <c r="K3966">
        <v>1.1088389999999999</v>
      </c>
      <c r="L3966">
        <v>213.7756</v>
      </c>
      <c r="M3966">
        <v>0.99976379999999998</v>
      </c>
      <c r="N3966">
        <v>-1.497597E-2</v>
      </c>
      <c r="O3966">
        <v>-1.5754580000000001E-2</v>
      </c>
      <c r="P3966">
        <v>0.98346310000000003</v>
      </c>
      <c r="Q3966">
        <v>0.18012300000000001</v>
      </c>
      <c r="R3966">
        <v>1.8870660000000001E-2</v>
      </c>
      <c r="S3966">
        <v>3.1151279999999999</v>
      </c>
      <c r="T3966">
        <v>-0.28669889999999998</v>
      </c>
      <c r="U3966">
        <v>-0.54423520000000003</v>
      </c>
      <c r="V3966">
        <v>-3.3617180000000003E-2</v>
      </c>
      <c r="W3966">
        <v>0.19495509999999999</v>
      </c>
      <c r="X3966">
        <v>0.98023590000000005</v>
      </c>
      <c r="Y3966">
        <v>0.155857299999999</v>
      </c>
      <c r="Z3966">
        <v>-7.0805209999999898E-3</v>
      </c>
      <c r="AA3966">
        <v>0.98775420000000003</v>
      </c>
      <c r="AB3966">
        <v>38</v>
      </c>
      <c r="AC3966">
        <v>0.53400000000002001</v>
      </c>
      <c r="AD3966">
        <v>-8.4467E-2</v>
      </c>
      <c r="AE3966">
        <v>-0.153599999999983</v>
      </c>
      <c r="AF3966">
        <v>0.141888242653368</v>
      </c>
      <c r="AG3966">
        <v>-8.4467E-2</v>
      </c>
      <c r="AH3966">
        <v>0.52423958120696601</v>
      </c>
      <c r="AI3966">
        <v>98.840220009563694</v>
      </c>
      <c r="AJ3966">
        <v>74.855433656390503</v>
      </c>
      <c r="AK3966">
        <v>0.54963086339498402</v>
      </c>
      <c r="AL3966">
        <v>78.757899472938405</v>
      </c>
      <c r="AM3966">
        <v>91.964188346501004</v>
      </c>
      <c r="AN3966">
        <v>1.00000001272798</v>
      </c>
    </row>
    <row r="3967" spans="1:40" x14ac:dyDescent="0.25">
      <c r="A3967" t="str">
        <f>"20190304155136180"</f>
        <v>20190304155136180</v>
      </c>
      <c r="B3967" t="str">
        <f>"1551685896170440"</f>
        <v>1551685896170440</v>
      </c>
      <c r="C3967" t="s">
        <v>40</v>
      </c>
      <c r="D3967">
        <v>8.6422500000000007</v>
      </c>
      <c r="E3967">
        <v>0.57509949999999999</v>
      </c>
      <c r="F3967" t="s">
        <v>51</v>
      </c>
      <c r="G3967">
        <v>-217.99180000000001</v>
      </c>
      <c r="H3967">
        <v>1.032848</v>
      </c>
      <c r="I3967">
        <v>213.61349999999999</v>
      </c>
      <c r="J3967">
        <v>-218.4984</v>
      </c>
      <c r="K3967">
        <v>1.108714</v>
      </c>
      <c r="L3967">
        <v>213.768</v>
      </c>
      <c r="M3967">
        <v>0.99973290000000004</v>
      </c>
      <c r="N3967">
        <v>-1.4974019999999999E-2</v>
      </c>
      <c r="O3967">
        <v>-1.76113E-2</v>
      </c>
      <c r="P3967">
        <v>0.98358330000000005</v>
      </c>
      <c r="Q3967">
        <v>0.17978269999999999</v>
      </c>
      <c r="R3967">
        <v>1.556416E-2</v>
      </c>
      <c r="S3967">
        <v>3.1104129999999999</v>
      </c>
      <c r="T3967">
        <v>-0.26768360000000002</v>
      </c>
      <c r="U3967">
        <v>-0.569824199999999</v>
      </c>
      <c r="V3967">
        <v>-3.2082939999999997E-2</v>
      </c>
      <c r="W3967">
        <v>0.19461880000000001</v>
      </c>
      <c r="X3967">
        <v>0.98035410000000001</v>
      </c>
      <c r="Y3967">
        <v>0.1622063</v>
      </c>
      <c r="Z3967">
        <v>-6.898319E-3</v>
      </c>
      <c r="AA3967">
        <v>0.98673279999999997</v>
      </c>
      <c r="AB3967">
        <v>38</v>
      </c>
      <c r="AC3967">
        <v>0.50659999999999095</v>
      </c>
      <c r="AD3967">
        <v>-7.5865999999999906E-2</v>
      </c>
      <c r="AE3967">
        <v>-0.15450000000001199</v>
      </c>
      <c r="AF3967">
        <v>0.14262670020118401</v>
      </c>
      <c r="AG3967">
        <v>-7.5865999999999906E-2</v>
      </c>
      <c r="AH3967">
        <v>0.49900398000014001</v>
      </c>
      <c r="AI3967">
        <v>98.316647248810398</v>
      </c>
      <c r="AJ3967">
        <v>74.048857638770798</v>
      </c>
      <c r="AK3967">
        <v>0.52450261927111397</v>
      </c>
      <c r="AL3967">
        <v>78.777543921701806</v>
      </c>
      <c r="AM3967">
        <v>91.874385229749095</v>
      </c>
      <c r="AN3967">
        <v>0.99999997686964603</v>
      </c>
    </row>
    <row r="3968" spans="1:40" x14ac:dyDescent="0.25">
      <c r="A3968" t="str">
        <f>"20190304155136202"</f>
        <v>20190304155136202</v>
      </c>
      <c r="B3968" t="str">
        <f>"1551685896190936"</f>
        <v>1551685896190936</v>
      </c>
      <c r="C3968" t="s">
        <v>40</v>
      </c>
      <c r="D3968">
        <v>5.8155979999999996</v>
      </c>
      <c r="E3968">
        <v>0.57661459999999998</v>
      </c>
      <c r="F3968" t="s">
        <v>62</v>
      </c>
      <c r="G3968">
        <v>-205.24879999999999</v>
      </c>
      <c r="H3968" s="1">
        <v>4.8368309999999998E-6</v>
      </c>
      <c r="I3968">
        <v>211.2739</v>
      </c>
      <c r="J3968">
        <v>-218.12700000000001</v>
      </c>
      <c r="K3968">
        <v>1.108584</v>
      </c>
      <c r="L3968">
        <v>213.75970000000001</v>
      </c>
      <c r="M3968">
        <v>0.99969649999999999</v>
      </c>
      <c r="N3968">
        <v>-1.4972589999999999E-2</v>
      </c>
      <c r="O3968">
        <v>-1.9566750000000001E-2</v>
      </c>
      <c r="P3968">
        <v>0.98376430000000004</v>
      </c>
      <c r="Q3968">
        <v>0.17907509999999999</v>
      </c>
      <c r="R3968">
        <v>1.1836060000000001E-2</v>
      </c>
      <c r="S3968">
        <v>3.1068419999999999</v>
      </c>
      <c r="T3968">
        <v>-0.2599766</v>
      </c>
      <c r="U3968">
        <v>-0.58483890000000005</v>
      </c>
      <c r="V3968">
        <v>-3.0226659999999999E-2</v>
      </c>
      <c r="W3968">
        <v>0.1939139</v>
      </c>
      <c r="X3968">
        <v>0.9805528</v>
      </c>
      <c r="Y3968">
        <v>0.16511129999999999</v>
      </c>
      <c r="Z3968">
        <v>-6.7564280000000001E-3</v>
      </c>
      <c r="AA3968">
        <v>0.98625180000000001</v>
      </c>
      <c r="AB3968">
        <v>38</v>
      </c>
      <c r="AC3968">
        <v>12.8782</v>
      </c>
      <c r="AD3968">
        <v>-1.1085791631690001</v>
      </c>
      <c r="AE3968">
        <v>-2.48580000000001</v>
      </c>
      <c r="AF3968">
        <v>2.21746982733745</v>
      </c>
      <c r="AG3968">
        <v>-1.1085791631690001</v>
      </c>
      <c r="AH3968">
        <v>12.8327027065633</v>
      </c>
      <c r="AI3968">
        <v>94.865601452639197</v>
      </c>
      <c r="AJ3968">
        <v>80.196197044785904</v>
      </c>
      <c r="AK3968">
        <v>13.069980066977999</v>
      </c>
      <c r="AL3968">
        <v>78.818716614973596</v>
      </c>
      <c r="AM3968">
        <v>91.765648715765806</v>
      </c>
      <c r="AN3968">
        <v>1.0000000225879</v>
      </c>
    </row>
    <row r="3969" spans="1:40" x14ac:dyDescent="0.25">
      <c r="A3969" t="str">
        <f>"20190304155136225"</f>
        <v>20190304155136225</v>
      </c>
      <c r="B3969" t="str">
        <f>"1551685896221193"</f>
        <v>1551685896221193</v>
      </c>
      <c r="C3969" t="s">
        <v>40</v>
      </c>
      <c r="D3969">
        <v>5.2169619999999997</v>
      </c>
      <c r="E3969">
        <v>0.57472440000000002</v>
      </c>
      <c r="F3969" t="s">
        <v>62</v>
      </c>
      <c r="G3969">
        <v>-204.9248</v>
      </c>
      <c r="H3969" s="1">
        <v>4.7022160000000001E-6</v>
      </c>
      <c r="I3969">
        <v>211.17009999999999</v>
      </c>
      <c r="J3969">
        <v>-217.73910000000001</v>
      </c>
      <c r="K3969">
        <v>1.1084499999999999</v>
      </c>
      <c r="L3969">
        <v>213.7501</v>
      </c>
      <c r="M3969">
        <v>0.99965170000000003</v>
      </c>
      <c r="N3969">
        <v>-1.4971470000000001E-2</v>
      </c>
      <c r="O3969">
        <v>-2.1739209999999998E-2</v>
      </c>
      <c r="P3969">
        <v>0.98391439999999997</v>
      </c>
      <c r="Q3969">
        <v>0.1784615</v>
      </c>
      <c r="R3969">
        <v>8.0021399999999996E-3</v>
      </c>
      <c r="S3969">
        <v>3.104279</v>
      </c>
      <c r="T3969">
        <v>-0.26066470000000003</v>
      </c>
      <c r="U3969">
        <v>-0.60890200000000005</v>
      </c>
      <c r="V3969">
        <v>-2.847394E-2</v>
      </c>
      <c r="W3969">
        <v>0.19330339999999999</v>
      </c>
      <c r="X3969">
        <v>0.98072579999999998</v>
      </c>
      <c r="Y3969">
        <v>0.1704668</v>
      </c>
      <c r="Z3969">
        <v>-6.8861969999999897E-3</v>
      </c>
      <c r="AA3969">
        <v>0.98533930000000003</v>
      </c>
      <c r="AB3969">
        <v>38</v>
      </c>
      <c r="AC3969">
        <v>12.814299999999999</v>
      </c>
      <c r="AD3969">
        <v>-1.108445297784</v>
      </c>
      <c r="AE3969">
        <v>-2.5800000000000098</v>
      </c>
      <c r="AF3969">
        <v>2.2843596695556201</v>
      </c>
      <c r="AG3969">
        <v>-1.108445297784</v>
      </c>
      <c r="AH3969">
        <v>12.7754975156183</v>
      </c>
      <c r="AI3969">
        <v>94.881714513237796</v>
      </c>
      <c r="AJ3969">
        <v>79.862199681713406</v>
      </c>
      <c r="AK3969">
        <v>13.025370891058801</v>
      </c>
      <c r="AL3969">
        <v>78.854370406244001</v>
      </c>
      <c r="AM3969">
        <v>91.663032027213106</v>
      </c>
      <c r="AN3969">
        <v>1.0000000322481599</v>
      </c>
    </row>
    <row r="3970" spans="1:40" x14ac:dyDescent="0.25">
      <c r="A3970" t="str">
        <f>"20190304155136269"</f>
        <v>20190304155136269</v>
      </c>
      <c r="B3970" t="str">
        <f>"1551685896260232"</f>
        <v>1551685896260232</v>
      </c>
      <c r="C3970" t="s">
        <v>40</v>
      </c>
      <c r="D3970">
        <v>5.7029180000000004</v>
      </c>
      <c r="E3970">
        <v>0.62508980000000003</v>
      </c>
      <c r="F3970" t="s">
        <v>62</v>
      </c>
      <c r="G3970">
        <v>-203.80080000000001</v>
      </c>
      <c r="H3970" s="1">
        <v>4.2159879999999996E-6</v>
      </c>
      <c r="I3970">
        <v>211.03030000000001</v>
      </c>
      <c r="J3970">
        <v>-216.9802</v>
      </c>
      <c r="K3970">
        <v>1.1081909999999999</v>
      </c>
      <c r="L3970">
        <v>213.7285</v>
      </c>
      <c r="M3970">
        <v>0.99953959999999997</v>
      </c>
      <c r="N3970">
        <v>-1.497017E-2</v>
      </c>
      <c r="O3970">
        <v>-2.6397139999999999E-2</v>
      </c>
      <c r="P3970">
        <v>0.98382460000000005</v>
      </c>
      <c r="Q3970">
        <v>0.17913509999999999</v>
      </c>
      <c r="R3970" s="1">
        <v>-3.0380210000000002E-5</v>
      </c>
      <c r="S3970">
        <v>3.0986790000000002</v>
      </c>
      <c r="T3970">
        <v>-0.2464229</v>
      </c>
      <c r="U3970">
        <v>-0.60465999999999998</v>
      </c>
      <c r="V3970">
        <v>-2.48957E-2</v>
      </c>
      <c r="W3970">
        <v>0.1939747</v>
      </c>
      <c r="X3970">
        <v>0.98069059999999997</v>
      </c>
      <c r="Y3970">
        <v>0.16499829999999999</v>
      </c>
      <c r="Z3970">
        <v>-6.0547489999999999E-3</v>
      </c>
      <c r="AA3970">
        <v>0.98627529999999997</v>
      </c>
      <c r="AB3970">
        <v>38</v>
      </c>
      <c r="AC3970">
        <v>13.1793999999999</v>
      </c>
      <c r="AD3970">
        <v>-1.1081867840120001</v>
      </c>
      <c r="AE3970">
        <v>-2.6981999999999799</v>
      </c>
      <c r="AF3970">
        <v>2.3334875154306798</v>
      </c>
      <c r="AG3970">
        <v>-1.1081867840120001</v>
      </c>
      <c r="AH3970">
        <v>13.1567596314877</v>
      </c>
      <c r="AI3970">
        <v>94.740982889504707</v>
      </c>
      <c r="AJ3970">
        <v>79.942587702149197</v>
      </c>
      <c r="AK3970">
        <v>13.407966510014701</v>
      </c>
      <c r="AL3970">
        <v>78.815165538343606</v>
      </c>
      <c r="AM3970">
        <v>91.454191812583701</v>
      </c>
      <c r="AN3970">
        <v>1.0000000165234599</v>
      </c>
    </row>
    <row r="3971" spans="1:40" x14ac:dyDescent="0.25">
      <c r="A3971" t="str">
        <f>"20190304155136292"</f>
        <v>20190304155136292</v>
      </c>
      <c r="B3971" t="str">
        <f>"1551685896280728"</f>
        <v>1551685896280728</v>
      </c>
      <c r="C3971" t="s">
        <v>40</v>
      </c>
      <c r="D3971">
        <v>8.1563539999999897</v>
      </c>
      <c r="E3971">
        <v>0.62248819999999905</v>
      </c>
      <c r="F3971" t="s">
        <v>62</v>
      </c>
      <c r="G3971">
        <v>-201.45160000000001</v>
      </c>
      <c r="H3971">
        <v>8.0001210000000003E-2</v>
      </c>
      <c r="I3971">
        <v>208.54669999999999</v>
      </c>
      <c r="J3971">
        <v>-216.596</v>
      </c>
      <c r="K3971">
        <v>1.1080589999999999</v>
      </c>
      <c r="L3971">
        <v>213.7159</v>
      </c>
      <c r="M3971">
        <v>0.99946829999999998</v>
      </c>
      <c r="N3971">
        <v>-1.4969970000000001E-2</v>
      </c>
      <c r="O3971">
        <v>-2.8967050000000001E-2</v>
      </c>
      <c r="P3971">
        <v>0.98372749999999998</v>
      </c>
      <c r="Q3971">
        <v>0.17962069999999999</v>
      </c>
      <c r="R3971">
        <v>-4.1289500000000002E-3</v>
      </c>
      <c r="S3971">
        <v>3.0865170000000002</v>
      </c>
      <c r="T3971">
        <v>-0.20436579999999999</v>
      </c>
      <c r="U3971">
        <v>-1.029938</v>
      </c>
      <c r="V3971">
        <v>-2.325903E-2</v>
      </c>
      <c r="W3971">
        <v>0.19445879999999999</v>
      </c>
      <c r="X3971">
        <v>0.98063489999999998</v>
      </c>
      <c r="Y3971">
        <v>0.28824539999999998</v>
      </c>
      <c r="Z3971">
        <v>-1.005811E-2</v>
      </c>
      <c r="AA3971">
        <v>0.95750369999999996</v>
      </c>
      <c r="AB3971">
        <v>38</v>
      </c>
      <c r="AC3971">
        <v>15.1443999999999</v>
      </c>
      <c r="AD3971">
        <v>-1.0280577900000001</v>
      </c>
      <c r="AE3971">
        <v>-5.1692000000000098</v>
      </c>
      <c r="AF3971">
        <v>4.7088575420116001</v>
      </c>
      <c r="AG3971">
        <v>-1.0280577900000001</v>
      </c>
      <c r="AH3971">
        <v>15.2249581267246</v>
      </c>
      <c r="AI3971">
        <v>93.691010657300097</v>
      </c>
      <c r="AJ3971">
        <v>72.813924258536801</v>
      </c>
      <c r="AK3971">
        <v>15.969645961355999</v>
      </c>
      <c r="AL3971">
        <v>78.786890146249107</v>
      </c>
      <c r="AM3971">
        <v>91.358705917594506</v>
      </c>
      <c r="AN3971">
        <v>1.00000000723599</v>
      </c>
    </row>
    <row r="3972" spans="1:40" x14ac:dyDescent="0.25">
      <c r="A3972" t="str">
        <f>"20190304155136315"</f>
        <v>20190304155136315</v>
      </c>
      <c r="B3972" t="str">
        <f>"1551685896310984"</f>
        <v>1551685896310984</v>
      </c>
      <c r="C3972" t="s">
        <v>40</v>
      </c>
      <c r="D3972">
        <v>5.6895600000000002</v>
      </c>
      <c r="E3972">
        <v>0.62464280000000005</v>
      </c>
      <c r="F3972" t="s">
        <v>62</v>
      </c>
      <c r="G3972">
        <v>-197.3252</v>
      </c>
      <c r="H3972" s="1">
        <v>3.7080860000000002E-6</v>
      </c>
      <c r="I3972">
        <v>207.3288</v>
      </c>
      <c r="J3972">
        <v>-216.20840000000001</v>
      </c>
      <c r="K3972">
        <v>1.107939</v>
      </c>
      <c r="L3972">
        <v>213.7022</v>
      </c>
      <c r="M3972">
        <v>0.999386</v>
      </c>
      <c r="N3972">
        <v>-1.4969949999999999E-2</v>
      </c>
      <c r="O3972">
        <v>-3.1679859999999997E-2</v>
      </c>
      <c r="P3972">
        <v>0.98363179999999995</v>
      </c>
      <c r="Q3972">
        <v>0.18000089999999999</v>
      </c>
      <c r="R3972">
        <v>-8.2848869999999995E-3</v>
      </c>
      <c r="S3972">
        <v>3.0776370000000002</v>
      </c>
      <c r="T3972">
        <v>-0.1769617</v>
      </c>
      <c r="U3972">
        <v>-1.0200499999999999</v>
      </c>
      <c r="V3972">
        <v>-2.1710980000000001E-2</v>
      </c>
      <c r="W3972">
        <v>0.19483629999999999</v>
      </c>
      <c r="X3972">
        <v>0.98059549999999995</v>
      </c>
      <c r="Y3972">
        <v>0.28386109999999998</v>
      </c>
      <c r="Z3972">
        <v>-8.8165029999999998E-3</v>
      </c>
      <c r="AA3972">
        <v>0.95882489999999998</v>
      </c>
      <c r="AB3972">
        <v>38</v>
      </c>
      <c r="AC3972">
        <v>18.883199999999999</v>
      </c>
      <c r="AD3972">
        <v>-1.107935291914</v>
      </c>
      <c r="AE3972">
        <v>-6.3734000000000002</v>
      </c>
      <c r="AF3972">
        <v>5.7541331433988701</v>
      </c>
      <c r="AG3972">
        <v>-1.107935291914</v>
      </c>
      <c r="AH3972">
        <v>19.0168797250331</v>
      </c>
      <c r="AI3972">
        <v>93.191724773069893</v>
      </c>
      <c r="AJ3972">
        <v>73.165219050787101</v>
      </c>
      <c r="AK3972">
        <v>19.899228209139299</v>
      </c>
      <c r="AL3972">
        <v>78.764839628818706</v>
      </c>
      <c r="AM3972">
        <v>91.268356135774198</v>
      </c>
      <c r="AN3972">
        <v>1.00000004253524</v>
      </c>
    </row>
    <row r="3973" spans="1:40" x14ac:dyDescent="0.25">
      <c r="A3973" t="str">
        <f>"20190304155136337"</f>
        <v>20190304155136337</v>
      </c>
      <c r="B3973" t="str">
        <f>"1551685896330504"</f>
        <v>1551685896330504</v>
      </c>
      <c r="C3973" t="s">
        <v>40</v>
      </c>
      <c r="D3973">
        <v>4.9173400000000003</v>
      </c>
      <c r="E3973">
        <v>0.62151999999999996</v>
      </c>
      <c r="F3973" t="s">
        <v>62</v>
      </c>
      <c r="G3973">
        <v>-196.93780000000001</v>
      </c>
      <c r="H3973" s="1">
        <v>3.8318990000000003E-6</v>
      </c>
      <c r="I3973">
        <v>207.1208</v>
      </c>
      <c r="J3973">
        <v>-215.83959999999999</v>
      </c>
      <c r="K3973">
        <v>1.1078300000000001</v>
      </c>
      <c r="L3973">
        <v>213.68799999999999</v>
      </c>
      <c r="M3973">
        <v>0.99929679999999999</v>
      </c>
      <c r="N3973">
        <v>-1.496985E-2</v>
      </c>
      <c r="O3973">
        <v>-3.4375990000000002E-2</v>
      </c>
      <c r="P3973">
        <v>0.98374919999999999</v>
      </c>
      <c r="Q3973">
        <v>0.1791044</v>
      </c>
      <c r="R3973">
        <v>-1.261841E-2</v>
      </c>
      <c r="S3973">
        <v>3.0734249999999999</v>
      </c>
      <c r="T3973">
        <v>-0.17670229999999901</v>
      </c>
      <c r="U3973">
        <v>-1.049652</v>
      </c>
      <c r="V3973">
        <v>-1.9988249999999999E-2</v>
      </c>
      <c r="W3973">
        <v>0.19393869999999999</v>
      </c>
      <c r="X3973">
        <v>0.98080999999999996</v>
      </c>
      <c r="Y3973">
        <v>0.28994809999999999</v>
      </c>
      <c r="Z3973">
        <v>-8.9149420000000004E-3</v>
      </c>
      <c r="AA3973">
        <v>0.95700090000000004</v>
      </c>
      <c r="AB3973">
        <v>38</v>
      </c>
      <c r="AC3973">
        <v>18.901799999999898</v>
      </c>
      <c r="AD3973">
        <v>-1.10782616810099</v>
      </c>
      <c r="AE3973">
        <v>-6.5671999999999802</v>
      </c>
      <c r="AF3973">
        <v>5.8954068639130401</v>
      </c>
      <c r="AG3973">
        <v>-1.10782616810099</v>
      </c>
      <c r="AH3973">
        <v>19.057990936834599</v>
      </c>
      <c r="AI3973">
        <v>93.178536080237294</v>
      </c>
      <c r="AJ3973">
        <v>72.811048224191495</v>
      </c>
      <c r="AK3973">
        <v>19.979742727529601</v>
      </c>
      <c r="AL3973">
        <v>78.817267958624299</v>
      </c>
      <c r="AM3973">
        <v>91.167487951913898</v>
      </c>
      <c r="AN3973">
        <v>1.0000000027978699</v>
      </c>
    </row>
    <row r="3974" spans="1:40" x14ac:dyDescent="0.25">
      <c r="A3974" t="str">
        <f>"20190304155136359"</f>
        <v>20190304155136359</v>
      </c>
      <c r="B3974" t="str">
        <f>"1551685896351000"</f>
        <v>1551685896351000</v>
      </c>
      <c r="C3974" t="s">
        <v>40</v>
      </c>
      <c r="D3974">
        <v>5.7831029999999997</v>
      </c>
      <c r="E3974">
        <v>0.61874549999999995</v>
      </c>
      <c r="F3974" t="s">
        <v>62</v>
      </c>
      <c r="G3974">
        <v>-195.49039999999999</v>
      </c>
      <c r="H3974" s="1">
        <v>4.1788419999999996E-6</v>
      </c>
      <c r="I3974">
        <v>206.79769999999999</v>
      </c>
      <c r="J3974">
        <v>-215.4554</v>
      </c>
      <c r="K3974">
        <v>1.1077090000000001</v>
      </c>
      <c r="L3974">
        <v>213.672</v>
      </c>
      <c r="M3974">
        <v>0.99919150000000001</v>
      </c>
      <c r="N3974">
        <v>-1.496984E-2</v>
      </c>
      <c r="O3974">
        <v>-3.7315550000000003E-2</v>
      </c>
      <c r="P3974">
        <v>0.98386410000000002</v>
      </c>
      <c r="Q3974">
        <v>0.1781257</v>
      </c>
      <c r="R3974">
        <v>-1.68138E-2</v>
      </c>
      <c r="S3974">
        <v>3.0666350000000002</v>
      </c>
      <c r="T3974">
        <v>-0.16695019999999999</v>
      </c>
      <c r="U3974">
        <v>-1.038376</v>
      </c>
      <c r="V3974">
        <v>-1.8641689999999999E-2</v>
      </c>
      <c r="W3974">
        <v>0.19296050000000001</v>
      </c>
      <c r="X3974">
        <v>0.9810295</v>
      </c>
      <c r="Y3974">
        <v>0.28468080000000001</v>
      </c>
      <c r="Z3974">
        <v>-8.2968950000000003E-3</v>
      </c>
      <c r="AA3974">
        <v>0.95858650000000001</v>
      </c>
      <c r="AB3974">
        <v>38</v>
      </c>
      <c r="AC3974">
        <v>19.965</v>
      </c>
      <c r="AD3974">
        <v>-1.1077048211579901</v>
      </c>
      <c r="AE3974">
        <v>-6.8742999999999999</v>
      </c>
      <c r="AF3974">
        <v>6.107614523843</v>
      </c>
      <c r="AG3974">
        <v>-1.1077048211579901</v>
      </c>
      <c r="AH3974">
        <v>20.152179624458402</v>
      </c>
      <c r="AI3974">
        <v>93.011218074784097</v>
      </c>
      <c r="AJ3974">
        <v>73.139274750551394</v>
      </c>
      <c r="AK3974">
        <v>21.086495886209001</v>
      </c>
      <c r="AL3974">
        <v>78.874394584091505</v>
      </c>
      <c r="AM3974">
        <v>91.088613167715494</v>
      </c>
      <c r="AN3974">
        <v>1.0000000735182699</v>
      </c>
    </row>
    <row r="3975" spans="1:40" x14ac:dyDescent="0.25">
      <c r="A3975" t="str">
        <f>"20190304155136382"</f>
        <v>20190304155136382</v>
      </c>
      <c r="B3975" t="str">
        <f>"1551685896370521"</f>
        <v>1551685896370521</v>
      </c>
      <c r="C3975" t="s">
        <v>40</v>
      </c>
      <c r="D3975">
        <v>5.0299779999999998</v>
      </c>
      <c r="E3975">
        <v>0.61771229999999999</v>
      </c>
      <c r="F3975" t="s">
        <v>62</v>
      </c>
      <c r="G3975">
        <v>-194.95509999999999</v>
      </c>
      <c r="H3975" s="1">
        <v>4.3027369999999999E-6</v>
      </c>
      <c r="I3975">
        <v>206.78299999999999</v>
      </c>
      <c r="J3975">
        <v>-215.07929999999999</v>
      </c>
      <c r="K3975">
        <v>1.1075790000000001</v>
      </c>
      <c r="L3975">
        <v>213.65520000000001</v>
      </c>
      <c r="M3975">
        <v>0.99907409999999996</v>
      </c>
      <c r="N3975">
        <v>-1.497043E-2</v>
      </c>
      <c r="O3975">
        <v>-4.0334969999999998E-2</v>
      </c>
      <c r="P3975">
        <v>0.98390820000000001</v>
      </c>
      <c r="Q3975">
        <v>0.177403799999999</v>
      </c>
      <c r="R3975">
        <v>-2.128041E-2</v>
      </c>
      <c r="S3975">
        <v>3.0615839999999999</v>
      </c>
      <c r="T3975">
        <v>-0.1654282</v>
      </c>
      <c r="U3975">
        <v>-1.0288389999999901</v>
      </c>
      <c r="V3975">
        <v>-1.709809E-2</v>
      </c>
      <c r="W3975">
        <v>0.19223699999999999</v>
      </c>
      <c r="X3975">
        <v>0.98119959999999995</v>
      </c>
      <c r="Y3975">
        <v>0.27959650000000003</v>
      </c>
      <c r="Z3975">
        <v>-7.970329E-3</v>
      </c>
      <c r="AA3975">
        <v>0.96008450000000001</v>
      </c>
      <c r="AB3975">
        <v>38</v>
      </c>
      <c r="AC3975">
        <v>20.124199999999998</v>
      </c>
      <c r="AD3975">
        <v>-1.1075746972630001</v>
      </c>
      <c r="AE3975">
        <v>-6.8722000000000198</v>
      </c>
      <c r="AF3975">
        <v>6.0384257299391502</v>
      </c>
      <c r="AG3975">
        <v>-1.1075746972630001</v>
      </c>
      <c r="AH3975">
        <v>20.3298912206456</v>
      </c>
      <c r="AI3975">
        <v>92.989561278586294</v>
      </c>
      <c r="AJ3975">
        <v>73.4574201427086</v>
      </c>
      <c r="AK3975">
        <v>21.236614232247401</v>
      </c>
      <c r="AL3975">
        <v>78.916638528761098</v>
      </c>
      <c r="AM3975">
        <v>90.9983180327539</v>
      </c>
      <c r="AN3975">
        <v>1.0000000319454001</v>
      </c>
    </row>
    <row r="3976" spans="1:40" x14ac:dyDescent="0.25">
      <c r="A3976" t="str">
        <f>"20190304155136404"</f>
        <v>20190304155136404</v>
      </c>
      <c r="B3976" t="str">
        <f>"1551685896400776"</f>
        <v>1551685896400776</v>
      </c>
      <c r="C3976" t="s">
        <v>40</v>
      </c>
      <c r="D3976">
        <v>5.7940370000000003</v>
      </c>
      <c r="E3976">
        <v>0.61682179999999998</v>
      </c>
      <c r="F3976" t="s">
        <v>62</v>
      </c>
      <c r="G3976">
        <v>-194.4409</v>
      </c>
      <c r="H3976" s="1">
        <v>4.4573870000000002E-6</v>
      </c>
      <c r="I3976">
        <v>206.66800000000001</v>
      </c>
      <c r="J3976">
        <v>-214.70779999999999</v>
      </c>
      <c r="K3976">
        <v>1.107434</v>
      </c>
      <c r="L3976">
        <v>213.63740000000001</v>
      </c>
      <c r="M3976">
        <v>0.99894269999999996</v>
      </c>
      <c r="N3976">
        <v>-1.4972009999999999E-2</v>
      </c>
      <c r="O3976">
        <v>-4.346767E-2</v>
      </c>
      <c r="P3976">
        <v>0.98389349999999998</v>
      </c>
      <c r="Q3976">
        <v>0.1768989</v>
      </c>
      <c r="R3976">
        <v>-2.5700629999999999E-2</v>
      </c>
      <c r="S3976">
        <v>3.056244</v>
      </c>
      <c r="T3976">
        <v>-0.164016</v>
      </c>
      <c r="U3976">
        <v>-1.0347139999999999</v>
      </c>
      <c r="V3976">
        <v>-1.5704920000000001E-2</v>
      </c>
      <c r="W3976">
        <v>0.1917317</v>
      </c>
      <c r="X3976">
        <v>0.98132180000000002</v>
      </c>
      <c r="Y3976">
        <v>0.27875820000000001</v>
      </c>
      <c r="Z3976">
        <v>-7.7883350000000004E-3</v>
      </c>
      <c r="AA3976">
        <v>0.96032980000000001</v>
      </c>
      <c r="AB3976">
        <v>38</v>
      </c>
      <c r="AC3976">
        <v>20.2669</v>
      </c>
      <c r="AD3976">
        <v>-1.1074295426130001</v>
      </c>
      <c r="AE3976">
        <v>-6.9694000000000003</v>
      </c>
      <c r="AF3976">
        <v>6.0655623922459396</v>
      </c>
      <c r="AG3976">
        <v>-1.1074295426130001</v>
      </c>
      <c r="AH3976">
        <v>20.495992613017101</v>
      </c>
      <c r="AI3976">
        <v>92.965862826299897</v>
      </c>
      <c r="AJ3976">
        <v>73.514462833062794</v>
      </c>
      <c r="AK3976">
        <v>21.403344610572699</v>
      </c>
      <c r="AL3976">
        <v>78.946139413710995</v>
      </c>
      <c r="AM3976">
        <v>90.916874386550205</v>
      </c>
      <c r="AN3976">
        <v>1.0000000822261601</v>
      </c>
    </row>
    <row r="3977" spans="1:40" x14ac:dyDescent="0.25">
      <c r="A3977" t="str">
        <f>"20190304155136427"</f>
        <v>20190304155136427</v>
      </c>
      <c r="B3977" t="str">
        <f>"1551685896420296"</f>
        <v>1551685896420296</v>
      </c>
      <c r="C3977" t="s">
        <v>40</v>
      </c>
      <c r="D3977">
        <v>5.8351810000000004</v>
      </c>
      <c r="E3977">
        <v>0.61586830000000004</v>
      </c>
      <c r="F3977" t="s">
        <v>62</v>
      </c>
      <c r="G3977">
        <v>-193.77109999999999</v>
      </c>
      <c r="H3977" s="1">
        <v>4.668481E-6</v>
      </c>
      <c r="I3977">
        <v>206.49100000000001</v>
      </c>
      <c r="J3977">
        <v>-214.3245</v>
      </c>
      <c r="K3977">
        <v>1.107272</v>
      </c>
      <c r="L3977">
        <v>213.61760000000001</v>
      </c>
      <c r="M3977">
        <v>0.99878860000000003</v>
      </c>
      <c r="N3977">
        <v>-1.497454E-2</v>
      </c>
      <c r="O3977">
        <v>-4.6874359999999997E-2</v>
      </c>
      <c r="P3977">
        <v>0.9838209</v>
      </c>
      <c r="Q3977">
        <v>0.1765147</v>
      </c>
      <c r="R3977">
        <v>-3.0646759999999999E-2</v>
      </c>
      <c r="S3977">
        <v>3.0509189999999999</v>
      </c>
      <c r="T3977">
        <v>-0.16137550000000001</v>
      </c>
      <c r="U3977">
        <v>-1.041382</v>
      </c>
      <c r="V3977">
        <v>-1.404482E-2</v>
      </c>
      <c r="W3977">
        <v>0.1913455</v>
      </c>
      <c r="X3977">
        <v>0.98142220000000002</v>
      </c>
      <c r="Y3977">
        <v>0.27788800000000002</v>
      </c>
      <c r="Z3977">
        <v>-7.5617649999999998E-3</v>
      </c>
      <c r="AA3977">
        <v>0.96058370000000004</v>
      </c>
      <c r="AB3977">
        <v>38</v>
      </c>
      <c r="AC3977">
        <v>20.5534</v>
      </c>
      <c r="AD3977">
        <v>-1.107267331519</v>
      </c>
      <c r="AE3977">
        <v>-7.1266000000000203</v>
      </c>
      <c r="AF3977">
        <v>6.1393234876317697</v>
      </c>
      <c r="AG3977">
        <v>-1.107267331519</v>
      </c>
      <c r="AH3977">
        <v>20.810977890933</v>
      </c>
      <c r="AI3977">
        <v>92.9213649036585</v>
      </c>
      <c r="AJ3977">
        <v>73.563725467864202</v>
      </c>
      <c r="AK3977">
        <v>21.7258862789562</v>
      </c>
      <c r="AL3977">
        <v>78.968682940115201</v>
      </c>
      <c r="AM3977">
        <v>90.819885654877197</v>
      </c>
      <c r="AN3977">
        <v>0.99999994599595898</v>
      </c>
    </row>
    <row r="3978" spans="1:40" x14ac:dyDescent="0.25">
      <c r="A3978" t="str">
        <f>"20190304155136448"</f>
        <v>20190304155136448</v>
      </c>
      <c r="B3978" t="str">
        <f>"1551685896440797"</f>
        <v>1551685896440797</v>
      </c>
      <c r="C3978" t="s">
        <v>40</v>
      </c>
      <c r="D3978">
        <v>5.750121</v>
      </c>
      <c r="E3978">
        <v>0.61551769999999995</v>
      </c>
      <c r="F3978" t="s">
        <v>62</v>
      </c>
      <c r="G3978">
        <v>-193.16929999999999</v>
      </c>
      <c r="H3978" s="1">
        <v>4.8582789999999998E-6</v>
      </c>
      <c r="I3978">
        <v>206.33160000000001</v>
      </c>
      <c r="J3978">
        <v>-213.958</v>
      </c>
      <c r="K3978">
        <v>1.1070979999999999</v>
      </c>
      <c r="L3978">
        <v>213.59729999999999</v>
      </c>
      <c r="M3978">
        <v>0.99862059999999997</v>
      </c>
      <c r="N3978">
        <v>-1.497832E-2</v>
      </c>
      <c r="O3978">
        <v>-5.0328869999999998E-2</v>
      </c>
      <c r="P3978">
        <v>0.98366730000000002</v>
      </c>
      <c r="Q3978">
        <v>0.17643879999999901</v>
      </c>
      <c r="R3978">
        <v>-3.5615180000000003E-2</v>
      </c>
      <c r="S3978">
        <v>3.045258</v>
      </c>
      <c r="T3978">
        <v>-0.159389</v>
      </c>
      <c r="U3978">
        <v>-1.048813</v>
      </c>
      <c r="V3978">
        <v>-1.2400059999999999E-2</v>
      </c>
      <c r="W3978">
        <v>0.19126689999999999</v>
      </c>
      <c r="X3978">
        <v>0.98145970000000005</v>
      </c>
      <c r="Y3978">
        <v>0.27721960000000001</v>
      </c>
      <c r="Z3978">
        <v>-7.3649479999999996E-3</v>
      </c>
      <c r="AA3978">
        <v>0.96077840000000003</v>
      </c>
      <c r="AB3978">
        <v>38</v>
      </c>
      <c r="AC3978">
        <v>20.788699999999999</v>
      </c>
      <c r="AD3978">
        <v>-1.1070931417209999</v>
      </c>
      <c r="AE3978">
        <v>-7.2656999999999803</v>
      </c>
      <c r="AF3978">
        <v>6.1944457694399597</v>
      </c>
      <c r="AG3978">
        <v>-1.1070931417209999</v>
      </c>
      <c r="AH3978">
        <v>21.074800996236402</v>
      </c>
      <c r="AI3978">
        <v>92.885243951344094</v>
      </c>
      <c r="AJ3978">
        <v>73.620531944865704</v>
      </c>
      <c r="AK3978">
        <v>21.9941821999806</v>
      </c>
      <c r="AL3978">
        <v>78.973271349799006</v>
      </c>
      <c r="AM3978">
        <v>90.723853770252802</v>
      </c>
      <c r="AN3978">
        <v>0.99999996562385096</v>
      </c>
    </row>
    <row r="3979" spans="1:40" x14ac:dyDescent="0.25">
      <c r="A3979" t="str">
        <f>"20190304155136471"</f>
        <v>20190304155136471</v>
      </c>
      <c r="B3979" t="str">
        <f>"1551685896460313"</f>
        <v>1551685896460313</v>
      </c>
      <c r="C3979" t="s">
        <v>40</v>
      </c>
      <c r="D3979">
        <v>5.7341119999999997</v>
      </c>
      <c r="E3979">
        <v>0.61609440000000004</v>
      </c>
      <c r="F3979" t="s">
        <v>62</v>
      </c>
      <c r="G3979">
        <v>-192.25399999999999</v>
      </c>
      <c r="H3979" s="1">
        <v>5.1725960000000001E-6</v>
      </c>
      <c r="I3979">
        <v>206.01650000000001</v>
      </c>
      <c r="J3979">
        <v>-213.57769999999999</v>
      </c>
      <c r="K3979">
        <v>1.1069119999999999</v>
      </c>
      <c r="L3979">
        <v>213.5745</v>
      </c>
      <c r="M3979">
        <v>0.998421</v>
      </c>
      <c r="N3979">
        <v>-1.498381E-2</v>
      </c>
      <c r="O3979">
        <v>-5.4138970000000002E-2</v>
      </c>
      <c r="P3979">
        <v>0.98362369999999999</v>
      </c>
      <c r="Q3979">
        <v>0.17559729999999901</v>
      </c>
      <c r="R3979">
        <v>-4.0620530000000002E-2</v>
      </c>
      <c r="S3979">
        <v>3.039215</v>
      </c>
      <c r="T3979">
        <v>-0.15502659999999999</v>
      </c>
      <c r="U3979">
        <v>-1.061539</v>
      </c>
      <c r="V3979">
        <v>-1.107371E-2</v>
      </c>
      <c r="W3979">
        <v>0.19042909999999999</v>
      </c>
      <c r="X3979">
        <v>0.98163849999999997</v>
      </c>
      <c r="Y3979">
        <v>0.27775139999999998</v>
      </c>
      <c r="Z3979">
        <v>-7.1348499999999999E-3</v>
      </c>
      <c r="AA3979">
        <v>0.96062650000000005</v>
      </c>
      <c r="AB3979">
        <v>38</v>
      </c>
      <c r="AC3979">
        <v>21.323699999999899</v>
      </c>
      <c r="AD3979">
        <v>-1.1069068274039999</v>
      </c>
      <c r="AE3979">
        <v>-7.5579999999999901</v>
      </c>
      <c r="AF3979">
        <v>6.3770743427808299</v>
      </c>
      <c r="AG3979">
        <v>-1.1069068274039999</v>
      </c>
      <c r="AH3979">
        <v>21.6498211149082</v>
      </c>
      <c r="AI3979">
        <v>92.807786782659093</v>
      </c>
      <c r="AJ3979">
        <v>73.587371542031505</v>
      </c>
      <c r="AK3979">
        <v>22.596616432674899</v>
      </c>
      <c r="AL3979">
        <v>79.022173040457304</v>
      </c>
      <c r="AM3979">
        <v>90.646317289555896</v>
      </c>
      <c r="AN3979">
        <v>1.0000000069311099</v>
      </c>
    </row>
    <row r="3980" spans="1:40" x14ac:dyDescent="0.25">
      <c r="A3980" t="str">
        <f>"20190304155136493"</f>
        <v>20190304155136493</v>
      </c>
      <c r="B3980" t="str">
        <f>"1551685896490568"</f>
        <v>1551685896490568</v>
      </c>
      <c r="C3980" t="s">
        <v>40</v>
      </c>
      <c r="D3980">
        <v>5.7502409999999999</v>
      </c>
      <c r="E3980">
        <v>0.61801490000000003</v>
      </c>
      <c r="F3980" t="s">
        <v>62</v>
      </c>
      <c r="G3980">
        <v>-192.3604</v>
      </c>
      <c r="H3980" s="1">
        <v>5.1523800000000003E-6</v>
      </c>
      <c r="I3980">
        <v>206.0069</v>
      </c>
      <c r="J3980">
        <v>-213.20140000000001</v>
      </c>
      <c r="K3980">
        <v>1.1067229999999999</v>
      </c>
      <c r="L3980">
        <v>213.5504</v>
      </c>
      <c r="M3980">
        <v>0.99819820000000004</v>
      </c>
      <c r="N3980">
        <v>-1.4990130000000001E-2</v>
      </c>
      <c r="O3980">
        <v>-5.8100640000000002E-2</v>
      </c>
      <c r="P3980">
        <v>0.98356270000000001</v>
      </c>
      <c r="Q3980">
        <v>0.17453569999999999</v>
      </c>
      <c r="R3980">
        <v>-4.62809E-2</v>
      </c>
      <c r="S3980">
        <v>3.0335390000000002</v>
      </c>
      <c r="T3980">
        <v>-0.1582595</v>
      </c>
      <c r="U3980">
        <v>-1.0819700000000001</v>
      </c>
      <c r="V3980">
        <v>-9.2491710000000005E-3</v>
      </c>
      <c r="W3980">
        <v>0.1893659</v>
      </c>
      <c r="X3980">
        <v>0.98186300000000004</v>
      </c>
      <c r="Y3980">
        <v>0.280234599999999</v>
      </c>
      <c r="Z3980">
        <v>-7.1689659999999997E-3</v>
      </c>
      <c r="AA3980">
        <v>0.9599048</v>
      </c>
      <c r="AB3980">
        <v>38</v>
      </c>
      <c r="AC3980">
        <v>20.841000000000001</v>
      </c>
      <c r="AD3980">
        <v>-1.1067178476199999</v>
      </c>
      <c r="AE3980">
        <v>-7.5434999999999901</v>
      </c>
      <c r="AF3980">
        <v>6.3040249954082199</v>
      </c>
      <c r="AG3980">
        <v>-1.1067178476199999</v>
      </c>
      <c r="AH3980">
        <v>21.191281802220502</v>
      </c>
      <c r="AI3980">
        <v>92.865673085089298</v>
      </c>
      <c r="AJ3980">
        <v>73.433205574787905</v>
      </c>
      <c r="AK3980">
        <v>22.1367563106724</v>
      </c>
      <c r="AL3980">
        <v>79.0842185106589</v>
      </c>
      <c r="AM3980">
        <v>90.539711536245406</v>
      </c>
      <c r="AN3980">
        <v>0.99999997100799798</v>
      </c>
    </row>
    <row r="3981" spans="1:40" x14ac:dyDescent="0.25">
      <c r="A3981" t="str">
        <f>"20190304155136516"</f>
        <v>20190304155136516</v>
      </c>
      <c r="B3981" t="str">
        <f>"1551685896511063"</f>
        <v>1551685896511063</v>
      </c>
      <c r="C3981" t="s">
        <v>40</v>
      </c>
      <c r="D3981">
        <v>8.6361279999999994</v>
      </c>
      <c r="E3981">
        <v>0.6178534</v>
      </c>
      <c r="F3981" t="s">
        <v>62</v>
      </c>
      <c r="G3981">
        <v>-193.5076</v>
      </c>
      <c r="H3981" s="1">
        <v>4.7940280000000001E-6</v>
      </c>
      <c r="I3981">
        <v>206.30109999999999</v>
      </c>
      <c r="J3981">
        <v>-212.81720000000001</v>
      </c>
      <c r="K3981">
        <v>1.106533</v>
      </c>
      <c r="L3981">
        <v>213.524</v>
      </c>
      <c r="M3981">
        <v>0.99794130000000003</v>
      </c>
      <c r="N3981">
        <v>-1.499641E-2</v>
      </c>
      <c r="O3981">
        <v>-6.2355840000000003E-2</v>
      </c>
      <c r="P3981">
        <v>0.98333190000000004</v>
      </c>
      <c r="Q3981">
        <v>0.1741731</v>
      </c>
      <c r="R3981">
        <v>-5.2175859999999998E-2</v>
      </c>
      <c r="S3981">
        <v>3.027908</v>
      </c>
      <c r="T3981">
        <v>-0.17015720000000001</v>
      </c>
      <c r="U3981">
        <v>-1.1145780000000001</v>
      </c>
      <c r="V3981">
        <v>-7.4668319999999996E-3</v>
      </c>
      <c r="W3981">
        <v>0.18899879999999999</v>
      </c>
      <c r="X3981">
        <v>0.98194890000000001</v>
      </c>
      <c r="Y3981">
        <v>0.2857788</v>
      </c>
      <c r="Z3981">
        <v>-7.5109180000000001E-3</v>
      </c>
      <c r="AA3981">
        <v>0.95826619999999996</v>
      </c>
      <c r="AB3981">
        <v>37</v>
      </c>
      <c r="AC3981">
        <v>19.3096</v>
      </c>
      <c r="AD3981">
        <v>-1.1065282059720001</v>
      </c>
      <c r="AE3981">
        <v>-7.2229000000000099</v>
      </c>
      <c r="AF3981">
        <v>5.9873910486099398</v>
      </c>
      <c r="AG3981">
        <v>-1.1065282059720001</v>
      </c>
      <c r="AH3981">
        <v>19.665803231638101</v>
      </c>
      <c r="AI3981">
        <v>93.081096009356401</v>
      </c>
      <c r="AJ3981">
        <v>73.066763273229</v>
      </c>
      <c r="AK3981">
        <v>20.586817942195299</v>
      </c>
      <c r="AL3981">
        <v>79.105638597549998</v>
      </c>
      <c r="AM3981">
        <v>90.435674111372094</v>
      </c>
      <c r="AN3981">
        <v>0.99999997109638195</v>
      </c>
    </row>
    <row r="3982" spans="1:40" x14ac:dyDescent="0.25">
      <c r="A3982" t="str">
        <f>"20190304155136538"</f>
        <v>20190304155136538</v>
      </c>
      <c r="B3982" t="str">
        <f>"1551685896530584"</f>
        <v>1551685896530584</v>
      </c>
      <c r="C3982" t="s">
        <v>40</v>
      </c>
      <c r="D3982">
        <v>5.7386359999999996</v>
      </c>
      <c r="E3982">
        <v>0.61788980000000004</v>
      </c>
      <c r="F3982" t="s">
        <v>62</v>
      </c>
      <c r="G3982">
        <v>-193.51730000000001</v>
      </c>
      <c r="H3982" s="1">
        <v>4.7923330000000001E-6</v>
      </c>
      <c r="I3982">
        <v>206.2998</v>
      </c>
      <c r="J3982">
        <v>-212.45830000000001</v>
      </c>
      <c r="K3982">
        <v>1.106355</v>
      </c>
      <c r="L3982">
        <v>213.49780000000001</v>
      </c>
      <c r="M3982">
        <v>0.99767130000000004</v>
      </c>
      <c r="N3982">
        <v>-1.500252E-2</v>
      </c>
      <c r="O3982">
        <v>-6.6534969999999999E-2</v>
      </c>
      <c r="P3982">
        <v>0.98277840000000005</v>
      </c>
      <c r="Q3982">
        <v>0.17561460000000001</v>
      </c>
      <c r="R3982">
        <v>-5.7497779999999998E-2</v>
      </c>
      <c r="S3982">
        <v>3.0215299999999998</v>
      </c>
      <c r="T3982">
        <v>-0.17323429999999901</v>
      </c>
      <c r="U3982">
        <v>-1.130997</v>
      </c>
      <c r="V3982">
        <v>-6.1474919999999897E-3</v>
      </c>
      <c r="W3982">
        <v>0.19043379999999999</v>
      </c>
      <c r="X3982">
        <v>0.98168080000000002</v>
      </c>
      <c r="Y3982">
        <v>0.28698240000000003</v>
      </c>
      <c r="Z3982">
        <v>-7.4715629999999996E-3</v>
      </c>
      <c r="AA3982">
        <v>0.9579067</v>
      </c>
      <c r="AB3982">
        <v>37</v>
      </c>
      <c r="AC3982">
        <v>18.940999999999999</v>
      </c>
      <c r="AD3982">
        <v>-1.106350207667</v>
      </c>
      <c r="AE3982">
        <v>-7.1980000000000004</v>
      </c>
      <c r="AF3982">
        <v>5.9040642357708402</v>
      </c>
      <c r="AG3982">
        <v>-1.106350207667</v>
      </c>
      <c r="AH3982">
        <v>19.320393183070099</v>
      </c>
      <c r="AI3982">
        <v>93.134580601381501</v>
      </c>
      <c r="AJ3982">
        <v>73.007520134077197</v>
      </c>
      <c r="AK3982">
        <v>20.232636457726802</v>
      </c>
      <c r="AL3982">
        <v>79.021898747602904</v>
      </c>
      <c r="AM3982">
        <v>90.358793552948399</v>
      </c>
      <c r="AN3982">
        <v>1.00000000846448</v>
      </c>
    </row>
    <row r="3983" spans="1:40" x14ac:dyDescent="0.25">
      <c r="A3983" t="str">
        <f>"20190304155136559"</f>
        <v>20190304155136559</v>
      </c>
      <c r="B3983" t="str">
        <f>"1551685896551080"</f>
        <v>1551685896551080</v>
      </c>
      <c r="C3983" t="s">
        <v>40</v>
      </c>
      <c r="D3983">
        <v>5.775569</v>
      </c>
      <c r="E3983">
        <v>0.61765329999999996</v>
      </c>
      <c r="F3983" t="s">
        <v>62</v>
      </c>
      <c r="G3983">
        <v>-192.42070000000001</v>
      </c>
      <c r="H3983" s="1">
        <v>5.1842009999999997E-6</v>
      </c>
      <c r="I3983">
        <v>205.87909999999999</v>
      </c>
      <c r="J3983">
        <v>-212.08439999999999</v>
      </c>
      <c r="K3983">
        <v>1.106168</v>
      </c>
      <c r="L3983">
        <v>213.46860000000001</v>
      </c>
      <c r="M3983">
        <v>0.99735569999999896</v>
      </c>
      <c r="N3983">
        <v>-1.5010030000000001E-2</v>
      </c>
      <c r="O3983">
        <v>-7.1109909999999998E-2</v>
      </c>
      <c r="P3983">
        <v>0.98230410000000001</v>
      </c>
      <c r="Q3983">
        <v>0.1763874</v>
      </c>
      <c r="R3983">
        <v>-6.2981850000000006E-2</v>
      </c>
      <c r="S3983">
        <v>3.015228</v>
      </c>
      <c r="T3983">
        <v>-0.1664823</v>
      </c>
      <c r="U3983">
        <v>-1.1464540000000001</v>
      </c>
      <c r="V3983">
        <v>-5.0607179999999996E-3</v>
      </c>
      <c r="W3983">
        <v>0.19120419999999999</v>
      </c>
      <c r="X3983">
        <v>0.9815372</v>
      </c>
      <c r="Y3983">
        <v>0.28757660000000002</v>
      </c>
      <c r="Z3983">
        <v>-7.1577569999999998E-3</v>
      </c>
      <c r="AA3983">
        <v>0.95773090000000005</v>
      </c>
      <c r="AB3983">
        <v>37</v>
      </c>
      <c r="AC3983">
        <v>19.663699999999899</v>
      </c>
      <c r="AD3983">
        <v>-1.106162815799</v>
      </c>
      <c r="AE3983">
        <v>-7.5895000000000099</v>
      </c>
      <c r="AF3983">
        <v>6.1548895360993896</v>
      </c>
      <c r="AG3983">
        <v>-1.106162815799</v>
      </c>
      <c r="AH3983">
        <v>20.0983039971922</v>
      </c>
      <c r="AI3983">
        <v>93.012425825371494</v>
      </c>
      <c r="AJ3983">
        <v>72.973355798546194</v>
      </c>
      <c r="AK3983">
        <v>21.048707441080399</v>
      </c>
      <c r="AL3983">
        <v>78.976931347421399</v>
      </c>
      <c r="AM3983">
        <v>90.295409296143802</v>
      </c>
      <c r="AN3983">
        <v>0.99999996597407703</v>
      </c>
    </row>
    <row r="3984" spans="1:40" x14ac:dyDescent="0.25">
      <c r="A3984" t="str">
        <f>"20190304155136582"</f>
        <v>20190304155136582</v>
      </c>
      <c r="B3984" t="str">
        <f>"1551685896570600"</f>
        <v>1551685896570600</v>
      </c>
      <c r="C3984" t="s">
        <v>40</v>
      </c>
      <c r="D3984">
        <v>5.6861670000000002</v>
      </c>
      <c r="E3984">
        <v>0.61816419999999905</v>
      </c>
      <c r="F3984" t="s">
        <v>62</v>
      </c>
      <c r="G3984">
        <v>-191.74469999999999</v>
      </c>
      <c r="H3984" s="1">
        <v>5.4268019999999999E-6</v>
      </c>
      <c r="I3984">
        <v>205.61680000000001</v>
      </c>
      <c r="J3984">
        <v>-211.71350000000001</v>
      </c>
      <c r="K3984">
        <v>1.105966</v>
      </c>
      <c r="L3984">
        <v>213.43790000000001</v>
      </c>
      <c r="M3984">
        <v>0.99700460000000002</v>
      </c>
      <c r="N3984">
        <v>-1.5019009999999999E-2</v>
      </c>
      <c r="O3984">
        <v>-7.5871610000000006E-2</v>
      </c>
      <c r="P3984">
        <v>0.9818576</v>
      </c>
      <c r="Q3984">
        <v>0.17655489999999999</v>
      </c>
      <c r="R3984">
        <v>-6.916717E-2</v>
      </c>
      <c r="S3984">
        <v>3.0089570000000001</v>
      </c>
      <c r="T3984">
        <v>-0.1636407</v>
      </c>
      <c r="U3984">
        <v>-1.1615599999999999</v>
      </c>
      <c r="V3984">
        <v>-3.4636720000000001E-3</v>
      </c>
      <c r="W3984">
        <v>0.19136619999999999</v>
      </c>
      <c r="X3984">
        <v>0.98151259999999996</v>
      </c>
      <c r="Y3984">
        <v>0.28787299999999999</v>
      </c>
      <c r="Z3984">
        <v>-6.9309150000000002E-3</v>
      </c>
      <c r="AA3984">
        <v>0.95764349999999998</v>
      </c>
      <c r="AB3984">
        <v>37</v>
      </c>
      <c r="AC3984">
        <v>19.968800000000002</v>
      </c>
      <c r="AD3984">
        <v>-1.105960573198</v>
      </c>
      <c r="AE3984">
        <v>-7.8211000000000004</v>
      </c>
      <c r="AF3984">
        <v>6.2666496633424904</v>
      </c>
      <c r="AG3984">
        <v>-1.105960573198</v>
      </c>
      <c r="AH3984">
        <v>20.450308245818</v>
      </c>
      <c r="AI3984">
        <v>92.959966327625693</v>
      </c>
      <c r="AJ3984">
        <v>72.963206182665203</v>
      </c>
      <c r="AK3984">
        <v>21.417496448967</v>
      </c>
      <c r="AL3984">
        <v>78.967475210684</v>
      </c>
      <c r="AM3984">
        <v>90.202190948366194</v>
      </c>
      <c r="AN3984">
        <v>1.00000000174246</v>
      </c>
    </row>
    <row r="3985" spans="1:40" x14ac:dyDescent="0.25">
      <c r="A3985" t="str">
        <f>"20190304155136628"</f>
        <v>20190304155136628</v>
      </c>
      <c r="B3985" t="str">
        <f>"1551685896620376"</f>
        <v>1551685896620376</v>
      </c>
      <c r="C3985" t="s">
        <v>40</v>
      </c>
      <c r="D3985">
        <v>6.5968280000000004</v>
      </c>
      <c r="E3985">
        <v>0.61874719999999905</v>
      </c>
      <c r="F3985" t="s">
        <v>62</v>
      </c>
      <c r="G3985">
        <v>-191.76519999999999</v>
      </c>
      <c r="H3985" s="1">
        <v>5.441633E-6</v>
      </c>
      <c r="I3985">
        <v>205.56200000000001</v>
      </c>
      <c r="J3985">
        <v>-210.9606</v>
      </c>
      <c r="K3985">
        <v>1.1055250000000001</v>
      </c>
      <c r="L3985">
        <v>213.36920000000001</v>
      </c>
      <c r="M3985">
        <v>0.99616099999999996</v>
      </c>
      <c r="N3985">
        <v>-1.504084E-2</v>
      </c>
      <c r="O3985">
        <v>-8.6238209999999996E-2</v>
      </c>
      <c r="P3985">
        <v>0.98121740000000002</v>
      </c>
      <c r="Q3985">
        <v>0.17400739999999901</v>
      </c>
      <c r="R3985">
        <v>-8.3270529999999995E-2</v>
      </c>
      <c r="S3985">
        <v>3.001846</v>
      </c>
      <c r="T3985">
        <v>-0.16642609999999999</v>
      </c>
      <c r="U3985">
        <v>-1.185165</v>
      </c>
      <c r="V3985">
        <v>5.7660969999999998E-4</v>
      </c>
      <c r="W3985">
        <v>0.18880540000000001</v>
      </c>
      <c r="X3985">
        <v>0.98201439999999995</v>
      </c>
      <c r="Y3985">
        <v>0.28520499999999999</v>
      </c>
      <c r="Z3985">
        <v>-6.5135649999999998E-3</v>
      </c>
      <c r="AA3985">
        <v>0.95844439999999997</v>
      </c>
      <c r="AB3985">
        <v>37</v>
      </c>
      <c r="AC3985">
        <v>19.195399999999999</v>
      </c>
      <c r="AD3985">
        <v>-1.1055195583670001</v>
      </c>
      <c r="AE3985">
        <v>-7.8071999999999901</v>
      </c>
      <c r="AF3985">
        <v>6.1051677163238196</v>
      </c>
      <c r="AG3985">
        <v>-1.1055195583670001</v>
      </c>
      <c r="AH3985">
        <v>19.741041743157499</v>
      </c>
      <c r="AI3985">
        <v>93.062460703096605</v>
      </c>
      <c r="AJ3985">
        <v>72.815112690998205</v>
      </c>
      <c r="AK3985">
        <v>20.693090040964499</v>
      </c>
      <c r="AL3985">
        <v>79.116923595208405</v>
      </c>
      <c r="AM3985">
        <v>89.966357623228703</v>
      </c>
      <c r="AN3985">
        <v>1.00000004667763</v>
      </c>
    </row>
    <row r="3986" spans="1:40" x14ac:dyDescent="0.25">
      <c r="A3986" t="str">
        <f>"20190304155136649"</f>
        <v>20190304155136649</v>
      </c>
      <c r="B3986" t="str">
        <f>"1551685896640872"</f>
        <v>1551685896640872</v>
      </c>
      <c r="C3986" t="s">
        <v>40</v>
      </c>
      <c r="D3986">
        <v>8.5606530000000003</v>
      </c>
      <c r="E3986">
        <v>0.61897880000000005</v>
      </c>
      <c r="F3986" t="s">
        <v>62</v>
      </c>
      <c r="G3986">
        <v>-192.81630000000001</v>
      </c>
      <c r="H3986" s="1">
        <v>5.0948970000000003E-6</v>
      </c>
      <c r="I3986">
        <v>205.8836</v>
      </c>
      <c r="J3986">
        <v>-210.59710000000001</v>
      </c>
      <c r="K3986">
        <v>1.10531</v>
      </c>
      <c r="L3986">
        <v>213.33279999999999</v>
      </c>
      <c r="M3986">
        <v>0.99568100000000004</v>
      </c>
      <c r="N3986">
        <v>-1.5053159999999999E-2</v>
      </c>
      <c r="O3986">
        <v>-9.1612669999999993E-2</v>
      </c>
      <c r="P3986">
        <v>0.98063429999999996</v>
      </c>
      <c r="Q3986">
        <v>0.17399310000000001</v>
      </c>
      <c r="R3986">
        <v>-8.9904869999999998E-2</v>
      </c>
      <c r="S3986">
        <v>2.9851839999999998</v>
      </c>
      <c r="T3986">
        <v>-0.18188480000000001</v>
      </c>
      <c r="U3986">
        <v>-1.2315670000000001</v>
      </c>
      <c r="V3986">
        <v>2.021466E-3</v>
      </c>
      <c r="W3986">
        <v>0.18878619999999999</v>
      </c>
      <c r="X3986">
        <v>0.98201609999999995</v>
      </c>
      <c r="Y3986">
        <v>0.29456329999999997</v>
      </c>
      <c r="Z3986">
        <v>-6.9243500000000001E-3</v>
      </c>
      <c r="AA3986">
        <v>0.95560690000000004</v>
      </c>
      <c r="AB3986">
        <v>37</v>
      </c>
      <c r="AC3986">
        <v>17.780799999999999</v>
      </c>
      <c r="AD3986">
        <v>-1.1053049051029999</v>
      </c>
      <c r="AE3986">
        <v>-7.4491999999999896</v>
      </c>
      <c r="AF3986">
        <v>5.7697691644318301</v>
      </c>
      <c r="AG3986">
        <v>-1.1053049051029999</v>
      </c>
      <c r="AH3986">
        <v>18.3282784437191</v>
      </c>
      <c r="AI3986">
        <v>93.292199393222702</v>
      </c>
      <c r="AJ3986">
        <v>72.525920925415505</v>
      </c>
      <c r="AK3986">
        <v>19.246758840245601</v>
      </c>
      <c r="AL3986">
        <v>79.118042954839595</v>
      </c>
      <c r="AM3986">
        <v>89.882057629567299</v>
      </c>
      <c r="AN3986">
        <v>0.99999996814721803</v>
      </c>
    </row>
    <row r="3987" spans="1:40" x14ac:dyDescent="0.25">
      <c r="A3987" t="str">
        <f>"20190304155136671"</f>
        <v>20190304155136671</v>
      </c>
      <c r="B3987" t="str">
        <f>"1551685896660393"</f>
        <v>1551685896660393</v>
      </c>
      <c r="C3987" t="s">
        <v>40</v>
      </c>
      <c r="D3987">
        <v>4.8594419999999996</v>
      </c>
      <c r="E3987">
        <v>0.61898569999999997</v>
      </c>
      <c r="F3987" t="s">
        <v>62</v>
      </c>
      <c r="G3987">
        <v>-192.2928</v>
      </c>
      <c r="H3987" s="1">
        <v>5.3032280000000002E-6</v>
      </c>
      <c r="I3987">
        <v>205.62260000000001</v>
      </c>
      <c r="J3987">
        <v>-210.23070000000001</v>
      </c>
      <c r="K3987">
        <v>1.1050949999999999</v>
      </c>
      <c r="L3987">
        <v>213.29390000000001</v>
      </c>
      <c r="M3987">
        <v>0.99514449999999999</v>
      </c>
      <c r="N3987">
        <v>-1.5066380000000001E-2</v>
      </c>
      <c r="O3987">
        <v>-9.7265190000000001E-2</v>
      </c>
      <c r="P3987">
        <v>0.97981569999999996</v>
      </c>
      <c r="Q3987">
        <v>0.17512329999999901</v>
      </c>
      <c r="R3987">
        <v>-9.6400360000000004E-2</v>
      </c>
      <c r="S3987">
        <v>2.9761959999999998</v>
      </c>
      <c r="T3987">
        <v>-0.17971790000000001</v>
      </c>
      <c r="U3987">
        <v>-1.253647</v>
      </c>
      <c r="V3987">
        <v>3.0891260000000002E-3</v>
      </c>
      <c r="W3987">
        <v>0.18991269999999999</v>
      </c>
      <c r="X3987">
        <v>0.98179609999999995</v>
      </c>
      <c r="Y3987">
        <v>0.29620159999999901</v>
      </c>
      <c r="Z3987">
        <v>-6.7150069999999899E-3</v>
      </c>
      <c r="AA3987">
        <v>0.9551018</v>
      </c>
      <c r="AB3987">
        <v>37</v>
      </c>
      <c r="AC3987">
        <v>17.937899999999999</v>
      </c>
      <c r="AD3987">
        <v>-1.1050896967720001</v>
      </c>
      <c r="AE3987">
        <v>-7.6712999999999996</v>
      </c>
      <c r="AF3987">
        <v>5.8711492414393298</v>
      </c>
      <c r="AG3987">
        <v>-1.1050896967720001</v>
      </c>
      <c r="AH3987">
        <v>18.539578342923001</v>
      </c>
      <c r="AI3987">
        <v>93.252373523236699</v>
      </c>
      <c r="AJ3987">
        <v>72.427946992208206</v>
      </c>
      <c r="AK3987">
        <v>19.478387556123501</v>
      </c>
      <c r="AL3987">
        <v>79.052310252811594</v>
      </c>
      <c r="AM3987">
        <v>89.819724993696099</v>
      </c>
      <c r="AN3987">
        <v>0.99999997914797101</v>
      </c>
    </row>
    <row r="3988" spans="1:40" x14ac:dyDescent="0.25">
      <c r="A3988" t="str">
        <f>"20190304155136694"</f>
        <v>20190304155136694</v>
      </c>
      <c r="B3988" t="str">
        <f>"1551685896690649"</f>
        <v>1551685896690649</v>
      </c>
      <c r="C3988" t="s">
        <v>40</v>
      </c>
      <c r="D3988">
        <v>5.544473</v>
      </c>
      <c r="E3988">
        <v>0.6197916</v>
      </c>
      <c r="F3988" t="s">
        <v>62</v>
      </c>
      <c r="G3988">
        <v>-191.35339999999999</v>
      </c>
      <c r="H3988" s="1">
        <v>5.6656060000000002E-6</v>
      </c>
      <c r="I3988">
        <v>205.1867</v>
      </c>
      <c r="J3988">
        <v>-209.85910000000001</v>
      </c>
      <c r="K3988">
        <v>1.104887</v>
      </c>
      <c r="L3988">
        <v>213.25200000000001</v>
      </c>
      <c r="M3988">
        <v>0.99454529999999997</v>
      </c>
      <c r="N3988">
        <v>-1.5080049999999999E-2</v>
      </c>
      <c r="O3988">
        <v>-0.1032103</v>
      </c>
      <c r="P3988">
        <v>0.97903910000000005</v>
      </c>
      <c r="Q3988">
        <v>0.17501539999999999</v>
      </c>
      <c r="R3988">
        <v>-0.1041745</v>
      </c>
      <c r="S3988">
        <v>2.9674529999999999</v>
      </c>
      <c r="T3988">
        <v>-0.17371629999999999</v>
      </c>
      <c r="U3988">
        <v>-1.2744139999999999</v>
      </c>
      <c r="V3988">
        <v>5.1137040000000002E-3</v>
      </c>
      <c r="W3988">
        <v>0.18979099999999999</v>
      </c>
      <c r="X3988">
        <v>0.9818112</v>
      </c>
      <c r="Y3988">
        <v>0.29718729999999999</v>
      </c>
      <c r="Z3988">
        <v>-6.4189410000000001E-3</v>
      </c>
      <c r="AA3988">
        <v>0.95479760000000002</v>
      </c>
      <c r="AB3988">
        <v>37</v>
      </c>
      <c r="AC3988">
        <v>18.505700000000001</v>
      </c>
      <c r="AD3988">
        <v>-1.104881334394</v>
      </c>
      <c r="AE3988">
        <v>-8.0653000000000006</v>
      </c>
      <c r="AF3988">
        <v>6.0937670949312297</v>
      </c>
      <c r="AG3988">
        <v>-1.104881334394</v>
      </c>
      <c r="AH3988">
        <v>19.181902954930599</v>
      </c>
      <c r="AI3988">
        <v>93.142190352634799</v>
      </c>
      <c r="AJ3988">
        <v>72.375825145537902</v>
      </c>
      <c r="AK3988">
        <v>20.156888677142899</v>
      </c>
      <c r="AL3988">
        <v>79.059412581042807</v>
      </c>
      <c r="AM3988">
        <v>89.701581111018101</v>
      </c>
      <c r="AN3988">
        <v>1.00000000304751</v>
      </c>
    </row>
    <row r="3989" spans="1:40" x14ac:dyDescent="0.25">
      <c r="A3989" t="str">
        <f>"20190304155136739"</f>
        <v>20190304155136739</v>
      </c>
      <c r="B3989" t="str">
        <f>"1551685896730664"</f>
        <v>1551685896730664</v>
      </c>
      <c r="C3989" t="s">
        <v>40</v>
      </c>
      <c r="D3989">
        <v>5.5203189999999998</v>
      </c>
      <c r="E3989">
        <v>0.62027949999999998</v>
      </c>
      <c r="F3989" t="s">
        <v>62</v>
      </c>
      <c r="G3989">
        <v>-190.5188</v>
      </c>
      <c r="H3989" s="1">
        <v>6.0143610000000004E-6</v>
      </c>
      <c r="I3989">
        <v>204.72370000000001</v>
      </c>
      <c r="J3989">
        <v>-209.11</v>
      </c>
      <c r="K3989">
        <v>1.1044780000000001</v>
      </c>
      <c r="L3989">
        <v>213.1602</v>
      </c>
      <c r="M3989">
        <v>0.99314919999999995</v>
      </c>
      <c r="N3989">
        <v>-1.510649E-2</v>
      </c>
      <c r="O3989">
        <v>-0.1158733</v>
      </c>
      <c r="P3989">
        <v>0.97756359999999998</v>
      </c>
      <c r="Q3989">
        <v>0.17332229999999901</v>
      </c>
      <c r="R3989">
        <v>-0.11970509999999999</v>
      </c>
      <c r="S3989">
        <v>2.9557340000000001</v>
      </c>
      <c r="T3989">
        <v>-0.1688558</v>
      </c>
      <c r="U3989">
        <v>-1.3033600000000001</v>
      </c>
      <c r="V3989">
        <v>8.3324209999999996E-3</v>
      </c>
      <c r="W3989">
        <v>0.18807960000000001</v>
      </c>
      <c r="X3989">
        <v>0.98211839999999995</v>
      </c>
      <c r="Y3989">
        <v>0.29428459999999901</v>
      </c>
      <c r="Z3989">
        <v>-5.7643030000000001E-3</v>
      </c>
      <c r="AA3989">
        <v>0.95570049999999995</v>
      </c>
      <c r="AB3989">
        <v>37</v>
      </c>
      <c r="AC3989">
        <v>18.591200000000001</v>
      </c>
      <c r="AD3989">
        <v>-1.104471985639</v>
      </c>
      <c r="AE3989">
        <v>-8.4364999999999899</v>
      </c>
      <c r="AF3989">
        <v>6.2070234569880798</v>
      </c>
      <c r="AG3989">
        <v>-1.104471985639</v>
      </c>
      <c r="AH3989">
        <v>19.3868785908547</v>
      </c>
      <c r="AI3989">
        <v>93.105655407312696</v>
      </c>
      <c r="AJ3989">
        <v>72.246690207481706</v>
      </c>
      <c r="AK3989">
        <v>20.3862223096679</v>
      </c>
      <c r="AL3989">
        <v>79.159266526202003</v>
      </c>
      <c r="AM3989">
        <v>89.513906773229607</v>
      </c>
      <c r="AN3989">
        <v>0.999999958397219</v>
      </c>
    </row>
    <row r="3990" spans="1:40" x14ac:dyDescent="0.25">
      <c r="A3990" t="str">
        <f>"20190304155136760"</f>
        <v>20190304155136760</v>
      </c>
      <c r="B3990" t="str">
        <f>"1551685896751161"</f>
        <v>1551685896751161</v>
      </c>
      <c r="C3990" t="s">
        <v>40</v>
      </c>
      <c r="D3990">
        <v>8.1430849999999992</v>
      </c>
      <c r="E3990">
        <v>0.62048700000000001</v>
      </c>
      <c r="F3990" t="s">
        <v>62</v>
      </c>
      <c r="G3990">
        <v>-190.28399999999999</v>
      </c>
      <c r="H3990" s="1">
        <v>6.1421199999999997E-6</v>
      </c>
      <c r="I3990">
        <v>204.47370000000001</v>
      </c>
      <c r="J3990">
        <v>-208.75380000000001</v>
      </c>
      <c r="K3990">
        <v>1.1042639999999999</v>
      </c>
      <c r="L3990">
        <v>213.1129</v>
      </c>
      <c r="M3990">
        <v>0.99238459999999995</v>
      </c>
      <c r="N3990">
        <v>-1.512092E-2</v>
      </c>
      <c r="O3990">
        <v>-0.1222471</v>
      </c>
      <c r="P3990">
        <v>0.97640439999999995</v>
      </c>
      <c r="Q3990">
        <v>0.1741848</v>
      </c>
      <c r="R3990">
        <v>-0.1276496</v>
      </c>
      <c r="S3990">
        <v>2.9335939999999998</v>
      </c>
      <c r="T3990">
        <v>-0.17210610000000001</v>
      </c>
      <c r="U3990">
        <v>-1.3535919999999999</v>
      </c>
      <c r="V3990">
        <v>1.0145680000000001E-2</v>
      </c>
      <c r="W3990">
        <v>0.18892339999999999</v>
      </c>
      <c r="X3990">
        <v>0.98193940000000002</v>
      </c>
      <c r="Y3990">
        <v>0.30434329999999998</v>
      </c>
      <c r="Z3990">
        <v>-5.9168819999999896E-3</v>
      </c>
      <c r="AA3990">
        <v>0.95254399999999995</v>
      </c>
      <c r="AB3990">
        <v>37</v>
      </c>
      <c r="AC3990">
        <v>18.4697999999999</v>
      </c>
      <c r="AD3990">
        <v>-1.10425785788</v>
      </c>
      <c r="AE3990">
        <v>-8.6391999999999793</v>
      </c>
      <c r="AF3990">
        <v>6.2977806783376904</v>
      </c>
      <c r="AG3990">
        <v>-1.10425785788</v>
      </c>
      <c r="AH3990">
        <v>19.330782792359301</v>
      </c>
      <c r="AI3990">
        <v>93.108939414949901</v>
      </c>
      <c r="AJ3990">
        <v>71.954895197865298</v>
      </c>
      <c r="AK3990">
        <v>20.3607610431071</v>
      </c>
      <c r="AL3990">
        <v>79.110038115437803</v>
      </c>
      <c r="AM3990">
        <v>89.408024609599593</v>
      </c>
      <c r="AN3990">
        <v>0.999999985581291</v>
      </c>
    </row>
    <row r="3991" spans="1:40" x14ac:dyDescent="0.25">
      <c r="A3991" t="str">
        <f>"20190304155136783"</f>
        <v>20190304155136783</v>
      </c>
      <c r="B3991" t="str">
        <f>"1551685896780441"</f>
        <v>1551685896780441</v>
      </c>
      <c r="C3991" t="s">
        <v>40</v>
      </c>
      <c r="D3991">
        <v>5.4040629999999998</v>
      </c>
      <c r="E3991">
        <v>0.62125600000000003</v>
      </c>
      <c r="F3991" t="s">
        <v>62</v>
      </c>
      <c r="G3991">
        <v>-189.52780000000001</v>
      </c>
      <c r="H3991" s="1">
        <v>6.2840619999999999E-6</v>
      </c>
      <c r="I3991">
        <v>204.0429</v>
      </c>
      <c r="J3991">
        <v>-208.3811</v>
      </c>
      <c r="K3991">
        <v>1.1040319999999999</v>
      </c>
      <c r="L3991">
        <v>213.0607</v>
      </c>
      <c r="M3991">
        <v>0.99150609999999995</v>
      </c>
      <c r="N3991">
        <v>-1.5139069999999999E-2</v>
      </c>
      <c r="O3991">
        <v>-0.12917629999999999</v>
      </c>
      <c r="P3991">
        <v>0.97507980000000005</v>
      </c>
      <c r="Q3991">
        <v>0.1749645</v>
      </c>
      <c r="R3991">
        <v>-0.13640679999999999</v>
      </c>
      <c r="S3991">
        <v>2.92218</v>
      </c>
      <c r="T3991">
        <v>-0.16783709999999999</v>
      </c>
      <c r="U3991">
        <v>-1.378555</v>
      </c>
      <c r="V3991">
        <v>1.224314E-2</v>
      </c>
      <c r="W3991">
        <v>0.1896824</v>
      </c>
      <c r="X3991">
        <v>0.98176909999999895</v>
      </c>
      <c r="Y3991">
        <v>0.3058013</v>
      </c>
      <c r="Z3991">
        <v>-5.6670720000000004E-3</v>
      </c>
      <c r="AA3991">
        <v>0.95207850000000005</v>
      </c>
      <c r="AB3991">
        <v>37</v>
      </c>
      <c r="AC3991">
        <v>18.853299999999901</v>
      </c>
      <c r="AD3991">
        <v>-1.10402571593799</v>
      </c>
      <c r="AE3991">
        <v>-9.0177999999999905</v>
      </c>
      <c r="AF3991">
        <v>6.4884425818676696</v>
      </c>
      <c r="AG3991">
        <v>-1.10402571593799</v>
      </c>
      <c r="AH3991">
        <v>19.805054193147299</v>
      </c>
      <c r="AI3991">
        <v>93.032362546357902</v>
      </c>
      <c r="AJ3991">
        <v>71.860402534184004</v>
      </c>
      <c r="AK3991">
        <v>20.870048670598401</v>
      </c>
      <c r="AL3991">
        <v>79.065749285974604</v>
      </c>
      <c r="AM3991">
        <v>89.2855306912153</v>
      </c>
      <c r="AN3991">
        <v>0.99999993653081198</v>
      </c>
    </row>
    <row r="3992" spans="1:40" x14ac:dyDescent="0.25">
      <c r="A3992" t="str">
        <f>"20190304155136805"</f>
        <v>20190304155136805</v>
      </c>
      <c r="B3992" t="str">
        <f>"1551685896800940"</f>
        <v>1551685896800940</v>
      </c>
      <c r="C3992" t="s">
        <v>40</v>
      </c>
      <c r="D3992">
        <v>5.3783180000000002</v>
      </c>
      <c r="E3992">
        <v>0.62177360000000004</v>
      </c>
      <c r="F3992" t="s">
        <v>62</v>
      </c>
      <c r="G3992">
        <v>-188.8904</v>
      </c>
      <c r="H3992" s="1">
        <v>6.2953399999999999E-6</v>
      </c>
      <c r="I3992">
        <v>203.6112</v>
      </c>
      <c r="J3992">
        <v>-208.01740000000001</v>
      </c>
      <c r="K3992">
        <v>1.1037870000000001</v>
      </c>
      <c r="L3992">
        <v>213.0069</v>
      </c>
      <c r="M3992">
        <v>0.99056310000000003</v>
      </c>
      <c r="N3992">
        <v>-1.515975E-2</v>
      </c>
      <c r="O3992">
        <v>-0.136216</v>
      </c>
      <c r="P3992">
        <v>0.97391380000000005</v>
      </c>
      <c r="Q3992">
        <v>0.1745787</v>
      </c>
      <c r="R3992">
        <v>-0.14496199999999901</v>
      </c>
      <c r="S3992">
        <v>2.9089360000000002</v>
      </c>
      <c r="T3992">
        <v>-0.16477229999999901</v>
      </c>
      <c r="U3992">
        <v>-1.410309</v>
      </c>
      <c r="V3992">
        <v>1.399239E-2</v>
      </c>
      <c r="W3992">
        <v>0.18928300000000001</v>
      </c>
      <c r="X3992">
        <v>0.9818228</v>
      </c>
      <c r="Y3992">
        <v>0.3091699</v>
      </c>
      <c r="Z3992">
        <v>-5.5045629999999996E-3</v>
      </c>
      <c r="AA3992">
        <v>0.95099089999999997</v>
      </c>
      <c r="AB3992">
        <v>37</v>
      </c>
      <c r="AC3992">
        <v>19.126999999999999</v>
      </c>
      <c r="AD3992">
        <v>-1.1037807046599999</v>
      </c>
      <c r="AE3992">
        <v>-9.3956999999999997</v>
      </c>
      <c r="AF3992">
        <v>6.6844676135405203</v>
      </c>
      <c r="AG3992">
        <v>-1.1037807046599999</v>
      </c>
      <c r="AH3992">
        <v>20.174546024903101</v>
      </c>
      <c r="AI3992">
        <v>92.972987334730803</v>
      </c>
      <c r="AJ3992">
        <v>71.668327196954706</v>
      </c>
      <c r="AK3992">
        <v>21.281746789946201</v>
      </c>
      <c r="AL3992">
        <v>79.089055316647404</v>
      </c>
      <c r="AM3992">
        <v>89.183507836101697</v>
      </c>
      <c r="AN3992">
        <v>0.99999992583337305</v>
      </c>
    </row>
    <row r="3993" spans="1:40" x14ac:dyDescent="0.25">
      <c r="A3993" t="str">
        <f>"20190304155136829"</f>
        <v>20190304155136829</v>
      </c>
      <c r="B3993" t="str">
        <f>"1551685896820456"</f>
        <v>1551685896820456</v>
      </c>
      <c r="C3993" t="s">
        <v>40</v>
      </c>
      <c r="D3993">
        <v>5.3504959999999997</v>
      </c>
      <c r="E3993">
        <v>0.62248429999999999</v>
      </c>
      <c r="F3993" t="s">
        <v>62</v>
      </c>
      <c r="G3993">
        <v>-188.71170000000001</v>
      </c>
      <c r="H3993" s="1">
        <v>6.3286440000000002E-6</v>
      </c>
      <c r="I3993">
        <v>203.4049</v>
      </c>
      <c r="J3993">
        <v>-207.64879999999999</v>
      </c>
      <c r="K3993">
        <v>1.1035219999999999</v>
      </c>
      <c r="L3993">
        <v>212.9495</v>
      </c>
      <c r="M3993">
        <v>0.9895119</v>
      </c>
      <c r="N3993">
        <v>-1.518335E-2</v>
      </c>
      <c r="O3993">
        <v>-0.14365159999999999</v>
      </c>
      <c r="P3993">
        <v>0.97276399999999996</v>
      </c>
      <c r="Q3993">
        <v>0.17279539999999999</v>
      </c>
      <c r="R3993">
        <v>-0.1545059</v>
      </c>
      <c r="S3993">
        <v>2.8956759999999999</v>
      </c>
      <c r="T3993">
        <v>-0.1655575</v>
      </c>
      <c r="U3993">
        <v>-1.4402159999999999</v>
      </c>
      <c r="V3993">
        <v>1.629999E-2</v>
      </c>
      <c r="W3993">
        <v>0.1874815</v>
      </c>
      <c r="X3993">
        <v>0.98213289999999998</v>
      </c>
      <c r="Y3993">
        <v>0.31163869999999999</v>
      </c>
      <c r="Z3993">
        <v>-5.3249279999999996E-3</v>
      </c>
      <c r="AA3993">
        <v>0.95018570000000002</v>
      </c>
      <c r="AB3993">
        <v>37</v>
      </c>
      <c r="AC3993">
        <v>18.937099999999901</v>
      </c>
      <c r="AD3993">
        <v>-1.1035156713559999</v>
      </c>
      <c r="AE3993">
        <v>-9.5446000000000009</v>
      </c>
      <c r="AF3993">
        <v>6.7067646017840996</v>
      </c>
      <c r="AG3993">
        <v>-1.1035156713559999</v>
      </c>
      <c r="AH3993">
        <v>20.057587522733701</v>
      </c>
      <c r="AI3993">
        <v>92.986854673689294</v>
      </c>
      <c r="AJ3993">
        <v>71.511330637441603</v>
      </c>
      <c r="AK3993">
        <v>21.1779426643098</v>
      </c>
      <c r="AL3993">
        <v>79.194156429206203</v>
      </c>
      <c r="AM3993">
        <v>89.049176644529098</v>
      </c>
      <c r="AN3993">
        <v>1.00000001788932</v>
      </c>
    </row>
    <row r="3994" spans="1:40" x14ac:dyDescent="0.25">
      <c r="A3994" t="str">
        <f>"20190304155136849"</f>
        <v>20190304155136849</v>
      </c>
      <c r="B3994" t="str">
        <f>"1551685896840952"</f>
        <v>1551685896840952</v>
      </c>
      <c r="C3994" t="s">
        <v>40</v>
      </c>
      <c r="D3994">
        <v>5.9473699999999896</v>
      </c>
      <c r="E3994">
        <v>0.62313180000000001</v>
      </c>
      <c r="F3994" t="s">
        <v>62</v>
      </c>
      <c r="G3994">
        <v>-188.86850000000001</v>
      </c>
      <c r="H3994" s="1">
        <v>6.3895700000000002E-6</v>
      </c>
      <c r="I3994">
        <v>203.33090000000001</v>
      </c>
      <c r="J3994">
        <v>-207.28899999999999</v>
      </c>
      <c r="K3994">
        <v>1.103254</v>
      </c>
      <c r="L3994">
        <v>212.89019999999999</v>
      </c>
      <c r="M3994">
        <v>0.98838179999999998</v>
      </c>
      <c r="N3994">
        <v>-1.5209250000000001E-2</v>
      </c>
      <c r="O3994">
        <v>-0.151228799999999</v>
      </c>
      <c r="P3994">
        <v>0.97129750000000004</v>
      </c>
      <c r="Q3994">
        <v>0.17192499999999999</v>
      </c>
      <c r="R3994">
        <v>-0.16438800000000001</v>
      </c>
      <c r="S3994">
        <v>2.879807</v>
      </c>
      <c r="T3994">
        <v>-0.16921559999999999</v>
      </c>
      <c r="U3994">
        <v>-1.4749300000000001</v>
      </c>
      <c r="V3994">
        <v>1.8851130000000001E-2</v>
      </c>
      <c r="W3994">
        <v>0.18658540000000001</v>
      </c>
      <c r="X3994">
        <v>0.98225790000000002</v>
      </c>
      <c r="Y3994">
        <v>0.31554280000000001</v>
      </c>
      <c r="Z3994">
        <v>-5.1964610000000003E-3</v>
      </c>
      <c r="AA3994">
        <v>0.94889710000000005</v>
      </c>
      <c r="AB3994">
        <v>37</v>
      </c>
      <c r="AC3994">
        <v>18.420500000000001</v>
      </c>
      <c r="AD3994">
        <v>-1.10324761043</v>
      </c>
      <c r="AE3994">
        <v>-9.5592999999999808</v>
      </c>
      <c r="AF3994">
        <v>6.6445209892177299</v>
      </c>
      <c r="AG3994">
        <v>-1.10324761043</v>
      </c>
      <c r="AH3994">
        <v>19.599013938839398</v>
      </c>
      <c r="AI3994">
        <v>93.051584300324507</v>
      </c>
      <c r="AJ3994">
        <v>71.272147407843093</v>
      </c>
      <c r="AK3994">
        <v>20.7240961646316</v>
      </c>
      <c r="AL3994">
        <v>79.2464215956782</v>
      </c>
      <c r="AM3994">
        <v>88.900535580766501</v>
      </c>
      <c r="AN3994">
        <v>1.00000002935392</v>
      </c>
    </row>
    <row r="3995" spans="1:40" x14ac:dyDescent="0.25">
      <c r="A3995" t="str">
        <f>"20190304155136873"</f>
        <v>20190304155136873</v>
      </c>
      <c r="B3995" t="str">
        <f>"1551685896860472"</f>
        <v>1551685896860472</v>
      </c>
      <c r="C3995" t="s">
        <v>40</v>
      </c>
      <c r="D3995">
        <v>5.3498229999999998</v>
      </c>
      <c r="E3995">
        <v>0.62372099999999997</v>
      </c>
      <c r="F3995" t="s">
        <v>62</v>
      </c>
      <c r="G3995">
        <v>-188.2672</v>
      </c>
      <c r="H3995" s="1">
        <v>6.4243009999999999E-6</v>
      </c>
      <c r="I3995">
        <v>202.85550000000001</v>
      </c>
      <c r="J3995">
        <v>-206.92920000000001</v>
      </c>
      <c r="K3995">
        <v>1.102984</v>
      </c>
      <c r="L3995">
        <v>212.8278</v>
      </c>
      <c r="M3995">
        <v>0.98714919999999995</v>
      </c>
      <c r="N3995">
        <v>-1.523683E-2</v>
      </c>
      <c r="O3995">
        <v>-0.15907370000000001</v>
      </c>
      <c r="P3995">
        <v>0.96965699999999999</v>
      </c>
      <c r="Q3995">
        <v>0.17129929999999999</v>
      </c>
      <c r="R3995">
        <v>-0.17441999999999999</v>
      </c>
      <c r="S3995">
        <v>2.862457</v>
      </c>
      <c r="T3995">
        <v>-0.16602039999999901</v>
      </c>
      <c r="U3995">
        <v>-1.5100559999999901</v>
      </c>
      <c r="V3995">
        <v>2.129847E-2</v>
      </c>
      <c r="W3995">
        <v>0.18593370000000001</v>
      </c>
      <c r="X3995">
        <v>0.98233150000000002</v>
      </c>
      <c r="Y3995">
        <v>0.31950050000000002</v>
      </c>
      <c r="Z3995">
        <v>-5.0409309999999898E-3</v>
      </c>
      <c r="AA3995">
        <v>0.94757270000000005</v>
      </c>
      <c r="AB3995">
        <v>37</v>
      </c>
      <c r="AC3995">
        <v>18.661999999999999</v>
      </c>
      <c r="AD3995">
        <v>-1.1029775756989999</v>
      </c>
      <c r="AE3995">
        <v>-9.97229999999999</v>
      </c>
      <c r="AF3995">
        <v>6.8576782937694798</v>
      </c>
      <c r="AG3995">
        <v>-1.1029775756989999</v>
      </c>
      <c r="AH3995">
        <v>19.956603466754601</v>
      </c>
      <c r="AI3995">
        <v>92.992064618698194</v>
      </c>
      <c r="AJ3995">
        <v>71.035765354496604</v>
      </c>
      <c r="AK3995">
        <v>21.130791112559201</v>
      </c>
      <c r="AL3995">
        <v>79.284426764446096</v>
      </c>
      <c r="AM3995">
        <v>88.757933267679803</v>
      </c>
      <c r="AN3995">
        <v>1.0000000707561301</v>
      </c>
    </row>
    <row r="3996" spans="1:40" x14ac:dyDescent="0.25">
      <c r="A3996" t="str">
        <f>"20190304155136895"</f>
        <v>20190304155136895</v>
      </c>
      <c r="B3996" t="str">
        <f>"1551685896890732"</f>
        <v>1551685896890732</v>
      </c>
      <c r="C3996" t="s">
        <v>40</v>
      </c>
      <c r="D3996">
        <v>5.3984019999999999</v>
      </c>
      <c r="E3996">
        <v>0.62393920000000003</v>
      </c>
      <c r="F3996" t="s">
        <v>62</v>
      </c>
      <c r="G3996">
        <v>-188.23339999999999</v>
      </c>
      <c r="H3996" s="1">
        <v>6.4788950000000004E-6</v>
      </c>
      <c r="I3996">
        <v>202.6798</v>
      </c>
      <c r="J3996">
        <v>-206.5626</v>
      </c>
      <c r="K3996">
        <v>1.1027180000000001</v>
      </c>
      <c r="L3996">
        <v>212.7611</v>
      </c>
      <c r="M3996">
        <v>0.9857783</v>
      </c>
      <c r="N3996">
        <v>-1.526432E-2</v>
      </c>
      <c r="O3996">
        <v>-0.16735630000000001</v>
      </c>
      <c r="P3996">
        <v>0.96783470000000005</v>
      </c>
      <c r="Q3996">
        <v>0.1706539</v>
      </c>
      <c r="R3996">
        <v>-0.18485989999999999</v>
      </c>
      <c r="S3996">
        <v>2.8456730000000001</v>
      </c>
      <c r="T3996">
        <v>-0.16788320000000001</v>
      </c>
      <c r="U3996">
        <v>-1.5446169999999999</v>
      </c>
      <c r="V3996">
        <v>2.3728679999999999E-2</v>
      </c>
      <c r="W3996">
        <v>0.18525949999999999</v>
      </c>
      <c r="X3996">
        <v>0.98240309999999997</v>
      </c>
      <c r="Y3996">
        <v>0.32277309999999998</v>
      </c>
      <c r="Z3996">
        <v>-4.8508600000000002E-3</v>
      </c>
      <c r="AA3996">
        <v>0.94646390000000002</v>
      </c>
      <c r="AB3996">
        <v>37</v>
      </c>
      <c r="AC3996">
        <v>18.3292</v>
      </c>
      <c r="AD3996">
        <v>-1.102711521105</v>
      </c>
      <c r="AE3996">
        <v>-10.081300000000001</v>
      </c>
      <c r="AF3996">
        <v>6.85217956306363</v>
      </c>
      <c r="AG3996">
        <v>-1.102711521105</v>
      </c>
      <c r="AH3996">
        <v>19.703247740034399</v>
      </c>
      <c r="AI3996">
        <v>93.025874303159</v>
      </c>
      <c r="AJ3996">
        <v>70.823907784613098</v>
      </c>
      <c r="AK3996">
        <v>20.889861391795201</v>
      </c>
      <c r="AL3996">
        <v>79.323737726079301</v>
      </c>
      <c r="AM3996">
        <v>88.616363363104597</v>
      </c>
      <c r="AN3996">
        <v>0.999999991742201</v>
      </c>
    </row>
    <row r="3997" spans="1:40" x14ac:dyDescent="0.25">
      <c r="A3997" t="str">
        <f>"20190304155136919"</f>
        <v>20190304155136919</v>
      </c>
      <c r="B3997" t="str">
        <f>"1551685896910250"</f>
        <v>1551685896910250</v>
      </c>
      <c r="C3997" t="s">
        <v>40</v>
      </c>
      <c r="D3997">
        <v>5.37873</v>
      </c>
      <c r="E3997">
        <v>0.62395319999999899</v>
      </c>
      <c r="F3997" t="s">
        <v>62</v>
      </c>
      <c r="G3997">
        <v>-188.4196</v>
      </c>
      <c r="H3997" s="1">
        <v>6.5307900000000004E-6</v>
      </c>
      <c r="I3997">
        <v>202.6498</v>
      </c>
      <c r="J3997">
        <v>-206.18469999999999</v>
      </c>
      <c r="K3997">
        <v>1.1024449999999999</v>
      </c>
      <c r="L3997">
        <v>212.68870000000001</v>
      </c>
      <c r="M3997">
        <v>0.98423210000000005</v>
      </c>
      <c r="N3997">
        <v>-1.529343E-2</v>
      </c>
      <c r="O3997">
        <v>-0.1762193</v>
      </c>
      <c r="P3997">
        <v>0.9657173</v>
      </c>
      <c r="Q3997">
        <v>0.17021819999999999</v>
      </c>
      <c r="R3997">
        <v>-0.19599939999999999</v>
      </c>
      <c r="S3997">
        <v>2.8288730000000002</v>
      </c>
      <c r="T3997">
        <v>-0.17193559999999999</v>
      </c>
      <c r="U3997">
        <v>-1.5765530000000001</v>
      </c>
      <c r="V3997">
        <v>2.6315040000000001E-2</v>
      </c>
      <c r="W3997">
        <v>0.18478939999999999</v>
      </c>
      <c r="X3997">
        <v>0.98242569999999996</v>
      </c>
      <c r="Y3997">
        <v>0.32478829999999997</v>
      </c>
      <c r="Z3997">
        <v>-4.577093E-3</v>
      </c>
      <c r="AA3997">
        <v>0.9457757</v>
      </c>
      <c r="AB3997">
        <v>37</v>
      </c>
      <c r="AC3997">
        <v>17.765099999999901</v>
      </c>
      <c r="AD3997">
        <v>-1.10243846921</v>
      </c>
      <c r="AE3997">
        <v>-10.0389</v>
      </c>
      <c r="AF3997">
        <v>6.7311960538466797</v>
      </c>
      <c r="AG3997">
        <v>-1.10243846921</v>
      </c>
      <c r="AH3997">
        <v>19.200238309691098</v>
      </c>
      <c r="AI3997">
        <v>93.101517859114907</v>
      </c>
      <c r="AJ3997">
        <v>70.680416622147405</v>
      </c>
      <c r="AK3997">
        <v>20.375807273397601</v>
      </c>
      <c r="AL3997">
        <v>79.351145034133097</v>
      </c>
      <c r="AM3997">
        <v>88.465654660135201</v>
      </c>
      <c r="AN3997">
        <v>0.99999992985152297</v>
      </c>
    </row>
    <row r="3998" spans="1:40" x14ac:dyDescent="0.25">
      <c r="A3998" t="str">
        <f>"20190304155136940"</f>
        <v>20190304155136940</v>
      </c>
      <c r="B3998" t="str">
        <f>"1551685896930745"</f>
        <v>1551685896930745</v>
      </c>
      <c r="C3998" t="s">
        <v>40</v>
      </c>
      <c r="D3998">
        <v>5.3854839999999999</v>
      </c>
      <c r="E3998">
        <v>0.6237819</v>
      </c>
      <c r="F3998" t="s">
        <v>62</v>
      </c>
      <c r="G3998">
        <v>-188.5539</v>
      </c>
      <c r="H3998" s="1">
        <v>6.5766690000000003E-6</v>
      </c>
      <c r="I3998">
        <v>202.60429999999999</v>
      </c>
      <c r="J3998">
        <v>-205.82849999999999</v>
      </c>
      <c r="K3998">
        <v>1.1021829999999999</v>
      </c>
      <c r="L3998">
        <v>212.61699999999999</v>
      </c>
      <c r="M3998">
        <v>0.98264019999999996</v>
      </c>
      <c r="N3998">
        <v>-1.5323700000000001E-2</v>
      </c>
      <c r="O3998">
        <v>-0.18488789999999999</v>
      </c>
      <c r="P3998">
        <v>0.96362190000000003</v>
      </c>
      <c r="Q3998">
        <v>0.16908609999999999</v>
      </c>
      <c r="R3998">
        <v>-0.20698559999999999</v>
      </c>
      <c r="S3998">
        <v>2.8111419999999998</v>
      </c>
      <c r="T3998">
        <v>-0.1757782</v>
      </c>
      <c r="U3998">
        <v>-1.60791</v>
      </c>
      <c r="V3998">
        <v>2.8910999999999999E-2</v>
      </c>
      <c r="W3998">
        <v>0.18362339999999999</v>
      </c>
      <c r="X3998">
        <v>0.98257139999999998</v>
      </c>
      <c r="Y3998">
        <v>0.32695800000000003</v>
      </c>
      <c r="Z3998">
        <v>-4.2980609999999997E-3</v>
      </c>
      <c r="AA3998">
        <v>0.94502909999999996</v>
      </c>
      <c r="AB3998">
        <v>37</v>
      </c>
      <c r="AC3998">
        <v>17.2745999999999</v>
      </c>
      <c r="AD3998">
        <v>-1.1021764233310001</v>
      </c>
      <c r="AE3998">
        <v>-10.012700000000001</v>
      </c>
      <c r="AF3998">
        <v>6.6256077638714199</v>
      </c>
      <c r="AG3998">
        <v>-1.1021764233310001</v>
      </c>
      <c r="AH3998">
        <v>18.770955289361002</v>
      </c>
      <c r="AI3998">
        <v>93.169182804256806</v>
      </c>
      <c r="AJ3998">
        <v>70.558432390346496</v>
      </c>
      <c r="AK3998">
        <v>19.9364548900753</v>
      </c>
      <c r="AL3998">
        <v>79.419115563716005</v>
      </c>
      <c r="AM3998">
        <v>88.314625795537196</v>
      </c>
      <c r="AN3998">
        <v>0.99999997752325898</v>
      </c>
    </row>
    <row r="3999" spans="1:40" x14ac:dyDescent="0.25">
      <c r="A3999" t="str">
        <f>"20190304155136961"</f>
        <v>20190304155136961</v>
      </c>
      <c r="B3999" t="str">
        <f>"1551685896950265"</f>
        <v>1551685896950265</v>
      </c>
      <c r="C3999" t="s">
        <v>40</v>
      </c>
      <c r="D3999">
        <v>5.4216519999999999</v>
      </c>
      <c r="E3999">
        <v>0.62363310000000005</v>
      </c>
      <c r="F3999" t="s">
        <v>62</v>
      </c>
      <c r="G3999">
        <v>-188.66249999999999</v>
      </c>
      <c r="H3999" s="1">
        <v>6.622788E-6</v>
      </c>
      <c r="I3999">
        <v>202.5419</v>
      </c>
      <c r="J3999">
        <v>-205.48310000000001</v>
      </c>
      <c r="K3999">
        <v>1.1019159999999999</v>
      </c>
      <c r="L3999">
        <v>212.54409999999999</v>
      </c>
      <c r="M3999">
        <v>0.98096070000000002</v>
      </c>
      <c r="N3999">
        <v>-1.53565E-2</v>
      </c>
      <c r="O3999">
        <v>-0.19359879999999999</v>
      </c>
      <c r="P3999">
        <v>0.96152660000000001</v>
      </c>
      <c r="Q3999">
        <v>0.16863710000000001</v>
      </c>
      <c r="R3999">
        <v>-0.21686030000000001</v>
      </c>
      <c r="S3999">
        <v>2.7926329999999999</v>
      </c>
      <c r="T3999">
        <v>-0.179306299999999</v>
      </c>
      <c r="U3999">
        <v>-1.6390530000000001</v>
      </c>
      <c r="V3999">
        <v>3.0373150000000002E-2</v>
      </c>
      <c r="W3999">
        <v>0.1831602</v>
      </c>
      <c r="X3999">
        <v>0.98261370000000003</v>
      </c>
      <c r="Y3999">
        <v>0.32913290000000001</v>
      </c>
      <c r="Z3999">
        <v>-4.0018700000000003E-3</v>
      </c>
      <c r="AA3999">
        <v>0.94427510000000003</v>
      </c>
      <c r="AB3999">
        <v>36</v>
      </c>
      <c r="AC3999">
        <v>16.820599999999999</v>
      </c>
      <c r="AD3999">
        <v>-1.1019093772120001</v>
      </c>
      <c r="AE3999">
        <v>-10.002199999999901</v>
      </c>
      <c r="AF3999">
        <v>6.5353695262937297</v>
      </c>
      <c r="AG3999">
        <v>-1.1019093772120001</v>
      </c>
      <c r="AH3999">
        <v>18.380659015996699</v>
      </c>
      <c r="AI3999">
        <v>93.232926853336906</v>
      </c>
      <c r="AJ3999">
        <v>70.426807481383904</v>
      </c>
      <c r="AK3999">
        <v>19.539034904087099</v>
      </c>
      <c r="AL3999">
        <v>79.446112395161094</v>
      </c>
      <c r="AM3999">
        <v>88.229518503951894</v>
      </c>
      <c r="AN3999">
        <v>0.99999993526632402</v>
      </c>
    </row>
    <row r="4000" spans="1:40" x14ac:dyDescent="0.25">
      <c r="A4000" t="str">
        <f>"20190304155136984"</f>
        <v>20190304155136984</v>
      </c>
      <c r="B4000" t="str">
        <f>"1551685896980521"</f>
        <v>1551685896980521</v>
      </c>
      <c r="C4000" t="s">
        <v>40</v>
      </c>
      <c r="D4000">
        <v>5.4248770000000004</v>
      </c>
      <c r="E4000">
        <v>0.62302669999999905</v>
      </c>
      <c r="F4000" t="s">
        <v>62</v>
      </c>
      <c r="G4000">
        <v>-188.4393</v>
      </c>
      <c r="H4000" s="1">
        <v>6.6583850000000003E-6</v>
      </c>
      <c r="I4000">
        <v>202.3013</v>
      </c>
      <c r="J4000">
        <v>-205.12309999999999</v>
      </c>
      <c r="K4000">
        <v>1.1016189999999999</v>
      </c>
      <c r="L4000">
        <v>212.46449999999999</v>
      </c>
      <c r="M4000">
        <v>0.9790567</v>
      </c>
      <c r="N4000">
        <v>-1.5394100000000001E-2</v>
      </c>
      <c r="O4000">
        <v>-0.20300509999999999</v>
      </c>
      <c r="P4000">
        <v>0.95872369999999996</v>
      </c>
      <c r="Q4000">
        <v>0.16987149999999901</v>
      </c>
      <c r="R4000">
        <v>-0.22801869999999999</v>
      </c>
      <c r="S4000">
        <v>2.7753450000000002</v>
      </c>
      <c r="T4000">
        <v>-0.17943049999999999</v>
      </c>
      <c r="U4000">
        <v>-1.6679079999999999</v>
      </c>
      <c r="V4000">
        <v>3.2567140000000001E-2</v>
      </c>
      <c r="W4000">
        <v>0.184362</v>
      </c>
      <c r="X4000">
        <v>0.98231869999999999</v>
      </c>
      <c r="Y4000">
        <v>0.32988410000000001</v>
      </c>
      <c r="Z4000">
        <v>-3.643683E-3</v>
      </c>
      <c r="AA4000">
        <v>0.94401440000000003</v>
      </c>
      <c r="AB4000">
        <v>36</v>
      </c>
      <c r="AC4000">
        <v>16.683799999999898</v>
      </c>
      <c r="AD4000">
        <v>-1.1016123416150001</v>
      </c>
      <c r="AE4000">
        <v>-10.1631999999999</v>
      </c>
      <c r="AF4000">
        <v>6.5434231963870797</v>
      </c>
      <c r="AG4000">
        <v>-1.1016123416150001</v>
      </c>
      <c r="AH4000">
        <v>18.341424639553502</v>
      </c>
      <c r="AI4000">
        <v>93.237730966278093</v>
      </c>
      <c r="AJ4000">
        <v>70.365808791357296</v>
      </c>
      <c r="AK4000">
        <v>19.5048146539934</v>
      </c>
      <c r="AL4000">
        <v>79.376062078859107</v>
      </c>
      <c r="AM4000">
        <v>88.1011493817645</v>
      </c>
      <c r="AN4000">
        <v>0.99999999701073405</v>
      </c>
    </row>
    <row r="4001" spans="1:40" x14ac:dyDescent="0.25">
      <c r="A4001" t="str">
        <f>"20190304155137006"</f>
        <v>20190304155137006</v>
      </c>
      <c r="B4001" t="str">
        <f>"1551685897001017"</f>
        <v>1551685897001017</v>
      </c>
      <c r="C4001" t="s">
        <v>40</v>
      </c>
      <c r="D4001">
        <v>5.4561909999999996</v>
      </c>
      <c r="E4001">
        <v>0.62259849999999906</v>
      </c>
      <c r="F4001" t="s">
        <v>62</v>
      </c>
      <c r="G4001">
        <v>-188.0729</v>
      </c>
      <c r="H4001" s="1">
        <v>6.6899799999999998E-6</v>
      </c>
      <c r="I4001">
        <v>201.982</v>
      </c>
      <c r="J4001">
        <v>-204.76220000000001</v>
      </c>
      <c r="K4001">
        <v>1.101313</v>
      </c>
      <c r="L4001">
        <v>212.3809</v>
      </c>
      <c r="M4001">
        <v>0.97697929999999999</v>
      </c>
      <c r="N4001">
        <v>-1.543491E-2</v>
      </c>
      <c r="O4001">
        <v>-0.2127752</v>
      </c>
      <c r="P4001">
        <v>0.9554551</v>
      </c>
      <c r="Q4001">
        <v>0.17114109999999999</v>
      </c>
      <c r="R4001">
        <v>-0.24045040000000001</v>
      </c>
      <c r="S4001">
        <v>2.7575229999999999</v>
      </c>
      <c r="T4001">
        <v>-0.17816309999999999</v>
      </c>
      <c r="U4001">
        <v>-1.6953279999999999</v>
      </c>
      <c r="V4001">
        <v>3.573163E-2</v>
      </c>
      <c r="W4001">
        <v>0.18557570000000001</v>
      </c>
      <c r="X4001">
        <v>0.98198010000000002</v>
      </c>
      <c r="Y4001">
        <v>0.32999729999999999</v>
      </c>
      <c r="Z4001">
        <v>-3.2652929999999998E-3</v>
      </c>
      <c r="AA4001">
        <v>0.94397620000000004</v>
      </c>
      <c r="AB4001">
        <v>36</v>
      </c>
      <c r="AC4001">
        <v>16.689299999999999</v>
      </c>
      <c r="AD4001">
        <v>-1.10130631002</v>
      </c>
      <c r="AE4001">
        <v>-10.3988999999999</v>
      </c>
      <c r="AF4001">
        <v>6.58856149509967</v>
      </c>
      <c r="AG4001">
        <v>-1.10130631002</v>
      </c>
      <c r="AH4001">
        <v>18.462023934524701</v>
      </c>
      <c r="AI4001">
        <v>93.215617727367203</v>
      </c>
      <c r="AJ4001">
        <v>70.359989858713703</v>
      </c>
      <c r="AK4001">
        <v>19.633347802200301</v>
      </c>
      <c r="AL4001">
        <v>79.305301231078801</v>
      </c>
      <c r="AM4001">
        <v>87.916079199092593</v>
      </c>
      <c r="AN4001">
        <v>1.00000000330447</v>
      </c>
    </row>
    <row r="4002" spans="1:40" x14ac:dyDescent="0.25">
      <c r="A4002" t="str">
        <f>"20190304155137030"</f>
        <v>20190304155137030</v>
      </c>
      <c r="B4002" t="str">
        <f>"1551685897020537"</f>
        <v>1551685897020537</v>
      </c>
      <c r="C4002" t="s">
        <v>40</v>
      </c>
      <c r="D4002">
        <v>5.4975209999999999</v>
      </c>
      <c r="E4002">
        <v>0.62224290000000004</v>
      </c>
      <c r="F4002" t="s">
        <v>62</v>
      </c>
      <c r="G4002">
        <v>-187.8853</v>
      </c>
      <c r="H4002" s="1">
        <v>6.7339970000000004E-6</v>
      </c>
      <c r="I4002">
        <v>201.7398</v>
      </c>
      <c r="J4002">
        <v>-204.40020000000001</v>
      </c>
      <c r="K4002">
        <v>1.1010089999999999</v>
      </c>
      <c r="L4002">
        <v>212.29259999999999</v>
      </c>
      <c r="M4002">
        <v>0.97470489999999999</v>
      </c>
      <c r="N4002">
        <v>-1.5479079999999999E-2</v>
      </c>
      <c r="O4002">
        <v>-0.2229593</v>
      </c>
      <c r="P4002">
        <v>0.95200320000000005</v>
      </c>
      <c r="Q4002">
        <v>0.17143720000000001</v>
      </c>
      <c r="R4002">
        <v>-0.25357299999999999</v>
      </c>
      <c r="S4002">
        <v>2.737473</v>
      </c>
      <c r="T4002">
        <v>-0.17863389999999901</v>
      </c>
      <c r="U4002">
        <v>-1.7259979999999999</v>
      </c>
      <c r="V4002">
        <v>3.9161580000000001E-2</v>
      </c>
      <c r="W4002">
        <v>0.1858109</v>
      </c>
      <c r="X4002">
        <v>0.98180480000000003</v>
      </c>
      <c r="Y4002">
        <v>0.33083439999999997</v>
      </c>
      <c r="Z4002">
        <v>-2.8745160000000001E-3</v>
      </c>
      <c r="AA4002">
        <v>0.94368450000000004</v>
      </c>
      <c r="AB4002">
        <v>36</v>
      </c>
      <c r="AC4002">
        <v>16.514900000000001</v>
      </c>
      <c r="AD4002">
        <v>-1.1010022660030001</v>
      </c>
      <c r="AE4002">
        <v>-10.5527999999999</v>
      </c>
      <c r="AF4002">
        <v>6.5837284661914097</v>
      </c>
      <c r="AG4002">
        <v>-1.1010022660030001</v>
      </c>
      <c r="AH4002">
        <v>18.394157936214299</v>
      </c>
      <c r="AI4002">
        <v>93.225492447890105</v>
      </c>
      <c r="AJ4002">
        <v>70.306443122838104</v>
      </c>
      <c r="AK4002">
        <v>19.567900569265898</v>
      </c>
      <c r="AL4002">
        <v>79.291586621981907</v>
      </c>
      <c r="AM4002">
        <v>87.715834726467406</v>
      </c>
      <c r="AN4002">
        <v>0.99999999260497296</v>
      </c>
    </row>
    <row r="4003" spans="1:40" x14ac:dyDescent="0.25">
      <c r="A4003" t="str">
        <f>"20190304155137856"</f>
        <v>20190304155137856</v>
      </c>
      <c r="B4003" t="str">
        <f>"1551685897850723"</f>
        <v>1551685897850723</v>
      </c>
      <c r="C4003" t="s">
        <v>40</v>
      </c>
      <c r="D4003">
        <v>4.8940830000000002</v>
      </c>
      <c r="E4003">
        <v>0.62242810000000004</v>
      </c>
      <c r="F4003" t="s">
        <v>62</v>
      </c>
      <c r="G4003">
        <v>-187.7413</v>
      </c>
      <c r="H4003" s="1">
        <v>6.7919280000000001E-6</v>
      </c>
      <c r="I4003">
        <v>201.48570000000001</v>
      </c>
      <c r="J4003">
        <v>-193.00470000000001</v>
      </c>
      <c r="K4003">
        <v>1.0929310000000001</v>
      </c>
      <c r="L4003">
        <v>206.01220000000001</v>
      </c>
      <c r="M4003">
        <v>0.70179930000000001</v>
      </c>
      <c r="N4003">
        <v>-1.7738190000000001E-2</v>
      </c>
      <c r="O4003">
        <v>-0.71215410000000001</v>
      </c>
      <c r="P4003">
        <v>0.55614269999999999</v>
      </c>
      <c r="Q4003">
        <v>0.1645026</v>
      </c>
      <c r="R4003">
        <v>-0.81464399999999904</v>
      </c>
      <c r="S4003">
        <v>2.7145229999999998</v>
      </c>
      <c r="T4003">
        <v>-0.1794055</v>
      </c>
      <c r="U4003">
        <v>-1.760956</v>
      </c>
      <c r="V4003">
        <v>0.18314050000000001</v>
      </c>
      <c r="W4003">
        <v>0.17417579999999999</v>
      </c>
      <c r="X4003">
        <v>0.96753420000000001</v>
      </c>
      <c r="Y4003">
        <v>-0.21481800000000001</v>
      </c>
      <c r="Z4003">
        <v>3.2399789999999998E-2</v>
      </c>
      <c r="AA4003">
        <v>0.97611650000000005</v>
      </c>
      <c r="AB4003">
        <v>34</v>
      </c>
      <c r="AC4003">
        <v>5.2634000000000096</v>
      </c>
      <c r="AD4003">
        <v>-1.0929242080720001</v>
      </c>
      <c r="AE4003">
        <v>-4.5264999999999898</v>
      </c>
      <c r="AF4003">
        <v>-0.55791884207164</v>
      </c>
      <c r="AG4003">
        <v>-1.0929242080720001</v>
      </c>
      <c r="AH4003">
        <v>6.7511712223860298</v>
      </c>
      <c r="AI4003">
        <v>99.164932832526105</v>
      </c>
      <c r="AJ4003">
        <v>94.724205624291997</v>
      </c>
      <c r="AK4003">
        <v>6.8617832691583702</v>
      </c>
      <c r="AL4003">
        <v>79.969302067348806</v>
      </c>
      <c r="AM4003">
        <v>79.281532105915403</v>
      </c>
      <c r="AN4003">
        <v>1.00000004010776</v>
      </c>
    </row>
    <row r="4004" spans="1:40" x14ac:dyDescent="0.25">
      <c r="A4004" t="str">
        <f>"20190304155138181"</f>
        <v>20190304155138181</v>
      </c>
      <c r="B4004" t="str">
        <f>"1551685898170847"</f>
        <v>1551685898170847</v>
      </c>
      <c r="C4004" t="s">
        <v>40</v>
      </c>
      <c r="D4004">
        <v>5.4782400000000004</v>
      </c>
      <c r="E4004">
        <v>0.62242810000000004</v>
      </c>
      <c r="F4004" t="s">
        <v>41</v>
      </c>
      <c r="G4004">
        <v>-187.98759999999999</v>
      </c>
      <c r="H4004" s="1">
        <v>-4.2546870000000004E-6</v>
      </c>
      <c r="I4004">
        <v>188.71850000000001</v>
      </c>
      <c r="J4004">
        <v>-190.22309999999999</v>
      </c>
      <c r="K4004">
        <v>1.092028</v>
      </c>
      <c r="L4004">
        <v>201.96530000000001</v>
      </c>
      <c r="M4004">
        <v>0.46453909999999998</v>
      </c>
      <c r="N4004">
        <v>-1.8577759999999999E-2</v>
      </c>
      <c r="O4004">
        <v>-0.88535759999999897</v>
      </c>
      <c r="P4004">
        <v>0.3205539</v>
      </c>
      <c r="Q4004">
        <v>0.17911079999999999</v>
      </c>
      <c r="R4004">
        <v>-0.93014240000000004</v>
      </c>
      <c r="S4004">
        <v>0.90135189999999998</v>
      </c>
      <c r="T4004">
        <v>-0.19635050000000001</v>
      </c>
      <c r="U4004">
        <v>-3.1068880000000001</v>
      </c>
      <c r="V4004">
        <v>0.1568841</v>
      </c>
      <c r="W4004">
        <v>0.19039490000000001</v>
      </c>
      <c r="X4004">
        <v>0.96909089999999998</v>
      </c>
      <c r="Y4004">
        <v>0.19950960000000001</v>
      </c>
      <c r="Z4004">
        <v>3.3517959999999999E-2</v>
      </c>
      <c r="AA4004">
        <v>0.97932240000000004</v>
      </c>
      <c r="AB4004">
        <v>33</v>
      </c>
      <c r="AC4004">
        <v>2.2355</v>
      </c>
      <c r="AD4004">
        <v>-1.092032254687</v>
      </c>
      <c r="AE4004">
        <v>-13.2468</v>
      </c>
      <c r="AF4004">
        <v>4.1477533234266604</v>
      </c>
      <c r="AG4004">
        <v>-1.092032254687</v>
      </c>
      <c r="AH4004">
        <v>12.685017828135299</v>
      </c>
      <c r="AI4004">
        <v>94.677816536306807</v>
      </c>
      <c r="AJ4004">
        <v>71.893265209585095</v>
      </c>
      <c r="AK4004">
        <v>13.3905216245441</v>
      </c>
      <c r="AL4004">
        <v>79.024169060455407</v>
      </c>
      <c r="AM4004">
        <v>80.804285013576305</v>
      </c>
      <c r="AN4004">
        <v>1.00000000562081</v>
      </c>
    </row>
    <row r="4005" spans="1:40" x14ac:dyDescent="0.25">
      <c r="A4005" t="str">
        <f>"20190304155138203"</f>
        <v>20190304155138203</v>
      </c>
      <c r="B4005" t="str">
        <f>"1551685898201104"</f>
        <v>1551685898201104</v>
      </c>
      <c r="C4005" t="s">
        <v>40</v>
      </c>
      <c r="D4005">
        <v>5.4852910000000001</v>
      </c>
      <c r="E4005">
        <v>0.62294579999999999</v>
      </c>
      <c r="F4005" t="s">
        <v>41</v>
      </c>
      <c r="G4005">
        <v>-189.87620000000001</v>
      </c>
      <c r="H4005" s="1">
        <v>-3.4619030000000001E-6</v>
      </c>
      <c r="I4005">
        <v>177.6514</v>
      </c>
      <c r="J4005">
        <v>-190.0831</v>
      </c>
      <c r="K4005">
        <v>1.092004</v>
      </c>
      <c r="L4005">
        <v>201.66909999999999</v>
      </c>
      <c r="M4005">
        <v>0.4464014</v>
      </c>
      <c r="N4005">
        <v>-1.8611579999999999E-2</v>
      </c>
      <c r="O4005">
        <v>-0.89463950000000003</v>
      </c>
      <c r="P4005">
        <v>0.30558340000000001</v>
      </c>
      <c r="Q4005">
        <v>0.17916860000000001</v>
      </c>
      <c r="R4005">
        <v>-0.93515649999999995</v>
      </c>
      <c r="S4005">
        <v>4.6188350000000003E-2</v>
      </c>
      <c r="T4005">
        <v>-0.14540349999999999</v>
      </c>
      <c r="U4005">
        <v>-3.2373959999999999</v>
      </c>
      <c r="V4005">
        <v>0.1526864</v>
      </c>
      <c r="W4005">
        <v>0.19067619999999999</v>
      </c>
      <c r="X4005">
        <v>0.96970579999999995</v>
      </c>
      <c r="Y4005">
        <v>0.43338080000000001</v>
      </c>
      <c r="Z4005">
        <v>1.7042789999999999E-2</v>
      </c>
      <c r="AA4005">
        <v>0.90104980000000001</v>
      </c>
      <c r="AB4005">
        <v>33</v>
      </c>
      <c r="AC4005">
        <v>0.20689999999999001</v>
      </c>
      <c r="AD4005">
        <v>-1.092007461903</v>
      </c>
      <c r="AE4005">
        <v>-24.017699999999898</v>
      </c>
      <c r="AF4005">
        <v>10.5165186032877</v>
      </c>
      <c r="AG4005">
        <v>-1.092007461903</v>
      </c>
      <c r="AH4005">
        <v>21.538755100559101</v>
      </c>
      <c r="AI4005">
        <v>92.608538753819204</v>
      </c>
      <c r="AJ4005">
        <v>63.9755807114284</v>
      </c>
      <c r="AK4005">
        <v>23.993907874958801</v>
      </c>
      <c r="AL4005">
        <v>79.007750300651395</v>
      </c>
      <c r="AM4005">
        <v>81.051878084048298</v>
      </c>
      <c r="AN4005">
        <v>0.99999994427251804</v>
      </c>
    </row>
    <row r="4006" spans="1:40" x14ac:dyDescent="0.25">
      <c r="A4006" t="str">
        <f>"20190304155138219"</f>
        <v>20190304155138219</v>
      </c>
      <c r="B4006" t="str">
        <f>"1551685898210864"</f>
        <v>1551685898210864</v>
      </c>
      <c r="C4006" t="s">
        <v>40</v>
      </c>
      <c r="D4006">
        <v>5.4696439999999997</v>
      </c>
      <c r="E4006">
        <v>0.62294659999999902</v>
      </c>
      <c r="F4006" t="s">
        <v>41</v>
      </c>
      <c r="G4006">
        <v>-190.16130000000001</v>
      </c>
      <c r="H4006" s="1">
        <v>-3.3700279999999998E-6</v>
      </c>
      <c r="I4006">
        <v>177.34469999999999</v>
      </c>
      <c r="J4006">
        <v>-189.98400000000001</v>
      </c>
      <c r="K4006">
        <v>1.0919939999999999</v>
      </c>
      <c r="L4006">
        <v>201.44829999999999</v>
      </c>
      <c r="M4006">
        <v>0.43283919999999998</v>
      </c>
      <c r="N4006">
        <v>-1.8633940000000002E-2</v>
      </c>
      <c r="O4006">
        <v>-0.90127860000000004</v>
      </c>
      <c r="P4006">
        <v>0.29335840000000002</v>
      </c>
      <c r="Q4006">
        <v>0.1794055</v>
      </c>
      <c r="R4006">
        <v>-0.93901809999999997</v>
      </c>
      <c r="S4006">
        <v>-1.0406489999999999E-2</v>
      </c>
      <c r="T4006">
        <v>-0.1454221</v>
      </c>
      <c r="U4006">
        <v>-3.2392729999999998</v>
      </c>
      <c r="V4006">
        <v>0.1506827</v>
      </c>
      <c r="W4006">
        <v>0.191025</v>
      </c>
      <c r="X4006">
        <v>0.9699506</v>
      </c>
      <c r="Y4006">
        <v>0.4355176</v>
      </c>
      <c r="Z4006">
        <v>1.734401E-2</v>
      </c>
      <c r="AA4006">
        <v>0.90001309999999901</v>
      </c>
      <c r="AB4006">
        <v>32</v>
      </c>
      <c r="AC4006">
        <v>-0.17730000000000201</v>
      </c>
      <c r="AD4006">
        <v>-1.0919973700279999</v>
      </c>
      <c r="AE4006">
        <v>-24.1036</v>
      </c>
      <c r="AF4006">
        <v>10.5729190047012</v>
      </c>
      <c r="AG4006">
        <v>-1.0919973700279999</v>
      </c>
      <c r="AH4006">
        <v>21.606729449818801</v>
      </c>
      <c r="AI4006">
        <v>92.599219272075004</v>
      </c>
      <c r="AJ4006">
        <v>63.9259000466202</v>
      </c>
      <c r="AK4006">
        <v>24.0796559787258</v>
      </c>
      <c r="AL4006">
        <v>78.987391898066306</v>
      </c>
      <c r="AM4006">
        <v>81.1696345838794</v>
      </c>
      <c r="AN4006">
        <v>0.99999999657232497</v>
      </c>
    </row>
    <row r="4007" spans="1:40" x14ac:dyDescent="0.25">
      <c r="A4007" t="str">
        <f>"20190304155138238"</f>
        <v>20190304155138238</v>
      </c>
      <c r="B4007" t="str">
        <f>"1551685898230383"</f>
        <v>1551685898230383</v>
      </c>
      <c r="C4007" t="s">
        <v>40</v>
      </c>
      <c r="D4007">
        <v>5.4620749999999996</v>
      </c>
      <c r="E4007">
        <v>0.62294659999999902</v>
      </c>
      <c r="F4007" t="s">
        <v>41</v>
      </c>
      <c r="G4007">
        <v>-190.38630000000001</v>
      </c>
      <c r="H4007" s="1">
        <v>-3.2522130000000001E-6</v>
      </c>
      <c r="I4007">
        <v>176.93049999999999</v>
      </c>
      <c r="J4007">
        <v>-189.87690000000001</v>
      </c>
      <c r="K4007">
        <v>1.0919810000000001</v>
      </c>
      <c r="L4007">
        <v>201.1996</v>
      </c>
      <c r="M4007">
        <v>0.41751199999999999</v>
      </c>
      <c r="N4007">
        <v>-1.8656530000000001E-2</v>
      </c>
      <c r="O4007">
        <v>-0.90847979999999995</v>
      </c>
      <c r="P4007">
        <v>0.28068850000000001</v>
      </c>
      <c r="Q4007">
        <v>0.17912990000000001</v>
      </c>
      <c r="R4007">
        <v>-0.94293490000000002</v>
      </c>
      <c r="S4007">
        <v>-5.3146359999999997E-2</v>
      </c>
      <c r="T4007">
        <v>-0.1442609</v>
      </c>
      <c r="U4007">
        <v>-3.2389830000000002</v>
      </c>
      <c r="V4007">
        <v>0.14731949999999999</v>
      </c>
      <c r="W4007">
        <v>0.19092709999999999</v>
      </c>
      <c r="X4007">
        <v>0.97048630000000002</v>
      </c>
      <c r="Y4007">
        <v>0.4321488</v>
      </c>
      <c r="Z4007">
        <v>1.7492799999999999E-2</v>
      </c>
      <c r="AA4007">
        <v>0.90163269999999995</v>
      </c>
      <c r="AB4007">
        <v>32</v>
      </c>
      <c r="AC4007">
        <v>-0.50939999999999896</v>
      </c>
      <c r="AD4007">
        <v>-1.0919842522130001</v>
      </c>
      <c r="AE4007">
        <v>-24.269100000000002</v>
      </c>
      <c r="AF4007">
        <v>10.575863360403799</v>
      </c>
      <c r="AG4007">
        <v>-1.0919842522130001</v>
      </c>
      <c r="AH4007">
        <v>21.795003505703701</v>
      </c>
      <c r="AI4007">
        <v>92.580915457882398</v>
      </c>
      <c r="AJ4007">
        <v>64.115364589277803</v>
      </c>
      <c r="AK4007">
        <v>24.250020479138801</v>
      </c>
      <c r="AL4007">
        <v>78.993105539176696</v>
      </c>
      <c r="AM4007">
        <v>81.368416621254099</v>
      </c>
      <c r="AN4007">
        <v>0.99999992554117201</v>
      </c>
    </row>
    <row r="4008" spans="1:40" x14ac:dyDescent="0.25">
      <c r="A4008" t="str">
        <f>"20190304155138252"</f>
        <v>20190304155138252</v>
      </c>
      <c r="B4008" t="str">
        <f>"1551685898250879"</f>
        <v>1551685898250879</v>
      </c>
      <c r="C4008" t="s">
        <v>40</v>
      </c>
      <c r="D4008">
        <v>5.4736599999999997</v>
      </c>
      <c r="E4008">
        <v>0.62262949999999995</v>
      </c>
      <c r="F4008" t="s">
        <v>41</v>
      </c>
      <c r="G4008">
        <v>-190.61709999999999</v>
      </c>
      <c r="H4008" s="1">
        <v>-3.1782130000000001E-6</v>
      </c>
      <c r="I4008">
        <v>176.61490000000001</v>
      </c>
      <c r="J4008">
        <v>-189.791</v>
      </c>
      <c r="K4008">
        <v>1.0919779999999999</v>
      </c>
      <c r="L4008">
        <v>200.99170000000001</v>
      </c>
      <c r="M4008">
        <v>0.40466190000000002</v>
      </c>
      <c r="N4008">
        <v>-1.86733E-2</v>
      </c>
      <c r="O4008">
        <v>-0.91427579999999997</v>
      </c>
      <c r="P4008">
        <v>0.26897270000000001</v>
      </c>
      <c r="Q4008">
        <v>0.17868010000000001</v>
      </c>
      <c r="R4008">
        <v>-0.94642879999999996</v>
      </c>
      <c r="S4008">
        <v>-9.7488400000000003E-2</v>
      </c>
      <c r="T4008">
        <v>-0.14381840000000001</v>
      </c>
      <c r="U4008">
        <v>-3.2378999999999998</v>
      </c>
      <c r="V4008">
        <v>0.1456857</v>
      </c>
      <c r="W4008">
        <v>0.19056999999999999</v>
      </c>
      <c r="X4008">
        <v>0.97080310000000003</v>
      </c>
      <c r="Y4008">
        <v>0.43178179999999999</v>
      </c>
      <c r="Z4008">
        <v>1.7704040000000001E-2</v>
      </c>
      <c r="AA4008">
        <v>0.9018043</v>
      </c>
      <c r="AB4008">
        <v>32</v>
      </c>
      <c r="AC4008">
        <v>-0.82609999999999595</v>
      </c>
      <c r="AD4008">
        <v>-1.091981178213</v>
      </c>
      <c r="AE4008">
        <v>-24.376799999999999</v>
      </c>
      <c r="AF4008">
        <v>10.600249594104101</v>
      </c>
      <c r="AG4008">
        <v>-1.091981178213</v>
      </c>
      <c r="AH4008">
        <v>21.912732218283001</v>
      </c>
      <c r="AI4008">
        <v>92.568564021173998</v>
      </c>
      <c r="AJ4008">
        <v>64.184697689551598</v>
      </c>
      <c r="AK4008">
        <v>24.3664841046273</v>
      </c>
      <c r="AL4008">
        <v>79.013948875244097</v>
      </c>
      <c r="AM4008">
        <v>81.465469047032101</v>
      </c>
      <c r="AN4008">
        <v>0.99999995352704896</v>
      </c>
    </row>
    <row r="4009" spans="1:40" x14ac:dyDescent="0.25">
      <c r="A4009" t="str">
        <f>"20190304155138268"</f>
        <v>20190304155138268</v>
      </c>
      <c r="B4009" t="str">
        <f>"1551685898260640"</f>
        <v>1551685898260640</v>
      </c>
      <c r="C4009" t="s">
        <v>40</v>
      </c>
      <c r="D4009">
        <v>5.4570589999999903</v>
      </c>
      <c r="E4009">
        <v>0.62248369999999997</v>
      </c>
      <c r="F4009" t="s">
        <v>41</v>
      </c>
      <c r="G4009">
        <v>-190.80369999999999</v>
      </c>
      <c r="H4009" s="1">
        <v>-3.314032E-6</v>
      </c>
      <c r="I4009">
        <v>176.81569999999999</v>
      </c>
      <c r="J4009">
        <v>-189.71</v>
      </c>
      <c r="K4009">
        <v>1.0919760000000001</v>
      </c>
      <c r="L4009">
        <v>200.78809999999999</v>
      </c>
      <c r="M4009">
        <v>0.39204499999999998</v>
      </c>
      <c r="N4009">
        <v>-1.868804E-2</v>
      </c>
      <c r="O4009">
        <v>-0.91975649999999998</v>
      </c>
      <c r="P4009">
        <v>0.25696020000000003</v>
      </c>
      <c r="Q4009">
        <v>0.1783817</v>
      </c>
      <c r="R4009">
        <v>-0.94981709999999997</v>
      </c>
      <c r="S4009">
        <v>-0.13554379999999999</v>
      </c>
      <c r="T4009">
        <v>-0.14616009999999999</v>
      </c>
      <c r="U4009">
        <v>-3.235916</v>
      </c>
      <c r="V4009">
        <v>0.14463709999999999</v>
      </c>
      <c r="W4009">
        <v>0.19033549999999999</v>
      </c>
      <c r="X4009">
        <v>0.97100589999999998</v>
      </c>
      <c r="Y4009">
        <v>0.42997770000000002</v>
      </c>
      <c r="Z4009">
        <v>1.864331E-2</v>
      </c>
      <c r="AA4009">
        <v>0.90264699999999998</v>
      </c>
      <c r="AB4009">
        <v>32</v>
      </c>
      <c r="AC4009">
        <v>-1.0936999999999799</v>
      </c>
      <c r="AD4009">
        <v>-1.091979314032</v>
      </c>
      <c r="AE4009">
        <v>-23.9724</v>
      </c>
      <c r="AF4009">
        <v>10.384509192807</v>
      </c>
      <c r="AG4009">
        <v>-1.091979314032</v>
      </c>
      <c r="AH4009">
        <v>21.579079206758401</v>
      </c>
      <c r="AI4009">
        <v>92.610788052644395</v>
      </c>
      <c r="AJ4009">
        <v>64.301725312225798</v>
      </c>
      <c r="AK4009">
        <v>23.9726325089532</v>
      </c>
      <c r="AL4009">
        <v>79.027635491184597</v>
      </c>
      <c r="AM4009">
        <v>81.527747028230195</v>
      </c>
      <c r="AN4009">
        <v>0.99999997554573405</v>
      </c>
    </row>
    <row r="4010" spans="1:40" x14ac:dyDescent="0.25">
      <c r="A4010" t="str">
        <f>"20190304155138282"</f>
        <v>20190304155138282</v>
      </c>
      <c r="B4010" t="str">
        <f>"1551685898270401"</f>
        <v>1551685898270401</v>
      </c>
      <c r="C4010" t="s">
        <v>40</v>
      </c>
      <c r="D4010">
        <v>5.4958989999999996</v>
      </c>
      <c r="E4010">
        <v>0.622216199999999</v>
      </c>
      <c r="F4010" t="s">
        <v>41</v>
      </c>
      <c r="G4010">
        <v>-191.00890000000001</v>
      </c>
      <c r="H4010" s="1">
        <v>-3.3881709999999999E-6</v>
      </c>
      <c r="I4010">
        <v>176.8612</v>
      </c>
      <c r="J4010">
        <v>-189.6354</v>
      </c>
      <c r="K4010">
        <v>1.091982</v>
      </c>
      <c r="L4010">
        <v>200.59</v>
      </c>
      <c r="M4010">
        <v>0.37975560000000003</v>
      </c>
      <c r="N4010">
        <v>-1.869985E-2</v>
      </c>
      <c r="O4010">
        <v>-0.92489779999999999</v>
      </c>
      <c r="P4010">
        <v>0.24706719999999999</v>
      </c>
      <c r="Q4010">
        <v>0.177095899999999</v>
      </c>
      <c r="R4010">
        <v>-0.95267800000000002</v>
      </c>
      <c r="S4010">
        <v>-0.1755524</v>
      </c>
      <c r="T4010">
        <v>-0.14758209999999999</v>
      </c>
      <c r="U4010">
        <v>-3.2337340000000001</v>
      </c>
      <c r="V4010">
        <v>0.1418257</v>
      </c>
      <c r="W4010">
        <v>0.18919639999999999</v>
      </c>
      <c r="X4010">
        <v>0.97164300000000003</v>
      </c>
      <c r="Y4010">
        <v>0.42911450000000001</v>
      </c>
      <c r="Z4010">
        <v>1.9327199999999999E-2</v>
      </c>
      <c r="AA4010">
        <v>0.90304329999999999</v>
      </c>
      <c r="AB4010">
        <v>32</v>
      </c>
      <c r="AC4010">
        <v>-1.3734999999999999</v>
      </c>
      <c r="AD4010">
        <v>-1.091985388171</v>
      </c>
      <c r="AE4010">
        <v>-23.7288</v>
      </c>
      <c r="AF4010">
        <v>10.261630854902</v>
      </c>
      <c r="AG4010">
        <v>-1.091985388171</v>
      </c>
      <c r="AH4010">
        <v>21.383733284163199</v>
      </c>
      <c r="AI4010">
        <v>92.636006597630796</v>
      </c>
      <c r="AJ4010">
        <v>64.364571722886296</v>
      </c>
      <c r="AK4010">
        <v>23.743579112225</v>
      </c>
      <c r="AL4010">
        <v>79.094108849281</v>
      </c>
      <c r="AM4010">
        <v>81.695478167499303</v>
      </c>
      <c r="AN4010">
        <v>0.99999996320122397</v>
      </c>
    </row>
    <row r="4011" spans="1:40" x14ac:dyDescent="0.25">
      <c r="A4011" t="str">
        <f>"20190304155138296"</f>
        <v>20190304155138296</v>
      </c>
      <c r="B4011" t="str">
        <f>"1551685898290896"</f>
        <v>1551685898290896</v>
      </c>
      <c r="C4011" t="s">
        <v>40</v>
      </c>
      <c r="D4011">
        <v>5.4518740000000001</v>
      </c>
      <c r="E4011">
        <v>0.62170389999999998</v>
      </c>
      <c r="F4011" t="s">
        <v>41</v>
      </c>
      <c r="G4011">
        <v>-191.1199</v>
      </c>
      <c r="H4011" s="1">
        <v>-3.6640649999999999E-6</v>
      </c>
      <c r="I4011">
        <v>177.43549999999999</v>
      </c>
      <c r="J4011">
        <v>-189.56270000000001</v>
      </c>
      <c r="K4011">
        <v>1.0919859999999999</v>
      </c>
      <c r="L4011">
        <v>200.39</v>
      </c>
      <c r="M4011">
        <v>0.3673167</v>
      </c>
      <c r="N4011">
        <v>-1.870985E-2</v>
      </c>
      <c r="O4011">
        <v>-0.92990790000000001</v>
      </c>
      <c r="P4011">
        <v>0.23566010000000001</v>
      </c>
      <c r="Q4011">
        <v>0.17673079999999999</v>
      </c>
      <c r="R4011">
        <v>-0.95563109999999996</v>
      </c>
      <c r="S4011">
        <v>-0.20715330000000001</v>
      </c>
      <c r="T4011">
        <v>-0.15238009999999999</v>
      </c>
      <c r="U4011">
        <v>-3.2310639999999999</v>
      </c>
      <c r="V4011">
        <v>0.14041439999999999</v>
      </c>
      <c r="W4011">
        <v>0.1889093</v>
      </c>
      <c r="X4011">
        <v>0.97190390000000004</v>
      </c>
      <c r="Y4011">
        <v>0.42583310000000002</v>
      </c>
      <c r="Z4011">
        <v>2.0939869999999999E-2</v>
      </c>
      <c r="AA4011">
        <v>0.90455940000000001</v>
      </c>
      <c r="AB4011">
        <v>32</v>
      </c>
      <c r="AC4011">
        <v>-1.5571999999999899</v>
      </c>
      <c r="AD4011">
        <v>-1.091989664065</v>
      </c>
      <c r="AE4011">
        <v>-22.954499999999999</v>
      </c>
      <c r="AF4011">
        <v>9.8591419809468697</v>
      </c>
      <c r="AG4011">
        <v>-1.091989664065</v>
      </c>
      <c r="AH4011">
        <v>20.7305188842695</v>
      </c>
      <c r="AI4011">
        <v>92.723493026460702</v>
      </c>
      <c r="AJ4011">
        <v>64.564899459889105</v>
      </c>
      <c r="AK4011">
        <v>22.981504198766999</v>
      </c>
      <c r="AL4011">
        <v>79.110861610143502</v>
      </c>
      <c r="AM4011">
        <v>81.7791576013298</v>
      </c>
      <c r="AN4011">
        <v>1.0000000590945199</v>
      </c>
    </row>
    <row r="4012" spans="1:40" x14ac:dyDescent="0.25">
      <c r="A4012" t="str">
        <f>"20190304155138310"</f>
        <v>20190304155138310</v>
      </c>
      <c r="B4012" t="str">
        <f>"1551685898300656"</f>
        <v>1551685898300656</v>
      </c>
      <c r="C4012" t="s">
        <v>40</v>
      </c>
      <c r="D4012">
        <v>5.5030769999999896</v>
      </c>
      <c r="E4012">
        <v>0.62138319999999903</v>
      </c>
      <c r="F4012" t="s">
        <v>41</v>
      </c>
      <c r="G4012">
        <v>-191.2732</v>
      </c>
      <c r="H4012" s="1">
        <v>-3.7525309999999999E-6</v>
      </c>
      <c r="I4012">
        <v>177.54669999999999</v>
      </c>
      <c r="J4012">
        <v>-189.4939</v>
      </c>
      <c r="K4012">
        <v>1.0919890000000001</v>
      </c>
      <c r="L4012">
        <v>200.19380000000001</v>
      </c>
      <c r="M4012">
        <v>0.35508719999999999</v>
      </c>
      <c r="N4012">
        <v>-1.8717950000000001E-2</v>
      </c>
      <c r="O4012">
        <v>-0.93464590000000003</v>
      </c>
      <c r="P4012">
        <v>0.22468850000000001</v>
      </c>
      <c r="Q4012">
        <v>0.176007</v>
      </c>
      <c r="R4012">
        <v>-0.95840340000000002</v>
      </c>
      <c r="S4012">
        <v>-0.24166869999999999</v>
      </c>
      <c r="T4012">
        <v>-0.1542819</v>
      </c>
      <c r="U4012">
        <v>-3.227417</v>
      </c>
      <c r="V4012">
        <v>0.13881749999999901</v>
      </c>
      <c r="W4012">
        <v>0.18827160000000001</v>
      </c>
      <c r="X4012">
        <v>0.97225689999999998</v>
      </c>
      <c r="Y4012">
        <v>0.42365429999999998</v>
      </c>
      <c r="Z4012">
        <v>2.179215E-2</v>
      </c>
      <c r="AA4012">
        <v>0.90556170000000002</v>
      </c>
      <c r="AB4012">
        <v>32</v>
      </c>
      <c r="AC4012">
        <v>-1.7793000000000001</v>
      </c>
      <c r="AD4012">
        <v>-1.09199275253099</v>
      </c>
      <c r="AE4012">
        <v>-22.647099999999998</v>
      </c>
      <c r="AF4012">
        <v>9.6840333347835106</v>
      </c>
      <c r="AG4012">
        <v>-1.09199275253099</v>
      </c>
      <c r="AH4012">
        <v>20.491458944400598</v>
      </c>
      <c r="AI4012">
        <v>92.758418632482105</v>
      </c>
      <c r="AJ4012">
        <v>64.705107974479802</v>
      </c>
      <c r="AK4012">
        <v>22.690809581652999</v>
      </c>
      <c r="AL4012">
        <v>79.148065946782097</v>
      </c>
      <c r="AM4012">
        <v>81.874306653540501</v>
      </c>
      <c r="AN4012">
        <v>0.99999998663520895</v>
      </c>
    </row>
    <row r="4013" spans="1:40" x14ac:dyDescent="0.25">
      <c r="A4013" t="str">
        <f>"20190304155138327"</f>
        <v>20190304155138327</v>
      </c>
      <c r="B4013" t="str">
        <f>"1551685898321152"</f>
        <v>1551685898321152</v>
      </c>
      <c r="C4013" t="s">
        <v>40</v>
      </c>
      <c r="D4013">
        <v>5.4951879999999997</v>
      </c>
      <c r="E4013">
        <v>0.62099950000000004</v>
      </c>
      <c r="F4013" t="s">
        <v>41</v>
      </c>
      <c r="G4013">
        <v>-191.40350000000001</v>
      </c>
      <c r="H4013" s="1">
        <v>-3.9248049999999996E-6</v>
      </c>
      <c r="I4013">
        <v>177.86750000000001</v>
      </c>
      <c r="J4013">
        <v>-189.41749999999999</v>
      </c>
      <c r="K4013">
        <v>1.0920069999999999</v>
      </c>
      <c r="L4013">
        <v>199.965</v>
      </c>
      <c r="M4013">
        <v>0.34080129999999997</v>
      </c>
      <c r="N4013">
        <v>-1.8724959999999999E-2</v>
      </c>
      <c r="O4013">
        <v>-0.93994900000000003</v>
      </c>
      <c r="P4013">
        <v>0.21317240000000001</v>
      </c>
      <c r="Q4013">
        <v>0.17504910000000001</v>
      </c>
      <c r="R4013">
        <v>-0.96120539999999999</v>
      </c>
      <c r="S4013">
        <v>-0.27572629999999998</v>
      </c>
      <c r="T4013">
        <v>-0.15767779999999901</v>
      </c>
      <c r="U4013">
        <v>-3.2238009999999999</v>
      </c>
      <c r="V4013">
        <v>0.13567019999999999</v>
      </c>
      <c r="W4013">
        <v>0.1874731</v>
      </c>
      <c r="X4013">
        <v>0.97285529999999998</v>
      </c>
      <c r="Y4013">
        <v>0.41942249999999998</v>
      </c>
      <c r="Z4013">
        <v>2.3121309999999999E-2</v>
      </c>
      <c r="AA4013">
        <v>0.90749669999999905</v>
      </c>
      <c r="AB4013">
        <v>32</v>
      </c>
      <c r="AC4013">
        <v>-1.98600000000001</v>
      </c>
      <c r="AD4013">
        <v>-1.0920109248050001</v>
      </c>
      <c r="AE4013">
        <v>-22.0975</v>
      </c>
      <c r="AF4013">
        <v>9.3765269432293508</v>
      </c>
      <c r="AG4013">
        <v>-1.0920109248050001</v>
      </c>
      <c r="AH4013">
        <v>20.0486435378848</v>
      </c>
      <c r="AI4013">
        <v>92.8246089490343</v>
      </c>
      <c r="AJ4013">
        <v>64.935032424411702</v>
      </c>
      <c r="AK4013">
        <v>22.1598703309872</v>
      </c>
      <c r="AL4013">
        <v>79.194646212026797</v>
      </c>
      <c r="AM4013">
        <v>82.060979458445104</v>
      </c>
      <c r="AN4013">
        <v>1.0000000005648699</v>
      </c>
    </row>
    <row r="4014" spans="1:40" x14ac:dyDescent="0.25">
      <c r="A4014" t="str">
        <f>"20190304155138351"</f>
        <v>20190304155138351</v>
      </c>
      <c r="B4014" t="str">
        <f>"1551685898340671"</f>
        <v>1551685898340671</v>
      </c>
      <c r="C4014" t="s">
        <v>40</v>
      </c>
      <c r="D4014">
        <v>5.5041549999999999</v>
      </c>
      <c r="E4014">
        <v>0.59038590000000002</v>
      </c>
      <c r="F4014" t="s">
        <v>41</v>
      </c>
      <c r="G4014">
        <v>-191.53809999999999</v>
      </c>
      <c r="H4014" s="1">
        <v>-4.0471270000000003E-6</v>
      </c>
      <c r="I4014">
        <v>178.07769999999999</v>
      </c>
      <c r="J4014">
        <v>-189.31559999999999</v>
      </c>
      <c r="K4014">
        <v>1.092025</v>
      </c>
      <c r="L4014">
        <v>199.637</v>
      </c>
      <c r="M4014">
        <v>0.32030059999999999</v>
      </c>
      <c r="N4014">
        <v>-1.8728209999999999E-2</v>
      </c>
      <c r="O4014">
        <v>-0.9471311</v>
      </c>
      <c r="P4014">
        <v>0.1974081</v>
      </c>
      <c r="Q4014">
        <v>0.17397599999999999</v>
      </c>
      <c r="R4014">
        <v>-0.96476090000000003</v>
      </c>
      <c r="S4014">
        <v>-0.31193539999999997</v>
      </c>
      <c r="T4014">
        <v>-0.1606301</v>
      </c>
      <c r="U4014">
        <v>-3.2195279999999999</v>
      </c>
      <c r="V4014">
        <v>0.13045010000000001</v>
      </c>
      <c r="W4014">
        <v>0.18665709999999999</v>
      </c>
      <c r="X4014">
        <v>0.97372579999999997</v>
      </c>
      <c r="Y4014">
        <v>0.40990369999999998</v>
      </c>
      <c r="Z4014">
        <v>2.456771E-2</v>
      </c>
      <c r="AA4014">
        <v>0.91179790000000005</v>
      </c>
      <c r="AB4014">
        <v>32</v>
      </c>
      <c r="AC4014">
        <v>-2.2224999999999899</v>
      </c>
      <c r="AD4014">
        <v>-1.092029047127</v>
      </c>
      <c r="AE4014">
        <v>-21.5593</v>
      </c>
      <c r="AF4014">
        <v>8.9892130189622996</v>
      </c>
      <c r="AG4014">
        <v>-1.092029047127</v>
      </c>
      <c r="AH4014">
        <v>19.661153802736699</v>
      </c>
      <c r="AI4014">
        <v>92.891737491952696</v>
      </c>
      <c r="AJ4014">
        <v>65.429798853576003</v>
      </c>
      <c r="AK4014">
        <v>21.646234014140099</v>
      </c>
      <c r="AL4014">
        <v>79.242239898141307</v>
      </c>
      <c r="AM4014">
        <v>82.369515333404905</v>
      </c>
      <c r="AN4014">
        <v>1.0000000175780199</v>
      </c>
    </row>
    <row r="4015" spans="1:40" x14ac:dyDescent="0.25">
      <c r="A4015" t="str">
        <f>"20190304155138384"</f>
        <v>20190304155138384</v>
      </c>
      <c r="B4015" t="str">
        <f>"1551685898380689"</f>
        <v>1551685898380689</v>
      </c>
      <c r="C4015" t="s">
        <v>40</v>
      </c>
      <c r="D4015">
        <v>5.5172549999999996</v>
      </c>
      <c r="E4015">
        <v>0.58043420000000001</v>
      </c>
      <c r="F4015" t="s">
        <v>41</v>
      </c>
      <c r="G4015">
        <v>-189.93389999999999</v>
      </c>
      <c r="H4015" s="1">
        <v>-1.9752850000000002E-6</v>
      </c>
      <c r="I4015">
        <v>184.2099</v>
      </c>
      <c r="J4015">
        <v>-189.1823</v>
      </c>
      <c r="K4015">
        <v>1.092076</v>
      </c>
      <c r="L4015">
        <v>199.16499999999999</v>
      </c>
      <c r="M4015">
        <v>0.29076590000000002</v>
      </c>
      <c r="N4015">
        <v>-1.8716549999999998E-2</v>
      </c>
      <c r="O4015">
        <v>-0.95661130000000005</v>
      </c>
      <c r="P4015">
        <v>0.17372960000000001</v>
      </c>
      <c r="Q4015">
        <v>0.17223150000000001</v>
      </c>
      <c r="R4015">
        <v>-0.96961569999999997</v>
      </c>
      <c r="S4015">
        <v>-0.1273041</v>
      </c>
      <c r="T4015">
        <v>-0.22482969999999999</v>
      </c>
      <c r="U4015">
        <v>-3.1761780000000002</v>
      </c>
      <c r="V4015">
        <v>0.1240506</v>
      </c>
      <c r="W4015">
        <v>0.18521869999999999</v>
      </c>
      <c r="X4015">
        <v>0.97483620000000004</v>
      </c>
      <c r="Y4015">
        <v>0.32855869999999998</v>
      </c>
      <c r="Z4015">
        <v>4.5247790000000003E-2</v>
      </c>
      <c r="AA4015">
        <v>0.94339910000000005</v>
      </c>
      <c r="AB4015">
        <v>32</v>
      </c>
      <c r="AC4015">
        <v>-0.75159999999999605</v>
      </c>
      <c r="AD4015">
        <v>-1.0920779752850001</v>
      </c>
      <c r="AE4015">
        <v>-14.9550999999999</v>
      </c>
      <c r="AF4015">
        <v>5.04149333116517</v>
      </c>
      <c r="AG4015">
        <v>-1.0920779752850001</v>
      </c>
      <c r="AH4015">
        <v>14.0155945959707</v>
      </c>
      <c r="AI4015">
        <v>94.193403726047407</v>
      </c>
      <c r="AJ4015">
        <v>70.216037866312107</v>
      </c>
      <c r="AK4015">
        <v>14.934730703661399</v>
      </c>
      <c r="AL4015">
        <v>79.326117381524099</v>
      </c>
      <c r="AM4015">
        <v>82.747931020741603</v>
      </c>
      <c r="AN4015">
        <v>1.0000000675102401</v>
      </c>
    </row>
    <row r="4016" spans="1:40" x14ac:dyDescent="0.25">
      <c r="A4016" t="str">
        <f>"20190304155138406"</f>
        <v>20190304155138406</v>
      </c>
      <c r="B4016" t="str">
        <f>"1551685898401184"</f>
        <v>1551685898401184</v>
      </c>
      <c r="C4016" t="s">
        <v>40</v>
      </c>
      <c r="D4016">
        <v>5.466437</v>
      </c>
      <c r="E4016">
        <v>0.5784823</v>
      </c>
      <c r="F4016" t="s">
        <v>41</v>
      </c>
      <c r="G4016">
        <v>-189.7792</v>
      </c>
      <c r="H4016" s="1">
        <v>-2.1286019999999999E-6</v>
      </c>
      <c r="I4016">
        <v>184.5033</v>
      </c>
      <c r="J4016">
        <v>-189.1054</v>
      </c>
      <c r="K4016">
        <v>1.0921190000000001</v>
      </c>
      <c r="L4016">
        <v>198.86320000000001</v>
      </c>
      <c r="M4016">
        <v>0.27187509999999998</v>
      </c>
      <c r="N4016">
        <v>-1.8696500000000001E-2</v>
      </c>
      <c r="O4016">
        <v>-0.96215090000000003</v>
      </c>
      <c r="P4016">
        <v>0.15994420000000001</v>
      </c>
      <c r="Q4016">
        <v>0.17057900000000001</v>
      </c>
      <c r="R4016">
        <v>-0.97227600000000003</v>
      </c>
      <c r="S4016">
        <v>-0.1285858</v>
      </c>
      <c r="T4016">
        <v>-0.235286</v>
      </c>
      <c r="U4016">
        <v>-3.1588440000000002</v>
      </c>
      <c r="V4016">
        <v>0.1186671</v>
      </c>
      <c r="W4016">
        <v>0.18381320000000001</v>
      </c>
      <c r="X4016">
        <v>0.97577190000000003</v>
      </c>
      <c r="Y4016">
        <v>0.31049339999999997</v>
      </c>
      <c r="Z4016">
        <v>4.9450210000000001E-2</v>
      </c>
      <c r="AA4016">
        <v>0.94928840000000003</v>
      </c>
      <c r="AB4016">
        <v>32</v>
      </c>
      <c r="AC4016">
        <v>-0.67379999999999995</v>
      </c>
      <c r="AD4016">
        <v>-1.0921211286020001</v>
      </c>
      <c r="AE4016">
        <v>-14.3599</v>
      </c>
      <c r="AF4016">
        <v>4.5270647864332298</v>
      </c>
      <c r="AG4016">
        <v>-1.0921211286020001</v>
      </c>
      <c r="AH4016">
        <v>13.557339533661301</v>
      </c>
      <c r="AI4016">
        <v>94.369389006966799</v>
      </c>
      <c r="AJ4016">
        <v>71.534812052724902</v>
      </c>
      <c r="AK4016">
        <v>14.334870050721699</v>
      </c>
      <c r="AL4016">
        <v>79.408052620947799</v>
      </c>
      <c r="AM4016">
        <v>83.066105945517293</v>
      </c>
      <c r="AN4016">
        <v>0.99999998697312897</v>
      </c>
    </row>
    <row r="4017" spans="1:40" x14ac:dyDescent="0.25">
      <c r="A4017" t="str">
        <f>"20190304155138427"</f>
        <v>20190304155138427</v>
      </c>
      <c r="B4017" t="str">
        <f>"1551685898420709"</f>
        <v>1551685898420709</v>
      </c>
      <c r="C4017" t="s">
        <v>40</v>
      </c>
      <c r="D4017">
        <v>5.6351950000000004</v>
      </c>
      <c r="E4017">
        <v>0.57920490000000002</v>
      </c>
      <c r="F4017" t="s">
        <v>41</v>
      </c>
      <c r="G4017">
        <v>-189.8433</v>
      </c>
      <c r="H4017" s="1">
        <v>-1.9785530000000002E-6</v>
      </c>
      <c r="I4017">
        <v>184.18</v>
      </c>
      <c r="J4017">
        <v>-189.0335</v>
      </c>
      <c r="K4017">
        <v>1.0921809999999901</v>
      </c>
      <c r="L4017">
        <v>198.5557</v>
      </c>
      <c r="M4017">
        <v>0.25267590000000001</v>
      </c>
      <c r="N4017">
        <v>-1.8665810000000001E-2</v>
      </c>
      <c r="O4017">
        <v>-0.96737119999999999</v>
      </c>
      <c r="P4017">
        <v>0.14666670000000001</v>
      </c>
      <c r="Q4017">
        <v>0.16929939999999999</v>
      </c>
      <c r="R4017">
        <v>-0.97459070000000003</v>
      </c>
      <c r="S4017">
        <v>-0.15844730000000001</v>
      </c>
      <c r="T4017">
        <v>-0.23450009999999999</v>
      </c>
      <c r="U4017">
        <v>-3.152771</v>
      </c>
      <c r="V4017">
        <v>0.1125095</v>
      </c>
      <c r="W4017">
        <v>0.1828091</v>
      </c>
      <c r="X4017">
        <v>0.97668949999999999</v>
      </c>
      <c r="Y4017">
        <v>0.300620099999999</v>
      </c>
      <c r="Z4017">
        <v>5.0051980000000003E-2</v>
      </c>
      <c r="AA4017">
        <v>0.95242969999999905</v>
      </c>
      <c r="AB4017">
        <v>32</v>
      </c>
      <c r="AC4017">
        <v>-0.80979999999999497</v>
      </c>
      <c r="AD4017">
        <v>-1.092182978553</v>
      </c>
      <c r="AE4017">
        <v>-14.375699999999901</v>
      </c>
      <c r="AF4017">
        <v>4.3912717260663703</v>
      </c>
      <c r="AG4017">
        <v>-1.092182978553</v>
      </c>
      <c r="AH4017">
        <v>13.626003287829199</v>
      </c>
      <c r="AI4017">
        <v>94.362669576225997</v>
      </c>
      <c r="AJ4017">
        <v>72.137351149125706</v>
      </c>
      <c r="AK4017">
        <v>14.3577190608649</v>
      </c>
      <c r="AL4017">
        <v>79.466574768830498</v>
      </c>
      <c r="AM4017">
        <v>83.428791293967507</v>
      </c>
      <c r="AN4017">
        <v>0.99999996702165395</v>
      </c>
    </row>
    <row r="4018" spans="1:40" x14ac:dyDescent="0.25">
      <c r="A4018" t="str">
        <f>"20190304155138449"</f>
        <v>20190304155138449</v>
      </c>
      <c r="B4018" t="str">
        <f>"1551685898441200"</f>
        <v>1551685898441200</v>
      </c>
      <c r="C4018" t="s">
        <v>40</v>
      </c>
      <c r="D4018">
        <v>4.8723429999999999</v>
      </c>
      <c r="E4018">
        <v>0.5784281</v>
      </c>
      <c r="F4018" t="s">
        <v>41</v>
      </c>
      <c r="G4018">
        <v>-190.0119</v>
      </c>
      <c r="H4018" s="1">
        <v>-1.783186E-6</v>
      </c>
      <c r="I4018">
        <v>183.73840000000001</v>
      </c>
      <c r="J4018">
        <v>-188.96549999999999</v>
      </c>
      <c r="K4018">
        <v>1.0922780000000001</v>
      </c>
      <c r="L4018">
        <v>198.2329</v>
      </c>
      <c r="M4018">
        <v>0.23263990000000001</v>
      </c>
      <c r="N4018">
        <v>-1.8616230000000001E-2</v>
      </c>
      <c r="O4018">
        <v>-0.97238480000000005</v>
      </c>
      <c r="P4018">
        <v>0.13401070000000001</v>
      </c>
      <c r="Q4018">
        <v>0.1686686</v>
      </c>
      <c r="R4018">
        <v>-0.97652039999999996</v>
      </c>
      <c r="S4018">
        <v>-0.2079926</v>
      </c>
      <c r="T4018">
        <v>-0.23217309999999999</v>
      </c>
      <c r="U4018">
        <v>-3.149826</v>
      </c>
      <c r="V4018">
        <v>0.1049291</v>
      </c>
      <c r="W4018">
        <v>0.18250530000000001</v>
      </c>
      <c r="X4018">
        <v>0.97758970000000001</v>
      </c>
      <c r="Y4018">
        <v>0.29590060000000001</v>
      </c>
      <c r="Z4018">
        <v>5.0035019999999999E-2</v>
      </c>
      <c r="AA4018">
        <v>0.95390739999999996</v>
      </c>
      <c r="AB4018">
        <v>32</v>
      </c>
      <c r="AC4018">
        <v>-1.0464</v>
      </c>
      <c r="AD4018">
        <v>-1.0922797831860001</v>
      </c>
      <c r="AE4018">
        <v>-14.494499999999899</v>
      </c>
      <c r="AF4018">
        <v>4.3656000147674803</v>
      </c>
      <c r="AG4018">
        <v>-1.0922797831860001</v>
      </c>
      <c r="AH4018">
        <v>13.7753743603826</v>
      </c>
      <c r="AI4018">
        <v>94.322609868017906</v>
      </c>
      <c r="AJ4018">
        <v>72.415896445557294</v>
      </c>
      <c r="AK4018">
        <v>14.491807250387399</v>
      </c>
      <c r="AL4018">
        <v>79.484279009313894</v>
      </c>
      <c r="AM4018">
        <v>83.873641042291894</v>
      </c>
      <c r="AN4018">
        <v>0.99999996105049405</v>
      </c>
    </row>
    <row r="4019" spans="1:40" x14ac:dyDescent="0.25">
      <c r="A4019" t="str">
        <f>"20190304155138471"</f>
        <v>20190304155138471</v>
      </c>
      <c r="B4019" t="str">
        <f>"1551685898460723"</f>
        <v>1551685898460723</v>
      </c>
      <c r="C4019" t="s">
        <v>40</v>
      </c>
      <c r="D4019">
        <v>4.9772919999999896</v>
      </c>
      <c r="E4019">
        <v>0.58103700000000003</v>
      </c>
      <c r="F4019" t="s">
        <v>41</v>
      </c>
      <c r="G4019">
        <v>-190.20089999999999</v>
      </c>
      <c r="H4019" s="1">
        <v>-1.159337E-6</v>
      </c>
      <c r="I4019">
        <v>182.167</v>
      </c>
      <c r="J4019">
        <v>-188.9074</v>
      </c>
      <c r="K4019">
        <v>1.0924149999999999</v>
      </c>
      <c r="L4019">
        <v>197.92660000000001</v>
      </c>
      <c r="M4019">
        <v>0.21377399999999999</v>
      </c>
      <c r="N4019">
        <v>-1.854983E-2</v>
      </c>
      <c r="O4019">
        <v>-0.97670699999999999</v>
      </c>
      <c r="P4019">
        <v>0.12209680000000001</v>
      </c>
      <c r="Q4019">
        <v>0.16834099999999999</v>
      </c>
      <c r="R4019">
        <v>-0.9781379</v>
      </c>
      <c r="S4019">
        <v>-0.24160770000000001</v>
      </c>
      <c r="T4019">
        <v>-0.21362900000000001</v>
      </c>
      <c r="U4019">
        <v>-3.1421809999999999</v>
      </c>
      <c r="V4019">
        <v>9.7833959999999998E-2</v>
      </c>
      <c r="W4019">
        <v>0.1824664</v>
      </c>
      <c r="X4019">
        <v>0.97833250000000005</v>
      </c>
      <c r="Y4019">
        <v>0.28775119999999998</v>
      </c>
      <c r="Z4019">
        <v>4.5271989999999998E-2</v>
      </c>
      <c r="AA4019">
        <v>0.9566346</v>
      </c>
      <c r="AB4019">
        <v>32</v>
      </c>
      <c r="AC4019">
        <v>-1.2934999999999901</v>
      </c>
      <c r="AD4019">
        <v>-1.0924161593370001</v>
      </c>
      <c r="AE4019">
        <v>-15.759600000000001</v>
      </c>
      <c r="AF4019">
        <v>4.6111525251863803</v>
      </c>
      <c r="AG4019">
        <v>-1.0924161593370001</v>
      </c>
      <c r="AH4019">
        <v>15.0467817038153</v>
      </c>
      <c r="AI4019">
        <v>93.970812591407494</v>
      </c>
      <c r="AJ4019">
        <v>72.9620859944432</v>
      </c>
      <c r="AK4019">
        <v>15.7753523040845</v>
      </c>
      <c r="AL4019">
        <v>79.486546035268503</v>
      </c>
      <c r="AM4019">
        <v>84.289365693237102</v>
      </c>
      <c r="AN4019">
        <v>0.99999997570724497</v>
      </c>
    </row>
    <row r="4020" spans="1:40" x14ac:dyDescent="0.25">
      <c r="A4020" t="str">
        <f>"20190304155138494"</f>
        <v>20190304155138494</v>
      </c>
      <c r="B4020" t="str">
        <f>"1551685898490976"</f>
        <v>1551685898490976</v>
      </c>
      <c r="C4020" t="s">
        <v>40</v>
      </c>
      <c r="D4020">
        <v>5.0379440000000004</v>
      </c>
      <c r="E4020">
        <v>0.58279369999999997</v>
      </c>
      <c r="F4020" t="s">
        <v>41</v>
      </c>
      <c r="G4020">
        <v>-190.66050000000001</v>
      </c>
      <c r="H4020" s="1">
        <v>-4.3594699999999898E-6</v>
      </c>
      <c r="I4020">
        <v>179.453</v>
      </c>
      <c r="J4020">
        <v>-188.85339999999999</v>
      </c>
      <c r="K4020">
        <v>1.0925940000000001</v>
      </c>
      <c r="L4020">
        <v>197.608</v>
      </c>
      <c r="M4020">
        <v>0.1943251</v>
      </c>
      <c r="N4020">
        <v>-1.846078E-2</v>
      </c>
      <c r="O4020">
        <v>-0.98076350000000001</v>
      </c>
      <c r="P4020">
        <v>0.1101868</v>
      </c>
      <c r="Q4020">
        <v>0.1696056</v>
      </c>
      <c r="R4020">
        <v>-0.97933300000000001</v>
      </c>
      <c r="S4020">
        <v>-0.29762270000000002</v>
      </c>
      <c r="T4020">
        <v>-0.18545210000000001</v>
      </c>
      <c r="U4020">
        <v>-3.1361240000000001</v>
      </c>
      <c r="V4020">
        <v>9.0204740000000005E-2</v>
      </c>
      <c r="W4020">
        <v>0.1840185</v>
      </c>
      <c r="X4020">
        <v>0.9787749</v>
      </c>
      <c r="Y4020">
        <v>0.285885099999999</v>
      </c>
      <c r="Z4020">
        <v>3.737058E-2</v>
      </c>
      <c r="AA4020">
        <v>0.95753489999999997</v>
      </c>
      <c r="AB4020">
        <v>31</v>
      </c>
      <c r="AC4020">
        <v>-1.8071000000000199</v>
      </c>
      <c r="AD4020">
        <v>-1.0925983594699999</v>
      </c>
      <c r="AE4020">
        <v>-18.155000000000001</v>
      </c>
      <c r="AF4020">
        <v>5.2822692682764103</v>
      </c>
      <c r="AG4020">
        <v>-1.0925983594699999</v>
      </c>
      <c r="AH4020">
        <v>17.3951863160353</v>
      </c>
      <c r="AI4020">
        <v>93.439368641095399</v>
      </c>
      <c r="AJ4020">
        <v>73.108420716057395</v>
      </c>
      <c r="AK4020">
        <v>18.212321289920101</v>
      </c>
      <c r="AL4020">
        <v>79.396085849216107</v>
      </c>
      <c r="AM4020">
        <v>84.734445746828101</v>
      </c>
      <c r="AN4020">
        <v>1.0000000041653601</v>
      </c>
    </row>
    <row r="4021" spans="1:40" x14ac:dyDescent="0.25">
      <c r="A4021" t="str">
        <f>"20190304155138518"</f>
        <v>20190304155138518</v>
      </c>
      <c r="B4021" t="str">
        <f>"1551685898510496"</f>
        <v>1551685898510496</v>
      </c>
      <c r="C4021" t="s">
        <v>40</v>
      </c>
      <c r="D4021">
        <v>5.0878420000000002</v>
      </c>
      <c r="E4021">
        <v>0.58295459999999999</v>
      </c>
      <c r="F4021" t="s">
        <v>41</v>
      </c>
      <c r="G4021">
        <v>-191.31569999999999</v>
      </c>
      <c r="H4021" s="1">
        <v>-2.830446E-6</v>
      </c>
      <c r="I4021">
        <v>175.37090000000001</v>
      </c>
      <c r="J4021">
        <v>-188.80369999999999</v>
      </c>
      <c r="K4021">
        <v>1.0928329999999999</v>
      </c>
      <c r="L4021">
        <v>197.27369999999999</v>
      </c>
      <c r="M4021">
        <v>0.1741692</v>
      </c>
      <c r="N4021">
        <v>-1.8351010000000001E-2</v>
      </c>
      <c r="O4021">
        <v>-0.9845448</v>
      </c>
      <c r="P4021">
        <v>9.758878E-2</v>
      </c>
      <c r="Q4021">
        <v>0.17130029999999999</v>
      </c>
      <c r="R4021">
        <v>-0.98037399999999997</v>
      </c>
      <c r="S4021">
        <v>-0.346466099999999</v>
      </c>
      <c r="T4021">
        <v>-0.1537365</v>
      </c>
      <c r="U4021">
        <v>-3.1289220000000002</v>
      </c>
      <c r="V4021">
        <v>8.2602720000000004E-2</v>
      </c>
      <c r="W4021">
        <v>0.18598010000000001</v>
      </c>
      <c r="X4021">
        <v>0.97907520000000003</v>
      </c>
      <c r="Y4021">
        <v>0.28129270000000001</v>
      </c>
      <c r="Z4021">
        <v>2.829717E-2</v>
      </c>
      <c r="AA4021">
        <v>0.95920470000000002</v>
      </c>
      <c r="AB4021">
        <v>31</v>
      </c>
      <c r="AC4021">
        <v>-2.512</v>
      </c>
      <c r="AD4021">
        <v>-1.092835830446</v>
      </c>
      <c r="AE4021">
        <v>-21.9027999999999</v>
      </c>
      <c r="AF4021">
        <v>6.2736129688986901</v>
      </c>
      <c r="AG4021">
        <v>-1.092835830446</v>
      </c>
      <c r="AH4021">
        <v>21.078538061777799</v>
      </c>
      <c r="AI4021">
        <v>92.844782392082905</v>
      </c>
      <c r="AJ4021">
        <v>73.425396590145496</v>
      </c>
      <c r="AK4021">
        <v>22.019474940553302</v>
      </c>
      <c r="AL4021">
        <v>79.281720573643497</v>
      </c>
      <c r="AM4021">
        <v>85.177484163553501</v>
      </c>
      <c r="AN4021">
        <v>1.0000000271012199</v>
      </c>
    </row>
    <row r="4022" spans="1:40" x14ac:dyDescent="0.25">
      <c r="A4022" t="str">
        <f>"20190304155138538"</f>
        <v>20190304155138538</v>
      </c>
      <c r="B4022" t="str">
        <f>"1551685898530994"</f>
        <v>1551685898530994</v>
      </c>
      <c r="C4022" t="s">
        <v>40</v>
      </c>
      <c r="D4022">
        <v>5.0529070000000003</v>
      </c>
      <c r="E4022">
        <v>0.58275769999999905</v>
      </c>
      <c r="F4022" t="s">
        <v>41</v>
      </c>
      <c r="G4022">
        <v>-191.89089999999999</v>
      </c>
      <c r="H4022" s="1">
        <v>-1.6675539999999999E-6</v>
      </c>
      <c r="I4022">
        <v>172.30350000000001</v>
      </c>
      <c r="J4022">
        <v>-188.76439999999999</v>
      </c>
      <c r="K4022">
        <v>1.0931010000000001</v>
      </c>
      <c r="L4022">
        <v>196.9699</v>
      </c>
      <c r="M4022">
        <v>0.1561505</v>
      </c>
      <c r="N4022">
        <v>-1.8237150000000001E-2</v>
      </c>
      <c r="O4022">
        <v>-0.98756520000000003</v>
      </c>
      <c r="P4022">
        <v>8.7338100000000002E-2</v>
      </c>
      <c r="Q4022">
        <v>0.17398089999999999</v>
      </c>
      <c r="R4022">
        <v>-0.98086839999999997</v>
      </c>
      <c r="S4022">
        <v>-0.38603209999999999</v>
      </c>
      <c r="T4022">
        <v>-0.1366522</v>
      </c>
      <c r="U4022">
        <v>-3.1223749999999999</v>
      </c>
      <c r="V4022">
        <v>7.4838199999999994E-2</v>
      </c>
      <c r="W4022">
        <v>0.1889229</v>
      </c>
      <c r="X4022">
        <v>0.97913600000000001</v>
      </c>
      <c r="Y4022">
        <v>0.27599839999999998</v>
      </c>
      <c r="Z4022">
        <v>2.350404E-2</v>
      </c>
      <c r="AA4022">
        <v>0.96087069999999997</v>
      </c>
      <c r="AB4022">
        <v>31</v>
      </c>
      <c r="AC4022">
        <v>-3.1264999999999898</v>
      </c>
      <c r="AD4022">
        <v>-1.0931026675540001</v>
      </c>
      <c r="AE4022">
        <v>-24.6663999999999</v>
      </c>
      <c r="AF4022">
        <v>6.9270568266581698</v>
      </c>
      <c r="AG4022">
        <v>-1.0931026675540001</v>
      </c>
      <c r="AH4022">
        <v>23.82937973624</v>
      </c>
      <c r="AI4022">
        <v>92.522172722024905</v>
      </c>
      <c r="AJ4022">
        <v>73.791171161754093</v>
      </c>
      <c r="AK4022">
        <v>24.839853629510099</v>
      </c>
      <c r="AL4022">
        <v>79.110067033264599</v>
      </c>
      <c r="AM4022">
        <v>85.629215783222094</v>
      </c>
      <c r="AN4022">
        <v>0.99999996240982403</v>
      </c>
    </row>
    <row r="4023" spans="1:40" x14ac:dyDescent="0.25">
      <c r="A4023" t="str">
        <f>"20190304155138563"</f>
        <v>20190304155138563</v>
      </c>
      <c r="B4023" t="str">
        <f>"1551685898550512"</f>
        <v>1551685898550512</v>
      </c>
      <c r="C4023" t="s">
        <v>40</v>
      </c>
      <c r="D4023">
        <v>5.088311</v>
      </c>
      <c r="E4023">
        <v>0.58219589999999999</v>
      </c>
      <c r="F4023" t="s">
        <v>41</v>
      </c>
      <c r="G4023">
        <v>-192.60820000000001</v>
      </c>
      <c r="H4023" s="1">
        <v>-4.6386050000000003E-6</v>
      </c>
      <c r="I4023">
        <v>168.16059999999999</v>
      </c>
      <c r="J4023">
        <v>-188.72710000000001</v>
      </c>
      <c r="K4023">
        <v>1.0934759999999999</v>
      </c>
      <c r="L4023">
        <v>196.6317</v>
      </c>
      <c r="M4023">
        <v>0.136519</v>
      </c>
      <c r="N4023">
        <v>-1.8092250000000001E-2</v>
      </c>
      <c r="O4023">
        <v>-0.99047229999999997</v>
      </c>
      <c r="P4023">
        <v>7.6085020000000003E-2</v>
      </c>
      <c r="Q4023">
        <v>0.17828640000000001</v>
      </c>
      <c r="R4023">
        <v>-0.98103269999999998</v>
      </c>
      <c r="S4023">
        <v>-0.415802</v>
      </c>
      <c r="T4023">
        <v>-0.1182492</v>
      </c>
      <c r="U4023">
        <v>-3.1165159999999998</v>
      </c>
      <c r="V4023">
        <v>6.6507769999999994E-2</v>
      </c>
      <c r="W4023">
        <v>0.1934816</v>
      </c>
      <c r="X4023">
        <v>0.97884709999999997</v>
      </c>
      <c r="Y4023">
        <v>0.26619280000000001</v>
      </c>
      <c r="Z4023">
        <v>1.8284829999999998E-2</v>
      </c>
      <c r="AA4023">
        <v>0.9637464</v>
      </c>
      <c r="AB4023">
        <v>31</v>
      </c>
      <c r="AC4023">
        <v>-3.8811</v>
      </c>
      <c r="AD4023">
        <v>-1.093480638605</v>
      </c>
      <c r="AE4023">
        <v>-28.4711</v>
      </c>
      <c r="AF4023">
        <v>7.7210518413471796</v>
      </c>
      <c r="AG4023">
        <v>-1.093480638605</v>
      </c>
      <c r="AH4023">
        <v>27.6345004616193</v>
      </c>
      <c r="AI4023">
        <v>92.182477429874496</v>
      </c>
      <c r="AJ4023">
        <v>74.389689778840804</v>
      </c>
      <c r="AK4023">
        <v>28.713689369480399</v>
      </c>
      <c r="AL4023">
        <v>78.843963802317305</v>
      </c>
      <c r="AM4023">
        <v>86.113012150238106</v>
      </c>
      <c r="AN4023">
        <v>1.0000000290936699</v>
      </c>
    </row>
    <row r="4024" spans="1:40" x14ac:dyDescent="0.25">
      <c r="A4024" t="str">
        <f>"20190304155138583"</f>
        <v>20190304155138583</v>
      </c>
      <c r="B4024" t="str">
        <f>"1551685898580769"</f>
        <v>1551685898580769</v>
      </c>
      <c r="C4024" t="s">
        <v>40</v>
      </c>
      <c r="D4024">
        <v>5.0503169999999997</v>
      </c>
      <c r="E4024">
        <v>0.58109619999999995</v>
      </c>
      <c r="F4024" t="s">
        <v>41</v>
      </c>
      <c r="G4024">
        <v>-193.70670000000001</v>
      </c>
      <c r="H4024" s="1">
        <v>-2.0725169999999999E-6</v>
      </c>
      <c r="I4024">
        <v>161.8896</v>
      </c>
      <c r="J4024">
        <v>-188.69980000000001</v>
      </c>
      <c r="K4024">
        <v>1.093866</v>
      </c>
      <c r="L4024">
        <v>196.3356</v>
      </c>
      <c r="M4024">
        <v>0.1197925</v>
      </c>
      <c r="N4024">
        <v>-1.794747E-2</v>
      </c>
      <c r="O4024">
        <v>-0.99263699999999999</v>
      </c>
      <c r="P4024">
        <v>6.7643709999999996E-2</v>
      </c>
      <c r="Q4024">
        <v>0.18227289999999999</v>
      </c>
      <c r="R4024">
        <v>-0.98091899999999999</v>
      </c>
      <c r="S4024">
        <v>-0.44581599999999999</v>
      </c>
      <c r="T4024">
        <v>-9.7895860000000001E-2</v>
      </c>
      <c r="U4024">
        <v>-3.1103670000000001</v>
      </c>
      <c r="V4024">
        <v>5.8278959999999998E-2</v>
      </c>
      <c r="W4024">
        <v>0.19770570000000001</v>
      </c>
      <c r="X4024">
        <v>0.97852749999999999</v>
      </c>
      <c r="Y4024">
        <v>0.25933440000000002</v>
      </c>
      <c r="Z4024">
        <v>1.2326149999999999E-2</v>
      </c>
      <c r="AA4024">
        <v>0.96570900000000004</v>
      </c>
      <c r="AB4024">
        <v>31</v>
      </c>
      <c r="AC4024">
        <v>-5.0068999999999999</v>
      </c>
      <c r="AD4024">
        <v>-1.093868072517</v>
      </c>
      <c r="AE4024">
        <v>-34.445999999999998</v>
      </c>
      <c r="AF4024">
        <v>9.0888934417884109</v>
      </c>
      <c r="AG4024">
        <v>-1.093868072517</v>
      </c>
      <c r="AH4024">
        <v>33.564839122039501</v>
      </c>
      <c r="AI4024">
        <v>91.801748506496907</v>
      </c>
      <c r="AJ4024">
        <v>74.848450830002307</v>
      </c>
      <c r="AK4024">
        <v>34.790845874233199</v>
      </c>
      <c r="AL4024">
        <v>78.597173703464804</v>
      </c>
      <c r="AM4024">
        <v>86.591614746869496</v>
      </c>
      <c r="AN4024">
        <v>1.00000002462371</v>
      </c>
    </row>
    <row r="4025" spans="1:40" x14ac:dyDescent="0.25">
      <c r="A4025" t="str">
        <f>"20190304155138606"</f>
        <v>20190304155138606</v>
      </c>
      <c r="B4025" t="str">
        <f>"1551685898601264"</f>
        <v>1551685898601264</v>
      </c>
      <c r="C4025" t="s">
        <v>40</v>
      </c>
      <c r="D4025">
        <v>5.1183170000000002</v>
      </c>
      <c r="E4025">
        <v>0.58034010000000003</v>
      </c>
      <c r="F4025" t="s">
        <v>84</v>
      </c>
      <c r="G4025">
        <v>-194.89410000000001</v>
      </c>
      <c r="H4025" s="1">
        <v>-1.33626E-5</v>
      </c>
      <c r="I4025">
        <v>154.8314</v>
      </c>
      <c r="J4025">
        <v>-188.67570000000001</v>
      </c>
      <c r="K4025">
        <v>1.0943609999999999</v>
      </c>
      <c r="L4025">
        <v>196.0187</v>
      </c>
      <c r="M4025">
        <v>0.10244640000000001</v>
      </c>
      <c r="N4025">
        <v>-1.777685E-2</v>
      </c>
      <c r="O4025">
        <v>-0.99457969999999896</v>
      </c>
      <c r="P4025">
        <v>5.8611030000000001E-2</v>
      </c>
      <c r="Q4025">
        <v>0.1855995</v>
      </c>
      <c r="R4025">
        <v>-0.98087610000000003</v>
      </c>
      <c r="S4025">
        <v>-0.4634857</v>
      </c>
      <c r="T4025">
        <v>-8.1848980000000002E-2</v>
      </c>
      <c r="U4025">
        <v>-3.1055299999999999</v>
      </c>
      <c r="V4025">
        <v>5.0009270000000001E-2</v>
      </c>
      <c r="W4025">
        <v>0.201241</v>
      </c>
      <c r="X4025">
        <v>0.97826429999999998</v>
      </c>
      <c r="Y4025">
        <v>0.2480726</v>
      </c>
      <c r="Z4025">
        <v>7.6740619999999997E-3</v>
      </c>
      <c r="AA4025">
        <v>0.96871099999999999</v>
      </c>
      <c r="AB4025">
        <v>31</v>
      </c>
      <c r="AC4025">
        <v>-6.2183999999999999</v>
      </c>
      <c r="AD4025">
        <v>-1.0943743626</v>
      </c>
      <c r="AE4025">
        <v>-41.187299999999901</v>
      </c>
      <c r="AF4025">
        <v>10.398651196146799</v>
      </c>
      <c r="AG4025">
        <v>-1.0943743626</v>
      </c>
      <c r="AH4025">
        <v>40.305550492246098</v>
      </c>
      <c r="AI4025">
        <v>91.506019733103997</v>
      </c>
      <c r="AJ4025">
        <v>75.533412664840696</v>
      </c>
      <c r="AK4025">
        <v>41.639728654587103</v>
      </c>
      <c r="AL4025">
        <v>78.390460741827596</v>
      </c>
      <c r="AM4025">
        <v>87.073563823952398</v>
      </c>
      <c r="AN4025">
        <v>0.99999995391070995</v>
      </c>
    </row>
    <row r="4026" spans="1:40" x14ac:dyDescent="0.25">
      <c r="A4026" t="str">
        <f>"20190304155138629"</f>
        <v>20190304155138629</v>
      </c>
      <c r="B4026" t="str">
        <f>"1551685898620787"</f>
        <v>1551685898620787</v>
      </c>
      <c r="C4026" t="s">
        <v>40</v>
      </c>
      <c r="D4026">
        <v>5.0989490000000002</v>
      </c>
      <c r="E4026">
        <v>0.57935899999999996</v>
      </c>
      <c r="F4026" t="s">
        <v>84</v>
      </c>
      <c r="G4026">
        <v>-196.48249999999999</v>
      </c>
      <c r="H4026" s="1">
        <v>-1.098686E-5</v>
      </c>
      <c r="I4026">
        <v>146.36269999999999</v>
      </c>
      <c r="J4026">
        <v>-188.65629999999999</v>
      </c>
      <c r="K4026">
        <v>1.0949409999999999</v>
      </c>
      <c r="L4026">
        <v>195.68960000000001</v>
      </c>
      <c r="M4026">
        <v>8.5159890000000002E-2</v>
      </c>
      <c r="N4026">
        <v>-1.7584550000000001E-2</v>
      </c>
      <c r="O4026">
        <v>-0.99621210000000004</v>
      </c>
      <c r="P4026">
        <v>4.9241229999999997E-2</v>
      </c>
      <c r="Q4026">
        <v>0.19029360000000001</v>
      </c>
      <c r="R4026">
        <v>-0.98049160000000002</v>
      </c>
      <c r="S4026">
        <v>-0.48745729999999998</v>
      </c>
      <c r="T4026">
        <v>-6.8333030000000003E-2</v>
      </c>
      <c r="U4026">
        <v>-3.1005400000000001</v>
      </c>
      <c r="V4026">
        <v>4.2152960000000003E-2</v>
      </c>
      <c r="W4026">
        <v>0.20609</v>
      </c>
      <c r="X4026">
        <v>0.97762470000000001</v>
      </c>
      <c r="Y4026">
        <v>0.23880090000000001</v>
      </c>
      <c r="Z4026">
        <v>3.7616239999999999E-3</v>
      </c>
      <c r="AA4026">
        <v>0.97106119999999996</v>
      </c>
      <c r="AB4026">
        <v>31</v>
      </c>
      <c r="AC4026">
        <v>-7.8262</v>
      </c>
      <c r="AD4026">
        <v>-1.0949519868599999</v>
      </c>
      <c r="AE4026">
        <v>-49.326900000000002</v>
      </c>
      <c r="AF4026">
        <v>11.993319445124699</v>
      </c>
      <c r="AG4026">
        <v>-1.0949519868599999</v>
      </c>
      <c r="AH4026">
        <v>48.4577821066041</v>
      </c>
      <c r="AI4026">
        <v>91.256534373965494</v>
      </c>
      <c r="AJ4026">
        <v>76.098628759617398</v>
      </c>
      <c r="AK4026">
        <v>49.931906411206199</v>
      </c>
      <c r="AL4026">
        <v>78.106686034304502</v>
      </c>
      <c r="AM4026">
        <v>87.531065196205205</v>
      </c>
      <c r="AN4026">
        <v>1.0000000070934201</v>
      </c>
    </row>
    <row r="4027" spans="1:40" x14ac:dyDescent="0.25">
      <c r="A4027" t="str">
        <f>"20190304155138651"</f>
        <v>20190304155138651</v>
      </c>
      <c r="B4027" t="str">
        <f>"1551685898641280"</f>
        <v>1551685898641280</v>
      </c>
      <c r="C4027" t="s">
        <v>40</v>
      </c>
      <c r="D4027">
        <v>5.1201359999999996</v>
      </c>
      <c r="E4027">
        <v>0.57819279999999995</v>
      </c>
      <c r="F4027" t="s">
        <v>84</v>
      </c>
      <c r="G4027">
        <v>-198.85040000000001</v>
      </c>
      <c r="H4027" s="1">
        <v>-7.4954810000000002E-6</v>
      </c>
      <c r="I4027">
        <v>133.7002</v>
      </c>
      <c r="J4027">
        <v>-188.64279999999999</v>
      </c>
      <c r="K4027">
        <v>1.095558</v>
      </c>
      <c r="L4027">
        <v>195.3717</v>
      </c>
      <c r="M4027">
        <v>6.9229589999999994E-2</v>
      </c>
      <c r="N4027">
        <v>-1.739015E-2</v>
      </c>
      <c r="O4027">
        <v>-0.99744949999999999</v>
      </c>
      <c r="P4027">
        <v>4.0504569999999997E-2</v>
      </c>
      <c r="Q4027">
        <v>0.19530259999999999</v>
      </c>
      <c r="R4027">
        <v>-0.97990650000000001</v>
      </c>
      <c r="S4027">
        <v>-0.50910949999999999</v>
      </c>
      <c r="T4027">
        <v>-5.4683570000000001E-2</v>
      </c>
      <c r="U4027">
        <v>-3.0958559999999999</v>
      </c>
      <c r="V4027">
        <v>3.5021259999999999E-2</v>
      </c>
      <c r="W4027">
        <v>0.211204</v>
      </c>
      <c r="X4027">
        <v>0.97681439999999997</v>
      </c>
      <c r="Y4027">
        <v>0.2301328</v>
      </c>
      <c r="Z4027">
        <v>-2.4456940000000001E-4</v>
      </c>
      <c r="AA4027">
        <v>0.9731592</v>
      </c>
      <c r="AB4027">
        <v>31</v>
      </c>
      <c r="AC4027">
        <v>-10.207599999999999</v>
      </c>
      <c r="AD4027">
        <v>-1.0955654954809999</v>
      </c>
      <c r="AE4027">
        <v>-61.671500000000002</v>
      </c>
      <c r="AF4027">
        <v>14.4488008879666</v>
      </c>
      <c r="AG4027">
        <v>-1.0955654954809999</v>
      </c>
      <c r="AH4027">
        <v>60.798040601486903</v>
      </c>
      <c r="AI4027">
        <v>91.004376496151593</v>
      </c>
      <c r="AJ4027">
        <v>76.631515639231594</v>
      </c>
      <c r="AK4027">
        <v>62.500958807325802</v>
      </c>
      <c r="AL4027">
        <v>77.807080891634996</v>
      </c>
      <c r="AM4027">
        <v>87.946681270331595</v>
      </c>
      <c r="AN4027">
        <v>0.99999999515767302</v>
      </c>
    </row>
    <row r="4028" spans="1:40" x14ac:dyDescent="0.25">
      <c r="A4028" t="str">
        <f>"20190304155138672"</f>
        <v>20190304155138672</v>
      </c>
      <c r="B4028" t="str">
        <f>"1551685898660800"</f>
        <v>1551685898660800</v>
      </c>
      <c r="C4028" t="s">
        <v>40</v>
      </c>
      <c r="D4028">
        <v>5.1755769999999997</v>
      </c>
      <c r="E4028">
        <v>0.57692010000000005</v>
      </c>
      <c r="F4028" t="s">
        <v>41</v>
      </c>
      <c r="G4028">
        <v>-201.5806</v>
      </c>
      <c r="H4028">
        <v>7.9985529999999999E-2</v>
      </c>
      <c r="I4028">
        <v>119.2334</v>
      </c>
      <c r="J4028">
        <v>-188.63419999999999</v>
      </c>
      <c r="K4028">
        <v>1.096141</v>
      </c>
      <c r="L4028">
        <v>195.07550000000001</v>
      </c>
      <c r="M4028">
        <v>5.4968580000000003E-2</v>
      </c>
      <c r="N4028">
        <v>-1.7211649999999998E-2</v>
      </c>
      <c r="O4028">
        <v>-0.99834000000000001</v>
      </c>
      <c r="P4028">
        <v>3.4310710000000001E-2</v>
      </c>
      <c r="Q4028">
        <v>0.19917260000000001</v>
      </c>
      <c r="R4028">
        <v>-0.97936400000000001</v>
      </c>
      <c r="S4028">
        <v>-0.52531430000000001</v>
      </c>
      <c r="T4028">
        <v>-4.1235330000000001E-2</v>
      </c>
      <c r="U4028">
        <v>-3.0914459999999999</v>
      </c>
      <c r="V4028">
        <v>2.7013579999999999E-2</v>
      </c>
      <c r="W4028">
        <v>0.21520349999999999</v>
      </c>
      <c r="X4028">
        <v>0.97619549999999999</v>
      </c>
      <c r="Y4028">
        <v>0.2214112</v>
      </c>
      <c r="Z4028">
        <v>-4.2441079999999999E-3</v>
      </c>
      <c r="AA4028">
        <v>0.97517129999999996</v>
      </c>
      <c r="AB4028">
        <v>31</v>
      </c>
      <c r="AC4028">
        <v>-12.946400000000001</v>
      </c>
      <c r="AD4028">
        <v>-1.0161554699999999</v>
      </c>
      <c r="AE4028">
        <v>-75.842100000000002</v>
      </c>
      <c r="AF4028">
        <v>17.0933877696854</v>
      </c>
      <c r="AG4028">
        <v>-1.0161554699999999</v>
      </c>
      <c r="AH4028">
        <v>75.0025659311803</v>
      </c>
      <c r="AI4028">
        <v>90.756808280585602</v>
      </c>
      <c r="AJ4028">
        <v>77.161343686851893</v>
      </c>
      <c r="AK4028">
        <v>76.932446819564305</v>
      </c>
      <c r="AL4028">
        <v>77.572533111845601</v>
      </c>
      <c r="AM4028">
        <v>88.414898209613099</v>
      </c>
      <c r="AN4028">
        <v>0.99999996706845695</v>
      </c>
    </row>
    <row r="4029" spans="1:40" x14ac:dyDescent="0.25">
      <c r="A4029" t="str">
        <f>"20190304155138694"</f>
        <v>20190304155138694</v>
      </c>
      <c r="B4029" t="str">
        <f>"1551685898691056"</f>
        <v>1551685898691056</v>
      </c>
      <c r="C4029" t="s">
        <v>40</v>
      </c>
      <c r="D4029">
        <v>5.1403369999999997</v>
      </c>
      <c r="E4029">
        <v>0.57485679999999995</v>
      </c>
      <c r="F4029" t="s">
        <v>42</v>
      </c>
      <c r="G4029">
        <v>-207.7372</v>
      </c>
      <c r="H4029">
        <v>-0.05</v>
      </c>
      <c r="I4029">
        <v>84.515019999999893</v>
      </c>
      <c r="J4029">
        <v>-188.62950000000001</v>
      </c>
      <c r="K4029">
        <v>1.096759</v>
      </c>
      <c r="L4029">
        <v>194.75640000000001</v>
      </c>
      <c r="M4029">
        <v>4.0320189999999999E-2</v>
      </c>
      <c r="N4029">
        <v>-1.702795E-2</v>
      </c>
      <c r="O4029">
        <v>-0.99904179999999998</v>
      </c>
      <c r="P4029">
        <v>2.8788370000000001E-2</v>
      </c>
      <c r="Q4029">
        <v>0.2021464</v>
      </c>
      <c r="R4029">
        <v>-0.97893249999999998</v>
      </c>
      <c r="S4029">
        <v>-0.53363039999999995</v>
      </c>
      <c r="T4029">
        <v>-3.2016749999999997E-2</v>
      </c>
      <c r="U4029">
        <v>-3.0884399999999999</v>
      </c>
      <c r="V4029">
        <v>1.7930539999999998E-2</v>
      </c>
      <c r="W4029">
        <v>0.2183196</v>
      </c>
      <c r="X4029">
        <v>0.97571260000000004</v>
      </c>
      <c r="Y4029">
        <v>0.20980670000000001</v>
      </c>
      <c r="Z4029">
        <v>-6.9247479999999997E-3</v>
      </c>
      <c r="AA4029">
        <v>0.97771839999999999</v>
      </c>
      <c r="AB4029">
        <v>31</v>
      </c>
      <c r="AC4029">
        <v>-19.107699999999902</v>
      </c>
      <c r="AD4029">
        <v>-1.1467590000000001</v>
      </c>
      <c r="AE4029">
        <v>-110.24138000000001</v>
      </c>
      <c r="AF4029">
        <v>23.535282430289499</v>
      </c>
      <c r="AG4029">
        <v>-1.1467590000000001</v>
      </c>
      <c r="AH4029">
        <v>109.36967974031199</v>
      </c>
      <c r="AI4029">
        <v>90.587290683185799</v>
      </c>
      <c r="AJ4029">
        <v>77.855704480831207</v>
      </c>
      <c r="AK4029">
        <v>111.87918225378699</v>
      </c>
      <c r="AL4029">
        <v>77.3896460212992</v>
      </c>
      <c r="AM4029">
        <v>88.947201622749603</v>
      </c>
      <c r="AN4029">
        <v>1.0000000149038</v>
      </c>
    </row>
    <row r="4030" spans="1:40" x14ac:dyDescent="0.25">
      <c r="A4030" t="str">
        <f>"20190304155138718"</f>
        <v>20190304155138718</v>
      </c>
      <c r="B4030" t="str">
        <f>"1551685898710590"</f>
        <v>1551685898710590</v>
      </c>
      <c r="C4030" t="s">
        <v>40</v>
      </c>
      <c r="D4030">
        <v>5.1677119999999999</v>
      </c>
      <c r="E4030">
        <v>0.57343889999999997</v>
      </c>
      <c r="F4030" t="s">
        <v>42</v>
      </c>
      <c r="G4030">
        <v>-211.97919999999999</v>
      </c>
      <c r="H4030">
        <v>-0.05</v>
      </c>
      <c r="I4030">
        <v>60.223860000000002</v>
      </c>
      <c r="J4030">
        <v>-188.62889999999999</v>
      </c>
      <c r="K4030">
        <v>1.097418</v>
      </c>
      <c r="L4030">
        <v>194.42660000000001</v>
      </c>
      <c r="M4030">
        <v>2.601943E-2</v>
      </c>
      <c r="N4030">
        <v>-1.6840830000000001E-2</v>
      </c>
      <c r="O4030">
        <v>-0.99951970000000001</v>
      </c>
      <c r="P4030">
        <v>2.4002949999999999E-2</v>
      </c>
      <c r="Q4030">
        <v>0.2049638</v>
      </c>
      <c r="R4030">
        <v>-0.97847550000000005</v>
      </c>
      <c r="S4030">
        <v>-0.53556819999999905</v>
      </c>
      <c r="T4030">
        <v>-2.6302929999999999E-2</v>
      </c>
      <c r="U4030">
        <v>-3.0857389999999998</v>
      </c>
      <c r="V4030">
        <v>8.4388529999999996E-3</v>
      </c>
      <c r="W4030">
        <v>0.22126219999999999</v>
      </c>
      <c r="X4030">
        <v>0.97517779999999998</v>
      </c>
      <c r="Y4030">
        <v>0.1965401</v>
      </c>
      <c r="Z4030">
        <v>-8.5055340000000004E-3</v>
      </c>
      <c r="AA4030">
        <v>0.98045890000000002</v>
      </c>
      <c r="AB4030">
        <v>31</v>
      </c>
      <c r="AC4030">
        <v>-23.350300000000001</v>
      </c>
      <c r="AD4030">
        <v>-1.147418</v>
      </c>
      <c r="AE4030">
        <v>-134.20273999999901</v>
      </c>
      <c r="AF4030">
        <v>26.832861989908999</v>
      </c>
      <c r="AG4030">
        <v>-1.147418</v>
      </c>
      <c r="AH4030">
        <v>133.54016847042499</v>
      </c>
      <c r="AI4030">
        <v>90.482644310454802</v>
      </c>
      <c r="AJ4030">
        <v>78.638578789403496</v>
      </c>
      <c r="AK4030">
        <v>136.21415361755101</v>
      </c>
      <c r="AL4030">
        <v>77.216820574539298</v>
      </c>
      <c r="AM4030">
        <v>89.504194422781694</v>
      </c>
      <c r="AN4030">
        <v>0.99999995850081602</v>
      </c>
    </row>
    <row r="4031" spans="1:40" x14ac:dyDescent="0.25">
      <c r="A4031" t="str">
        <f>"20190304155138739"</f>
        <v>20190304155138739</v>
      </c>
      <c r="B4031" t="str">
        <f>"1551685898731077"</f>
        <v>1551685898731077</v>
      </c>
      <c r="C4031" t="s">
        <v>40</v>
      </c>
      <c r="D4031">
        <v>4.9914839999999998</v>
      </c>
      <c r="E4031">
        <v>0.54374630000000002</v>
      </c>
      <c r="F4031" t="s">
        <v>59</v>
      </c>
      <c r="G4031">
        <v>-212.2253</v>
      </c>
      <c r="H4031">
        <v>0.34985840000000001</v>
      </c>
      <c r="I4031">
        <v>59.830440000000003</v>
      </c>
      <c r="J4031">
        <v>-188.63220000000001</v>
      </c>
      <c r="K4031">
        <v>1.0980810000000001</v>
      </c>
      <c r="L4031">
        <v>194.11760000000001</v>
      </c>
      <c r="M4031">
        <v>1.344278E-2</v>
      </c>
      <c r="N4031">
        <v>-1.6662509999999998E-2</v>
      </c>
      <c r="O4031">
        <v>-0.99977079999999996</v>
      </c>
      <c r="P4031">
        <v>2.0424109999999999E-2</v>
      </c>
      <c r="Q4031">
        <v>0.2077425</v>
      </c>
      <c r="R4031">
        <v>-0.97797040000000002</v>
      </c>
      <c r="S4031">
        <v>-0.54046629999999996</v>
      </c>
      <c r="T4031">
        <v>-1.7122149999999999E-2</v>
      </c>
      <c r="U4031">
        <v>-3.0828700000000002</v>
      </c>
      <c r="V4031">
        <v>-5.6444749999999999E-4</v>
      </c>
      <c r="W4031">
        <v>0.22412950000000001</v>
      </c>
      <c r="X4031">
        <v>0.97455919999999896</v>
      </c>
      <c r="Y4031">
        <v>0.18586140000000001</v>
      </c>
      <c r="Z4031">
        <v>-1.1219430000000001E-2</v>
      </c>
      <c r="AA4031">
        <v>0.98251189999999999</v>
      </c>
      <c r="AB4031">
        <v>31</v>
      </c>
      <c r="AC4031">
        <v>-23.5931</v>
      </c>
      <c r="AD4031">
        <v>-0.74822259999999896</v>
      </c>
      <c r="AE4031">
        <v>-134.28716</v>
      </c>
      <c r="AF4031">
        <v>25.3956461715436</v>
      </c>
      <c r="AG4031">
        <v>-0.74822259999999896</v>
      </c>
      <c r="AH4031">
        <v>133.95378770480599</v>
      </c>
      <c r="AI4031">
        <v>90.314431658452506</v>
      </c>
      <c r="AJ4031">
        <v>79.264976781375395</v>
      </c>
      <c r="AK4031">
        <v>136.341908164708</v>
      </c>
      <c r="AL4031">
        <v>77.048304983169004</v>
      </c>
      <c r="AM4031">
        <v>90.033184701237701</v>
      </c>
      <c r="AN4031">
        <v>0.99999999283793395</v>
      </c>
    </row>
    <row r="4032" spans="1:40" x14ac:dyDescent="0.25">
      <c r="A4032" t="str">
        <f>"20190304155138763"</f>
        <v>20190304155138763</v>
      </c>
      <c r="B4032" t="str">
        <f>"1551685898761328"</f>
        <v>1551685898761328</v>
      </c>
      <c r="C4032" t="s">
        <v>40</v>
      </c>
      <c r="D4032">
        <v>5.0601289999999999</v>
      </c>
      <c r="E4032">
        <v>0.54628829999999995</v>
      </c>
      <c r="F4032" t="s">
        <v>84</v>
      </c>
      <c r="G4032">
        <v>-196.25129999999999</v>
      </c>
      <c r="H4032" s="1">
        <v>-1.8225520000000001E-6</v>
      </c>
      <c r="I4032">
        <v>119.88630000000001</v>
      </c>
      <c r="J4032">
        <v>-188.63919999999999</v>
      </c>
      <c r="K4032">
        <v>1.098857</v>
      </c>
      <c r="L4032">
        <v>193.79310000000001</v>
      </c>
      <c r="M4032">
        <v>1.1438380000000001E-3</v>
      </c>
      <c r="N4032">
        <v>-1.647318E-2</v>
      </c>
      <c r="O4032">
        <v>-0.99986370000000002</v>
      </c>
      <c r="P4032">
        <v>1.7597519999999998E-2</v>
      </c>
      <c r="Q4032">
        <v>0.21128710000000001</v>
      </c>
      <c r="R4032">
        <v>-0.97726579999999996</v>
      </c>
      <c r="S4032">
        <v>-0.31652829999999998</v>
      </c>
      <c r="T4032">
        <v>-4.5618890000000002E-2</v>
      </c>
      <c r="U4032">
        <v>-3.0838779999999999</v>
      </c>
      <c r="V4032">
        <v>-1.007281E-2</v>
      </c>
      <c r="W4032">
        <v>0.2277313</v>
      </c>
      <c r="X4032">
        <v>0.97367190000000003</v>
      </c>
      <c r="Y4032">
        <v>0.10321470000000001</v>
      </c>
      <c r="Z4032">
        <v>-1.7614169999999999E-3</v>
      </c>
      <c r="AA4032">
        <v>0.99465749999999997</v>
      </c>
      <c r="AB4032">
        <v>31</v>
      </c>
      <c r="AC4032">
        <v>-7.6120999999999901</v>
      </c>
      <c r="AD4032">
        <v>-1.098858822552</v>
      </c>
      <c r="AE4032">
        <v>-73.906800000000004</v>
      </c>
      <c r="AF4032">
        <v>7.6949606827639903</v>
      </c>
      <c r="AG4032">
        <v>-1.098858822552</v>
      </c>
      <c r="AH4032">
        <v>73.881882376349296</v>
      </c>
      <c r="AI4032">
        <v>90.847524074167595</v>
      </c>
      <c r="AJ4032">
        <v>84.053956857378196</v>
      </c>
      <c r="AK4032">
        <v>74.289652402564698</v>
      </c>
      <c r="AL4032">
        <v>76.836459238211404</v>
      </c>
      <c r="AM4032">
        <v>90.592713945530804</v>
      </c>
      <c r="AN4032">
        <v>0.99999998767529796</v>
      </c>
    </row>
    <row r="4033" spans="1:40" x14ac:dyDescent="0.25">
      <c r="A4033" t="str">
        <f>"20190304155138796"</f>
        <v>20190304155138796</v>
      </c>
      <c r="B4033" t="str">
        <f>"1551685898790608"</f>
        <v>1551685898790608</v>
      </c>
      <c r="C4033" t="s">
        <v>40</v>
      </c>
      <c r="D4033">
        <v>5.0548199999999897</v>
      </c>
      <c r="E4033">
        <v>0.54590269999999996</v>
      </c>
      <c r="F4033" t="s">
        <v>65</v>
      </c>
      <c r="G4033">
        <v>-211.07</v>
      </c>
      <c r="H4033">
        <v>0.34253220000000001</v>
      </c>
      <c r="I4033">
        <v>-6.8657909999999998</v>
      </c>
      <c r="J4033">
        <v>-188.655</v>
      </c>
      <c r="K4033">
        <v>1.100088</v>
      </c>
      <c r="L4033">
        <v>193.33320000000001</v>
      </c>
      <c r="M4033">
        <v>-1.448755E-2</v>
      </c>
      <c r="N4033">
        <v>-1.6206729999999999E-2</v>
      </c>
      <c r="O4033">
        <v>-0.99976370000000003</v>
      </c>
      <c r="P4033">
        <v>1.6608250000000001E-2</v>
      </c>
      <c r="Q4033">
        <v>0.21562000000000001</v>
      </c>
      <c r="R4033">
        <v>-0.97633639999999999</v>
      </c>
      <c r="S4033">
        <v>-0.34413149999999998</v>
      </c>
      <c r="T4033">
        <v>-1.160359E-2</v>
      </c>
      <c r="U4033">
        <v>-3.0784910000000001</v>
      </c>
      <c r="V4033">
        <v>-2.4890949999999998E-2</v>
      </c>
      <c r="W4033">
        <v>0.23211300000000001</v>
      </c>
      <c r="X4033">
        <v>0.97237030000000002</v>
      </c>
      <c r="Y4033">
        <v>9.6658179999999996E-2</v>
      </c>
      <c r="Z4033">
        <v>-1.2445889999999999E-2</v>
      </c>
      <c r="AA4033">
        <v>0.99523980000000001</v>
      </c>
      <c r="AB4033">
        <v>31</v>
      </c>
      <c r="AC4033">
        <v>-22.4149999999999</v>
      </c>
      <c r="AD4033">
        <v>-0.7575558</v>
      </c>
      <c r="AE4033">
        <v>-200.19899099999901</v>
      </c>
      <c r="AF4033">
        <v>19.511597134790801</v>
      </c>
      <c r="AG4033">
        <v>-0.7575558</v>
      </c>
      <c r="AH4033">
        <v>200.49992030530501</v>
      </c>
      <c r="AI4033">
        <v>90.215463775700599</v>
      </c>
      <c r="AJ4033">
        <v>84.441777906967104</v>
      </c>
      <c r="AK4033">
        <v>201.448490577553</v>
      </c>
      <c r="AL4033">
        <v>76.578495154621805</v>
      </c>
      <c r="AM4033">
        <v>91.466349807627793</v>
      </c>
      <c r="AN4033">
        <v>1.0000000022414901</v>
      </c>
    </row>
    <row r="4034" spans="1:40" x14ac:dyDescent="0.25">
      <c r="A4034" t="str">
        <f>"20190304155138819"</f>
        <v>20190304155138819</v>
      </c>
      <c r="B4034" t="str">
        <f>"1551685898811104"</f>
        <v>1551685898811104</v>
      </c>
      <c r="C4034" t="s">
        <v>40</v>
      </c>
      <c r="D4034">
        <v>5.0415749999999999</v>
      </c>
      <c r="E4034">
        <v>0.54427219999999998</v>
      </c>
      <c r="F4034" t="s">
        <v>65</v>
      </c>
      <c r="G4034">
        <v>-211.07</v>
      </c>
      <c r="H4034">
        <v>0.38978859999999999</v>
      </c>
      <c r="I4034">
        <v>-7.1689379999999998</v>
      </c>
      <c r="J4034">
        <v>-188.6694</v>
      </c>
      <c r="K4034">
        <v>1.100976</v>
      </c>
      <c r="L4034">
        <v>193.01060000000001</v>
      </c>
      <c r="M4034">
        <v>-2.4304570000000001E-2</v>
      </c>
      <c r="N4034">
        <v>-1.6029560000000002E-2</v>
      </c>
      <c r="O4034">
        <v>-0.99957620000000003</v>
      </c>
      <c r="P4034">
        <v>1.6781520000000001E-2</v>
      </c>
      <c r="Q4034">
        <v>0.2175494</v>
      </c>
      <c r="R4034">
        <v>-0.97590529999999998</v>
      </c>
      <c r="S4034">
        <v>-0.34443659999999998</v>
      </c>
      <c r="T4034">
        <v>-1.0914800000000001E-2</v>
      </c>
      <c r="U4034">
        <v>-3.080978</v>
      </c>
      <c r="V4034">
        <v>-3.5076629999999998E-2</v>
      </c>
      <c r="W4034">
        <v>0.2340304</v>
      </c>
      <c r="X4034">
        <v>0.97159629999999997</v>
      </c>
      <c r="Y4034">
        <v>8.6890170000000003E-2</v>
      </c>
      <c r="Z4034">
        <v>-1.2484830000000001E-2</v>
      </c>
      <c r="AA4034">
        <v>0.99613960000000001</v>
      </c>
      <c r="AB4034">
        <v>31</v>
      </c>
      <c r="AC4034">
        <v>-22.400600000000001</v>
      </c>
      <c r="AD4034">
        <v>-0.71118740000000003</v>
      </c>
      <c r="AE4034">
        <v>-200.17953799999901</v>
      </c>
      <c r="AF4034">
        <v>17.527860476820099</v>
      </c>
      <c r="AG4034">
        <v>-0.71118740000000003</v>
      </c>
      <c r="AH4034">
        <v>200.66239524444401</v>
      </c>
      <c r="AI4034">
        <v>90.202296486498398</v>
      </c>
      <c r="AJ4034">
        <v>85.007884508265505</v>
      </c>
      <c r="AK4034">
        <v>201.42772536483201</v>
      </c>
      <c r="AL4034">
        <v>76.465524706933493</v>
      </c>
      <c r="AM4034">
        <v>92.067597830471101</v>
      </c>
      <c r="AN4034">
        <v>0.99999998413500302</v>
      </c>
    </row>
    <row r="4035" spans="1:40" x14ac:dyDescent="0.25">
      <c r="A4035" t="str">
        <f>"20190304155138841"</f>
        <v>20190304155138841</v>
      </c>
      <c r="B4035" t="str">
        <f>"1551685898830628"</f>
        <v>1551685898830628</v>
      </c>
      <c r="C4035" t="s">
        <v>40</v>
      </c>
      <c r="D4035">
        <v>5.0136479999999999</v>
      </c>
      <c r="E4035">
        <v>0.54395819999999995</v>
      </c>
      <c r="F4035" t="s">
        <v>85</v>
      </c>
      <c r="G4035">
        <v>-211.61189999999999</v>
      </c>
      <c r="H4035">
        <v>0.68323330000000004</v>
      </c>
      <c r="I4035">
        <v>-20.631779999999999</v>
      </c>
      <c r="J4035">
        <v>-188.6849</v>
      </c>
      <c r="K4035">
        <v>1.1017779999999999</v>
      </c>
      <c r="L4035">
        <v>192.71190000000001</v>
      </c>
      <c r="M4035">
        <v>-3.2577740000000001E-2</v>
      </c>
      <c r="N4035">
        <v>-1.5877240000000001E-2</v>
      </c>
      <c r="O4035">
        <v>-0.99934310000000004</v>
      </c>
      <c r="P4035">
        <v>1.7389640000000001E-2</v>
      </c>
      <c r="Q4035">
        <v>0.2184594</v>
      </c>
      <c r="R4035">
        <v>-0.97569119999999998</v>
      </c>
      <c r="S4035">
        <v>-0.33087159999999999</v>
      </c>
      <c r="T4035">
        <v>-6.0245990000000003E-3</v>
      </c>
      <c r="U4035">
        <v>-3.0811000000000002</v>
      </c>
      <c r="V4035">
        <v>-4.4171450000000001E-2</v>
      </c>
      <c r="W4035">
        <v>0.2349009</v>
      </c>
      <c r="X4035">
        <v>0.97101519999999997</v>
      </c>
      <c r="Y4035">
        <v>7.4300480000000002E-2</v>
      </c>
      <c r="Z4035">
        <v>-1.390429E-2</v>
      </c>
      <c r="AA4035">
        <v>0.997139</v>
      </c>
      <c r="AB4035">
        <v>31</v>
      </c>
      <c r="AC4035">
        <v>-22.9269999999999</v>
      </c>
      <c r="AD4035">
        <v>-0.41854469999999999</v>
      </c>
      <c r="AE4035">
        <v>-213.34367999999901</v>
      </c>
      <c r="AF4035">
        <v>15.963635602978201</v>
      </c>
      <c r="AG4035">
        <v>-0.41854469999999999</v>
      </c>
      <c r="AH4035">
        <v>213.976599435418</v>
      </c>
      <c r="AI4035">
        <v>90.111761543345693</v>
      </c>
      <c r="AJ4035">
        <v>85.7333761662033</v>
      </c>
      <c r="AK4035">
        <v>214.57166156619101</v>
      </c>
      <c r="AL4035">
        <v>76.414219231631705</v>
      </c>
      <c r="AM4035">
        <v>92.604587554822302</v>
      </c>
      <c r="AN4035">
        <v>1.0000000342234701</v>
      </c>
    </row>
    <row r="4036" spans="1:40" x14ac:dyDescent="0.25">
      <c r="A4036" t="str">
        <f>"20190304155138862"</f>
        <v>20190304155138862</v>
      </c>
      <c r="B4036" t="str">
        <f>"1551685898851120"</f>
        <v>1551685898851120</v>
      </c>
      <c r="C4036" t="s">
        <v>40</v>
      </c>
      <c r="D4036">
        <v>5.1920609999999998</v>
      </c>
      <c r="E4036">
        <v>0.5440701</v>
      </c>
      <c r="F4036" t="s">
        <v>85</v>
      </c>
      <c r="G4036">
        <v>-211.2218</v>
      </c>
      <c r="H4036">
        <v>0.46614070000000002</v>
      </c>
      <c r="I4036">
        <v>-20.631699999999999</v>
      </c>
      <c r="J4036">
        <v>-188.7021</v>
      </c>
      <c r="K4036">
        <v>1.102592</v>
      </c>
      <c r="L4036">
        <v>192.4151</v>
      </c>
      <c r="M4036">
        <v>-3.9921379999999999E-2</v>
      </c>
      <c r="N4036">
        <v>-1.5733170000000001E-2</v>
      </c>
      <c r="O4036">
        <v>-0.99907889999999999</v>
      </c>
      <c r="P4036">
        <v>1.8974120000000001E-2</v>
      </c>
      <c r="Q4036">
        <v>0.21939739999999999</v>
      </c>
      <c r="R4036">
        <v>-0.97545119999999996</v>
      </c>
      <c r="S4036">
        <v>-0.32563779999999998</v>
      </c>
      <c r="T4036">
        <v>-9.1843610000000003E-3</v>
      </c>
      <c r="U4036">
        <v>-3.082611</v>
      </c>
      <c r="V4036">
        <v>-5.3337500000000003E-2</v>
      </c>
      <c r="W4036">
        <v>0.23577310000000001</v>
      </c>
      <c r="X4036">
        <v>0.97034330000000002</v>
      </c>
      <c r="Y4036">
        <v>6.5245220000000007E-2</v>
      </c>
      <c r="Z4036">
        <v>-1.2735990000000001E-2</v>
      </c>
      <c r="AA4036">
        <v>0.99778800000000001</v>
      </c>
      <c r="AB4036">
        <v>31</v>
      </c>
      <c r="AC4036">
        <v>-22.5197</v>
      </c>
      <c r="AD4036">
        <v>-0.63645130000000005</v>
      </c>
      <c r="AE4036">
        <v>-213.04679999999999</v>
      </c>
      <c r="AF4036">
        <v>13.9954443260213</v>
      </c>
      <c r="AG4036">
        <v>-0.63645130000000005</v>
      </c>
      <c r="AH4036">
        <v>213.774164216955</v>
      </c>
      <c r="AI4036">
        <v>90.170216865241898</v>
      </c>
      <c r="AJ4036">
        <v>86.254284586058702</v>
      </c>
      <c r="AK4036">
        <v>214.232749174345</v>
      </c>
      <c r="AL4036">
        <v>76.362801002235202</v>
      </c>
      <c r="AM4036">
        <v>93.146248703848897</v>
      </c>
      <c r="AN4036">
        <v>0.99999998172237403</v>
      </c>
    </row>
    <row r="4037" spans="1:40" x14ac:dyDescent="0.25">
      <c r="A4037" t="str">
        <f>"20190304155138885"</f>
        <v>20190304155138885</v>
      </c>
      <c r="B4037" t="str">
        <f>"1551685898880400"</f>
        <v>1551685898880400</v>
      </c>
      <c r="C4037" t="s">
        <v>40</v>
      </c>
      <c r="D4037">
        <v>5.1602730000000001</v>
      </c>
      <c r="E4037">
        <v>0.54336209999999996</v>
      </c>
      <c r="F4037" t="s">
        <v>85</v>
      </c>
      <c r="G4037">
        <v>-210.9187</v>
      </c>
      <c r="H4037">
        <v>0.1605597</v>
      </c>
      <c r="I4037">
        <v>-20.631599999999999</v>
      </c>
      <c r="J4037">
        <v>-188.7217</v>
      </c>
      <c r="K4037">
        <v>1.1034790000000001</v>
      </c>
      <c r="L4037">
        <v>192.1026</v>
      </c>
      <c r="M4037">
        <v>-4.6704200000000001E-2</v>
      </c>
      <c r="N4037">
        <v>-1.558529E-2</v>
      </c>
      <c r="O4037">
        <v>-0.99878730000000004</v>
      </c>
      <c r="P4037">
        <v>2.045017E-2</v>
      </c>
      <c r="Q4037">
        <v>0.21922520000000001</v>
      </c>
      <c r="R4037">
        <v>-0.97545999999999999</v>
      </c>
      <c r="S4037">
        <v>-0.32168580000000002</v>
      </c>
      <c r="T4037">
        <v>-1.364017E-2</v>
      </c>
      <c r="U4037">
        <v>-3.0848080000000002</v>
      </c>
      <c r="V4037">
        <v>-6.191961E-2</v>
      </c>
      <c r="W4037">
        <v>0.23547889999999999</v>
      </c>
      <c r="X4037">
        <v>0.96990500000000002</v>
      </c>
      <c r="Y4037">
        <v>5.713174E-2</v>
      </c>
      <c r="Z4037">
        <v>-1.114893E-2</v>
      </c>
      <c r="AA4037">
        <v>0.99830439999999998</v>
      </c>
      <c r="AB4037">
        <v>31</v>
      </c>
      <c r="AC4037">
        <v>-22.196999999999999</v>
      </c>
      <c r="AD4037">
        <v>-0.94291930000000002</v>
      </c>
      <c r="AE4037">
        <v>-212.73419999999999</v>
      </c>
      <c r="AF4037">
        <v>12.235747882752801</v>
      </c>
      <c r="AG4037">
        <v>-0.94291930000000002</v>
      </c>
      <c r="AH4037">
        <v>213.53466929426901</v>
      </c>
      <c r="AI4037">
        <v>90.252588825340496</v>
      </c>
      <c r="AJ4037">
        <v>86.720481319378294</v>
      </c>
      <c r="AK4037">
        <v>213.88702067603199</v>
      </c>
      <c r="AL4037">
        <v>76.380146450511802</v>
      </c>
      <c r="AM4037">
        <v>93.652857021774594</v>
      </c>
      <c r="AN4037">
        <v>1.00000002973638</v>
      </c>
    </row>
    <row r="4038" spans="1:40" x14ac:dyDescent="0.25">
      <c r="A4038" t="str">
        <f>"20190304155138907"</f>
        <v>20190304155138907</v>
      </c>
      <c r="B4038" t="str">
        <f>"1551685898900900"</f>
        <v>1551685898900900</v>
      </c>
      <c r="C4038" t="s">
        <v>40</v>
      </c>
      <c r="D4038">
        <v>5.1629129999999996</v>
      </c>
      <c r="E4038">
        <v>0.54292069999999903</v>
      </c>
      <c r="F4038" t="s">
        <v>41</v>
      </c>
      <c r="G4038">
        <v>-203.2756</v>
      </c>
      <c r="H4038">
        <v>7.9985920000000002E-2</v>
      </c>
      <c r="I4038">
        <v>48.153939999999999</v>
      </c>
      <c r="J4038">
        <v>-188.74279999999999</v>
      </c>
      <c r="K4038">
        <v>1.1043959999999999</v>
      </c>
      <c r="L4038">
        <v>191.78890000000001</v>
      </c>
      <c r="M4038">
        <v>-5.25481E-2</v>
      </c>
      <c r="N4038">
        <v>-1.544361E-2</v>
      </c>
      <c r="O4038">
        <v>-0.99849920000000003</v>
      </c>
      <c r="P4038">
        <v>1.7094560000000002E-2</v>
      </c>
      <c r="Q4038">
        <v>0.21832760000000001</v>
      </c>
      <c r="R4038">
        <v>-0.97572590000000003</v>
      </c>
      <c r="S4038">
        <v>-0.31210329999999997</v>
      </c>
      <c r="T4038">
        <v>-2.1948459999999999E-2</v>
      </c>
      <c r="U4038">
        <v>-3.086929</v>
      </c>
      <c r="V4038">
        <v>-6.4803159999999999E-2</v>
      </c>
      <c r="W4038">
        <v>0.23434559999999999</v>
      </c>
      <c r="X4038">
        <v>0.96999109999999999</v>
      </c>
      <c r="Y4038">
        <v>4.815328E-2</v>
      </c>
      <c r="Z4038">
        <v>-8.3300930000000002E-3</v>
      </c>
      <c r="AA4038">
        <v>0.99880519999999995</v>
      </c>
      <c r="AB4038">
        <v>31</v>
      </c>
      <c r="AC4038">
        <v>-14.5328</v>
      </c>
      <c r="AD4038">
        <v>-1.02441008</v>
      </c>
      <c r="AE4038">
        <v>-143.63496000000001</v>
      </c>
      <c r="AF4038">
        <v>6.9637232350992404</v>
      </c>
      <c r="AG4038">
        <v>-1.02441008</v>
      </c>
      <c r="AH4038">
        <v>144.192967565092</v>
      </c>
      <c r="AI4038">
        <v>90.406573652360805</v>
      </c>
      <c r="AJ4038">
        <v>87.235078838593395</v>
      </c>
      <c r="AK4038">
        <v>144.364658945792</v>
      </c>
      <c r="AL4038">
        <v>76.446949019174298</v>
      </c>
      <c r="AM4038">
        <v>93.822136413058502</v>
      </c>
      <c r="AN4038">
        <v>1.00000002193227</v>
      </c>
    </row>
    <row r="4039" spans="1:40" x14ac:dyDescent="0.25">
      <c r="A4039" t="str">
        <f>"20190304155138931"</f>
        <v>20190304155138931</v>
      </c>
      <c r="B4039" t="str">
        <f>"1551685898920416"</f>
        <v>1551685898920416</v>
      </c>
      <c r="C4039" t="s">
        <v>40</v>
      </c>
      <c r="D4039">
        <v>5.2858130000000001</v>
      </c>
      <c r="E4039">
        <v>0.54275859999999998</v>
      </c>
      <c r="F4039" t="s">
        <v>41</v>
      </c>
      <c r="G4039">
        <v>-199.95779999999999</v>
      </c>
      <c r="H4039">
        <v>3.9963699999999901E-2</v>
      </c>
      <c r="I4039">
        <v>83.251109999999997</v>
      </c>
      <c r="J4039">
        <v>-188.76499999999999</v>
      </c>
      <c r="K4039">
        <v>1.1053200000000001</v>
      </c>
      <c r="L4039">
        <v>191.4735</v>
      </c>
      <c r="M4039">
        <v>-5.7372649999999997E-2</v>
      </c>
      <c r="N4039">
        <v>-1.531273E-2</v>
      </c>
      <c r="O4039">
        <v>-0.99823550000000005</v>
      </c>
      <c r="P4039">
        <v>1.7891710000000002E-2</v>
      </c>
      <c r="Q4039">
        <v>0.21729380000000001</v>
      </c>
      <c r="R4039">
        <v>-0.97594259999999999</v>
      </c>
      <c r="S4039">
        <v>-0.31896970000000002</v>
      </c>
      <c r="T4039">
        <v>-3.027403E-2</v>
      </c>
      <c r="U4039">
        <v>-3.0869749999999998</v>
      </c>
      <c r="V4039">
        <v>-7.0843760000000006E-2</v>
      </c>
      <c r="W4039">
        <v>0.23311100000000001</v>
      </c>
      <c r="X4039">
        <v>0.96986620000000001</v>
      </c>
      <c r="Y4039">
        <v>4.5525259999999998E-2</v>
      </c>
      <c r="Z4039">
        <v>-5.5166010000000003E-3</v>
      </c>
      <c r="AA4039">
        <v>0.99894799999999995</v>
      </c>
      <c r="AB4039">
        <v>31</v>
      </c>
      <c r="AC4039">
        <v>-11.1928</v>
      </c>
      <c r="AD4039">
        <v>-1.0653562999999999</v>
      </c>
      <c r="AE4039">
        <v>-108.222389999999</v>
      </c>
      <c r="AF4039">
        <v>4.9641505852532504</v>
      </c>
      <c r="AG4039">
        <v>-1.0653562999999999</v>
      </c>
      <c r="AH4039">
        <v>108.67590366064201</v>
      </c>
      <c r="AI4039">
        <v>90.561070916687001</v>
      </c>
      <c r="AJ4039">
        <v>87.384633618488294</v>
      </c>
      <c r="AK4039">
        <v>108.794438329982</v>
      </c>
      <c r="AL4039">
        <v>76.519701347849903</v>
      </c>
      <c r="AM4039">
        <v>94.1777436768825</v>
      </c>
      <c r="AN4039">
        <v>1.0000000112771801</v>
      </c>
    </row>
    <row r="4040" spans="1:40" x14ac:dyDescent="0.25">
      <c r="A4040" t="str">
        <f>"20190304155138942"</f>
        <v>20190304155138942</v>
      </c>
      <c r="B4040" t="str">
        <f>"1551685898931152"</f>
        <v>1551685898931152</v>
      </c>
      <c r="C4040" t="s">
        <v>40</v>
      </c>
      <c r="D4040">
        <v>5.085585</v>
      </c>
      <c r="E4040">
        <v>0.54226359999999996</v>
      </c>
      <c r="F4040" t="s">
        <v>41</v>
      </c>
      <c r="G4040">
        <v>-197.315</v>
      </c>
      <c r="H4040" s="1">
        <v>-4.8217680000000001E-6</v>
      </c>
      <c r="I4040">
        <v>107.3428</v>
      </c>
      <c r="J4040">
        <v>-188.77690000000001</v>
      </c>
      <c r="K4040">
        <v>1.105804</v>
      </c>
      <c r="L4040">
        <v>191.30690000000001</v>
      </c>
      <c r="M4040">
        <v>-5.9536239999999997E-2</v>
      </c>
      <c r="N4040">
        <v>-1.5248660000000001E-2</v>
      </c>
      <c r="O4040">
        <v>-0.99810980000000005</v>
      </c>
      <c r="P4040">
        <v>1.7928090000000001E-2</v>
      </c>
      <c r="Q4040">
        <v>0.21712980000000001</v>
      </c>
      <c r="R4040">
        <v>-0.97597829999999997</v>
      </c>
      <c r="S4040">
        <v>-0.31390380000000001</v>
      </c>
      <c r="T4040">
        <v>-4.058051E-2</v>
      </c>
      <c r="U4040">
        <v>-3.0887449999999999</v>
      </c>
      <c r="V4040">
        <v>-7.3260899999999907E-2</v>
      </c>
      <c r="W4040">
        <v>0.23282720000000001</v>
      </c>
      <c r="X4040">
        <v>0.96975480000000003</v>
      </c>
      <c r="Y4040">
        <v>4.1680839999999997E-2</v>
      </c>
      <c r="Z4040">
        <v>-2.1400960000000002E-3</v>
      </c>
      <c r="AA4040">
        <v>0.99912869999999998</v>
      </c>
      <c r="AB4040">
        <v>31</v>
      </c>
      <c r="AC4040">
        <v>-8.5380999999999805</v>
      </c>
      <c r="AD4040">
        <v>-1.105808821768</v>
      </c>
      <c r="AE4040">
        <v>-83.964100000000002</v>
      </c>
      <c r="AF4040">
        <v>3.5228588996402799</v>
      </c>
      <c r="AG4040">
        <v>-1.105808821768</v>
      </c>
      <c r="AH4040">
        <v>84.309036935105894</v>
      </c>
      <c r="AI4040">
        <v>90.7508010797076</v>
      </c>
      <c r="AJ4040">
        <v>87.607283823946105</v>
      </c>
      <c r="AK4040">
        <v>84.389851622704697</v>
      </c>
      <c r="AL4040">
        <v>76.536422069033904</v>
      </c>
      <c r="AM4040">
        <v>94.320249047690098</v>
      </c>
      <c r="AN4040">
        <v>1.00000001832584</v>
      </c>
    </row>
    <row r="4041" spans="1:40" x14ac:dyDescent="0.25">
      <c r="A4041" t="str">
        <f>"20190304155138955"</f>
        <v>20190304155138955</v>
      </c>
      <c r="B4041" t="str">
        <f>"1551685898950672"</f>
        <v>1551685898950672</v>
      </c>
      <c r="C4041" t="s">
        <v>40</v>
      </c>
      <c r="D4041">
        <v>5.2536889999999996</v>
      </c>
      <c r="E4041">
        <v>0.54161619999999899</v>
      </c>
      <c r="F4041" t="s">
        <v>41</v>
      </c>
      <c r="G4041">
        <v>-196.69280000000001</v>
      </c>
      <c r="H4041" s="1">
        <v>-2.8907609999999999E-6</v>
      </c>
      <c r="I4041">
        <v>112.1765</v>
      </c>
      <c r="J4041">
        <v>-188.7894</v>
      </c>
      <c r="K4041">
        <v>1.1062719999999999</v>
      </c>
      <c r="L4041">
        <v>191.13570000000001</v>
      </c>
      <c r="M4041">
        <v>-6.1538870000000002E-2</v>
      </c>
      <c r="N4041">
        <v>-1.518657E-2</v>
      </c>
      <c r="O4041">
        <v>-0.99798920000000002</v>
      </c>
      <c r="P4041">
        <v>1.8171550000000002E-2</v>
      </c>
      <c r="Q4041">
        <v>0.21693709999999999</v>
      </c>
      <c r="R4041">
        <v>-0.97601660000000001</v>
      </c>
      <c r="S4041">
        <v>-0.30902099999999999</v>
      </c>
      <c r="T4041">
        <v>-4.3168539999999998E-2</v>
      </c>
      <c r="U4041">
        <v>-3.0890960000000001</v>
      </c>
      <c r="V4041">
        <v>-7.5718220000000003E-2</v>
      </c>
      <c r="W4041">
        <v>0.23251459999999999</v>
      </c>
      <c r="X4041">
        <v>0.96964099999999998</v>
      </c>
      <c r="Y4041">
        <v>3.8101749999999997E-2</v>
      </c>
      <c r="Z4041">
        <v>-1.2464010000000001E-3</v>
      </c>
      <c r="AA4041">
        <v>0.99927310000000003</v>
      </c>
      <c r="AB4041">
        <v>31</v>
      </c>
      <c r="AC4041">
        <v>-7.9034000000000004</v>
      </c>
      <c r="AD4041">
        <v>-1.1062748907609901</v>
      </c>
      <c r="AE4041">
        <v>-78.959199999999996</v>
      </c>
      <c r="AF4041">
        <v>3.0282084835348599</v>
      </c>
      <c r="AG4041">
        <v>-1.1062748907609901</v>
      </c>
      <c r="AH4041">
        <v>79.280527083897596</v>
      </c>
      <c r="AI4041">
        <v>90.798866923959807</v>
      </c>
      <c r="AJ4041">
        <v>87.812586918213697</v>
      </c>
      <c r="AK4041">
        <v>79.346051353890999</v>
      </c>
      <c r="AL4041">
        <v>76.554837603105796</v>
      </c>
      <c r="AM4041">
        <v>94.465104454152495</v>
      </c>
      <c r="AN4041">
        <v>0.99999997846706301</v>
      </c>
    </row>
    <row r="4042" spans="1:40" x14ac:dyDescent="0.25">
      <c r="A4042" t="str">
        <f>"20190304155138970"</f>
        <v>20190304155138970</v>
      </c>
      <c r="B4042" t="str">
        <f>"1551685898960432"</f>
        <v>1551685898960432</v>
      </c>
      <c r="C4042" t="s">
        <v>40</v>
      </c>
      <c r="D4042">
        <v>5.8925150000000004</v>
      </c>
      <c r="E4042">
        <v>0.54228999999999905</v>
      </c>
      <c r="F4042" t="s">
        <v>84</v>
      </c>
      <c r="G4042">
        <v>-195.5523</v>
      </c>
      <c r="H4042" s="1">
        <v>-2.7942549999999999E-6</v>
      </c>
      <c r="I4042">
        <v>122.0326</v>
      </c>
      <c r="J4042">
        <v>-188.8039</v>
      </c>
      <c r="K4042">
        <v>1.1067880000000001</v>
      </c>
      <c r="L4042">
        <v>190.9366</v>
      </c>
      <c r="M4042">
        <v>-6.3632049999999996E-2</v>
      </c>
      <c r="N4042">
        <v>-1.5117999999999999E-2</v>
      </c>
      <c r="O4042">
        <v>-0.9978591</v>
      </c>
      <c r="P4042">
        <v>1.80074E-2</v>
      </c>
      <c r="Q4042">
        <v>0.21747449999999999</v>
      </c>
      <c r="R4042">
        <v>-0.97590010000000005</v>
      </c>
      <c r="S4042">
        <v>-0.30244450000000001</v>
      </c>
      <c r="T4042">
        <v>-4.9473290000000003E-2</v>
      </c>
      <c r="U4042">
        <v>-3.0903320000000001</v>
      </c>
      <c r="V4042">
        <v>-7.7865100000000007E-2</v>
      </c>
      <c r="W4042">
        <v>0.23290739999999999</v>
      </c>
      <c r="X4042">
        <v>0.96937669999999998</v>
      </c>
      <c r="Y4042">
        <v>3.3860479999999998E-2</v>
      </c>
      <c r="Z4042">
        <v>8.4482830000000004E-4</v>
      </c>
      <c r="AA4042">
        <v>0.99942620000000004</v>
      </c>
      <c r="AB4042">
        <v>31</v>
      </c>
      <c r="AC4042">
        <v>-6.7484000000000002</v>
      </c>
      <c r="AD4042">
        <v>-1.1067907942549999</v>
      </c>
      <c r="AE4042">
        <v>-68.903999999999996</v>
      </c>
      <c r="AF4042">
        <v>2.3491173252512101</v>
      </c>
      <c r="AG4042">
        <v>-1.1067907942549999</v>
      </c>
      <c r="AH4042">
        <v>69.176113894083997</v>
      </c>
      <c r="AI4042">
        <v>90.916103901800597</v>
      </c>
      <c r="AJ4042">
        <v>88.055068443695205</v>
      </c>
      <c r="AK4042">
        <v>69.224837100258497</v>
      </c>
      <c r="AL4042">
        <v>76.531696916892699</v>
      </c>
      <c r="AM4042">
        <v>94.592418592813303</v>
      </c>
      <c r="AN4042">
        <v>1.00000000863783</v>
      </c>
    </row>
    <row r="4043" spans="1:40" x14ac:dyDescent="0.25">
      <c r="A4043" t="str">
        <f>"20190304155138985"</f>
        <v>20190304155138985</v>
      </c>
      <c r="B4043" t="str">
        <f>"1551685898980929"</f>
        <v>1551685898980929</v>
      </c>
      <c r="C4043" t="s">
        <v>40</v>
      </c>
      <c r="D4043">
        <v>5.2578649999999998</v>
      </c>
      <c r="E4043">
        <v>0.54046050000000001</v>
      </c>
      <c r="F4043" t="s">
        <v>84</v>
      </c>
      <c r="G4043">
        <v>-195.85169999999999</v>
      </c>
      <c r="H4043" s="1">
        <v>-1.8381799999999999E-6</v>
      </c>
      <c r="I4043">
        <v>120.1087</v>
      </c>
      <c r="J4043">
        <v>-188.82079999999999</v>
      </c>
      <c r="K4043">
        <v>1.1073470000000001</v>
      </c>
      <c r="L4043">
        <v>190.709</v>
      </c>
      <c r="M4043">
        <v>-6.5567260000000002E-2</v>
      </c>
      <c r="N4043">
        <v>-1.504316E-2</v>
      </c>
      <c r="O4043">
        <v>-0.99773480000000003</v>
      </c>
      <c r="P4043">
        <v>2.0385090000000002E-2</v>
      </c>
      <c r="Q4043">
        <v>0.21724969999999999</v>
      </c>
      <c r="R4043">
        <v>-0.97590319999999997</v>
      </c>
      <c r="S4043">
        <v>-0.30752560000000001</v>
      </c>
      <c r="T4043">
        <v>-4.829431E-2</v>
      </c>
      <c r="U4043">
        <v>-3.0905459999999998</v>
      </c>
      <c r="V4043">
        <v>-8.2432110000000003E-2</v>
      </c>
      <c r="W4043">
        <v>0.23253779999999999</v>
      </c>
      <c r="X4043">
        <v>0.96908780000000005</v>
      </c>
      <c r="Y4043">
        <v>3.3543040000000003E-2</v>
      </c>
      <c r="Z4043">
        <v>5.3727110000000001E-4</v>
      </c>
      <c r="AA4043">
        <v>0.99943720000000003</v>
      </c>
      <c r="AB4043">
        <v>31</v>
      </c>
      <c r="AC4043">
        <v>-7.0308999999999999</v>
      </c>
      <c r="AD4043">
        <v>-1.1073488381800001</v>
      </c>
      <c r="AE4043">
        <v>-70.600300000000004</v>
      </c>
      <c r="AF4043">
        <v>2.3855941539551102</v>
      </c>
      <c r="AG4043">
        <v>-1.1073488381800001</v>
      </c>
      <c r="AH4043">
        <v>70.892124445174602</v>
      </c>
      <c r="AI4043">
        <v>90.8943923195434</v>
      </c>
      <c r="AJ4043">
        <v>88.072664358171494</v>
      </c>
      <c r="AK4043">
        <v>70.940895041343595</v>
      </c>
      <c r="AL4043">
        <v>76.553471484509799</v>
      </c>
      <c r="AM4043">
        <v>94.861964138694404</v>
      </c>
      <c r="AN4043">
        <v>1.0000000226483601</v>
      </c>
    </row>
    <row r="4044" spans="1:40" x14ac:dyDescent="0.25">
      <c r="A4044" t="str">
        <f>"20190304155139009"</f>
        <v>20190304155139009</v>
      </c>
      <c r="B4044" t="str">
        <f>"1551685899000448"</f>
        <v>1551685899000448</v>
      </c>
      <c r="C4044" t="s">
        <v>40</v>
      </c>
      <c r="D4044">
        <v>5.2950309999999998</v>
      </c>
      <c r="E4044">
        <v>0.53884699999999996</v>
      </c>
      <c r="F4044" t="s">
        <v>84</v>
      </c>
      <c r="G4044">
        <v>-195.1251</v>
      </c>
      <c r="H4044" s="1">
        <v>-2.772908E-6</v>
      </c>
      <c r="I4044">
        <v>122.1923</v>
      </c>
      <c r="J4044">
        <v>-188.8432</v>
      </c>
      <c r="K4044">
        <v>1.1080410000000001</v>
      </c>
      <c r="L4044">
        <v>190.40600000000001</v>
      </c>
      <c r="M4044">
        <v>-6.7492720000000006E-2</v>
      </c>
      <c r="N4044">
        <v>-1.495061E-2</v>
      </c>
      <c r="O4044">
        <v>-0.9976081</v>
      </c>
      <c r="P4044">
        <v>2.2340639999999998E-2</v>
      </c>
      <c r="Q4044">
        <v>0.21691830000000001</v>
      </c>
      <c r="R4044">
        <v>-0.97593470000000004</v>
      </c>
      <c r="S4044">
        <v>-0.2844238</v>
      </c>
      <c r="T4044">
        <v>-4.9958469999999998E-2</v>
      </c>
      <c r="U4044">
        <v>-3.0911559999999998</v>
      </c>
      <c r="V4044">
        <v>-8.6646420000000002E-2</v>
      </c>
      <c r="W4044">
        <v>0.23200209999999999</v>
      </c>
      <c r="X4044">
        <v>0.9688485</v>
      </c>
      <c r="Y4044">
        <v>2.4194130000000001E-2</v>
      </c>
      <c r="Z4044">
        <v>1.1639630000000001E-3</v>
      </c>
      <c r="AA4044">
        <v>0.9997066</v>
      </c>
      <c r="AB4044">
        <v>31</v>
      </c>
      <c r="AC4044">
        <v>-6.2819000000000003</v>
      </c>
      <c r="AD4044">
        <v>-1.1080437729079999</v>
      </c>
      <c r="AE4044">
        <v>-68.213699999999903</v>
      </c>
      <c r="AF4044">
        <v>1.6626964351840601</v>
      </c>
      <c r="AG4044">
        <v>-1.1080437729079999</v>
      </c>
      <c r="AH4044">
        <v>68.464238966153403</v>
      </c>
      <c r="AI4044">
        <v>90.926936191791697</v>
      </c>
      <c r="AJ4044">
        <v>88.608809978874206</v>
      </c>
      <c r="AK4044">
        <v>68.493389006916601</v>
      </c>
      <c r="AL4044">
        <v>76.585027496099798</v>
      </c>
      <c r="AM4044">
        <v>95.110501586176795</v>
      </c>
      <c r="AN4044">
        <v>0.99999999622773805</v>
      </c>
    </row>
    <row r="4045" spans="1:40" x14ac:dyDescent="0.25">
      <c r="A4045" t="str">
        <f>"20190304155139021"</f>
        <v>20190304155139021</v>
      </c>
      <c r="B4045" t="str">
        <f>"1551685899011184"</f>
        <v>1551685899011184</v>
      </c>
      <c r="C4045" t="s">
        <v>40</v>
      </c>
      <c r="D4045">
        <v>5.2779439999999997</v>
      </c>
      <c r="E4045">
        <v>0.53803159999999906</v>
      </c>
      <c r="F4045" t="s">
        <v>84</v>
      </c>
      <c r="G4045">
        <v>-194.5273</v>
      </c>
      <c r="H4045" s="1">
        <v>-3.5196020000000002E-6</v>
      </c>
      <c r="I4045">
        <v>124.1057</v>
      </c>
      <c r="J4045">
        <v>-188.8569</v>
      </c>
      <c r="K4045">
        <v>1.1084579999999999</v>
      </c>
      <c r="L4045">
        <v>190.22120000000001</v>
      </c>
      <c r="M4045">
        <v>-6.8259390000000003E-2</v>
      </c>
      <c r="N4045">
        <v>-1.4898949999999999E-2</v>
      </c>
      <c r="O4045">
        <v>-0.99755629999999995</v>
      </c>
      <c r="P4045">
        <v>2.337003E-2</v>
      </c>
      <c r="Q4045">
        <v>0.21711559999999999</v>
      </c>
      <c r="R4045">
        <v>-0.97586620000000002</v>
      </c>
      <c r="S4045">
        <v>-0.26504519999999998</v>
      </c>
      <c r="T4045">
        <v>-5.1667329999999997E-2</v>
      </c>
      <c r="U4045">
        <v>-3.0915370000000002</v>
      </c>
      <c r="V4045">
        <v>-8.8644680000000003E-2</v>
      </c>
      <c r="W4045">
        <v>0.23207030000000001</v>
      </c>
      <c r="X4045">
        <v>0.96865140000000005</v>
      </c>
      <c r="Y4045">
        <v>1.7198229999999998E-2</v>
      </c>
      <c r="Z4045">
        <v>1.7648220000000001E-3</v>
      </c>
      <c r="AA4045">
        <v>0.99985060000000003</v>
      </c>
      <c r="AB4045">
        <v>30</v>
      </c>
      <c r="AC4045">
        <v>-5.6703999999999999</v>
      </c>
      <c r="AD4045">
        <v>-1.108461519602</v>
      </c>
      <c r="AE4045">
        <v>-66.115499999999997</v>
      </c>
      <c r="AF4045">
        <v>1.1433475170995</v>
      </c>
      <c r="AG4045">
        <v>-1.108461519602</v>
      </c>
      <c r="AH4045">
        <v>66.329851402860299</v>
      </c>
      <c r="AI4045">
        <v>90.957258667839497</v>
      </c>
      <c r="AJ4045">
        <v>89.012473284511202</v>
      </c>
      <c r="AK4045">
        <v>66.348964706397894</v>
      </c>
      <c r="AL4045">
        <v>76.581010595085004</v>
      </c>
      <c r="AM4045">
        <v>95.228773275029596</v>
      </c>
      <c r="AN4045">
        <v>1.0000000190781699</v>
      </c>
    </row>
    <row r="4046" spans="1:40" x14ac:dyDescent="0.25">
      <c r="A4046" t="str">
        <f>"20190304155139041"</f>
        <v>20190304155139041</v>
      </c>
      <c r="B4046" t="str">
        <f>"1551685899031234"</f>
        <v>1551685899031234</v>
      </c>
      <c r="C4046" t="s">
        <v>40</v>
      </c>
      <c r="D4046">
        <v>5.2242600000000001</v>
      </c>
      <c r="E4046">
        <v>0.53654429999999997</v>
      </c>
      <c r="F4046" t="s">
        <v>84</v>
      </c>
      <c r="G4046">
        <v>-194.35409999999999</v>
      </c>
      <c r="H4046" s="1">
        <v>-3.2616140000000002E-6</v>
      </c>
      <c r="I4046">
        <v>123.6279</v>
      </c>
      <c r="J4046">
        <v>-188.87649999999999</v>
      </c>
      <c r="K4046">
        <v>1.1090340000000001</v>
      </c>
      <c r="L4046">
        <v>189.9545</v>
      </c>
      <c r="M4046">
        <v>-6.904159E-2</v>
      </c>
      <c r="N4046">
        <v>-1.4830930000000001E-2</v>
      </c>
      <c r="O4046">
        <v>-0.99750380000000005</v>
      </c>
      <c r="P4046">
        <v>2.5374669999999998E-2</v>
      </c>
      <c r="Q4046">
        <v>0.21841569999999999</v>
      </c>
      <c r="R4046">
        <v>-0.97552620000000001</v>
      </c>
      <c r="S4046">
        <v>-0.25521850000000001</v>
      </c>
      <c r="T4046">
        <v>-5.1462649999999999E-2</v>
      </c>
      <c r="U4046">
        <v>-3.091736</v>
      </c>
      <c r="V4046">
        <v>-9.1691990000000001E-2</v>
      </c>
      <c r="W4046">
        <v>0.23318749999999999</v>
      </c>
      <c r="X4046">
        <v>0.96809920000000005</v>
      </c>
      <c r="Y4046">
        <v>1.325411E-2</v>
      </c>
      <c r="Z4046">
        <v>1.7660009999999999E-3</v>
      </c>
      <c r="AA4046">
        <v>0.99991059999999998</v>
      </c>
      <c r="AB4046">
        <v>30</v>
      </c>
      <c r="AC4046">
        <v>-5.47759999999999</v>
      </c>
      <c r="AD4046">
        <v>-1.1090372616140001</v>
      </c>
      <c r="AE4046">
        <v>-66.326599999999999</v>
      </c>
      <c r="AF4046">
        <v>0.88448434904735795</v>
      </c>
      <c r="AG4046">
        <v>-1.1090372616140001</v>
      </c>
      <c r="AH4046">
        <v>66.5280448663447</v>
      </c>
      <c r="AI4046">
        <v>90.954960512027696</v>
      </c>
      <c r="AJ4046">
        <v>89.238302660882198</v>
      </c>
      <c r="AK4046">
        <v>66.543166666080296</v>
      </c>
      <c r="AL4046">
        <v>76.515193107365704</v>
      </c>
      <c r="AM4046">
        <v>95.410539325839196</v>
      </c>
      <c r="AN4046">
        <v>0.99999994611352305</v>
      </c>
    </row>
    <row r="4047" spans="1:40" x14ac:dyDescent="0.25">
      <c r="A4047" t="str">
        <f>"20190304155139055"</f>
        <v>20190304155139055</v>
      </c>
      <c r="B4047" t="str">
        <f>"1551685899050755"</f>
        <v>1551685899050755</v>
      </c>
      <c r="C4047" t="s">
        <v>40</v>
      </c>
      <c r="D4047">
        <v>5.1977120000000001</v>
      </c>
      <c r="E4047">
        <v>0.53520100000000004</v>
      </c>
      <c r="F4047" t="s">
        <v>41</v>
      </c>
      <c r="G4047">
        <v>-194.34460000000001</v>
      </c>
      <c r="H4047" s="1">
        <v>-4.6777680000000003E-6</v>
      </c>
      <c r="I4047">
        <v>118.468</v>
      </c>
      <c r="J4047">
        <v>-188.8895</v>
      </c>
      <c r="K4047">
        <v>1.1094090000000001</v>
      </c>
      <c r="L4047">
        <v>189.7747</v>
      </c>
      <c r="M4047">
        <v>-6.9305729999999996E-2</v>
      </c>
      <c r="N4047">
        <v>-1.4789099999999999E-2</v>
      </c>
      <c r="O4047">
        <v>-0.99748590000000004</v>
      </c>
      <c r="P4047">
        <v>2.656186E-2</v>
      </c>
      <c r="Q4047">
        <v>0.21946189999999999</v>
      </c>
      <c r="R4047">
        <v>-0.9752594</v>
      </c>
      <c r="S4047">
        <v>-0.2365265</v>
      </c>
      <c r="T4047">
        <v>-4.7971960000000001E-2</v>
      </c>
      <c r="U4047">
        <v>-3.0921780000000001</v>
      </c>
      <c r="V4047">
        <v>-9.3315289999999995E-2</v>
      </c>
      <c r="W4047">
        <v>0.23411199999999999</v>
      </c>
      <c r="X4047">
        <v>0.96772089999999999</v>
      </c>
      <c r="Y4047">
        <v>6.9726450000000004E-3</v>
      </c>
      <c r="Z4047">
        <v>6.8359539999999998E-4</v>
      </c>
      <c r="AA4047">
        <v>0.99997539999999996</v>
      </c>
      <c r="AB4047">
        <v>30</v>
      </c>
      <c r="AC4047">
        <v>-5.4551000000000096</v>
      </c>
      <c r="AD4047">
        <v>-1.1094136777679999</v>
      </c>
      <c r="AE4047">
        <v>-71.306700000000006</v>
      </c>
      <c r="AF4047">
        <v>0.499356858360675</v>
      </c>
      <c r="AG4047">
        <v>-1.1094136777679999</v>
      </c>
      <c r="AH4047">
        <v>71.496108387197395</v>
      </c>
      <c r="AI4047">
        <v>90.888972448238505</v>
      </c>
      <c r="AJ4047">
        <v>89.599830314097602</v>
      </c>
      <c r="AK4047">
        <v>71.506458942492003</v>
      </c>
      <c r="AL4047">
        <v>76.460715389670497</v>
      </c>
      <c r="AM4047">
        <v>95.507882189394806</v>
      </c>
      <c r="AN4047">
        <v>0.99999995609429604</v>
      </c>
    </row>
    <row r="4048" spans="1:40" x14ac:dyDescent="0.25">
      <c r="A4048" t="str">
        <f>"20190304155139075"</f>
        <v>20190304155139075</v>
      </c>
      <c r="B4048" t="str">
        <f>"1551685899070275"</f>
        <v>1551685899070275</v>
      </c>
      <c r="C4048" t="s">
        <v>40</v>
      </c>
      <c r="D4048">
        <v>5.1830179999999997</v>
      </c>
      <c r="E4048">
        <v>0.53381780000000001</v>
      </c>
      <c r="F4048" t="s">
        <v>41</v>
      </c>
      <c r="G4048">
        <v>-194.35839999999999</v>
      </c>
      <c r="H4048" s="1">
        <v>-2.8549290000000001E-6</v>
      </c>
      <c r="I4048">
        <v>113.5408</v>
      </c>
      <c r="J4048">
        <v>-188.9083</v>
      </c>
      <c r="K4048">
        <v>1.109937</v>
      </c>
      <c r="L4048">
        <v>189.51070000000001</v>
      </c>
      <c r="M4048">
        <v>-6.93241E-2</v>
      </c>
      <c r="N4048">
        <v>-1.4732729999999999E-2</v>
      </c>
      <c r="O4048">
        <v>-0.99748559999999997</v>
      </c>
      <c r="P4048">
        <v>2.8341390000000001E-2</v>
      </c>
      <c r="Q4048">
        <v>0.221826</v>
      </c>
      <c r="R4048">
        <v>-0.97467429999999999</v>
      </c>
      <c r="S4048">
        <v>-0.22183230000000001</v>
      </c>
      <c r="T4048">
        <v>-4.500055E-2</v>
      </c>
      <c r="U4048">
        <v>-3.0922390000000002</v>
      </c>
      <c r="V4048">
        <v>-9.5354880000000003E-2</v>
      </c>
      <c r="W4048">
        <v>0.23629810000000001</v>
      </c>
      <c r="X4048">
        <v>0.96699049999999998</v>
      </c>
      <c r="Y4048">
        <v>2.2279420000000001E-3</v>
      </c>
      <c r="Z4048">
        <v>-2.1605689999999999E-4</v>
      </c>
      <c r="AA4048">
        <v>0.99999749999999998</v>
      </c>
      <c r="AB4048">
        <v>30</v>
      </c>
      <c r="AC4048">
        <v>-5.4500999999999902</v>
      </c>
      <c r="AD4048">
        <v>-1.109939854929</v>
      </c>
      <c r="AE4048">
        <v>-75.969899999999996</v>
      </c>
      <c r="AF4048">
        <v>0.16983365883815299</v>
      </c>
      <c r="AG4048">
        <v>-1.109939854929</v>
      </c>
      <c r="AH4048">
        <v>76.148783997177901</v>
      </c>
      <c r="AI4048">
        <v>90.8350784419669</v>
      </c>
      <c r="AJ4048">
        <v>89.872214167767495</v>
      </c>
      <c r="AK4048">
        <v>76.1570621426673</v>
      </c>
      <c r="AL4048">
        <v>76.331846128621805</v>
      </c>
      <c r="AM4048">
        <v>95.631726604243696</v>
      </c>
      <c r="AN4048">
        <v>0.99999998614683705</v>
      </c>
    </row>
    <row r="4049" spans="1:40" x14ac:dyDescent="0.25">
      <c r="A4049" t="str">
        <f>"20190304155139086"</f>
        <v>20190304155139086</v>
      </c>
      <c r="B4049" t="str">
        <f>"1551685899081011"</f>
        <v>1551685899081011</v>
      </c>
      <c r="C4049" t="s">
        <v>40</v>
      </c>
      <c r="D4049">
        <v>5.2137989999999999</v>
      </c>
      <c r="E4049">
        <v>0.53316249999999998</v>
      </c>
      <c r="F4049" t="s">
        <v>41</v>
      </c>
      <c r="G4049">
        <v>-194.60650000000001</v>
      </c>
      <c r="H4049" s="1">
        <v>-2.9224499999999999E-6</v>
      </c>
      <c r="I4049">
        <v>103.54430000000001</v>
      </c>
      <c r="J4049">
        <v>-188.9204</v>
      </c>
      <c r="K4049">
        <v>1.1102730000000001</v>
      </c>
      <c r="L4049">
        <v>189.33840000000001</v>
      </c>
      <c r="M4049">
        <v>-6.9142270000000006E-2</v>
      </c>
      <c r="N4049">
        <v>-1.4698650000000001E-2</v>
      </c>
      <c r="O4049">
        <v>-0.99749849999999995</v>
      </c>
      <c r="P4049">
        <v>2.9359980000000001E-2</v>
      </c>
      <c r="Q4049">
        <v>0.22293760000000001</v>
      </c>
      <c r="R4049">
        <v>-0.97439039999999999</v>
      </c>
      <c r="S4049">
        <v>-0.20501710000000001</v>
      </c>
      <c r="T4049">
        <v>-3.9934749999999998E-2</v>
      </c>
      <c r="U4049">
        <v>-3.0930019999999998</v>
      </c>
      <c r="V4049">
        <v>-9.6360299999999996E-2</v>
      </c>
      <c r="W4049">
        <v>0.23729739999999999</v>
      </c>
      <c r="X4049">
        <v>0.96664609999999995</v>
      </c>
      <c r="Y4049">
        <v>-3.0171270000000001E-3</v>
      </c>
      <c r="Z4049">
        <v>-1.8153609999999999E-3</v>
      </c>
      <c r="AA4049">
        <v>0.99999380000000004</v>
      </c>
      <c r="AB4049">
        <v>30</v>
      </c>
      <c r="AC4049">
        <v>-5.6860999999999997</v>
      </c>
      <c r="AD4049">
        <v>-1.1102759224500001</v>
      </c>
      <c r="AE4049">
        <v>-85.7941</v>
      </c>
      <c r="AF4049">
        <v>-0.26010734445810502</v>
      </c>
      <c r="AG4049">
        <v>-1.1102759224500001</v>
      </c>
      <c r="AH4049">
        <v>85.967591936945297</v>
      </c>
      <c r="AI4049">
        <v>90.739933448514805</v>
      </c>
      <c r="AJ4049">
        <v>90.173356112989694</v>
      </c>
      <c r="AK4049">
        <v>85.975154736073407</v>
      </c>
      <c r="AL4049">
        <v>76.272914888840205</v>
      </c>
      <c r="AM4049">
        <v>95.692733875752197</v>
      </c>
      <c r="AN4049">
        <v>1.00000002305402</v>
      </c>
    </row>
    <row r="4050" spans="1:40" x14ac:dyDescent="0.25">
      <c r="A4050" t="str">
        <f>"20190304155139099"</f>
        <v>20190304155139099</v>
      </c>
      <c r="B4050" t="str">
        <f>"1551685899090771"</f>
        <v>1551685899090771</v>
      </c>
      <c r="C4050" t="s">
        <v>40</v>
      </c>
      <c r="D4050">
        <v>5.1724230000000002</v>
      </c>
      <c r="E4050">
        <v>0.53257759999999998</v>
      </c>
      <c r="F4050" t="s">
        <v>41</v>
      </c>
      <c r="G4050">
        <v>-194.85550000000001</v>
      </c>
      <c r="H4050" s="1">
        <v>-3.8668900000000003E-6</v>
      </c>
      <c r="I4050">
        <v>95.818899999999999</v>
      </c>
      <c r="J4050">
        <v>-188.93109999999999</v>
      </c>
      <c r="K4050">
        <v>1.110562</v>
      </c>
      <c r="L4050">
        <v>189.18119999999999</v>
      </c>
      <c r="M4050">
        <v>-6.8735350000000001E-2</v>
      </c>
      <c r="N4050">
        <v>-1.467166E-2</v>
      </c>
      <c r="O4050">
        <v>-0.9975271</v>
      </c>
      <c r="P4050">
        <v>3.04309E-2</v>
      </c>
      <c r="Q4050">
        <v>0.22430700000000001</v>
      </c>
      <c r="R4050">
        <v>-0.97404369999999996</v>
      </c>
      <c r="S4050">
        <v>-0.19630429999999999</v>
      </c>
      <c r="T4050">
        <v>-3.6722539999999998E-2</v>
      </c>
      <c r="U4050">
        <v>-3.0931700000000002</v>
      </c>
      <c r="V4050">
        <v>-9.7167970000000006E-2</v>
      </c>
      <c r="W4050">
        <v>0.23857010000000001</v>
      </c>
      <c r="X4050">
        <v>0.96625190000000005</v>
      </c>
      <c r="Y4050">
        <v>-5.4173759999999998E-3</v>
      </c>
      <c r="Z4050">
        <v>-2.822691E-3</v>
      </c>
      <c r="AA4050">
        <v>0.99998129999999996</v>
      </c>
      <c r="AB4050">
        <v>30</v>
      </c>
      <c r="AC4050">
        <v>-5.9244000000000101</v>
      </c>
      <c r="AD4050">
        <v>-1.11056586689</v>
      </c>
      <c r="AE4050">
        <v>-93.362300000000005</v>
      </c>
      <c r="AF4050">
        <v>-0.50752389530897801</v>
      </c>
      <c r="AG4050">
        <v>-1.11056586689</v>
      </c>
      <c r="AH4050">
        <v>93.535521618288698</v>
      </c>
      <c r="AI4050">
        <v>90.680242218014698</v>
      </c>
      <c r="AJ4050">
        <v>90.310883943650495</v>
      </c>
      <c r="AK4050">
        <v>93.5434911763206</v>
      </c>
      <c r="AL4050">
        <v>76.197838420633204</v>
      </c>
      <c r="AM4050">
        <v>95.742457888995702</v>
      </c>
      <c r="AN4050">
        <v>1.00000002063077</v>
      </c>
    </row>
    <row r="4051" spans="1:40" x14ac:dyDescent="0.25">
      <c r="A4051" t="str">
        <f>"20190304155139120"</f>
        <v>20190304155139120</v>
      </c>
      <c r="B4051" t="str">
        <f>"1551685899110290"</f>
        <v>1551685899110290</v>
      </c>
      <c r="C4051" t="s">
        <v>40</v>
      </c>
      <c r="D4051">
        <v>5.2157210000000003</v>
      </c>
      <c r="E4051">
        <v>0.5314584</v>
      </c>
      <c r="F4051" t="s">
        <v>41</v>
      </c>
      <c r="G4051">
        <v>-195.27080000000001</v>
      </c>
      <c r="H4051" s="1">
        <v>-3.7370060000000001E-6</v>
      </c>
      <c r="I4051">
        <v>85.220759999999999</v>
      </c>
      <c r="J4051">
        <v>-188.9502</v>
      </c>
      <c r="K4051">
        <v>1.1110690000000001</v>
      </c>
      <c r="L4051">
        <v>188.8947</v>
      </c>
      <c r="M4051">
        <v>-6.7703630000000001E-2</v>
      </c>
      <c r="N4051">
        <v>-1.4626180000000001E-2</v>
      </c>
      <c r="O4051">
        <v>-0.99759830000000005</v>
      </c>
      <c r="P4051">
        <v>3.2254770000000002E-2</v>
      </c>
      <c r="Q4051">
        <v>0.2262815</v>
      </c>
      <c r="R4051">
        <v>-0.97352799999999995</v>
      </c>
      <c r="S4051">
        <v>-0.18864439999999999</v>
      </c>
      <c r="T4051">
        <v>-3.304613E-2</v>
      </c>
      <c r="U4051">
        <v>-3.0934599999999999</v>
      </c>
      <c r="V4051">
        <v>-9.8237389999999994E-2</v>
      </c>
      <c r="W4051">
        <v>0.24037520000000001</v>
      </c>
      <c r="X4051">
        <v>0.9656962</v>
      </c>
      <c r="Y4051">
        <v>-6.8556099999999998E-3</v>
      </c>
      <c r="Z4051">
        <v>-3.9610959999999999E-3</v>
      </c>
      <c r="AA4051">
        <v>0.99996859999999999</v>
      </c>
      <c r="AB4051">
        <v>30</v>
      </c>
      <c r="AC4051">
        <v>-6.3206000000000104</v>
      </c>
      <c r="AD4051">
        <v>-1.1110727370060001</v>
      </c>
      <c r="AE4051">
        <v>-103.67394</v>
      </c>
      <c r="AF4051">
        <v>-0.71367691720987203</v>
      </c>
      <c r="AG4051">
        <v>-1.1110727370060001</v>
      </c>
      <c r="AH4051">
        <v>103.85209647957601</v>
      </c>
      <c r="AI4051">
        <v>90.612947153754206</v>
      </c>
      <c r="AJ4051">
        <v>90.393733328529805</v>
      </c>
      <c r="AK4051">
        <v>103.860491817496</v>
      </c>
      <c r="AL4051">
        <v>76.091313782816997</v>
      </c>
      <c r="AM4051">
        <v>95.808547146721907</v>
      </c>
      <c r="AN4051">
        <v>0.99999998613174501</v>
      </c>
    </row>
    <row r="4052" spans="1:40" x14ac:dyDescent="0.25">
      <c r="A4052" t="str">
        <f>"20190304155139132"</f>
        <v>20190304155139132</v>
      </c>
      <c r="B4052" t="str">
        <f>"1551685899121027"</f>
        <v>1551685899121027</v>
      </c>
      <c r="C4052" t="s">
        <v>40</v>
      </c>
      <c r="D4052">
        <v>5.234121</v>
      </c>
      <c r="E4052">
        <v>0.5314584</v>
      </c>
      <c r="F4052" t="s">
        <v>41</v>
      </c>
      <c r="G4052">
        <v>-196.0565</v>
      </c>
      <c r="H4052" s="1">
        <v>-3.1051199999999998E-6</v>
      </c>
      <c r="I4052">
        <v>63.070799999999998</v>
      </c>
      <c r="J4052">
        <v>-188.96109999999999</v>
      </c>
      <c r="K4052">
        <v>1.111351</v>
      </c>
      <c r="L4052">
        <v>188.72630000000001</v>
      </c>
      <c r="M4052">
        <v>-6.6885459999999994E-2</v>
      </c>
      <c r="N4052">
        <v>-1.4602520000000001E-2</v>
      </c>
      <c r="O4052">
        <v>-0.99765380000000004</v>
      </c>
      <c r="P4052">
        <v>3.3048109999999999E-2</v>
      </c>
      <c r="Q4052">
        <v>0.22643740000000001</v>
      </c>
      <c r="R4052">
        <v>-0.97346480000000002</v>
      </c>
      <c r="S4052">
        <v>-0.17472839999999901</v>
      </c>
      <c r="T4052">
        <v>-2.731884E-2</v>
      </c>
      <c r="U4052">
        <v>-3.0937350000000001</v>
      </c>
      <c r="V4052">
        <v>-9.839183E-2</v>
      </c>
      <c r="W4052">
        <v>0.2404414</v>
      </c>
      <c r="X4052">
        <v>0.96566399999999997</v>
      </c>
      <c r="Y4052">
        <v>-1.0523340000000001E-2</v>
      </c>
      <c r="Z4052">
        <v>-5.7821929999999997E-3</v>
      </c>
      <c r="AA4052">
        <v>0.99992789999999998</v>
      </c>
      <c r="AB4052">
        <v>30</v>
      </c>
      <c r="AC4052">
        <v>-7.0954000000000104</v>
      </c>
      <c r="AD4052">
        <v>-1.11135410512</v>
      </c>
      <c r="AE4052">
        <v>-125.6555</v>
      </c>
      <c r="AF4052">
        <v>-1.32581113574329</v>
      </c>
      <c r="AG4052">
        <v>-1.11135410512</v>
      </c>
      <c r="AH4052">
        <v>125.838871892764</v>
      </c>
      <c r="AI4052">
        <v>90.505970133537502</v>
      </c>
      <c r="AJ4052">
        <v>90.6036336057348</v>
      </c>
      <c r="AK4052">
        <v>125.850763058307</v>
      </c>
      <c r="AL4052">
        <v>76.087406254479504</v>
      </c>
      <c r="AM4052">
        <v>95.817808895009094</v>
      </c>
      <c r="AN4052">
        <v>0.999999989970354</v>
      </c>
    </row>
    <row r="4053" spans="1:40" x14ac:dyDescent="0.25">
      <c r="A4053" t="str">
        <f>"20190304155139152"</f>
        <v>20190304155139152</v>
      </c>
      <c r="B4053" t="str">
        <f>"1551685899141133"</f>
        <v>1551685899141133</v>
      </c>
      <c r="C4053" t="s">
        <v>40</v>
      </c>
      <c r="D4053">
        <v>5.134055</v>
      </c>
      <c r="E4053">
        <v>0.50972489999999904</v>
      </c>
      <c r="F4053" t="s">
        <v>41</v>
      </c>
      <c r="G4053">
        <v>-196.0565</v>
      </c>
      <c r="H4053" s="1">
        <v>-2.2039569999999999E-6</v>
      </c>
      <c r="I4053">
        <v>60.970179999999999</v>
      </c>
      <c r="J4053">
        <v>-188.9778</v>
      </c>
      <c r="K4053">
        <v>1.111774</v>
      </c>
      <c r="L4053">
        <v>188.45529999999999</v>
      </c>
      <c r="M4053">
        <v>-6.5242079999999994E-2</v>
      </c>
      <c r="N4053">
        <v>-1.45696E-2</v>
      </c>
      <c r="O4053">
        <v>-0.99776350000000003</v>
      </c>
      <c r="P4053">
        <v>3.4216499999999997E-2</v>
      </c>
      <c r="Q4053">
        <v>0.22623699999999999</v>
      </c>
      <c r="R4053">
        <v>-0.97347169999999905</v>
      </c>
      <c r="S4053">
        <v>-0.17182919999999999</v>
      </c>
      <c r="T4053">
        <v>-2.691352E-2</v>
      </c>
      <c r="U4053">
        <v>-3.0938569999999999</v>
      </c>
      <c r="V4053">
        <v>-9.8204819999999998E-2</v>
      </c>
      <c r="W4053">
        <v>0.2401123</v>
      </c>
      <c r="X4053">
        <v>0.96576490000000004</v>
      </c>
      <c r="Y4053">
        <v>-9.8126719999999997E-3</v>
      </c>
      <c r="Z4053">
        <v>-5.8795679999999999E-3</v>
      </c>
      <c r="AA4053">
        <v>0.99993460000000001</v>
      </c>
      <c r="AB4053">
        <v>30</v>
      </c>
      <c r="AC4053">
        <v>-7.0786999999999898</v>
      </c>
      <c r="AD4053">
        <v>-1.1117762039569901</v>
      </c>
      <c r="AE4053">
        <v>-127.48511999999999</v>
      </c>
      <c r="AF4053">
        <v>-1.2545634582326199</v>
      </c>
      <c r="AG4053">
        <v>-1.1117762039569901</v>
      </c>
      <c r="AH4053">
        <v>127.665649546374</v>
      </c>
      <c r="AI4053">
        <v>90.498923547469602</v>
      </c>
      <c r="AJ4053">
        <v>90.5630244145473</v>
      </c>
      <c r="AK4053">
        <v>127.676654286898</v>
      </c>
      <c r="AL4053">
        <v>76.106831121014807</v>
      </c>
      <c r="AM4053">
        <v>95.806224285464793</v>
      </c>
      <c r="AN4053">
        <v>0.99999997267726504</v>
      </c>
    </row>
    <row r="4054" spans="1:40" x14ac:dyDescent="0.25">
      <c r="A4054" t="str">
        <f>"20190304155139166"</f>
        <v>20190304155139166</v>
      </c>
      <c r="B4054" t="str">
        <f>"1551685899160653"</f>
        <v>1551685899160653</v>
      </c>
      <c r="C4054" t="s">
        <v>40</v>
      </c>
      <c r="D4054">
        <v>5.2010740000000002</v>
      </c>
      <c r="E4054">
        <v>0.50902519999999996</v>
      </c>
      <c r="F4054" t="s">
        <v>41</v>
      </c>
      <c r="G4054">
        <v>-188.84059999999999</v>
      </c>
      <c r="H4054" s="1">
        <v>-1.346356E-6</v>
      </c>
      <c r="I4054">
        <v>112.29179999999999</v>
      </c>
      <c r="J4054">
        <v>-188.98869999999999</v>
      </c>
      <c r="K4054">
        <v>1.1120380000000001</v>
      </c>
      <c r="L4054">
        <v>188.27350000000001</v>
      </c>
      <c r="M4054">
        <v>-6.3963370000000005E-2</v>
      </c>
      <c r="N4054">
        <v>-1.4549980000000001E-2</v>
      </c>
      <c r="O4054">
        <v>-0.99784640000000002</v>
      </c>
      <c r="P4054">
        <v>3.5288239999999998E-2</v>
      </c>
      <c r="Q4054">
        <v>0.22603210000000001</v>
      </c>
      <c r="R4054">
        <v>-0.97348060000000003</v>
      </c>
      <c r="S4054">
        <v>5.5694580000000002E-3</v>
      </c>
      <c r="T4054">
        <v>-4.5135380000000003E-2</v>
      </c>
      <c r="U4054">
        <v>-3.0920559999999999</v>
      </c>
      <c r="V4054">
        <v>-9.8183389999999995E-2</v>
      </c>
      <c r="W4054">
        <v>0.2398276</v>
      </c>
      <c r="X4054">
        <v>0.96583779999999997</v>
      </c>
      <c r="Y4054">
        <v>-6.5753590000000001E-2</v>
      </c>
      <c r="Z4054" s="1">
        <v>-1.580681E-5</v>
      </c>
      <c r="AA4054">
        <v>0.9978359</v>
      </c>
      <c r="AB4054">
        <v>30</v>
      </c>
      <c r="AC4054">
        <v>0.14809999999999901</v>
      </c>
      <c r="AD4054">
        <v>-1.1120393463560001</v>
      </c>
      <c r="AE4054">
        <v>-75.981700000000004</v>
      </c>
      <c r="AF4054">
        <v>-5.0072831129844397</v>
      </c>
      <c r="AG4054">
        <v>-1.1120393463560001</v>
      </c>
      <c r="AH4054">
        <v>75.800364878708805</v>
      </c>
      <c r="AI4054">
        <v>90.838677423108095</v>
      </c>
      <c r="AJ4054">
        <v>93.779400834343903</v>
      </c>
      <c r="AK4054">
        <v>75.973711449598298</v>
      </c>
      <c r="AL4054">
        <v>76.123633972793698</v>
      </c>
      <c r="AM4054">
        <v>95.804530761712996</v>
      </c>
      <c r="AN4054">
        <v>0.99999995585124501</v>
      </c>
    </row>
    <row r="4055" spans="1:40" x14ac:dyDescent="0.25">
      <c r="A4055" t="str">
        <f>"20190304155139188"</f>
        <v>20190304155139188</v>
      </c>
      <c r="B4055" t="str">
        <f>"1551685899181149"</f>
        <v>1551685899181149</v>
      </c>
      <c r="C4055" t="s">
        <v>40</v>
      </c>
      <c r="D4055">
        <v>5.1561440000000003</v>
      </c>
      <c r="E4055">
        <v>0.50793140000000003</v>
      </c>
      <c r="F4055" t="s">
        <v>41</v>
      </c>
      <c r="G4055">
        <v>-188.59540000000001</v>
      </c>
      <c r="H4055" s="1">
        <v>-3.7512350000000001E-6</v>
      </c>
      <c r="I4055">
        <v>107.7962</v>
      </c>
      <c r="J4055">
        <v>-189.0051</v>
      </c>
      <c r="K4055">
        <v>1.1124000000000001</v>
      </c>
      <c r="L4055">
        <v>187.98400000000001</v>
      </c>
      <c r="M4055">
        <v>-6.1629059999999999E-2</v>
      </c>
      <c r="N4055">
        <v>-1.4522530000000001E-2</v>
      </c>
      <c r="O4055">
        <v>-0.99799349999999998</v>
      </c>
      <c r="P4055">
        <v>3.7317139999999999E-2</v>
      </c>
      <c r="Q4055">
        <v>0.2255625</v>
      </c>
      <c r="R4055">
        <v>-0.97351379999999998</v>
      </c>
      <c r="S4055">
        <v>1.51062E-2</v>
      </c>
      <c r="T4055">
        <v>-4.2713050000000002E-2</v>
      </c>
      <c r="U4055">
        <v>-3.0910950000000001</v>
      </c>
      <c r="V4055">
        <v>-9.815227E-2</v>
      </c>
      <c r="W4055">
        <v>0.23924799999999999</v>
      </c>
      <c r="X4055">
        <v>0.96598479999999998</v>
      </c>
      <c r="Y4055">
        <v>-6.6498790000000002E-2</v>
      </c>
      <c r="Z4055">
        <v>-7.6279039999999998E-4</v>
      </c>
      <c r="AA4055">
        <v>0.99778619999999996</v>
      </c>
      <c r="AB4055">
        <v>30</v>
      </c>
      <c r="AC4055">
        <v>0.40969999999998602</v>
      </c>
      <c r="AD4055">
        <v>-1.112403751235</v>
      </c>
      <c r="AE4055">
        <v>-80.187799999999996</v>
      </c>
      <c r="AF4055">
        <v>-5.3503112058651396</v>
      </c>
      <c r="AG4055">
        <v>-1.112403751235</v>
      </c>
      <c r="AH4055">
        <v>79.994694342426996</v>
      </c>
      <c r="AI4055">
        <v>90.794926199773201</v>
      </c>
      <c r="AJ4055">
        <v>93.826433383990107</v>
      </c>
      <c r="AK4055">
        <v>80.1811349074313</v>
      </c>
      <c r="AL4055">
        <v>76.157839782632607</v>
      </c>
      <c r="AM4055">
        <v>95.801826516824306</v>
      </c>
      <c r="AN4055">
        <v>1.00000005372059</v>
      </c>
    </row>
    <row r="4056" spans="1:40" x14ac:dyDescent="0.25">
      <c r="A4056" t="str">
        <f>"20190304155139210"</f>
        <v>20190304155139210</v>
      </c>
      <c r="B4056" t="str">
        <f>"1551685899200669"</f>
        <v>1551685899200669</v>
      </c>
      <c r="C4056" t="s">
        <v>40</v>
      </c>
      <c r="D4056">
        <v>5.1634010000000004</v>
      </c>
      <c r="E4056">
        <v>0.50721779999999905</v>
      </c>
      <c r="F4056" t="s">
        <v>41</v>
      </c>
      <c r="G4056">
        <v>-188.2431</v>
      </c>
      <c r="H4056" s="1">
        <v>-8.3609209999999996E-7</v>
      </c>
      <c r="I4056">
        <v>110.7313</v>
      </c>
      <c r="J4056">
        <v>-189.02080000000001</v>
      </c>
      <c r="K4056">
        <v>1.112717</v>
      </c>
      <c r="L4056">
        <v>187.685</v>
      </c>
      <c r="M4056">
        <v>-5.8883339999999999E-2</v>
      </c>
      <c r="N4056">
        <v>-1.449814E-2</v>
      </c>
      <c r="O4056">
        <v>-0.99815980000000004</v>
      </c>
      <c r="P4056">
        <v>4.0566829999999998E-2</v>
      </c>
      <c r="Q4056">
        <v>0.22520950000000001</v>
      </c>
      <c r="R4056">
        <v>-0.97346569999999999</v>
      </c>
      <c r="S4056">
        <v>3.048706E-2</v>
      </c>
      <c r="T4056">
        <v>-4.4505599999999999E-2</v>
      </c>
      <c r="U4056">
        <v>-3.0907749999999998</v>
      </c>
      <c r="V4056">
        <v>-9.8905649999999998E-2</v>
      </c>
      <c r="W4056">
        <v>0.23879520000000001</v>
      </c>
      <c r="X4056">
        <v>0.96601990000000004</v>
      </c>
      <c r="Y4056">
        <v>-6.8718539999999995E-2</v>
      </c>
      <c r="Z4056">
        <v>-1.592067E-4</v>
      </c>
      <c r="AA4056">
        <v>0.99763610000000003</v>
      </c>
      <c r="AB4056">
        <v>30</v>
      </c>
      <c r="AC4056">
        <v>0.77770000000000905</v>
      </c>
      <c r="AD4056">
        <v>-1.1127178360921</v>
      </c>
      <c r="AE4056">
        <v>-76.953699999999998</v>
      </c>
      <c r="AF4056">
        <v>-5.3070070458954399</v>
      </c>
      <c r="AG4056">
        <v>-1.1127178360921</v>
      </c>
      <c r="AH4056">
        <v>76.758302036604704</v>
      </c>
      <c r="AI4056">
        <v>90.828545777541194</v>
      </c>
      <c r="AJ4056">
        <v>93.955089884423401</v>
      </c>
      <c r="AK4056">
        <v>76.949589968436896</v>
      </c>
      <c r="AL4056">
        <v>76.184556446734106</v>
      </c>
      <c r="AM4056">
        <v>95.845840944562795</v>
      </c>
      <c r="AN4056">
        <v>0.99999996117048495</v>
      </c>
    </row>
    <row r="4057" spans="1:40" x14ac:dyDescent="0.25">
      <c r="A4057" t="str">
        <f>"20190304155139223"</f>
        <v>20190304155139223</v>
      </c>
      <c r="B4057" t="str">
        <f>"1551685899221165"</f>
        <v>1551685899221165</v>
      </c>
      <c r="C4057" t="s">
        <v>40</v>
      </c>
      <c r="D4057">
        <v>5.1548569999999998</v>
      </c>
      <c r="E4057">
        <v>0.50674870000000005</v>
      </c>
      <c r="F4057" t="s">
        <v>41</v>
      </c>
      <c r="G4057">
        <v>-187.93389999999999</v>
      </c>
      <c r="H4057" s="1">
        <v>-2.2218079999999999E-6</v>
      </c>
      <c r="I4057">
        <v>113.9576</v>
      </c>
      <c r="J4057">
        <v>-189.02930000000001</v>
      </c>
      <c r="K4057">
        <v>1.1128659999999999</v>
      </c>
      <c r="L4057">
        <v>187.51410000000001</v>
      </c>
      <c r="M4057">
        <v>-5.720124E-2</v>
      </c>
      <c r="N4057">
        <v>-1.448555E-2</v>
      </c>
      <c r="O4057">
        <v>-0.99825750000000002</v>
      </c>
      <c r="P4057">
        <v>4.2574760000000003E-2</v>
      </c>
      <c r="Q4057">
        <v>0.22526309999999999</v>
      </c>
      <c r="R4057">
        <v>-0.97336739999999999</v>
      </c>
      <c r="S4057">
        <v>4.5562739999999997E-2</v>
      </c>
      <c r="T4057">
        <v>-4.6645159999999998E-2</v>
      </c>
      <c r="U4057">
        <v>-3.090652</v>
      </c>
      <c r="V4057">
        <v>-9.9356040000000007E-2</v>
      </c>
      <c r="W4057">
        <v>0.23879890000000001</v>
      </c>
      <c r="X4057">
        <v>0.96597279999999996</v>
      </c>
      <c r="Y4057">
        <v>-7.1901989999999999E-2</v>
      </c>
      <c r="Z4057">
        <v>5.4160790000000003E-4</v>
      </c>
      <c r="AA4057">
        <v>0.99741150000000001</v>
      </c>
      <c r="AB4057">
        <v>30</v>
      </c>
      <c r="AC4057">
        <v>1.0954000000000099</v>
      </c>
      <c r="AD4057">
        <v>-1.1128682218079999</v>
      </c>
      <c r="AE4057">
        <v>-73.5565</v>
      </c>
      <c r="AF4057">
        <v>-5.3003579398332699</v>
      </c>
      <c r="AG4057">
        <v>-1.1128682218079999</v>
      </c>
      <c r="AH4057">
        <v>73.3565859195608</v>
      </c>
      <c r="AI4057">
        <v>90.866888818429004</v>
      </c>
      <c r="AJ4057">
        <v>94.132707281520197</v>
      </c>
      <c r="AK4057">
        <v>73.556243567377507</v>
      </c>
      <c r="AL4057">
        <v>76.184338596721901</v>
      </c>
      <c r="AM4057">
        <v>95.872560062881206</v>
      </c>
      <c r="AN4057">
        <v>0.99999999383276506</v>
      </c>
    </row>
    <row r="4058" spans="1:40" x14ac:dyDescent="0.25">
      <c r="A4058" t="str">
        <f>"20190304155139235"</f>
        <v>20190304155139235</v>
      </c>
      <c r="B4058" t="str">
        <f>"1551685899230878"</f>
        <v>1551685899230878</v>
      </c>
      <c r="C4058" t="s">
        <v>40</v>
      </c>
      <c r="D4058">
        <v>5.1415369999999996</v>
      </c>
      <c r="E4058">
        <v>0.50648979999999999</v>
      </c>
      <c r="F4058" t="s">
        <v>41</v>
      </c>
      <c r="G4058">
        <v>-187.7243</v>
      </c>
      <c r="H4058" s="1">
        <v>-2.5239149999999999E-6</v>
      </c>
      <c r="I4058">
        <v>114.57510000000001</v>
      </c>
      <c r="J4058">
        <v>-189.03720000000001</v>
      </c>
      <c r="K4058">
        <v>1.1129910000000001</v>
      </c>
      <c r="L4058">
        <v>187.34729999999999</v>
      </c>
      <c r="M4058">
        <v>-5.5499689999999997E-2</v>
      </c>
      <c r="N4058">
        <v>-1.4474000000000001E-2</v>
      </c>
      <c r="O4058">
        <v>-0.99835399999999996</v>
      </c>
      <c r="P4058">
        <v>4.4608849999999999E-2</v>
      </c>
      <c r="Q4058">
        <v>0.22535079999999999</v>
      </c>
      <c r="R4058">
        <v>-0.97325609999999996</v>
      </c>
      <c r="S4058">
        <v>5.5297850000000003E-2</v>
      </c>
      <c r="T4058">
        <v>-4.7154309999999998E-2</v>
      </c>
      <c r="U4058">
        <v>-3.0905610000000001</v>
      </c>
      <c r="V4058">
        <v>-9.9800330000000007E-2</v>
      </c>
      <c r="W4058">
        <v>0.23884240000000001</v>
      </c>
      <c r="X4058">
        <v>0.96591629999999995</v>
      </c>
      <c r="Y4058">
        <v>-7.3342859999999996E-2</v>
      </c>
      <c r="Z4058">
        <v>7.1760119999999996E-4</v>
      </c>
      <c r="AA4058">
        <v>0.99730649999999998</v>
      </c>
      <c r="AB4058">
        <v>30</v>
      </c>
      <c r="AC4058">
        <v>1.3129000000000099</v>
      </c>
      <c r="AD4058">
        <v>-1.1129935239149999</v>
      </c>
      <c r="AE4058">
        <v>-72.772199999999899</v>
      </c>
      <c r="AF4058">
        <v>-5.3488820605413503</v>
      </c>
      <c r="AG4058">
        <v>-1.1129935239149999</v>
      </c>
      <c r="AH4058">
        <v>72.570170314753796</v>
      </c>
      <c r="AI4058">
        <v>90.876287823316702</v>
      </c>
      <c r="AJ4058">
        <v>94.215439923955699</v>
      </c>
      <c r="AK4058">
        <v>72.775537877738998</v>
      </c>
      <c r="AL4058">
        <v>76.181772728306598</v>
      </c>
      <c r="AM4058">
        <v>95.898978213883396</v>
      </c>
      <c r="AN4058">
        <v>1.00000004825577</v>
      </c>
    </row>
    <row r="4059" spans="1:40" x14ac:dyDescent="0.25">
      <c r="A4059" t="str">
        <f>"20190304155139248"</f>
        <v>20190304155139248</v>
      </c>
      <c r="B4059" t="str">
        <f>"1551685899240638"</f>
        <v>1551685899240638</v>
      </c>
      <c r="C4059" t="s">
        <v>40</v>
      </c>
      <c r="D4059">
        <v>5.1334179999999998</v>
      </c>
      <c r="E4059">
        <v>0.50620569999999998</v>
      </c>
      <c r="F4059" t="s">
        <v>41</v>
      </c>
      <c r="G4059">
        <v>-187.57480000000001</v>
      </c>
      <c r="H4059" s="1">
        <v>-3.141472E-6</v>
      </c>
      <c r="I4059">
        <v>115.9528</v>
      </c>
      <c r="J4059">
        <v>-189.04509999999999</v>
      </c>
      <c r="K4059">
        <v>1.113105</v>
      </c>
      <c r="L4059">
        <v>187.17699999999999</v>
      </c>
      <c r="M4059">
        <v>-5.3722230000000003E-2</v>
      </c>
      <c r="N4059">
        <v>-1.4462579999999999E-2</v>
      </c>
      <c r="O4059">
        <v>-0.99845150000000005</v>
      </c>
      <c r="P4059">
        <v>4.6974259999999997E-2</v>
      </c>
      <c r="Q4059">
        <v>0.22513910000000001</v>
      </c>
      <c r="R4059">
        <v>-0.97319409999999895</v>
      </c>
      <c r="S4059">
        <v>6.3308719999999999E-2</v>
      </c>
      <c r="T4059">
        <v>-4.818153E-2</v>
      </c>
      <c r="U4059">
        <v>-3.090668</v>
      </c>
      <c r="V4059">
        <v>-0.10049810000000001</v>
      </c>
      <c r="W4059">
        <v>0.23858860000000001</v>
      </c>
      <c r="X4059">
        <v>0.96590659999999895</v>
      </c>
      <c r="Y4059">
        <v>-7.4150389999999997E-2</v>
      </c>
      <c r="Z4059">
        <v>1.0602020000000001E-3</v>
      </c>
      <c r="AA4059">
        <v>0.99724650000000004</v>
      </c>
      <c r="AB4059">
        <v>30</v>
      </c>
      <c r="AC4059">
        <v>1.47029999999998</v>
      </c>
      <c r="AD4059">
        <v>-1.1131081414720001</v>
      </c>
      <c r="AE4059">
        <v>-71.224199999999996</v>
      </c>
      <c r="AF4059">
        <v>-5.2936058124863496</v>
      </c>
      <c r="AG4059">
        <v>-1.1131081414720001</v>
      </c>
      <c r="AH4059">
        <v>71.024989073802502</v>
      </c>
      <c r="AI4059">
        <v>90.895386524560905</v>
      </c>
      <c r="AJ4059">
        <v>94.262464959845403</v>
      </c>
      <c r="AK4059">
        <v>71.230684014449594</v>
      </c>
      <c r="AL4059">
        <v>76.196746273898697</v>
      </c>
      <c r="AM4059">
        <v>95.939987219223397</v>
      </c>
      <c r="AN4059">
        <v>0.999999974038564</v>
      </c>
    </row>
    <row r="4060" spans="1:40" x14ac:dyDescent="0.25">
      <c r="A4060" t="str">
        <f>"20190304155139264"</f>
        <v>20190304155139264</v>
      </c>
      <c r="B4060" t="str">
        <f>"1551685899261134"</f>
        <v>1551685899261134</v>
      </c>
      <c r="C4060" t="s">
        <v>40</v>
      </c>
      <c r="D4060">
        <v>5.1979730000000002</v>
      </c>
      <c r="E4060">
        <v>0.50608330000000001</v>
      </c>
      <c r="F4060" t="s">
        <v>41</v>
      </c>
      <c r="G4060">
        <v>-187.42760000000001</v>
      </c>
      <c r="H4060" s="1">
        <v>-4.1819240000000004E-6</v>
      </c>
      <c r="I4060">
        <v>118.3173</v>
      </c>
      <c r="J4060">
        <v>-189.05449999999999</v>
      </c>
      <c r="K4060">
        <v>1.1132089999999999</v>
      </c>
      <c r="L4060">
        <v>186.95869999999999</v>
      </c>
      <c r="M4060">
        <v>-5.1347900000000002E-2</v>
      </c>
      <c r="N4060">
        <v>-1.444932E-2</v>
      </c>
      <c r="O4060">
        <v>-0.99857649999999998</v>
      </c>
      <c r="P4060">
        <v>5.064449E-2</v>
      </c>
      <c r="Q4060">
        <v>0.2243986</v>
      </c>
      <c r="R4060">
        <v>-0.97318070000000001</v>
      </c>
      <c r="S4060">
        <v>7.2601319999999997E-2</v>
      </c>
      <c r="T4060">
        <v>-4.9960490000000003E-2</v>
      </c>
      <c r="U4060">
        <v>-3.0906829999999998</v>
      </c>
      <c r="V4060">
        <v>-0.1019198</v>
      </c>
      <c r="W4060">
        <v>0.2378004</v>
      </c>
      <c r="X4060">
        <v>0.96595200000000003</v>
      </c>
      <c r="Y4060">
        <v>-7.4775430000000004E-2</v>
      </c>
      <c r="Z4060">
        <v>1.648084E-3</v>
      </c>
      <c r="AA4060">
        <v>0.9971991</v>
      </c>
      <c r="AB4060">
        <v>30</v>
      </c>
      <c r="AC4060">
        <v>1.62689999999997</v>
      </c>
      <c r="AD4060">
        <v>-1.1132131819239901</v>
      </c>
      <c r="AE4060">
        <v>-68.641399999999905</v>
      </c>
      <c r="AF4060">
        <v>-5.1483590458882</v>
      </c>
      <c r="AG4060">
        <v>-1.1132131819239901</v>
      </c>
      <c r="AH4060">
        <v>68.449291351073299</v>
      </c>
      <c r="AI4060">
        <v>90.929113922462506</v>
      </c>
      <c r="AJ4060">
        <v>94.301357538146803</v>
      </c>
      <c r="AK4060">
        <v>68.651659345699002</v>
      </c>
      <c r="AL4060">
        <v>76.243245124228494</v>
      </c>
      <c r="AM4060">
        <v>96.023122936524402</v>
      </c>
      <c r="AN4060">
        <v>0.99999997108809902</v>
      </c>
    </row>
    <row r="4061" spans="1:40" x14ac:dyDescent="0.25">
      <c r="A4061" t="str">
        <f>"20190304155139278"</f>
        <v>20190304155139278</v>
      </c>
      <c r="B4061" t="str">
        <f>"1551685899270894"</f>
        <v>1551685899270894</v>
      </c>
      <c r="C4061" t="s">
        <v>40</v>
      </c>
      <c r="D4061">
        <v>5.1754769999999999</v>
      </c>
      <c r="E4061">
        <v>0.50580389999999997</v>
      </c>
      <c r="F4061" t="s">
        <v>84</v>
      </c>
      <c r="G4061">
        <v>-187.3278</v>
      </c>
      <c r="H4061" s="1">
        <v>-2.5478599999999902E-6</v>
      </c>
      <c r="I4061">
        <v>123.596</v>
      </c>
      <c r="J4061">
        <v>-189.0617</v>
      </c>
      <c r="K4061">
        <v>1.1132850000000001</v>
      </c>
      <c r="L4061">
        <v>186.77959999999999</v>
      </c>
      <c r="M4061">
        <v>-4.935556E-2</v>
      </c>
      <c r="N4061">
        <v>-1.443939E-2</v>
      </c>
      <c r="O4061">
        <v>-0.99867700000000004</v>
      </c>
      <c r="P4061">
        <v>5.3216890000000003E-2</v>
      </c>
      <c r="Q4061">
        <v>0.22377630000000001</v>
      </c>
      <c r="R4061">
        <v>-0.97318680000000002</v>
      </c>
      <c r="S4061">
        <v>8.4228520000000001E-2</v>
      </c>
      <c r="T4061">
        <v>-5.4302219999999998E-2</v>
      </c>
      <c r="U4061">
        <v>-3.0908199999999999</v>
      </c>
      <c r="V4061">
        <v>-0.1025963</v>
      </c>
      <c r="W4061">
        <v>0.23714640000000001</v>
      </c>
      <c r="X4061">
        <v>0.96604120000000004</v>
      </c>
      <c r="Y4061">
        <v>-7.6532450000000002E-2</v>
      </c>
      <c r="Z4061">
        <v>3.0563209999999999E-3</v>
      </c>
      <c r="AA4061">
        <v>0.99706240000000002</v>
      </c>
      <c r="AB4061">
        <v>30</v>
      </c>
      <c r="AC4061">
        <v>1.7339</v>
      </c>
      <c r="AD4061">
        <v>-1.1132875478599999</v>
      </c>
      <c r="AE4061">
        <v>-63.183599999999899</v>
      </c>
      <c r="AF4061">
        <v>-4.8490688620006202</v>
      </c>
      <c r="AG4061">
        <v>-1.1132875478599999</v>
      </c>
      <c r="AH4061">
        <v>63.001449062932402</v>
      </c>
      <c r="AI4061">
        <v>91.009373565884601</v>
      </c>
      <c r="AJ4061">
        <v>94.4012399969684</v>
      </c>
      <c r="AK4061">
        <v>63.197590634627097</v>
      </c>
      <c r="AL4061">
        <v>76.281820553994507</v>
      </c>
      <c r="AM4061">
        <v>96.062249412415397</v>
      </c>
      <c r="AN4061">
        <v>1.0000000079520399</v>
      </c>
    </row>
    <row r="4062" spans="1:40" x14ac:dyDescent="0.25">
      <c r="A4062" t="str">
        <f>"20190304155139291"</f>
        <v>20190304155139291</v>
      </c>
      <c r="B4062" t="str">
        <f>"1551685899280654"</f>
        <v>1551685899280654</v>
      </c>
      <c r="C4062" t="s">
        <v>40</v>
      </c>
      <c r="D4062">
        <v>5.1957100000000001</v>
      </c>
      <c r="E4062">
        <v>0.50568970000000002</v>
      </c>
      <c r="F4062" t="s">
        <v>84</v>
      </c>
      <c r="G4062">
        <v>-187.22739999999999</v>
      </c>
      <c r="H4062" s="1">
        <v>-3.8203200000000002E-6</v>
      </c>
      <c r="I4062">
        <v>126.7978</v>
      </c>
      <c r="J4062">
        <v>-189.0685</v>
      </c>
      <c r="K4062">
        <v>1.1133489999999999</v>
      </c>
      <c r="L4062">
        <v>186.60300000000001</v>
      </c>
      <c r="M4062">
        <v>-4.736837E-2</v>
      </c>
      <c r="N4062">
        <v>-1.443009E-2</v>
      </c>
      <c r="O4062">
        <v>-0.99877329999999998</v>
      </c>
      <c r="P4062">
        <v>5.5540329999999999E-2</v>
      </c>
      <c r="Q4062">
        <v>0.22311449999999999</v>
      </c>
      <c r="R4062">
        <v>-0.97320879999999998</v>
      </c>
      <c r="S4062">
        <v>9.4512940000000004E-2</v>
      </c>
      <c r="T4062">
        <v>-5.7363869999999997E-2</v>
      </c>
      <c r="U4062">
        <v>-3.090652</v>
      </c>
      <c r="V4062">
        <v>-0.103024</v>
      </c>
      <c r="W4062">
        <v>0.236458</v>
      </c>
      <c r="X4062">
        <v>0.96616440000000003</v>
      </c>
      <c r="Y4062">
        <v>-7.7864009999999997E-2</v>
      </c>
      <c r="Z4062">
        <v>4.053503E-3</v>
      </c>
      <c r="AA4062">
        <v>0.99695579999999995</v>
      </c>
      <c r="AB4062">
        <v>30</v>
      </c>
      <c r="AC4062">
        <v>1.84110000000001</v>
      </c>
      <c r="AD4062">
        <v>-1.1133528203199901</v>
      </c>
      <c r="AE4062">
        <v>-59.8051999999999</v>
      </c>
      <c r="AF4062">
        <v>-4.6705854684297696</v>
      </c>
      <c r="AG4062">
        <v>-1.1133528203199901</v>
      </c>
      <c r="AH4062">
        <v>59.630188709916901</v>
      </c>
      <c r="AI4062">
        <v>91.066377557257098</v>
      </c>
      <c r="AJ4062">
        <v>94.478597168598995</v>
      </c>
      <c r="AK4062">
        <v>59.823183872983002</v>
      </c>
      <c r="AL4062">
        <v>76.322417373164996</v>
      </c>
      <c r="AM4062">
        <v>96.086561757910502</v>
      </c>
      <c r="AN4062">
        <v>0.99999998908367904</v>
      </c>
    </row>
    <row r="4063" spans="1:40" x14ac:dyDescent="0.25">
      <c r="A4063" t="str">
        <f>"20190304155139303"</f>
        <v>20190304155139303</v>
      </c>
      <c r="B4063" t="str">
        <f>"1551685899290413"</f>
        <v>1551685899290413</v>
      </c>
      <c r="C4063" t="s">
        <v>40</v>
      </c>
      <c r="D4063">
        <v>5.1333000000000002</v>
      </c>
      <c r="E4063">
        <v>0.50553510000000002</v>
      </c>
      <c r="F4063" t="s">
        <v>84</v>
      </c>
      <c r="G4063">
        <v>-187.15389999999999</v>
      </c>
      <c r="H4063" s="1">
        <v>-4.6998210000000002E-6</v>
      </c>
      <c r="I4063">
        <v>128.87119999999999</v>
      </c>
      <c r="J4063">
        <v>-189.0744</v>
      </c>
      <c r="K4063">
        <v>1.1133999999999999</v>
      </c>
      <c r="L4063">
        <v>186.44139999999999</v>
      </c>
      <c r="M4063">
        <v>-4.552349E-2</v>
      </c>
      <c r="N4063">
        <v>-1.442237E-2</v>
      </c>
      <c r="O4063">
        <v>-0.99885919999999895</v>
      </c>
      <c r="P4063">
        <v>5.7534429999999998E-2</v>
      </c>
      <c r="Q4063">
        <v>0.221746</v>
      </c>
      <c r="R4063">
        <v>-0.97340579999999999</v>
      </c>
      <c r="S4063">
        <v>0.1024933</v>
      </c>
      <c r="T4063">
        <v>-5.9598329999999998E-2</v>
      </c>
      <c r="U4063">
        <v>-3.090408</v>
      </c>
      <c r="V4063">
        <v>-0.1032546</v>
      </c>
      <c r="W4063">
        <v>0.23507239999999999</v>
      </c>
      <c r="X4063">
        <v>0.9664779</v>
      </c>
      <c r="Y4063">
        <v>-7.8596089999999993E-2</v>
      </c>
      <c r="Z4063">
        <v>4.7836659999999998E-3</v>
      </c>
      <c r="AA4063">
        <v>0.99689510000000003</v>
      </c>
      <c r="AB4063">
        <v>30</v>
      </c>
      <c r="AC4063">
        <v>1.9205000000000001</v>
      </c>
      <c r="AD4063">
        <v>-1.1134046998210001</v>
      </c>
      <c r="AE4063">
        <v>-57.5702</v>
      </c>
      <c r="AF4063">
        <v>-4.5378820212611704</v>
      </c>
      <c r="AG4063">
        <v>-1.1134046998210001</v>
      </c>
      <c r="AH4063">
        <v>57.401619522418997</v>
      </c>
      <c r="AI4063">
        <v>91.107757093892801</v>
      </c>
      <c r="AJ4063">
        <v>94.520114057689597</v>
      </c>
      <c r="AK4063">
        <v>57.591474777618103</v>
      </c>
      <c r="AL4063">
        <v>76.404109989429401</v>
      </c>
      <c r="AM4063">
        <v>96.098118991958003</v>
      </c>
      <c r="AN4063">
        <v>1.00000003842566</v>
      </c>
    </row>
    <row r="4064" spans="1:40" x14ac:dyDescent="0.25">
      <c r="A4064" t="str">
        <f>"20190304155139321"</f>
        <v>20190304155139321</v>
      </c>
      <c r="B4064" t="str">
        <f>"1551685899310913"</f>
        <v>1551685899310913</v>
      </c>
      <c r="C4064" t="s">
        <v>40</v>
      </c>
      <c r="D4064">
        <v>5.1667870000000002</v>
      </c>
      <c r="E4064">
        <v>0.50541130000000001</v>
      </c>
      <c r="F4064" t="s">
        <v>84</v>
      </c>
      <c r="G4064">
        <v>-187.18799999999999</v>
      </c>
      <c r="H4064" s="1">
        <v>-6.150416E-6</v>
      </c>
      <c r="I4064">
        <v>133.17410000000001</v>
      </c>
      <c r="J4064">
        <v>-189.08240000000001</v>
      </c>
      <c r="K4064">
        <v>1.113451</v>
      </c>
      <c r="L4064">
        <v>186.203</v>
      </c>
      <c r="M4064">
        <v>-4.277487E-2</v>
      </c>
      <c r="N4064">
        <v>-1.4411999999999999E-2</v>
      </c>
      <c r="O4064">
        <v>-0.99898089999999995</v>
      </c>
      <c r="P4064">
        <v>5.9770700000000003E-2</v>
      </c>
      <c r="Q4064">
        <v>0.21923309999999999</v>
      </c>
      <c r="R4064">
        <v>-0.97384009999999999</v>
      </c>
      <c r="S4064">
        <v>0.10943600000000001</v>
      </c>
      <c r="T4064">
        <v>-6.4592360000000001E-2</v>
      </c>
      <c r="U4064">
        <v>-3.0902099999999999</v>
      </c>
      <c r="V4064">
        <v>-0.10285850000000001</v>
      </c>
      <c r="W4064">
        <v>0.23254569999999999</v>
      </c>
      <c r="X4064">
        <v>0.96713110000000002</v>
      </c>
      <c r="Y4064">
        <v>-7.809112E-2</v>
      </c>
      <c r="Z4064">
        <v>6.4086179999999996E-3</v>
      </c>
      <c r="AA4064">
        <v>0.99692570000000003</v>
      </c>
      <c r="AB4064">
        <v>30</v>
      </c>
      <c r="AC4064">
        <v>1.8944000000000101</v>
      </c>
      <c r="AD4064">
        <v>-1.113457150416</v>
      </c>
      <c r="AE4064">
        <v>-53.028899999999901</v>
      </c>
      <c r="AF4064">
        <v>-4.1593739564285102</v>
      </c>
      <c r="AG4064">
        <v>-1.113457150416</v>
      </c>
      <c r="AH4064">
        <v>52.876031034437702</v>
      </c>
      <c r="AI4064">
        <v>91.202635379118504</v>
      </c>
      <c r="AJ4064">
        <v>94.497781613832899</v>
      </c>
      <c r="AK4064">
        <v>53.051058768794199</v>
      </c>
      <c r="AL4064">
        <v>76.553005356125595</v>
      </c>
      <c r="AM4064">
        <v>96.0708286243826</v>
      </c>
      <c r="AN4064">
        <v>0.99999996909897404</v>
      </c>
    </row>
    <row r="4065" spans="1:40" x14ac:dyDescent="0.25">
      <c r="A4065" t="str">
        <f>"20190304155139343"</f>
        <v>20190304155139343</v>
      </c>
      <c r="B4065" t="str">
        <f>"1551685899340790"</f>
        <v>1551685899340790</v>
      </c>
      <c r="C4065" t="s">
        <v>40</v>
      </c>
      <c r="D4065">
        <v>5.145518</v>
      </c>
      <c r="E4065">
        <v>0.5056233</v>
      </c>
      <c r="F4065" t="s">
        <v>84</v>
      </c>
      <c r="G4065">
        <v>-187.30449999999999</v>
      </c>
      <c r="H4065" s="1">
        <v>-8.0092100000000002E-6</v>
      </c>
      <c r="I4065">
        <v>138.8321</v>
      </c>
      <c r="J4065">
        <v>-189.09129999999999</v>
      </c>
      <c r="K4065">
        <v>1.1135060000000001</v>
      </c>
      <c r="L4065">
        <v>185.91460000000001</v>
      </c>
      <c r="M4065">
        <v>-3.9422180000000001E-2</v>
      </c>
      <c r="N4065">
        <v>-1.440059E-2</v>
      </c>
      <c r="O4065">
        <v>-0.99911910000000004</v>
      </c>
      <c r="P4065">
        <v>6.090835E-2</v>
      </c>
      <c r="Q4065">
        <v>0.2173242</v>
      </c>
      <c r="R4065">
        <v>-0.97419739999999999</v>
      </c>
      <c r="S4065">
        <v>0.11596679999999999</v>
      </c>
      <c r="T4065">
        <v>-7.2626830000000003E-2</v>
      </c>
      <c r="U4065">
        <v>-3.0898279999999998</v>
      </c>
      <c r="V4065">
        <v>-0.1007729</v>
      </c>
      <c r="W4065">
        <v>0.23063410000000001</v>
      </c>
      <c r="X4065">
        <v>0.96780820000000001</v>
      </c>
      <c r="Y4065">
        <v>-7.6852229999999994E-2</v>
      </c>
      <c r="Z4065">
        <v>9.0185419999999992E-3</v>
      </c>
      <c r="AA4065">
        <v>0.99700169999999999</v>
      </c>
      <c r="AB4065">
        <v>30</v>
      </c>
      <c r="AC4065">
        <v>1.78679999999999</v>
      </c>
      <c r="AD4065">
        <v>-1.11351400921</v>
      </c>
      <c r="AE4065">
        <v>-47.082500000000003</v>
      </c>
      <c r="AF4065">
        <v>-3.6396647138178002</v>
      </c>
      <c r="AG4065">
        <v>-1.11351400921</v>
      </c>
      <c r="AH4065">
        <v>46.949223107606997</v>
      </c>
      <c r="AI4065">
        <v>91.354589976879197</v>
      </c>
      <c r="AJ4065">
        <v>94.432899021192796</v>
      </c>
      <c r="AK4065">
        <v>47.103254909672401</v>
      </c>
      <c r="AL4065">
        <v>76.665593118157801</v>
      </c>
      <c r="AM4065">
        <v>95.9444938009092</v>
      </c>
      <c r="AN4065">
        <v>0.99999998872222995</v>
      </c>
    </row>
    <row r="4066" spans="1:40" x14ac:dyDescent="0.25">
      <c r="A4066" t="str">
        <f>"20190304155139369"</f>
        <v>20190304155139369</v>
      </c>
      <c r="B4066" t="str">
        <f>"1551685899360310"</f>
        <v>1551685899360310</v>
      </c>
      <c r="C4066" t="s">
        <v>40</v>
      </c>
      <c r="D4066">
        <v>5.0441900000000004</v>
      </c>
      <c r="E4066">
        <v>0.50558639999999999</v>
      </c>
      <c r="F4066" t="s">
        <v>84</v>
      </c>
      <c r="G4066">
        <v>-187.4349</v>
      </c>
      <c r="H4066" s="1">
        <v>-9.0152260000000008E-6</v>
      </c>
      <c r="I4066">
        <v>142.43459999999999</v>
      </c>
      <c r="J4066">
        <v>-189.1002</v>
      </c>
      <c r="K4066">
        <v>1.1135520000000001</v>
      </c>
      <c r="L4066">
        <v>185.58750000000001</v>
      </c>
      <c r="M4066">
        <v>-3.5594300000000002E-2</v>
      </c>
      <c r="N4066">
        <v>-1.438906E-2</v>
      </c>
      <c r="O4066">
        <v>-0.99926269999999995</v>
      </c>
      <c r="P4066">
        <v>6.1104829999999999E-2</v>
      </c>
      <c r="Q4066">
        <v>0.21698390000000001</v>
      </c>
      <c r="R4066">
        <v>-0.97426069999999998</v>
      </c>
      <c r="S4066">
        <v>0.1177063</v>
      </c>
      <c r="T4066">
        <v>-7.9128030000000002E-2</v>
      </c>
      <c r="U4066">
        <v>-3.0897519999999998</v>
      </c>
      <c r="V4066">
        <v>-9.7274250000000007E-2</v>
      </c>
      <c r="W4066">
        <v>0.2303009</v>
      </c>
      <c r="X4066">
        <v>0.96824540000000003</v>
      </c>
      <c r="Y4066">
        <v>-7.3592630000000006E-2</v>
      </c>
      <c r="Z4066">
        <v>1.113638E-2</v>
      </c>
      <c r="AA4066">
        <v>0.99722619999999895</v>
      </c>
      <c r="AB4066">
        <v>30</v>
      </c>
      <c r="AC4066">
        <v>1.6653</v>
      </c>
      <c r="AD4066">
        <v>-1.113561015226</v>
      </c>
      <c r="AE4066">
        <v>-43.152900000000002</v>
      </c>
      <c r="AF4066">
        <v>-3.1982743057324998</v>
      </c>
      <c r="AG4066">
        <v>-1.113561015226</v>
      </c>
      <c r="AH4066">
        <v>43.037651876004503</v>
      </c>
      <c r="AI4066">
        <v>91.478072831383002</v>
      </c>
      <c r="AJ4066">
        <v>94.250032183566006</v>
      </c>
      <c r="AK4066">
        <v>43.170689775234003</v>
      </c>
      <c r="AL4066">
        <v>76.685211956443794</v>
      </c>
      <c r="AM4066">
        <v>95.736939966910398</v>
      </c>
      <c r="AN4066">
        <v>0.99999996943751501</v>
      </c>
    </row>
    <row r="4067" spans="1:40" x14ac:dyDescent="0.25">
      <c r="A4067" t="str">
        <f>"20190304155139390"</f>
        <v>20190304155139390</v>
      </c>
      <c r="B4067" t="str">
        <f>"1551685899380806"</f>
        <v>1551685899380806</v>
      </c>
      <c r="C4067" t="s">
        <v>40</v>
      </c>
      <c r="D4067">
        <v>5.1661000000000001</v>
      </c>
      <c r="E4067">
        <v>0.50590119999999905</v>
      </c>
      <c r="F4067" t="s">
        <v>84</v>
      </c>
      <c r="G4067">
        <v>-187.45939999999999</v>
      </c>
      <c r="H4067" s="1">
        <v>-9.1472400000000005E-6</v>
      </c>
      <c r="I4067">
        <v>142.9434</v>
      </c>
      <c r="J4067">
        <v>-189.1069</v>
      </c>
      <c r="K4067">
        <v>1.113575</v>
      </c>
      <c r="L4067">
        <v>185.2963</v>
      </c>
      <c r="M4067">
        <v>-3.2174599999999998E-2</v>
      </c>
      <c r="N4067">
        <v>-1.438008E-2</v>
      </c>
      <c r="O4067">
        <v>-0.99937889999999996</v>
      </c>
      <c r="P4067">
        <v>6.0575799999999999E-2</v>
      </c>
      <c r="Q4067">
        <v>0.21728169999999999</v>
      </c>
      <c r="R4067">
        <v>-0.97422779999999998</v>
      </c>
      <c r="S4067">
        <v>0.11888120000000001</v>
      </c>
      <c r="T4067">
        <v>-8.0683229999999995E-2</v>
      </c>
      <c r="U4067">
        <v>-3.0897830000000002</v>
      </c>
      <c r="V4067">
        <v>-9.3434740000000002E-2</v>
      </c>
      <c r="W4067">
        <v>0.23061499999999999</v>
      </c>
      <c r="X4067">
        <v>0.96854870000000004</v>
      </c>
      <c r="Y4067">
        <v>-7.055823E-2</v>
      </c>
      <c r="Z4067">
        <v>1.1654799999999899E-2</v>
      </c>
      <c r="AA4067">
        <v>0.99743959999999998</v>
      </c>
      <c r="AB4067">
        <v>30</v>
      </c>
      <c r="AC4067">
        <v>1.6475</v>
      </c>
      <c r="AD4067">
        <v>-1.1135841472400001</v>
      </c>
      <c r="AE4067">
        <v>-42.352899999999998</v>
      </c>
      <c r="AF4067">
        <v>-3.00739932581001</v>
      </c>
      <c r="AG4067">
        <v>-1.1135841472400001</v>
      </c>
      <c r="AH4067">
        <v>42.248791346743602</v>
      </c>
      <c r="AI4067">
        <v>91.506030729734206</v>
      </c>
      <c r="AJ4067">
        <v>94.071622624768807</v>
      </c>
      <c r="AK4067">
        <v>42.370330310472497</v>
      </c>
      <c r="AL4067">
        <v>76.666717348790002</v>
      </c>
      <c r="AM4067">
        <v>95.510204770968897</v>
      </c>
      <c r="AN4067">
        <v>0.99999995656777796</v>
      </c>
    </row>
    <row r="4068" spans="1:40" x14ac:dyDescent="0.25">
      <c r="A4068" t="str">
        <f>"20190304155139412"</f>
        <v>20190304155139412</v>
      </c>
      <c r="B4068" t="str">
        <f>"1551685899400327"</f>
        <v>1551685899400327</v>
      </c>
      <c r="C4068" t="s">
        <v>40</v>
      </c>
      <c r="D4068">
        <v>5.153524</v>
      </c>
      <c r="E4068">
        <v>0.50620449999999995</v>
      </c>
      <c r="F4068" t="s">
        <v>84</v>
      </c>
      <c r="G4068">
        <v>-187.51929999999999</v>
      </c>
      <c r="H4068" s="1">
        <v>-8.7525899999999907E-6</v>
      </c>
      <c r="I4068">
        <v>141.46690000000001</v>
      </c>
      <c r="J4068">
        <v>-189.11259999999999</v>
      </c>
      <c r="K4068">
        <v>1.1135809999999999</v>
      </c>
      <c r="L4068">
        <v>185.00479999999999</v>
      </c>
      <c r="M4068">
        <v>-2.8748470000000002E-2</v>
      </c>
      <c r="N4068">
        <v>-1.4372019999999999E-2</v>
      </c>
      <c r="O4068">
        <v>-0.99948340000000002</v>
      </c>
      <c r="P4068">
        <v>5.9664420000000003E-2</v>
      </c>
      <c r="Q4068">
        <v>0.2177221</v>
      </c>
      <c r="R4068">
        <v>-0.97418550000000004</v>
      </c>
      <c r="S4068">
        <v>0.1119232</v>
      </c>
      <c r="T4068">
        <v>-7.8505870000000005E-2</v>
      </c>
      <c r="U4068">
        <v>-3.0899049999999999</v>
      </c>
      <c r="V4068">
        <v>-8.9200740000000001E-2</v>
      </c>
      <c r="W4068">
        <v>0.23107710000000001</v>
      </c>
      <c r="X4068">
        <v>0.96883770000000002</v>
      </c>
      <c r="Y4068">
        <v>-6.4895389999999997E-2</v>
      </c>
      <c r="Z4068">
        <v>1.09707E-2</v>
      </c>
      <c r="AA4068">
        <v>0.99783180000000005</v>
      </c>
      <c r="AB4068">
        <v>30</v>
      </c>
      <c r="AC4068">
        <v>1.5932999999999899</v>
      </c>
      <c r="AD4068">
        <v>-1.11358975259</v>
      </c>
      <c r="AE4068">
        <v>-43.537899999999901</v>
      </c>
      <c r="AF4068">
        <v>-2.8425614179809302</v>
      </c>
      <c r="AG4068">
        <v>-1.11358975259</v>
      </c>
      <c r="AH4068">
        <v>43.4457069231606</v>
      </c>
      <c r="AI4068">
        <v>91.465138671811602</v>
      </c>
      <c r="AJ4068">
        <v>93.743407077264607</v>
      </c>
      <c r="AK4068">
        <v>43.552837882338203</v>
      </c>
      <c r="AL4068">
        <v>76.639505819669097</v>
      </c>
      <c r="AM4068">
        <v>95.260383336317602</v>
      </c>
      <c r="AN4068">
        <v>0.99999994355112198</v>
      </c>
    </row>
    <row r="4069" spans="1:40" x14ac:dyDescent="0.25">
      <c r="A4069" t="str">
        <f>"20190304155139432"</f>
        <v>20190304155139432</v>
      </c>
      <c r="B4069" t="str">
        <f>"1551685899420822"</f>
        <v>1551685899420822</v>
      </c>
      <c r="C4069" t="s">
        <v>40</v>
      </c>
      <c r="D4069">
        <v>5.1524669999999997</v>
      </c>
      <c r="E4069">
        <v>0.5065731</v>
      </c>
      <c r="F4069" t="s">
        <v>84</v>
      </c>
      <c r="G4069">
        <v>-187.57259999999999</v>
      </c>
      <c r="H4069" s="1">
        <v>-8.2236689999999906E-6</v>
      </c>
      <c r="I4069">
        <v>139.5127</v>
      </c>
      <c r="J4069">
        <v>-189.11709999999999</v>
      </c>
      <c r="K4069">
        <v>1.1135809999999999</v>
      </c>
      <c r="L4069">
        <v>184.72900000000001</v>
      </c>
      <c r="M4069">
        <v>-2.551026E-2</v>
      </c>
      <c r="N4069">
        <v>-1.4364979999999999E-2</v>
      </c>
      <c r="O4069">
        <v>-0.99957149999999995</v>
      </c>
      <c r="P4069">
        <v>5.6054890000000003E-2</v>
      </c>
      <c r="Q4069">
        <v>0.21881519999999999</v>
      </c>
      <c r="R4069">
        <v>-0.97415490000000005</v>
      </c>
      <c r="S4069">
        <v>0.104599</v>
      </c>
      <c r="T4069">
        <v>-7.563889E-2</v>
      </c>
      <c r="U4069">
        <v>-3.0899809999999999</v>
      </c>
      <c r="V4069">
        <v>-8.2451170000000004E-2</v>
      </c>
      <c r="W4069">
        <v>0.23221320000000001</v>
      </c>
      <c r="X4069">
        <v>0.96916400000000003</v>
      </c>
      <c r="Y4069">
        <v>-5.9300650000000003E-2</v>
      </c>
      <c r="Z4069">
        <v>1.0061550000000001E-2</v>
      </c>
      <c r="AA4069">
        <v>0.9981894</v>
      </c>
      <c r="AB4069">
        <v>30</v>
      </c>
      <c r="AC4069">
        <v>1.54449999999999</v>
      </c>
      <c r="AD4069">
        <v>-1.1135892236689999</v>
      </c>
      <c r="AE4069">
        <v>-45.216299999999997</v>
      </c>
      <c r="AF4069">
        <v>-2.69596237029908</v>
      </c>
      <c r="AG4069">
        <v>-1.1135892236689999</v>
      </c>
      <c r="AH4069">
        <v>45.134832922586398</v>
      </c>
      <c r="AI4069">
        <v>91.410829918361003</v>
      </c>
      <c r="AJ4069">
        <v>93.418290122522606</v>
      </c>
      <c r="AK4069">
        <v>45.228988901045902</v>
      </c>
      <c r="AL4069">
        <v>76.572592985522405</v>
      </c>
      <c r="AM4069">
        <v>94.862702410297302</v>
      </c>
      <c r="AN4069">
        <v>1.0000000122923001</v>
      </c>
    </row>
    <row r="4070" spans="1:40" x14ac:dyDescent="0.25">
      <c r="A4070" t="str">
        <f>"20190304155139445"</f>
        <v>20190304155139445</v>
      </c>
      <c r="B4070" t="str">
        <f>"1551685899440710"</f>
        <v>1551685899440710</v>
      </c>
      <c r="C4070" t="s">
        <v>40</v>
      </c>
      <c r="D4070">
        <v>5.120736</v>
      </c>
      <c r="E4070">
        <v>0.5066889</v>
      </c>
      <c r="F4070" t="s">
        <v>84</v>
      </c>
      <c r="G4070">
        <v>-187.6739</v>
      </c>
      <c r="H4070" s="1">
        <v>-7.1238670000000002E-6</v>
      </c>
      <c r="I4070">
        <v>136.30549999999999</v>
      </c>
      <c r="J4070">
        <v>-189.11940000000001</v>
      </c>
      <c r="K4070">
        <v>1.113578</v>
      </c>
      <c r="L4070">
        <v>184.55840000000001</v>
      </c>
      <c r="M4070">
        <v>-2.3513409999999998E-2</v>
      </c>
      <c r="N4070">
        <v>-1.436085E-2</v>
      </c>
      <c r="O4070">
        <v>-0.99962050000000002</v>
      </c>
      <c r="P4070">
        <v>5.422312E-2</v>
      </c>
      <c r="Q4070">
        <v>0.21975239999999999</v>
      </c>
      <c r="R4070">
        <v>-0.97404740000000001</v>
      </c>
      <c r="S4070">
        <v>9.2102050000000005E-2</v>
      </c>
      <c r="T4070">
        <v>-7.106614E-2</v>
      </c>
      <c r="U4070">
        <v>-3.0902560000000001</v>
      </c>
      <c r="V4070">
        <v>-7.867992E-2</v>
      </c>
      <c r="W4070">
        <v>0.23317360000000001</v>
      </c>
      <c r="X4070">
        <v>0.96924690000000002</v>
      </c>
      <c r="Y4070">
        <v>-5.3272559999999997E-2</v>
      </c>
      <c r="Z4070">
        <v>8.5953580000000009E-3</v>
      </c>
      <c r="AA4070">
        <v>0.99854299999999996</v>
      </c>
      <c r="AB4070">
        <v>30</v>
      </c>
      <c r="AC4070">
        <v>1.4455</v>
      </c>
      <c r="AD4070">
        <v>-1.113585123867</v>
      </c>
      <c r="AE4070">
        <v>-48.252899999999997</v>
      </c>
      <c r="AF4070">
        <v>-2.5784353167112299</v>
      </c>
      <c r="AG4070">
        <v>-1.113585123867</v>
      </c>
      <c r="AH4070">
        <v>48.179926676186597</v>
      </c>
      <c r="AI4070">
        <v>91.322153230966407</v>
      </c>
      <c r="AJ4070">
        <v>93.063364245194805</v>
      </c>
      <c r="AK4070">
        <v>48.261721219132603</v>
      </c>
      <c r="AL4070">
        <v>76.516012909292002</v>
      </c>
      <c r="AM4070">
        <v>94.640885913287903</v>
      </c>
      <c r="AN4070">
        <v>1.00000000535388</v>
      </c>
    </row>
    <row r="4071" spans="1:40" x14ac:dyDescent="0.25">
      <c r="A4071" t="str">
        <f>"20190304155139458"</f>
        <v>20190304155139458</v>
      </c>
      <c r="B4071" t="str">
        <f>"1551685899450470"</f>
        <v>1551685899450470</v>
      </c>
      <c r="C4071" t="s">
        <v>40</v>
      </c>
      <c r="D4071">
        <v>5.9804000000000004</v>
      </c>
      <c r="E4071">
        <v>0.5066889</v>
      </c>
      <c r="F4071" t="s">
        <v>84</v>
      </c>
      <c r="G4071">
        <v>-187.6773</v>
      </c>
      <c r="H4071" s="1">
        <v>-6.2734139999999999E-6</v>
      </c>
      <c r="I4071">
        <v>133.6474</v>
      </c>
      <c r="J4071">
        <v>-189.12139999999999</v>
      </c>
      <c r="K4071">
        <v>1.1135710000000001</v>
      </c>
      <c r="L4071">
        <v>184.3912</v>
      </c>
      <c r="M4071">
        <v>-2.157564E-2</v>
      </c>
      <c r="N4071">
        <v>-1.4356870000000001E-2</v>
      </c>
      <c r="O4071">
        <v>-0.99966410000000006</v>
      </c>
      <c r="P4071">
        <v>5.2076749999999998E-2</v>
      </c>
      <c r="Q4071">
        <v>0.2210713</v>
      </c>
      <c r="R4071">
        <v>-0.97386640000000002</v>
      </c>
      <c r="S4071">
        <v>8.753967E-2</v>
      </c>
      <c r="T4071">
        <v>-6.7594409999999994E-2</v>
      </c>
      <c r="U4071">
        <v>-3.0902859999999999</v>
      </c>
      <c r="V4071">
        <v>-7.464693E-2</v>
      </c>
      <c r="W4071">
        <v>0.23451710000000001</v>
      </c>
      <c r="X4071">
        <v>0.96924169999999998</v>
      </c>
      <c r="Y4071">
        <v>-4.9864859999999997E-2</v>
      </c>
      <c r="Z4071">
        <v>7.4822589999999998E-3</v>
      </c>
      <c r="AA4071">
        <v>0.9987279</v>
      </c>
      <c r="AB4071">
        <v>30</v>
      </c>
      <c r="AC4071">
        <v>1.4440999999999899</v>
      </c>
      <c r="AD4071">
        <v>-1.1135772734139999</v>
      </c>
      <c r="AE4071">
        <v>-50.743799999999901</v>
      </c>
      <c r="AF4071">
        <v>-2.5374855841057</v>
      </c>
      <c r="AG4071">
        <v>-1.1135772734139999</v>
      </c>
      <c r="AH4071">
        <v>50.6764394019268</v>
      </c>
      <c r="AI4071">
        <v>91.257255162596806</v>
      </c>
      <c r="AJ4071">
        <v>92.866537035730502</v>
      </c>
      <c r="AK4071">
        <v>50.752146731843503</v>
      </c>
      <c r="AL4071">
        <v>76.436840169577195</v>
      </c>
      <c r="AM4071">
        <v>94.4039870062701</v>
      </c>
      <c r="AN4071">
        <v>0.99999995368486105</v>
      </c>
    </row>
    <row r="4072" spans="1:40" x14ac:dyDescent="0.25">
      <c r="A4072" t="str">
        <f>"20190304155139470"</f>
        <v>20190304155139470</v>
      </c>
      <c r="B4072" t="str">
        <f>"1551685899461206"</f>
        <v>1551685899461206</v>
      </c>
      <c r="C4072" t="s">
        <v>40</v>
      </c>
      <c r="D4072">
        <v>5.0910659999999996</v>
      </c>
      <c r="E4072">
        <v>0.5748723</v>
      </c>
      <c r="F4072" t="s">
        <v>84</v>
      </c>
      <c r="G4072">
        <v>-187.6703</v>
      </c>
      <c r="H4072" s="1">
        <v>-5.2142549999999996E-6</v>
      </c>
      <c r="I4072">
        <v>130.33510000000001</v>
      </c>
      <c r="J4072">
        <v>-189.12309999999999</v>
      </c>
      <c r="K4072">
        <v>1.113558</v>
      </c>
      <c r="L4072">
        <v>184.22450000000001</v>
      </c>
      <c r="M4072">
        <v>-1.9664600000000001E-2</v>
      </c>
      <c r="N4072">
        <v>-1.4352760000000001E-2</v>
      </c>
      <c r="O4072">
        <v>-0.99970389999999998</v>
      </c>
      <c r="P4072">
        <v>5.0181719999999999E-2</v>
      </c>
      <c r="Q4072">
        <v>0.22206919999999999</v>
      </c>
      <c r="R4072">
        <v>-0.97373929999999997</v>
      </c>
      <c r="S4072">
        <v>8.2962040000000001E-2</v>
      </c>
      <c r="T4072">
        <v>-6.3665990000000006E-2</v>
      </c>
      <c r="U4072">
        <v>-3.0905300000000002</v>
      </c>
      <c r="V4072">
        <v>-7.088614E-2</v>
      </c>
      <c r="W4072">
        <v>0.23554050000000001</v>
      </c>
      <c r="X4072">
        <v>0.96927600000000003</v>
      </c>
      <c r="Y4072">
        <v>-4.6476459999999997E-2</v>
      </c>
      <c r="Z4072">
        <v>6.2195540000000004E-3</v>
      </c>
      <c r="AA4072">
        <v>0.99890000000000001</v>
      </c>
      <c r="AB4072">
        <v>30</v>
      </c>
      <c r="AC4072">
        <v>1.4527999999999901</v>
      </c>
      <c r="AD4072">
        <v>-1.113563214255</v>
      </c>
      <c r="AE4072">
        <v>-53.889400000000002</v>
      </c>
      <c r="AF4072">
        <v>-2.51126985019682</v>
      </c>
      <c r="AG4072">
        <v>-1.113563214255</v>
      </c>
      <c r="AH4072">
        <v>53.8274383959603</v>
      </c>
      <c r="AI4072">
        <v>91.183858660600393</v>
      </c>
      <c r="AJ4072">
        <v>92.671145244648301</v>
      </c>
      <c r="AK4072">
        <v>53.897491811433603</v>
      </c>
      <c r="AL4072">
        <v>76.376515414282906</v>
      </c>
      <c r="AM4072">
        <v>94.182770367906102</v>
      </c>
      <c r="AN4072">
        <v>1.0000000680801699</v>
      </c>
    </row>
    <row r="4073" spans="1:40" x14ac:dyDescent="0.25">
      <c r="A4073" t="str">
        <f>"20190304155139482"</f>
        <v>20190304155139482</v>
      </c>
      <c r="B4073" t="str">
        <f>"1551685899470966"</f>
        <v>1551685899470966</v>
      </c>
      <c r="C4073" t="s">
        <v>40</v>
      </c>
      <c r="D4073">
        <v>5.5907349999999996</v>
      </c>
      <c r="E4073">
        <v>0.5748723</v>
      </c>
      <c r="F4073" t="s">
        <v>85</v>
      </c>
      <c r="G4073">
        <v>-219.94890000000001</v>
      </c>
      <c r="H4073">
        <v>31.192609999999998</v>
      </c>
      <c r="I4073">
        <v>-20.6419</v>
      </c>
      <c r="J4073">
        <v>-189.12440000000001</v>
      </c>
      <c r="K4073">
        <v>1.113521</v>
      </c>
      <c r="L4073">
        <v>184.0634</v>
      </c>
      <c r="M4073">
        <v>-1.787103E-2</v>
      </c>
      <c r="N4073">
        <v>-1.434827E-2</v>
      </c>
      <c r="O4073">
        <v>-0.9997376</v>
      </c>
      <c r="P4073">
        <v>4.876598E-2</v>
      </c>
      <c r="Q4073">
        <v>0.22256280000000001</v>
      </c>
      <c r="R4073">
        <v>-0.97369830000000002</v>
      </c>
      <c r="S4073">
        <v>-0.45195010000000002</v>
      </c>
      <c r="T4073">
        <v>0.44100139999999999</v>
      </c>
      <c r="U4073">
        <v>-3.0036320000000001</v>
      </c>
      <c r="V4073">
        <v>-6.7705489999999993E-2</v>
      </c>
      <c r="W4073">
        <v>0.23605860000000001</v>
      </c>
      <c r="X4073">
        <v>0.9693773</v>
      </c>
      <c r="Y4073">
        <v>0.12934870000000001</v>
      </c>
      <c r="Z4073">
        <v>-0.157992299999999</v>
      </c>
      <c r="AA4073">
        <v>0.97893169999999996</v>
      </c>
      <c r="AB4073">
        <v>30</v>
      </c>
      <c r="AC4073">
        <v>-30.8245</v>
      </c>
      <c r="AD4073">
        <v>30.079089</v>
      </c>
      <c r="AE4073">
        <v>-204.70529999999999</v>
      </c>
      <c r="AF4073">
        <v>26.5993351487102</v>
      </c>
      <c r="AG4073">
        <v>30.079089</v>
      </c>
      <c r="AH4073">
        <v>200.98038261685301</v>
      </c>
      <c r="AI4073">
        <v>81.560702442334801</v>
      </c>
      <c r="AJ4073">
        <v>82.460837726544398</v>
      </c>
      <c r="AK4073">
        <v>204.95216618089199</v>
      </c>
      <c r="AL4073">
        <v>76.345968490419196</v>
      </c>
      <c r="AM4073">
        <v>93.995296040836806</v>
      </c>
      <c r="AN4073">
        <v>1.00000002288269</v>
      </c>
    </row>
    <row r="4074" spans="1:40" x14ac:dyDescent="0.25">
      <c r="A4074" t="str">
        <f>"20190304155139500"</f>
        <v>20190304155139500</v>
      </c>
      <c r="B4074" t="str">
        <f>"1551685899490485"</f>
        <v>1551685899490485</v>
      </c>
      <c r="C4074" t="s">
        <v>40</v>
      </c>
      <c r="D4074">
        <v>5.5728999999999997</v>
      </c>
      <c r="E4074">
        <v>0.55437760000000003</v>
      </c>
      <c r="F4074" t="s">
        <v>85</v>
      </c>
      <c r="G4074">
        <v>-220.2097</v>
      </c>
      <c r="H4074">
        <v>31.2471</v>
      </c>
      <c r="I4074">
        <v>-20.641909999999999</v>
      </c>
      <c r="J4074">
        <v>-189.1258</v>
      </c>
      <c r="K4074">
        <v>1.1134280000000001</v>
      </c>
      <c r="L4074">
        <v>183.83959999999999</v>
      </c>
      <c r="M4074">
        <v>-1.5479740000000001E-2</v>
      </c>
      <c r="N4074">
        <v>-1.4340820000000001E-2</v>
      </c>
      <c r="O4074">
        <v>-0.99977729999999998</v>
      </c>
      <c r="P4074">
        <v>4.4520799999999999E-2</v>
      </c>
      <c r="Q4074">
        <v>0.223333</v>
      </c>
      <c r="R4074">
        <v>-0.97372510000000001</v>
      </c>
      <c r="S4074">
        <v>-0.4559937</v>
      </c>
      <c r="T4074">
        <v>0.44203189999999998</v>
      </c>
      <c r="U4074">
        <v>-3.0028380000000001</v>
      </c>
      <c r="V4074">
        <v>-6.1089280000000003E-2</v>
      </c>
      <c r="W4074">
        <v>0.23688100000000001</v>
      </c>
      <c r="X4074">
        <v>0.96961620000000004</v>
      </c>
      <c r="Y4074">
        <v>0.13304189999999999</v>
      </c>
      <c r="Z4074">
        <v>-0.15831139999999999</v>
      </c>
      <c r="AA4074">
        <v>0.97838510000000001</v>
      </c>
      <c r="AB4074">
        <v>30</v>
      </c>
      <c r="AC4074">
        <v>-31.0839</v>
      </c>
      <c r="AD4074">
        <v>30.133671999999901</v>
      </c>
      <c r="AE4074">
        <v>-204.48150999999999</v>
      </c>
      <c r="AF4074">
        <v>27.334321726947302</v>
      </c>
      <c r="AG4074">
        <v>30.133671999999901</v>
      </c>
      <c r="AH4074">
        <v>200.67855891183899</v>
      </c>
      <c r="AI4074">
        <v>81.537326841351899</v>
      </c>
      <c r="AJ4074">
        <v>82.243505547345606</v>
      </c>
      <c r="AK4074">
        <v>204.76104937074399</v>
      </c>
      <c r="AL4074">
        <v>76.297473318190995</v>
      </c>
      <c r="AM4074">
        <v>93.605073515637798</v>
      </c>
      <c r="AN4074">
        <v>1.0000000417971699</v>
      </c>
    </row>
    <row r="4075" spans="1:40" x14ac:dyDescent="0.25">
      <c r="A4075" t="str">
        <f>"20190304155139512"</f>
        <v>20190304155139512</v>
      </c>
      <c r="B4075" t="str">
        <f>"1551685899501221"</f>
        <v>1551685899501221</v>
      </c>
      <c r="C4075" t="s">
        <v>40</v>
      </c>
      <c r="D4075">
        <v>4.8879299999999999</v>
      </c>
      <c r="E4075">
        <v>0.55298099999999994</v>
      </c>
      <c r="F4075" t="s">
        <v>51</v>
      </c>
      <c r="G4075">
        <v>-189.21170000000001</v>
      </c>
      <c r="H4075">
        <v>1.0545100000000001</v>
      </c>
      <c r="I4075">
        <v>183.00030000000001</v>
      </c>
      <c r="J4075">
        <v>-189.1266</v>
      </c>
      <c r="K4075">
        <v>1.1133379999999999</v>
      </c>
      <c r="L4075">
        <v>183.67779999999999</v>
      </c>
      <c r="M4075">
        <v>-1.3834920000000001E-2</v>
      </c>
      <c r="N4075">
        <v>-1.433473E-2</v>
      </c>
      <c r="O4075">
        <v>-0.99980159999999996</v>
      </c>
      <c r="P4075">
        <v>4.3345120000000001E-2</v>
      </c>
      <c r="Q4075">
        <v>0.22323699999999999</v>
      </c>
      <c r="R4075">
        <v>-0.9738002</v>
      </c>
      <c r="S4075">
        <v>-0.32170100000000001</v>
      </c>
      <c r="T4075">
        <v>-0.22092020000000001</v>
      </c>
      <c r="U4075">
        <v>-3.1463320000000001</v>
      </c>
      <c r="V4075">
        <v>-5.8262300000000003E-2</v>
      </c>
      <c r="W4075">
        <v>0.23681199999999999</v>
      </c>
      <c r="X4075">
        <v>0.96980699999999997</v>
      </c>
      <c r="Y4075">
        <v>8.7732640000000001E-2</v>
      </c>
      <c r="Z4075">
        <v>5.5420089999999998E-2</v>
      </c>
      <c r="AA4075">
        <v>0.99460119999999996</v>
      </c>
      <c r="AB4075">
        <v>30</v>
      </c>
      <c r="AC4075">
        <v>-8.5100000000011194E-2</v>
      </c>
      <c r="AD4075">
        <v>-5.8827999999999797E-2</v>
      </c>
      <c r="AE4075">
        <v>-0.67749999999998001</v>
      </c>
      <c r="AF4075">
        <v>7.51598577989641E-2</v>
      </c>
      <c r="AG4075">
        <v>-5.8827999999999797E-2</v>
      </c>
      <c r="AH4075">
        <v>0.67361271883678597</v>
      </c>
      <c r="AI4075">
        <v>94.960469345225107</v>
      </c>
      <c r="AJ4075">
        <v>83.633427261812102</v>
      </c>
      <c r="AK4075">
        <v>0.68034096803518096</v>
      </c>
      <c r="AL4075">
        <v>76.3015421761109</v>
      </c>
      <c r="AM4075">
        <v>93.437979484277705</v>
      </c>
      <c r="AN4075">
        <v>1.00000001809714</v>
      </c>
    </row>
    <row r="4076" spans="1:40" x14ac:dyDescent="0.25">
      <c r="A4076" t="str">
        <f>"20190304155139534"</f>
        <v>20190304155139534</v>
      </c>
      <c r="B4076" t="str">
        <f>"1551685899531066"</f>
        <v>1551685899531066</v>
      </c>
      <c r="C4076" t="s">
        <v>40</v>
      </c>
      <c r="D4076">
        <v>5.4994610000000002</v>
      </c>
      <c r="E4076">
        <v>0.55207039999999996</v>
      </c>
      <c r="F4076" t="s">
        <v>51</v>
      </c>
      <c r="G4076">
        <v>-189.22130000000001</v>
      </c>
      <c r="H4076">
        <v>1.054835</v>
      </c>
      <c r="I4076">
        <v>182.73079999999999</v>
      </c>
      <c r="J4076">
        <v>-189.1275</v>
      </c>
      <c r="K4076">
        <v>1.1130910000000001</v>
      </c>
      <c r="L4076">
        <v>183.38509999999999</v>
      </c>
      <c r="M4076">
        <v>-1.114122E-2</v>
      </c>
      <c r="N4076">
        <v>-1.432217E-2</v>
      </c>
      <c r="O4076">
        <v>-0.99983560000000005</v>
      </c>
      <c r="P4076">
        <v>4.0994790000000003E-2</v>
      </c>
      <c r="Q4076">
        <v>0.22262499999999999</v>
      </c>
      <c r="R4076">
        <v>-0.97404219999999997</v>
      </c>
      <c r="S4076">
        <v>-0.31340030000000002</v>
      </c>
      <c r="T4076">
        <v>-0.1941129</v>
      </c>
      <c r="U4076">
        <v>-3.1391749999999998</v>
      </c>
      <c r="V4076">
        <v>-5.3154809999999997E-2</v>
      </c>
      <c r="W4076">
        <v>0.23625409999999999</v>
      </c>
      <c r="X4076">
        <v>0.9702364</v>
      </c>
      <c r="Y4076">
        <v>8.8089780000000006E-2</v>
      </c>
      <c r="Z4076">
        <v>4.7146599999999997E-2</v>
      </c>
      <c r="AA4076">
        <v>0.9949962</v>
      </c>
      <c r="AB4076">
        <v>30</v>
      </c>
      <c r="AC4076">
        <v>-9.3800000000015801E-2</v>
      </c>
      <c r="AD4076">
        <v>-5.8256000000000002E-2</v>
      </c>
      <c r="AE4076">
        <v>-0.65430000000000599</v>
      </c>
      <c r="AF4076">
        <v>8.5836975028758603E-2</v>
      </c>
      <c r="AG4076">
        <v>-5.8256000000000002E-2</v>
      </c>
      <c r="AH4076">
        <v>0.65025356177448701</v>
      </c>
      <c r="AI4076">
        <v>95.075643607356298</v>
      </c>
      <c r="AJ4076">
        <v>82.480126138894903</v>
      </c>
      <c r="AK4076">
        <v>0.65847660734341495</v>
      </c>
      <c r="AL4076">
        <v>76.334441530685893</v>
      </c>
      <c r="AM4076">
        <v>93.135838584052607</v>
      </c>
      <c r="AN4076">
        <v>1.0000000527389501</v>
      </c>
    </row>
    <row r="4077" spans="1:40" x14ac:dyDescent="0.25">
      <c r="A4077" t="str">
        <f>"20190304155139548"</f>
        <v>20190304155139548</v>
      </c>
      <c r="B4077" t="str">
        <f>"1551685899540826"</f>
        <v>1551685899540826</v>
      </c>
      <c r="C4077" t="s">
        <v>40</v>
      </c>
      <c r="D4077">
        <v>5.534961</v>
      </c>
      <c r="E4077">
        <v>0.55145940000000004</v>
      </c>
      <c r="F4077" t="s">
        <v>41</v>
      </c>
      <c r="G4077">
        <v>-190.92330000000001</v>
      </c>
      <c r="H4077" s="1">
        <v>-3.0098590000000001E-6</v>
      </c>
      <c r="I4077">
        <v>165.4392</v>
      </c>
      <c r="J4077">
        <v>-189.12790000000001</v>
      </c>
      <c r="K4077">
        <v>1.112897</v>
      </c>
      <c r="L4077">
        <v>183.1987</v>
      </c>
      <c r="M4077">
        <v>-9.5975599999999998E-3</v>
      </c>
      <c r="N4077">
        <v>-1.4313899999999999E-2</v>
      </c>
      <c r="O4077">
        <v>-0.99985159999999995</v>
      </c>
      <c r="P4077">
        <v>4.0995749999999997E-2</v>
      </c>
      <c r="Q4077">
        <v>0.22085009999999999</v>
      </c>
      <c r="R4077">
        <v>-0.97444600000000003</v>
      </c>
      <c r="S4077">
        <v>-0.31398009999999998</v>
      </c>
      <c r="T4077">
        <v>-0.19461300000000001</v>
      </c>
      <c r="U4077">
        <v>-3.1376650000000001</v>
      </c>
      <c r="V4077">
        <v>-5.1541690000000001E-2</v>
      </c>
      <c r="W4077">
        <v>0.2345102</v>
      </c>
      <c r="X4077">
        <v>0.97074629999999995</v>
      </c>
      <c r="Y4077">
        <v>8.9854970000000006E-2</v>
      </c>
      <c r="Z4077">
        <v>4.733706E-2</v>
      </c>
      <c r="AA4077">
        <v>0.99482930000000003</v>
      </c>
      <c r="AB4077">
        <v>30</v>
      </c>
      <c r="AC4077">
        <v>-1.7954000000000001</v>
      </c>
      <c r="AD4077">
        <v>-1.1129000098590001</v>
      </c>
      <c r="AE4077">
        <v>-17.759499999999999</v>
      </c>
      <c r="AF4077">
        <v>1.61856034239492</v>
      </c>
      <c r="AG4077">
        <v>-1.1129000098590001</v>
      </c>
      <c r="AH4077">
        <v>17.707084453119499</v>
      </c>
      <c r="AI4077">
        <v>93.581448995404998</v>
      </c>
      <c r="AJ4077">
        <v>84.777249636561706</v>
      </c>
      <c r="AK4077">
        <v>17.815698803129301</v>
      </c>
      <c r="AL4077">
        <v>76.437247206262995</v>
      </c>
      <c r="AM4077">
        <v>93.039260589517596</v>
      </c>
      <c r="AN4077">
        <v>0.99999997933789198</v>
      </c>
    </row>
    <row r="4078" spans="1:40" x14ac:dyDescent="0.25">
      <c r="A4078" t="str">
        <f>"20190304155139563"</f>
        <v>20190304155139563</v>
      </c>
      <c r="B4078" t="str">
        <f>"1551685899550586"</f>
        <v>1551685899550586</v>
      </c>
      <c r="C4078" t="s">
        <v>40</v>
      </c>
      <c r="D4078">
        <v>5.0661149999999999</v>
      </c>
      <c r="E4078">
        <v>0.55728999999999995</v>
      </c>
      <c r="F4078" t="s">
        <v>51</v>
      </c>
      <c r="G4078">
        <v>-189.22559999999999</v>
      </c>
      <c r="H4078">
        <v>1.04982999999999</v>
      </c>
      <c r="I4078">
        <v>182.21369999999999</v>
      </c>
      <c r="J4078">
        <v>-189.1283</v>
      </c>
      <c r="K4078">
        <v>1.1126659999999999</v>
      </c>
      <c r="L4078">
        <v>183.01009999999999</v>
      </c>
      <c r="M4078">
        <v>-8.2769200000000001E-3</v>
      </c>
      <c r="N4078">
        <v>-1.430555E-2</v>
      </c>
      <c r="O4078">
        <v>-0.99986370000000002</v>
      </c>
      <c r="P4078">
        <v>4.1523419999999998E-2</v>
      </c>
      <c r="Q4078">
        <v>0.21808730000000001</v>
      </c>
      <c r="R4078">
        <v>-0.97504599999999997</v>
      </c>
      <c r="S4078">
        <v>-0.31051640000000003</v>
      </c>
      <c r="T4078">
        <v>-0.2010285</v>
      </c>
      <c r="U4078">
        <v>-3.1372990000000001</v>
      </c>
      <c r="V4078">
        <v>-5.0649039999999999E-2</v>
      </c>
      <c r="W4078">
        <v>0.23177990000000001</v>
      </c>
      <c r="X4078">
        <v>0.9714488</v>
      </c>
      <c r="Y4078">
        <v>9.0083200000000002E-2</v>
      </c>
      <c r="Z4078">
        <v>4.9380590000000002E-2</v>
      </c>
      <c r="AA4078">
        <v>0.99470930000000002</v>
      </c>
      <c r="AB4078">
        <v>30</v>
      </c>
      <c r="AC4078">
        <v>-9.7299999999989895E-2</v>
      </c>
      <c r="AD4078">
        <v>-6.28360000000001E-2</v>
      </c>
      <c r="AE4078">
        <v>-0.79640000000000499</v>
      </c>
      <c r="AF4078">
        <v>9.0151296936365102E-2</v>
      </c>
      <c r="AG4078">
        <v>-6.28360000000001E-2</v>
      </c>
      <c r="AH4078">
        <v>0.79231832743631903</v>
      </c>
      <c r="AI4078">
        <v>94.505487634938405</v>
      </c>
      <c r="AJ4078">
        <v>83.508707532327605</v>
      </c>
      <c r="AK4078">
        <v>0.7999024635709</v>
      </c>
      <c r="AL4078">
        <v>76.598115547133602</v>
      </c>
      <c r="AM4078">
        <v>92.984563876710396</v>
      </c>
      <c r="AN4078">
        <v>1.0000000091591801</v>
      </c>
    </row>
    <row r="4079" spans="1:40" x14ac:dyDescent="0.25">
      <c r="A4079" t="str">
        <f>"20190304155139579"</f>
        <v>20190304155139579</v>
      </c>
      <c r="B4079" t="str">
        <f>"1551685899571081"</f>
        <v>1551685899571081</v>
      </c>
      <c r="C4079" t="s">
        <v>40</v>
      </c>
      <c r="D4079">
        <v>5.0385739999999997</v>
      </c>
      <c r="E4079">
        <v>0.5650018</v>
      </c>
      <c r="F4079" t="s">
        <v>41</v>
      </c>
      <c r="G4079">
        <v>-191.2972</v>
      </c>
      <c r="H4079" s="1">
        <v>-2.4337539999999999E-6</v>
      </c>
      <c r="I4079">
        <v>164.01</v>
      </c>
      <c r="J4079">
        <v>-189.12860000000001</v>
      </c>
      <c r="K4079">
        <v>1.1123620000000001</v>
      </c>
      <c r="L4079">
        <v>182.79589999999999</v>
      </c>
      <c r="M4079">
        <v>-7.0489169999999896E-3</v>
      </c>
      <c r="N4079">
        <v>-1.429654E-2</v>
      </c>
      <c r="O4079">
        <v>-0.99987289999999995</v>
      </c>
      <c r="P4079">
        <v>4.0394109999999997E-2</v>
      </c>
      <c r="Q4079">
        <v>0.21191750000000001</v>
      </c>
      <c r="R4079">
        <v>-0.9764524</v>
      </c>
      <c r="S4079">
        <v>-0.35765079999999999</v>
      </c>
      <c r="T4079">
        <v>-0.183475</v>
      </c>
      <c r="U4079">
        <v>-3.133041</v>
      </c>
      <c r="V4079">
        <v>-4.8148040000000003E-2</v>
      </c>
      <c r="W4079">
        <v>0.22566739999999999</v>
      </c>
      <c r="X4079">
        <v>0.97301389999999999</v>
      </c>
      <c r="Y4079">
        <v>0.10624699999999999</v>
      </c>
      <c r="Z4079">
        <v>4.3833080000000003E-2</v>
      </c>
      <c r="AA4079">
        <v>0.99337319999999996</v>
      </c>
      <c r="AB4079">
        <v>30</v>
      </c>
      <c r="AC4079">
        <v>-2.1685999999999899</v>
      </c>
      <c r="AD4079">
        <v>-1.112364433754</v>
      </c>
      <c r="AE4079">
        <v>-18.785900000000002</v>
      </c>
      <c r="AF4079">
        <v>2.0290915837483499</v>
      </c>
      <c r="AG4079">
        <v>-1.112364433754</v>
      </c>
      <c r="AH4079">
        <v>18.7358941002793</v>
      </c>
      <c r="AI4079">
        <v>93.377999943832904</v>
      </c>
      <c r="AJ4079">
        <v>83.818974917750893</v>
      </c>
      <c r="AK4079">
        <v>18.8782492574285</v>
      </c>
      <c r="AL4079">
        <v>76.957873613197094</v>
      </c>
      <c r="AM4079">
        <v>92.832879515075106</v>
      </c>
      <c r="AN4079">
        <v>1.0000000293858999</v>
      </c>
    </row>
    <row r="4080" spans="1:40" x14ac:dyDescent="0.25">
      <c r="A4080" t="str">
        <f>"20190304155139602"</f>
        <v>20190304155139602</v>
      </c>
      <c r="B4080" t="str">
        <f>"1551685899590601"</f>
        <v>1551685899590601</v>
      </c>
      <c r="C4080" t="s">
        <v>40</v>
      </c>
      <c r="D4080">
        <v>5.0456390000000004</v>
      </c>
      <c r="E4080">
        <v>0.56992830000000005</v>
      </c>
      <c r="F4080" t="s">
        <v>41</v>
      </c>
      <c r="G4080">
        <v>-192.0583</v>
      </c>
      <c r="H4080" s="1">
        <v>-1.3533240000000001E-6</v>
      </c>
      <c r="I4080">
        <v>161.29599999999999</v>
      </c>
      <c r="J4080">
        <v>-189.1292</v>
      </c>
      <c r="K4080">
        <v>1.111899</v>
      </c>
      <c r="L4080">
        <v>182.5034</v>
      </c>
      <c r="M4080">
        <v>-5.9381340000000003E-3</v>
      </c>
      <c r="N4080">
        <v>-1.428538E-2</v>
      </c>
      <c r="O4080">
        <v>-0.99988060000000001</v>
      </c>
      <c r="P4080">
        <v>3.8729899999999998E-2</v>
      </c>
      <c r="Q4080">
        <v>0.20682220000000001</v>
      </c>
      <c r="R4080">
        <v>-0.97761189999999998</v>
      </c>
      <c r="S4080">
        <v>-0.42584230000000001</v>
      </c>
      <c r="T4080">
        <v>-0.161685</v>
      </c>
      <c r="U4080">
        <v>-3.125076</v>
      </c>
      <c r="V4080">
        <v>-4.513793E-2</v>
      </c>
      <c r="W4080">
        <v>0.2206409</v>
      </c>
      <c r="X4080">
        <v>0.97431009999999996</v>
      </c>
      <c r="Y4080">
        <v>0.12897939999999999</v>
      </c>
      <c r="Z4080">
        <v>3.6949750000000003E-2</v>
      </c>
      <c r="AA4080">
        <v>0.99095860000000002</v>
      </c>
      <c r="AB4080">
        <v>29</v>
      </c>
      <c r="AC4080">
        <v>-2.9291</v>
      </c>
      <c r="AD4080">
        <v>-1.1119003533239999</v>
      </c>
      <c r="AE4080">
        <v>-21.2074</v>
      </c>
      <c r="AF4080">
        <v>2.7955623130235101</v>
      </c>
      <c r="AG4080">
        <v>-1.1119003533239999</v>
      </c>
      <c r="AH4080">
        <v>21.167323802277199</v>
      </c>
      <c r="AI4080">
        <v>92.981092744916893</v>
      </c>
      <c r="AJ4080">
        <v>82.476504030744394</v>
      </c>
      <c r="AK4080">
        <v>21.3800628622128</v>
      </c>
      <c r="AL4080">
        <v>77.253321154843803</v>
      </c>
      <c r="AM4080">
        <v>92.652507664402407</v>
      </c>
      <c r="AN4080">
        <v>1.00000000521975</v>
      </c>
    </row>
    <row r="4081" spans="1:40" x14ac:dyDescent="0.25">
      <c r="A4081" t="str">
        <f>"20190304155139622"</f>
        <v>20190304155139622</v>
      </c>
      <c r="B4081" t="str">
        <f>"1551685899611097"</f>
        <v>1551685899611097</v>
      </c>
      <c r="C4081" t="s">
        <v>40</v>
      </c>
      <c r="D4081">
        <v>5.0896229999999996</v>
      </c>
      <c r="E4081">
        <v>0.57364720000000002</v>
      </c>
      <c r="F4081" t="s">
        <v>84</v>
      </c>
      <c r="G4081">
        <v>-192.5917</v>
      </c>
      <c r="H4081" s="1">
        <v>-1.4969590000000001E-5</v>
      </c>
      <c r="I4081">
        <v>159.5849</v>
      </c>
      <c r="J4081">
        <v>-189.1301</v>
      </c>
      <c r="K4081">
        <v>1.1113789999999999</v>
      </c>
      <c r="L4081">
        <v>182.2285</v>
      </c>
      <c r="M4081">
        <v>-5.6051209999999898E-3</v>
      </c>
      <c r="N4081">
        <v>-1.427847E-2</v>
      </c>
      <c r="O4081">
        <v>-0.99988239999999995</v>
      </c>
      <c r="P4081">
        <v>3.624045E-2</v>
      </c>
      <c r="Q4081">
        <v>0.2053315</v>
      </c>
      <c r="R4081">
        <v>-0.97802140000000004</v>
      </c>
      <c r="S4081">
        <v>-0.47128300000000001</v>
      </c>
      <c r="T4081">
        <v>-0.15134049999999999</v>
      </c>
      <c r="U4081">
        <v>-3.1194000000000002</v>
      </c>
      <c r="V4081">
        <v>-4.2044909999999998E-2</v>
      </c>
      <c r="W4081">
        <v>0.21921060000000001</v>
      </c>
      <c r="X4081">
        <v>0.97477130000000001</v>
      </c>
      <c r="Y4081">
        <v>0.1436926</v>
      </c>
      <c r="Z4081">
        <v>3.3674240000000001E-2</v>
      </c>
      <c r="AA4081">
        <v>0.98904930000000002</v>
      </c>
      <c r="AB4081">
        <v>29</v>
      </c>
      <c r="AC4081">
        <v>-3.4615999999999998</v>
      </c>
      <c r="AD4081">
        <v>-1.1113939695899999</v>
      </c>
      <c r="AE4081">
        <v>-22.6435999999999</v>
      </c>
      <c r="AF4081">
        <v>3.32678121108624</v>
      </c>
      <c r="AG4081">
        <v>-1.1113939695899999</v>
      </c>
      <c r="AH4081">
        <v>22.609425577837701</v>
      </c>
      <c r="AI4081">
        <v>92.784247965847499</v>
      </c>
      <c r="AJ4081">
        <v>81.629486080194098</v>
      </c>
      <c r="AK4081">
        <v>22.879877507142801</v>
      </c>
      <c r="AL4081">
        <v>77.337328981791799</v>
      </c>
      <c r="AM4081">
        <v>92.469813799417395</v>
      </c>
      <c r="AN4081">
        <v>1.0000000744564701</v>
      </c>
    </row>
    <row r="4082" spans="1:40" x14ac:dyDescent="0.25">
      <c r="A4082" t="str">
        <f>"20190304155139645"</f>
        <v>20190304155139645</v>
      </c>
      <c r="B4082" t="str">
        <f>"1551685899640378"</f>
        <v>1551685899640378</v>
      </c>
      <c r="C4082" t="s">
        <v>40</v>
      </c>
      <c r="D4082">
        <v>5.1217940000000004</v>
      </c>
      <c r="E4082">
        <v>0.57726940000000004</v>
      </c>
      <c r="F4082" t="s">
        <v>84</v>
      </c>
      <c r="G4082">
        <v>-193.21100000000001</v>
      </c>
      <c r="H4082" s="1">
        <v>-1.4254289999999999E-5</v>
      </c>
      <c r="I4082">
        <v>157.25790000000001</v>
      </c>
      <c r="J4082">
        <v>-189.1318</v>
      </c>
      <c r="K4082">
        <v>1.1107720000000001</v>
      </c>
      <c r="L4082">
        <v>181.93690000000001</v>
      </c>
      <c r="M4082">
        <v>-6.0373149999999997E-3</v>
      </c>
      <c r="N4082">
        <v>-1.42773E-2</v>
      </c>
      <c r="O4082">
        <v>-0.99988010000000005</v>
      </c>
      <c r="P4082">
        <v>3.4822249999999999E-2</v>
      </c>
      <c r="Q4082">
        <v>0.2069696</v>
      </c>
      <c r="R4082">
        <v>-0.97772749999999997</v>
      </c>
      <c r="S4082">
        <v>-0.50913999999999904</v>
      </c>
      <c r="T4082">
        <v>-0.13866020000000001</v>
      </c>
      <c r="U4082">
        <v>-3.1153870000000001</v>
      </c>
      <c r="V4082">
        <v>-4.0719070000000003E-2</v>
      </c>
      <c r="W4082">
        <v>0.22090599999999999</v>
      </c>
      <c r="X4082">
        <v>0.97444470000000005</v>
      </c>
      <c r="Y4082">
        <v>0.1551911</v>
      </c>
      <c r="Z4082">
        <v>2.9642149999999999E-2</v>
      </c>
      <c r="AA4082">
        <v>0.98743959999999997</v>
      </c>
      <c r="AB4082">
        <v>29</v>
      </c>
      <c r="AC4082">
        <v>-4.0791999999999797</v>
      </c>
      <c r="AD4082">
        <v>-1.11078625428999</v>
      </c>
      <c r="AE4082">
        <v>-24.678999999999998</v>
      </c>
      <c r="AF4082">
        <v>3.9223807877169601</v>
      </c>
      <c r="AG4082">
        <v>-1.11078625428999</v>
      </c>
      <c r="AH4082">
        <v>24.6545620638292</v>
      </c>
      <c r="AI4082">
        <v>92.547661531060101</v>
      </c>
      <c r="AJ4082">
        <v>80.960371918863004</v>
      </c>
      <c r="AK4082">
        <v>24.9893246748642</v>
      </c>
      <c r="AL4082">
        <v>77.237747554414199</v>
      </c>
      <c r="AM4082">
        <v>92.392823664364897</v>
      </c>
      <c r="AN4082">
        <v>0.99999998842787696</v>
      </c>
    </row>
    <row r="4083" spans="1:40" x14ac:dyDescent="0.25">
      <c r="A4083" t="str">
        <f>"20190304155139657"</f>
        <v>20190304155139657</v>
      </c>
      <c r="B4083" t="str">
        <f>"1551685899651114"</f>
        <v>1551685899651114</v>
      </c>
      <c r="C4083" t="s">
        <v>40</v>
      </c>
      <c r="D4083">
        <v>5.0994729999999997</v>
      </c>
      <c r="E4083">
        <v>0.57801539999999996</v>
      </c>
      <c r="F4083" t="s">
        <v>84</v>
      </c>
      <c r="G4083">
        <v>-194.58699999999999</v>
      </c>
      <c r="H4083" s="1">
        <v>-1.1994269999999999E-5</v>
      </c>
      <c r="I4083">
        <v>150.7482</v>
      </c>
      <c r="J4083">
        <v>-189.13339999999999</v>
      </c>
      <c r="K4083">
        <v>1.1103860000000001</v>
      </c>
      <c r="L4083">
        <v>181.76089999999999</v>
      </c>
      <c r="M4083">
        <v>-6.7700769999999898E-3</v>
      </c>
      <c r="N4083">
        <v>-1.4280670000000001E-2</v>
      </c>
      <c r="O4083">
        <v>-0.99987499999999996</v>
      </c>
      <c r="P4083">
        <v>3.3922069999999999E-2</v>
      </c>
      <c r="Q4083">
        <v>0.20879220000000001</v>
      </c>
      <c r="R4083">
        <v>-0.97737160000000001</v>
      </c>
      <c r="S4083">
        <v>-0.54417419999999905</v>
      </c>
      <c r="T4083">
        <v>-0.1108046</v>
      </c>
      <c r="U4083">
        <v>-3.1111759999999999</v>
      </c>
      <c r="V4083">
        <v>-4.0320109999999999E-2</v>
      </c>
      <c r="W4083">
        <v>0.2227644</v>
      </c>
      <c r="X4083">
        <v>0.97403810000000002</v>
      </c>
      <c r="Y4083">
        <v>0.16552520000000001</v>
      </c>
      <c r="Z4083">
        <v>2.0812870000000001E-2</v>
      </c>
      <c r="AA4083">
        <v>0.98598589999999997</v>
      </c>
      <c r="AB4083">
        <v>29</v>
      </c>
      <c r="AC4083">
        <v>-5.4536000000000202</v>
      </c>
      <c r="AD4083">
        <v>-1.11039799427</v>
      </c>
      <c r="AE4083">
        <v>-31.012699999999899</v>
      </c>
      <c r="AF4083">
        <v>5.2369829131873002</v>
      </c>
      <c r="AG4083">
        <v>-1.11039799427</v>
      </c>
      <c r="AH4083">
        <v>31.0103522859735</v>
      </c>
      <c r="AI4083">
        <v>92.022124405423398</v>
      </c>
      <c r="AJ4083">
        <v>80.414416539386593</v>
      </c>
      <c r="AK4083">
        <v>31.469047056415299</v>
      </c>
      <c r="AL4083">
        <v>77.128547825896604</v>
      </c>
      <c r="AM4083">
        <v>92.3703939010271</v>
      </c>
      <c r="AN4083">
        <v>0.99999995471469005</v>
      </c>
    </row>
    <row r="4084" spans="1:40" x14ac:dyDescent="0.25">
      <c r="A4084" t="str">
        <f>"20190304155139670"</f>
        <v>20190304155139670</v>
      </c>
      <c r="B4084" t="str">
        <f>"1551685899660874"</f>
        <v>1551685899660874</v>
      </c>
      <c r="C4084" t="s">
        <v>40</v>
      </c>
      <c r="D4084">
        <v>5.0850210000000002</v>
      </c>
      <c r="E4084">
        <v>0.57801539999999996</v>
      </c>
      <c r="F4084" t="s">
        <v>84</v>
      </c>
      <c r="G4084">
        <v>-195.46680000000001</v>
      </c>
      <c r="H4084" s="1">
        <v>-1.0770900000000001E-5</v>
      </c>
      <c r="I4084">
        <v>146.2269</v>
      </c>
      <c r="J4084">
        <v>-189.13509999999999</v>
      </c>
      <c r="K4084">
        <v>1.110028</v>
      </c>
      <c r="L4084">
        <v>181.59540000000001</v>
      </c>
      <c r="M4084">
        <v>-7.6620869999999997E-3</v>
      </c>
      <c r="N4084">
        <v>-1.4285229999999999E-2</v>
      </c>
      <c r="O4084">
        <v>-0.9998686</v>
      </c>
      <c r="P4084">
        <v>3.2203460000000003E-2</v>
      </c>
      <c r="Q4084">
        <v>0.21003920000000001</v>
      </c>
      <c r="R4084">
        <v>-0.97716259999999999</v>
      </c>
      <c r="S4084">
        <v>-0.55421450000000005</v>
      </c>
      <c r="T4084">
        <v>-9.7167370000000003E-2</v>
      </c>
      <c r="U4084">
        <v>-3.109467</v>
      </c>
      <c r="V4084">
        <v>-3.9266929999999999E-2</v>
      </c>
      <c r="W4084">
        <v>0.2240473</v>
      </c>
      <c r="X4084">
        <v>0.97378690000000001</v>
      </c>
      <c r="Y4084">
        <v>0.16784270000000001</v>
      </c>
      <c r="Z4084">
        <v>1.6496690000000001E-2</v>
      </c>
      <c r="AA4084">
        <v>0.98567579999999999</v>
      </c>
      <c r="AB4084">
        <v>29</v>
      </c>
      <c r="AC4084">
        <v>-6.3317000000000103</v>
      </c>
      <c r="AD4084">
        <v>-1.1100387708999999</v>
      </c>
      <c r="AE4084">
        <v>-35.368499999999997</v>
      </c>
      <c r="AF4084">
        <v>6.0547111373893703</v>
      </c>
      <c r="AG4084">
        <v>-1.1100387708999999</v>
      </c>
      <c r="AH4084">
        <v>35.382210807822098</v>
      </c>
      <c r="AI4084">
        <v>91.771209860382299</v>
      </c>
      <c r="AJ4084">
        <v>80.289428741391504</v>
      </c>
      <c r="AK4084">
        <v>35.9136819983595</v>
      </c>
      <c r="AL4084">
        <v>77.053137762350303</v>
      </c>
      <c r="AM4084">
        <v>92.309140869304301</v>
      </c>
      <c r="AN4084">
        <v>1.00000000552026</v>
      </c>
    </row>
    <row r="4085" spans="1:40" x14ac:dyDescent="0.25">
      <c r="A4085" t="str">
        <f>"20190304155139682"</f>
        <v>20190304155139682</v>
      </c>
      <c r="B4085" t="str">
        <f>"1551685899670634"</f>
        <v>1551685899670634</v>
      </c>
      <c r="C4085" t="s">
        <v>40</v>
      </c>
      <c r="D4085">
        <v>5.1194829999999998</v>
      </c>
      <c r="E4085">
        <v>0.59695559999999903</v>
      </c>
      <c r="F4085" t="s">
        <v>84</v>
      </c>
      <c r="G4085">
        <v>-195.87370000000001</v>
      </c>
      <c r="H4085" s="1">
        <v>-1.0274179999999999E-5</v>
      </c>
      <c r="I4085">
        <v>144.23570000000001</v>
      </c>
      <c r="J4085">
        <v>-189.13730000000001</v>
      </c>
      <c r="K4085">
        <v>1.109672</v>
      </c>
      <c r="L4085">
        <v>181.435</v>
      </c>
      <c r="M4085">
        <v>-8.8482990000000004E-3</v>
      </c>
      <c r="N4085">
        <v>-1.429214E-2</v>
      </c>
      <c r="O4085">
        <v>-0.99985889999999999</v>
      </c>
      <c r="P4085">
        <v>3.0000760000000001E-2</v>
      </c>
      <c r="Q4085">
        <v>0.21095430000000001</v>
      </c>
      <c r="R4085">
        <v>-0.97703580000000001</v>
      </c>
      <c r="S4085">
        <v>-0.56066890000000003</v>
      </c>
      <c r="T4085">
        <v>-9.2359189999999994E-2</v>
      </c>
      <c r="U4085">
        <v>-3.1084589999999999</v>
      </c>
      <c r="V4085">
        <v>-3.8022260000000002E-2</v>
      </c>
      <c r="W4085">
        <v>0.22499839999999999</v>
      </c>
      <c r="X4085">
        <v>0.97361699999999995</v>
      </c>
      <c r="Y4085">
        <v>0.168716899999999</v>
      </c>
      <c r="Z4085">
        <v>1.4971099999999999E-2</v>
      </c>
      <c r="AA4085">
        <v>0.98555079999999995</v>
      </c>
      <c r="AB4085">
        <v>29</v>
      </c>
      <c r="AC4085">
        <v>-6.7363999999999997</v>
      </c>
      <c r="AD4085">
        <v>-1.1096822741799901</v>
      </c>
      <c r="AE4085">
        <v>-37.199300000000001</v>
      </c>
      <c r="AF4085">
        <v>6.4014365603296097</v>
      </c>
      <c r="AG4085">
        <v>-1.1096822741799901</v>
      </c>
      <c r="AH4085">
        <v>37.225381196630401</v>
      </c>
      <c r="AI4085">
        <v>91.682786133939203</v>
      </c>
      <c r="AJ4085">
        <v>80.242605518183893</v>
      </c>
      <c r="AK4085">
        <v>37.7880773527842</v>
      </c>
      <c r="AL4085">
        <v>76.997216153976794</v>
      </c>
      <c r="AM4085">
        <v>92.236411802886806</v>
      </c>
      <c r="AN4085">
        <v>1.00000001747353</v>
      </c>
    </row>
    <row r="4086" spans="1:40" x14ac:dyDescent="0.25">
      <c r="A4086" t="str">
        <f>"20190304155139700"</f>
        <v>20190304155139700</v>
      </c>
      <c r="B4086" t="str">
        <f>"1551685899691129"</f>
        <v>1551685899691129</v>
      </c>
      <c r="C4086" t="s">
        <v>40</v>
      </c>
      <c r="D4086">
        <v>5.119008</v>
      </c>
      <c r="E4086">
        <v>0.59684190000000004</v>
      </c>
      <c r="F4086" t="s">
        <v>59</v>
      </c>
      <c r="G4086">
        <v>-212.22559999999999</v>
      </c>
      <c r="H4086">
        <v>1.294613</v>
      </c>
      <c r="I4086">
        <v>81.577110000000005</v>
      </c>
      <c r="J4086">
        <v>-189.14150000000001</v>
      </c>
      <c r="K4086">
        <v>1.1091530000000001</v>
      </c>
      <c r="L4086">
        <v>181.19390000000001</v>
      </c>
      <c r="M4086">
        <v>-1.106158E-2</v>
      </c>
      <c r="N4086">
        <v>-1.430501E-2</v>
      </c>
      <c r="O4086">
        <v>-0.99983659999999996</v>
      </c>
      <c r="P4086">
        <v>2.508579E-2</v>
      </c>
      <c r="Q4086">
        <v>0.2112145</v>
      </c>
      <c r="R4086">
        <v>-0.9771183</v>
      </c>
      <c r="S4086">
        <v>-0.71472170000000002</v>
      </c>
      <c r="T4086">
        <v>5.7257410000000003E-3</v>
      </c>
      <c r="U4086">
        <v>-3.091202</v>
      </c>
      <c r="V4086">
        <v>-3.4985599999999999E-2</v>
      </c>
      <c r="W4086">
        <v>0.2253088</v>
      </c>
      <c r="X4086">
        <v>0.97365900000000005</v>
      </c>
      <c r="Y4086">
        <v>0.21442839999999999</v>
      </c>
      <c r="Z4086">
        <v>-1.609346E-2</v>
      </c>
      <c r="AA4086">
        <v>0.97660709999999995</v>
      </c>
      <c r="AB4086">
        <v>29</v>
      </c>
      <c r="AC4086">
        <v>-23.0840999999999</v>
      </c>
      <c r="AD4086">
        <v>0.18546000000000001</v>
      </c>
      <c r="AE4086">
        <v>-99.616789999999995</v>
      </c>
      <c r="AF4086">
        <v>21.9805833627128</v>
      </c>
      <c r="AG4086">
        <v>0.18546000000000001</v>
      </c>
      <c r="AH4086">
        <v>99.865738305312405</v>
      </c>
      <c r="AI4086">
        <v>89.896083825507006</v>
      </c>
      <c r="AJ4086">
        <v>77.587042993452997</v>
      </c>
      <c r="AK4086">
        <v>102.256276715133</v>
      </c>
      <c r="AL4086">
        <v>76.9789619380076</v>
      </c>
      <c r="AM4086">
        <v>92.057871595469294</v>
      </c>
      <c r="AN4086">
        <v>0.99999994792289804</v>
      </c>
    </row>
    <row r="4087" spans="1:40" x14ac:dyDescent="0.25">
      <c r="A4087" t="str">
        <f>"20190304155139713"</f>
        <v>20190304155139713</v>
      </c>
      <c r="B4087" t="str">
        <f>"1551685899710651"</f>
        <v>1551685899710651</v>
      </c>
      <c r="C4087" t="s">
        <v>40</v>
      </c>
      <c r="D4087">
        <v>8.043571</v>
      </c>
      <c r="E4087">
        <v>0.59688369999999902</v>
      </c>
      <c r="F4087" t="s">
        <v>59</v>
      </c>
      <c r="G4087">
        <v>-212.22559999999999</v>
      </c>
      <c r="H4087">
        <v>1.3999809999999999</v>
      </c>
      <c r="I4087">
        <v>83.521769999999904</v>
      </c>
      <c r="J4087">
        <v>-189.1447</v>
      </c>
      <c r="K4087">
        <v>1.10884</v>
      </c>
      <c r="L4087">
        <v>181.03960000000001</v>
      </c>
      <c r="M4087">
        <v>-1.2729610000000001E-2</v>
      </c>
      <c r="N4087">
        <v>-1.4313849999999999E-2</v>
      </c>
      <c r="O4087">
        <v>-0.9998165</v>
      </c>
      <c r="P4087">
        <v>2.1030989999999999E-2</v>
      </c>
      <c r="Q4087">
        <v>0.2109077</v>
      </c>
      <c r="R4087">
        <v>-0.97728000000000004</v>
      </c>
      <c r="S4087">
        <v>-0.72958369999999995</v>
      </c>
      <c r="T4087">
        <v>9.1924669999999993E-3</v>
      </c>
      <c r="U4087">
        <v>-3.0869599999999999</v>
      </c>
      <c r="V4087">
        <v>-3.2392329999999997E-2</v>
      </c>
      <c r="W4087">
        <v>0.2250277</v>
      </c>
      <c r="X4087">
        <v>0.97381379999999995</v>
      </c>
      <c r="Y4087">
        <v>0.2175473</v>
      </c>
      <c r="Z4087">
        <v>-1.7194060000000001E-2</v>
      </c>
      <c r="AA4087">
        <v>0.9758983</v>
      </c>
      <c r="AB4087">
        <v>29</v>
      </c>
      <c r="AC4087">
        <v>-23.0808999999999</v>
      </c>
      <c r="AD4087">
        <v>0.29114099999999898</v>
      </c>
      <c r="AE4087">
        <v>-97.517830000000004</v>
      </c>
      <c r="AF4087">
        <v>21.837354018757001</v>
      </c>
      <c r="AG4087">
        <v>0.29114099999999898</v>
      </c>
      <c r="AH4087">
        <v>97.802942482120201</v>
      </c>
      <c r="AI4087">
        <v>89.833540534453704</v>
      </c>
      <c r="AJ4087">
        <v>77.413499633626301</v>
      </c>
      <c r="AK4087">
        <v>100.21162782723</v>
      </c>
      <c r="AL4087">
        <v>76.995493276244105</v>
      </c>
      <c r="AM4087">
        <v>91.905148343037396</v>
      </c>
      <c r="AN4087">
        <v>1.0000000229402699</v>
      </c>
    </row>
    <row r="4088" spans="1:40" x14ac:dyDescent="0.25">
      <c r="A4088" t="str">
        <f>"20190304155139744"</f>
        <v>20190304155139744</v>
      </c>
      <c r="B4088" t="str">
        <f>"1551685899740906"</f>
        <v>1551685899740906</v>
      </c>
      <c r="C4088" t="s">
        <v>40</v>
      </c>
      <c r="D4088">
        <v>5.3730960000000003</v>
      </c>
      <c r="E4088">
        <v>0.5706542</v>
      </c>
      <c r="F4088" t="s">
        <v>59</v>
      </c>
      <c r="G4088">
        <v>-212.22569999999999</v>
      </c>
      <c r="H4088">
        <v>1.451751</v>
      </c>
      <c r="I4088">
        <v>85.254090000000005</v>
      </c>
      <c r="J4088">
        <v>-189.15539999999999</v>
      </c>
      <c r="K4088">
        <v>1.1080760000000001</v>
      </c>
      <c r="L4088">
        <v>180.62450000000001</v>
      </c>
      <c r="M4088">
        <v>-1.8125120000000002E-2</v>
      </c>
      <c r="N4088">
        <v>-1.4337010000000001E-2</v>
      </c>
      <c r="O4088">
        <v>-0.99973310000000004</v>
      </c>
      <c r="P4088">
        <v>1.101189E-2</v>
      </c>
      <c r="Q4088">
        <v>0.20794080000000001</v>
      </c>
      <c r="R4088">
        <v>-0.97807980000000005</v>
      </c>
      <c r="S4088">
        <v>-0.742981</v>
      </c>
      <c r="T4088">
        <v>1.1039139999999999E-2</v>
      </c>
      <c r="U4088">
        <v>-3.0833439999999999</v>
      </c>
      <c r="V4088">
        <v>-2.7268790000000001E-2</v>
      </c>
      <c r="W4088">
        <v>0.22212290000000001</v>
      </c>
      <c r="X4088">
        <v>0.97463730000000004</v>
      </c>
      <c r="Y4088">
        <v>0.21654599999999999</v>
      </c>
      <c r="Z4088">
        <v>-1.7792659999999998E-2</v>
      </c>
      <c r="AA4088">
        <v>0.97611029999999999</v>
      </c>
      <c r="AB4088">
        <v>29</v>
      </c>
      <c r="AC4088">
        <v>-23.0703</v>
      </c>
      <c r="AD4088">
        <v>0.34367499999999901</v>
      </c>
      <c r="AE4088">
        <v>-95.370409999999893</v>
      </c>
      <c r="AF4088">
        <v>21.337470102265101</v>
      </c>
      <c r="AG4088">
        <v>0.34367499999999901</v>
      </c>
      <c r="AH4088">
        <v>95.771759901490199</v>
      </c>
      <c r="AI4088">
        <v>89.799316513915798</v>
      </c>
      <c r="AJ4088">
        <v>77.439922214851705</v>
      </c>
      <c r="AK4088">
        <v>98.120516394377802</v>
      </c>
      <c r="AL4088">
        <v>77.166248445717102</v>
      </c>
      <c r="AM4088">
        <v>91.602626019834105</v>
      </c>
      <c r="AN4088">
        <v>1.00000001808188</v>
      </c>
    </row>
    <row r="4089" spans="1:40" x14ac:dyDescent="0.25">
      <c r="A4089" t="str">
        <f>"20190304155139768"</f>
        <v>20190304155139768</v>
      </c>
      <c r="B4089" t="str">
        <f>"1551685899760425"</f>
        <v>1551685899760425</v>
      </c>
      <c r="C4089" t="s">
        <v>40</v>
      </c>
      <c r="D4089">
        <v>4.0886110000000002</v>
      </c>
      <c r="E4089">
        <v>0.5706542</v>
      </c>
      <c r="F4089" t="s">
        <v>84</v>
      </c>
      <c r="G4089">
        <v>-193.9315</v>
      </c>
      <c r="H4089" s="1">
        <v>-1.3215359999999999E-5</v>
      </c>
      <c r="I4089">
        <v>154.68719999999999</v>
      </c>
      <c r="J4089">
        <v>-189.16550000000001</v>
      </c>
      <c r="K4089">
        <v>1.107605</v>
      </c>
      <c r="L4089">
        <v>180.32169999999999</v>
      </c>
      <c r="M4089">
        <v>-2.2724129999999999E-2</v>
      </c>
      <c r="N4089">
        <v>-1.435207E-2</v>
      </c>
      <c r="O4089">
        <v>-0.9996389</v>
      </c>
      <c r="P4089">
        <v>2.272937E-3</v>
      </c>
      <c r="Q4089">
        <v>0.20320579999999999</v>
      </c>
      <c r="R4089">
        <v>-0.97913360000000005</v>
      </c>
      <c r="S4089">
        <v>-0.57116699999999998</v>
      </c>
      <c r="T4089">
        <v>-0.13251470000000001</v>
      </c>
      <c r="U4089">
        <v>-3.101807</v>
      </c>
      <c r="V4089">
        <v>-2.284806E-2</v>
      </c>
      <c r="W4089">
        <v>0.21741569999999999</v>
      </c>
      <c r="X4089">
        <v>0.97581169999999995</v>
      </c>
      <c r="Y4089">
        <v>0.15856479999999901</v>
      </c>
      <c r="Z4089">
        <v>2.7729799999999999E-2</v>
      </c>
      <c r="AA4089">
        <v>0.98695909999999998</v>
      </c>
      <c r="AB4089">
        <v>29</v>
      </c>
      <c r="AC4089">
        <v>-4.7659999999999902</v>
      </c>
      <c r="AD4089">
        <v>-1.10761821536</v>
      </c>
      <c r="AE4089">
        <v>-25.634499999999999</v>
      </c>
      <c r="AF4089">
        <v>4.1746539878587399</v>
      </c>
      <c r="AG4089">
        <v>-1.10761821536</v>
      </c>
      <c r="AH4089">
        <v>25.6898345610829</v>
      </c>
      <c r="AI4089">
        <v>92.436854760190897</v>
      </c>
      <c r="AJ4089">
        <v>80.769992352092402</v>
      </c>
      <c r="AK4089">
        <v>26.050377229613201</v>
      </c>
      <c r="AL4089">
        <v>77.442710784011496</v>
      </c>
      <c r="AM4089">
        <v>91.341302072719898</v>
      </c>
      <c r="AN4089">
        <v>1.00000004715457</v>
      </c>
    </row>
    <row r="4090" spans="1:40" x14ac:dyDescent="0.25">
      <c r="A4090" t="str">
        <f>"20190304155139790"</f>
        <v>20190304155139790</v>
      </c>
      <c r="B4090" t="str">
        <f>"1551685899780921"</f>
        <v>1551685899780921</v>
      </c>
      <c r="C4090" t="s">
        <v>40</v>
      </c>
      <c r="D4090">
        <v>7.0150090000000001</v>
      </c>
      <c r="E4090">
        <v>0.62819510000000001</v>
      </c>
      <c r="F4090" t="s">
        <v>84</v>
      </c>
      <c r="G4090">
        <v>-193.60830000000001</v>
      </c>
      <c r="H4090" s="1">
        <v>-1.42997E-5</v>
      </c>
      <c r="I4090">
        <v>157.2816</v>
      </c>
      <c r="J4090">
        <v>-189.17750000000001</v>
      </c>
      <c r="K4090">
        <v>1.107232</v>
      </c>
      <c r="L4090">
        <v>180.0198</v>
      </c>
      <c r="M4090">
        <v>-2.7771469999999999E-2</v>
      </c>
      <c r="N4090">
        <v>-1.436486E-2</v>
      </c>
      <c r="O4090">
        <v>-0.99951120000000004</v>
      </c>
      <c r="P4090">
        <v>-6.1941879999999998E-3</v>
      </c>
      <c r="Q4090">
        <v>0.19883110000000001</v>
      </c>
      <c r="R4090">
        <v>-0.98001439999999995</v>
      </c>
      <c r="S4090">
        <v>-0.59704590000000002</v>
      </c>
      <c r="T4090">
        <v>-0.14884539999999999</v>
      </c>
      <c r="U4090">
        <v>-3.0961910000000001</v>
      </c>
      <c r="V4090">
        <v>-1.920206E-2</v>
      </c>
      <c r="W4090">
        <v>0.21305760000000001</v>
      </c>
      <c r="X4090">
        <v>0.97685089999999997</v>
      </c>
      <c r="Y4090">
        <v>0.16182569999999999</v>
      </c>
      <c r="Z4090">
        <v>3.292457E-2</v>
      </c>
      <c r="AA4090">
        <v>0.98626999999999998</v>
      </c>
      <c r="AB4090">
        <v>29</v>
      </c>
      <c r="AC4090">
        <v>-4.4307999999999996</v>
      </c>
      <c r="AD4090">
        <v>-1.1072462996999901</v>
      </c>
      <c r="AE4090">
        <v>-22.738199999999999</v>
      </c>
      <c r="AF4090">
        <v>3.7888966232944701</v>
      </c>
      <c r="AG4090">
        <v>-1.1072462996999901</v>
      </c>
      <c r="AH4090">
        <v>22.8004030304701</v>
      </c>
      <c r="AI4090">
        <v>92.742693594264395</v>
      </c>
      <c r="AJ4090">
        <v>80.564992078072095</v>
      </c>
      <c r="AK4090">
        <v>23.139578871321</v>
      </c>
      <c r="AL4090">
        <v>77.698403761957593</v>
      </c>
      <c r="AM4090">
        <v>91.126124081768097</v>
      </c>
      <c r="AN4090">
        <v>0.99999997042840605</v>
      </c>
    </row>
    <row r="4091" spans="1:40" x14ac:dyDescent="0.25">
      <c r="A4091" t="str">
        <f>"20190304155139900"</f>
        <v>20190304155139900</v>
      </c>
      <c r="B4091" t="str">
        <f>"1551685899891209"</f>
        <v>1551685899891209</v>
      </c>
      <c r="C4091" t="s">
        <v>40</v>
      </c>
      <c r="D4091">
        <v>4.513306</v>
      </c>
      <c r="E4091">
        <v>0.62652759999999996</v>
      </c>
      <c r="F4091" t="s">
        <v>59</v>
      </c>
      <c r="G4091">
        <v>-218.31649999999999</v>
      </c>
      <c r="H4091">
        <v>1.2673239999999999</v>
      </c>
      <c r="I4091">
        <v>97.150019999999998</v>
      </c>
      <c r="J4091">
        <v>-189.2602</v>
      </c>
      <c r="K4091">
        <v>1.106511</v>
      </c>
      <c r="L4091">
        <v>178.58260000000001</v>
      </c>
      <c r="M4091">
        <v>-5.4303249999999997E-2</v>
      </c>
      <c r="N4091">
        <v>-1.4389269999999999E-2</v>
      </c>
      <c r="O4091">
        <v>-0.998421</v>
      </c>
      <c r="P4091">
        <v>-4.7134620000000002E-2</v>
      </c>
      <c r="Q4091">
        <v>0.19470779999999999</v>
      </c>
      <c r="R4091">
        <v>-0.9797283</v>
      </c>
      <c r="S4091">
        <v>-1.0735779999999999</v>
      </c>
      <c r="T4091">
        <v>5.8993099999999996E-3</v>
      </c>
      <c r="U4091">
        <v>-3.0531920000000001</v>
      </c>
      <c r="V4091">
        <v>-4.0027209999999999E-3</v>
      </c>
      <c r="W4091">
        <v>0.20885290000000001</v>
      </c>
      <c r="X4091">
        <v>0.97793890000000006</v>
      </c>
      <c r="Y4091">
        <v>0.27992450000000002</v>
      </c>
      <c r="Z4091">
        <v>-1.6090380000000001E-2</v>
      </c>
      <c r="AA4091">
        <v>0.95988720000000005</v>
      </c>
      <c r="AB4091">
        <v>29</v>
      </c>
      <c r="AC4091">
        <v>-29.0563</v>
      </c>
      <c r="AD4091">
        <v>0.16081299999999901</v>
      </c>
      <c r="AE4091">
        <v>-81.432580000000002</v>
      </c>
      <c r="AF4091">
        <v>24.590822439530299</v>
      </c>
      <c r="AG4091">
        <v>0.16081299999999901</v>
      </c>
      <c r="AH4091">
        <v>82.890128396090304</v>
      </c>
      <c r="AI4091">
        <v>89.8934327675384</v>
      </c>
      <c r="AJ4091">
        <v>73.4760789784049</v>
      </c>
      <c r="AK4091">
        <v>86.461018931040897</v>
      </c>
      <c r="AL4091">
        <v>77.944862562333199</v>
      </c>
      <c r="AM4091">
        <v>90.234511316802696</v>
      </c>
      <c r="AN4091">
        <v>1.0000000238735101</v>
      </c>
    </row>
    <row r="4092" spans="1:40" x14ac:dyDescent="0.25">
      <c r="A4092" t="str">
        <f>"20190304155140015"</f>
        <v>20190304155140015</v>
      </c>
      <c r="B4092" t="str">
        <f>"1551685900011258"</f>
        <v>1551685900011258</v>
      </c>
      <c r="C4092" t="s">
        <v>40</v>
      </c>
      <c r="D4092">
        <v>5.6150529999999996</v>
      </c>
      <c r="E4092">
        <v>0.63434140000000006</v>
      </c>
      <c r="F4092" t="s">
        <v>64</v>
      </c>
      <c r="G4092">
        <v>-212.71889999999999</v>
      </c>
      <c r="H4092">
        <v>0.34713559999999999</v>
      </c>
      <c r="I4092">
        <v>119.2668</v>
      </c>
      <c r="J4092">
        <v>-189.38579999999999</v>
      </c>
      <c r="K4092">
        <v>1.1065430000000001</v>
      </c>
      <c r="L4092">
        <v>177.11840000000001</v>
      </c>
      <c r="M4092">
        <v>-8.1739999999999993E-2</v>
      </c>
      <c r="N4092">
        <v>-1.4386599999999999E-2</v>
      </c>
      <c r="O4092">
        <v>-0.99655000000000005</v>
      </c>
      <c r="P4092">
        <v>-9.0463929999999998E-2</v>
      </c>
      <c r="Q4092">
        <v>0.19964799999999999</v>
      </c>
      <c r="R4092">
        <v>-0.97568290000000002</v>
      </c>
      <c r="S4092">
        <v>-1.191376</v>
      </c>
      <c r="T4092">
        <v>-3.8564090000000002E-2</v>
      </c>
      <c r="U4092">
        <v>-3.0124050000000002</v>
      </c>
      <c r="V4092">
        <v>1.25833E-2</v>
      </c>
      <c r="W4092">
        <v>0.2136064</v>
      </c>
      <c r="X4092">
        <v>0.97683880000000001</v>
      </c>
      <c r="Y4092">
        <v>0.29046820000000001</v>
      </c>
      <c r="Z4092">
        <v>-2.1556230000000002E-3</v>
      </c>
      <c r="AA4092">
        <v>0.95688220000000002</v>
      </c>
      <c r="AB4092">
        <v>29</v>
      </c>
      <c r="AC4092">
        <v>-23.333100000000002</v>
      </c>
      <c r="AD4092">
        <v>-0.75940739999999995</v>
      </c>
      <c r="AE4092">
        <v>-57.851599999999998</v>
      </c>
      <c r="AF4092">
        <v>18.522980285109099</v>
      </c>
      <c r="AG4092">
        <v>-0.75940739999999995</v>
      </c>
      <c r="AH4092">
        <v>59.556588524586701</v>
      </c>
      <c r="AI4092">
        <v>90.697583633083894</v>
      </c>
      <c r="AJ4092">
        <v>72.723533171959801</v>
      </c>
      <c r="AK4092">
        <v>62.3751932656618</v>
      </c>
      <c r="AL4092">
        <v>77.666219773032793</v>
      </c>
      <c r="AM4092">
        <v>89.261976379542801</v>
      </c>
      <c r="AN4092">
        <v>1.0000000373726401</v>
      </c>
    </row>
    <row r="4093" spans="1:40" x14ac:dyDescent="0.25">
      <c r="A4093" t="str">
        <f>"20190304155140036"</f>
        <v>20190304155140036</v>
      </c>
      <c r="B4093" t="str">
        <f>"1551685900030778"</f>
        <v>1551685900030778</v>
      </c>
      <c r="C4093" t="s">
        <v>40</v>
      </c>
      <c r="D4093">
        <v>5.6763269999999997</v>
      </c>
      <c r="E4093">
        <v>0.63614329999999997</v>
      </c>
      <c r="F4093" t="s">
        <v>41</v>
      </c>
      <c r="G4093">
        <v>-211.62049999999999</v>
      </c>
      <c r="H4093">
        <v>1.0937759999999999E-2</v>
      </c>
      <c r="I4093">
        <v>129.6163</v>
      </c>
      <c r="J4093">
        <v>-189.41409999999999</v>
      </c>
      <c r="K4093">
        <v>1.1065499999999999</v>
      </c>
      <c r="L4093">
        <v>176.84190000000001</v>
      </c>
      <c r="M4093">
        <v>-8.6884080000000002E-2</v>
      </c>
      <c r="N4093">
        <v>-1.43856E-2</v>
      </c>
      <c r="O4093">
        <v>-0.99611470000000002</v>
      </c>
      <c r="P4093">
        <v>-9.6377630000000006E-2</v>
      </c>
      <c r="Q4093">
        <v>0.20066990000000001</v>
      </c>
      <c r="R4093">
        <v>-0.97490690000000002</v>
      </c>
      <c r="S4093">
        <v>-1.385635</v>
      </c>
      <c r="T4093">
        <v>-6.827664E-2</v>
      </c>
      <c r="U4093">
        <v>-2.9602659999999998</v>
      </c>
      <c r="V4093">
        <v>1.348943E-2</v>
      </c>
      <c r="W4093">
        <v>0.21461440000000001</v>
      </c>
      <c r="X4093">
        <v>0.97660570000000002</v>
      </c>
      <c r="Y4093">
        <v>0.3435396</v>
      </c>
      <c r="Z4093">
        <v>7.0187349999999999E-3</v>
      </c>
      <c r="AA4093">
        <v>0.9391119</v>
      </c>
      <c r="AB4093">
        <v>29</v>
      </c>
      <c r="AC4093">
        <v>-22.206399999999999</v>
      </c>
      <c r="AD4093">
        <v>-1.0956122399999999</v>
      </c>
      <c r="AE4093">
        <v>-47.2256</v>
      </c>
      <c r="AF4093">
        <v>18.010892120027801</v>
      </c>
      <c r="AG4093">
        <v>-1.0956122399999999</v>
      </c>
      <c r="AH4093">
        <v>48.954980495339498</v>
      </c>
      <c r="AI4093">
        <v>91.203241478039004</v>
      </c>
      <c r="AJ4093">
        <v>69.801065455736506</v>
      </c>
      <c r="AK4093">
        <v>52.174540883833203</v>
      </c>
      <c r="AL4093">
        <v>77.607094000783903</v>
      </c>
      <c r="AM4093">
        <v>89.208648628219805</v>
      </c>
      <c r="AN4093">
        <v>0.99999999934078698</v>
      </c>
    </row>
    <row r="4094" spans="1:40" x14ac:dyDescent="0.25">
      <c r="A4094" t="str">
        <f>"20190304155140060"</f>
        <v>20190304155140060</v>
      </c>
      <c r="B4094" t="str">
        <f>"1551685900051274"</f>
        <v>1551685900051274</v>
      </c>
      <c r="C4094" t="s">
        <v>40</v>
      </c>
      <c r="D4094">
        <v>5.635802</v>
      </c>
      <c r="E4094">
        <v>0.63655669999999898</v>
      </c>
      <c r="F4094" t="s">
        <v>84</v>
      </c>
      <c r="G4094">
        <v>-209.25190000000001</v>
      </c>
      <c r="H4094" s="1">
        <v>-4.2243350000000003E-6</v>
      </c>
      <c r="I4094">
        <v>135.53219999999999</v>
      </c>
      <c r="J4094">
        <v>-189.44560000000001</v>
      </c>
      <c r="K4094">
        <v>1.1065529999999999</v>
      </c>
      <c r="L4094">
        <v>176.54839999999999</v>
      </c>
      <c r="M4094">
        <v>-9.2367240000000003E-2</v>
      </c>
      <c r="N4094">
        <v>-1.4384920000000001E-2</v>
      </c>
      <c r="O4094">
        <v>-0.99562110000000004</v>
      </c>
      <c r="P4094">
        <v>-0.1024207</v>
      </c>
      <c r="Q4094">
        <v>0.20282739999999999</v>
      </c>
      <c r="R4094">
        <v>-0.97384360000000003</v>
      </c>
      <c r="S4094">
        <v>-1.4182429999999999</v>
      </c>
      <c r="T4094">
        <v>-7.9109550000000001E-2</v>
      </c>
      <c r="U4094">
        <v>-2.9533079999999998</v>
      </c>
      <c r="V4094">
        <v>1.423435E-2</v>
      </c>
      <c r="W4094">
        <v>0.21675759999999999</v>
      </c>
      <c r="X4094">
        <v>0.97612169999999998</v>
      </c>
      <c r="Y4094">
        <v>0.34765559999999901</v>
      </c>
      <c r="Z4094">
        <v>1.035372E-2</v>
      </c>
      <c r="AA4094">
        <v>0.93756510000000004</v>
      </c>
      <c r="AB4094">
        <v>29</v>
      </c>
      <c r="AC4094">
        <v>-19.8063</v>
      </c>
      <c r="AD4094">
        <v>-1.1065572243349999</v>
      </c>
      <c r="AE4094">
        <v>-41.016199999999998</v>
      </c>
      <c r="AF4094">
        <v>15.923267331425601</v>
      </c>
      <c r="AG4094">
        <v>-1.1065572243349999</v>
      </c>
      <c r="AH4094">
        <v>42.645292451007499</v>
      </c>
      <c r="AI4094">
        <v>91.392509447346796</v>
      </c>
      <c r="AJ4094">
        <v>69.524939824059103</v>
      </c>
      <c r="AK4094">
        <v>45.534556982919398</v>
      </c>
      <c r="AL4094">
        <v>77.481338011334898</v>
      </c>
      <c r="AM4094">
        <v>89.164540265793406</v>
      </c>
      <c r="AN4094">
        <v>1.0000000235442801</v>
      </c>
    </row>
    <row r="4095" spans="1:40" x14ac:dyDescent="0.25">
      <c r="A4095" t="str">
        <f>"20190304155140081"</f>
        <v>20190304155140081</v>
      </c>
      <c r="B4095" t="str">
        <f>"1551685900070797"</f>
        <v>1551685900070797</v>
      </c>
      <c r="C4095" t="s">
        <v>40</v>
      </c>
      <c r="D4095">
        <v>5.6675089999999999</v>
      </c>
      <c r="E4095">
        <v>0.63649369999999905</v>
      </c>
      <c r="F4095" t="s">
        <v>84</v>
      </c>
      <c r="G4095">
        <v>-207.7638</v>
      </c>
      <c r="H4095" s="1">
        <v>-6.1796479999999997E-6</v>
      </c>
      <c r="I4095">
        <v>139.05289999999999</v>
      </c>
      <c r="J4095">
        <v>-189.47730000000001</v>
      </c>
      <c r="K4095">
        <v>1.106544</v>
      </c>
      <c r="L4095">
        <v>176.26900000000001</v>
      </c>
      <c r="M4095">
        <v>-9.7632209999999997E-2</v>
      </c>
      <c r="N4095">
        <v>-1.4385169999999999E-2</v>
      </c>
      <c r="O4095">
        <v>-0.99511859999999996</v>
      </c>
      <c r="P4095">
        <v>-0.1075962</v>
      </c>
      <c r="Q4095">
        <v>0.2047496</v>
      </c>
      <c r="R4095">
        <v>-0.97288260000000004</v>
      </c>
      <c r="S4095">
        <v>-1.439865</v>
      </c>
      <c r="T4095">
        <v>-8.6979029999999999E-2</v>
      </c>
      <c r="U4095">
        <v>-2.9472659999999999</v>
      </c>
      <c r="V4095">
        <v>1.432895E-2</v>
      </c>
      <c r="W4095">
        <v>0.2186727</v>
      </c>
      <c r="X4095">
        <v>0.97569300000000003</v>
      </c>
      <c r="Y4095">
        <v>0.34899629999999998</v>
      </c>
      <c r="Z4095">
        <v>1.2786219999999999E-2</v>
      </c>
      <c r="AA4095">
        <v>0.93703689999999995</v>
      </c>
      <c r="AB4095">
        <v>29</v>
      </c>
      <c r="AC4095">
        <v>-18.286499999999901</v>
      </c>
      <c r="AD4095">
        <v>-1.106550179648</v>
      </c>
      <c r="AE4095">
        <v>-37.216099999999997</v>
      </c>
      <c r="AF4095">
        <v>14.554888302627599</v>
      </c>
      <c r="AG4095">
        <v>-1.106550179648</v>
      </c>
      <c r="AH4095">
        <v>38.7961739707712</v>
      </c>
      <c r="AI4095">
        <v>91.529702314762901</v>
      </c>
      <c r="AJ4095">
        <v>69.435768339639694</v>
      </c>
      <c r="AK4095">
        <v>41.451324967633902</v>
      </c>
      <c r="AL4095">
        <v>77.368913108328798</v>
      </c>
      <c r="AM4095">
        <v>89.158619212269898</v>
      </c>
      <c r="AN4095">
        <v>0.99999994939119496</v>
      </c>
    </row>
    <row r="4096" spans="1:40" x14ac:dyDescent="0.25">
      <c r="A4096" t="str">
        <f>"20190304155140102"</f>
        <v>20190304155140102</v>
      </c>
      <c r="B4096" t="str">
        <f>"1551685900091290"</f>
        <v>1551685900091290</v>
      </c>
      <c r="C4096" t="s">
        <v>40</v>
      </c>
      <c r="D4096">
        <v>5.7100479999999996</v>
      </c>
      <c r="E4096">
        <v>0.63689259999999903</v>
      </c>
      <c r="F4096" t="s">
        <v>84</v>
      </c>
      <c r="G4096">
        <v>-207.9392</v>
      </c>
      <c r="H4096" s="1">
        <v>-6.0646530000000003E-6</v>
      </c>
      <c r="I4096">
        <v>138.9365</v>
      </c>
      <c r="J4096">
        <v>-189.50960000000001</v>
      </c>
      <c r="K4096">
        <v>1.106514</v>
      </c>
      <c r="L4096">
        <v>175.9974</v>
      </c>
      <c r="M4096">
        <v>-0.102817699999999</v>
      </c>
      <c r="N4096">
        <v>-1.4386639999999999E-2</v>
      </c>
      <c r="O4096">
        <v>-0.99459620000000004</v>
      </c>
      <c r="P4096">
        <v>-0.1116683</v>
      </c>
      <c r="Q4096">
        <v>0.20459769999999999</v>
      </c>
      <c r="R4096">
        <v>-0.97245550000000003</v>
      </c>
      <c r="S4096">
        <v>-1.4544680000000001</v>
      </c>
      <c r="T4096">
        <v>-8.7176320000000002E-2</v>
      </c>
      <c r="U4096">
        <v>-2.9411320000000001</v>
      </c>
      <c r="V4096">
        <v>1.333906E-2</v>
      </c>
      <c r="W4096">
        <v>0.2185317</v>
      </c>
      <c r="X4096">
        <v>0.97573860000000001</v>
      </c>
      <c r="Y4096">
        <v>0.34862739999999998</v>
      </c>
      <c r="Z4096">
        <v>1.286902E-2</v>
      </c>
      <c r="AA4096">
        <v>0.93717300000000003</v>
      </c>
      <c r="AB4096">
        <v>29</v>
      </c>
      <c r="AC4096">
        <v>-18.429599999999901</v>
      </c>
      <c r="AD4096">
        <v>-1.106520064653</v>
      </c>
      <c r="AE4096">
        <v>-37.060899999999997</v>
      </c>
      <c r="AF4096">
        <v>14.5106253794039</v>
      </c>
      <c r="AG4096">
        <v>-1.106520064653</v>
      </c>
      <c r="AH4096">
        <v>38.731848205967403</v>
      </c>
      <c r="AI4096">
        <v>91.532461606408901</v>
      </c>
      <c r="AJ4096">
        <v>69.461877262009807</v>
      </c>
      <c r="AK4096">
        <v>41.375580974833298</v>
      </c>
      <c r="AL4096">
        <v>77.377191734368793</v>
      </c>
      <c r="AM4096">
        <v>89.216773596222296</v>
      </c>
      <c r="AN4096">
        <v>0.99999992497826395</v>
      </c>
    </row>
    <row r="4097" spans="1:40" x14ac:dyDescent="0.25">
      <c r="A4097" t="str">
        <f>"20190304155140126"</f>
        <v>20190304155140126</v>
      </c>
      <c r="B4097" t="str">
        <f>"1551685900120569"</f>
        <v>1551685900120569</v>
      </c>
      <c r="C4097" t="s">
        <v>40</v>
      </c>
      <c r="D4097">
        <v>5.0050129999999999</v>
      </c>
      <c r="E4097">
        <v>0.63723819999999998</v>
      </c>
      <c r="F4097" t="s">
        <v>84</v>
      </c>
      <c r="G4097">
        <v>-208.35830000000001</v>
      </c>
      <c r="H4097" s="1">
        <v>-5.7110909999999998E-6</v>
      </c>
      <c r="I4097">
        <v>138.41220000000001</v>
      </c>
      <c r="J4097">
        <v>-189.5455</v>
      </c>
      <c r="K4097">
        <v>1.1064590000000001</v>
      </c>
      <c r="L4097">
        <v>175.70830000000001</v>
      </c>
      <c r="M4097">
        <v>-0.10843129999999999</v>
      </c>
      <c r="N4097">
        <v>-1.4389600000000001E-2</v>
      </c>
      <c r="O4097">
        <v>-0.99399979999999999</v>
      </c>
      <c r="P4097">
        <v>-0.1160281</v>
      </c>
      <c r="Q4097">
        <v>0.20473160000000001</v>
      </c>
      <c r="R4097">
        <v>-0.97191700000000003</v>
      </c>
      <c r="S4097">
        <v>-1.4714659999999999</v>
      </c>
      <c r="T4097">
        <v>-8.638287E-2</v>
      </c>
      <c r="U4097">
        <v>-2.9341740000000001</v>
      </c>
      <c r="V4097">
        <v>1.2236820000000001E-2</v>
      </c>
      <c r="W4097">
        <v>0.21867829999999999</v>
      </c>
      <c r="X4097">
        <v>0.97572029999999998</v>
      </c>
      <c r="Y4097">
        <v>0.34856880000000001</v>
      </c>
      <c r="Z4097">
        <v>1.2644219999999999E-2</v>
      </c>
      <c r="AA4097">
        <v>0.93719790000000003</v>
      </c>
      <c r="AB4097">
        <v>29</v>
      </c>
      <c r="AC4097">
        <v>-18.812799999999999</v>
      </c>
      <c r="AD4097">
        <v>-1.106464711091</v>
      </c>
      <c r="AE4097">
        <v>-37.296100000000003</v>
      </c>
      <c r="AF4097">
        <v>14.6470956815505</v>
      </c>
      <c r="AG4097">
        <v>-1.106464711091</v>
      </c>
      <c r="AH4097">
        <v>39.088836684060503</v>
      </c>
      <c r="AI4097">
        <v>91.518361891482698</v>
      </c>
      <c r="AJ4097">
        <v>69.458372159188201</v>
      </c>
      <c r="AK4097">
        <v>41.757620015687401</v>
      </c>
      <c r="AL4097">
        <v>77.368585216448594</v>
      </c>
      <c r="AM4097">
        <v>89.281472994109293</v>
      </c>
      <c r="AN4097">
        <v>1.00000002124334</v>
      </c>
    </row>
    <row r="4098" spans="1:40" x14ac:dyDescent="0.25">
      <c r="A4098" t="str">
        <f>"20190304155140149"</f>
        <v>20190304155140149</v>
      </c>
      <c r="B4098" t="str">
        <f>"1551685900141066"</f>
        <v>1551685900141066</v>
      </c>
      <c r="C4098" t="s">
        <v>40</v>
      </c>
      <c r="D4098">
        <v>5.7145489999999999</v>
      </c>
      <c r="E4098">
        <v>0.63653309999999996</v>
      </c>
      <c r="F4098" t="s">
        <v>84</v>
      </c>
      <c r="G4098">
        <v>-208.84049999999999</v>
      </c>
      <c r="H4098" s="1">
        <v>-5.2875270000000003E-6</v>
      </c>
      <c r="I4098">
        <v>137.75659999999999</v>
      </c>
      <c r="J4098">
        <v>-189.58529999999999</v>
      </c>
      <c r="K4098">
        <v>1.106387</v>
      </c>
      <c r="L4098">
        <v>175.40479999999999</v>
      </c>
      <c r="M4098">
        <v>-0.11445329999999999</v>
      </c>
      <c r="N4098">
        <v>-1.439417E-2</v>
      </c>
      <c r="O4098">
        <v>-0.9933246</v>
      </c>
      <c r="P4098">
        <v>-0.1210498</v>
      </c>
      <c r="Q4098">
        <v>0.204706</v>
      </c>
      <c r="R4098">
        <v>-0.97131000000000001</v>
      </c>
      <c r="S4098">
        <v>-1.488113</v>
      </c>
      <c r="T4098">
        <v>-8.5335369999999994E-2</v>
      </c>
      <c r="U4098">
        <v>-2.9270019999999999</v>
      </c>
      <c r="V4098">
        <v>1.140385E-2</v>
      </c>
      <c r="W4098">
        <v>0.21866479999999999</v>
      </c>
      <c r="X4098">
        <v>0.97573339999999997</v>
      </c>
      <c r="Y4098">
        <v>0.34805619999999998</v>
      </c>
      <c r="Z4098">
        <v>1.234233E-2</v>
      </c>
      <c r="AA4098">
        <v>0.93739240000000001</v>
      </c>
      <c r="AB4098">
        <v>29</v>
      </c>
      <c r="AC4098">
        <v>-19.255199999999999</v>
      </c>
      <c r="AD4098">
        <v>-1.106392287527</v>
      </c>
      <c r="AE4098">
        <v>-37.648200000000003</v>
      </c>
      <c r="AF4098">
        <v>14.8090968334949</v>
      </c>
      <c r="AG4098">
        <v>-1.106392287527</v>
      </c>
      <c r="AH4098">
        <v>39.577703888807598</v>
      </c>
      <c r="AI4098">
        <v>91.499780939745705</v>
      </c>
      <c r="AJ4098">
        <v>69.485268319344598</v>
      </c>
      <c r="AK4098">
        <v>42.272072317640898</v>
      </c>
      <c r="AL4098">
        <v>77.369377687613607</v>
      </c>
      <c r="AM4098">
        <v>89.330388067899094</v>
      </c>
      <c r="AN4098">
        <v>1.00000000521471</v>
      </c>
    </row>
    <row r="4099" spans="1:40" x14ac:dyDescent="0.25">
      <c r="A4099" t="str">
        <f>"20190304155140170"</f>
        <v>20190304155140170</v>
      </c>
      <c r="B4099" t="str">
        <f>"1551685900160586"</f>
        <v>1551685900160586</v>
      </c>
      <c r="C4099" t="s">
        <v>40</v>
      </c>
      <c r="D4099">
        <v>5.5905120000000004</v>
      </c>
      <c r="E4099">
        <v>0.63602139999999996</v>
      </c>
      <c r="F4099" t="s">
        <v>84</v>
      </c>
      <c r="G4099">
        <v>-209.09209999999999</v>
      </c>
      <c r="H4099" s="1">
        <v>-5.0246769999999999E-6</v>
      </c>
      <c r="I4099">
        <v>137.38290000000001</v>
      </c>
      <c r="J4099">
        <v>-189.62209999999999</v>
      </c>
      <c r="K4099">
        <v>1.106311</v>
      </c>
      <c r="L4099">
        <v>175.137</v>
      </c>
      <c r="M4099">
        <v>-0.1198998</v>
      </c>
      <c r="N4099">
        <v>-1.439942E-2</v>
      </c>
      <c r="O4099">
        <v>-0.99268160000000005</v>
      </c>
      <c r="P4099">
        <v>-0.1248901</v>
      </c>
      <c r="Q4099">
        <v>0.20321719999999999</v>
      </c>
      <c r="R4099">
        <v>-0.97113629999999995</v>
      </c>
      <c r="S4099">
        <v>-1.4980009999999999</v>
      </c>
      <c r="T4099">
        <v>-8.4964040000000005E-2</v>
      </c>
      <c r="U4099">
        <v>-2.9198460000000002</v>
      </c>
      <c r="V4099">
        <v>9.8941270000000008E-3</v>
      </c>
      <c r="W4099">
        <v>0.21720030000000001</v>
      </c>
      <c r="X4099">
        <v>0.97607690000000003</v>
      </c>
      <c r="Y4099">
        <v>0.34635909999999998</v>
      </c>
      <c r="Z4099">
        <v>1.2265140000000001E-2</v>
      </c>
      <c r="AA4099">
        <v>0.93802180000000002</v>
      </c>
      <c r="AB4099">
        <v>28</v>
      </c>
      <c r="AC4099">
        <v>-19.47</v>
      </c>
      <c r="AD4099">
        <v>-1.1063160246770001</v>
      </c>
      <c r="AE4099">
        <v>-37.754100000000001</v>
      </c>
      <c r="AF4099">
        <v>14.7923024875102</v>
      </c>
      <c r="AG4099">
        <v>-1.1063160246770001</v>
      </c>
      <c r="AH4099">
        <v>39.789387679615601</v>
      </c>
      <c r="AI4099">
        <v>91.492881141326507</v>
      </c>
      <c r="AJ4099">
        <v>69.606626622796796</v>
      </c>
      <c r="AK4099">
        <v>42.464473621454502</v>
      </c>
      <c r="AL4099">
        <v>77.455353702249795</v>
      </c>
      <c r="AM4099">
        <v>89.419233972245607</v>
      </c>
      <c r="AN4099">
        <v>0.999999989391396</v>
      </c>
    </row>
    <row r="4100" spans="1:40" x14ac:dyDescent="0.25">
      <c r="A4100" t="str">
        <f>"20190304155140193"</f>
        <v>20190304155140193</v>
      </c>
      <c r="B4100" t="str">
        <f>"1551685900190841"</f>
        <v>1551685900190841</v>
      </c>
      <c r="C4100" t="s">
        <v>40</v>
      </c>
      <c r="D4100">
        <v>5.6311339999999896</v>
      </c>
      <c r="E4100">
        <v>0.63553719999999903</v>
      </c>
      <c r="F4100" t="s">
        <v>84</v>
      </c>
      <c r="G4100">
        <v>-208.10749999999999</v>
      </c>
      <c r="H4100" s="1">
        <v>-6.12699399999999E-6</v>
      </c>
      <c r="I4100">
        <v>139.3648</v>
      </c>
      <c r="J4100">
        <v>-189.66390000000001</v>
      </c>
      <c r="K4100">
        <v>1.1062270000000001</v>
      </c>
      <c r="L4100">
        <v>174.84610000000001</v>
      </c>
      <c r="M4100">
        <v>-0.1259363</v>
      </c>
      <c r="N4100">
        <v>-1.4405569999999999E-2</v>
      </c>
      <c r="O4100">
        <v>-0.99193379999999998</v>
      </c>
      <c r="P4100">
        <v>-0.12862399999999999</v>
      </c>
      <c r="Q4100">
        <v>0.20176150000000001</v>
      </c>
      <c r="R4100">
        <v>-0.97095229999999999</v>
      </c>
      <c r="S4100">
        <v>-1.5060119999999999</v>
      </c>
      <c r="T4100">
        <v>-9.0131760000000005E-2</v>
      </c>
      <c r="U4100">
        <v>-2.9143680000000001</v>
      </c>
      <c r="V4100">
        <v>7.6918289999999999E-3</v>
      </c>
      <c r="W4100">
        <v>0.215778</v>
      </c>
      <c r="X4100">
        <v>0.97641210000000001</v>
      </c>
      <c r="Y4100">
        <v>0.34339130000000001</v>
      </c>
      <c r="Z4100">
        <v>1.389205E-2</v>
      </c>
      <c r="AA4100">
        <v>0.93908970000000003</v>
      </c>
      <c r="AB4100">
        <v>28</v>
      </c>
      <c r="AC4100">
        <v>-18.443599999999901</v>
      </c>
      <c r="AD4100">
        <v>-1.106233126994</v>
      </c>
      <c r="AE4100">
        <v>-35.481299999999997</v>
      </c>
      <c r="AF4100">
        <v>13.817306396852</v>
      </c>
      <c r="AG4100">
        <v>-1.106233126994</v>
      </c>
      <c r="AH4100">
        <v>37.493017720625502</v>
      </c>
      <c r="AI4100">
        <v>91.585821426581305</v>
      </c>
      <c r="AJ4100">
        <v>69.769638403522606</v>
      </c>
      <c r="AK4100">
        <v>39.973342186948599</v>
      </c>
      <c r="AL4100">
        <v>77.538824510935001</v>
      </c>
      <c r="AM4100">
        <v>89.548653460599297</v>
      </c>
      <c r="AN4100">
        <v>0.99999994927188596</v>
      </c>
    </row>
    <row r="4101" spans="1:40" x14ac:dyDescent="0.25">
      <c r="A4101" t="str">
        <f>"20190304155140215"</f>
        <v>20190304155140215</v>
      </c>
      <c r="B4101" t="str">
        <f>"1551685900211338"</f>
        <v>1551685900211338</v>
      </c>
      <c r="C4101" t="s">
        <v>40</v>
      </c>
      <c r="D4101">
        <v>5.6697810000000004</v>
      </c>
      <c r="E4101">
        <v>0.63409850000000001</v>
      </c>
      <c r="F4101" t="s">
        <v>84</v>
      </c>
      <c r="G4101">
        <v>-207.8963</v>
      </c>
      <c r="H4101" s="1">
        <v>-6.366525E-6</v>
      </c>
      <c r="I4101">
        <v>139.86410000000001</v>
      </c>
      <c r="J4101">
        <v>-189.70500000000001</v>
      </c>
      <c r="K4101">
        <v>1.1061529999999999</v>
      </c>
      <c r="L4101">
        <v>174.5727</v>
      </c>
      <c r="M4101">
        <v>-0.13172410000000001</v>
      </c>
      <c r="N4101">
        <v>-1.441101E-2</v>
      </c>
      <c r="O4101">
        <v>-0.99118170000000005</v>
      </c>
      <c r="P4101">
        <v>-0.13244529999999999</v>
      </c>
      <c r="Q4101">
        <v>0.19961960000000001</v>
      </c>
      <c r="R4101">
        <v>-0.97088140000000001</v>
      </c>
      <c r="S4101">
        <v>-1.5156860000000001</v>
      </c>
      <c r="T4101">
        <v>-9.1962580000000002E-2</v>
      </c>
      <c r="U4101">
        <v>-2.908096</v>
      </c>
      <c r="V4101">
        <v>5.7858509999999998E-3</v>
      </c>
      <c r="W4101">
        <v>0.21366840000000001</v>
      </c>
      <c r="X4101">
        <v>0.97688909999999995</v>
      </c>
      <c r="Y4101">
        <v>0.34118939999999998</v>
      </c>
      <c r="Z4101">
        <v>1.448851E-2</v>
      </c>
      <c r="AA4101">
        <v>0.93988289999999997</v>
      </c>
      <c r="AB4101">
        <v>28</v>
      </c>
      <c r="AC4101">
        <v>-18.191299999999899</v>
      </c>
      <c r="AD4101">
        <v>-1.106159366525</v>
      </c>
      <c r="AE4101">
        <v>-34.708599999999898</v>
      </c>
      <c r="AF4101">
        <v>13.4496050394783</v>
      </c>
      <c r="AG4101">
        <v>-1.106159366525</v>
      </c>
      <c r="AH4101">
        <v>36.773280770683101</v>
      </c>
      <c r="AI4101">
        <v>91.618192716588098</v>
      </c>
      <c r="AJ4101">
        <v>69.910312704008604</v>
      </c>
      <c r="AK4101">
        <v>39.171285949041902</v>
      </c>
      <c r="AL4101">
        <v>77.662582858498396</v>
      </c>
      <c r="AM4101">
        <v>89.660656499273102</v>
      </c>
      <c r="AN4101">
        <v>0.99999998746458196</v>
      </c>
    </row>
    <row r="4102" spans="1:40" x14ac:dyDescent="0.25">
      <c r="A4102" t="str">
        <f>"20190304155140236"</f>
        <v>20190304155140236</v>
      </c>
      <c r="B4102" t="str">
        <f>"1551685900230858"</f>
        <v>1551685900230858</v>
      </c>
      <c r="C4102" t="s">
        <v>40</v>
      </c>
      <c r="D4102">
        <v>5.7054780000000003</v>
      </c>
      <c r="E4102">
        <v>0.63241059999999905</v>
      </c>
      <c r="F4102" t="s">
        <v>84</v>
      </c>
      <c r="G4102">
        <v>-206.10759999999999</v>
      </c>
      <c r="H4102" s="1">
        <v>-8.0399699999999904E-6</v>
      </c>
      <c r="I4102">
        <v>143.1985</v>
      </c>
      <c r="J4102">
        <v>-189.74760000000001</v>
      </c>
      <c r="K4102">
        <v>1.1060779999999999</v>
      </c>
      <c r="L4102">
        <v>174.30009999999999</v>
      </c>
      <c r="M4102">
        <v>-0.1376096</v>
      </c>
      <c r="N4102">
        <v>-1.4416470000000001E-2</v>
      </c>
      <c r="O4102">
        <v>-0.99038170000000003</v>
      </c>
      <c r="P4102">
        <v>-0.136601799999999</v>
      </c>
      <c r="Q4102">
        <v>0.1976387</v>
      </c>
      <c r="R4102">
        <v>-0.97071079999999998</v>
      </c>
      <c r="S4102">
        <v>-1.5181880000000001</v>
      </c>
      <c r="T4102">
        <v>-0.1023834</v>
      </c>
      <c r="U4102">
        <v>-2.903915</v>
      </c>
      <c r="V4102">
        <v>4.1190559999999899E-3</v>
      </c>
      <c r="W4102">
        <v>0.21171709999999999</v>
      </c>
      <c r="X4102">
        <v>0.97732229999999998</v>
      </c>
      <c r="Y4102">
        <v>0.33676260000000002</v>
      </c>
      <c r="Z4102">
        <v>1.7746870000000001E-2</v>
      </c>
      <c r="AA4102">
        <v>0.94142230000000005</v>
      </c>
      <c r="AB4102">
        <v>28</v>
      </c>
      <c r="AC4102">
        <v>-16.3599999999999</v>
      </c>
      <c r="AD4102">
        <v>-1.1060860399700001</v>
      </c>
      <c r="AE4102">
        <v>-31.101599999999902</v>
      </c>
      <c r="AF4102">
        <v>11.9122032071951</v>
      </c>
      <c r="AG4102">
        <v>-1.1060860399700001</v>
      </c>
      <c r="AH4102">
        <v>33.024465413716598</v>
      </c>
      <c r="AI4102">
        <v>91.804561313151297</v>
      </c>
      <c r="AJ4102">
        <v>70.165198434895302</v>
      </c>
      <c r="AK4102">
        <v>35.124625655501099</v>
      </c>
      <c r="AL4102">
        <v>77.777002149917706</v>
      </c>
      <c r="AM4102">
        <v>89.758520677366107</v>
      </c>
      <c r="AN4102">
        <v>0.99999998756601505</v>
      </c>
    </row>
    <row r="4103" spans="1:40" x14ac:dyDescent="0.25">
      <c r="A4103" t="str">
        <f>"20190304155140259"</f>
        <v>20190304155140259</v>
      </c>
      <c r="B4103" t="str">
        <f>"1551685900251354"</f>
        <v>1551685900251354</v>
      </c>
      <c r="C4103" t="s">
        <v>40</v>
      </c>
      <c r="D4103">
        <v>5.885351</v>
      </c>
      <c r="E4103">
        <v>0.63100559999999895</v>
      </c>
      <c r="F4103" t="s">
        <v>84</v>
      </c>
      <c r="G4103">
        <v>-204.57300000000001</v>
      </c>
      <c r="H4103" s="1">
        <v>-9.433548E-6</v>
      </c>
      <c r="I4103">
        <v>145.9973</v>
      </c>
      <c r="J4103">
        <v>-189.79490000000001</v>
      </c>
      <c r="K4103">
        <v>1.1060030000000001</v>
      </c>
      <c r="L4103">
        <v>174.0102</v>
      </c>
      <c r="M4103">
        <v>-0.14397689999999999</v>
      </c>
      <c r="N4103">
        <v>-1.4422580000000001E-2</v>
      </c>
      <c r="O4103">
        <v>-0.98947600000000002</v>
      </c>
      <c r="P4103">
        <v>-0.14203460000000001</v>
      </c>
      <c r="Q4103">
        <v>0.1974466</v>
      </c>
      <c r="R4103">
        <v>-0.96996970000000005</v>
      </c>
      <c r="S4103">
        <v>-1.518967</v>
      </c>
      <c r="T4103">
        <v>-0.1133265</v>
      </c>
      <c r="U4103">
        <v>-2.899826</v>
      </c>
      <c r="V4103">
        <v>3.32993E-3</v>
      </c>
      <c r="W4103">
        <v>0.21154049999999999</v>
      </c>
      <c r="X4103">
        <v>0.9773636</v>
      </c>
      <c r="Y4103">
        <v>0.33140740000000002</v>
      </c>
      <c r="Z4103">
        <v>2.1174430000000001E-2</v>
      </c>
      <c r="AA4103">
        <v>0.94325009999999998</v>
      </c>
      <c r="AB4103">
        <v>28</v>
      </c>
      <c r="AC4103">
        <v>-14.778099999999901</v>
      </c>
      <c r="AD4103">
        <v>-1.1060124335479999</v>
      </c>
      <c r="AE4103">
        <v>-28.012899999999998</v>
      </c>
      <c r="AF4103">
        <v>10.5775667239668</v>
      </c>
      <c r="AG4103">
        <v>-1.1060124335479999</v>
      </c>
      <c r="AH4103">
        <v>29.812544828139199</v>
      </c>
      <c r="AI4103">
        <v>92.002441018201594</v>
      </c>
      <c r="AJ4103">
        <v>70.465185537409596</v>
      </c>
      <c r="AK4103">
        <v>31.652740962402401</v>
      </c>
      <c r="AL4103">
        <v>77.787355716266504</v>
      </c>
      <c r="AM4103">
        <v>89.804790973549004</v>
      </c>
      <c r="AN4103">
        <v>1.0000000390895001</v>
      </c>
    </row>
    <row r="4104" spans="1:40" x14ac:dyDescent="0.25">
      <c r="A4104" t="str">
        <f>"20190304155140281"</f>
        <v>20190304155140281</v>
      </c>
      <c r="B4104" t="str">
        <f>"1551685900270874"</f>
        <v>1551685900270874</v>
      </c>
      <c r="C4104" t="s">
        <v>40</v>
      </c>
      <c r="D4104">
        <v>5.868938</v>
      </c>
      <c r="E4104">
        <v>0.6299015</v>
      </c>
      <c r="F4104" t="s">
        <v>84</v>
      </c>
      <c r="G4104">
        <v>-203.74449999999999</v>
      </c>
      <c r="H4104" s="1">
        <v>-1.015923E-5</v>
      </c>
      <c r="I4104">
        <v>147.52260000000001</v>
      </c>
      <c r="J4104">
        <v>-189.84219999999999</v>
      </c>
      <c r="K4104">
        <v>1.1059380000000001</v>
      </c>
      <c r="L4104">
        <v>173.7321</v>
      </c>
      <c r="M4104">
        <v>-0.1501681</v>
      </c>
      <c r="N4104">
        <v>-1.4428069999999999E-2</v>
      </c>
      <c r="O4104">
        <v>-0.98855530000000003</v>
      </c>
      <c r="P4104">
        <v>-0.14714859999999999</v>
      </c>
      <c r="Q4104">
        <v>0.19709560000000001</v>
      </c>
      <c r="R4104">
        <v>-0.96927850000000004</v>
      </c>
      <c r="S4104">
        <v>-1.5242610000000001</v>
      </c>
      <c r="T4104">
        <v>-0.1208533</v>
      </c>
      <c r="U4104">
        <v>-2.8942869999999998</v>
      </c>
      <c r="V4104">
        <v>2.3774899999999999E-3</v>
      </c>
      <c r="W4104">
        <v>0.2112067</v>
      </c>
      <c r="X4104">
        <v>0.97743849999999999</v>
      </c>
      <c r="Y4104">
        <v>0.32756390000000002</v>
      </c>
      <c r="Z4104">
        <v>2.3542710000000001E-2</v>
      </c>
      <c r="AA4104">
        <v>0.94453569999999998</v>
      </c>
      <c r="AB4104">
        <v>28</v>
      </c>
      <c r="AC4104">
        <v>-13.902299999999901</v>
      </c>
      <c r="AD4104">
        <v>-1.10594815922999</v>
      </c>
      <c r="AE4104">
        <v>-26.209499999999899</v>
      </c>
      <c r="AF4104">
        <v>9.79477088210181</v>
      </c>
      <c r="AG4104">
        <v>-1.10594815922999</v>
      </c>
      <c r="AH4104">
        <v>27.961279399827301</v>
      </c>
      <c r="AI4104">
        <v>92.137791113344093</v>
      </c>
      <c r="AJ4104">
        <v>70.694761477211003</v>
      </c>
      <c r="AK4104">
        <v>29.647829661528</v>
      </c>
      <c r="AL4104">
        <v>77.806922335219596</v>
      </c>
      <c r="AM4104">
        <v>89.860635861805505</v>
      </c>
      <c r="AN4104">
        <v>0.99999997193291901</v>
      </c>
    </row>
    <row r="4105" spans="1:40" x14ac:dyDescent="0.25">
      <c r="A4105" t="str">
        <f>"20190304155140303"</f>
        <v>20190304155140303</v>
      </c>
      <c r="B4105" t="str">
        <f>"1551685900301130"</f>
        <v>1551685900301130</v>
      </c>
      <c r="C4105" t="s">
        <v>40</v>
      </c>
      <c r="D4105">
        <v>5.9864519999999999</v>
      </c>
      <c r="E4105">
        <v>0.62858319999999901</v>
      </c>
      <c r="F4105" t="s">
        <v>84</v>
      </c>
      <c r="G4105">
        <v>-202.2628</v>
      </c>
      <c r="H4105">
        <v>7.9984990000000006E-2</v>
      </c>
      <c r="I4105">
        <v>150.30410000000001</v>
      </c>
      <c r="J4105">
        <v>-189.89</v>
      </c>
      <c r="K4105">
        <v>1.105896</v>
      </c>
      <c r="L4105">
        <v>173.46129999999999</v>
      </c>
      <c r="M4105">
        <v>-0.156242299999999</v>
      </c>
      <c r="N4105">
        <v>-1.4431960000000001E-2</v>
      </c>
      <c r="O4105">
        <v>-0.98761350000000003</v>
      </c>
      <c r="P4105">
        <v>-0.15230160000000001</v>
      </c>
      <c r="Q4105">
        <v>0.19693849999999999</v>
      </c>
      <c r="R4105">
        <v>-0.9685144</v>
      </c>
      <c r="S4105">
        <v>-1.5312809999999999</v>
      </c>
      <c r="T4105">
        <v>-0.12648480000000001</v>
      </c>
      <c r="U4105">
        <v>-2.8883209999999999</v>
      </c>
      <c r="V4105">
        <v>1.576615E-3</v>
      </c>
      <c r="W4105">
        <v>0.21106320000000001</v>
      </c>
      <c r="X4105">
        <v>0.97747119999999998</v>
      </c>
      <c r="Y4105">
        <v>0.32432860000000002</v>
      </c>
      <c r="Z4105">
        <v>2.532245E-2</v>
      </c>
      <c r="AA4105">
        <v>0.94560549999999999</v>
      </c>
      <c r="AB4105">
        <v>28</v>
      </c>
      <c r="AC4105">
        <v>-12.3728</v>
      </c>
      <c r="AD4105">
        <v>-1.02591101</v>
      </c>
      <c r="AE4105">
        <v>-23.1571999999999</v>
      </c>
      <c r="AF4105">
        <v>8.5891904086596398</v>
      </c>
      <c r="AG4105">
        <v>-1.02591101</v>
      </c>
      <c r="AH4105">
        <v>24.768280603936201</v>
      </c>
      <c r="AI4105">
        <v>92.241072706553197</v>
      </c>
      <c r="AJ4105">
        <v>70.874381893116606</v>
      </c>
      <c r="AK4105">
        <v>26.235365622608899</v>
      </c>
      <c r="AL4105">
        <v>77.815334911198406</v>
      </c>
      <c r="AM4105">
        <v>89.907584686812697</v>
      </c>
      <c r="AN4105">
        <v>1.0000000534692599</v>
      </c>
    </row>
    <row r="4106" spans="1:40" x14ac:dyDescent="0.25">
      <c r="A4106" t="str">
        <f>"20190304155140314"</f>
        <v>20190304155140314</v>
      </c>
      <c r="B4106" t="str">
        <f>"1551685900310890"</f>
        <v>1551685900310890</v>
      </c>
      <c r="C4106" t="s">
        <v>40</v>
      </c>
      <c r="D4106">
        <v>6.2855150000000002</v>
      </c>
      <c r="E4106">
        <v>0.6289169</v>
      </c>
      <c r="F4106" t="s">
        <v>84</v>
      </c>
      <c r="G4106">
        <v>-202.36959999999999</v>
      </c>
      <c r="H4106">
        <v>7.9984929999999996E-2</v>
      </c>
      <c r="I4106">
        <v>150.0848</v>
      </c>
      <c r="J4106">
        <v>-189.91589999999999</v>
      </c>
      <c r="K4106">
        <v>1.1058889999999999</v>
      </c>
      <c r="L4106">
        <v>173.3186</v>
      </c>
      <c r="M4106">
        <v>-0.15945309999999999</v>
      </c>
      <c r="N4106">
        <v>-1.4433100000000001E-2</v>
      </c>
      <c r="O4106">
        <v>-0.98710010000000004</v>
      </c>
      <c r="P4106">
        <v>-0.15515079999999901</v>
      </c>
      <c r="Q4106">
        <v>0.1964041</v>
      </c>
      <c r="R4106">
        <v>-0.96817030000000004</v>
      </c>
      <c r="S4106">
        <v>-1.5382229999999999</v>
      </c>
      <c r="T4106">
        <v>-0.1264527</v>
      </c>
      <c r="U4106">
        <v>-2.8813629999999999</v>
      </c>
      <c r="V4106">
        <v>1.253992E-3</v>
      </c>
      <c r="W4106">
        <v>0.21053549999999999</v>
      </c>
      <c r="X4106">
        <v>0.97758540000000005</v>
      </c>
      <c r="Y4106">
        <v>0.32397160000000003</v>
      </c>
      <c r="Z4106">
        <v>2.5360299999999999E-2</v>
      </c>
      <c r="AA4106">
        <v>0.94572690000000004</v>
      </c>
      <c r="AB4106">
        <v>28</v>
      </c>
      <c r="AC4106">
        <v>-12.4536999999999</v>
      </c>
      <c r="AD4106">
        <v>-1.0259040699999999</v>
      </c>
      <c r="AE4106">
        <v>-23.233799999999999</v>
      </c>
      <c r="AF4106">
        <v>8.5762515322874204</v>
      </c>
      <c r="AG4106">
        <v>-1.0259040699999999</v>
      </c>
      <c r="AH4106">
        <v>24.884771045288801</v>
      </c>
      <c r="AI4106">
        <v>92.232052681870698</v>
      </c>
      <c r="AJ4106">
        <v>70.984074244633504</v>
      </c>
      <c r="AK4106">
        <v>26.341154103082602</v>
      </c>
      <c r="AL4106">
        <v>77.846264148614594</v>
      </c>
      <c r="AM4106">
        <v>89.926504211564506</v>
      </c>
      <c r="AN4106">
        <v>0.99999999177467302</v>
      </c>
    </row>
    <row r="4107" spans="1:40" x14ac:dyDescent="0.25">
      <c r="A4107" t="str">
        <f>"20190304155140327"</f>
        <v>20190304155140327</v>
      </c>
      <c r="B4107" t="str">
        <f>"1551685900320650"</f>
        <v>1551685900320650</v>
      </c>
      <c r="C4107" t="s">
        <v>40</v>
      </c>
      <c r="D4107">
        <v>5.7882989999999896</v>
      </c>
      <c r="E4107">
        <v>0.62797230000000004</v>
      </c>
      <c r="F4107" t="s">
        <v>84</v>
      </c>
      <c r="G4107">
        <v>-202.25120000000001</v>
      </c>
      <c r="H4107">
        <v>7.9984990000000006E-2</v>
      </c>
      <c r="I4107">
        <v>150.43600000000001</v>
      </c>
      <c r="J4107">
        <v>-189.9452</v>
      </c>
      <c r="K4107">
        <v>1.1058840000000001</v>
      </c>
      <c r="L4107">
        <v>173.15979999999999</v>
      </c>
      <c r="M4107">
        <v>-0.16302510000000001</v>
      </c>
      <c r="N4107">
        <v>-1.4433929999999999E-2</v>
      </c>
      <c r="O4107">
        <v>-0.98651650000000002</v>
      </c>
      <c r="P4107">
        <v>-0.15822149999999999</v>
      </c>
      <c r="Q4107">
        <v>0.1960046</v>
      </c>
      <c r="R4107">
        <v>-0.96775449999999996</v>
      </c>
      <c r="S4107">
        <v>-1.550522</v>
      </c>
      <c r="T4107">
        <v>-0.12895409999999999</v>
      </c>
      <c r="U4107">
        <v>-2.8762970000000001</v>
      </c>
      <c r="V4107">
        <v>7.9949990000000005E-4</v>
      </c>
      <c r="W4107">
        <v>0.210143</v>
      </c>
      <c r="X4107">
        <v>0.97767029999999999</v>
      </c>
      <c r="Y4107">
        <v>0.32436659999999901</v>
      </c>
      <c r="Z4107">
        <v>2.613731E-2</v>
      </c>
      <c r="AA4107">
        <v>0.94557029999999997</v>
      </c>
      <c r="AB4107">
        <v>28</v>
      </c>
      <c r="AC4107">
        <v>-12.305999999999999</v>
      </c>
      <c r="AD4107">
        <v>-1.0258990100000001</v>
      </c>
      <c r="AE4107">
        <v>-22.723799999999901</v>
      </c>
      <c r="AF4107">
        <v>8.4231248904566396</v>
      </c>
      <c r="AG4107">
        <v>-1.0258990100000001</v>
      </c>
      <c r="AH4107">
        <v>24.387696029133199</v>
      </c>
      <c r="AI4107">
        <v>92.276965222399696</v>
      </c>
      <c r="AJ4107">
        <v>70.945896336338194</v>
      </c>
      <c r="AK4107">
        <v>25.821719913831199</v>
      </c>
      <c r="AL4107">
        <v>77.869267061747806</v>
      </c>
      <c r="AM4107">
        <v>89.953145799989898</v>
      </c>
      <c r="AN4107">
        <v>0.99999996757558895</v>
      </c>
    </row>
    <row r="4108" spans="1:40" x14ac:dyDescent="0.25">
      <c r="A4108" t="str">
        <f>"20190304155140340"</f>
        <v>20190304155140340</v>
      </c>
      <c r="B4108" t="str">
        <f>"1551685900331386"</f>
        <v>1551685900331386</v>
      </c>
      <c r="C4108" t="s">
        <v>40</v>
      </c>
      <c r="D4108">
        <v>5.2663489999999999</v>
      </c>
      <c r="E4108">
        <v>0.62728709999999999</v>
      </c>
      <c r="F4108" t="s">
        <v>84</v>
      </c>
      <c r="G4108">
        <v>-202.0369</v>
      </c>
      <c r="H4108">
        <v>7.9984920000000001E-2</v>
      </c>
      <c r="I4108">
        <v>150.78649999999999</v>
      </c>
      <c r="J4108">
        <v>-189.9751</v>
      </c>
      <c r="K4108">
        <v>1.105896</v>
      </c>
      <c r="L4108">
        <v>173.00229999999999</v>
      </c>
      <c r="M4108">
        <v>-0.16655020000000001</v>
      </c>
      <c r="N4108">
        <v>-1.443324E-2</v>
      </c>
      <c r="O4108">
        <v>-0.98592760000000002</v>
      </c>
      <c r="P4108">
        <v>-0.16148870000000001</v>
      </c>
      <c r="Q4108">
        <v>0.1957035</v>
      </c>
      <c r="R4108">
        <v>-0.96727569999999996</v>
      </c>
      <c r="S4108">
        <v>-1.5526279999999999</v>
      </c>
      <c r="T4108">
        <v>-0.1317296</v>
      </c>
      <c r="U4108">
        <v>-2.8728180000000001</v>
      </c>
      <c r="V4108">
        <v>5.8446680000000001E-4</v>
      </c>
      <c r="W4108">
        <v>0.2098447</v>
      </c>
      <c r="X4108">
        <v>0.97773460000000001</v>
      </c>
      <c r="Y4108">
        <v>0.32198719999999997</v>
      </c>
      <c r="Z4108">
        <v>2.7028400000000001E-2</v>
      </c>
      <c r="AA4108">
        <v>0.94635809999999998</v>
      </c>
      <c r="AB4108">
        <v>28</v>
      </c>
      <c r="AC4108">
        <v>-12.0618</v>
      </c>
      <c r="AD4108">
        <v>-1.02591108</v>
      </c>
      <c r="AE4108">
        <v>-22.215800000000002</v>
      </c>
      <c r="AF4108">
        <v>8.1793952372151608</v>
      </c>
      <c r="AG4108">
        <v>-1.02591108</v>
      </c>
      <c r="AH4108">
        <v>23.875227420569701</v>
      </c>
      <c r="AI4108">
        <v>92.327811442503204</v>
      </c>
      <c r="AJ4108">
        <v>71.089093512167807</v>
      </c>
      <c r="AK4108">
        <v>25.258295357655602</v>
      </c>
      <c r="AL4108">
        <v>77.886749113233193</v>
      </c>
      <c r="AM4108">
        <v>89.965749931610503</v>
      </c>
      <c r="AN4108">
        <v>1.0000000438783401</v>
      </c>
    </row>
    <row r="4109" spans="1:40" x14ac:dyDescent="0.25">
      <c r="A4109" t="str">
        <f>"20190304155140353"</f>
        <v>20190304155140353</v>
      </c>
      <c r="B4109" t="str">
        <f>"1551685900350906"</f>
        <v>1551685900350906</v>
      </c>
      <c r="C4109" t="s">
        <v>40</v>
      </c>
      <c r="D4109">
        <v>5.7506000000000004</v>
      </c>
      <c r="E4109">
        <v>0.62609389999999998</v>
      </c>
      <c r="F4109" t="s">
        <v>84</v>
      </c>
      <c r="G4109">
        <v>-201.8689</v>
      </c>
      <c r="H4109">
        <v>7.9984799999999995E-2</v>
      </c>
      <c r="I4109">
        <v>151.09630000000001</v>
      </c>
      <c r="J4109">
        <v>-190.0067</v>
      </c>
      <c r="K4109">
        <v>1.1059219999999901</v>
      </c>
      <c r="L4109">
        <v>172.83779999999999</v>
      </c>
      <c r="M4109">
        <v>-0.17020339999999901</v>
      </c>
      <c r="N4109">
        <v>-1.4431650000000001E-2</v>
      </c>
      <c r="O4109">
        <v>-0.9853035</v>
      </c>
      <c r="P4109">
        <v>-0.16490189999999999</v>
      </c>
      <c r="Q4109">
        <v>0.19527520000000001</v>
      </c>
      <c r="R4109">
        <v>-0.96678620000000004</v>
      </c>
      <c r="S4109">
        <v>-1.557526</v>
      </c>
      <c r="T4109">
        <v>-0.13434599999999999</v>
      </c>
      <c r="U4109">
        <v>-2.868652</v>
      </c>
      <c r="V4109">
        <v>3.7703660000000001E-4</v>
      </c>
      <c r="W4109">
        <v>0.20941850000000001</v>
      </c>
      <c r="X4109">
        <v>0.97782610000000003</v>
      </c>
      <c r="Y4109">
        <v>0.32028909999999899</v>
      </c>
      <c r="Z4109">
        <v>2.7865600000000001E-2</v>
      </c>
      <c r="AA4109">
        <v>0.94690989999999997</v>
      </c>
      <c r="AB4109">
        <v>28</v>
      </c>
      <c r="AC4109">
        <v>-11.8622</v>
      </c>
      <c r="AD4109">
        <v>-1.02593719999999</v>
      </c>
      <c r="AE4109">
        <v>-21.741499999999899</v>
      </c>
      <c r="AF4109">
        <v>7.974536450505</v>
      </c>
      <c r="AG4109">
        <v>-1.02593719999999</v>
      </c>
      <c r="AH4109">
        <v>23.403241037766499</v>
      </c>
      <c r="AI4109">
        <v>92.376103710175599</v>
      </c>
      <c r="AJ4109">
        <v>71.183715239354299</v>
      </c>
      <c r="AK4109">
        <v>24.74585762932</v>
      </c>
      <c r="AL4109">
        <v>77.911723765563906</v>
      </c>
      <c r="AM4109">
        <v>89.977907518697407</v>
      </c>
      <c r="AN4109">
        <v>1.0000000660700199</v>
      </c>
    </row>
    <row r="4110" spans="1:40" x14ac:dyDescent="0.25">
      <c r="A4110" t="str">
        <f>"20190304155140371"</f>
        <v>20190304155140371</v>
      </c>
      <c r="B4110" t="str">
        <f>"1551685900360667"</f>
        <v>1551685900360667</v>
      </c>
      <c r="C4110" t="s">
        <v>40</v>
      </c>
      <c r="D4110">
        <v>6.1634779999999996</v>
      </c>
      <c r="E4110">
        <v>0.62610120000000002</v>
      </c>
      <c r="F4110" t="s">
        <v>84</v>
      </c>
      <c r="G4110">
        <v>-201.55269999999999</v>
      </c>
      <c r="H4110">
        <v>7.9984749999999993E-2</v>
      </c>
      <c r="I4110">
        <v>151.6071</v>
      </c>
      <c r="J4110">
        <v>-190.0513</v>
      </c>
      <c r="K4110">
        <v>1.10599</v>
      </c>
      <c r="L4110">
        <v>172.6114</v>
      </c>
      <c r="M4110">
        <v>-0.1751636</v>
      </c>
      <c r="N4110">
        <v>-1.4427260000000001E-2</v>
      </c>
      <c r="O4110">
        <v>-0.98443380000000003</v>
      </c>
      <c r="P4110">
        <v>-0.16892799999999999</v>
      </c>
      <c r="Q4110">
        <v>0.19543060000000001</v>
      </c>
      <c r="R4110">
        <v>-0.96605909999999995</v>
      </c>
      <c r="S4110">
        <v>-1.5582119999999999</v>
      </c>
      <c r="T4110">
        <v>-0.13845779999999999</v>
      </c>
      <c r="U4110">
        <v>-2.8652340000000001</v>
      </c>
      <c r="V4110">
        <v>-5.038423E-4</v>
      </c>
      <c r="W4110">
        <v>0.2095793</v>
      </c>
      <c r="X4110">
        <v>0.97779150000000004</v>
      </c>
      <c r="Y4110">
        <v>0.31614490000000001</v>
      </c>
      <c r="Z4110">
        <v>2.9178570000000001E-2</v>
      </c>
      <c r="AA4110">
        <v>0.9482621</v>
      </c>
      <c r="AB4110">
        <v>28</v>
      </c>
      <c r="AC4110">
        <v>-11.501399999999901</v>
      </c>
      <c r="AD4110">
        <v>-1.0260052500000001</v>
      </c>
      <c r="AE4110">
        <v>-21.004300000000001</v>
      </c>
      <c r="AF4110">
        <v>7.6299663019400903</v>
      </c>
      <c r="AG4110">
        <v>-1.0260052500000001</v>
      </c>
      <c r="AH4110">
        <v>22.652744737138299</v>
      </c>
      <c r="AI4110">
        <v>92.457817135120607</v>
      </c>
      <c r="AJ4110">
        <v>71.385289146989706</v>
      </c>
      <c r="AK4110">
        <v>23.925215080908099</v>
      </c>
      <c r="AL4110">
        <v>77.902300422670294</v>
      </c>
      <c r="AM4110">
        <v>90.029523712136097</v>
      </c>
      <c r="AN4110">
        <v>0.99999997715890099</v>
      </c>
    </row>
    <row r="4111" spans="1:40" x14ac:dyDescent="0.25">
      <c r="A4111" t="str">
        <f>"20190304155140394"</f>
        <v>20190304155140394</v>
      </c>
      <c r="B4111" t="str">
        <f>"1551685900390922"</f>
        <v>1551685900390922</v>
      </c>
      <c r="C4111" t="s">
        <v>40</v>
      </c>
      <c r="D4111">
        <v>7.0485829999999998</v>
      </c>
      <c r="E4111">
        <v>0.62622390000000006</v>
      </c>
      <c r="F4111" t="s">
        <v>84</v>
      </c>
      <c r="G4111">
        <v>-201.4366</v>
      </c>
      <c r="H4111">
        <v>7.9984760000000002E-2</v>
      </c>
      <c r="I4111">
        <v>151.87540000000001</v>
      </c>
      <c r="J4111">
        <v>-190.10830000000001</v>
      </c>
      <c r="K4111">
        <v>1.10612</v>
      </c>
      <c r="L4111">
        <v>172.32990000000001</v>
      </c>
      <c r="M4111">
        <v>-0.18117079999999999</v>
      </c>
      <c r="N4111">
        <v>-1.4417620000000001E-2</v>
      </c>
      <c r="O4111">
        <v>-0.98334600000000005</v>
      </c>
      <c r="P4111">
        <v>-0.17391619999999999</v>
      </c>
      <c r="Q4111">
        <v>0.19576270000000001</v>
      </c>
      <c r="R4111">
        <v>-0.96510609999999997</v>
      </c>
      <c r="S4111">
        <v>-1.5700379999999901</v>
      </c>
      <c r="T4111">
        <v>-0.14148579999999999</v>
      </c>
      <c r="U4111">
        <v>-2.8594819999999999</v>
      </c>
      <c r="V4111">
        <v>-1.474461E-3</v>
      </c>
      <c r="W4111">
        <v>0.20991090000000001</v>
      </c>
      <c r="X4111">
        <v>0.97771940000000002</v>
      </c>
      <c r="Y4111">
        <v>0.3141562</v>
      </c>
      <c r="Z4111">
        <v>3.0131390000000001E-2</v>
      </c>
      <c r="AA4111">
        <v>0.94889299999999999</v>
      </c>
      <c r="AB4111">
        <v>28</v>
      </c>
      <c r="AC4111">
        <v>-11.328299999999899</v>
      </c>
      <c r="AD4111">
        <v>-1.0261352399999999</v>
      </c>
      <c r="AE4111">
        <v>-20.454499999999999</v>
      </c>
      <c r="AF4111">
        <v>7.4203615101010003</v>
      </c>
      <c r="AG4111">
        <v>-1.0261352399999999</v>
      </c>
      <c r="AH4111">
        <v>22.125897662766999</v>
      </c>
      <c r="AI4111">
        <v>92.5176881846822</v>
      </c>
      <c r="AJ4111">
        <v>71.460094097326504</v>
      </c>
      <c r="AK4111">
        <v>23.359581885269201</v>
      </c>
      <c r="AL4111">
        <v>77.882869098389506</v>
      </c>
      <c r="AM4111">
        <v>90.086405494575999</v>
      </c>
      <c r="AN4111">
        <v>0.999999992555205</v>
      </c>
    </row>
    <row r="4112" spans="1:40" x14ac:dyDescent="0.25">
      <c r="A4112" t="str">
        <f>"20190304155140416"</f>
        <v>20190304155140416</v>
      </c>
      <c r="B4112" t="str">
        <f>"1551685900411418"</f>
        <v>1551685900411418</v>
      </c>
      <c r="C4112" t="s">
        <v>40</v>
      </c>
      <c r="D4112">
        <v>6.0242579999999997</v>
      </c>
      <c r="E4112">
        <v>0.59790069999999995</v>
      </c>
      <c r="F4112" t="s">
        <v>84</v>
      </c>
      <c r="G4112">
        <v>-201.38409999999999</v>
      </c>
      <c r="H4112">
        <v>7.9984769999999997E-2</v>
      </c>
      <c r="I4112">
        <v>152.04900000000001</v>
      </c>
      <c r="J4112">
        <v>-190.16390000000001</v>
      </c>
      <c r="K4112">
        <v>1.106279</v>
      </c>
      <c r="L4112">
        <v>172.06190000000001</v>
      </c>
      <c r="M4112">
        <v>-0.18668989999999999</v>
      </c>
      <c r="N4112">
        <v>-1.440551E-2</v>
      </c>
      <c r="O4112">
        <v>-0.98231349999999995</v>
      </c>
      <c r="P4112">
        <v>-0.17821400000000001</v>
      </c>
      <c r="Q4112">
        <v>0.1959215</v>
      </c>
      <c r="R4112">
        <v>-0.96428999999999998</v>
      </c>
      <c r="S4112">
        <v>-1.5856629999999901</v>
      </c>
      <c r="T4112">
        <v>-0.1442996</v>
      </c>
      <c r="U4112">
        <v>-2.8519899999999998</v>
      </c>
      <c r="V4112">
        <v>-2.6855889999999999E-3</v>
      </c>
      <c r="W4112">
        <v>0.21006839999999999</v>
      </c>
      <c r="X4112">
        <v>0.97768299999999997</v>
      </c>
      <c r="Y4112">
        <v>0.31384190000000001</v>
      </c>
      <c r="Z4112">
        <v>3.1020280000000001E-2</v>
      </c>
      <c r="AA4112">
        <v>0.94896840000000005</v>
      </c>
      <c r="AB4112">
        <v>28</v>
      </c>
      <c r="AC4112">
        <v>-11.220199999999901</v>
      </c>
      <c r="AD4112">
        <v>-1.02629423</v>
      </c>
      <c r="AE4112">
        <v>-20.012899999999998</v>
      </c>
      <c r="AF4112">
        <v>7.2717521727908903</v>
      </c>
      <c r="AG4112">
        <v>-1.02629423</v>
      </c>
      <c r="AH4112">
        <v>21.712448519685399</v>
      </c>
      <c r="AI4112">
        <v>92.566317479058796</v>
      </c>
      <c r="AJ4112">
        <v>71.483701448227507</v>
      </c>
      <c r="AK4112">
        <v>22.920778351290998</v>
      </c>
      <c r="AL4112">
        <v>77.873639272042595</v>
      </c>
      <c r="AM4112">
        <v>90.1573848867137</v>
      </c>
      <c r="AN4112">
        <v>0.99999999677791795</v>
      </c>
    </row>
    <row r="4113" spans="1:40" x14ac:dyDescent="0.25">
      <c r="A4113" t="str">
        <f>"20190304155140437"</f>
        <v>20190304155140437</v>
      </c>
      <c r="B4113" t="str">
        <f>"1551685900430938"</f>
        <v>1551685900430938</v>
      </c>
      <c r="C4113" t="s">
        <v>40</v>
      </c>
      <c r="D4113">
        <v>5.7730959999999998</v>
      </c>
      <c r="E4113">
        <v>0.59684429999999999</v>
      </c>
      <c r="F4113" t="s">
        <v>84</v>
      </c>
      <c r="G4113">
        <v>-197.3766</v>
      </c>
      <c r="H4113" s="1">
        <v>-1.4300399999999999E-5</v>
      </c>
      <c r="I4113">
        <v>156.92529999999999</v>
      </c>
      <c r="J4113">
        <v>-190.22</v>
      </c>
      <c r="K4113">
        <v>1.1064639999999999</v>
      </c>
      <c r="L4113">
        <v>171.798</v>
      </c>
      <c r="M4113">
        <v>-0.1918656</v>
      </c>
      <c r="N4113">
        <v>-1.4390969999999999E-2</v>
      </c>
      <c r="O4113">
        <v>-0.98131570000000001</v>
      </c>
      <c r="P4113">
        <v>-0.18333859999999999</v>
      </c>
      <c r="Q4113">
        <v>0.19415740000000001</v>
      </c>
      <c r="R4113">
        <v>-0.96368560000000003</v>
      </c>
      <c r="S4113">
        <v>-1.3813169999999999</v>
      </c>
      <c r="T4113">
        <v>-0.21186949999999999</v>
      </c>
      <c r="U4113">
        <v>-2.8988489999999998</v>
      </c>
      <c r="V4113">
        <v>-2.8279429999999999E-3</v>
      </c>
      <c r="W4113">
        <v>0.2082947</v>
      </c>
      <c r="X4113">
        <v>0.97806199999999999</v>
      </c>
      <c r="Y4113">
        <v>0.24821180000000001</v>
      </c>
      <c r="Z4113">
        <v>5.245814E-2</v>
      </c>
      <c r="AA4113">
        <v>0.96728440000000004</v>
      </c>
      <c r="AB4113">
        <v>28</v>
      </c>
      <c r="AC4113">
        <v>-7.1565999999999903</v>
      </c>
      <c r="AD4113">
        <v>-1.1064783003999901</v>
      </c>
      <c r="AE4113">
        <v>-14.8727</v>
      </c>
      <c r="AF4113">
        <v>4.1511001693829002</v>
      </c>
      <c r="AG4113">
        <v>-1.1064783003999901</v>
      </c>
      <c r="AH4113">
        <v>15.898123041001799</v>
      </c>
      <c r="AI4113">
        <v>93.852503014504094</v>
      </c>
      <c r="AJ4113">
        <v>75.366426803225096</v>
      </c>
      <c r="AK4113">
        <v>16.468340628986901</v>
      </c>
      <c r="AL4113">
        <v>77.977563722347298</v>
      </c>
      <c r="AM4113">
        <v>90.165663063366196</v>
      </c>
      <c r="AN4113">
        <v>0.99999997757685</v>
      </c>
    </row>
    <row r="4114" spans="1:40" x14ac:dyDescent="0.25">
      <c r="A4114" t="str">
        <f>"20190304155140461"</f>
        <v>20190304155140461</v>
      </c>
      <c r="B4114" t="str">
        <f>"1551685900451434"</f>
        <v>1551685900451434</v>
      </c>
      <c r="C4114" t="s">
        <v>40</v>
      </c>
      <c r="D4114">
        <v>5.7525309999999896</v>
      </c>
      <c r="E4114">
        <v>0.59570040000000002</v>
      </c>
      <c r="F4114" t="s">
        <v>84</v>
      </c>
      <c r="G4114">
        <v>-196.89879999999999</v>
      </c>
      <c r="H4114" s="1">
        <v>-1.453513E-5</v>
      </c>
      <c r="I4114">
        <v>157.85820000000001</v>
      </c>
      <c r="J4114">
        <v>-190.2817</v>
      </c>
      <c r="K4114">
        <v>1.1067180000000001</v>
      </c>
      <c r="L4114">
        <v>171.51349999999999</v>
      </c>
      <c r="M4114">
        <v>-0.19706750000000001</v>
      </c>
      <c r="N4114">
        <v>-1.437158E-2</v>
      </c>
      <c r="O4114">
        <v>-0.98028470000000001</v>
      </c>
      <c r="P4114">
        <v>-0.189522</v>
      </c>
      <c r="Q4114">
        <v>0.1908955</v>
      </c>
      <c r="R4114">
        <v>-0.96314100000000002</v>
      </c>
      <c r="S4114">
        <v>-1.3872530000000001</v>
      </c>
      <c r="T4114">
        <v>-0.22982759999999999</v>
      </c>
      <c r="U4114">
        <v>-2.8954469999999999</v>
      </c>
      <c r="V4114">
        <v>-2.028144E-3</v>
      </c>
      <c r="W4114">
        <v>0.20501249999999999</v>
      </c>
      <c r="X4114">
        <v>0.97875730000000005</v>
      </c>
      <c r="Y4114">
        <v>0.2449858</v>
      </c>
      <c r="Z4114">
        <v>5.8047059999999998E-2</v>
      </c>
      <c r="AA4114">
        <v>0.96778739999999996</v>
      </c>
      <c r="AB4114">
        <v>28</v>
      </c>
      <c r="AC4114">
        <v>-6.61709999999999</v>
      </c>
      <c r="AD4114">
        <v>-1.1067325351299999</v>
      </c>
      <c r="AE4114">
        <v>-13.655299999999899</v>
      </c>
      <c r="AF4114">
        <v>3.7759311757462801</v>
      </c>
      <c r="AG4114">
        <v>-1.1067325351299999</v>
      </c>
      <c r="AH4114">
        <v>14.613872518731901</v>
      </c>
      <c r="AI4114">
        <v>94.193629870597405</v>
      </c>
      <c r="AJ4114">
        <v>75.512764371915907</v>
      </c>
      <c r="AK4114">
        <v>15.1343246675243</v>
      </c>
      <c r="AL4114">
        <v>78.169769757451704</v>
      </c>
      <c r="AM4114">
        <v>90.118725985618596</v>
      </c>
      <c r="AN4114">
        <v>1.00000004541381</v>
      </c>
    </row>
    <row r="4115" spans="1:40" x14ac:dyDescent="0.25">
      <c r="A4115" t="str">
        <f>"20190304155140472"</f>
        <v>20190304155140472</v>
      </c>
      <c r="B4115" t="str">
        <f>"1551685900461195"</f>
        <v>1551685900461195</v>
      </c>
      <c r="C4115" t="s">
        <v>40</v>
      </c>
      <c r="D4115">
        <v>5.7177470000000001</v>
      </c>
      <c r="E4115">
        <v>0.59649589999999997</v>
      </c>
      <c r="F4115" t="s">
        <v>84</v>
      </c>
      <c r="G4115">
        <v>-196.7422</v>
      </c>
      <c r="H4115" s="1">
        <v>-1.46002799999999E-5</v>
      </c>
      <c r="I4115">
        <v>158.1172</v>
      </c>
      <c r="J4115">
        <v>-190.31450000000001</v>
      </c>
      <c r="K4115">
        <v>1.1068709999999999</v>
      </c>
      <c r="L4115">
        <v>171.36429999999999</v>
      </c>
      <c r="M4115">
        <v>-0.19961909999999999</v>
      </c>
      <c r="N4115">
        <v>-1.435989E-2</v>
      </c>
      <c r="O4115">
        <v>-0.97976850000000004</v>
      </c>
      <c r="P4115">
        <v>-0.19268850000000001</v>
      </c>
      <c r="Q4115">
        <v>0.1895191</v>
      </c>
      <c r="R4115">
        <v>-0.96278470000000005</v>
      </c>
      <c r="S4115">
        <v>-1.392776</v>
      </c>
      <c r="T4115">
        <v>-0.23859359999999999</v>
      </c>
      <c r="U4115">
        <v>-2.8880460000000001</v>
      </c>
      <c r="V4115">
        <v>-1.5044769999999999E-3</v>
      </c>
      <c r="W4115">
        <v>0.203622</v>
      </c>
      <c r="X4115">
        <v>0.97904840000000004</v>
      </c>
      <c r="Y4115">
        <v>0.24485180000000001</v>
      </c>
      <c r="Z4115">
        <v>6.0878219999999997E-2</v>
      </c>
      <c r="AA4115">
        <v>0.96764740000000005</v>
      </c>
      <c r="AB4115">
        <v>28</v>
      </c>
      <c r="AC4115">
        <v>-6.4276999999999802</v>
      </c>
      <c r="AD4115">
        <v>-1.10688560028</v>
      </c>
      <c r="AE4115">
        <v>-13.2470999999999</v>
      </c>
      <c r="AF4115">
        <v>3.6331282718178901</v>
      </c>
      <c r="AG4115">
        <v>-1.10688560028</v>
      </c>
      <c r="AH4115">
        <v>14.1834970803448</v>
      </c>
      <c r="AI4115">
        <v>94.323314281176295</v>
      </c>
      <c r="AJ4115">
        <v>75.632501330542595</v>
      </c>
      <c r="AK4115">
        <v>14.683201496939899</v>
      </c>
      <c r="AL4115">
        <v>78.251155588700499</v>
      </c>
      <c r="AM4115">
        <v>90.0880447939291</v>
      </c>
      <c r="AN4115">
        <v>0.99999997593880097</v>
      </c>
    </row>
    <row r="4116" spans="1:40" x14ac:dyDescent="0.25">
      <c r="A4116" t="str">
        <f>"20190304155140485"</f>
        <v>20190304155140485</v>
      </c>
      <c r="B4116" t="str">
        <f>"1551685900480715"</f>
        <v>1551685900480715</v>
      </c>
      <c r="C4116" t="s">
        <v>40</v>
      </c>
      <c r="D4116">
        <v>5.7395209999999999</v>
      </c>
      <c r="E4116">
        <v>0.59988549999999996</v>
      </c>
      <c r="F4116" t="s">
        <v>84</v>
      </c>
      <c r="G4116">
        <v>-196.73699999999999</v>
      </c>
      <c r="H4116" s="1">
        <v>-1.462358E-5</v>
      </c>
      <c r="I4116">
        <v>158.2097</v>
      </c>
      <c r="J4116">
        <v>-190.3501</v>
      </c>
      <c r="K4116">
        <v>1.1070599999999999</v>
      </c>
      <c r="L4116">
        <v>171.20400000000001</v>
      </c>
      <c r="M4116">
        <v>-0.2022214</v>
      </c>
      <c r="N4116">
        <v>-1.4346380000000001E-2</v>
      </c>
      <c r="O4116">
        <v>-0.97923490000000002</v>
      </c>
      <c r="P4116">
        <v>-0.19608400000000001</v>
      </c>
      <c r="Q4116">
        <v>0.18815570000000001</v>
      </c>
      <c r="R4116">
        <v>-0.96236630000000001</v>
      </c>
      <c r="S4116">
        <v>-1.407135</v>
      </c>
      <c r="T4116">
        <v>-0.2425129</v>
      </c>
      <c r="U4116">
        <v>-2.8820950000000001</v>
      </c>
      <c r="V4116">
        <v>-8.1191330000000004E-4</v>
      </c>
      <c r="W4116">
        <v>0.20224130000000001</v>
      </c>
      <c r="X4116">
        <v>0.97933539999999997</v>
      </c>
      <c r="Y4116">
        <v>0.2469209</v>
      </c>
      <c r="Z4116">
        <v>6.2105090000000002E-2</v>
      </c>
      <c r="AA4116">
        <v>0.96704349999999994</v>
      </c>
      <c r="AB4116">
        <v>28</v>
      </c>
      <c r="AC4116">
        <v>-6.38689999999999</v>
      </c>
      <c r="AD4116">
        <v>-1.10707462358</v>
      </c>
      <c r="AE4116">
        <v>-12.994300000000001</v>
      </c>
      <c r="AF4116">
        <v>3.6058422293301202</v>
      </c>
      <c r="AG4116">
        <v>-1.10707462358</v>
      </c>
      <c r="AH4116">
        <v>13.9360082715398</v>
      </c>
      <c r="AI4116">
        <v>94.397800052561493</v>
      </c>
      <c r="AJ4116">
        <v>75.493273985356595</v>
      </c>
      <c r="AK4116">
        <v>14.4374526475214</v>
      </c>
      <c r="AL4116">
        <v>78.331945323370604</v>
      </c>
      <c r="AM4116">
        <v>90.047500779367994</v>
      </c>
      <c r="AN4116">
        <v>1.0000000141610199</v>
      </c>
    </row>
    <row r="4117" spans="1:40" x14ac:dyDescent="0.25">
      <c r="A4117" t="str">
        <f>"20190304155140497"</f>
        <v>20190304155140497</v>
      </c>
      <c r="B4117" t="str">
        <f>"1551685900490474"</f>
        <v>1551685900490474</v>
      </c>
      <c r="C4117" t="s">
        <v>40</v>
      </c>
      <c r="D4117">
        <v>5.7241239999999998</v>
      </c>
      <c r="E4117">
        <v>0.60007480000000002</v>
      </c>
      <c r="F4117" t="s">
        <v>84</v>
      </c>
      <c r="G4117">
        <v>-197.011</v>
      </c>
      <c r="H4117" s="1">
        <v>-1.455637E-5</v>
      </c>
      <c r="I4117">
        <v>157.9426</v>
      </c>
      <c r="J4117">
        <v>-190.38210000000001</v>
      </c>
      <c r="K4117">
        <v>1.1072500000000001</v>
      </c>
      <c r="L4117">
        <v>171.0608</v>
      </c>
      <c r="M4117">
        <v>-0.20434630000000001</v>
      </c>
      <c r="N4117">
        <v>-1.433329E-2</v>
      </c>
      <c r="O4117">
        <v>-0.97879380000000005</v>
      </c>
      <c r="P4117">
        <v>-0.19883239999999999</v>
      </c>
      <c r="Q4117">
        <v>0.1866775</v>
      </c>
      <c r="R4117">
        <v>-0.96209020000000001</v>
      </c>
      <c r="S4117">
        <v>-1.4417420000000001</v>
      </c>
      <c r="T4117">
        <v>-0.23962459999999999</v>
      </c>
      <c r="U4117">
        <v>-2.8704070000000002</v>
      </c>
      <c r="V4117">
        <v>-3.0439669999999999E-4</v>
      </c>
      <c r="W4117">
        <v>0.2007496</v>
      </c>
      <c r="X4117">
        <v>0.97964260000000003</v>
      </c>
      <c r="Y4117">
        <v>0.25573699999999999</v>
      </c>
      <c r="Z4117">
        <v>6.1187279999999997E-2</v>
      </c>
      <c r="AA4117">
        <v>0.96480809999999995</v>
      </c>
      <c r="AB4117">
        <v>28</v>
      </c>
      <c r="AC4117">
        <v>-6.6288999999999803</v>
      </c>
      <c r="AD4117">
        <v>-1.1072645563700001</v>
      </c>
      <c r="AE4117">
        <v>-13.1182</v>
      </c>
      <c r="AF4117">
        <v>3.78657150475102</v>
      </c>
      <c r="AG4117">
        <v>-1.1072645563700001</v>
      </c>
      <c r="AH4117">
        <v>14.115948804086999</v>
      </c>
      <c r="AI4117">
        <v>94.332578349237593</v>
      </c>
      <c r="AJ4117">
        <v>74.984040997619601</v>
      </c>
      <c r="AK4117">
        <v>14.6568812916661</v>
      </c>
      <c r="AL4117">
        <v>78.419203679900804</v>
      </c>
      <c r="AM4117">
        <v>90.017803069860804</v>
      </c>
      <c r="AN4117">
        <v>1.00000005914613</v>
      </c>
    </row>
    <row r="4118" spans="1:40" x14ac:dyDescent="0.25">
      <c r="A4118" t="str">
        <f>"20190304155140509"</f>
        <v>20190304155140509</v>
      </c>
      <c r="B4118" t="str">
        <f>"1551685900501209"</f>
        <v>1551685900501209</v>
      </c>
      <c r="C4118" t="s">
        <v>40</v>
      </c>
      <c r="D4118">
        <v>5.6672000000000002</v>
      </c>
      <c r="E4118">
        <v>0.60020779999999996</v>
      </c>
      <c r="F4118" t="s">
        <v>84</v>
      </c>
      <c r="G4118">
        <v>-196.9588</v>
      </c>
      <c r="H4118" s="1">
        <v>-1.45876399999999E-5</v>
      </c>
      <c r="I4118">
        <v>158.0669</v>
      </c>
      <c r="J4118">
        <v>-190.41739999999999</v>
      </c>
      <c r="K4118">
        <v>1.1074660000000001</v>
      </c>
      <c r="L4118">
        <v>170.90379999999999</v>
      </c>
      <c r="M4118">
        <v>-0.2065756</v>
      </c>
      <c r="N4118">
        <v>-1.431923E-2</v>
      </c>
      <c r="O4118">
        <v>-0.97832609999999998</v>
      </c>
      <c r="P4118">
        <v>-0.2016907</v>
      </c>
      <c r="Q4118">
        <v>0.18553710000000001</v>
      </c>
      <c r="R4118">
        <v>-0.96171600000000002</v>
      </c>
      <c r="S4118">
        <v>-1.4504999999999999</v>
      </c>
      <c r="T4118">
        <v>-0.24420939999999999</v>
      </c>
      <c r="U4118">
        <v>-2.8658290000000002</v>
      </c>
      <c r="V4118">
        <v>2.142163E-4</v>
      </c>
      <c r="W4118">
        <v>0.19959279999999999</v>
      </c>
      <c r="X4118">
        <v>0.9798789</v>
      </c>
      <c r="Y4118">
        <v>0.2564592</v>
      </c>
      <c r="Z4118">
        <v>6.2633309999999998E-2</v>
      </c>
      <c r="AA4118">
        <v>0.96452360000000004</v>
      </c>
      <c r="AB4118">
        <v>28</v>
      </c>
      <c r="AC4118">
        <v>-6.5414000000000003</v>
      </c>
      <c r="AD4118">
        <v>-1.10748058764</v>
      </c>
      <c r="AE4118">
        <v>-12.836899999999901</v>
      </c>
      <c r="AF4118">
        <v>3.7261982674678502</v>
      </c>
      <c r="AG4118">
        <v>-1.10748058764</v>
      </c>
      <c r="AH4118">
        <v>13.829674868601799</v>
      </c>
      <c r="AI4118">
        <v>94.421458724913904</v>
      </c>
      <c r="AJ4118">
        <v>74.920602401170598</v>
      </c>
      <c r="AK4118">
        <v>14.365617764360699</v>
      </c>
      <c r="AL4118">
        <v>78.486851842022602</v>
      </c>
      <c r="AM4118">
        <v>89.987474279018102</v>
      </c>
      <c r="AN4118">
        <v>0.999999995182836</v>
      </c>
    </row>
    <row r="4119" spans="1:40" x14ac:dyDescent="0.25">
      <c r="A4119" t="str">
        <f>"20190304155140528"</f>
        <v>20190304155140528</v>
      </c>
      <c r="B4119" t="str">
        <f>"1551685900520733"</f>
        <v>1551685900520733</v>
      </c>
      <c r="C4119" t="s">
        <v>40</v>
      </c>
      <c r="D4119">
        <v>5.7284079999999999</v>
      </c>
      <c r="E4119">
        <v>0.60003219999999902</v>
      </c>
      <c r="F4119" t="s">
        <v>84</v>
      </c>
      <c r="G4119">
        <v>-196.91929999999999</v>
      </c>
      <c r="H4119" s="1">
        <v>-1.4610240000000001E-5</v>
      </c>
      <c r="I4119">
        <v>158.1567</v>
      </c>
      <c r="J4119">
        <v>-190.46539999999999</v>
      </c>
      <c r="K4119">
        <v>1.1077859999999999</v>
      </c>
      <c r="L4119">
        <v>170.6917</v>
      </c>
      <c r="M4119">
        <v>-0.20928769999999999</v>
      </c>
      <c r="N4119">
        <v>-1.4299879999999999E-2</v>
      </c>
      <c r="O4119">
        <v>-0.9777498</v>
      </c>
      <c r="P4119">
        <v>-0.2060264</v>
      </c>
      <c r="Q4119">
        <v>0.1843573</v>
      </c>
      <c r="R4119">
        <v>-0.96102339999999997</v>
      </c>
      <c r="S4119">
        <v>-1.459457</v>
      </c>
      <c r="T4119">
        <v>-0.24859329999999999</v>
      </c>
      <c r="U4119">
        <v>-2.861313</v>
      </c>
      <c r="V4119">
        <v>1.7097049999999999E-3</v>
      </c>
      <c r="W4119">
        <v>0.19838629999999999</v>
      </c>
      <c r="X4119">
        <v>0.98012239999999995</v>
      </c>
      <c r="Y4119">
        <v>0.2567489</v>
      </c>
      <c r="Z4119">
        <v>6.4011929999999995E-2</v>
      </c>
      <c r="AA4119">
        <v>0.96435599999999999</v>
      </c>
      <c r="AB4119">
        <v>28</v>
      </c>
      <c r="AC4119">
        <v>-6.4539</v>
      </c>
      <c r="AD4119">
        <v>-1.10780061024</v>
      </c>
      <c r="AE4119">
        <v>-12.534999999999901</v>
      </c>
      <c r="AF4119">
        <v>3.6646295188674101</v>
      </c>
      <c r="AG4119">
        <v>-1.10780061024</v>
      </c>
      <c r="AH4119">
        <v>13.524704821814</v>
      </c>
      <c r="AI4119">
        <v>94.520323889680697</v>
      </c>
      <c r="AJ4119">
        <v>74.839267352337203</v>
      </c>
      <c r="AK4119">
        <v>14.056115118332</v>
      </c>
      <c r="AL4119">
        <v>78.557389711060793</v>
      </c>
      <c r="AM4119">
        <v>89.900054542826197</v>
      </c>
      <c r="AN4119">
        <v>0.99999998305031801</v>
      </c>
    </row>
    <row r="4120" spans="1:40" x14ac:dyDescent="0.25">
      <c r="A4120" t="str">
        <f>"20190304155140540"</f>
        <v>20190304155140540</v>
      </c>
      <c r="B4120" t="str">
        <f>"1551685900530490"</f>
        <v>1551685900530490</v>
      </c>
      <c r="C4120" t="s">
        <v>40</v>
      </c>
      <c r="D4120">
        <v>5.6642449999999904</v>
      </c>
      <c r="E4120">
        <v>0.60008359999999905</v>
      </c>
      <c r="F4120" t="s">
        <v>84</v>
      </c>
      <c r="G4120">
        <v>-196.93690000000001</v>
      </c>
      <c r="H4120" s="1">
        <v>-1.460287E-5</v>
      </c>
      <c r="I4120">
        <v>158.12739999999999</v>
      </c>
      <c r="J4120">
        <v>-190.50239999999999</v>
      </c>
      <c r="K4120">
        <v>1.108039</v>
      </c>
      <c r="L4120">
        <v>170.52889999999999</v>
      </c>
      <c r="M4120">
        <v>-0.21110129999999999</v>
      </c>
      <c r="N4120">
        <v>-1.4285259999999999E-2</v>
      </c>
      <c r="O4120">
        <v>-0.97735970000000005</v>
      </c>
      <c r="P4120">
        <v>-0.20820089999999999</v>
      </c>
      <c r="Q4120">
        <v>0.1842018</v>
      </c>
      <c r="R4120">
        <v>-0.9605842</v>
      </c>
      <c r="S4120">
        <v>-1.4703980000000001</v>
      </c>
      <c r="T4120">
        <v>-0.25170300000000001</v>
      </c>
      <c r="U4120">
        <v>-2.8547359999999999</v>
      </c>
      <c r="V4120">
        <v>1.9858789999999999E-3</v>
      </c>
      <c r="W4120">
        <v>0.19821520000000001</v>
      </c>
      <c r="X4120">
        <v>0.98015649999999999</v>
      </c>
      <c r="Y4120">
        <v>0.25874649999999999</v>
      </c>
      <c r="Z4120">
        <v>6.5029989999999996E-2</v>
      </c>
      <c r="AA4120">
        <v>0.96375379999999999</v>
      </c>
      <c r="AB4120">
        <v>28</v>
      </c>
      <c r="AC4120">
        <v>-6.4345000000000097</v>
      </c>
      <c r="AD4120">
        <v>-1.1080536028700001</v>
      </c>
      <c r="AE4120">
        <v>-12.4015</v>
      </c>
      <c r="AF4120">
        <v>3.6482759894925598</v>
      </c>
      <c r="AG4120">
        <v>-1.1080536028700001</v>
      </c>
      <c r="AH4120">
        <v>13.3961742388191</v>
      </c>
      <c r="AI4120">
        <v>94.5629645831727</v>
      </c>
      <c r="AJ4120">
        <v>74.765687965310704</v>
      </c>
      <c r="AK4120">
        <v>13.9282154176025</v>
      </c>
      <c r="AL4120">
        <v>78.5673916894618</v>
      </c>
      <c r="AM4120">
        <v>89.883914120213305</v>
      </c>
      <c r="AN4120">
        <v>0.99999998685934599</v>
      </c>
    </row>
    <row r="4121" spans="1:40" x14ac:dyDescent="0.25">
      <c r="A4121" t="str">
        <f>"20190304155140552"</f>
        <v>20190304155140552</v>
      </c>
      <c r="B4121" t="str">
        <f>"1551685900541227"</f>
        <v>1551685900541227</v>
      </c>
      <c r="C4121" t="s">
        <v>40</v>
      </c>
      <c r="D4121">
        <v>5.6363399999999997</v>
      </c>
      <c r="E4121">
        <v>0.60041330000000004</v>
      </c>
      <c r="F4121" t="s">
        <v>84</v>
      </c>
      <c r="G4121">
        <v>-196.96469999999999</v>
      </c>
      <c r="H4121" s="1">
        <v>-1.458366E-5</v>
      </c>
      <c r="I4121">
        <v>158.05109999999999</v>
      </c>
      <c r="J4121">
        <v>-190.53440000000001</v>
      </c>
      <c r="K4121">
        <v>1.1082459999999901</v>
      </c>
      <c r="L4121">
        <v>170.3887</v>
      </c>
      <c r="M4121">
        <v>-0.21256829999999999</v>
      </c>
      <c r="N4121">
        <v>-1.4273310000000001E-2</v>
      </c>
      <c r="O4121">
        <v>-0.97704210000000002</v>
      </c>
      <c r="P4121">
        <v>-0.21026030000000001</v>
      </c>
      <c r="Q4121">
        <v>0.1845396</v>
      </c>
      <c r="R4121">
        <v>-0.96007120000000001</v>
      </c>
      <c r="S4121">
        <v>-1.4768220000000001</v>
      </c>
      <c r="T4121">
        <v>-0.25322280000000003</v>
      </c>
      <c r="U4121">
        <v>-2.8515470000000001</v>
      </c>
      <c r="V4121">
        <v>2.5365420000000001E-3</v>
      </c>
      <c r="W4121">
        <v>0.19853770000000001</v>
      </c>
      <c r="X4121">
        <v>0.98009000000000002</v>
      </c>
      <c r="Y4121">
        <v>0.25943290000000002</v>
      </c>
      <c r="Z4121">
        <v>6.5515199999999996E-2</v>
      </c>
      <c r="AA4121">
        <v>0.96353630000000001</v>
      </c>
      <c r="AB4121">
        <v>28</v>
      </c>
      <c r="AC4121">
        <v>-6.4302999999999804</v>
      </c>
      <c r="AD4121">
        <v>-1.1082605836599999</v>
      </c>
      <c r="AE4121">
        <v>-12.3376</v>
      </c>
      <c r="AF4121">
        <v>3.63738301709289</v>
      </c>
      <c r="AG4121">
        <v>-1.1082605836599999</v>
      </c>
      <c r="AH4121">
        <v>13.337963797441001</v>
      </c>
      <c r="AI4121">
        <v>94.583215805967896</v>
      </c>
      <c r="AJ4121">
        <v>74.745854779437295</v>
      </c>
      <c r="AK4121">
        <v>13.8693934617264</v>
      </c>
      <c r="AL4121">
        <v>78.548539625877694</v>
      </c>
      <c r="AM4121">
        <v>89.851714815299403</v>
      </c>
      <c r="AN4121">
        <v>1.0000000302333001</v>
      </c>
    </row>
    <row r="4122" spans="1:40" x14ac:dyDescent="0.25">
      <c r="A4122" t="str">
        <f>"20190304155140565"</f>
        <v>20190304155140565</v>
      </c>
      <c r="B4122" t="str">
        <f>"1551685900560746"</f>
        <v>1551685900560746</v>
      </c>
      <c r="C4122" t="s">
        <v>40</v>
      </c>
      <c r="D4122">
        <v>5.64283</v>
      </c>
      <c r="E4122">
        <v>0.60102109999999997</v>
      </c>
      <c r="F4122" t="s">
        <v>84</v>
      </c>
      <c r="G4122">
        <v>-197.10929999999999</v>
      </c>
      <c r="H4122" s="1">
        <v>-1.451569E-5</v>
      </c>
      <c r="I4122">
        <v>157.7809</v>
      </c>
      <c r="J4122">
        <v>-190.57050000000001</v>
      </c>
      <c r="K4122">
        <v>1.1084639999999999</v>
      </c>
      <c r="L4122">
        <v>170.23099999999999</v>
      </c>
      <c r="M4122">
        <v>-0.21408550000000001</v>
      </c>
      <c r="N4122">
        <v>-1.426033E-2</v>
      </c>
      <c r="O4122">
        <v>-0.97671090000000005</v>
      </c>
      <c r="P4122">
        <v>-0.21235490000000001</v>
      </c>
      <c r="Q4122">
        <v>0.1855743</v>
      </c>
      <c r="R4122">
        <v>-0.95941030000000005</v>
      </c>
      <c r="S4122">
        <v>-1.4850460000000001</v>
      </c>
      <c r="T4122">
        <v>-0.25031819999999999</v>
      </c>
      <c r="U4122">
        <v>-2.8476720000000002</v>
      </c>
      <c r="V4122">
        <v>3.0989049999999999E-3</v>
      </c>
      <c r="W4122">
        <v>0.1995545</v>
      </c>
      <c r="X4122">
        <v>0.97988180000000003</v>
      </c>
      <c r="Y4122">
        <v>0.2606871</v>
      </c>
      <c r="Z4122">
        <v>6.4627390000000007E-2</v>
      </c>
      <c r="AA4122">
        <v>0.96325769999999999</v>
      </c>
      <c r="AB4122">
        <v>28</v>
      </c>
      <c r="AC4122">
        <v>-6.5387999999999797</v>
      </c>
      <c r="AD4122">
        <v>-1.1084785156900001</v>
      </c>
      <c r="AE4122">
        <v>-12.4500999999999</v>
      </c>
      <c r="AF4122">
        <v>3.6985298620677902</v>
      </c>
      <c r="AG4122">
        <v>-1.1084785156900001</v>
      </c>
      <c r="AH4122">
        <v>13.4776495603671</v>
      </c>
      <c r="AI4122">
        <v>94.534835277465206</v>
      </c>
      <c r="AJ4122">
        <v>74.654675047492603</v>
      </c>
      <c r="AK4122">
        <v>14.019803330732501</v>
      </c>
      <c r="AL4122">
        <v>78.489091049874006</v>
      </c>
      <c r="AM4122">
        <v>89.818801016945002</v>
      </c>
      <c r="AN4122">
        <v>0.99999997182684397</v>
      </c>
    </row>
    <row r="4123" spans="1:40" x14ac:dyDescent="0.25">
      <c r="A4123" t="str">
        <f>"20190304155140584"</f>
        <v>20190304155140584</v>
      </c>
      <c r="B4123" t="str">
        <f>"1551685900581243"</f>
        <v>1551685900581243</v>
      </c>
      <c r="C4123" t="s">
        <v>40</v>
      </c>
      <c r="D4123">
        <v>5.6585150000000004</v>
      </c>
      <c r="E4123">
        <v>0.600885</v>
      </c>
      <c r="F4123" t="s">
        <v>84</v>
      </c>
      <c r="G4123">
        <v>-197.3356</v>
      </c>
      <c r="H4123" s="1">
        <v>-1.441142E-5</v>
      </c>
      <c r="I4123">
        <v>157.3665</v>
      </c>
      <c r="J4123">
        <v>-190.62029999999999</v>
      </c>
      <c r="K4123">
        <v>1.108757</v>
      </c>
      <c r="L4123">
        <v>170.01390000000001</v>
      </c>
      <c r="M4123">
        <v>-0.21586359999999999</v>
      </c>
      <c r="N4123">
        <v>-1.424271E-2</v>
      </c>
      <c r="O4123">
        <v>-0.97631979999999996</v>
      </c>
      <c r="P4123">
        <v>-0.215304</v>
      </c>
      <c r="Q4123">
        <v>0.18782470000000001</v>
      </c>
      <c r="R4123">
        <v>-0.95831449999999996</v>
      </c>
      <c r="S4123">
        <v>-1.495239</v>
      </c>
      <c r="T4123">
        <v>-0.24500079999999999</v>
      </c>
      <c r="U4123">
        <v>-2.843353</v>
      </c>
      <c r="V4123">
        <v>4.300674E-3</v>
      </c>
      <c r="W4123">
        <v>0.2017767</v>
      </c>
      <c r="X4123">
        <v>0.97942209999999996</v>
      </c>
      <c r="Y4123">
        <v>0.26228980000000002</v>
      </c>
      <c r="Z4123">
        <v>6.2984700000000005E-2</v>
      </c>
      <c r="AA4123">
        <v>0.96293150000000005</v>
      </c>
      <c r="AB4123">
        <v>28</v>
      </c>
      <c r="AC4123">
        <v>-6.7153000000000098</v>
      </c>
      <c r="AD4123">
        <v>-1.10877141142</v>
      </c>
      <c r="AE4123">
        <v>-12.647399999999999</v>
      </c>
      <c r="AF4123">
        <v>3.8037495205300398</v>
      </c>
      <c r="AG4123">
        <v>-1.10877141142</v>
      </c>
      <c r="AH4123">
        <v>13.7166562532248</v>
      </c>
      <c r="AI4123">
        <v>94.454024579481995</v>
      </c>
      <c r="AJ4123">
        <v>74.500837513651206</v>
      </c>
      <c r="AK4123">
        <v>14.2774137443322</v>
      </c>
      <c r="AL4123">
        <v>78.359125022927401</v>
      </c>
      <c r="AM4123">
        <v>89.748414002924306</v>
      </c>
      <c r="AN4123">
        <v>0.99999999121407701</v>
      </c>
    </row>
    <row r="4124" spans="1:40" x14ac:dyDescent="0.25">
      <c r="A4124" t="str">
        <f>"20190304155140598"</f>
        <v>20190304155140598</v>
      </c>
      <c r="B4124" t="str">
        <f>"1551685900591003"</f>
        <v>1551685900591003</v>
      </c>
      <c r="C4124" t="s">
        <v>40</v>
      </c>
      <c r="D4124">
        <v>5.6240230000000002</v>
      </c>
      <c r="E4124">
        <v>0.60111669999999995</v>
      </c>
      <c r="F4124" t="s">
        <v>84</v>
      </c>
      <c r="G4124">
        <v>-197.66200000000001</v>
      </c>
      <c r="H4124" s="1">
        <v>-1.4243899999999999E-5</v>
      </c>
      <c r="I4124">
        <v>156.70079999999999</v>
      </c>
      <c r="J4124">
        <v>-190.66079999999999</v>
      </c>
      <c r="K4124">
        <v>1.108976</v>
      </c>
      <c r="L4124">
        <v>169.83770000000001</v>
      </c>
      <c r="M4124">
        <v>-0.21707699999999999</v>
      </c>
      <c r="N4124">
        <v>-1.4228609999999999E-2</v>
      </c>
      <c r="O4124">
        <v>-0.97605090000000005</v>
      </c>
      <c r="P4124">
        <v>-0.21716530000000001</v>
      </c>
      <c r="Q4124">
        <v>0.1889168</v>
      </c>
      <c r="R4124">
        <v>-0.95767959999999996</v>
      </c>
      <c r="S4124">
        <v>-1.501846</v>
      </c>
      <c r="T4124">
        <v>-0.2364792</v>
      </c>
      <c r="U4124">
        <v>-2.839432</v>
      </c>
      <c r="V4124">
        <v>4.9314370000000003E-3</v>
      </c>
      <c r="W4124">
        <v>0.20285120000000001</v>
      </c>
      <c r="X4124">
        <v>0.97919710000000004</v>
      </c>
      <c r="Y4124">
        <v>0.26347140000000002</v>
      </c>
      <c r="Z4124">
        <v>6.0369640000000002E-2</v>
      </c>
      <c r="AA4124">
        <v>0.96277639999999998</v>
      </c>
      <c r="AB4124">
        <v>28</v>
      </c>
      <c r="AC4124">
        <v>-7.0012000000000096</v>
      </c>
      <c r="AD4124">
        <v>-1.1089902438999999</v>
      </c>
      <c r="AE4124">
        <v>-13.136900000000001</v>
      </c>
      <c r="AF4124">
        <v>3.96023195483559</v>
      </c>
      <c r="AG4124">
        <v>-1.1089902438999999</v>
      </c>
      <c r="AH4124">
        <v>14.264365179891399</v>
      </c>
      <c r="AI4124">
        <v>94.284140410841999</v>
      </c>
      <c r="AJ4124">
        <v>74.483689223763406</v>
      </c>
      <c r="AK4124">
        <v>14.8453834737424</v>
      </c>
      <c r="AL4124">
        <v>78.296260160839793</v>
      </c>
      <c r="AM4124">
        <v>89.711449167628203</v>
      </c>
      <c r="AN4124">
        <v>0.999999944530366</v>
      </c>
    </row>
    <row r="4125" spans="1:40" x14ac:dyDescent="0.25">
      <c r="A4125" t="str">
        <f>"20190304155140619"</f>
        <v>20190304155140619</v>
      </c>
      <c r="B4125" t="str">
        <f>"1551685900611498"</f>
        <v>1551685900611498</v>
      </c>
      <c r="C4125" t="s">
        <v>40</v>
      </c>
      <c r="D4125">
        <v>5.6302640000000004</v>
      </c>
      <c r="E4125">
        <v>0.60154890000000005</v>
      </c>
      <c r="F4125" t="s">
        <v>84</v>
      </c>
      <c r="G4125">
        <v>-197.88159999999999</v>
      </c>
      <c r="H4125" s="1">
        <v>-1.4132989999999999E-5</v>
      </c>
      <c r="I4125">
        <v>156.25989999999999</v>
      </c>
      <c r="J4125">
        <v>-190.7158</v>
      </c>
      <c r="K4125">
        <v>1.1092679999999999</v>
      </c>
      <c r="L4125">
        <v>169.5993</v>
      </c>
      <c r="M4125">
        <v>-0.21844459999999999</v>
      </c>
      <c r="N4125">
        <v>-1.4210230000000001E-2</v>
      </c>
      <c r="O4125">
        <v>-0.97574620000000001</v>
      </c>
      <c r="P4125">
        <v>-0.21925749999999999</v>
      </c>
      <c r="Q4125">
        <v>0.18945709999999999</v>
      </c>
      <c r="R4125">
        <v>-0.9570959</v>
      </c>
      <c r="S4125">
        <v>-1.5083310000000001</v>
      </c>
      <c r="T4125">
        <v>-0.23165520000000001</v>
      </c>
      <c r="U4125">
        <v>-2.8362430000000001</v>
      </c>
      <c r="V4125">
        <v>5.5838930000000004E-3</v>
      </c>
      <c r="W4125">
        <v>0.2033722</v>
      </c>
      <c r="X4125">
        <v>0.9790856</v>
      </c>
      <c r="Y4125">
        <v>0.26432929999999999</v>
      </c>
      <c r="Z4125">
        <v>5.8889329999999997E-2</v>
      </c>
      <c r="AA4125">
        <v>0.96263290000000001</v>
      </c>
      <c r="AB4125">
        <v>28</v>
      </c>
      <c r="AC4125">
        <v>-7.1657999999999902</v>
      </c>
      <c r="AD4125">
        <v>-1.10928213299</v>
      </c>
      <c r="AE4125">
        <v>-13.339399999999999</v>
      </c>
      <c r="AF4125">
        <v>4.0567218127739197</v>
      </c>
      <c r="AG4125">
        <v>-1.10928213299</v>
      </c>
      <c r="AH4125">
        <v>14.5048249444094</v>
      </c>
      <c r="AI4125">
        <v>94.212256096568495</v>
      </c>
      <c r="AJ4125">
        <v>74.374711343367295</v>
      </c>
      <c r="AK4125">
        <v>15.102233125758801</v>
      </c>
      <c r="AL4125">
        <v>78.265774502661301</v>
      </c>
      <c r="AM4125">
        <v>89.673235891239898</v>
      </c>
      <c r="AN4125">
        <v>1.00000002186061</v>
      </c>
    </row>
    <row r="4126" spans="1:40" x14ac:dyDescent="0.25">
      <c r="A4126" t="str">
        <f>"20190304155140639"</f>
        <v>20190304155140639</v>
      </c>
      <c r="B4126" t="str">
        <f>"1551685900631018"</f>
        <v>1551685900631018</v>
      </c>
      <c r="C4126" t="s">
        <v>40</v>
      </c>
      <c r="D4126">
        <v>5.6448410000000004</v>
      </c>
      <c r="E4126">
        <v>0.60204179999999996</v>
      </c>
      <c r="F4126" t="s">
        <v>84</v>
      </c>
      <c r="G4126">
        <v>-198.2561</v>
      </c>
      <c r="H4126" s="1">
        <v>-1.3947929999999999E-5</v>
      </c>
      <c r="I4126">
        <v>155.52440000000001</v>
      </c>
      <c r="J4126">
        <v>-190.7766</v>
      </c>
      <c r="K4126">
        <v>1.1095740000000001</v>
      </c>
      <c r="L4126">
        <v>169.3349</v>
      </c>
      <c r="M4126">
        <v>-0.21961230000000001</v>
      </c>
      <c r="N4126">
        <v>-1.419134E-2</v>
      </c>
      <c r="O4126">
        <v>-0.97548409999999997</v>
      </c>
      <c r="P4126">
        <v>-0.2218793</v>
      </c>
      <c r="Q4126">
        <v>0.18891559999999999</v>
      </c>
      <c r="R4126">
        <v>-0.95659859999999997</v>
      </c>
      <c r="S4126">
        <v>-1.5167539999999999</v>
      </c>
      <c r="T4126">
        <v>-0.2231342</v>
      </c>
      <c r="U4126">
        <v>-2.8311920000000002</v>
      </c>
      <c r="V4126">
        <v>6.9222499999999996E-3</v>
      </c>
      <c r="W4126">
        <v>0.20281379999999999</v>
      </c>
      <c r="X4126">
        <v>0.97919290000000003</v>
      </c>
      <c r="Y4126">
        <v>0.26619029999999999</v>
      </c>
      <c r="Z4126">
        <v>5.6284929999999997E-2</v>
      </c>
      <c r="AA4126">
        <v>0.96227580000000001</v>
      </c>
      <c r="AB4126">
        <v>28</v>
      </c>
      <c r="AC4126">
        <v>-7.4794999999999998</v>
      </c>
      <c r="AD4126">
        <v>-1.1095879479299999</v>
      </c>
      <c r="AE4126">
        <v>-13.8104999999999</v>
      </c>
      <c r="AF4126">
        <v>4.2424319266305499</v>
      </c>
      <c r="AG4126">
        <v>-1.1095879479299999</v>
      </c>
      <c r="AH4126">
        <v>15.040962211717201</v>
      </c>
      <c r="AI4126">
        <v>94.061231655671307</v>
      </c>
      <c r="AJ4126">
        <v>74.248440831755502</v>
      </c>
      <c r="AK4126">
        <v>15.667161782549901</v>
      </c>
      <c r="AL4126">
        <v>78.298449706180406</v>
      </c>
      <c r="AM4126">
        <v>89.594963257090498</v>
      </c>
      <c r="AN4126">
        <v>1.0000000452129501</v>
      </c>
    </row>
    <row r="4127" spans="1:40" x14ac:dyDescent="0.25">
      <c r="A4127" t="str">
        <f>"20190304155140652"</f>
        <v>20190304155140652</v>
      </c>
      <c r="B4127" t="str">
        <f>"1551685900640779"</f>
        <v>1551685900640779</v>
      </c>
      <c r="C4127" t="s">
        <v>40</v>
      </c>
      <c r="D4127">
        <v>5.5309410000000003</v>
      </c>
      <c r="E4127">
        <v>0.60251169999999998</v>
      </c>
      <c r="F4127" t="s">
        <v>84</v>
      </c>
      <c r="G4127">
        <v>-198.5446</v>
      </c>
      <c r="H4127" s="1">
        <v>-1.374495E-5</v>
      </c>
      <c r="I4127">
        <v>154.96789999999999</v>
      </c>
      <c r="J4127">
        <v>-190.8124</v>
      </c>
      <c r="K4127">
        <v>1.1097459999999999</v>
      </c>
      <c r="L4127">
        <v>169.17959999999999</v>
      </c>
      <c r="M4127">
        <v>-0.2201506</v>
      </c>
      <c r="N4127">
        <v>-1.4181060000000001E-2</v>
      </c>
      <c r="O4127">
        <v>-0.97536279999999997</v>
      </c>
      <c r="P4127">
        <v>-0.22278129999999999</v>
      </c>
      <c r="Q4127">
        <v>0.1880492</v>
      </c>
      <c r="R4127">
        <v>-0.95655950000000001</v>
      </c>
      <c r="S4127">
        <v>-1.52739</v>
      </c>
      <c r="T4127">
        <v>-0.2181739</v>
      </c>
      <c r="U4127">
        <v>-2.8249209999999998</v>
      </c>
      <c r="V4127">
        <v>7.1822969999999998E-3</v>
      </c>
      <c r="W4127">
        <v>0.2019415</v>
      </c>
      <c r="X4127">
        <v>0.9793712</v>
      </c>
      <c r="Y4127">
        <v>0.269395</v>
      </c>
      <c r="Z4127">
        <v>5.4791569999999998E-2</v>
      </c>
      <c r="AA4127">
        <v>0.96146980000000004</v>
      </c>
      <c r="AB4127">
        <v>28</v>
      </c>
      <c r="AC4127">
        <v>-7.7321999999999997</v>
      </c>
      <c r="AD4127">
        <v>-1.1097597449499901</v>
      </c>
      <c r="AE4127">
        <v>-14.2117</v>
      </c>
      <c r="AF4127">
        <v>4.3927620394618003</v>
      </c>
      <c r="AG4127">
        <v>-1.1097597449499901</v>
      </c>
      <c r="AH4127">
        <v>15.492485824018001</v>
      </c>
      <c r="AI4127">
        <v>93.942329601930496</v>
      </c>
      <c r="AJ4127">
        <v>74.169768066331599</v>
      </c>
      <c r="AK4127">
        <v>16.141407684407401</v>
      </c>
      <c r="AL4127">
        <v>78.349483744386006</v>
      </c>
      <c r="AM4127">
        <v>89.579824352341106</v>
      </c>
      <c r="AN4127">
        <v>0.99999995110094098</v>
      </c>
    </row>
    <row r="4128" spans="1:40" x14ac:dyDescent="0.25">
      <c r="A4128" t="str">
        <f>"20190304155140666"</f>
        <v>20190304155140666</v>
      </c>
      <c r="B4128" t="str">
        <f>"1551685900661274"</f>
        <v>1551685900661274</v>
      </c>
      <c r="C4128" t="s">
        <v>40</v>
      </c>
      <c r="D4128">
        <v>5.5623269999999998</v>
      </c>
      <c r="E4128">
        <v>0.60312790000000005</v>
      </c>
      <c r="F4128" t="s">
        <v>84</v>
      </c>
      <c r="G4128">
        <v>-198.6294</v>
      </c>
      <c r="H4128" s="1">
        <v>-1.367894E-5</v>
      </c>
      <c r="I4128">
        <v>154.79660000000001</v>
      </c>
      <c r="J4128">
        <v>-190.84889999999999</v>
      </c>
      <c r="K4128">
        <v>1.10992</v>
      </c>
      <c r="L4128">
        <v>169.02099999999999</v>
      </c>
      <c r="M4128">
        <v>-0.22059880000000001</v>
      </c>
      <c r="N4128">
        <v>-1.4171130000000001E-2</v>
      </c>
      <c r="O4128">
        <v>-0.97526170000000001</v>
      </c>
      <c r="P4128">
        <v>-0.22336800000000001</v>
      </c>
      <c r="Q4128">
        <v>0.1871546</v>
      </c>
      <c r="R4128">
        <v>-0.95659830000000001</v>
      </c>
      <c r="S4128">
        <v>-1.5336459999999901</v>
      </c>
      <c r="T4128">
        <v>-0.21772739999999999</v>
      </c>
      <c r="U4128">
        <v>-2.8218540000000001</v>
      </c>
      <c r="V4128">
        <v>7.2106869999999899E-3</v>
      </c>
      <c r="W4128">
        <v>0.20104250000000001</v>
      </c>
      <c r="X4128">
        <v>0.97955599999999998</v>
      </c>
      <c r="Y4128">
        <v>0.27103909999999998</v>
      </c>
      <c r="Z4128">
        <v>5.4671289999999997E-2</v>
      </c>
      <c r="AA4128">
        <v>0.96101449999999999</v>
      </c>
      <c r="AB4128">
        <v>28</v>
      </c>
      <c r="AC4128">
        <v>-7.7805000000000097</v>
      </c>
      <c r="AD4128">
        <v>-1.1099336789399901</v>
      </c>
      <c r="AE4128">
        <v>-14.2243999999999</v>
      </c>
      <c r="AF4128">
        <v>4.4298243125752199</v>
      </c>
      <c r="AG4128">
        <v>-1.1099336789399901</v>
      </c>
      <c r="AH4128">
        <v>15.5177221220449</v>
      </c>
      <c r="AI4128">
        <v>93.934563282503603</v>
      </c>
      <c r="AJ4128">
        <v>74.067612803802902</v>
      </c>
      <c r="AK4128">
        <v>16.175753338528899</v>
      </c>
      <c r="AL4128">
        <v>78.402072013562702</v>
      </c>
      <c r="AM4128">
        <v>89.578243132162598</v>
      </c>
      <c r="AN4128">
        <v>1.0000000189746301</v>
      </c>
    </row>
    <row r="4129" spans="1:40" x14ac:dyDescent="0.25">
      <c r="A4129" t="str">
        <f>"20190304155140683"</f>
        <v>20190304155140683</v>
      </c>
      <c r="B4129" t="str">
        <f>"1551685900680794"</f>
        <v>1551685900680794</v>
      </c>
      <c r="C4129" t="s">
        <v>40</v>
      </c>
      <c r="D4129">
        <v>5.6189939999999998</v>
      </c>
      <c r="E4129">
        <v>0.60333530000000002</v>
      </c>
      <c r="F4129" t="s">
        <v>84</v>
      </c>
      <c r="G4129">
        <v>-198.90629999999999</v>
      </c>
      <c r="H4129" s="1">
        <v>-1.353957E-5</v>
      </c>
      <c r="I4129">
        <v>154.27209999999999</v>
      </c>
      <c r="J4129">
        <v>-190.89619999999999</v>
      </c>
      <c r="K4129">
        <v>1.1101259999999999</v>
      </c>
      <c r="L4129">
        <v>168.81469999999999</v>
      </c>
      <c r="M4129">
        <v>-0.22098370000000001</v>
      </c>
      <c r="N4129">
        <v>-1.415899E-2</v>
      </c>
      <c r="O4129">
        <v>-0.97517489999999996</v>
      </c>
      <c r="P4129">
        <v>-0.22406000000000001</v>
      </c>
      <c r="Q4129">
        <v>0.1863504</v>
      </c>
      <c r="R4129">
        <v>-0.95659360000000004</v>
      </c>
      <c r="S4129">
        <v>-1.5395509999999999</v>
      </c>
      <c r="T4129">
        <v>-0.21207819999999999</v>
      </c>
      <c r="U4129">
        <v>-2.8181150000000001</v>
      </c>
      <c r="V4129">
        <v>7.396695E-3</v>
      </c>
      <c r="W4129">
        <v>0.20023199999999999</v>
      </c>
      <c r="X4129">
        <v>0.97972060000000005</v>
      </c>
      <c r="Y4129">
        <v>0.27279350000000002</v>
      </c>
      <c r="Z4129">
        <v>5.2949120000000002E-2</v>
      </c>
      <c r="AA4129">
        <v>0.96061439999999998</v>
      </c>
      <c r="AB4129">
        <v>28</v>
      </c>
      <c r="AC4129">
        <v>-8.0100999999999907</v>
      </c>
      <c r="AD4129">
        <v>-1.11013953957</v>
      </c>
      <c r="AE4129">
        <v>-14.542599999999901</v>
      </c>
      <c r="AF4129">
        <v>4.5775649910767502</v>
      </c>
      <c r="AG4129">
        <v>-1.11013953957</v>
      </c>
      <c r="AH4129">
        <v>15.8822677230523</v>
      </c>
      <c r="AI4129">
        <v>93.8424451168774</v>
      </c>
      <c r="AJ4129">
        <v>73.922034496978895</v>
      </c>
      <c r="AK4129">
        <v>16.566017598432001</v>
      </c>
      <c r="AL4129">
        <v>78.449474025992799</v>
      </c>
      <c r="AM4129">
        <v>89.5674365181208</v>
      </c>
      <c r="AN4129">
        <v>1.00000000949264</v>
      </c>
    </row>
    <row r="4130" spans="1:40" x14ac:dyDescent="0.25">
      <c r="A4130" t="str">
        <f>"20190304155140696"</f>
        <v>20190304155140696</v>
      </c>
      <c r="B4130" t="str">
        <f>"1551685900690555"</f>
        <v>1551685900690555</v>
      </c>
      <c r="C4130" t="s">
        <v>40</v>
      </c>
      <c r="D4130">
        <v>5.7376889999999996</v>
      </c>
      <c r="E4130">
        <v>0.60311409999999999</v>
      </c>
      <c r="F4130" t="s">
        <v>84</v>
      </c>
      <c r="G4130">
        <v>-199.11150000000001</v>
      </c>
      <c r="H4130" s="1">
        <v>-1.344446E-5</v>
      </c>
      <c r="I4130">
        <v>153.8218</v>
      </c>
      <c r="J4130">
        <v>-190.9332</v>
      </c>
      <c r="K4130">
        <v>1.110276</v>
      </c>
      <c r="L4130">
        <v>168.6532</v>
      </c>
      <c r="M4130">
        <v>-0.2211573</v>
      </c>
      <c r="N4130">
        <v>-1.415014E-2</v>
      </c>
      <c r="O4130">
        <v>-0.97513539999999999</v>
      </c>
      <c r="P4130">
        <v>-0.22427630000000001</v>
      </c>
      <c r="Q4130">
        <v>0.1861959</v>
      </c>
      <c r="R4130">
        <v>-0.95657250000000005</v>
      </c>
      <c r="S4130">
        <v>-1.542694</v>
      </c>
      <c r="T4130">
        <v>-0.20846590000000001</v>
      </c>
      <c r="U4130">
        <v>-2.8154140000000001</v>
      </c>
      <c r="V4130">
        <v>7.3615829999999997E-3</v>
      </c>
      <c r="W4130">
        <v>0.20007220000000001</v>
      </c>
      <c r="X4130">
        <v>0.97975350000000005</v>
      </c>
      <c r="Y4130">
        <v>0.27386440000000001</v>
      </c>
      <c r="Z4130">
        <v>5.1859170000000003E-2</v>
      </c>
      <c r="AA4130">
        <v>0.96036920000000003</v>
      </c>
      <c r="AB4130">
        <v>28</v>
      </c>
      <c r="AC4130">
        <v>-8.1783000000000001</v>
      </c>
      <c r="AD4130">
        <v>-1.11028944446</v>
      </c>
      <c r="AE4130">
        <v>-14.8314</v>
      </c>
      <c r="AF4130">
        <v>4.6752563203200204</v>
      </c>
      <c r="AG4130">
        <v>-1.11028944446</v>
      </c>
      <c r="AH4130">
        <v>16.203311767292199</v>
      </c>
      <c r="AI4130">
        <v>93.766722908657499</v>
      </c>
      <c r="AJ4130">
        <v>73.905187819914701</v>
      </c>
      <c r="AK4130">
        <v>16.900830646428101</v>
      </c>
      <c r="AL4130">
        <v>78.458818870692397</v>
      </c>
      <c r="AM4130">
        <v>89.5695042689335</v>
      </c>
      <c r="AN4130">
        <v>0.99999999943967799</v>
      </c>
    </row>
    <row r="4131" spans="1:40" x14ac:dyDescent="0.25">
      <c r="A4131" t="str">
        <f>"20190304155140717"</f>
        <v>20190304155140717</v>
      </c>
      <c r="B4131" t="str">
        <f>"1551685900711051"</f>
        <v>1551685900711051</v>
      </c>
      <c r="C4131" t="s">
        <v>40</v>
      </c>
      <c r="D4131">
        <v>5.6206719999999999</v>
      </c>
      <c r="E4131">
        <v>0.603155</v>
      </c>
      <c r="F4131" t="s">
        <v>84</v>
      </c>
      <c r="G4131">
        <v>-199.23169999999999</v>
      </c>
      <c r="H4131" s="1">
        <v>-1.33735999999999E-5</v>
      </c>
      <c r="I4131">
        <v>153.49780000000001</v>
      </c>
      <c r="J4131">
        <v>-190.9907</v>
      </c>
      <c r="K4131">
        <v>1.110506</v>
      </c>
      <c r="L4131">
        <v>168.40110000000001</v>
      </c>
      <c r="M4131">
        <v>-0.2212326</v>
      </c>
      <c r="N4131">
        <v>-1.413741E-2</v>
      </c>
      <c r="O4131">
        <v>-0.97511879999999995</v>
      </c>
      <c r="P4131">
        <v>-0.22437699999999999</v>
      </c>
      <c r="Q4131">
        <v>0.18640519999999999</v>
      </c>
      <c r="R4131">
        <v>-0.9565089</v>
      </c>
      <c r="S4131">
        <v>-1.5413509999999999</v>
      </c>
      <c r="T4131">
        <v>-0.20622270000000001</v>
      </c>
      <c r="U4131">
        <v>-2.8149259999999998</v>
      </c>
      <c r="V4131">
        <v>7.2868059999999998E-3</v>
      </c>
      <c r="W4131">
        <v>0.20027210000000001</v>
      </c>
      <c r="X4131">
        <v>0.97971319999999995</v>
      </c>
      <c r="Y4131">
        <v>0.2735264</v>
      </c>
      <c r="Z4131">
        <v>5.1190199999999998E-2</v>
      </c>
      <c r="AA4131">
        <v>0.96050139999999995</v>
      </c>
      <c r="AB4131">
        <v>28</v>
      </c>
      <c r="AC4131">
        <v>-8.2409999999999801</v>
      </c>
      <c r="AD4131">
        <v>-1.1105193736000001</v>
      </c>
      <c r="AE4131">
        <v>-14.9033</v>
      </c>
      <c r="AF4131">
        <v>4.7192633311285901</v>
      </c>
      <c r="AG4131">
        <v>-1.1105193736000001</v>
      </c>
      <c r="AH4131">
        <v>16.2880361796553</v>
      </c>
      <c r="AI4131">
        <v>93.746762145695499</v>
      </c>
      <c r="AJ4131">
        <v>73.841687930810593</v>
      </c>
      <c r="AK4131">
        <v>16.9942585086092</v>
      </c>
      <c r="AL4131">
        <v>78.447128653412406</v>
      </c>
      <c r="AM4131">
        <v>89.573859440163503</v>
      </c>
      <c r="AN4131">
        <v>0.99999998291716496</v>
      </c>
    </row>
    <row r="4132" spans="1:40" x14ac:dyDescent="0.25">
      <c r="A4132" t="str">
        <f>"20190304155140730"</f>
        <v>20190304155140730</v>
      </c>
      <c r="B4132" t="str">
        <f>"1551685900720812"</f>
        <v>1551685900720812</v>
      </c>
      <c r="C4132" t="s">
        <v>40</v>
      </c>
      <c r="D4132">
        <v>5.6787710000000002</v>
      </c>
      <c r="E4132">
        <v>0.60296050000000001</v>
      </c>
      <c r="F4132" t="s">
        <v>84</v>
      </c>
      <c r="G4132">
        <v>-199.49160000000001</v>
      </c>
      <c r="H4132" s="1">
        <v>-1.324017E-5</v>
      </c>
      <c r="I4132">
        <v>152.8759</v>
      </c>
      <c r="J4132">
        <v>-191.02549999999999</v>
      </c>
      <c r="K4132">
        <v>1.110644</v>
      </c>
      <c r="L4132">
        <v>168.24809999999999</v>
      </c>
      <c r="M4132">
        <v>-0.2211777</v>
      </c>
      <c r="N4132">
        <v>-1.413026E-2</v>
      </c>
      <c r="O4132">
        <v>-0.97513139999999998</v>
      </c>
      <c r="P4132">
        <v>-0.2241319</v>
      </c>
      <c r="Q4132">
        <v>0.18664800000000001</v>
      </c>
      <c r="R4132">
        <v>-0.9565188</v>
      </c>
      <c r="S4132">
        <v>-1.5409090000000001</v>
      </c>
      <c r="T4132">
        <v>-0.20129810000000001</v>
      </c>
      <c r="U4132">
        <v>-2.8141780000000001</v>
      </c>
      <c r="V4132">
        <v>7.0374799999999996E-3</v>
      </c>
      <c r="W4132">
        <v>0.20050950000000001</v>
      </c>
      <c r="X4132">
        <v>0.9796665</v>
      </c>
      <c r="Y4132">
        <v>0.27361190000000002</v>
      </c>
      <c r="Z4132">
        <v>4.9678729999999997E-2</v>
      </c>
      <c r="AA4132">
        <v>0.96055639999999998</v>
      </c>
      <c r="AB4132">
        <v>27</v>
      </c>
      <c r="AC4132">
        <v>-8.4661000000000097</v>
      </c>
      <c r="AD4132">
        <v>-1.1106572401699999</v>
      </c>
      <c r="AE4132">
        <v>-15.3721999999999</v>
      </c>
      <c r="AF4132">
        <v>4.8366832194112401</v>
      </c>
      <c r="AG4132">
        <v>-1.1106572401699999</v>
      </c>
      <c r="AH4132">
        <v>16.796830122223898</v>
      </c>
      <c r="AI4132">
        <v>93.635753380934005</v>
      </c>
      <c r="AJ4132">
        <v>73.936131518864997</v>
      </c>
      <c r="AK4132">
        <v>17.514581531538902</v>
      </c>
      <c r="AL4132">
        <v>78.433245436965393</v>
      </c>
      <c r="AM4132">
        <v>89.588420174798898</v>
      </c>
      <c r="AN4132">
        <v>1.00000001846862</v>
      </c>
    </row>
    <row r="4133" spans="1:40" x14ac:dyDescent="0.25">
      <c r="A4133" t="str">
        <f>"20190304155140743"</f>
        <v>20190304155140743</v>
      </c>
      <c r="B4133" t="str">
        <f>"1551685900730571"</f>
        <v>1551685900730571</v>
      </c>
      <c r="C4133" t="s">
        <v>40</v>
      </c>
      <c r="D4133">
        <v>5.7012720000000003</v>
      </c>
      <c r="E4133">
        <v>0.60268710000000003</v>
      </c>
      <c r="F4133" t="s">
        <v>84</v>
      </c>
      <c r="G4133">
        <v>-199.6052</v>
      </c>
      <c r="H4133" s="1">
        <v>-1.3168130000000001E-5</v>
      </c>
      <c r="I4133">
        <v>152.54949999999999</v>
      </c>
      <c r="J4133">
        <v>-191.05940000000001</v>
      </c>
      <c r="K4133">
        <v>1.1107629999999999</v>
      </c>
      <c r="L4133">
        <v>168.09870000000001</v>
      </c>
      <c r="M4133">
        <v>-0.2210327</v>
      </c>
      <c r="N4133">
        <v>-1.412384E-2</v>
      </c>
      <c r="O4133">
        <v>-0.97516420000000004</v>
      </c>
      <c r="P4133">
        <v>-0.22367210000000001</v>
      </c>
      <c r="Q4133">
        <v>0.1868089</v>
      </c>
      <c r="R4133">
        <v>-0.95659479999999997</v>
      </c>
      <c r="S4133">
        <v>-1.5383610000000001</v>
      </c>
      <c r="T4133">
        <v>-0.19914419999999999</v>
      </c>
      <c r="U4133">
        <v>-2.8148040000000001</v>
      </c>
      <c r="V4133">
        <v>6.6617250000000003E-3</v>
      </c>
      <c r="W4133">
        <v>0.20066600000000001</v>
      </c>
      <c r="X4133">
        <v>0.97963710000000004</v>
      </c>
      <c r="Y4133">
        <v>0.27301300000000001</v>
      </c>
      <c r="Z4133">
        <v>4.902041E-2</v>
      </c>
      <c r="AA4133">
        <v>0.96076059999999996</v>
      </c>
      <c r="AB4133">
        <v>27</v>
      </c>
      <c r="AC4133">
        <v>-8.5457999999999803</v>
      </c>
      <c r="AD4133">
        <v>-1.1107761681299999</v>
      </c>
      <c r="AE4133">
        <v>-15.549200000000001</v>
      </c>
      <c r="AF4133">
        <v>4.8780462022195596</v>
      </c>
      <c r="AG4133">
        <v>-1.1107761681299999</v>
      </c>
      <c r="AH4133">
        <v>16.987047060022199</v>
      </c>
      <c r="AI4133">
        <v>93.596284398153003</v>
      </c>
      <c r="AJ4133">
        <v>73.977909011100394</v>
      </c>
      <c r="AK4133">
        <v>17.708442231491802</v>
      </c>
      <c r="AL4133">
        <v>78.424092816496596</v>
      </c>
      <c r="AM4133">
        <v>89.610383433310105</v>
      </c>
      <c r="AN4133">
        <v>1.0000000349161899</v>
      </c>
    </row>
    <row r="4134" spans="1:40" x14ac:dyDescent="0.25">
      <c r="A4134" t="str">
        <f>"20190304155140754"</f>
        <v>20190304155140754</v>
      </c>
      <c r="B4134" t="str">
        <f>"1551685900751067"</f>
        <v>1551685900751067</v>
      </c>
      <c r="C4134" t="s">
        <v>40</v>
      </c>
      <c r="D4134">
        <v>5.6696210000000002</v>
      </c>
      <c r="E4134">
        <v>0.60239809999999905</v>
      </c>
      <c r="F4134" t="s">
        <v>84</v>
      </c>
      <c r="G4134">
        <v>-199.69630000000001</v>
      </c>
      <c r="H4134" s="1">
        <v>-1.31017E-5</v>
      </c>
      <c r="I4134">
        <v>152.2534</v>
      </c>
      <c r="J4134">
        <v>-191.09129999999999</v>
      </c>
      <c r="K4134">
        <v>1.1108640000000001</v>
      </c>
      <c r="L4134">
        <v>167.95760000000001</v>
      </c>
      <c r="M4134">
        <v>-0.2208329</v>
      </c>
      <c r="N4134">
        <v>-1.411808E-2</v>
      </c>
      <c r="O4134">
        <v>-0.97520969999999996</v>
      </c>
      <c r="P4134">
        <v>-0.2231272</v>
      </c>
      <c r="Q4134">
        <v>0.18723419999999999</v>
      </c>
      <c r="R4134">
        <v>-0.95663889999999996</v>
      </c>
      <c r="S4134">
        <v>-1.5348360000000001</v>
      </c>
      <c r="T4134">
        <v>-0.19739200000000001</v>
      </c>
      <c r="U4134">
        <v>-2.8158110000000001</v>
      </c>
      <c r="V4134">
        <v>6.2720519999999898E-3</v>
      </c>
      <c r="W4134">
        <v>0.20108590000000001</v>
      </c>
      <c r="X4134">
        <v>0.97955349999999997</v>
      </c>
      <c r="Y4134">
        <v>0.27215279999999997</v>
      </c>
      <c r="Z4134">
        <v>4.8486799999999997E-2</v>
      </c>
      <c r="AA4134">
        <v>0.96103170000000004</v>
      </c>
      <c r="AB4134">
        <v>27</v>
      </c>
      <c r="AC4134">
        <v>-8.6050000000000093</v>
      </c>
      <c r="AD4134">
        <v>-1.1108771017000001</v>
      </c>
      <c r="AE4134">
        <v>-15.7042</v>
      </c>
      <c r="AF4134">
        <v>4.9052877534372001</v>
      </c>
      <c r="AG4134">
        <v>-1.1108771017000001</v>
      </c>
      <c r="AH4134">
        <v>17.150864505331</v>
      </c>
      <c r="AI4134">
        <v>93.563432542743996</v>
      </c>
      <c r="AJ4134">
        <v>74.039036615205404</v>
      </c>
      <c r="AK4134">
        <v>17.873109666740302</v>
      </c>
      <c r="AL4134">
        <v>78.399532943542397</v>
      </c>
      <c r="AM4134">
        <v>89.633141837009006</v>
      </c>
      <c r="AN4134">
        <v>0.99999996858867402</v>
      </c>
    </row>
    <row r="4135" spans="1:40" x14ac:dyDescent="0.25">
      <c r="A4135" t="str">
        <f>"20190304155140773"</f>
        <v>20190304155140773</v>
      </c>
      <c r="B4135" t="str">
        <f>"1551685900760827"</f>
        <v>1551685900760827</v>
      </c>
      <c r="C4135" t="s">
        <v>40</v>
      </c>
      <c r="D4135">
        <v>5.6228949999999998</v>
      </c>
      <c r="E4135">
        <v>0.60232559999999902</v>
      </c>
      <c r="F4135" t="s">
        <v>84</v>
      </c>
      <c r="G4135">
        <v>-199.91370000000001</v>
      </c>
      <c r="H4135" s="1">
        <v>-1.2988449999999999E-5</v>
      </c>
      <c r="I4135">
        <v>151.72669999999999</v>
      </c>
      <c r="J4135">
        <v>-191.13980000000001</v>
      </c>
      <c r="K4135">
        <v>1.111008</v>
      </c>
      <c r="L4135">
        <v>167.7422</v>
      </c>
      <c r="M4135">
        <v>-0.22042059999999999</v>
      </c>
      <c r="N4135">
        <v>-1.410981E-2</v>
      </c>
      <c r="O4135">
        <v>-0.97530280000000003</v>
      </c>
      <c r="P4135">
        <v>-0.2218463</v>
      </c>
      <c r="Q4135">
        <v>0.18721360000000001</v>
      </c>
      <c r="R4135">
        <v>-0.95694060000000003</v>
      </c>
      <c r="S4135">
        <v>-1.530991</v>
      </c>
      <c r="T4135">
        <v>-0.192775</v>
      </c>
      <c r="U4135">
        <v>-2.8166199999999999</v>
      </c>
      <c r="V4135">
        <v>5.3008109999999999E-3</v>
      </c>
      <c r="W4135">
        <v>0.20105880000000001</v>
      </c>
      <c r="X4135">
        <v>0.97956480000000001</v>
      </c>
      <c r="Y4135">
        <v>0.27146710000000002</v>
      </c>
      <c r="Z4135">
        <v>4.7068310000000002E-2</v>
      </c>
      <c r="AA4135">
        <v>0.96129609999999999</v>
      </c>
      <c r="AB4135">
        <v>27</v>
      </c>
      <c r="AC4135">
        <v>-8.7738999999999905</v>
      </c>
      <c r="AD4135">
        <v>-1.11102098845</v>
      </c>
      <c r="AE4135">
        <v>-16.015499999999999</v>
      </c>
      <c r="AF4135">
        <v>5.0090230012544001</v>
      </c>
      <c r="AG4135">
        <v>-1.11102098845</v>
      </c>
      <c r="AH4135">
        <v>17.490916341417702</v>
      </c>
      <c r="AI4135">
        <v>93.494436957457694</v>
      </c>
      <c r="AJ4135">
        <v>74.019423938045705</v>
      </c>
      <c r="AK4135">
        <v>18.227913581272698</v>
      </c>
      <c r="AL4135">
        <v>78.401118031723897</v>
      </c>
      <c r="AM4135">
        <v>89.689952993638897</v>
      </c>
      <c r="AN4135">
        <v>0.99999996852686801</v>
      </c>
    </row>
    <row r="4136" spans="1:40" x14ac:dyDescent="0.25">
      <c r="A4136" t="str">
        <f>"20190304155140785"</f>
        <v>20190304155140785</v>
      </c>
      <c r="B4136" t="str">
        <f>"1551685900781323"</f>
        <v>1551685900781323</v>
      </c>
      <c r="C4136" t="s">
        <v>40</v>
      </c>
      <c r="D4136">
        <v>5.5648070000000001</v>
      </c>
      <c r="E4136">
        <v>0.60226420000000003</v>
      </c>
      <c r="F4136" t="s">
        <v>84</v>
      </c>
      <c r="G4136">
        <v>-200.06120000000001</v>
      </c>
      <c r="H4136" s="1">
        <v>-1.28290899999999E-5</v>
      </c>
      <c r="I4136">
        <v>151.27799999999999</v>
      </c>
      <c r="J4136">
        <v>-191.1739</v>
      </c>
      <c r="K4136">
        <v>1.111105</v>
      </c>
      <c r="L4136">
        <v>167.5898</v>
      </c>
      <c r="M4136">
        <v>-0.2200502</v>
      </c>
      <c r="N4136">
        <v>-1.410441E-2</v>
      </c>
      <c r="O4136">
        <v>-0.97538670000000005</v>
      </c>
      <c r="P4136">
        <v>-0.2209496</v>
      </c>
      <c r="Q4136">
        <v>0.18718660000000001</v>
      </c>
      <c r="R4136">
        <v>-0.95715360000000005</v>
      </c>
      <c r="S4136">
        <v>-1.527069</v>
      </c>
      <c r="T4136">
        <v>-0.1901728</v>
      </c>
      <c r="U4136">
        <v>-2.8181609999999999</v>
      </c>
      <c r="V4136">
        <v>4.7053440000000002E-3</v>
      </c>
      <c r="W4136">
        <v>0.2010275</v>
      </c>
      <c r="X4136">
        <v>0.97957430000000001</v>
      </c>
      <c r="Y4136">
        <v>0.27059860000000002</v>
      </c>
      <c r="Z4136">
        <v>4.6262669999999999E-2</v>
      </c>
      <c r="AA4136">
        <v>0.96157999999999999</v>
      </c>
      <c r="AB4136">
        <v>27</v>
      </c>
      <c r="AC4136">
        <v>-8.8873000000000104</v>
      </c>
      <c r="AD4136">
        <v>-1.1111178290899999</v>
      </c>
      <c r="AE4136">
        <v>-16.311800000000002</v>
      </c>
      <c r="AF4136">
        <v>5.0615344284514503</v>
      </c>
      <c r="AG4136">
        <v>-1.1111178290899999</v>
      </c>
      <c r="AH4136">
        <v>17.8040392262034</v>
      </c>
      <c r="AI4136">
        <v>93.435313301719404</v>
      </c>
      <c r="AJ4136">
        <v>74.130007293548502</v>
      </c>
      <c r="AK4136">
        <v>18.542856478134901</v>
      </c>
      <c r="AL4136">
        <v>78.402949169829796</v>
      </c>
      <c r="AM4136">
        <v>89.7247842466859</v>
      </c>
      <c r="AN4136">
        <v>1.00000000261944</v>
      </c>
    </row>
    <row r="4137" spans="1:40" x14ac:dyDescent="0.25">
      <c r="A4137" t="str">
        <f>"20190304155140798"</f>
        <v>20190304155140798</v>
      </c>
      <c r="B4137" t="str">
        <f>"1551685900791084"</f>
        <v>1551685900791084</v>
      </c>
      <c r="C4137" t="s">
        <v>40</v>
      </c>
      <c r="D4137">
        <v>9.3700240000000008</v>
      </c>
      <c r="E4137">
        <v>0.60226420000000003</v>
      </c>
      <c r="F4137" t="s">
        <v>84</v>
      </c>
      <c r="G4137">
        <v>-200.22900000000001</v>
      </c>
      <c r="H4137" s="1">
        <v>-1.263628E-5</v>
      </c>
      <c r="I4137">
        <v>150.83680000000001</v>
      </c>
      <c r="J4137">
        <v>-191.20830000000001</v>
      </c>
      <c r="K4137">
        <v>1.111199</v>
      </c>
      <c r="L4137">
        <v>167.4357</v>
      </c>
      <c r="M4137">
        <v>-0.21959770000000001</v>
      </c>
      <c r="N4137">
        <v>-1.409961E-2</v>
      </c>
      <c r="O4137">
        <v>-0.97548869999999999</v>
      </c>
      <c r="P4137">
        <v>-0.22035679999999999</v>
      </c>
      <c r="Q4137">
        <v>0.1869034</v>
      </c>
      <c r="R4137">
        <v>-0.95734540000000001</v>
      </c>
      <c r="S4137">
        <v>-1.5237579999999999</v>
      </c>
      <c r="T4137">
        <v>-0.1869749</v>
      </c>
      <c r="U4137">
        <v>-2.8191380000000001</v>
      </c>
      <c r="V4137">
        <v>4.4952159999999998E-3</v>
      </c>
      <c r="W4137">
        <v>0.20074110000000001</v>
      </c>
      <c r="X4137">
        <v>0.979634</v>
      </c>
      <c r="Y4137">
        <v>0.27005590000000002</v>
      </c>
      <c r="Z4137">
        <v>4.5276490000000003E-2</v>
      </c>
      <c r="AA4137">
        <v>0.96177950000000001</v>
      </c>
      <c r="AB4137">
        <v>27</v>
      </c>
      <c r="AC4137">
        <v>-9.0206999999999997</v>
      </c>
      <c r="AD4137">
        <v>-1.11121163628</v>
      </c>
      <c r="AE4137">
        <v>-16.598899999999901</v>
      </c>
      <c r="AF4137">
        <v>5.1372488277703496</v>
      </c>
      <c r="AG4137">
        <v>-1.11121163628</v>
      </c>
      <c r="AH4137">
        <v>18.112105319722598</v>
      </c>
      <c r="AI4137">
        <v>93.377883542710293</v>
      </c>
      <c r="AJ4137">
        <v>74.164743589294503</v>
      </c>
      <c r="AK4137">
        <v>18.859333920681198</v>
      </c>
      <c r="AL4137">
        <v>78.419699944298699</v>
      </c>
      <c r="AM4137">
        <v>89.737090487746798</v>
      </c>
      <c r="AN4137">
        <v>0.99999998507604804</v>
      </c>
    </row>
    <row r="4138" spans="1:40" x14ac:dyDescent="0.25">
      <c r="A4138" t="str">
        <f>"20190304155140819"</f>
        <v>20190304155140819</v>
      </c>
      <c r="B4138" t="str">
        <f>"1551685900810602"</f>
        <v>1551685900810602</v>
      </c>
      <c r="C4138" t="s">
        <v>40</v>
      </c>
      <c r="D4138">
        <v>5.0442169999999997</v>
      </c>
      <c r="E4138">
        <v>0.56814489999999995</v>
      </c>
      <c r="F4138" t="s">
        <v>84</v>
      </c>
      <c r="G4138">
        <v>-200.20820000000001</v>
      </c>
      <c r="H4138" s="1">
        <v>-1.262686E-5</v>
      </c>
      <c r="I4138">
        <v>150.75909999999999</v>
      </c>
      <c r="J4138">
        <v>-191.26230000000001</v>
      </c>
      <c r="K4138">
        <v>1.11134</v>
      </c>
      <c r="L4138">
        <v>167.19220000000001</v>
      </c>
      <c r="M4138">
        <v>-0.21877540000000001</v>
      </c>
      <c r="N4138">
        <v>-1.4092729999999999E-2</v>
      </c>
      <c r="O4138">
        <v>-0.97567340000000002</v>
      </c>
      <c r="P4138">
        <v>-0.2199132</v>
      </c>
      <c r="Q4138">
        <v>0.1850984</v>
      </c>
      <c r="R4138">
        <v>-0.95779780000000003</v>
      </c>
      <c r="S4138">
        <v>-1.5218959999999999</v>
      </c>
      <c r="T4138">
        <v>-0.18790709999999999</v>
      </c>
      <c r="U4138">
        <v>-2.8200379999999998</v>
      </c>
      <c r="V4138">
        <v>4.7232690000000004E-3</v>
      </c>
      <c r="W4138">
        <v>0.19893630000000001</v>
      </c>
      <c r="X4138">
        <v>0.98000100000000001</v>
      </c>
      <c r="Y4138">
        <v>0.27024019999999999</v>
      </c>
      <c r="Z4138">
        <v>4.5577560000000003E-2</v>
      </c>
      <c r="AA4138">
        <v>0.96171359999999995</v>
      </c>
      <c r="AB4138">
        <v>27</v>
      </c>
      <c r="AC4138">
        <v>-8.9458999999999893</v>
      </c>
      <c r="AD4138">
        <v>-1.11135262686</v>
      </c>
      <c r="AE4138">
        <v>-16.4331</v>
      </c>
      <c r="AF4138">
        <v>5.1155804927787702</v>
      </c>
      <c r="AG4138">
        <v>-1.11135262686</v>
      </c>
      <c r="AH4138">
        <v>17.929013939187101</v>
      </c>
      <c r="AI4138">
        <v>93.411217246339902</v>
      </c>
      <c r="AJ4138">
        <v>74.075272830992105</v>
      </c>
      <c r="AK4138">
        <v>18.677628577281801</v>
      </c>
      <c r="AL4138">
        <v>78.525235889354803</v>
      </c>
      <c r="AM4138">
        <v>89.7238561146482</v>
      </c>
      <c r="AN4138">
        <v>0.999999960364367</v>
      </c>
    </row>
    <row r="4139" spans="1:40" x14ac:dyDescent="0.25">
      <c r="A4139" t="str">
        <f>"20190304155140840"</f>
        <v>20190304155140840</v>
      </c>
      <c r="B4139" t="str">
        <f>"1551685900831098"</f>
        <v>1551685900831098</v>
      </c>
      <c r="C4139" t="s">
        <v>40</v>
      </c>
      <c r="D4139">
        <v>5.2412130000000001</v>
      </c>
      <c r="E4139">
        <v>0.57261490000000004</v>
      </c>
      <c r="F4139" t="s">
        <v>67</v>
      </c>
      <c r="G4139">
        <v>-213.50640000000001</v>
      </c>
      <c r="H4139">
        <v>5.7733670000000004</v>
      </c>
      <c r="I4139">
        <v>115.91379999999999</v>
      </c>
      <c r="J4139">
        <v>-191.31899999999999</v>
      </c>
      <c r="K4139">
        <v>1.111486</v>
      </c>
      <c r="L4139">
        <v>166.93450000000001</v>
      </c>
      <c r="M4139">
        <v>-0.21774060000000001</v>
      </c>
      <c r="N4139">
        <v>-1.408656E-2</v>
      </c>
      <c r="O4139">
        <v>-0.97590480000000002</v>
      </c>
      <c r="P4139">
        <v>-0.21955669999999999</v>
      </c>
      <c r="Q4139">
        <v>0.1834607</v>
      </c>
      <c r="R4139">
        <v>-0.95819460000000001</v>
      </c>
      <c r="S4139">
        <v>-1.2162170000000001</v>
      </c>
      <c r="T4139">
        <v>0.25490069999999998</v>
      </c>
      <c r="U4139">
        <v>-2.8036799999999999</v>
      </c>
      <c r="V4139">
        <v>5.2627489999999997E-3</v>
      </c>
      <c r="W4139">
        <v>0.1973</v>
      </c>
      <c r="X4139">
        <v>0.98032900000000001</v>
      </c>
      <c r="Y4139">
        <v>0.18683939999999999</v>
      </c>
      <c r="Z4139">
        <v>-9.6245300000000006E-2</v>
      </c>
      <c r="AA4139">
        <v>0.97766450000000005</v>
      </c>
      <c r="AB4139">
        <v>27</v>
      </c>
      <c r="AC4139">
        <v>-22.1874</v>
      </c>
      <c r="AD4139">
        <v>4.6618809999999904</v>
      </c>
      <c r="AE4139">
        <v>-51.020699999999998</v>
      </c>
      <c r="AF4139">
        <v>10.471042302182299</v>
      </c>
      <c r="AG4139">
        <v>4.6618809999999904</v>
      </c>
      <c r="AH4139">
        <v>54.247000621052301</v>
      </c>
      <c r="AI4139">
        <v>85.176781218454494</v>
      </c>
      <c r="AJ4139">
        <v>79.074829955302405</v>
      </c>
      <c r="AK4139">
        <v>55.444683584025498</v>
      </c>
      <c r="AL4139">
        <v>78.620885011702796</v>
      </c>
      <c r="AM4139">
        <v>89.692419167708707</v>
      </c>
      <c r="AN4139">
        <v>0.99999996738401797</v>
      </c>
    </row>
    <row r="4140" spans="1:40" x14ac:dyDescent="0.25">
      <c r="A4140" t="str">
        <f>"20190304155140862"</f>
        <v>20190304155140862</v>
      </c>
      <c r="B4140" t="str">
        <f>"1551685900851184"</f>
        <v>1551685900851184</v>
      </c>
      <c r="C4140" t="s">
        <v>40</v>
      </c>
      <c r="D4140">
        <v>5.263204</v>
      </c>
      <c r="E4140">
        <v>0.57505130000000004</v>
      </c>
      <c r="F4140" t="s">
        <v>61</v>
      </c>
      <c r="G4140">
        <v>-215.33529999999999</v>
      </c>
      <c r="H4140">
        <v>3.8018510000000001</v>
      </c>
      <c r="I4140">
        <v>113.2439</v>
      </c>
      <c r="J4140">
        <v>-191.3751</v>
      </c>
      <c r="K4140">
        <v>1.111621</v>
      </c>
      <c r="L4140">
        <v>166.67699999999999</v>
      </c>
      <c r="M4140">
        <v>-0.21654599999999999</v>
      </c>
      <c r="N4140">
        <v>-1.4081349999999999E-2</v>
      </c>
      <c r="O4140">
        <v>-0.97617109999999996</v>
      </c>
      <c r="P4140">
        <v>-0.21872530000000001</v>
      </c>
      <c r="Q4140">
        <v>0.18245220000000001</v>
      </c>
      <c r="R4140">
        <v>-0.95857749999999997</v>
      </c>
      <c r="S4140">
        <v>-1.259323</v>
      </c>
      <c r="T4140">
        <v>0.1410737</v>
      </c>
      <c r="U4140">
        <v>-2.8153229999999998</v>
      </c>
      <c r="V4140">
        <v>5.50857E-3</v>
      </c>
      <c r="W4140">
        <v>0.1962911</v>
      </c>
      <c r="X4140">
        <v>0.98053020000000002</v>
      </c>
      <c r="Y4140">
        <v>0.20025660000000001</v>
      </c>
      <c r="Z4140">
        <v>-5.9032569999999999E-2</v>
      </c>
      <c r="AA4140">
        <v>0.97796340000000004</v>
      </c>
      <c r="AB4140">
        <v>27</v>
      </c>
      <c r="AC4140">
        <v>-23.960199999999901</v>
      </c>
      <c r="AD4140">
        <v>2.6902300000000001</v>
      </c>
      <c r="AE4140">
        <v>-53.433100000000003</v>
      </c>
      <c r="AF4140">
        <v>11.794806754253599</v>
      </c>
      <c r="AG4140">
        <v>2.6902300000000001</v>
      </c>
      <c r="AH4140">
        <v>57.233215122035702</v>
      </c>
      <c r="AI4140">
        <v>87.364120716746299</v>
      </c>
      <c r="AJ4140">
        <v>78.355324166826804</v>
      </c>
      <c r="AK4140">
        <v>58.4978266008943</v>
      </c>
      <c r="AL4140">
        <v>78.679844143040199</v>
      </c>
      <c r="AM4140">
        <v>89.678118540589395</v>
      </c>
      <c r="AN4140">
        <v>1.00000000669734</v>
      </c>
    </row>
    <row r="4141" spans="1:40" x14ac:dyDescent="0.25">
      <c r="A4141" t="str">
        <f>"20190304155140875"</f>
        <v>20190304155140875</v>
      </c>
      <c r="B4141" t="str">
        <f>"1551685900870704"</f>
        <v>1551685900870704</v>
      </c>
      <c r="C4141" t="s">
        <v>40</v>
      </c>
      <c r="D4141">
        <v>5.4755799999999999</v>
      </c>
      <c r="E4141">
        <v>0.57309180000000004</v>
      </c>
      <c r="F4141" t="s">
        <v>61</v>
      </c>
      <c r="G4141">
        <v>-215.74870000000001</v>
      </c>
      <c r="H4141">
        <v>2.8605390000000002</v>
      </c>
      <c r="I4141">
        <v>112.9751</v>
      </c>
      <c r="J4141">
        <v>-191.4068</v>
      </c>
      <c r="K4141">
        <v>1.1116889999999999</v>
      </c>
      <c r="L4141">
        <v>166.53049999999999</v>
      </c>
      <c r="M4141">
        <v>-0.21579319999999999</v>
      </c>
      <c r="N4141">
        <v>-1.4078780000000001E-2</v>
      </c>
      <c r="O4141">
        <v>-0.97633789999999998</v>
      </c>
      <c r="P4141">
        <v>-0.2186013</v>
      </c>
      <c r="Q4141">
        <v>0.1825193</v>
      </c>
      <c r="R4141">
        <v>-0.95859340000000004</v>
      </c>
      <c r="S4141">
        <v>-1.2799529999999999</v>
      </c>
      <c r="T4141">
        <v>9.1843839999999996E-2</v>
      </c>
      <c r="U4141">
        <v>-2.8200989999999999</v>
      </c>
      <c r="V4141">
        <v>6.1085219999999999E-3</v>
      </c>
      <c r="W4141">
        <v>0.196358</v>
      </c>
      <c r="X4141">
        <v>0.98051330000000003</v>
      </c>
      <c r="Y4141">
        <v>0.2066625</v>
      </c>
      <c r="Z4141">
        <v>-4.3034030000000001E-2</v>
      </c>
      <c r="AA4141">
        <v>0.97746549999999999</v>
      </c>
      <c r="AB4141">
        <v>27</v>
      </c>
      <c r="AC4141">
        <v>-24.341899999999999</v>
      </c>
      <c r="AD4141">
        <v>1.74884999999999</v>
      </c>
      <c r="AE4141">
        <v>-53.555399999999899</v>
      </c>
      <c r="AF4141">
        <v>12.199453284228101</v>
      </c>
      <c r="AG4141">
        <v>1.74884999999999</v>
      </c>
      <c r="AH4141">
        <v>57.495855947448597</v>
      </c>
      <c r="AI4141">
        <v>88.2956915930598</v>
      </c>
      <c r="AJ4141">
        <v>78.0206609507878</v>
      </c>
      <c r="AK4141">
        <v>58.801858711152398</v>
      </c>
      <c r="AL4141">
        <v>78.675935531450605</v>
      </c>
      <c r="AM4141">
        <v>89.6430563442579</v>
      </c>
      <c r="AN4141">
        <v>1.00000005484095</v>
      </c>
    </row>
    <row r="4142" spans="1:40" x14ac:dyDescent="0.25">
      <c r="A4142" t="str">
        <f>"20190304155140888"</f>
        <v>20190304155140888</v>
      </c>
      <c r="B4142" t="str">
        <f>"1551685900880464"</f>
        <v>1551685900880464</v>
      </c>
      <c r="C4142" t="s">
        <v>40</v>
      </c>
      <c r="D4142">
        <v>5.4885089999999996</v>
      </c>
      <c r="E4142">
        <v>0.5716019</v>
      </c>
      <c r="F4142" t="s">
        <v>61</v>
      </c>
      <c r="G4142">
        <v>-215.28020000000001</v>
      </c>
      <c r="H4142">
        <v>2.18072</v>
      </c>
      <c r="I4142">
        <v>113.2439</v>
      </c>
      <c r="J4142">
        <v>-191.4409</v>
      </c>
      <c r="K4142">
        <v>1.1117600000000001</v>
      </c>
      <c r="L4142">
        <v>166.3724</v>
      </c>
      <c r="M4142">
        <v>-0.21494170000000001</v>
      </c>
      <c r="N4142">
        <v>-1.4076139999999999E-2</v>
      </c>
      <c r="O4142">
        <v>-0.97652539999999999</v>
      </c>
      <c r="P4142">
        <v>-0.21829080000000001</v>
      </c>
      <c r="Q4142">
        <v>0.18236559999999999</v>
      </c>
      <c r="R4142">
        <v>-0.95869280000000001</v>
      </c>
      <c r="S4142">
        <v>-1.26774599999999</v>
      </c>
      <c r="T4142">
        <v>5.6769970000000003E-2</v>
      </c>
      <c r="U4142">
        <v>-2.829666</v>
      </c>
      <c r="V4142">
        <v>6.6073769999999898E-3</v>
      </c>
      <c r="W4142">
        <v>0.19620460000000001</v>
      </c>
      <c r="X4142">
        <v>0.98054070000000004</v>
      </c>
      <c r="Y4142">
        <v>0.20292389999999999</v>
      </c>
      <c r="Z4142">
        <v>-3.171421E-2</v>
      </c>
      <c r="AA4142">
        <v>0.97868080000000002</v>
      </c>
      <c r="AB4142">
        <v>27</v>
      </c>
      <c r="AC4142">
        <v>-23.839300000000001</v>
      </c>
      <c r="AD4142">
        <v>1.0689599999999999</v>
      </c>
      <c r="AE4142">
        <v>-53.128500000000003</v>
      </c>
      <c r="AF4142">
        <v>11.857331767482901</v>
      </c>
      <c r="AG4142">
        <v>1.0689599999999999</v>
      </c>
      <c r="AH4142">
        <v>56.9918347115036</v>
      </c>
      <c r="AI4142">
        <v>88.947987438906395</v>
      </c>
      <c r="AJ4142">
        <v>78.247096481437794</v>
      </c>
      <c r="AK4142">
        <v>58.222059529950599</v>
      </c>
      <c r="AL4142">
        <v>78.684898246774495</v>
      </c>
      <c r="AM4142">
        <v>89.613918029234895</v>
      </c>
      <c r="AN4142">
        <v>0.99999998342423502</v>
      </c>
    </row>
    <row r="4143" spans="1:40" x14ac:dyDescent="0.25">
      <c r="A4143" t="str">
        <f>"20190304155140899"</f>
        <v>20190304155140899</v>
      </c>
      <c r="B4143" t="str">
        <f>"1551685900891200"</f>
        <v>1551685900891200</v>
      </c>
      <c r="C4143" t="s">
        <v>40</v>
      </c>
      <c r="D4143">
        <v>5.5158719999999999</v>
      </c>
      <c r="E4143">
        <v>0.57107830000000004</v>
      </c>
      <c r="F4143" t="s">
        <v>61</v>
      </c>
      <c r="G4143">
        <v>-215.09129999999999</v>
      </c>
      <c r="H4143">
        <v>1.8691549999999999</v>
      </c>
      <c r="I4143">
        <v>112.99339999999999</v>
      </c>
      <c r="J4143">
        <v>-191.4718</v>
      </c>
      <c r="K4143">
        <v>1.1118129999999999</v>
      </c>
      <c r="L4143">
        <v>166.2278</v>
      </c>
      <c r="M4143">
        <v>-0.2140956</v>
      </c>
      <c r="N4143">
        <v>-1.4074110000000001E-2</v>
      </c>
      <c r="O4143">
        <v>-0.97671140000000001</v>
      </c>
      <c r="P4143">
        <v>-0.21792790000000001</v>
      </c>
      <c r="Q4143">
        <v>0.18240129999999999</v>
      </c>
      <c r="R4143">
        <v>-0.95876879999999998</v>
      </c>
      <c r="S4143">
        <v>-1.256332</v>
      </c>
      <c r="T4143">
        <v>4.023492E-2</v>
      </c>
      <c r="U4143">
        <v>-2.8355410000000001</v>
      </c>
      <c r="V4143">
        <v>7.0611900000000002E-3</v>
      </c>
      <c r="W4143">
        <v>0.19624059999999999</v>
      </c>
      <c r="X4143">
        <v>0.98053040000000002</v>
      </c>
      <c r="Y4143">
        <v>0.19978290000000001</v>
      </c>
      <c r="Z4143">
        <v>-2.6392680000000002E-2</v>
      </c>
      <c r="AA4143">
        <v>0.97948469999999999</v>
      </c>
      <c r="AB4143">
        <v>27</v>
      </c>
      <c r="AC4143">
        <v>-23.619499999999899</v>
      </c>
      <c r="AD4143">
        <v>0.75734199999999996</v>
      </c>
      <c r="AE4143">
        <v>-53.234400000000001</v>
      </c>
      <c r="AF4143">
        <v>11.671365641422</v>
      </c>
      <c r="AG4143">
        <v>0.75734199999999996</v>
      </c>
      <c r="AH4143">
        <v>57.047475884368403</v>
      </c>
      <c r="AI4143">
        <v>89.254839802134796</v>
      </c>
      <c r="AJ4143">
        <v>78.437397717768903</v>
      </c>
      <c r="AK4143">
        <v>58.234086647068899</v>
      </c>
      <c r="AL4143">
        <v>78.682795461124996</v>
      </c>
      <c r="AM4143">
        <v>89.587397400670199</v>
      </c>
      <c r="AN4143">
        <v>1.0000000494083601</v>
      </c>
    </row>
    <row r="4144" spans="1:40" x14ac:dyDescent="0.25">
      <c r="A4144" t="str">
        <f>"20190304155140918"</f>
        <v>20190304155140918</v>
      </c>
      <c r="B4144" t="str">
        <f>"1551685900910723"</f>
        <v>1551685900910723</v>
      </c>
      <c r="C4144" t="s">
        <v>40</v>
      </c>
      <c r="D4144">
        <v>5.1486739999999998</v>
      </c>
      <c r="E4144">
        <v>0.57148489999999996</v>
      </c>
      <c r="F4144" t="s">
        <v>61</v>
      </c>
      <c r="G4144">
        <v>-215.20400000000001</v>
      </c>
      <c r="H4144">
        <v>1.6955389999999999</v>
      </c>
      <c r="I4144">
        <v>112.4374</v>
      </c>
      <c r="J4144">
        <v>-191.51669999999999</v>
      </c>
      <c r="K4144">
        <v>1.1118840000000001</v>
      </c>
      <c r="L4144">
        <v>166.01689999999999</v>
      </c>
      <c r="M4144">
        <v>-0.21281510000000001</v>
      </c>
      <c r="N4144">
        <v>-1.4071159999999999E-2</v>
      </c>
      <c r="O4144">
        <v>-0.97699119999999995</v>
      </c>
      <c r="P4144">
        <v>-0.2183329</v>
      </c>
      <c r="Q4144">
        <v>0.1817628</v>
      </c>
      <c r="R4144">
        <v>-0.95879760000000003</v>
      </c>
      <c r="S4144">
        <v>-1.2523500000000001</v>
      </c>
      <c r="T4144">
        <v>3.080463E-2</v>
      </c>
      <c r="U4144">
        <v>-2.8385159999999998</v>
      </c>
      <c r="V4144">
        <v>8.7064689999999997E-3</v>
      </c>
      <c r="W4144">
        <v>0.19560649999999999</v>
      </c>
      <c r="X4144">
        <v>0.98064379999999995</v>
      </c>
      <c r="Y4144">
        <v>0.1995642</v>
      </c>
      <c r="Z4144">
        <v>-2.335916E-2</v>
      </c>
      <c r="AA4144">
        <v>0.97960630000000004</v>
      </c>
      <c r="AB4144">
        <v>27</v>
      </c>
      <c r="AC4144">
        <v>-23.6873</v>
      </c>
      <c r="AD4144">
        <v>0.58365499999999904</v>
      </c>
      <c r="AE4144">
        <v>-53.579500000000003</v>
      </c>
      <c r="AF4144">
        <v>11.739753675035301</v>
      </c>
      <c r="AG4144">
        <v>0.58365499999999904</v>
      </c>
      <c r="AH4144">
        <v>57.387698858727397</v>
      </c>
      <c r="AI4144">
        <v>89.429121922677695</v>
      </c>
      <c r="AJ4144">
        <v>78.438565222125703</v>
      </c>
      <c r="AK4144">
        <v>58.579095672513702</v>
      </c>
      <c r="AL4144">
        <v>78.719844011863998</v>
      </c>
      <c r="AM4144">
        <v>89.491323126979694</v>
      </c>
      <c r="AN4144">
        <v>0.99999998396156797</v>
      </c>
    </row>
    <row r="4145" spans="1:40" x14ac:dyDescent="0.25">
      <c r="A4145" t="str">
        <f>"20190304155140930"</f>
        <v>20190304155140930</v>
      </c>
      <c r="B4145" t="str">
        <f>"1551685900921457"</f>
        <v>1551685900921457</v>
      </c>
      <c r="C4145" t="s">
        <v>40</v>
      </c>
      <c r="D4145">
        <v>5.2138589999999896</v>
      </c>
      <c r="E4145">
        <v>0.57278050000000003</v>
      </c>
      <c r="F4145" t="s">
        <v>61</v>
      </c>
      <c r="G4145">
        <v>-215.09129999999999</v>
      </c>
      <c r="H4145">
        <v>1.41255</v>
      </c>
      <c r="I4145">
        <v>112.8075</v>
      </c>
      <c r="J4145">
        <v>-191.5463</v>
      </c>
      <c r="K4145">
        <v>1.1119220000000001</v>
      </c>
      <c r="L4145">
        <v>165.87639999999999</v>
      </c>
      <c r="M4145">
        <v>-0.21193300000000001</v>
      </c>
      <c r="N4145">
        <v>-1.406924E-2</v>
      </c>
      <c r="O4145">
        <v>-0.97718329999999998</v>
      </c>
      <c r="P4145">
        <v>-0.21798139999999999</v>
      </c>
      <c r="Q4145">
        <v>0.1809624</v>
      </c>
      <c r="R4145">
        <v>-0.95902969999999998</v>
      </c>
      <c r="S4145">
        <v>-1.258011</v>
      </c>
      <c r="T4145">
        <v>1.6045810000000001E-2</v>
      </c>
      <c r="U4145">
        <v>-2.8394010000000001</v>
      </c>
      <c r="V4145">
        <v>9.1840489999999997E-3</v>
      </c>
      <c r="W4145">
        <v>0.1948087</v>
      </c>
      <c r="X4145">
        <v>0.98079819999999995</v>
      </c>
      <c r="Y4145">
        <v>0.20200399999999999</v>
      </c>
      <c r="Z4145">
        <v>-1.8605489999999999E-2</v>
      </c>
      <c r="AA4145">
        <v>0.97920799999999997</v>
      </c>
      <c r="AB4145">
        <v>27</v>
      </c>
      <c r="AC4145">
        <v>-23.544999999999899</v>
      </c>
      <c r="AD4145">
        <v>0.30062800000000001</v>
      </c>
      <c r="AE4145">
        <v>-53.0688999999999</v>
      </c>
      <c r="AF4145">
        <v>11.761574043769</v>
      </c>
      <c r="AG4145">
        <v>0.30062800000000001</v>
      </c>
      <c r="AH4145">
        <v>56.852087042638097</v>
      </c>
      <c r="AI4145">
        <v>89.703311049892505</v>
      </c>
      <c r="AJ4145">
        <v>78.311526445594296</v>
      </c>
      <c r="AK4145">
        <v>58.056737785421099</v>
      </c>
      <c r="AL4145">
        <v>78.766450749822198</v>
      </c>
      <c r="AM4145">
        <v>89.463506491177498</v>
      </c>
      <c r="AN4145">
        <v>0.99999994273748005</v>
      </c>
    </row>
    <row r="4146" spans="1:40" x14ac:dyDescent="0.25">
      <c r="A4146" t="str">
        <f>"20190304155140941"</f>
        <v>20190304155140941</v>
      </c>
      <c r="B4146" t="str">
        <f>"1551685900931216"</f>
        <v>1551685900931216</v>
      </c>
      <c r="C4146" t="s">
        <v>40</v>
      </c>
      <c r="D4146">
        <v>5.2601599999999999</v>
      </c>
      <c r="E4146">
        <v>0.57393380000000005</v>
      </c>
      <c r="F4146" t="s">
        <v>61</v>
      </c>
      <c r="G4146">
        <v>-215.09129999999999</v>
      </c>
      <c r="H4146">
        <v>1.324584</v>
      </c>
      <c r="I4146">
        <v>113.1581</v>
      </c>
      <c r="J4146">
        <v>-191.57560000000001</v>
      </c>
      <c r="K4146">
        <v>1.1119520000000001</v>
      </c>
      <c r="L4146">
        <v>165.7371</v>
      </c>
      <c r="M4146">
        <v>-0.21102870000000001</v>
      </c>
      <c r="N4146">
        <v>-1.4067430000000001E-2</v>
      </c>
      <c r="O4146">
        <v>-0.977379</v>
      </c>
      <c r="P4146">
        <v>-0.21764059999999999</v>
      </c>
      <c r="Q4146">
        <v>0.1807134</v>
      </c>
      <c r="R4146">
        <v>-0.9591537</v>
      </c>
      <c r="S4146">
        <v>-1.267471</v>
      </c>
      <c r="T4146">
        <v>1.144946E-2</v>
      </c>
      <c r="U4146">
        <v>-2.8379210000000001</v>
      </c>
      <c r="V4146">
        <v>9.7205099999999999E-3</v>
      </c>
      <c r="W4146">
        <v>0.19456129999999999</v>
      </c>
      <c r="X4146">
        <v>0.9808422</v>
      </c>
      <c r="Y4146">
        <v>0.2058314</v>
      </c>
      <c r="Z4146">
        <v>-1.7122780000000001E-2</v>
      </c>
      <c r="AA4146">
        <v>0.97843769999999997</v>
      </c>
      <c r="AB4146">
        <v>27</v>
      </c>
      <c r="AC4146">
        <v>-23.515699999999899</v>
      </c>
      <c r="AD4146">
        <v>0.21263199999999999</v>
      </c>
      <c r="AE4146">
        <v>-52.578999999999901</v>
      </c>
      <c r="AF4146">
        <v>11.889083512618001</v>
      </c>
      <c r="AG4146">
        <v>0.21263199999999999</v>
      </c>
      <c r="AH4146">
        <v>56.3568865164995</v>
      </c>
      <c r="AI4146">
        <v>89.7884820842431</v>
      </c>
      <c r="AJ4146">
        <v>78.087516528383205</v>
      </c>
      <c r="AK4146">
        <v>57.597692462207497</v>
      </c>
      <c r="AL4146">
        <v>78.780902946426394</v>
      </c>
      <c r="AM4146">
        <v>89.432196162358693</v>
      </c>
      <c r="AN4146">
        <v>1.00000000453659</v>
      </c>
    </row>
    <row r="4147" spans="1:40" x14ac:dyDescent="0.25">
      <c r="A4147" t="str">
        <f>"20190304155140964"</f>
        <v>20190304155140964</v>
      </c>
      <c r="B4147" t="str">
        <f>"1551685900961080"</f>
        <v>1551685900961080</v>
      </c>
      <c r="C4147" t="s">
        <v>40</v>
      </c>
      <c r="D4147">
        <v>5.2581470000000001</v>
      </c>
      <c r="E4147">
        <v>0.57316429999999996</v>
      </c>
      <c r="F4147" t="s">
        <v>61</v>
      </c>
      <c r="G4147">
        <v>-215.18860000000001</v>
      </c>
      <c r="H4147">
        <v>1.317447</v>
      </c>
      <c r="I4147">
        <v>113.2439</v>
      </c>
      <c r="J4147">
        <v>-191.62860000000001</v>
      </c>
      <c r="K4147">
        <v>1.1119920000000001</v>
      </c>
      <c r="L4147">
        <v>165.48249999999999</v>
      </c>
      <c r="M4147">
        <v>-0.20934630000000001</v>
      </c>
      <c r="N4147">
        <v>-1.4063890000000001E-2</v>
      </c>
      <c r="O4147">
        <v>-0.97774050000000001</v>
      </c>
      <c r="P4147">
        <v>-0.21607979999999999</v>
      </c>
      <c r="Q4147">
        <v>0.18069540000000001</v>
      </c>
      <c r="R4147">
        <v>-0.95950970000000002</v>
      </c>
      <c r="S4147">
        <v>-1.275803</v>
      </c>
      <c r="T4147">
        <v>1.110423E-2</v>
      </c>
      <c r="U4147">
        <v>-2.836182</v>
      </c>
      <c r="V4147">
        <v>9.7925640000000001E-3</v>
      </c>
      <c r="W4147">
        <v>0.19454070000000001</v>
      </c>
      <c r="X4147">
        <v>0.98084559999999998</v>
      </c>
      <c r="Y4147">
        <v>0.21013029999999999</v>
      </c>
      <c r="Z4147">
        <v>-1.7009650000000001E-2</v>
      </c>
      <c r="AA4147">
        <v>0.97752539999999999</v>
      </c>
      <c r="AB4147">
        <v>27</v>
      </c>
      <c r="AC4147">
        <v>-23.56</v>
      </c>
      <c r="AD4147">
        <v>0.205454999999999</v>
      </c>
      <c r="AE4147">
        <v>-52.238599999999899</v>
      </c>
      <c r="AF4147">
        <v>12.1006488800091</v>
      </c>
      <c r="AG4147">
        <v>0.205454999999999</v>
      </c>
      <c r="AH4147">
        <v>56.012809291772001</v>
      </c>
      <c r="AI4147">
        <v>89.794578859568603</v>
      </c>
      <c r="AJ4147">
        <v>77.809527446446197</v>
      </c>
      <c r="AK4147">
        <v>57.305346345962398</v>
      </c>
      <c r="AL4147">
        <v>78.782106573585196</v>
      </c>
      <c r="AM4147">
        <v>89.427989535700107</v>
      </c>
      <c r="AN4147">
        <v>1.00000003465277</v>
      </c>
    </row>
    <row r="4148" spans="1:40" x14ac:dyDescent="0.25">
      <c r="A4148" t="str">
        <f>"20190304155140984"</f>
        <v>20190304155140984</v>
      </c>
      <c r="B4148" t="str">
        <f>"1551685900980601"</f>
        <v>1551685900980601</v>
      </c>
      <c r="C4148" t="s">
        <v>40</v>
      </c>
      <c r="D4148">
        <v>4.8390269999999997</v>
      </c>
      <c r="E4148">
        <v>0.5755557</v>
      </c>
      <c r="F4148" t="s">
        <v>61</v>
      </c>
      <c r="G4148">
        <v>-215.09129999999999</v>
      </c>
      <c r="H4148">
        <v>1.0838970000000001</v>
      </c>
      <c r="I4148">
        <v>112.86</v>
      </c>
      <c r="J4148">
        <v>-191.68029999999999</v>
      </c>
      <c r="K4148">
        <v>1.1120159999999999</v>
      </c>
      <c r="L4148">
        <v>165.23240000000001</v>
      </c>
      <c r="M4148">
        <v>-0.20766670000000001</v>
      </c>
      <c r="N4148">
        <v>-1.406028E-2</v>
      </c>
      <c r="O4148">
        <v>-0.97809860000000004</v>
      </c>
      <c r="P4148">
        <v>-0.21495719999999999</v>
      </c>
      <c r="Q4148">
        <v>0.18157519999999999</v>
      </c>
      <c r="R4148">
        <v>-0.95959589999999995</v>
      </c>
      <c r="S4148">
        <v>-1.266953</v>
      </c>
      <c r="T4148">
        <v>-1.5156270000000001E-3</v>
      </c>
      <c r="U4148">
        <v>-2.8415370000000002</v>
      </c>
      <c r="V4148">
        <v>1.0353319999999999E-2</v>
      </c>
      <c r="W4148">
        <v>0.1954167</v>
      </c>
      <c r="X4148">
        <v>0.98066569999999997</v>
      </c>
      <c r="Y4148">
        <v>0.2086026</v>
      </c>
      <c r="Z4148">
        <v>-1.295846E-2</v>
      </c>
      <c r="AA4148">
        <v>0.97791459999999997</v>
      </c>
      <c r="AB4148">
        <v>27</v>
      </c>
      <c r="AC4148">
        <v>-23.410999999999898</v>
      </c>
      <c r="AD4148">
        <v>-2.8119000000000002E-2</v>
      </c>
      <c r="AE4148">
        <v>-52.372399999999999</v>
      </c>
      <c r="AF4148">
        <v>12.0234483556542</v>
      </c>
      <c r="AG4148">
        <v>-2.8119000000000002E-2</v>
      </c>
      <c r="AH4148">
        <v>56.092586952672796</v>
      </c>
      <c r="AI4148">
        <v>90.028084220889099</v>
      </c>
      <c r="AJ4148">
        <v>77.901719087629004</v>
      </c>
      <c r="AK4148">
        <v>57.366736111464498</v>
      </c>
      <c r="AL4148">
        <v>78.730933462379795</v>
      </c>
      <c r="AM4148">
        <v>89.3951256762669</v>
      </c>
      <c r="AN4148">
        <v>1.0000000465151999</v>
      </c>
    </row>
    <row r="4149" spans="1:40" x14ac:dyDescent="0.25">
      <c r="A4149" t="str">
        <f>"20190304155140997"</f>
        <v>20190304155140997</v>
      </c>
      <c r="B4149" t="str">
        <f>"1551685900991336"</f>
        <v>1551685900991336</v>
      </c>
      <c r="C4149" t="s">
        <v>40</v>
      </c>
      <c r="D4149">
        <v>5.2576879999999999</v>
      </c>
      <c r="E4149">
        <v>0.57637479999999996</v>
      </c>
      <c r="F4149" t="s">
        <v>61</v>
      </c>
      <c r="G4149">
        <v>-215.18010000000001</v>
      </c>
      <c r="H4149">
        <v>1.1621629999999901</v>
      </c>
      <c r="I4149">
        <v>113.2439</v>
      </c>
      <c r="J4149">
        <v>-191.70959999999999</v>
      </c>
      <c r="K4149">
        <v>1.1120159999999999</v>
      </c>
      <c r="L4149">
        <v>165.08930000000001</v>
      </c>
      <c r="M4149">
        <v>-0.20670830000000001</v>
      </c>
      <c r="N4149">
        <v>-1.405819E-2</v>
      </c>
      <c r="O4149">
        <v>-0.9783018</v>
      </c>
      <c r="P4149">
        <v>-0.2144953</v>
      </c>
      <c r="Q4149">
        <v>0.182175</v>
      </c>
      <c r="R4149">
        <v>-0.95958560000000004</v>
      </c>
      <c r="S4149">
        <v>-1.28302</v>
      </c>
      <c r="T4149">
        <v>2.73931E-3</v>
      </c>
      <c r="U4149">
        <v>-2.838409</v>
      </c>
      <c r="V4149">
        <v>1.0864489999999999E-2</v>
      </c>
      <c r="W4149">
        <v>0.1960143</v>
      </c>
      <c r="X4149">
        <v>0.98054090000000005</v>
      </c>
      <c r="Y4149">
        <v>0.21455750000000001</v>
      </c>
      <c r="Z4149">
        <v>-1.4319E-2</v>
      </c>
      <c r="AA4149">
        <v>0.97660639999999999</v>
      </c>
      <c r="AB4149">
        <v>27</v>
      </c>
      <c r="AC4149">
        <v>-23.470500000000001</v>
      </c>
      <c r="AD4149">
        <v>5.01469999999999E-2</v>
      </c>
      <c r="AE4149">
        <v>-51.845399999999998</v>
      </c>
      <c r="AF4149">
        <v>12.245556273745899</v>
      </c>
      <c r="AG4149">
        <v>5.01469999999999E-2</v>
      </c>
      <c r="AH4149">
        <v>55.577434211369997</v>
      </c>
      <c r="AI4149">
        <v>89.949513520593399</v>
      </c>
      <c r="AJ4149">
        <v>77.574370830942499</v>
      </c>
      <c r="AK4149">
        <v>56.910520615209997</v>
      </c>
      <c r="AL4149">
        <v>78.696018308021294</v>
      </c>
      <c r="AM4149">
        <v>89.365183082736095</v>
      </c>
      <c r="AN4149">
        <v>1.00000004976012</v>
      </c>
    </row>
    <row r="4150" spans="1:40" x14ac:dyDescent="0.25">
      <c r="A4150" t="str">
        <f>"20190304155141010"</f>
        <v>20190304155141010</v>
      </c>
      <c r="B4150" t="str">
        <f>"1551685901001096"</f>
        <v>1551685901001096</v>
      </c>
      <c r="C4150" t="s">
        <v>40</v>
      </c>
      <c r="D4150">
        <v>5.2426500000000003</v>
      </c>
      <c r="E4150">
        <v>0.57693260000000002</v>
      </c>
      <c r="F4150" t="s">
        <v>61</v>
      </c>
      <c r="G4150">
        <v>-215.2449</v>
      </c>
      <c r="H4150">
        <v>1.223455</v>
      </c>
      <c r="I4150">
        <v>113.2439</v>
      </c>
      <c r="J4150">
        <v>-191.7433</v>
      </c>
      <c r="K4150">
        <v>1.112012</v>
      </c>
      <c r="L4150">
        <v>164.92420000000001</v>
      </c>
      <c r="M4150">
        <v>-0.20560890000000001</v>
      </c>
      <c r="N4150">
        <v>-1.4055730000000001E-2</v>
      </c>
      <c r="O4150">
        <v>-0.9785334</v>
      </c>
      <c r="P4150">
        <v>-0.21362439999999999</v>
      </c>
      <c r="Q4150">
        <v>0.1820852</v>
      </c>
      <c r="R4150">
        <v>-0.95979709999999996</v>
      </c>
      <c r="S4150">
        <v>-1.2879940000000001</v>
      </c>
      <c r="T4150">
        <v>6.1000589999999997E-3</v>
      </c>
      <c r="U4150">
        <v>-2.8372799999999998</v>
      </c>
      <c r="V4150">
        <v>1.1076239999999999E-2</v>
      </c>
      <c r="W4150">
        <v>0.19592309999999999</v>
      </c>
      <c r="X4150">
        <v>0.98055669999999995</v>
      </c>
      <c r="Y4150">
        <v>0.2172153</v>
      </c>
      <c r="Z4150">
        <v>-1.539743E-2</v>
      </c>
      <c r="AA4150">
        <v>0.97600229999999999</v>
      </c>
      <c r="AB4150">
        <v>27</v>
      </c>
      <c r="AC4150">
        <v>-23.5016</v>
      </c>
      <c r="AD4150">
        <v>0.111442999999999</v>
      </c>
      <c r="AE4150">
        <v>-51.680300000000003</v>
      </c>
      <c r="AF4150">
        <v>12.372344246516199</v>
      </c>
      <c r="AG4150">
        <v>0.111442999999999</v>
      </c>
      <c r="AH4150">
        <v>55.408292425906403</v>
      </c>
      <c r="AI4150">
        <v>89.887530605656494</v>
      </c>
      <c r="AJ4150">
        <v>77.412682128579306</v>
      </c>
      <c r="AK4150">
        <v>56.772935376386101</v>
      </c>
      <c r="AL4150">
        <v>78.7013463564181</v>
      </c>
      <c r="AM4150">
        <v>89.352821907119704</v>
      </c>
      <c r="AN4150">
        <v>0.99999999306051801</v>
      </c>
    </row>
    <row r="4151" spans="1:40" x14ac:dyDescent="0.25">
      <c r="A4151" t="str">
        <f>"20190304155141031"</f>
        <v>20190304155141031</v>
      </c>
      <c r="B4151" t="str">
        <f>"1551685901020616"</f>
        <v>1551685901020616</v>
      </c>
      <c r="C4151" t="s">
        <v>40</v>
      </c>
      <c r="D4151">
        <v>5.2252479999999997</v>
      </c>
      <c r="E4151">
        <v>0.5763857</v>
      </c>
      <c r="F4151" t="s">
        <v>61</v>
      </c>
      <c r="G4151">
        <v>-215.23140000000001</v>
      </c>
      <c r="H4151">
        <v>1.235498</v>
      </c>
      <c r="I4151">
        <v>113.2439</v>
      </c>
      <c r="J4151">
        <v>-191.7919</v>
      </c>
      <c r="K4151">
        <v>1.1119920000000001</v>
      </c>
      <c r="L4151">
        <v>164.68430000000001</v>
      </c>
      <c r="M4151">
        <v>-0.20404949999999999</v>
      </c>
      <c r="N4151">
        <v>-1.4051889999999999E-2</v>
      </c>
      <c r="O4151">
        <v>-0.9788599</v>
      </c>
      <c r="P4151">
        <v>-0.21326059999999999</v>
      </c>
      <c r="Q4151">
        <v>0.18218429999999999</v>
      </c>
      <c r="R4151">
        <v>-0.95985880000000001</v>
      </c>
      <c r="S4151">
        <v>-1.2895509999999999</v>
      </c>
      <c r="T4151">
        <v>6.7811010000000003E-3</v>
      </c>
      <c r="U4151">
        <v>-2.8373569999999999</v>
      </c>
      <c r="V4151">
        <v>1.228605E-2</v>
      </c>
      <c r="W4151">
        <v>0.19602130000000001</v>
      </c>
      <c r="X4151">
        <v>0.98052269999999997</v>
      </c>
      <c r="Y4151">
        <v>0.2192028</v>
      </c>
      <c r="Z4151">
        <v>-1.5616899999999901E-2</v>
      </c>
      <c r="AA4151">
        <v>0.97555429999999999</v>
      </c>
      <c r="AB4151">
        <v>27</v>
      </c>
      <c r="AC4151">
        <v>-23.439499999999999</v>
      </c>
      <c r="AD4151">
        <v>0.12350599999999901</v>
      </c>
      <c r="AE4151">
        <v>-51.440399999999997</v>
      </c>
      <c r="AF4151">
        <v>12.4487661805172</v>
      </c>
      <c r="AG4151">
        <v>0.12350599999999901</v>
      </c>
      <c r="AH4151">
        <v>55.140934211773903</v>
      </c>
      <c r="AI4151">
        <v>89.874818264850404</v>
      </c>
      <c r="AJ4151">
        <v>77.278029511138399</v>
      </c>
      <c r="AK4151">
        <v>56.528839178744803</v>
      </c>
      <c r="AL4151">
        <v>78.695609089840701</v>
      </c>
      <c r="AM4151">
        <v>89.282115574603196</v>
      </c>
      <c r="AN4151">
        <v>1.00000003114679</v>
      </c>
    </row>
    <row r="4152" spans="1:40" x14ac:dyDescent="0.25">
      <c r="A4152" t="str">
        <f>"20190304155141051"</f>
        <v>20190304155141051</v>
      </c>
      <c r="B4152" t="str">
        <f>"1551685901041113"</f>
        <v>1551685901041113</v>
      </c>
      <c r="C4152" t="s">
        <v>40</v>
      </c>
      <c r="D4152">
        <v>6.3057639999999999</v>
      </c>
      <c r="E4152">
        <v>0.57708319999999902</v>
      </c>
      <c r="F4152" t="s">
        <v>61</v>
      </c>
      <c r="G4152">
        <v>-215.09129999999999</v>
      </c>
      <c r="H4152">
        <v>1.0609789999999999</v>
      </c>
      <c r="I4152">
        <v>113.19629999999999</v>
      </c>
      <c r="J4152">
        <v>-191.8417</v>
      </c>
      <c r="K4152">
        <v>1.1119479999999999</v>
      </c>
      <c r="L4152">
        <v>164.4366</v>
      </c>
      <c r="M4152">
        <v>-0.20250070000000001</v>
      </c>
      <c r="N4152">
        <v>-1.404772E-2</v>
      </c>
      <c r="O4152">
        <v>-0.97918159999999999</v>
      </c>
      <c r="P4152">
        <v>-0.21242240000000001</v>
      </c>
      <c r="Q4152">
        <v>0.18199770000000001</v>
      </c>
      <c r="R4152">
        <v>-0.9600803</v>
      </c>
      <c r="S4152">
        <v>-1.285355</v>
      </c>
      <c r="T4152">
        <v>-2.8127429999999999E-3</v>
      </c>
      <c r="U4152">
        <v>-2.8404240000000001</v>
      </c>
      <c r="V4152">
        <v>1.2997359999999999E-2</v>
      </c>
      <c r="W4152">
        <v>0.19583139999999999</v>
      </c>
      <c r="X4152">
        <v>0.98055139999999996</v>
      </c>
      <c r="Y4152">
        <v>0.21916759999999999</v>
      </c>
      <c r="Z4152">
        <v>-1.253723E-2</v>
      </c>
      <c r="AA4152">
        <v>0.97560670000000005</v>
      </c>
      <c r="AB4152">
        <v>27</v>
      </c>
      <c r="AC4152">
        <v>-23.249599999999901</v>
      </c>
      <c r="AD4152">
        <v>-5.0968999999999799E-2</v>
      </c>
      <c r="AE4152">
        <v>-51.240299999999998</v>
      </c>
      <c r="AF4152">
        <v>12.3905934141027</v>
      </c>
      <c r="AG4152">
        <v>-5.0968999999999799E-2</v>
      </c>
      <c r="AH4152">
        <v>54.886976992952199</v>
      </c>
      <c r="AI4152">
        <v>90.051899817324696</v>
      </c>
      <c r="AJ4152">
        <v>77.278862561145104</v>
      </c>
      <c r="AK4152">
        <v>56.268193914656898</v>
      </c>
      <c r="AL4152">
        <v>78.706703771190703</v>
      </c>
      <c r="AM4152">
        <v>89.240580082398694</v>
      </c>
      <c r="AN4152">
        <v>0.99999995831744304</v>
      </c>
    </row>
    <row r="4153" spans="1:40" x14ac:dyDescent="0.25">
      <c r="A4153" t="str">
        <f>"20190304155141063"</f>
        <v>20190304155141063</v>
      </c>
      <c r="B4153" t="str">
        <f>"1551685901060633"</f>
        <v>1551685901060633</v>
      </c>
      <c r="C4153" t="s">
        <v>40</v>
      </c>
      <c r="D4153">
        <v>5.9018050000000004</v>
      </c>
      <c r="E4153">
        <v>0.55071490000000001</v>
      </c>
      <c r="F4153" t="s">
        <v>61</v>
      </c>
      <c r="G4153">
        <v>-215.09129999999999</v>
      </c>
      <c r="H4153">
        <v>1.068432</v>
      </c>
      <c r="I4153">
        <v>113.1562</v>
      </c>
      <c r="J4153">
        <v>-191.87029999999999</v>
      </c>
      <c r="K4153">
        <v>1.111918</v>
      </c>
      <c r="L4153">
        <v>164.29390000000001</v>
      </c>
      <c r="M4153">
        <v>-0.20163890000000001</v>
      </c>
      <c r="N4153">
        <v>-1.4045190000000001E-2</v>
      </c>
      <c r="O4153">
        <v>-0.97935930000000004</v>
      </c>
      <c r="P4153">
        <v>-0.2117502</v>
      </c>
      <c r="Q4153">
        <v>0.18226629999999999</v>
      </c>
      <c r="R4153">
        <v>-0.96017799999999998</v>
      </c>
      <c r="S4153">
        <v>-1.2877350000000001</v>
      </c>
      <c r="T4153">
        <v>-2.4087430000000001E-3</v>
      </c>
      <c r="U4153">
        <v>-2.8402859999999999</v>
      </c>
      <c r="V4153">
        <v>1.3198909999999999E-2</v>
      </c>
      <c r="W4153">
        <v>0.19609660000000001</v>
      </c>
      <c r="X4153">
        <v>0.98049580000000003</v>
      </c>
      <c r="Y4153">
        <v>0.22072149999999999</v>
      </c>
      <c r="Z4153">
        <v>-1.2666190000000001E-2</v>
      </c>
      <c r="AA4153">
        <v>0.97525470000000003</v>
      </c>
      <c r="AB4153">
        <v>27</v>
      </c>
      <c r="AC4153">
        <v>-23.221</v>
      </c>
      <c r="AD4153">
        <v>-4.34859999999999E-2</v>
      </c>
      <c r="AE4153">
        <v>-51.137700000000002</v>
      </c>
      <c r="AF4153">
        <v>12.431570564684799</v>
      </c>
      <c r="AG4153">
        <v>-4.34859999999999E-2</v>
      </c>
      <c r="AH4153">
        <v>54.769804395526798</v>
      </c>
      <c r="AI4153">
        <v>90.044363132193794</v>
      </c>
      <c r="AJ4153">
        <v>77.211762434677098</v>
      </c>
      <c r="AK4153">
        <v>56.162953192128398</v>
      </c>
      <c r="AL4153">
        <v>78.691209552725496</v>
      </c>
      <c r="AM4153">
        <v>89.228761446659604</v>
      </c>
      <c r="AN4153">
        <v>1.00000005078719</v>
      </c>
    </row>
    <row r="4154" spans="1:40" x14ac:dyDescent="0.25">
      <c r="A4154" t="str">
        <f>"20190304155141076"</f>
        <v>20190304155141076</v>
      </c>
      <c r="B4154" t="str">
        <f>"1551685901071370"</f>
        <v>1551685901071370</v>
      </c>
      <c r="C4154" t="s">
        <v>40</v>
      </c>
      <c r="D4154">
        <v>5.6707669999999997</v>
      </c>
      <c r="E4154">
        <v>0.55071490000000001</v>
      </c>
      <c r="F4154" t="s">
        <v>67</v>
      </c>
      <c r="G4154">
        <v>-210.3631</v>
      </c>
      <c r="H4154">
        <v>6.9167420000000002</v>
      </c>
      <c r="I4154">
        <v>114.4637</v>
      </c>
      <c r="J4154">
        <v>-191.89850000000001</v>
      </c>
      <c r="K4154">
        <v>1.111882</v>
      </c>
      <c r="L4154">
        <v>164.15219999999999</v>
      </c>
      <c r="M4154">
        <v>-0.2008202</v>
      </c>
      <c r="N4154">
        <v>-1.404266E-2</v>
      </c>
      <c r="O4154">
        <v>-0.97952740000000005</v>
      </c>
      <c r="P4154">
        <v>-0.21104709999999999</v>
      </c>
      <c r="Q4154">
        <v>0.18204870000000001</v>
      </c>
      <c r="R4154">
        <v>-0.96037360000000005</v>
      </c>
      <c r="S4154">
        <v>-1.0503389999999999</v>
      </c>
      <c r="T4154">
        <v>0.32969779999999999</v>
      </c>
      <c r="U4154">
        <v>-2.8302</v>
      </c>
      <c r="V4154">
        <v>1.3310890000000001E-2</v>
      </c>
      <c r="W4154">
        <v>0.19587589999999999</v>
      </c>
      <c r="X4154">
        <v>0.98053840000000003</v>
      </c>
      <c r="Y4154">
        <v>0.15002570000000001</v>
      </c>
      <c r="Z4154">
        <v>-0.1214744</v>
      </c>
      <c r="AA4154">
        <v>0.98119120000000004</v>
      </c>
      <c r="AB4154">
        <v>27</v>
      </c>
      <c r="AC4154">
        <v>-18.464599999999901</v>
      </c>
      <c r="AD4154">
        <v>5.8048599999999997</v>
      </c>
      <c r="AE4154">
        <v>-49.688499999999898</v>
      </c>
      <c r="AF4154">
        <v>8.0128366328137695</v>
      </c>
      <c r="AG4154">
        <v>5.8048599999999997</v>
      </c>
      <c r="AH4154">
        <v>51.763725790114698</v>
      </c>
      <c r="AI4154">
        <v>83.676195634303099</v>
      </c>
      <c r="AJ4154">
        <v>81.2006610126395</v>
      </c>
      <c r="AK4154">
        <v>52.700903770219597</v>
      </c>
      <c r="AL4154">
        <v>78.704104814682097</v>
      </c>
      <c r="AM4154">
        <v>89.222252819997607</v>
      </c>
      <c r="AN4154">
        <v>1.0000000509339799</v>
      </c>
    </row>
    <row r="4155" spans="1:40" x14ac:dyDescent="0.25">
      <c r="A4155" t="str">
        <f>"20190304155141088"</f>
        <v>20190304155141088</v>
      </c>
      <c r="B4155" t="str">
        <f>"1551685901081128"</f>
        <v>1551685901081128</v>
      </c>
      <c r="C4155" t="s">
        <v>40</v>
      </c>
      <c r="D4155">
        <v>5.7155170000000002</v>
      </c>
      <c r="E4155">
        <v>0.5515717</v>
      </c>
      <c r="F4155" t="s">
        <v>67</v>
      </c>
      <c r="G4155">
        <v>-210.29769999999999</v>
      </c>
      <c r="H4155">
        <v>6.890828</v>
      </c>
      <c r="I4155">
        <v>114.4699</v>
      </c>
      <c r="J4155">
        <v>-191.9288</v>
      </c>
      <c r="K4155">
        <v>1.1118399999999999</v>
      </c>
      <c r="L4155">
        <v>163.99959999999999</v>
      </c>
      <c r="M4155">
        <v>-0.19996449999999999</v>
      </c>
      <c r="N4155">
        <v>-1.4039940000000001E-2</v>
      </c>
      <c r="O4155">
        <v>-0.97970250000000003</v>
      </c>
      <c r="P4155">
        <v>-0.21065829999999999</v>
      </c>
      <c r="Q4155">
        <v>0.18217749999999999</v>
      </c>
      <c r="R4155">
        <v>-0.96043469999999997</v>
      </c>
      <c r="S4155">
        <v>-1.048416</v>
      </c>
      <c r="T4155">
        <v>0.32929360000000002</v>
      </c>
      <c r="U4155">
        <v>-2.8309630000000001</v>
      </c>
      <c r="V4155">
        <v>1.3797480000000001E-2</v>
      </c>
      <c r="W4155">
        <v>0.19600119999999999</v>
      </c>
      <c r="X4155">
        <v>0.98050660000000001</v>
      </c>
      <c r="Y4155">
        <v>0.1502223</v>
      </c>
      <c r="Z4155">
        <v>-0.1213564</v>
      </c>
      <c r="AA4155">
        <v>0.98117580000000004</v>
      </c>
      <c r="AB4155">
        <v>27</v>
      </c>
      <c r="AC4155">
        <v>-18.3689</v>
      </c>
      <c r="AD4155">
        <v>5.778988</v>
      </c>
      <c r="AE4155">
        <v>-49.529699999999899</v>
      </c>
      <c r="AF4155">
        <v>7.9969695410285597</v>
      </c>
      <c r="AG4155">
        <v>5.778988</v>
      </c>
      <c r="AH4155">
        <v>51.585297530602297</v>
      </c>
      <c r="AI4155">
        <v>83.682768778088402</v>
      </c>
      <c r="AJ4155">
        <v>81.187912926990293</v>
      </c>
      <c r="AK4155">
        <v>52.520387902842501</v>
      </c>
      <c r="AL4155">
        <v>78.696783352044704</v>
      </c>
      <c r="AM4155">
        <v>89.193799206812301</v>
      </c>
      <c r="AN4155">
        <v>1.0000000167496701</v>
      </c>
    </row>
    <row r="4156" spans="1:40" x14ac:dyDescent="0.25">
      <c r="A4156" t="str">
        <f>"20190304155141102"</f>
        <v>20190304155141102</v>
      </c>
      <c r="B4156" t="str">
        <f>"1551685901090889"</f>
        <v>1551685901090889</v>
      </c>
      <c r="C4156" t="s">
        <v>40</v>
      </c>
      <c r="D4156">
        <v>5.2900619999999998</v>
      </c>
      <c r="E4156">
        <v>0.5515717</v>
      </c>
      <c r="F4156" t="s">
        <v>67</v>
      </c>
      <c r="G4156">
        <v>-210.36600000000001</v>
      </c>
      <c r="H4156">
        <v>7.0449970000000004</v>
      </c>
      <c r="I4156">
        <v>114.48350000000001</v>
      </c>
      <c r="J4156">
        <v>-191.95930000000001</v>
      </c>
      <c r="K4156">
        <v>1.1117840000000001</v>
      </c>
      <c r="L4156">
        <v>163.8458</v>
      </c>
      <c r="M4156">
        <v>-0.1991744</v>
      </c>
      <c r="N4156">
        <v>-1.4036989999999999E-2</v>
      </c>
      <c r="O4156">
        <v>-0.97986359999999995</v>
      </c>
      <c r="P4156">
        <v>-0.21049090000000001</v>
      </c>
      <c r="Q4156">
        <v>0.18236289999999999</v>
      </c>
      <c r="R4156">
        <v>-0.96043599999999996</v>
      </c>
      <c r="S4156">
        <v>-1.0531159999999999</v>
      </c>
      <c r="T4156">
        <v>0.33889750000000002</v>
      </c>
      <c r="U4156">
        <v>-2.8283079999999998</v>
      </c>
      <c r="V4156">
        <v>1.445374E-2</v>
      </c>
      <c r="W4156">
        <v>0.1961831</v>
      </c>
      <c r="X4156">
        <v>0.98046080000000002</v>
      </c>
      <c r="Y4156">
        <v>0.15261749999999999</v>
      </c>
      <c r="Z4156">
        <v>-0.1245271</v>
      </c>
      <c r="AA4156">
        <v>0.98040850000000002</v>
      </c>
      <c r="AB4156">
        <v>27</v>
      </c>
      <c r="AC4156">
        <v>-18.406699999999901</v>
      </c>
      <c r="AD4156">
        <v>5.9332129999999896</v>
      </c>
      <c r="AE4156">
        <v>-49.362299999999898</v>
      </c>
      <c r="AF4156">
        <v>8.1023879834019397</v>
      </c>
      <c r="AG4156">
        <v>5.9332129999999896</v>
      </c>
      <c r="AH4156">
        <v>51.387797780806103</v>
      </c>
      <c r="AI4156">
        <v>83.493495569483898</v>
      </c>
      <c r="AJ4156">
        <v>81.039856675501298</v>
      </c>
      <c r="AK4156">
        <v>52.359884150921999</v>
      </c>
      <c r="AL4156">
        <v>78.686155282830697</v>
      </c>
      <c r="AM4156">
        <v>89.1554192501942</v>
      </c>
      <c r="AN4156">
        <v>1.0000000498311099</v>
      </c>
    </row>
    <row r="4157" spans="1:40" x14ac:dyDescent="0.25">
      <c r="A4157" t="str">
        <f>"20190304155141115"</f>
        <v>20190304155141115</v>
      </c>
      <c r="B4157" t="str">
        <f>"1551685901111385"</f>
        <v>1551685901111385</v>
      </c>
      <c r="C4157" t="s">
        <v>40</v>
      </c>
      <c r="D4157">
        <v>4.8955000000000002</v>
      </c>
      <c r="E4157">
        <v>0.5454949</v>
      </c>
      <c r="F4157" t="s">
        <v>67</v>
      </c>
      <c r="G4157">
        <v>-210.32310000000001</v>
      </c>
      <c r="H4157">
        <v>7.0359850000000002</v>
      </c>
      <c r="I4157">
        <v>114.4971</v>
      </c>
      <c r="J4157">
        <v>-191.98840000000001</v>
      </c>
      <c r="K4157">
        <v>1.111723</v>
      </c>
      <c r="L4157">
        <v>163.6985</v>
      </c>
      <c r="M4157">
        <v>-0.19846820000000001</v>
      </c>
      <c r="N4157">
        <v>-1.4034069999999999E-2</v>
      </c>
      <c r="O4157">
        <v>-0.98000710000000002</v>
      </c>
      <c r="P4157">
        <v>-0.2105622</v>
      </c>
      <c r="Q4157">
        <v>0.1824432</v>
      </c>
      <c r="R4157">
        <v>-0.96040530000000002</v>
      </c>
      <c r="S4157">
        <v>-1.05252099999999</v>
      </c>
      <c r="T4157">
        <v>0.33954440000000002</v>
      </c>
      <c r="U4157">
        <v>-2.8283999999999998</v>
      </c>
      <c r="V4157">
        <v>1.5268769999999999E-2</v>
      </c>
      <c r="W4157">
        <v>0.1962593</v>
      </c>
      <c r="X4157">
        <v>0.9804332</v>
      </c>
      <c r="Y4157">
        <v>0.15312879999999901</v>
      </c>
      <c r="Z4157">
        <v>-0.12475550000000001</v>
      </c>
      <c r="AA4157">
        <v>0.98029980000000005</v>
      </c>
      <c r="AB4157">
        <v>27</v>
      </c>
      <c r="AC4157">
        <v>-18.334700000000002</v>
      </c>
      <c r="AD4157">
        <v>5.9242619999999997</v>
      </c>
      <c r="AE4157">
        <v>-49.2013999999999</v>
      </c>
      <c r="AF4157">
        <v>8.1009012429703908</v>
      </c>
      <c r="AG4157">
        <v>5.9242619999999997</v>
      </c>
      <c r="AH4157">
        <v>51.2097512148436</v>
      </c>
      <c r="AI4157">
        <v>83.481350540785201</v>
      </c>
      <c r="AJ4157">
        <v>81.010834798091395</v>
      </c>
      <c r="AK4157">
        <v>52.183906529495999</v>
      </c>
      <c r="AL4157">
        <v>78.681702833470396</v>
      </c>
      <c r="AM4157">
        <v>89.107776680855807</v>
      </c>
      <c r="AN4157">
        <v>1.00000005391802</v>
      </c>
    </row>
    <row r="4158" spans="1:40" x14ac:dyDescent="0.25">
      <c r="A4158" t="str">
        <f>"20190304155141129"</f>
        <v>20190304155141129</v>
      </c>
      <c r="B4158" t="str">
        <f>"1551685901121144"</f>
        <v>1551685901121144</v>
      </c>
      <c r="C4158" t="s">
        <v>40</v>
      </c>
      <c r="D4158">
        <v>5.8780910000000004</v>
      </c>
      <c r="E4158">
        <v>0.60059240000000003</v>
      </c>
      <c r="F4158" t="s">
        <v>51</v>
      </c>
      <c r="G4158">
        <v>-192.29089999999999</v>
      </c>
      <c r="H4158">
        <v>1.039674</v>
      </c>
      <c r="I4158">
        <v>162.85910000000001</v>
      </c>
      <c r="J4158">
        <v>-192.02430000000001</v>
      </c>
      <c r="K4158">
        <v>1.1116379999999999</v>
      </c>
      <c r="L4158">
        <v>163.5163</v>
      </c>
      <c r="M4158">
        <v>-0.1976619</v>
      </c>
      <c r="N4158">
        <v>-1.40304E-2</v>
      </c>
      <c r="O4158">
        <v>-0.98017010000000004</v>
      </c>
      <c r="P4158">
        <v>-0.211949</v>
      </c>
      <c r="Q4158">
        <v>0.1827655</v>
      </c>
      <c r="R4158">
        <v>-0.96003930000000004</v>
      </c>
      <c r="S4158">
        <v>-1.0591429999999999</v>
      </c>
      <c r="T4158">
        <v>-0.25235249999999998</v>
      </c>
      <c r="U4158">
        <v>-2.9393769999999999</v>
      </c>
      <c r="V4158">
        <v>1.7551089999999998E-2</v>
      </c>
      <c r="W4158">
        <v>0.19657859999999999</v>
      </c>
      <c r="X4158">
        <v>0.98033090000000001</v>
      </c>
      <c r="Y4158">
        <v>0.1454686</v>
      </c>
      <c r="Z4158">
        <v>6.6573489999999999E-2</v>
      </c>
      <c r="AA4158">
        <v>0.98712049999999996</v>
      </c>
      <c r="AB4158">
        <v>27</v>
      </c>
      <c r="AC4158">
        <v>-0.26659999999998202</v>
      </c>
      <c r="AD4158">
        <v>-7.1963999999999903E-2</v>
      </c>
      <c r="AE4158">
        <v>-0.65719999999998802</v>
      </c>
      <c r="AF4158">
        <v>0.13008349600348201</v>
      </c>
      <c r="AG4158">
        <v>-7.1963999999999903E-2</v>
      </c>
      <c r="AH4158">
        <v>0.68983030268254897</v>
      </c>
      <c r="AI4158">
        <v>95.853202852404294</v>
      </c>
      <c r="AJ4158">
        <v>79.320955726097793</v>
      </c>
      <c r="AK4158">
        <v>0.70566732936107002</v>
      </c>
      <c r="AL4158">
        <v>78.6630434132598</v>
      </c>
      <c r="AM4158">
        <v>88.974330031880598</v>
      </c>
      <c r="AN4158">
        <v>0.99999993011647603</v>
      </c>
    </row>
    <row r="4159" spans="1:40" x14ac:dyDescent="0.25">
      <c r="A4159" t="str">
        <f>"20190304155141298"</f>
        <v>20190304155141298</v>
      </c>
      <c r="B4159" t="str">
        <f>"1551685901290969"</f>
        <v>1551685901290969</v>
      </c>
      <c r="C4159" t="s">
        <v>40</v>
      </c>
      <c r="D4159">
        <v>5.1465630000000004</v>
      </c>
      <c r="E4159">
        <v>0.6079348</v>
      </c>
      <c r="F4159" t="s">
        <v>64</v>
      </c>
      <c r="G4159">
        <v>-215.32730000000001</v>
      </c>
      <c r="H4159">
        <v>0.56509589999999998</v>
      </c>
      <c r="I4159">
        <v>119.113</v>
      </c>
      <c r="J4159">
        <v>-192.41489999999999</v>
      </c>
      <c r="K4159">
        <v>1.1100859999999999</v>
      </c>
      <c r="L4159">
        <v>161.5521</v>
      </c>
      <c r="M4159">
        <v>-0.19704260000000001</v>
      </c>
      <c r="N4159">
        <v>-1.4002509999999999E-2</v>
      </c>
      <c r="O4159">
        <v>-0.98029509999999997</v>
      </c>
      <c r="P4159">
        <v>-0.22600319999999999</v>
      </c>
      <c r="Q4159">
        <v>0.1794771</v>
      </c>
      <c r="R4159">
        <v>-0.95745060000000004</v>
      </c>
      <c r="S4159">
        <v>-1.4727629999999901</v>
      </c>
      <c r="T4159">
        <v>-3.4539939999999998E-2</v>
      </c>
      <c r="U4159">
        <v>-2.806305</v>
      </c>
      <c r="V4159">
        <v>3.318641E-2</v>
      </c>
      <c r="W4159">
        <v>0.19317709999999999</v>
      </c>
      <c r="X4159">
        <v>0.98060250000000004</v>
      </c>
      <c r="Y4159">
        <v>0.28104610000000002</v>
      </c>
      <c r="Z4159">
        <v>-2.3402900000000001E-3</v>
      </c>
      <c r="AA4159">
        <v>0.95969139999999997</v>
      </c>
      <c r="AB4159">
        <v>27</v>
      </c>
      <c r="AC4159">
        <v>-22.912400000000002</v>
      </c>
      <c r="AD4159">
        <v>-0.54499010000000003</v>
      </c>
      <c r="AE4159">
        <v>-42.439100000000003</v>
      </c>
      <c r="AF4159">
        <v>14.098182612659199</v>
      </c>
      <c r="AG4159">
        <v>-0.54499010000000003</v>
      </c>
      <c r="AH4159">
        <v>46.116186040585099</v>
      </c>
      <c r="AI4159">
        <v>90.647497643672097</v>
      </c>
      <c r="AJ4159">
        <v>73.001079836308506</v>
      </c>
      <c r="AK4159">
        <v>48.226117220017301</v>
      </c>
      <c r="AL4159">
        <v>78.861745475289695</v>
      </c>
      <c r="AM4159">
        <v>88.061685753197807</v>
      </c>
      <c r="AN4159">
        <v>0.99999999638967396</v>
      </c>
    </row>
    <row r="4160" spans="1:40" x14ac:dyDescent="0.25">
      <c r="A4160" t="str">
        <f>"20190304155141365"</f>
        <v>20190304155141365</v>
      </c>
      <c r="B4160" t="str">
        <f>"1551685901361241"</f>
        <v>1551685901361241</v>
      </c>
      <c r="C4160" t="s">
        <v>40</v>
      </c>
      <c r="D4160">
        <v>4.7652989999999997</v>
      </c>
      <c r="E4160">
        <v>0.61448659999999999</v>
      </c>
      <c r="F4160" t="s">
        <v>41</v>
      </c>
      <c r="G4160">
        <v>-210.56290000000001</v>
      </c>
      <c r="H4160">
        <v>1.7295370000000001E-2</v>
      </c>
      <c r="I4160">
        <v>129.6163</v>
      </c>
      <c r="J4160">
        <v>-192.57589999999999</v>
      </c>
      <c r="K4160">
        <v>1.1091569999999999</v>
      </c>
      <c r="L4160">
        <v>160.78370000000001</v>
      </c>
      <c r="M4160">
        <v>-0.2022099</v>
      </c>
      <c r="N4160">
        <v>-1.401642E-2</v>
      </c>
      <c r="O4160">
        <v>-0.97924199999999995</v>
      </c>
      <c r="P4160">
        <v>-0.2376588</v>
      </c>
      <c r="Q4160">
        <v>0.17840059999999999</v>
      </c>
      <c r="R4160">
        <v>-0.95482549999999999</v>
      </c>
      <c r="S4160">
        <v>-1.5788879999999901</v>
      </c>
      <c r="T4160">
        <v>-9.5073939999999996E-2</v>
      </c>
      <c r="U4160">
        <v>-2.7784420000000001</v>
      </c>
      <c r="V4160">
        <v>4.0382880000000003E-2</v>
      </c>
      <c r="W4160">
        <v>0.1920115</v>
      </c>
      <c r="X4160">
        <v>0.98056149999999997</v>
      </c>
      <c r="Y4160">
        <v>0.30787249999999999</v>
      </c>
      <c r="Z4160">
        <v>1.6795709999999998E-2</v>
      </c>
      <c r="AA4160">
        <v>0.95127930000000005</v>
      </c>
      <c r="AB4160">
        <v>26</v>
      </c>
      <c r="AC4160">
        <v>-17.986999999999998</v>
      </c>
      <c r="AD4160">
        <v>-1.0918616299999999</v>
      </c>
      <c r="AE4160">
        <v>-31.167400000000001</v>
      </c>
      <c r="AF4160">
        <v>11.3019742098853</v>
      </c>
      <c r="AG4160">
        <v>-1.0918616299999999</v>
      </c>
      <c r="AH4160">
        <v>34.129508283442597</v>
      </c>
      <c r="AI4160">
        <v>91.739529334272206</v>
      </c>
      <c r="AJ4160">
        <v>71.677729878573203</v>
      </c>
      <c r="AK4160">
        <v>35.968738072520097</v>
      </c>
      <c r="AL4160">
        <v>78.929803904428098</v>
      </c>
      <c r="AM4160">
        <v>87.641696303329496</v>
      </c>
      <c r="AN4160">
        <v>1.00000002420579</v>
      </c>
    </row>
    <row r="4161" spans="1:40" x14ac:dyDescent="0.25">
      <c r="A4161" t="str">
        <f>"20190304155141377"</f>
        <v>20190304155141377</v>
      </c>
      <c r="B4161" t="str">
        <f>"1551685901371001"</f>
        <v>1551685901371001</v>
      </c>
      <c r="C4161" t="s">
        <v>40</v>
      </c>
      <c r="D4161">
        <v>5.5976939999999997</v>
      </c>
      <c r="E4161">
        <v>0.61712309999999904</v>
      </c>
      <c r="F4161" t="s">
        <v>41</v>
      </c>
      <c r="G4161">
        <v>-210.22309999999999</v>
      </c>
      <c r="H4161" s="1">
        <v>-6.0217189999999998E-6</v>
      </c>
      <c r="I4161">
        <v>131.61320000000001</v>
      </c>
      <c r="J4161">
        <v>-192.60830000000001</v>
      </c>
      <c r="K4161">
        <v>1.1089910000000001</v>
      </c>
      <c r="L4161">
        <v>160.63380000000001</v>
      </c>
      <c r="M4161">
        <v>-0.20364280000000001</v>
      </c>
      <c r="N4161">
        <v>-1.402028E-2</v>
      </c>
      <c r="O4161">
        <v>-0.97894479999999995</v>
      </c>
      <c r="P4161">
        <v>-0.2401527</v>
      </c>
      <c r="Q4161">
        <v>0.17838280000000001</v>
      </c>
      <c r="R4161">
        <v>-0.95420459999999996</v>
      </c>
      <c r="S4161">
        <v>-1.662277</v>
      </c>
      <c r="T4161">
        <v>-0.1044776</v>
      </c>
      <c r="U4161">
        <v>-2.7477109999999998</v>
      </c>
      <c r="V4161">
        <v>4.1589649999999999E-2</v>
      </c>
      <c r="W4161">
        <v>0.19197600000000001</v>
      </c>
      <c r="X4161">
        <v>0.980518</v>
      </c>
      <c r="Y4161">
        <v>0.33231070000000001</v>
      </c>
      <c r="Z4161">
        <v>1.9733939999999998E-2</v>
      </c>
      <c r="AA4161">
        <v>0.94296349999999995</v>
      </c>
      <c r="AB4161">
        <v>26</v>
      </c>
      <c r="AC4161">
        <v>-17.614799999999899</v>
      </c>
      <c r="AD4161">
        <v>-1.1089970217189999</v>
      </c>
      <c r="AE4161">
        <v>-29.020600000000002</v>
      </c>
      <c r="AF4161">
        <v>11.323111878584999</v>
      </c>
      <c r="AG4161">
        <v>-1.1089970217189999</v>
      </c>
      <c r="AH4161">
        <v>31.965727331198401</v>
      </c>
      <c r="AI4161">
        <v>91.8730331323722</v>
      </c>
      <c r="AJ4161">
        <v>70.494498804395107</v>
      </c>
      <c r="AK4161">
        <v>33.930081945401497</v>
      </c>
      <c r="AL4161">
        <v>78.9318763695032</v>
      </c>
      <c r="AM4161">
        <v>87.571198171133304</v>
      </c>
      <c r="AN4161">
        <v>1.00000001594356</v>
      </c>
    </row>
    <row r="4162" spans="1:40" x14ac:dyDescent="0.25">
      <c r="A4162" t="str">
        <f>"20190304155141390"</f>
        <v>20190304155141390</v>
      </c>
      <c r="B4162" t="str">
        <f>"1551685901380762"</f>
        <v>1551685901380762</v>
      </c>
      <c r="C4162" t="s">
        <v>40</v>
      </c>
      <c r="D4162">
        <v>7.0108229999999896</v>
      </c>
      <c r="E4162">
        <v>0.61846569999999901</v>
      </c>
      <c r="F4162" t="s">
        <v>41</v>
      </c>
      <c r="G4162">
        <v>-210.85329999999999</v>
      </c>
      <c r="H4162" s="1">
        <v>-5.8207320000000001E-6</v>
      </c>
      <c r="I4162">
        <v>131.0667</v>
      </c>
      <c r="J4162">
        <v>-192.6414</v>
      </c>
      <c r="K4162">
        <v>1.10883</v>
      </c>
      <c r="L4162">
        <v>160.48240000000001</v>
      </c>
      <c r="M4162">
        <v>-0.20518719999999999</v>
      </c>
      <c r="N4162">
        <v>-1.402399E-2</v>
      </c>
      <c r="O4162">
        <v>-0.97862229999999995</v>
      </c>
      <c r="P4162">
        <v>-0.24242150000000001</v>
      </c>
      <c r="Q4162">
        <v>0.17794760000000001</v>
      </c>
      <c r="R4162">
        <v>-0.953712</v>
      </c>
      <c r="S4162">
        <v>-1.689514</v>
      </c>
      <c r="T4162">
        <v>-0.10269489999999901</v>
      </c>
      <c r="U4162">
        <v>-2.7379609999999999</v>
      </c>
      <c r="V4162">
        <v>4.2433459999999999E-2</v>
      </c>
      <c r="W4162">
        <v>0.19152530000000001</v>
      </c>
      <c r="X4162">
        <v>0.98057000000000005</v>
      </c>
      <c r="Y4162">
        <v>0.33912890000000001</v>
      </c>
      <c r="Z4162">
        <v>1.9150569999999999E-2</v>
      </c>
      <c r="AA4162">
        <v>0.94054499999999996</v>
      </c>
      <c r="AB4162">
        <v>26</v>
      </c>
      <c r="AC4162">
        <v>-18.211899999999901</v>
      </c>
      <c r="AD4162">
        <v>-1.1088358207319999</v>
      </c>
      <c r="AE4162">
        <v>-29.415700000000001</v>
      </c>
      <c r="AF4162">
        <v>11.775908962189201</v>
      </c>
      <c r="AG4162">
        <v>-1.1088358207319999</v>
      </c>
      <c r="AH4162">
        <v>32.493528989095999</v>
      </c>
      <c r="AI4162">
        <v>91.837585670565502</v>
      </c>
      <c r="AJ4162">
        <v>70.079087653049001</v>
      </c>
      <c r="AK4162">
        <v>34.579343182430897</v>
      </c>
      <c r="AL4162">
        <v>78.958188000325805</v>
      </c>
      <c r="AM4162">
        <v>87.522112415761399</v>
      </c>
      <c r="AN4162">
        <v>1.00000003198383</v>
      </c>
    </row>
    <row r="4163" spans="1:40" x14ac:dyDescent="0.25">
      <c r="A4163" t="str">
        <f>"20190304155141437"</f>
        <v>20190304155141437</v>
      </c>
      <c r="B4163" t="str">
        <f>"1551685901430537"</f>
        <v>1551685901430537</v>
      </c>
      <c r="C4163" t="s">
        <v>40</v>
      </c>
      <c r="D4163">
        <v>5.077369</v>
      </c>
      <c r="E4163">
        <v>0.62024869999999899</v>
      </c>
      <c r="F4163" t="s">
        <v>41</v>
      </c>
      <c r="G4163">
        <v>-210.96090000000001</v>
      </c>
      <c r="H4163" s="1">
        <v>-5.7529719999999999E-6</v>
      </c>
      <c r="I4163">
        <v>131.16200000000001</v>
      </c>
      <c r="J4163">
        <v>-192.76169999999999</v>
      </c>
      <c r="K4163">
        <v>1.1083400000000001</v>
      </c>
      <c r="L4163">
        <v>159.947</v>
      </c>
      <c r="M4163">
        <v>-0.21169779999999999</v>
      </c>
      <c r="N4163">
        <v>-1.4041029999999999E-2</v>
      </c>
      <c r="O4163">
        <v>-0.97723450000000001</v>
      </c>
      <c r="P4163">
        <v>-0.25233739999999999</v>
      </c>
      <c r="Q4163">
        <v>0.1764464</v>
      </c>
      <c r="R4163">
        <v>-0.95141609999999999</v>
      </c>
      <c r="S4163">
        <v>-1.706421</v>
      </c>
      <c r="T4163">
        <v>-0.1032853</v>
      </c>
      <c r="U4163">
        <v>-2.731125</v>
      </c>
      <c r="V4163">
        <v>4.628434E-2</v>
      </c>
      <c r="W4163">
        <v>0.1899708</v>
      </c>
      <c r="X4163">
        <v>0.98069819999999996</v>
      </c>
      <c r="Y4163">
        <v>0.33811449999999998</v>
      </c>
      <c r="Z4163">
        <v>1.9311109999999999E-2</v>
      </c>
      <c r="AA4163">
        <v>0.94090680000000004</v>
      </c>
      <c r="AB4163">
        <v>26</v>
      </c>
      <c r="AC4163">
        <v>-18.199200000000001</v>
      </c>
      <c r="AD4163">
        <v>-1.10834575297199</v>
      </c>
      <c r="AE4163">
        <v>-28.785</v>
      </c>
      <c r="AF4163">
        <v>11.6799441310805</v>
      </c>
      <c r="AG4163">
        <v>-1.10834575297199</v>
      </c>
      <c r="AH4163">
        <v>31.9517299691577</v>
      </c>
      <c r="AI4163">
        <v>91.866014111984597</v>
      </c>
      <c r="AJ4163">
        <v>69.9201318375694</v>
      </c>
      <c r="AK4163">
        <v>34.037664039050398</v>
      </c>
      <c r="AL4163">
        <v>79.048920453370997</v>
      </c>
      <c r="AM4163">
        <v>87.297913848437702</v>
      </c>
      <c r="AN4163">
        <v>1.0000000522325501</v>
      </c>
    </row>
    <row r="4164" spans="1:40" x14ac:dyDescent="0.25">
      <c r="A4164" t="str">
        <f>"20190304155142865"</f>
        <v>20190304155142865</v>
      </c>
      <c r="B4164" t="str">
        <f>"1551685902860748"</f>
        <v>1551685902860748</v>
      </c>
      <c r="C4164" t="s">
        <v>40</v>
      </c>
      <c r="D4164">
        <v>4.9283939999999999</v>
      </c>
      <c r="E4164">
        <v>0.62127279999999996</v>
      </c>
      <c r="F4164" t="s">
        <v>41</v>
      </c>
      <c r="G4164">
        <v>-210.01519999999999</v>
      </c>
      <c r="H4164" s="1">
        <v>-5.8425070000000004E-6</v>
      </c>
      <c r="I4164">
        <v>133.1773</v>
      </c>
      <c r="J4164">
        <v>-199.99350000000001</v>
      </c>
      <c r="K4164">
        <v>1.1009690000000001</v>
      </c>
      <c r="L4164">
        <v>145.74109999999999</v>
      </c>
      <c r="M4164">
        <v>-0.71558559999999904</v>
      </c>
      <c r="N4164">
        <v>-1.5605020000000001E-2</v>
      </c>
      <c r="O4164">
        <v>-0.69835069999999999</v>
      </c>
      <c r="P4164">
        <v>-0.78889240000000005</v>
      </c>
      <c r="Q4164">
        <v>0.15178599999999901</v>
      </c>
      <c r="R4164">
        <v>-0.59549129999999995</v>
      </c>
      <c r="S4164">
        <v>-1.747055</v>
      </c>
      <c r="T4164">
        <v>-0.11222890000000001</v>
      </c>
      <c r="U4164">
        <v>-2.7106479999999999</v>
      </c>
      <c r="V4164">
        <v>0.12868779999999999</v>
      </c>
      <c r="W4164">
        <v>0.164103</v>
      </c>
      <c r="X4164">
        <v>0.97801309999999997</v>
      </c>
      <c r="Y4164">
        <v>-0.223112</v>
      </c>
      <c r="Z4164">
        <v>9.3231440000000002E-3</v>
      </c>
      <c r="AA4164">
        <v>0.97474830000000001</v>
      </c>
      <c r="AB4164">
        <v>24</v>
      </c>
      <c r="AC4164">
        <v>-10.0216999999999</v>
      </c>
      <c r="AD4164">
        <v>-1.1009748425070001</v>
      </c>
      <c r="AE4164">
        <v>-12.563799999999899</v>
      </c>
      <c r="AF4164">
        <v>-1.98275053827852</v>
      </c>
      <c r="AG4164">
        <v>-1.1009748425070001</v>
      </c>
      <c r="AH4164">
        <v>15.872772610700601</v>
      </c>
      <c r="AI4164">
        <v>93.937319809052894</v>
      </c>
      <c r="AJ4164">
        <v>97.120232270078702</v>
      </c>
      <c r="AK4164">
        <v>16.033975042137399</v>
      </c>
      <c r="AL4164">
        <v>80.554869960259595</v>
      </c>
      <c r="AM4164">
        <v>82.504034915349493</v>
      </c>
      <c r="AN4164">
        <v>0.99999998412472402</v>
      </c>
    </row>
    <row r="4165" spans="1:40" x14ac:dyDescent="0.25">
      <c r="A4165" t="str">
        <f>"20190304155143266"</f>
        <v>20190304155143266</v>
      </c>
      <c r="B4165" t="str">
        <f>"1551685903260910"</f>
        <v>1551685903260910</v>
      </c>
      <c r="C4165" t="s">
        <v>40</v>
      </c>
      <c r="D4165">
        <v>5.392817</v>
      </c>
      <c r="E4165">
        <v>0.62314879999999995</v>
      </c>
      <c r="F4165" t="s">
        <v>41</v>
      </c>
      <c r="G4165">
        <v>-219.2062</v>
      </c>
      <c r="H4165" s="1">
        <v>-4.2964560000000001E-7</v>
      </c>
      <c r="I4165">
        <v>139.1995</v>
      </c>
      <c r="J4165">
        <v>-203.60329999999999</v>
      </c>
      <c r="K4165">
        <v>1.10087</v>
      </c>
      <c r="L4165">
        <v>143.4299</v>
      </c>
      <c r="M4165">
        <v>-0.88058609999999904</v>
      </c>
      <c r="N4165">
        <v>-1.5921810000000002E-2</v>
      </c>
      <c r="O4165">
        <v>-0.47361839999999999</v>
      </c>
      <c r="P4165">
        <v>-0.91607959999999999</v>
      </c>
      <c r="Q4165">
        <v>0.16516459999999999</v>
      </c>
      <c r="R4165">
        <v>-0.3654018</v>
      </c>
      <c r="S4165">
        <v>-3.0520480000000001</v>
      </c>
      <c r="T4165">
        <v>-0.17489540000000001</v>
      </c>
      <c r="U4165">
        <v>-1.039169</v>
      </c>
      <c r="V4165">
        <v>0.1163937</v>
      </c>
      <c r="W4165">
        <v>0.1780224</v>
      </c>
      <c r="X4165">
        <v>0.9771185</v>
      </c>
      <c r="Y4165">
        <v>0.16394020000000001</v>
      </c>
      <c r="Z4165">
        <v>2.3231060000000001E-2</v>
      </c>
      <c r="AA4165">
        <v>0.98619670000000004</v>
      </c>
      <c r="AB4165">
        <v>23</v>
      </c>
      <c r="AC4165">
        <v>-15.6029</v>
      </c>
      <c r="AD4165">
        <v>-1.1008704296456</v>
      </c>
      <c r="AE4165">
        <v>-4.2304000000000004</v>
      </c>
      <c r="AF4165">
        <v>3.6481369764248899</v>
      </c>
      <c r="AG4165">
        <v>-1.1008704296456</v>
      </c>
      <c r="AH4165">
        <v>15.672612857761299</v>
      </c>
      <c r="AI4165">
        <v>93.913662294177399</v>
      </c>
      <c r="AJ4165">
        <v>76.896512230279399</v>
      </c>
      <c r="AK4165">
        <v>16.129216127601801</v>
      </c>
      <c r="AL4165">
        <v>79.745408823597799</v>
      </c>
      <c r="AM4165">
        <v>83.206974202139307</v>
      </c>
      <c r="AN4165">
        <v>1.00000001567184</v>
      </c>
    </row>
    <row r="4166" spans="1:40" x14ac:dyDescent="0.25">
      <c r="A4166" t="str">
        <f>"20190304155143289"</f>
        <v>20190304155143289</v>
      </c>
      <c r="B4166" t="str">
        <f>"1551685903281405"</f>
        <v>1551685903281405</v>
      </c>
      <c r="C4166" t="s">
        <v>40</v>
      </c>
      <c r="D4166">
        <v>5.4502889999999997</v>
      </c>
      <c r="E4166">
        <v>0.62535050000000003</v>
      </c>
      <c r="F4166" t="s">
        <v>41</v>
      </c>
      <c r="G4166">
        <v>-231.75129999999999</v>
      </c>
      <c r="H4166" s="1">
        <v>-4.0797540000000003E-6</v>
      </c>
      <c r="I4166">
        <v>141.86959999999999</v>
      </c>
      <c r="J4166">
        <v>-203.8152</v>
      </c>
      <c r="K4166">
        <v>1.1009580000000001</v>
      </c>
      <c r="L4166">
        <v>143.3356</v>
      </c>
      <c r="M4166">
        <v>-0.88771919999999904</v>
      </c>
      <c r="N4166">
        <v>-1.5907259999999999E-2</v>
      </c>
      <c r="O4166">
        <v>-0.46011069999999998</v>
      </c>
      <c r="P4166">
        <v>-0.92077540000000002</v>
      </c>
      <c r="Q4166">
        <v>0.16568339999999901</v>
      </c>
      <c r="R4166">
        <v>-0.35315970000000002</v>
      </c>
      <c r="S4166">
        <v>-3.2262420000000001</v>
      </c>
      <c r="T4166">
        <v>-0.12617929999999999</v>
      </c>
      <c r="U4166">
        <v>-0.17883299999999999</v>
      </c>
      <c r="V4166">
        <v>0.1144162</v>
      </c>
      <c r="W4166">
        <v>0.1785986</v>
      </c>
      <c r="X4166">
        <v>0.97724690000000003</v>
      </c>
      <c r="Y4166">
        <v>0.40979379999999999</v>
      </c>
      <c r="Z4166">
        <v>2.1098869999999999E-2</v>
      </c>
      <c r="AA4166">
        <v>0.91193409999999997</v>
      </c>
      <c r="AB4166">
        <v>23</v>
      </c>
      <c r="AC4166">
        <v>-27.9360999999999</v>
      </c>
      <c r="AD4166">
        <v>-1.1009620797540001</v>
      </c>
      <c r="AE4166">
        <v>-1.466</v>
      </c>
      <c r="AF4166">
        <v>11.5358947081804</v>
      </c>
      <c r="AG4166">
        <v>-1.1009620797540001</v>
      </c>
      <c r="AH4166">
        <v>25.437754581880601</v>
      </c>
      <c r="AI4166">
        <v>92.257248829649896</v>
      </c>
      <c r="AJ4166">
        <v>65.605945276273303</v>
      </c>
      <c r="AK4166">
        <v>27.952966611565099</v>
      </c>
      <c r="AL4166">
        <v>79.711857302548097</v>
      </c>
      <c r="AM4166">
        <v>83.322204135236603</v>
      </c>
      <c r="AN4166">
        <v>1.0000000151520001</v>
      </c>
    </row>
    <row r="4167" spans="1:40" x14ac:dyDescent="0.25">
      <c r="A4167" t="str">
        <f>"20190304155143310"</f>
        <v>20190304155143310</v>
      </c>
      <c r="B4167" t="str">
        <f>"1551685903300925"</f>
        <v>1551685903300925</v>
      </c>
      <c r="C4167" t="s">
        <v>40</v>
      </c>
      <c r="D4167">
        <v>5.3678679999999996</v>
      </c>
      <c r="E4167">
        <v>0.62684759999999995</v>
      </c>
      <c r="F4167" t="s">
        <v>41</v>
      </c>
      <c r="G4167">
        <v>-231.45429999999999</v>
      </c>
      <c r="H4167" s="1">
        <v>-4.2595779999999997E-6</v>
      </c>
      <c r="I4167">
        <v>142.3135</v>
      </c>
      <c r="J4167">
        <v>-204.03110000000001</v>
      </c>
      <c r="K4167">
        <v>1.1010709999999999</v>
      </c>
      <c r="L4167">
        <v>143.24359999999999</v>
      </c>
      <c r="M4167">
        <v>-0.89467509999999995</v>
      </c>
      <c r="N4167">
        <v>-1.5885170000000001E-2</v>
      </c>
      <c r="O4167">
        <v>-0.44643509999999997</v>
      </c>
      <c r="P4167">
        <v>-0.92536039999999997</v>
      </c>
      <c r="Q4167">
        <v>0.16650980000000001</v>
      </c>
      <c r="R4167">
        <v>-0.34056259999999999</v>
      </c>
      <c r="S4167">
        <v>-3.2354430000000001</v>
      </c>
      <c r="T4167">
        <v>-0.1288791</v>
      </c>
      <c r="U4167">
        <v>-0.11964420000000001</v>
      </c>
      <c r="V4167">
        <v>0.112656199999999</v>
      </c>
      <c r="W4167">
        <v>0.17947539999999901</v>
      </c>
      <c r="X4167">
        <v>0.97729069999999996</v>
      </c>
      <c r="Y4167">
        <v>0.41256429999999999</v>
      </c>
      <c r="Z4167">
        <v>2.1431470000000001E-2</v>
      </c>
      <c r="AA4167">
        <v>0.91067640000000005</v>
      </c>
      <c r="AB4167">
        <v>23</v>
      </c>
      <c r="AC4167">
        <v>-27.423199999999898</v>
      </c>
      <c r="AD4167">
        <v>-1.101075259578</v>
      </c>
      <c r="AE4167">
        <v>-0.93009999999998105</v>
      </c>
      <c r="AF4167">
        <v>11.3936338603748</v>
      </c>
      <c r="AG4167">
        <v>-1.101075259578</v>
      </c>
      <c r="AH4167">
        <v>24.913113061436</v>
      </c>
      <c r="AI4167">
        <v>92.301637519489205</v>
      </c>
      <c r="AJ4167">
        <v>65.423732277982296</v>
      </c>
      <c r="AK4167">
        <v>27.416973970214698</v>
      </c>
      <c r="AL4167">
        <v>79.660794904995896</v>
      </c>
      <c r="AM4167">
        <v>83.4243104196198</v>
      </c>
      <c r="AN4167">
        <v>0.99999997545504404</v>
      </c>
    </row>
    <row r="4168" spans="1:40" x14ac:dyDescent="0.25">
      <c r="A4168" t="str">
        <f>"20190304155143333"</f>
        <v>20190304155143333</v>
      </c>
      <c r="B4168" t="str">
        <f>"1551685903321424"</f>
        <v>1551685903321424</v>
      </c>
      <c r="C4168" t="s">
        <v>40</v>
      </c>
      <c r="D4168">
        <v>5.3548600000000004</v>
      </c>
      <c r="E4168">
        <v>0.62635799999999997</v>
      </c>
      <c r="F4168" t="s">
        <v>41</v>
      </c>
      <c r="G4168">
        <v>-231.8355</v>
      </c>
      <c r="H4168" s="1">
        <v>-4.1962060000000003E-6</v>
      </c>
      <c r="I4168">
        <v>142.6876</v>
      </c>
      <c r="J4168">
        <v>-204.2433</v>
      </c>
      <c r="K4168">
        <v>1.1011899999999999</v>
      </c>
      <c r="L4168">
        <v>143.1568</v>
      </c>
      <c r="M4168">
        <v>-0.90121719999999905</v>
      </c>
      <c r="N4168">
        <v>-1.5858489999999999E-2</v>
      </c>
      <c r="O4168">
        <v>-0.43307770000000001</v>
      </c>
      <c r="P4168">
        <v>-0.9295561</v>
      </c>
      <c r="Q4168">
        <v>0.16745309999999999</v>
      </c>
      <c r="R4168">
        <v>-0.32845869999999999</v>
      </c>
      <c r="S4168">
        <v>-3.241241</v>
      </c>
      <c r="T4168">
        <v>-0.12835559999999999</v>
      </c>
      <c r="U4168">
        <v>-6.480408E-2</v>
      </c>
      <c r="V4168">
        <v>0.1107633</v>
      </c>
      <c r="W4168">
        <v>0.1804684</v>
      </c>
      <c r="X4168">
        <v>0.97732419999999998</v>
      </c>
      <c r="Y4168">
        <v>0.41447689999999998</v>
      </c>
      <c r="Z4168">
        <v>2.1118330000000001E-2</v>
      </c>
      <c r="AA4168">
        <v>0.90981480000000003</v>
      </c>
      <c r="AB4168">
        <v>23</v>
      </c>
      <c r="AC4168">
        <v>-27.592199999999899</v>
      </c>
      <c r="AD4168">
        <v>-1.1011941962059999</v>
      </c>
      <c r="AE4168">
        <v>-0.46920000000000001</v>
      </c>
      <c r="AF4168">
        <v>11.5098364906375</v>
      </c>
      <c r="AG4168">
        <v>-1.1011941962059999</v>
      </c>
      <c r="AH4168">
        <v>25.033054877861002</v>
      </c>
      <c r="AI4168">
        <v>92.288744603108199</v>
      </c>
      <c r="AJ4168">
        <v>65.3077125827852</v>
      </c>
      <c r="AK4168">
        <v>27.574314156783199</v>
      </c>
      <c r="AL4168">
        <v>79.602955743566994</v>
      </c>
      <c r="AM4168">
        <v>83.534074229458994</v>
      </c>
      <c r="AN4168">
        <v>0.99999997196554402</v>
      </c>
    </row>
    <row r="4169" spans="1:40" x14ac:dyDescent="0.25">
      <c r="A4169" t="str">
        <f>"20190304155143355"</f>
        <v>20190304155143355</v>
      </c>
      <c r="B4169" t="str">
        <f>"1551685903350701"</f>
        <v>1551685903350701</v>
      </c>
      <c r="C4169" t="s">
        <v>40</v>
      </c>
      <c r="D4169">
        <v>5.3863760000000003</v>
      </c>
      <c r="E4169">
        <v>0.62496940000000001</v>
      </c>
      <c r="F4169" t="s">
        <v>41</v>
      </c>
      <c r="G4169">
        <v>-231.70009999999999</v>
      </c>
      <c r="H4169" s="1">
        <v>-4.2850100000000003E-6</v>
      </c>
      <c r="I4169">
        <v>142.92850000000001</v>
      </c>
      <c r="J4169">
        <v>-204.4623</v>
      </c>
      <c r="K4169">
        <v>1.1013280000000001</v>
      </c>
      <c r="L4169">
        <v>143.07079999999999</v>
      </c>
      <c r="M4169">
        <v>-0.90766639999999998</v>
      </c>
      <c r="N4169">
        <v>-1.5827279999999999E-2</v>
      </c>
      <c r="O4169">
        <v>-0.41939379999999998</v>
      </c>
      <c r="P4169">
        <v>-0.93351629999999997</v>
      </c>
      <c r="Q4169">
        <v>0.16875009999999999</v>
      </c>
      <c r="R4169">
        <v>-0.31633939999999999</v>
      </c>
      <c r="S4169">
        <v>-3.2412570000000001</v>
      </c>
      <c r="T4169">
        <v>-0.12999520000000001</v>
      </c>
      <c r="U4169">
        <v>-2.6947019999999999E-2</v>
      </c>
      <c r="V4169">
        <v>0.1085571</v>
      </c>
      <c r="W4169">
        <v>0.18181939999999999</v>
      </c>
      <c r="X4169">
        <v>0.97732140000000001</v>
      </c>
      <c r="Y4169">
        <v>0.4113233</v>
      </c>
      <c r="Z4169">
        <v>2.1101760000000001E-2</v>
      </c>
      <c r="AA4169">
        <v>0.91124519999999998</v>
      </c>
      <c r="AB4169">
        <v>23</v>
      </c>
      <c r="AC4169">
        <v>-27.2378</v>
      </c>
      <c r="AD4169">
        <v>-1.10133228501</v>
      </c>
      <c r="AE4169">
        <v>-0.142299999999977</v>
      </c>
      <c r="AF4169">
        <v>11.2771820211999</v>
      </c>
      <c r="AG4169">
        <v>-1.10133228501</v>
      </c>
      <c r="AH4169">
        <v>24.7451658748775</v>
      </c>
      <c r="AI4169">
        <v>92.319183992104698</v>
      </c>
      <c r="AJ4169">
        <v>65.499692791608894</v>
      </c>
      <c r="AK4169">
        <v>27.216006343997002</v>
      </c>
      <c r="AL4169">
        <v>79.524247626172993</v>
      </c>
      <c r="AM4169">
        <v>83.661786866220694</v>
      </c>
      <c r="AN4169">
        <v>1.00000002853736</v>
      </c>
    </row>
    <row r="4170" spans="1:40" x14ac:dyDescent="0.25">
      <c r="A4170" t="str">
        <f>"20190304155143378"</f>
        <v>20190304155143378</v>
      </c>
      <c r="B4170" t="str">
        <f>"1551685903371196"</f>
        <v>1551685903371196</v>
      </c>
      <c r="C4170" t="s">
        <v>40</v>
      </c>
      <c r="D4170">
        <v>5.352678</v>
      </c>
      <c r="E4170">
        <v>0.62481679999999995</v>
      </c>
      <c r="F4170" t="s">
        <v>41</v>
      </c>
      <c r="G4170">
        <v>-232.62049999999999</v>
      </c>
      <c r="H4170" s="1">
        <v>-4.0021859999999996E-6</v>
      </c>
      <c r="I4170">
        <v>143.09979999999999</v>
      </c>
      <c r="J4170">
        <v>-204.68709999999999</v>
      </c>
      <c r="K4170">
        <v>1.101491</v>
      </c>
      <c r="L4170">
        <v>142.9863</v>
      </c>
      <c r="M4170">
        <v>-0.91395700000000002</v>
      </c>
      <c r="N4170">
        <v>-1.5790430000000001E-2</v>
      </c>
      <c r="O4170">
        <v>-0.40550389999999997</v>
      </c>
      <c r="P4170">
        <v>-0.93722419999999995</v>
      </c>
      <c r="Q4170">
        <v>0.1697225</v>
      </c>
      <c r="R4170">
        <v>-0.3046394</v>
      </c>
      <c r="S4170">
        <v>-3.2376559999999999</v>
      </c>
      <c r="T4170">
        <v>-0.12663250000000001</v>
      </c>
      <c r="U4170">
        <v>3.3416750000000001E-3</v>
      </c>
      <c r="V4170">
        <v>0.1057521</v>
      </c>
      <c r="W4170">
        <v>0.1828593</v>
      </c>
      <c r="X4170">
        <v>0.9774349</v>
      </c>
      <c r="Y4170">
        <v>0.40597109999999997</v>
      </c>
      <c r="Z4170">
        <v>2.0096989999999999E-2</v>
      </c>
      <c r="AA4170">
        <v>0.9136649</v>
      </c>
      <c r="AB4170">
        <v>23</v>
      </c>
      <c r="AC4170">
        <v>-27.933399999999999</v>
      </c>
      <c r="AD4170">
        <v>-1.1014950021859999</v>
      </c>
      <c r="AE4170">
        <v>0.113499999999987</v>
      </c>
      <c r="AF4170">
        <v>11.414512501350901</v>
      </c>
      <c r="AG4170">
        <v>-1.1014950021859999</v>
      </c>
      <c r="AH4170">
        <v>25.447508477594599</v>
      </c>
      <c r="AI4170">
        <v>92.261657844052394</v>
      </c>
      <c r="AJ4170">
        <v>65.841319567275093</v>
      </c>
      <c r="AK4170">
        <v>27.912005922193899</v>
      </c>
      <c r="AL4170">
        <v>79.463649632605595</v>
      </c>
      <c r="AM4170">
        <v>83.824989040365594</v>
      </c>
      <c r="AN4170">
        <v>1.0000000069944499</v>
      </c>
    </row>
    <row r="4171" spans="1:40" x14ac:dyDescent="0.25">
      <c r="A4171" t="str">
        <f>"20190304155143401"</f>
        <v>20190304155143401</v>
      </c>
      <c r="B4171" t="str">
        <f>"1551685903390717"</f>
        <v>1551685903390717</v>
      </c>
      <c r="C4171" t="s">
        <v>40</v>
      </c>
      <c r="D4171">
        <v>5.3489810000000002</v>
      </c>
      <c r="E4171">
        <v>0.62314320000000001</v>
      </c>
      <c r="F4171" t="s">
        <v>41</v>
      </c>
      <c r="G4171">
        <v>-234.66550000000001</v>
      </c>
      <c r="H4171" s="1">
        <v>-3.2693179999999998E-6</v>
      </c>
      <c r="I4171">
        <v>143.369</v>
      </c>
      <c r="J4171">
        <v>-204.9212</v>
      </c>
      <c r="K4171">
        <v>1.1016779999999999</v>
      </c>
      <c r="L4171">
        <v>142.90209999999999</v>
      </c>
      <c r="M4171">
        <v>-0.92015829999999998</v>
      </c>
      <c r="N4171">
        <v>-1.574426E-2</v>
      </c>
      <c r="O4171">
        <v>-0.39122990000000002</v>
      </c>
      <c r="P4171">
        <v>-0.94075920000000002</v>
      </c>
      <c r="Q4171">
        <v>0.17047619999999999</v>
      </c>
      <c r="R4171">
        <v>-0.29310429999999998</v>
      </c>
      <c r="S4171">
        <v>-3.235916</v>
      </c>
      <c r="T4171">
        <v>-0.118897</v>
      </c>
      <c r="U4171">
        <v>4.1320799999999998E-2</v>
      </c>
      <c r="V4171">
        <v>0.1024177</v>
      </c>
      <c r="W4171">
        <v>0.1836885</v>
      </c>
      <c r="X4171">
        <v>0.97763449999999996</v>
      </c>
      <c r="Y4171">
        <v>0.40253800000000001</v>
      </c>
      <c r="Z4171">
        <v>1.8360600000000001E-2</v>
      </c>
      <c r="AA4171">
        <v>0.91521909999999895</v>
      </c>
      <c r="AB4171">
        <v>23</v>
      </c>
      <c r="AC4171">
        <v>-29.744299999999999</v>
      </c>
      <c r="AD4171">
        <v>-1.101681269318</v>
      </c>
      <c r="AE4171">
        <v>0.46690000000000897</v>
      </c>
      <c r="AF4171">
        <v>12.051448528744301</v>
      </c>
      <c r="AG4171">
        <v>-1.101681269318</v>
      </c>
      <c r="AH4171">
        <v>27.152928900916201</v>
      </c>
      <c r="AI4171">
        <v>92.123819498992901</v>
      </c>
      <c r="AJ4171">
        <v>66.066626504487004</v>
      </c>
      <c r="AK4171">
        <v>29.7276413655431</v>
      </c>
      <c r="AL4171">
        <v>79.415321659620901</v>
      </c>
      <c r="AM4171">
        <v>84.019467279133394</v>
      </c>
      <c r="AN4171">
        <v>1.00000003294789</v>
      </c>
    </row>
    <row r="4172" spans="1:40" x14ac:dyDescent="0.25">
      <c r="A4172" t="str">
        <f>"20190304155143422"</f>
        <v>20190304155143422</v>
      </c>
      <c r="B4172" t="str">
        <f>"1551685903411212"</f>
        <v>1551685903411212</v>
      </c>
      <c r="C4172" t="s">
        <v>40</v>
      </c>
      <c r="D4172">
        <v>5.3409230000000001</v>
      </c>
      <c r="E4172">
        <v>0.62132359999999998</v>
      </c>
      <c r="F4172" t="s">
        <v>41</v>
      </c>
      <c r="G4172">
        <v>-235.77719999999999</v>
      </c>
      <c r="H4172" s="1">
        <v>-2.8413889999999999E-6</v>
      </c>
      <c r="I4172">
        <v>143.5531</v>
      </c>
      <c r="J4172">
        <v>-205.12540000000001</v>
      </c>
      <c r="K4172">
        <v>1.1018600000000001</v>
      </c>
      <c r="L4172">
        <v>142.83170000000001</v>
      </c>
      <c r="M4172">
        <v>-0.92526969999999997</v>
      </c>
      <c r="N4172">
        <v>-1.569653E-2</v>
      </c>
      <c r="O4172">
        <v>-0.37898480000000001</v>
      </c>
      <c r="P4172">
        <v>-0.94342060000000005</v>
      </c>
      <c r="Q4172">
        <v>0.17086570000000001</v>
      </c>
      <c r="R4172">
        <v>-0.284188</v>
      </c>
      <c r="S4172">
        <v>-3.2310639999999999</v>
      </c>
      <c r="T4172">
        <v>-0.11536200000000001</v>
      </c>
      <c r="U4172">
        <v>6.8176269999999997E-2</v>
      </c>
      <c r="V4172">
        <v>9.8586160000000006E-2</v>
      </c>
      <c r="W4172">
        <v>0.1841614</v>
      </c>
      <c r="X4172">
        <v>0.97793929999999996</v>
      </c>
      <c r="Y4172">
        <v>0.39804089999999998</v>
      </c>
      <c r="Z4172">
        <v>1.744884E-2</v>
      </c>
      <c r="AA4172">
        <v>0.91720170000000001</v>
      </c>
      <c r="AB4172">
        <v>23</v>
      </c>
      <c r="AC4172">
        <v>-30.651799999999898</v>
      </c>
      <c r="AD4172">
        <v>-1.1018628413889999</v>
      </c>
      <c r="AE4172">
        <v>0.72139999999998805</v>
      </c>
      <c r="AF4172">
        <v>12.2697235191049</v>
      </c>
      <c r="AG4172">
        <v>-1.1018628413889999</v>
      </c>
      <c r="AH4172">
        <v>28.0550109349583</v>
      </c>
      <c r="AI4172">
        <v>92.060853566471593</v>
      </c>
      <c r="AJ4172">
        <v>66.378068617226702</v>
      </c>
      <c r="AK4172">
        <v>30.640558994854199</v>
      </c>
      <c r="AL4172">
        <v>79.387755480567506</v>
      </c>
      <c r="AM4172">
        <v>84.243454724987103</v>
      </c>
      <c r="AN4172">
        <v>0.99999996333899699</v>
      </c>
    </row>
    <row r="4173" spans="1:40" x14ac:dyDescent="0.25">
      <c r="A4173" t="str">
        <f>"20190304155143444"</f>
        <v>20190304155143444</v>
      </c>
      <c r="B4173" t="str">
        <f>"1551685903440493"</f>
        <v>1551685903440493</v>
      </c>
      <c r="C4173" t="s">
        <v>40</v>
      </c>
      <c r="D4173">
        <v>5.3590119999999999</v>
      </c>
      <c r="E4173">
        <v>0.61853709999999995</v>
      </c>
      <c r="F4173" t="s">
        <v>41</v>
      </c>
      <c r="G4173">
        <v>-235.24440000000001</v>
      </c>
      <c r="H4173" s="1">
        <v>-3.0888540000000002E-6</v>
      </c>
      <c r="I4173">
        <v>143.62430000000001</v>
      </c>
      <c r="J4173">
        <v>-205.3415</v>
      </c>
      <c r="K4173">
        <v>1.102061</v>
      </c>
      <c r="L4173">
        <v>142.7602</v>
      </c>
      <c r="M4173">
        <v>-0.93038540000000003</v>
      </c>
      <c r="N4173">
        <v>-1.563968E-2</v>
      </c>
      <c r="O4173">
        <v>-0.36624909999999999</v>
      </c>
      <c r="P4173">
        <v>-0.94620040000000005</v>
      </c>
      <c r="Q4173">
        <v>0.17119239999999999</v>
      </c>
      <c r="R4173">
        <v>-0.27458630000000001</v>
      </c>
      <c r="S4173">
        <v>-3.2268829999999999</v>
      </c>
      <c r="T4173">
        <v>-0.1180509</v>
      </c>
      <c r="U4173">
        <v>8.4915160000000003E-2</v>
      </c>
      <c r="V4173">
        <v>9.4979090000000002E-2</v>
      </c>
      <c r="W4173">
        <v>0.18456210000000001</v>
      </c>
      <c r="X4173">
        <v>0.97822070000000005</v>
      </c>
      <c r="Y4173">
        <v>0.390204</v>
      </c>
      <c r="Z4173">
        <v>1.753186E-2</v>
      </c>
      <c r="AA4173">
        <v>0.92056150000000003</v>
      </c>
      <c r="AB4173">
        <v>23</v>
      </c>
      <c r="AC4173">
        <v>-29.902899999999999</v>
      </c>
      <c r="AD4173">
        <v>-1.1020640888540001</v>
      </c>
      <c r="AE4173">
        <v>0.86410000000000697</v>
      </c>
      <c r="AF4173">
        <v>11.74135959989</v>
      </c>
      <c r="AG4173">
        <v>-1.1020640888540001</v>
      </c>
      <c r="AH4173">
        <v>27.4708284812186</v>
      </c>
      <c r="AI4173">
        <v>92.112647506744906</v>
      </c>
      <c r="AJ4173">
        <v>66.857559020995396</v>
      </c>
      <c r="AK4173">
        <v>29.895158269432201</v>
      </c>
      <c r="AL4173">
        <v>79.3643966948068</v>
      </c>
      <c r="AM4173">
        <v>84.454322562093196</v>
      </c>
      <c r="AN4173">
        <v>0.99999996710106298</v>
      </c>
    </row>
    <row r="4174" spans="1:40" x14ac:dyDescent="0.25">
      <c r="A4174" t="str">
        <f>"20190304155143468"</f>
        <v>20190304155143468</v>
      </c>
      <c r="B4174" t="str">
        <f>"1551685903461131"</f>
        <v>1551685903461131</v>
      </c>
      <c r="C4174" t="s">
        <v>40</v>
      </c>
      <c r="D4174">
        <v>5.2902389999999997</v>
      </c>
      <c r="E4174">
        <v>0.61739089999999996</v>
      </c>
      <c r="F4174" t="s">
        <v>41</v>
      </c>
      <c r="G4174">
        <v>-233.91480000000001</v>
      </c>
      <c r="H4174" s="1">
        <v>-3.6528259999999999E-6</v>
      </c>
      <c r="I4174">
        <v>143.61349999999999</v>
      </c>
      <c r="J4174">
        <v>-205.58260000000001</v>
      </c>
      <c r="K4174">
        <v>1.1023210000000001</v>
      </c>
      <c r="L4174">
        <v>142.68389999999999</v>
      </c>
      <c r="M4174">
        <v>-0.93574290000000004</v>
      </c>
      <c r="N4174">
        <v>-1.557008E-2</v>
      </c>
      <c r="O4174">
        <v>-0.35233940000000002</v>
      </c>
      <c r="P4174">
        <v>-0.9491581</v>
      </c>
      <c r="Q4174">
        <v>0.17117499999999999</v>
      </c>
      <c r="R4174">
        <v>-0.26419330000000002</v>
      </c>
      <c r="S4174">
        <v>-3.220993</v>
      </c>
      <c r="T4174">
        <v>-0.1242325</v>
      </c>
      <c r="U4174">
        <v>9.6191410000000005E-2</v>
      </c>
      <c r="V4174">
        <v>9.0995889999999996E-2</v>
      </c>
      <c r="W4174">
        <v>0.1846207</v>
      </c>
      <c r="X4174">
        <v>0.97858820000000002</v>
      </c>
      <c r="Y4174">
        <v>0.3796832</v>
      </c>
      <c r="Z4174">
        <v>1.8082819999999999E-2</v>
      </c>
      <c r="AA4174">
        <v>0.92493990000000004</v>
      </c>
      <c r="AB4174">
        <v>23</v>
      </c>
      <c r="AC4174">
        <v>-28.3322</v>
      </c>
      <c r="AD4174">
        <v>-1.10232465282599</v>
      </c>
      <c r="AE4174">
        <v>0.92959999999999299</v>
      </c>
      <c r="AF4174">
        <v>10.837343715606901</v>
      </c>
      <c r="AG4174">
        <v>-1.10232465282599</v>
      </c>
      <c r="AH4174">
        <v>26.147752410080201</v>
      </c>
      <c r="AI4174">
        <v>92.230257483066197</v>
      </c>
      <c r="AJ4174">
        <v>67.487675525099903</v>
      </c>
      <c r="AK4174">
        <v>28.326102706678299</v>
      </c>
      <c r="AL4174">
        <v>79.360980378945698</v>
      </c>
      <c r="AM4174">
        <v>84.687519100297493</v>
      </c>
      <c r="AN4174">
        <v>0.99999996002230995</v>
      </c>
    </row>
    <row r="4175" spans="1:40" x14ac:dyDescent="0.25">
      <c r="A4175" t="str">
        <f>"20190304155143490"</f>
        <v>20190304155143490</v>
      </c>
      <c r="B4175" t="str">
        <f>"1551685903480650"</f>
        <v>1551685903480650</v>
      </c>
      <c r="C4175" t="s">
        <v>40</v>
      </c>
      <c r="D4175">
        <v>5.2985670000000002</v>
      </c>
      <c r="E4175">
        <v>0.57783059999999997</v>
      </c>
      <c r="F4175" t="s">
        <v>41</v>
      </c>
      <c r="G4175">
        <v>-233.29689999999999</v>
      </c>
      <c r="H4175" s="1">
        <v>-3.8840880000000003E-6</v>
      </c>
      <c r="I4175">
        <v>143.73169999999999</v>
      </c>
      <c r="J4175">
        <v>-205.7989</v>
      </c>
      <c r="K4175">
        <v>1.10256</v>
      </c>
      <c r="L4175">
        <v>142.61850000000001</v>
      </c>
      <c r="M4175">
        <v>-0.94023299999999999</v>
      </c>
      <c r="N4175">
        <v>-1.5502480000000001E-2</v>
      </c>
      <c r="O4175">
        <v>-0.3401788</v>
      </c>
      <c r="P4175">
        <v>-0.95197100000000001</v>
      </c>
      <c r="Q4175">
        <v>0.17028960000000001</v>
      </c>
      <c r="R4175">
        <v>-0.25446540000000001</v>
      </c>
      <c r="S4175">
        <v>-3.2176360000000002</v>
      </c>
      <c r="T4175">
        <v>-0.12798019999999999</v>
      </c>
      <c r="U4175">
        <v>0.1216583</v>
      </c>
      <c r="V4175">
        <v>8.8241539999999993E-2</v>
      </c>
      <c r="W4175">
        <v>0.18378130000000001</v>
      </c>
      <c r="X4175">
        <v>0.97899840000000005</v>
      </c>
      <c r="Y4175">
        <v>0.37500440000000002</v>
      </c>
      <c r="Z4175">
        <v>1.83526E-2</v>
      </c>
      <c r="AA4175">
        <v>0.92684129999999998</v>
      </c>
      <c r="AB4175">
        <v>23</v>
      </c>
      <c r="AC4175">
        <v>-27.497999999999902</v>
      </c>
      <c r="AD4175">
        <v>-1.1025638840880001</v>
      </c>
      <c r="AE4175">
        <v>1.11319999999997</v>
      </c>
      <c r="AF4175">
        <v>10.385484422772</v>
      </c>
      <c r="AG4175">
        <v>-1.1025638840880001</v>
      </c>
      <c r="AH4175">
        <v>25.438071436403298</v>
      </c>
      <c r="AI4175">
        <v>92.297911377535399</v>
      </c>
      <c r="AJ4175">
        <v>67.791505421434294</v>
      </c>
      <c r="AK4175">
        <v>27.498534728557701</v>
      </c>
      <c r="AL4175">
        <v>79.409912187574804</v>
      </c>
      <c r="AM4175">
        <v>84.8495906650016</v>
      </c>
      <c r="AN4175">
        <v>1.0000000014069099</v>
      </c>
    </row>
    <row r="4176" spans="1:40" x14ac:dyDescent="0.25">
      <c r="A4176" t="str">
        <f>"20190304155143511"</f>
        <v>20190304155143511</v>
      </c>
      <c r="B4176" t="str">
        <f>"1551685903501146"</f>
        <v>1551685903501146</v>
      </c>
      <c r="C4176" t="s">
        <v>40</v>
      </c>
      <c r="D4176">
        <v>5.3158479999999999</v>
      </c>
      <c r="E4176">
        <v>0.57581569999999904</v>
      </c>
      <c r="F4176" t="s">
        <v>41</v>
      </c>
      <c r="G4176">
        <v>-222.1507</v>
      </c>
      <c r="H4176" s="1">
        <v>-3.9393999999999999E-6</v>
      </c>
      <c r="I4176">
        <v>141.84469999999999</v>
      </c>
      <c r="J4176">
        <v>-206.01150000000001</v>
      </c>
      <c r="K4176">
        <v>1.102786</v>
      </c>
      <c r="L4176">
        <v>142.55690000000001</v>
      </c>
      <c r="M4176">
        <v>-0.94438960000000005</v>
      </c>
      <c r="N4176">
        <v>-1.5435910000000001E-2</v>
      </c>
      <c r="O4176">
        <v>-0.32846690000000001</v>
      </c>
      <c r="P4176">
        <v>-0.9538875</v>
      </c>
      <c r="Q4176">
        <v>0.169131</v>
      </c>
      <c r="R4176">
        <v>-0.2479789</v>
      </c>
      <c r="S4176">
        <v>-3.1494900000000001</v>
      </c>
      <c r="T4176">
        <v>-0.21236350000000001</v>
      </c>
      <c r="U4176">
        <v>-0.14904790000000001</v>
      </c>
      <c r="V4176">
        <v>8.2666760000000006E-2</v>
      </c>
      <c r="W4176">
        <v>0.18272099999999999</v>
      </c>
      <c r="X4176">
        <v>0.97968319999999998</v>
      </c>
      <c r="Y4176">
        <v>0.28229189999999998</v>
      </c>
      <c r="Z4176">
        <v>2.8290639999999999E-2</v>
      </c>
      <c r="AA4176">
        <v>0.95891130000000002</v>
      </c>
      <c r="AB4176">
        <v>23</v>
      </c>
      <c r="AC4176">
        <v>-16.139199999999899</v>
      </c>
      <c r="AD4176">
        <v>-1.1027899394</v>
      </c>
      <c r="AE4176">
        <v>-0.71220000000002404</v>
      </c>
      <c r="AF4176">
        <v>4.6076777869773498</v>
      </c>
      <c r="AG4176">
        <v>-1.1027899394</v>
      </c>
      <c r="AH4176">
        <v>15.4056780417017</v>
      </c>
      <c r="AI4176">
        <v>93.9232911515967</v>
      </c>
      <c r="AJ4176">
        <v>73.348623877307404</v>
      </c>
      <c r="AK4176">
        <v>16.1177466217712</v>
      </c>
      <c r="AL4176">
        <v>79.471708980422207</v>
      </c>
      <c r="AM4176">
        <v>85.1767441009724</v>
      </c>
      <c r="AN4176">
        <v>0.999999964706068</v>
      </c>
    </row>
    <row r="4177" spans="1:40" x14ac:dyDescent="0.25">
      <c r="A4177" t="str">
        <f>"20190304155143534"</f>
        <v>20190304155143534</v>
      </c>
      <c r="B4177" t="str">
        <f>"1551685903531403"</f>
        <v>1551685903531403</v>
      </c>
      <c r="C4177" t="s">
        <v>40</v>
      </c>
      <c r="D4177">
        <v>5.3183439999999997</v>
      </c>
      <c r="E4177">
        <v>0.56906690000000004</v>
      </c>
      <c r="F4177" t="s">
        <v>41</v>
      </c>
      <c r="G4177">
        <v>-221.8262</v>
      </c>
      <c r="H4177" s="1">
        <v>-4.0496280000000001E-6</v>
      </c>
      <c r="I4177">
        <v>141.84350000000001</v>
      </c>
      <c r="J4177">
        <v>-206.2353</v>
      </c>
      <c r="K4177">
        <v>1.1030040000000001</v>
      </c>
      <c r="L4177">
        <v>142.4948</v>
      </c>
      <c r="M4177">
        <v>-0.94850129999999999</v>
      </c>
      <c r="N4177">
        <v>-1.5367570000000001E-2</v>
      </c>
      <c r="O4177">
        <v>-0.31640030000000002</v>
      </c>
      <c r="P4177">
        <v>-0.95583609999999997</v>
      </c>
      <c r="Q4177">
        <v>0.16869039999999999</v>
      </c>
      <c r="R4177">
        <v>-0.24066709999999999</v>
      </c>
      <c r="S4177">
        <v>-3.147049</v>
      </c>
      <c r="T4177">
        <v>-0.2194499</v>
      </c>
      <c r="U4177">
        <v>-0.14195250000000001</v>
      </c>
      <c r="V4177">
        <v>7.758321E-2</v>
      </c>
      <c r="W4177">
        <v>0.1823572</v>
      </c>
      <c r="X4177">
        <v>0.98016669999999995</v>
      </c>
      <c r="Y4177">
        <v>0.27212829999999999</v>
      </c>
      <c r="Z4177">
        <v>2.83342E-2</v>
      </c>
      <c r="AA4177">
        <v>0.96184369999999997</v>
      </c>
      <c r="AB4177">
        <v>23</v>
      </c>
      <c r="AC4177">
        <v>-15.5909</v>
      </c>
      <c r="AD4177">
        <v>-1.1030080496279999</v>
      </c>
      <c r="AE4177">
        <v>-0.651299999999992</v>
      </c>
      <c r="AF4177">
        <v>4.2942602445821896</v>
      </c>
      <c r="AG4177">
        <v>-1.1030080496279999</v>
      </c>
      <c r="AH4177">
        <v>14.921278279311499</v>
      </c>
      <c r="AI4177">
        <v>94.063376523424694</v>
      </c>
      <c r="AJ4177">
        <v>73.944478127839702</v>
      </c>
      <c r="AK4177">
        <v>15.5660477737413</v>
      </c>
      <c r="AL4177">
        <v>79.492910090393707</v>
      </c>
      <c r="AM4177">
        <v>85.474298518854198</v>
      </c>
      <c r="AN4177">
        <v>1.0000000313273101</v>
      </c>
    </row>
    <row r="4178" spans="1:40" x14ac:dyDescent="0.25">
      <c r="A4178" t="str">
        <f>"20190304155143556"</f>
        <v>20190304155143556</v>
      </c>
      <c r="B4178" t="str">
        <f>"1551685903550923"</f>
        <v>1551685903550923</v>
      </c>
      <c r="C4178" t="s">
        <v>40</v>
      </c>
      <c r="D4178">
        <v>5.2736539999999996</v>
      </c>
      <c r="E4178">
        <v>0.56642530000000002</v>
      </c>
      <c r="F4178" t="s">
        <v>41</v>
      </c>
      <c r="G4178">
        <v>-220.74590000000001</v>
      </c>
      <c r="H4178" s="1">
        <v>-4.3936090000000002E-6</v>
      </c>
      <c r="I4178">
        <v>141.71010000000001</v>
      </c>
      <c r="J4178">
        <v>-206.4538</v>
      </c>
      <c r="K4178">
        <v>1.10321</v>
      </c>
      <c r="L4178">
        <v>142.43680000000001</v>
      </c>
      <c r="M4178">
        <v>-0.95226089999999997</v>
      </c>
      <c r="N4178">
        <v>-1.530102E-2</v>
      </c>
      <c r="O4178">
        <v>-0.30490200000000001</v>
      </c>
      <c r="P4178">
        <v>-0.95748500000000003</v>
      </c>
      <c r="Q4178">
        <v>0.16869429999999999</v>
      </c>
      <c r="R4178">
        <v>-0.2340197</v>
      </c>
      <c r="S4178">
        <v>-3.137985</v>
      </c>
      <c r="T4178">
        <v>-0.2385321</v>
      </c>
      <c r="U4178">
        <v>-0.16967769999999999</v>
      </c>
      <c r="V4178">
        <v>7.2429140000000003E-2</v>
      </c>
      <c r="W4178">
        <v>0.18243219999999999</v>
      </c>
      <c r="X4178">
        <v>0.9805471</v>
      </c>
      <c r="Y4178">
        <v>0.25167240000000002</v>
      </c>
      <c r="Z4178">
        <v>2.9548560000000001E-2</v>
      </c>
      <c r="AA4178">
        <v>0.96736129999999998</v>
      </c>
      <c r="AB4178">
        <v>23</v>
      </c>
      <c r="AC4178">
        <v>-14.2921</v>
      </c>
      <c r="AD4178">
        <v>-1.103214393609</v>
      </c>
      <c r="AE4178">
        <v>-0.72669999999999302</v>
      </c>
      <c r="AF4178">
        <v>3.64445173441915</v>
      </c>
      <c r="AG4178">
        <v>-1.103214393609</v>
      </c>
      <c r="AH4178">
        <v>13.751274543445</v>
      </c>
      <c r="AI4178">
        <v>94.434359224000403</v>
      </c>
      <c r="AJ4178">
        <v>75.156355909798407</v>
      </c>
      <c r="AK4178">
        <v>14.268730217225899</v>
      </c>
      <c r="AL4178">
        <v>79.488539809416196</v>
      </c>
      <c r="AM4178">
        <v>85.775459307017798</v>
      </c>
      <c r="AN4178">
        <v>1.0000000516181899</v>
      </c>
    </row>
    <row r="4179" spans="1:40" x14ac:dyDescent="0.25">
      <c r="A4179" t="str">
        <f>"20190304155143579"</f>
        <v>20190304155143579</v>
      </c>
      <c r="B4179" t="str">
        <f>"1551685903571419"</f>
        <v>1551685903571419</v>
      </c>
      <c r="C4179" t="s">
        <v>40</v>
      </c>
      <c r="D4179">
        <v>5.2940319999999996</v>
      </c>
      <c r="E4179">
        <v>0.56360690000000002</v>
      </c>
      <c r="F4179" t="s">
        <v>41</v>
      </c>
      <c r="G4179">
        <v>-221.08109999999999</v>
      </c>
      <c r="H4179" s="1">
        <v>-4.2684620000000001E-6</v>
      </c>
      <c r="I4179">
        <v>141.64779999999999</v>
      </c>
      <c r="J4179">
        <v>-206.68389999999999</v>
      </c>
      <c r="K4179">
        <v>1.103432</v>
      </c>
      <c r="L4179">
        <v>142.3783</v>
      </c>
      <c r="M4179">
        <v>-0.9559588</v>
      </c>
      <c r="N4179">
        <v>-1.5228439999999999E-2</v>
      </c>
      <c r="O4179">
        <v>-0.29310550000000002</v>
      </c>
      <c r="P4179">
        <v>-0.95912200000000003</v>
      </c>
      <c r="Q4179">
        <v>0.168986</v>
      </c>
      <c r="R4179">
        <v>-0.22699939999999999</v>
      </c>
      <c r="S4179">
        <v>-3.1335299999999999</v>
      </c>
      <c r="T4179">
        <v>-0.2363354</v>
      </c>
      <c r="U4179">
        <v>-0.16899110000000001</v>
      </c>
      <c r="V4179">
        <v>6.7365889999999998E-2</v>
      </c>
      <c r="W4179">
        <v>0.18278330000000001</v>
      </c>
      <c r="X4179">
        <v>0.98084249999999995</v>
      </c>
      <c r="Y4179">
        <v>0.2399095</v>
      </c>
      <c r="Z4179">
        <v>2.8112450000000001E-2</v>
      </c>
      <c r="AA4179">
        <v>0.97038820000000003</v>
      </c>
      <c r="AB4179">
        <v>23</v>
      </c>
      <c r="AC4179">
        <v>-14.3971999999999</v>
      </c>
      <c r="AD4179">
        <v>-1.103436268462</v>
      </c>
      <c r="AE4179">
        <v>-0.73050000000000603</v>
      </c>
      <c r="AF4179">
        <v>3.5014640684625702</v>
      </c>
      <c r="AG4179">
        <v>-1.103436268462</v>
      </c>
      <c r="AH4179">
        <v>13.897440033081001</v>
      </c>
      <c r="AI4179">
        <v>94.402655295322404</v>
      </c>
      <c r="AJ4179">
        <v>75.858634559383106</v>
      </c>
      <c r="AK4179">
        <v>14.3741664695513</v>
      </c>
      <c r="AL4179">
        <v>79.468078193515197</v>
      </c>
      <c r="AM4179">
        <v>86.071000983196697</v>
      </c>
      <c r="AN4179">
        <v>0.99999995385031404</v>
      </c>
    </row>
    <row r="4180" spans="1:40" x14ac:dyDescent="0.25">
      <c r="A4180" t="str">
        <f>"20190304155143601"</f>
        <v>20190304155143601</v>
      </c>
      <c r="B4180" t="str">
        <f>"1551685903590941"</f>
        <v>1551685903590941</v>
      </c>
      <c r="C4180" t="s">
        <v>40</v>
      </c>
      <c r="D4180">
        <v>5.1836760000000002</v>
      </c>
      <c r="E4180">
        <v>0.5620849</v>
      </c>
      <c r="F4180" t="s">
        <v>41</v>
      </c>
      <c r="G4180">
        <v>-221.2286</v>
      </c>
      <c r="H4180" s="1">
        <v>-4.2082629999999996E-6</v>
      </c>
      <c r="I4180">
        <v>141.59139999999999</v>
      </c>
      <c r="J4180">
        <v>-206.90770000000001</v>
      </c>
      <c r="K4180">
        <v>1.1036680000000001</v>
      </c>
      <c r="L4180">
        <v>142.32390000000001</v>
      </c>
      <c r="M4180">
        <v>-0.95931449999999996</v>
      </c>
      <c r="N4180">
        <v>-1.515499E-2</v>
      </c>
      <c r="O4180">
        <v>-0.28193279999999998</v>
      </c>
      <c r="P4180">
        <v>-0.96057769999999998</v>
      </c>
      <c r="Q4180">
        <v>0.16901739999999901</v>
      </c>
      <c r="R4180">
        <v>-0.22073480000000001</v>
      </c>
      <c r="S4180">
        <v>-3.129623</v>
      </c>
      <c r="T4180">
        <v>-0.23742869999999999</v>
      </c>
      <c r="U4180">
        <v>-0.1693115</v>
      </c>
      <c r="V4180">
        <v>6.2205999999999997E-2</v>
      </c>
      <c r="W4180">
        <v>0.18287149999999999</v>
      </c>
      <c r="X4180">
        <v>0.98116689999999995</v>
      </c>
      <c r="Y4180">
        <v>0.22844610000000001</v>
      </c>
      <c r="Z4180">
        <v>2.7145800000000001E-2</v>
      </c>
      <c r="AA4180">
        <v>0.97317799999999999</v>
      </c>
      <c r="AB4180">
        <v>23</v>
      </c>
      <c r="AC4180">
        <v>-14.3208999999999</v>
      </c>
      <c r="AD4180">
        <v>-1.1036722082629999</v>
      </c>
      <c r="AE4180">
        <v>-0.73250000000001503</v>
      </c>
      <c r="AF4180">
        <v>3.3155754382367801</v>
      </c>
      <c r="AG4180">
        <v>-1.1036722082629999</v>
      </c>
      <c r="AH4180">
        <v>13.864234042723201</v>
      </c>
      <c r="AI4180">
        <v>94.427154333251806</v>
      </c>
      <c r="AJ4180">
        <v>76.550544011994205</v>
      </c>
      <c r="AK4180">
        <v>14.2978361447226</v>
      </c>
      <c r="AL4180">
        <v>79.462938867646201</v>
      </c>
      <c r="AM4180">
        <v>86.372301883487793</v>
      </c>
      <c r="AN4180">
        <v>1.00000002880192</v>
      </c>
    </row>
    <row r="4181" spans="1:40" x14ac:dyDescent="0.25">
      <c r="A4181" t="str">
        <f>"20190304155143624"</f>
        <v>20190304155143624</v>
      </c>
      <c r="B4181" t="str">
        <f>"1551685903621195"</f>
        <v>1551685903621195</v>
      </c>
      <c r="C4181" t="s">
        <v>40</v>
      </c>
      <c r="D4181">
        <v>5.1698389999999996</v>
      </c>
      <c r="E4181">
        <v>0.5606717</v>
      </c>
      <c r="F4181" t="s">
        <v>41</v>
      </c>
      <c r="G4181">
        <v>-221.63849999999999</v>
      </c>
      <c r="H4181" s="1">
        <v>-4.0632079999999997E-6</v>
      </c>
      <c r="I4181">
        <v>141.5599</v>
      </c>
      <c r="J4181">
        <v>-207.1292</v>
      </c>
      <c r="K4181">
        <v>1.103912</v>
      </c>
      <c r="L4181">
        <v>142.2724</v>
      </c>
      <c r="M4181">
        <v>-0.96240890000000001</v>
      </c>
      <c r="N4181">
        <v>-1.5081239999999999E-2</v>
      </c>
      <c r="O4181">
        <v>-0.27118619999999999</v>
      </c>
      <c r="P4181">
        <v>-0.96195359999999996</v>
      </c>
      <c r="Q4181">
        <v>0.16865439999999901</v>
      </c>
      <c r="R4181">
        <v>-0.21494389999999999</v>
      </c>
      <c r="S4181">
        <v>-3.127075</v>
      </c>
      <c r="T4181">
        <v>-0.2342901</v>
      </c>
      <c r="U4181">
        <v>-0.16217039999999999</v>
      </c>
      <c r="V4181">
        <v>5.7031390000000001E-2</v>
      </c>
      <c r="W4181">
        <v>0.1825621</v>
      </c>
      <c r="X4181">
        <v>0.98153880000000004</v>
      </c>
      <c r="Y4181">
        <v>0.21980279999999999</v>
      </c>
      <c r="Z4181">
        <v>2.5796400000000001E-2</v>
      </c>
      <c r="AA4181">
        <v>0.97520320000000005</v>
      </c>
      <c r="AB4181">
        <v>22</v>
      </c>
      <c r="AC4181">
        <v>-14.5092999999999</v>
      </c>
      <c r="AD4181">
        <v>-1.1039160632080001</v>
      </c>
      <c r="AE4181">
        <v>-0.71250000000000502</v>
      </c>
      <c r="AF4181">
        <v>3.2307180773622699</v>
      </c>
      <c r="AG4181">
        <v>-1.1039160632080001</v>
      </c>
      <c r="AH4181">
        <v>14.0774142713781</v>
      </c>
      <c r="AI4181">
        <v>94.370653876315203</v>
      </c>
      <c r="AJ4181">
        <v>77.074634526524903</v>
      </c>
      <c r="AK4181">
        <v>14.4855018048393</v>
      </c>
      <c r="AL4181">
        <v>79.480968965395604</v>
      </c>
      <c r="AM4181">
        <v>86.674621437101095</v>
      </c>
      <c r="AN4181">
        <v>0.99999995785358997</v>
      </c>
    </row>
    <row r="4182" spans="1:40" x14ac:dyDescent="0.25">
      <c r="A4182" t="str">
        <f>"20190304155143644"</f>
        <v>20190304155143644</v>
      </c>
      <c r="B4182" t="str">
        <f>"1551685903640714"</f>
        <v>1551685903640714</v>
      </c>
      <c r="C4182" t="s">
        <v>40</v>
      </c>
      <c r="D4182">
        <v>4.8017539999999999</v>
      </c>
      <c r="E4182">
        <v>0.56287940000000003</v>
      </c>
      <c r="F4182" t="s">
        <v>41</v>
      </c>
      <c r="G4182">
        <v>-221.98169999999999</v>
      </c>
      <c r="H4182" s="1">
        <v>-3.9330019999999999E-6</v>
      </c>
      <c r="I4182">
        <v>141.53620000000001</v>
      </c>
      <c r="J4182">
        <v>-207.34059999999999</v>
      </c>
      <c r="K4182">
        <v>1.104158</v>
      </c>
      <c r="L4182">
        <v>142.22540000000001</v>
      </c>
      <c r="M4182">
        <v>-0.96516100000000005</v>
      </c>
      <c r="N4182">
        <v>-1.5011210000000001E-2</v>
      </c>
      <c r="O4182">
        <v>-0.26122570000000001</v>
      </c>
      <c r="P4182">
        <v>-0.96308709999999997</v>
      </c>
      <c r="Q4182">
        <v>0.1690111</v>
      </c>
      <c r="R4182">
        <v>-0.20951919999999999</v>
      </c>
      <c r="S4182">
        <v>-3.1247859999999998</v>
      </c>
      <c r="T4182">
        <v>-0.2322516</v>
      </c>
      <c r="U4182">
        <v>-0.15487670000000001</v>
      </c>
      <c r="V4182">
        <v>5.2287340000000002E-2</v>
      </c>
      <c r="W4182">
        <v>0.1829596</v>
      </c>
      <c r="X4182">
        <v>0.98172899999999996</v>
      </c>
      <c r="Y4182">
        <v>0.21201010000000001</v>
      </c>
      <c r="Z4182">
        <v>2.467695E-2</v>
      </c>
      <c r="AA4182">
        <v>0.97695580000000004</v>
      </c>
      <c r="AB4182">
        <v>22</v>
      </c>
      <c r="AC4182">
        <v>-14.6410999999999</v>
      </c>
      <c r="AD4182">
        <v>-1.1041619330020001</v>
      </c>
      <c r="AE4182">
        <v>-0.68919999999999904</v>
      </c>
      <c r="AF4182">
        <v>3.1419684284436999</v>
      </c>
      <c r="AG4182">
        <v>-1.1041619330020001</v>
      </c>
      <c r="AH4182">
        <v>14.231904059243901</v>
      </c>
      <c r="AI4182">
        <v>94.332412977209202</v>
      </c>
      <c r="AJ4182">
        <v>77.550541916889799</v>
      </c>
      <c r="AK4182">
        <v>14.6163686437895</v>
      </c>
      <c r="AL4182">
        <v>79.457804234945698</v>
      </c>
      <c r="AM4182">
        <v>86.951280884436898</v>
      </c>
      <c r="AN4182">
        <v>1.0000000052987099</v>
      </c>
    </row>
    <row r="4183" spans="1:40" x14ac:dyDescent="0.25">
      <c r="A4183" t="str">
        <f>"20190304155143669"</f>
        <v>20190304155143669</v>
      </c>
      <c r="B4183" t="str">
        <f>"1551685903661212"</f>
        <v>1551685903661212</v>
      </c>
      <c r="C4183" t="s">
        <v>40</v>
      </c>
      <c r="D4183">
        <v>4.8589019999999996</v>
      </c>
      <c r="E4183">
        <v>0.56666759999999905</v>
      </c>
      <c r="F4183" t="s">
        <v>41</v>
      </c>
      <c r="G4183">
        <v>-223.39420000000001</v>
      </c>
      <c r="H4183" s="1">
        <v>-3.3446940000000002E-6</v>
      </c>
      <c r="I4183">
        <v>141.6027</v>
      </c>
      <c r="J4183">
        <v>-207.57910000000001</v>
      </c>
      <c r="K4183">
        <v>1.1044369999999999</v>
      </c>
      <c r="L4183">
        <v>142.17449999999999</v>
      </c>
      <c r="M4183">
        <v>-0.96804089999999998</v>
      </c>
      <c r="N4183">
        <v>-1.493295E-2</v>
      </c>
      <c r="O4183">
        <v>-0.25034790000000001</v>
      </c>
      <c r="P4183">
        <v>-0.96444010000000002</v>
      </c>
      <c r="Q4183">
        <v>0.1693472</v>
      </c>
      <c r="R4183">
        <v>-0.2029215</v>
      </c>
      <c r="S4183">
        <v>-3.1263580000000002</v>
      </c>
      <c r="T4183">
        <v>-0.21502959999999999</v>
      </c>
      <c r="U4183">
        <v>-0.1212616</v>
      </c>
      <c r="V4183">
        <v>4.7813870000000001E-2</v>
      </c>
      <c r="W4183">
        <v>0.18332290000000001</v>
      </c>
      <c r="X4183">
        <v>0.98188920000000002</v>
      </c>
      <c r="Y4183">
        <v>0.21170800000000001</v>
      </c>
      <c r="Z4183">
        <v>2.2116400000000001E-2</v>
      </c>
      <c r="AA4183">
        <v>0.97708269999999997</v>
      </c>
      <c r="AB4183">
        <v>22</v>
      </c>
      <c r="AC4183">
        <v>-15.815099999999999</v>
      </c>
      <c r="AD4183">
        <v>-1.1044403446940001</v>
      </c>
      <c r="AE4183">
        <v>-0.57179999999999598</v>
      </c>
      <c r="AF4183">
        <v>3.3896215147711701</v>
      </c>
      <c r="AG4183">
        <v>-1.1044403446940001</v>
      </c>
      <c r="AH4183">
        <v>15.3796274393834</v>
      </c>
      <c r="AI4183">
        <v>94.011519693946894</v>
      </c>
      <c r="AJ4183">
        <v>77.570894895529804</v>
      </c>
      <c r="AK4183">
        <v>15.7874083580119</v>
      </c>
      <c r="AL4183">
        <v>79.436629717154403</v>
      </c>
      <c r="AM4183">
        <v>87.212138977596695</v>
      </c>
      <c r="AN4183">
        <v>0.99999992645270996</v>
      </c>
    </row>
    <row r="4184" spans="1:40" x14ac:dyDescent="0.25">
      <c r="A4184" t="str">
        <f>"20190304155143691"</f>
        <v>20190304155143691</v>
      </c>
      <c r="B4184" t="str">
        <f>"1551685903680731"</f>
        <v>1551685903680731</v>
      </c>
      <c r="C4184" t="s">
        <v>40</v>
      </c>
      <c r="D4184">
        <v>4.8099530000000001</v>
      </c>
      <c r="E4184">
        <v>0.59347139999999998</v>
      </c>
      <c r="F4184" t="s">
        <v>41</v>
      </c>
      <c r="G4184">
        <v>-225.24760000000001</v>
      </c>
      <c r="H4184" s="1">
        <v>-2.5926700000000002E-6</v>
      </c>
      <c r="I4184">
        <v>141.7645</v>
      </c>
      <c r="J4184">
        <v>-207.80600000000001</v>
      </c>
      <c r="K4184">
        <v>1.1046940000000001</v>
      </c>
      <c r="L4184">
        <v>142.1284</v>
      </c>
      <c r="M4184">
        <v>-0.97056439999999999</v>
      </c>
      <c r="N4184">
        <v>-1.485883E-2</v>
      </c>
      <c r="O4184">
        <v>-0.2403836</v>
      </c>
      <c r="P4184">
        <v>-0.96563860000000001</v>
      </c>
      <c r="Q4184">
        <v>0.1692205</v>
      </c>
      <c r="R4184">
        <v>-0.19724810000000001</v>
      </c>
      <c r="S4184">
        <v>-3.1297000000000001</v>
      </c>
      <c r="T4184">
        <v>-0.19563420000000001</v>
      </c>
      <c r="U4184">
        <v>-7.261658E-2</v>
      </c>
      <c r="V4184">
        <v>4.3368219999999999E-2</v>
      </c>
      <c r="W4184">
        <v>0.18321979999999999</v>
      </c>
      <c r="X4184">
        <v>0.98211490000000001</v>
      </c>
      <c r="Y4184">
        <v>0.2170425</v>
      </c>
      <c r="Z4184">
        <v>1.9680079999999999E-2</v>
      </c>
      <c r="AA4184">
        <v>0.97596380000000005</v>
      </c>
      <c r="AB4184">
        <v>22</v>
      </c>
      <c r="AC4184">
        <v>-17.441600000000001</v>
      </c>
      <c r="AD4184">
        <v>-1.1046965926700001</v>
      </c>
      <c r="AE4184">
        <v>-0.363900000000001</v>
      </c>
      <c r="AF4184">
        <v>3.8245736945709101</v>
      </c>
      <c r="AG4184">
        <v>-1.1046965926700001</v>
      </c>
      <c r="AH4184">
        <v>16.949582968189901</v>
      </c>
      <c r="AI4184">
        <v>93.637798641942098</v>
      </c>
      <c r="AJ4184">
        <v>77.284494431229803</v>
      </c>
      <c r="AK4184">
        <v>17.4108035800366</v>
      </c>
      <c r="AL4184">
        <v>79.442639339067895</v>
      </c>
      <c r="AM4184">
        <v>87.471576098567795</v>
      </c>
      <c r="AN4184">
        <v>0.99999998721000904</v>
      </c>
    </row>
    <row r="4185" spans="1:40" x14ac:dyDescent="0.25">
      <c r="A4185" t="str">
        <f>"20190304155143712"</f>
        <v>20190304155143712</v>
      </c>
      <c r="B4185" t="str">
        <f>"1551685903710987"</f>
        <v>1551685903710987</v>
      </c>
      <c r="C4185" t="s">
        <v>40</v>
      </c>
      <c r="D4185">
        <v>4.856166</v>
      </c>
      <c r="E4185">
        <v>0.59157380000000004</v>
      </c>
      <c r="F4185" t="s">
        <v>86</v>
      </c>
      <c r="G4185">
        <v>-511.92579999999998</v>
      </c>
      <c r="H4185">
        <v>1.7483280000000001</v>
      </c>
      <c r="I4185">
        <v>156.6704</v>
      </c>
      <c r="J4185">
        <v>-208.02070000000001</v>
      </c>
      <c r="K4185">
        <v>1.1049059999999999</v>
      </c>
      <c r="L4185">
        <v>142.0866</v>
      </c>
      <c r="M4185">
        <v>-0.97278790000000004</v>
      </c>
      <c r="N4185">
        <v>-1.479192E-2</v>
      </c>
      <c r="O4185">
        <v>-0.23122480000000001</v>
      </c>
      <c r="P4185">
        <v>-0.96680410000000006</v>
      </c>
      <c r="Q4185">
        <v>0.16858090000000001</v>
      </c>
      <c r="R4185">
        <v>-0.1920172</v>
      </c>
      <c r="S4185">
        <v>-3.1362299999999999</v>
      </c>
      <c r="T4185">
        <v>6.6379309999999997E-3</v>
      </c>
      <c r="U4185">
        <v>0.1499634</v>
      </c>
      <c r="V4185">
        <v>3.9338539999999998E-2</v>
      </c>
      <c r="W4185">
        <v>0.18259629999999999</v>
      </c>
      <c r="X4185">
        <v>0.98240070000000002</v>
      </c>
      <c r="Y4185">
        <v>0.27742430000000001</v>
      </c>
      <c r="Z4185">
        <v>-2.1639950000000002E-3</v>
      </c>
      <c r="AA4185">
        <v>0.96074499999999996</v>
      </c>
      <c r="AB4185">
        <v>22</v>
      </c>
      <c r="AC4185">
        <v>-303.90509999999898</v>
      </c>
      <c r="AD4185">
        <v>0.64342199999999905</v>
      </c>
      <c r="AE4185">
        <v>14.583799999999901</v>
      </c>
      <c r="AF4185">
        <v>84.466203270555098</v>
      </c>
      <c r="AG4185">
        <v>0.64342199999999905</v>
      </c>
      <c r="AH4185">
        <v>292.29373848120798</v>
      </c>
      <c r="AI4185">
        <v>89.878833555861704</v>
      </c>
      <c r="AJ4185">
        <v>73.881915909141597</v>
      </c>
      <c r="AK4185">
        <v>304.25414219388</v>
      </c>
      <c r="AL4185">
        <v>79.478976742919301</v>
      </c>
      <c r="AM4185">
        <v>87.706914528560404</v>
      </c>
      <c r="AN4185">
        <v>1.00000003243175</v>
      </c>
    </row>
    <row r="4186" spans="1:40" x14ac:dyDescent="0.25">
      <c r="A4186" t="str">
        <f>"20190304155143736"</f>
        <v>20190304155143736</v>
      </c>
      <c r="B4186" t="str">
        <f>"1551685903731483"</f>
        <v>1551685903731483</v>
      </c>
      <c r="C4186" t="s">
        <v>40</v>
      </c>
      <c r="D4186">
        <v>4.9114630000000004</v>
      </c>
      <c r="E4186">
        <v>0.59074130000000002</v>
      </c>
      <c r="F4186" t="s">
        <v>84</v>
      </c>
      <c r="G4186">
        <v>-430.00369999999998</v>
      </c>
      <c r="H4186">
        <v>3.653704E-2</v>
      </c>
      <c r="I4186">
        <v>152.79580000000001</v>
      </c>
      <c r="J4186">
        <v>-208.2405</v>
      </c>
      <c r="K4186">
        <v>1.1051040000000001</v>
      </c>
      <c r="L4186">
        <v>142.04570000000001</v>
      </c>
      <c r="M4186">
        <v>-0.97490540000000003</v>
      </c>
      <c r="N4186">
        <v>-1.472768E-2</v>
      </c>
      <c r="O4186">
        <v>-0.22213160000000001</v>
      </c>
      <c r="P4186">
        <v>-0.96799930000000001</v>
      </c>
      <c r="Q4186">
        <v>0.1679341</v>
      </c>
      <c r="R4186">
        <v>-0.18648139999999999</v>
      </c>
      <c r="S4186">
        <v>-3.1356809999999999</v>
      </c>
      <c r="T4186">
        <v>-1.5091540000000001E-2</v>
      </c>
      <c r="U4186">
        <v>0.15127560000000001</v>
      </c>
      <c r="V4186">
        <v>3.5706519999999999E-2</v>
      </c>
      <c r="W4186">
        <v>0.1819568</v>
      </c>
      <c r="X4186">
        <v>0.98265800000000003</v>
      </c>
      <c r="Y4186">
        <v>0.26885759999999997</v>
      </c>
      <c r="Z4186">
        <v>4.0475359999999998E-4</v>
      </c>
      <c r="AA4186">
        <v>0.96317980000000003</v>
      </c>
      <c r="AB4186">
        <v>22</v>
      </c>
      <c r="AC4186">
        <v>-221.76320000000001</v>
      </c>
      <c r="AD4186">
        <v>-1.0685669600000001</v>
      </c>
      <c r="AE4186">
        <v>10.7501</v>
      </c>
      <c r="AF4186">
        <v>59.746044392998897</v>
      </c>
      <c r="AG4186">
        <v>-1.0685669600000001</v>
      </c>
      <c r="AH4186">
        <v>213.82845487045901</v>
      </c>
      <c r="AI4186">
        <v>90.275760418099296</v>
      </c>
      <c r="AJ4186">
        <v>74.3890466424632</v>
      </c>
      <c r="AK4186">
        <v>222.02103451755701</v>
      </c>
      <c r="AL4186">
        <v>79.516241219024195</v>
      </c>
      <c r="AM4186">
        <v>87.918977709321695</v>
      </c>
      <c r="AN4186">
        <v>0.99999998880037499</v>
      </c>
    </row>
    <row r="4187" spans="1:40" x14ac:dyDescent="0.25">
      <c r="A4187" t="str">
        <f>"20190304155143757"</f>
        <v>20190304155143757</v>
      </c>
      <c r="B4187" t="str">
        <f>"1551685903751003"</f>
        <v>1551685903751003</v>
      </c>
      <c r="C4187" t="s">
        <v>40</v>
      </c>
      <c r="D4187">
        <v>4.8947430000000001</v>
      </c>
      <c r="E4187">
        <v>0.58892349999999904</v>
      </c>
      <c r="F4187" t="s">
        <v>41</v>
      </c>
      <c r="G4187">
        <v>-349.63440000000003</v>
      </c>
      <c r="H4187" s="1">
        <v>-2.7273239999999999E-6</v>
      </c>
      <c r="I4187">
        <v>149.36869999999999</v>
      </c>
      <c r="J4187">
        <v>-208.46619999999999</v>
      </c>
      <c r="K4187">
        <v>1.105299</v>
      </c>
      <c r="L4187">
        <v>142.00550000000001</v>
      </c>
      <c r="M4187">
        <v>-0.97692069999999998</v>
      </c>
      <c r="N4187">
        <v>-1.466426E-2</v>
      </c>
      <c r="O4187">
        <v>-0.2130986</v>
      </c>
      <c r="P4187">
        <v>-0.96910249999999998</v>
      </c>
      <c r="Q4187">
        <v>0.1673132</v>
      </c>
      <c r="R4187">
        <v>-0.18123700000000001</v>
      </c>
      <c r="S4187">
        <v>-3.1347200000000002</v>
      </c>
      <c r="T4187">
        <v>-2.450037E-2</v>
      </c>
      <c r="U4187">
        <v>0.16235350000000001</v>
      </c>
      <c r="V4187">
        <v>3.1850789999999997E-2</v>
      </c>
      <c r="W4187">
        <v>0.181343</v>
      </c>
      <c r="X4187">
        <v>0.982904</v>
      </c>
      <c r="Y4187">
        <v>0.26334289999999999</v>
      </c>
      <c r="Z4187">
        <v>1.4808929999999901E-3</v>
      </c>
      <c r="AA4187">
        <v>0.96470109999999998</v>
      </c>
      <c r="AB4187">
        <v>22</v>
      </c>
      <c r="AC4187">
        <v>-141.16820000000001</v>
      </c>
      <c r="AD4187">
        <v>-1.105301727324</v>
      </c>
      <c r="AE4187">
        <v>7.3631999999999698</v>
      </c>
      <c r="AF4187">
        <v>37.277735773743203</v>
      </c>
      <c r="AG4187">
        <v>-1.105301727324</v>
      </c>
      <c r="AH4187">
        <v>136.34736763612801</v>
      </c>
      <c r="AI4187">
        <v>90.448016843548501</v>
      </c>
      <c r="AJ4187">
        <v>74.708868561247996</v>
      </c>
      <c r="AK4187">
        <v>141.355777871394</v>
      </c>
      <c r="AL4187">
        <v>79.552004626390499</v>
      </c>
      <c r="AM4187">
        <v>88.143992210597901</v>
      </c>
      <c r="AN4187">
        <v>1.00000001484431</v>
      </c>
    </row>
    <row r="4188" spans="1:40" x14ac:dyDescent="0.25">
      <c r="A4188" t="str">
        <f>"20190304155143780"</f>
        <v>20190304155143780</v>
      </c>
      <c r="B4188" t="str">
        <f>"1551685903771480"</f>
        <v>1551685903771480</v>
      </c>
      <c r="C4188" t="s">
        <v>40</v>
      </c>
      <c r="D4188">
        <v>4.9030579999999997</v>
      </c>
      <c r="E4188">
        <v>0.58688929999999995</v>
      </c>
      <c r="F4188" t="s">
        <v>41</v>
      </c>
      <c r="G4188">
        <v>-330.62110000000001</v>
      </c>
      <c r="H4188" s="1">
        <v>-6.0403539999999998E-6</v>
      </c>
      <c r="I4188">
        <v>148.45359999999999</v>
      </c>
      <c r="J4188">
        <v>-208.68770000000001</v>
      </c>
      <c r="K4188">
        <v>1.1054980000000001</v>
      </c>
      <c r="L4188">
        <v>141.96780000000001</v>
      </c>
      <c r="M4188">
        <v>-0.97874919999999999</v>
      </c>
      <c r="N4188">
        <v>-1.460212E-2</v>
      </c>
      <c r="O4188">
        <v>-0.20454040000000001</v>
      </c>
      <c r="P4188">
        <v>-0.96995439999999999</v>
      </c>
      <c r="Q4188">
        <v>0.167097</v>
      </c>
      <c r="R4188">
        <v>-0.17682500000000001</v>
      </c>
      <c r="S4188">
        <v>-3.1314700000000002</v>
      </c>
      <c r="T4188">
        <v>-2.8334740000000001E-2</v>
      </c>
      <c r="U4188">
        <v>0.16529849999999999</v>
      </c>
      <c r="V4188">
        <v>2.7626930000000001E-2</v>
      </c>
      <c r="W4188">
        <v>0.1811362</v>
      </c>
      <c r="X4188">
        <v>0.98306990000000005</v>
      </c>
      <c r="Y4188">
        <v>0.25584590000000001</v>
      </c>
      <c r="Z4188">
        <v>1.8713969999999999E-3</v>
      </c>
      <c r="AA4188">
        <v>0.96671580000000001</v>
      </c>
      <c r="AB4188">
        <v>22</v>
      </c>
      <c r="AC4188">
        <v>-121.93340000000001</v>
      </c>
      <c r="AD4188">
        <v>-1.105504040354</v>
      </c>
      <c r="AE4188">
        <v>6.4857999999999798</v>
      </c>
      <c r="AF4188">
        <v>31.2890495528423</v>
      </c>
      <c r="AG4188">
        <v>-1.105504040354</v>
      </c>
      <c r="AH4188">
        <v>118.018519891634</v>
      </c>
      <c r="AI4188">
        <v>90.518764801219305</v>
      </c>
      <c r="AJ4188">
        <v>75.151358060942101</v>
      </c>
      <c r="AK4188">
        <v>122.10076903326799</v>
      </c>
      <c r="AL4188">
        <v>79.564052761106396</v>
      </c>
      <c r="AM4188">
        <v>88.390256907904202</v>
      </c>
      <c r="AN4188">
        <v>0.99999999924883698</v>
      </c>
    </row>
    <row r="4189" spans="1:40" x14ac:dyDescent="0.25">
      <c r="A4189" t="str">
        <f>"20190304155143802"</f>
        <v>20190304155143802</v>
      </c>
      <c r="B4189" t="str">
        <f>"1551685903791001"</f>
        <v>1551685903791001</v>
      </c>
      <c r="C4189" t="s">
        <v>40</v>
      </c>
      <c r="D4189">
        <v>4.942056</v>
      </c>
      <c r="E4189">
        <v>0.58504019999999901</v>
      </c>
      <c r="F4189" t="s">
        <v>84</v>
      </c>
      <c r="G4189">
        <v>-316.2715</v>
      </c>
      <c r="H4189" s="1">
        <v>-9.1296240000000005E-6</v>
      </c>
      <c r="I4189">
        <v>147.60149999999999</v>
      </c>
      <c r="J4189">
        <v>-208.9117</v>
      </c>
      <c r="K4189">
        <v>1.1057220000000001</v>
      </c>
      <c r="L4189">
        <v>141.93129999999999</v>
      </c>
      <c r="M4189">
        <v>-0.98045680000000002</v>
      </c>
      <c r="N4189">
        <v>-1.4539120000000001E-2</v>
      </c>
      <c r="O4189">
        <v>-0.19619629999999999</v>
      </c>
      <c r="P4189">
        <v>-0.97075299999999998</v>
      </c>
      <c r="Q4189">
        <v>0.16727990000000001</v>
      </c>
      <c r="R4189">
        <v>-0.17221020000000001</v>
      </c>
      <c r="S4189">
        <v>-3.1283259999999999</v>
      </c>
      <c r="T4189">
        <v>-3.2145979999999998E-2</v>
      </c>
      <c r="U4189">
        <v>0.1638184</v>
      </c>
      <c r="V4189">
        <v>2.381759E-2</v>
      </c>
      <c r="W4189">
        <v>0.1813177</v>
      </c>
      <c r="X4189">
        <v>0.98313609999999896</v>
      </c>
      <c r="Y4189">
        <v>0.24719360000000001</v>
      </c>
      <c r="Z4189">
        <v>2.213834E-3</v>
      </c>
      <c r="AA4189">
        <v>0.96896360000000004</v>
      </c>
      <c r="AB4189">
        <v>22</v>
      </c>
      <c r="AC4189">
        <v>-107.35980000000001</v>
      </c>
      <c r="AD4189">
        <v>-1.10573112962399</v>
      </c>
      <c r="AE4189">
        <v>5.6701999999999897</v>
      </c>
      <c r="AF4189">
        <v>26.6229809784849</v>
      </c>
      <c r="AG4189">
        <v>-1.10573112962399</v>
      </c>
      <c r="AH4189">
        <v>104.149170967308</v>
      </c>
      <c r="AI4189">
        <v>90.589326846810707</v>
      </c>
      <c r="AJ4189">
        <v>75.660907590891</v>
      </c>
      <c r="AK4189">
        <v>107.503746775121</v>
      </c>
      <c r="AL4189">
        <v>79.553478367490399</v>
      </c>
      <c r="AM4189">
        <v>88.612216044119293</v>
      </c>
      <c r="AN4189">
        <v>0.99999998852495298</v>
      </c>
    </row>
    <row r="4190" spans="1:40" x14ac:dyDescent="0.25">
      <c r="A4190" t="str">
        <f>"20190304155143825"</f>
        <v>20190304155143825</v>
      </c>
      <c r="B4190" t="str">
        <f>"1551685903821257"</f>
        <v>1551685903821257</v>
      </c>
      <c r="C4190" t="s">
        <v>40</v>
      </c>
      <c r="D4190">
        <v>4.9230199999999904</v>
      </c>
      <c r="E4190">
        <v>0.56629050000000003</v>
      </c>
      <c r="F4190" t="s">
        <v>84</v>
      </c>
      <c r="G4190">
        <v>-301.36430000000001</v>
      </c>
      <c r="H4190" s="1">
        <v>-1.019246E-5</v>
      </c>
      <c r="I4190">
        <v>146.7929</v>
      </c>
      <c r="J4190">
        <v>-209.13550000000001</v>
      </c>
      <c r="K4190">
        <v>1.1059570000000001</v>
      </c>
      <c r="L4190">
        <v>141.8963</v>
      </c>
      <c r="M4190">
        <v>-0.98202750000000005</v>
      </c>
      <c r="N4190">
        <v>-1.447733E-2</v>
      </c>
      <c r="O4190">
        <v>-0.18818170000000001</v>
      </c>
      <c r="P4190">
        <v>-0.9713503</v>
      </c>
      <c r="Q4190">
        <v>0.16771229999999901</v>
      </c>
      <c r="R4190">
        <v>-0.16837969999999999</v>
      </c>
      <c r="S4190">
        <v>-3.126007</v>
      </c>
      <c r="T4190">
        <v>-3.7387009999999998E-2</v>
      </c>
      <c r="U4190">
        <v>0.1643829</v>
      </c>
      <c r="V4190">
        <v>1.9540120000000001E-2</v>
      </c>
      <c r="W4190">
        <v>0.18175089999999999</v>
      </c>
      <c r="X4190">
        <v>0.98315039999999998</v>
      </c>
      <c r="Y4190">
        <v>0.23947830000000001</v>
      </c>
      <c r="Z4190">
        <v>2.6760740000000001E-3</v>
      </c>
      <c r="AA4190">
        <v>0.97089800000000004</v>
      </c>
      <c r="AB4190">
        <v>22</v>
      </c>
      <c r="AC4190">
        <v>-92.228800000000007</v>
      </c>
      <c r="AD4190">
        <v>-1.1059671924600001</v>
      </c>
      <c r="AE4190">
        <v>4.8966000000000003</v>
      </c>
      <c r="AF4190">
        <v>22.163513731077401</v>
      </c>
      <c r="AG4190">
        <v>-1.1059671924600001</v>
      </c>
      <c r="AH4190">
        <v>89.646311130523202</v>
      </c>
      <c r="AI4190">
        <v>90.686165066659498</v>
      </c>
      <c r="AJ4190">
        <v>76.113072748803702</v>
      </c>
      <c r="AK4190">
        <v>92.352074170800407</v>
      </c>
      <c r="AL4190">
        <v>79.528238135783994</v>
      </c>
      <c r="AM4190">
        <v>88.861395950596503</v>
      </c>
      <c r="AN4190">
        <v>0.99999995748029102</v>
      </c>
    </row>
    <row r="4191" spans="1:40" x14ac:dyDescent="0.25">
      <c r="A4191" t="str">
        <f>"20190304155143846"</f>
        <v>20190304155143846</v>
      </c>
      <c r="B4191" t="str">
        <f>"1551685903840777"</f>
        <v>1551685903840777</v>
      </c>
      <c r="C4191" t="s">
        <v>40</v>
      </c>
      <c r="D4191">
        <v>4.9519780000000004</v>
      </c>
      <c r="E4191">
        <v>0.56594529999999998</v>
      </c>
      <c r="F4191" t="s">
        <v>41</v>
      </c>
      <c r="G4191">
        <v>-250.28659999999999</v>
      </c>
      <c r="H4191" s="1">
        <v>-4.6527959999999996E-6</v>
      </c>
      <c r="I4191">
        <v>142.2902</v>
      </c>
      <c r="J4191">
        <v>-209.3477</v>
      </c>
      <c r="K4191">
        <v>1.1062000000000001</v>
      </c>
      <c r="L4191">
        <v>141.86449999999999</v>
      </c>
      <c r="M4191">
        <v>-0.98339430000000005</v>
      </c>
      <c r="N4191">
        <v>-1.4420229999999999E-2</v>
      </c>
      <c r="O4191">
        <v>-0.1809094</v>
      </c>
      <c r="P4191">
        <v>-0.97192540000000005</v>
      </c>
      <c r="Q4191">
        <v>0.16741149999999999</v>
      </c>
      <c r="R4191">
        <v>-0.1653328</v>
      </c>
      <c r="S4191">
        <v>-3.108063</v>
      </c>
      <c r="T4191">
        <v>-8.3531140000000004E-2</v>
      </c>
      <c r="U4191">
        <v>2.9754639999999999E-2</v>
      </c>
      <c r="V4191">
        <v>1.5235729999999999E-2</v>
      </c>
      <c r="W4191">
        <v>0.18145359999999999</v>
      </c>
      <c r="X4191">
        <v>0.98328150000000003</v>
      </c>
      <c r="Y4191">
        <v>0.1902161</v>
      </c>
      <c r="Z4191">
        <v>6.1505219999999899E-3</v>
      </c>
      <c r="AA4191">
        <v>0.98172300000000001</v>
      </c>
      <c r="AB4191">
        <v>22</v>
      </c>
      <c r="AC4191">
        <v>-40.938899999999897</v>
      </c>
      <c r="AD4191">
        <v>-1.1062046527959899</v>
      </c>
      <c r="AE4191">
        <v>0.42570000000000602</v>
      </c>
      <c r="AF4191">
        <v>7.8199655556154299</v>
      </c>
      <c r="AG4191">
        <v>-1.1062046527959899</v>
      </c>
      <c r="AH4191">
        <v>40.156919607845303</v>
      </c>
      <c r="AI4191">
        <v>91.5488508549697</v>
      </c>
      <c r="AJ4191">
        <v>78.980408163478799</v>
      </c>
      <c r="AK4191">
        <v>40.926198729124998</v>
      </c>
      <c r="AL4191">
        <v>79.545560887617697</v>
      </c>
      <c r="AM4191">
        <v>89.112285570552402</v>
      </c>
      <c r="AN4191">
        <v>1.0000000223319201</v>
      </c>
    </row>
    <row r="4192" spans="1:40" x14ac:dyDescent="0.25">
      <c r="A4192" t="str">
        <f>"20190304155143870"</f>
        <v>20190304155143870</v>
      </c>
      <c r="B4192" t="str">
        <f>"1551685903860848"</f>
        <v>1551685903860848</v>
      </c>
      <c r="C4192" t="s">
        <v>40</v>
      </c>
      <c r="D4192">
        <v>4.956073</v>
      </c>
      <c r="E4192">
        <v>0.56562489999999999</v>
      </c>
      <c r="F4192" t="s">
        <v>41</v>
      </c>
      <c r="G4192">
        <v>-249.87469999999999</v>
      </c>
      <c r="H4192" s="1">
        <v>-7.6007689999999999E-7</v>
      </c>
      <c r="I4192">
        <v>142.3373</v>
      </c>
      <c r="J4192">
        <v>-209.58250000000001</v>
      </c>
      <c r="K4192">
        <v>1.1064769999999999</v>
      </c>
      <c r="L4192">
        <v>141.83080000000001</v>
      </c>
      <c r="M4192">
        <v>-0.98476940000000002</v>
      </c>
      <c r="N4192">
        <v>-1.4358269999999999E-2</v>
      </c>
      <c r="O4192">
        <v>-0.1732717</v>
      </c>
      <c r="P4192">
        <v>-0.97258409999999995</v>
      </c>
      <c r="Q4192">
        <v>0.16711099999999901</v>
      </c>
      <c r="R4192">
        <v>-0.1617219</v>
      </c>
      <c r="S4192">
        <v>-3.1074220000000001</v>
      </c>
      <c r="T4192">
        <v>-8.4818359999999995E-2</v>
      </c>
      <c r="U4192">
        <v>3.6254880000000003E-2</v>
      </c>
      <c r="V4192">
        <v>1.113019E-2</v>
      </c>
      <c r="W4192">
        <v>0.18114459999999999</v>
      </c>
      <c r="X4192">
        <v>0.98339350000000003</v>
      </c>
      <c r="Y4192">
        <v>0.1846489</v>
      </c>
      <c r="Z4192">
        <v>6.0606849999999997E-3</v>
      </c>
      <c r="AA4192">
        <v>0.98278589999999999</v>
      </c>
      <c r="AB4192">
        <v>22</v>
      </c>
      <c r="AC4192">
        <v>-40.292199999999902</v>
      </c>
      <c r="AD4192">
        <v>-1.1064777600769</v>
      </c>
      <c r="AE4192">
        <v>0.50649999999998796</v>
      </c>
      <c r="AF4192">
        <v>7.4754183191907098</v>
      </c>
      <c r="AG4192">
        <v>-1.1064777600769</v>
      </c>
      <c r="AH4192">
        <v>39.5650126319618</v>
      </c>
      <c r="AI4192">
        <v>91.574084650798895</v>
      </c>
      <c r="AJ4192">
        <v>79.300654967449105</v>
      </c>
      <c r="AK4192">
        <v>40.280223393716803</v>
      </c>
      <c r="AL4192">
        <v>79.563563510579499</v>
      </c>
      <c r="AM4192">
        <v>89.351545760832394</v>
      </c>
      <c r="AN4192">
        <v>1.00000001154042</v>
      </c>
    </row>
    <row r="4193" spans="1:40" x14ac:dyDescent="0.25">
      <c r="A4193" t="str">
        <f>"20190304155143894"</f>
        <v>20190304155143894</v>
      </c>
      <c r="B4193" t="str">
        <f>"1551685903891105"</f>
        <v>1551685903891105</v>
      </c>
      <c r="C4193" t="s">
        <v>40</v>
      </c>
      <c r="D4193">
        <v>4.9990670000000001</v>
      </c>
      <c r="E4193">
        <v>0.56515369999999998</v>
      </c>
      <c r="F4193" t="s">
        <v>41</v>
      </c>
      <c r="G4193">
        <v>-243.91399999999999</v>
      </c>
      <c r="H4193" s="1">
        <v>-3.3164070000000001E-6</v>
      </c>
      <c r="I4193">
        <v>142.33430000000001</v>
      </c>
      <c r="J4193">
        <v>-209.80869999999999</v>
      </c>
      <c r="K4193">
        <v>1.1067309999999999</v>
      </c>
      <c r="L4193">
        <v>141.7996</v>
      </c>
      <c r="M4193">
        <v>-0.98596989999999995</v>
      </c>
      <c r="N4193">
        <v>-1.430037E-2</v>
      </c>
      <c r="O4193">
        <v>-0.16631029999999999</v>
      </c>
      <c r="P4193">
        <v>-0.9730105</v>
      </c>
      <c r="Q4193">
        <v>0.16785079999999999</v>
      </c>
      <c r="R4193">
        <v>-0.158357</v>
      </c>
      <c r="S4193">
        <v>-3.1093899999999999</v>
      </c>
      <c r="T4193">
        <v>-0.1002135</v>
      </c>
      <c r="U4193">
        <v>4.560852E-2</v>
      </c>
      <c r="V4193">
        <v>7.4481759999999999E-3</v>
      </c>
      <c r="W4193">
        <v>0.18186720000000001</v>
      </c>
      <c r="X4193">
        <v>0.98329489999999997</v>
      </c>
      <c r="Y4193">
        <v>0.1806103</v>
      </c>
      <c r="Z4193">
        <v>7.1572459999999999E-3</v>
      </c>
      <c r="AA4193">
        <v>0.98352870000000003</v>
      </c>
      <c r="AB4193">
        <v>22</v>
      </c>
      <c r="AC4193">
        <v>-34.1053</v>
      </c>
      <c r="AD4193">
        <v>-1.10673431640699</v>
      </c>
      <c r="AE4193">
        <v>0.53470000000001505</v>
      </c>
      <c r="AF4193">
        <v>6.1933737072819603</v>
      </c>
      <c r="AG4193">
        <v>-1.10673431640699</v>
      </c>
      <c r="AH4193">
        <v>33.506024170282203</v>
      </c>
      <c r="AI4193">
        <v>91.860351827889801</v>
      </c>
      <c r="AJ4193">
        <v>79.527447312890999</v>
      </c>
      <c r="AK4193">
        <v>34.091588323583601</v>
      </c>
      <c r="AL4193">
        <v>79.521462224685493</v>
      </c>
      <c r="AM4193">
        <v>89.566009252772602</v>
      </c>
      <c r="AN4193">
        <v>1.00000000706378</v>
      </c>
    </row>
    <row r="4194" spans="1:40" x14ac:dyDescent="0.25">
      <c r="A4194" t="str">
        <f>"20190304155143914"</f>
        <v>20190304155143914</v>
      </c>
      <c r="B4194" t="str">
        <f>"1551685903910625"</f>
        <v>1551685903910625</v>
      </c>
      <c r="C4194" t="s">
        <v>40</v>
      </c>
      <c r="D4194">
        <v>4.8853109999999997</v>
      </c>
      <c r="E4194">
        <v>0.56376930000000003</v>
      </c>
      <c r="F4194" t="s">
        <v>41</v>
      </c>
      <c r="G4194">
        <v>-243.03389999999999</v>
      </c>
      <c r="H4194" s="1">
        <v>-3.6985069999999998E-6</v>
      </c>
      <c r="I4194">
        <v>142.35149999999999</v>
      </c>
      <c r="J4194">
        <v>-210.018</v>
      </c>
      <c r="K4194">
        <v>1.1069370000000001</v>
      </c>
      <c r="L4194">
        <v>141.77180000000001</v>
      </c>
      <c r="M4194">
        <v>-0.98699060000000005</v>
      </c>
      <c r="N4194">
        <v>-1.425039E-2</v>
      </c>
      <c r="O4194">
        <v>-0.16014510000000001</v>
      </c>
      <c r="P4194">
        <v>-0.97348230000000002</v>
      </c>
      <c r="Q4194">
        <v>0.16805619999999999</v>
      </c>
      <c r="R4194">
        <v>-0.15520819999999999</v>
      </c>
      <c r="S4194">
        <v>-3.1095120000000001</v>
      </c>
      <c r="T4194">
        <v>-0.10357810000000001</v>
      </c>
      <c r="U4194">
        <v>5.1651000000000002E-2</v>
      </c>
      <c r="V4194">
        <v>4.3842209999999998E-3</v>
      </c>
      <c r="W4194">
        <v>0.1820543</v>
      </c>
      <c r="X4194">
        <v>0.98327869999999995</v>
      </c>
      <c r="Y4194">
        <v>0.176365299999999</v>
      </c>
      <c r="Z4194">
        <v>7.2223089999999997E-3</v>
      </c>
      <c r="AA4194">
        <v>0.98429829999999996</v>
      </c>
      <c r="AB4194">
        <v>22</v>
      </c>
      <c r="AC4194">
        <v>-33.015899999999903</v>
      </c>
      <c r="AD4194">
        <v>-1.1069406985070001</v>
      </c>
      <c r="AE4194">
        <v>0.57969999999997401</v>
      </c>
      <c r="AF4194">
        <v>5.8535103223785896</v>
      </c>
      <c r="AG4194">
        <v>-1.1069406985070001</v>
      </c>
      <c r="AH4194">
        <v>32.460369853816502</v>
      </c>
      <c r="AI4194">
        <v>91.922125369583</v>
      </c>
      <c r="AJ4194">
        <v>79.777829649200598</v>
      </c>
      <c r="AK4194">
        <v>33.002492509668997</v>
      </c>
      <c r="AL4194">
        <v>79.510560063017707</v>
      </c>
      <c r="AM4194">
        <v>89.744532557134704</v>
      </c>
      <c r="AN4194">
        <v>0.99999999570797804</v>
      </c>
    </row>
    <row r="4195" spans="1:40" x14ac:dyDescent="0.25">
      <c r="A4195" t="str">
        <f>"20190304155143936"</f>
        <v>20190304155143936</v>
      </c>
      <c r="B4195" t="str">
        <f>"1551685903931121"</f>
        <v>1551685903931121</v>
      </c>
      <c r="C4195" t="s">
        <v>40</v>
      </c>
      <c r="D4195">
        <v>4.9786820000000001</v>
      </c>
      <c r="E4195">
        <v>0.56271099999999996</v>
      </c>
      <c r="F4195" t="s">
        <v>41</v>
      </c>
      <c r="G4195">
        <v>-243.04949999999999</v>
      </c>
      <c r="H4195" s="1">
        <v>-3.6784350000000001E-6</v>
      </c>
      <c r="I4195">
        <v>142.30119999999999</v>
      </c>
      <c r="J4195">
        <v>-210.23670000000001</v>
      </c>
      <c r="K4195">
        <v>1.1071169999999999</v>
      </c>
      <c r="L4195">
        <v>141.7439</v>
      </c>
      <c r="M4195">
        <v>-0.98797120000000005</v>
      </c>
      <c r="N4195">
        <v>-1.4202559999999999E-2</v>
      </c>
      <c r="O4195">
        <v>-0.15398429999999999</v>
      </c>
      <c r="P4195">
        <v>-0.97403689999999998</v>
      </c>
      <c r="Q4195">
        <v>0.16749129999999901</v>
      </c>
      <c r="R4195">
        <v>-0.15231339999999999</v>
      </c>
      <c r="S4195">
        <v>-3.1076350000000001</v>
      </c>
      <c r="T4195">
        <v>-0.104142</v>
      </c>
      <c r="U4195">
        <v>4.9804689999999999E-2</v>
      </c>
      <c r="V4195">
        <v>1.09607E-3</v>
      </c>
      <c r="W4195">
        <v>0.1814733</v>
      </c>
      <c r="X4195">
        <v>0.98339529999999997</v>
      </c>
      <c r="Y4195">
        <v>0.16964979999999999</v>
      </c>
      <c r="Z4195">
        <v>6.9991180000000004E-3</v>
      </c>
      <c r="AA4195">
        <v>0.98547949999999995</v>
      </c>
      <c r="AB4195">
        <v>22</v>
      </c>
      <c r="AC4195">
        <v>-32.812799999999903</v>
      </c>
      <c r="AD4195">
        <v>-1.1071206784349901</v>
      </c>
      <c r="AE4195">
        <v>0.55729999999999702</v>
      </c>
      <c r="AF4195">
        <v>5.59744726333202</v>
      </c>
      <c r="AG4195">
        <v>-1.1071206784349901</v>
      </c>
      <c r="AH4195">
        <v>32.2987887926122</v>
      </c>
      <c r="AI4195">
        <v>91.934374732034499</v>
      </c>
      <c r="AJ4195">
        <v>80.168174525566897</v>
      </c>
      <c r="AK4195">
        <v>32.798915981053</v>
      </c>
      <c r="AL4195">
        <v>79.544413270840195</v>
      </c>
      <c r="AM4195">
        <v>89.936139455775503</v>
      </c>
      <c r="AN4195">
        <v>1.00000003802221</v>
      </c>
    </row>
    <row r="4196" spans="1:40" x14ac:dyDescent="0.25">
      <c r="A4196" t="str">
        <f>"20190304155143958"</f>
        <v>20190304155143958</v>
      </c>
      <c r="B4196" t="str">
        <f>"1551685903950642"</f>
        <v>1551685903950642</v>
      </c>
      <c r="C4196" t="s">
        <v>40</v>
      </c>
      <c r="D4196">
        <v>4.8316160000000004</v>
      </c>
      <c r="E4196">
        <v>0.56186040000000004</v>
      </c>
      <c r="F4196" t="s">
        <v>41</v>
      </c>
      <c r="G4196">
        <v>-242.21080000000001</v>
      </c>
      <c r="H4196" s="1">
        <v>-3.993277E-6</v>
      </c>
      <c r="I4196">
        <v>142.2637</v>
      </c>
      <c r="J4196">
        <v>-210.46119999999999</v>
      </c>
      <c r="K4196">
        <v>1.1072850000000001</v>
      </c>
      <c r="L4196">
        <v>141.71629999999999</v>
      </c>
      <c r="M4196">
        <v>-0.98889170000000004</v>
      </c>
      <c r="N4196">
        <v>-1.415663E-2</v>
      </c>
      <c r="O4196">
        <v>-0.1479627</v>
      </c>
      <c r="P4196">
        <v>-0.97465400000000002</v>
      </c>
      <c r="Q4196">
        <v>0.16687869999999999</v>
      </c>
      <c r="R4196">
        <v>-0.14900250000000001</v>
      </c>
      <c r="S4196">
        <v>-3.1063540000000001</v>
      </c>
      <c r="T4196">
        <v>-0.10755919999999999</v>
      </c>
      <c r="U4196">
        <v>5.0506589999999997E-2</v>
      </c>
      <c r="V4196">
        <v>-1.6229510000000001E-3</v>
      </c>
      <c r="W4196">
        <v>0.18083979999999999</v>
      </c>
      <c r="X4196">
        <v>0.98351120000000003</v>
      </c>
      <c r="Y4196">
        <v>0.16386729999999899</v>
      </c>
      <c r="Z4196">
        <v>7.0058550000000001E-3</v>
      </c>
      <c r="AA4196">
        <v>0.98645749999999999</v>
      </c>
      <c r="AB4196">
        <v>22</v>
      </c>
      <c r="AC4196">
        <v>-31.749600000000001</v>
      </c>
      <c r="AD4196">
        <v>-1.107288993277</v>
      </c>
      <c r="AE4196">
        <v>0.54740000000000999</v>
      </c>
      <c r="AF4196">
        <v>5.2332371206097497</v>
      </c>
      <c r="AG4196">
        <v>-1.107288993277</v>
      </c>
      <c r="AH4196">
        <v>31.281020822299201</v>
      </c>
      <c r="AI4196">
        <v>91.999549759614794</v>
      </c>
      <c r="AJ4196">
        <v>80.502513211757005</v>
      </c>
      <c r="AK4196">
        <v>31.7350771758992</v>
      </c>
      <c r="AL4196">
        <v>79.581320132774707</v>
      </c>
      <c r="AM4196">
        <v>90.094547126919807</v>
      </c>
      <c r="AN4196">
        <v>0.99999997387971395</v>
      </c>
    </row>
    <row r="4197" spans="1:40" x14ac:dyDescent="0.25">
      <c r="A4197" t="str">
        <f>"20190304155143980"</f>
        <v>20190304155143980</v>
      </c>
      <c r="B4197" t="str">
        <f>"1551685903971231"</f>
        <v>1551685903971231</v>
      </c>
      <c r="C4197" t="s">
        <v>40</v>
      </c>
      <c r="D4197">
        <v>4.9592530000000004</v>
      </c>
      <c r="E4197">
        <v>0.54813889999999998</v>
      </c>
      <c r="F4197" t="s">
        <v>41</v>
      </c>
      <c r="G4197">
        <v>-241.61150000000001</v>
      </c>
      <c r="H4197" s="1">
        <v>-4.1961590000000001E-6</v>
      </c>
      <c r="I4197">
        <v>142.2577</v>
      </c>
      <c r="J4197">
        <v>-210.6808</v>
      </c>
      <c r="K4197">
        <v>1.1074440000000001</v>
      </c>
      <c r="L4197">
        <v>141.69030000000001</v>
      </c>
      <c r="M4197">
        <v>-0.98971609999999999</v>
      </c>
      <c r="N4197">
        <v>-1.4113179999999999E-2</v>
      </c>
      <c r="O4197">
        <v>-0.1423478</v>
      </c>
      <c r="P4197">
        <v>-0.97516709999999995</v>
      </c>
      <c r="Q4197">
        <v>0.16655610000000001</v>
      </c>
      <c r="R4197">
        <v>-0.14597460000000001</v>
      </c>
      <c r="S4197">
        <v>-3.1051639999999998</v>
      </c>
      <c r="T4197">
        <v>-0.110378</v>
      </c>
      <c r="U4197">
        <v>5.3970339999999999E-2</v>
      </c>
      <c r="V4197">
        <v>-4.2241479999999996E-3</v>
      </c>
      <c r="W4197">
        <v>0.18049460000000001</v>
      </c>
      <c r="X4197">
        <v>0.98356690000000002</v>
      </c>
      <c r="Y4197">
        <v>0.15936889999999901</v>
      </c>
      <c r="Z4197">
        <v>6.9901939999999999E-3</v>
      </c>
      <c r="AA4197">
        <v>0.98719440000000003</v>
      </c>
      <c r="AB4197">
        <v>22</v>
      </c>
      <c r="AC4197">
        <v>-30.930700000000002</v>
      </c>
      <c r="AD4197">
        <v>-1.1074481961589999</v>
      </c>
      <c r="AE4197">
        <v>0.56739999999999202</v>
      </c>
      <c r="AF4197">
        <v>4.9586219007322399</v>
      </c>
      <c r="AG4197">
        <v>-1.1074481961589999</v>
      </c>
      <c r="AH4197">
        <v>30.495803614928501</v>
      </c>
      <c r="AI4197">
        <v>92.052832664258503</v>
      </c>
      <c r="AJ4197">
        <v>80.764523922942999</v>
      </c>
      <c r="AK4197">
        <v>30.916151293165299</v>
      </c>
      <c r="AL4197">
        <v>79.601429777779401</v>
      </c>
      <c r="AM4197">
        <v>90.246068024887407</v>
      </c>
      <c r="AN4197">
        <v>0.99999999541554796</v>
      </c>
    </row>
    <row r="4198" spans="1:40" x14ac:dyDescent="0.25">
      <c r="A4198" t="str">
        <f>"20190304155144003"</f>
        <v>20190304155144003</v>
      </c>
      <c r="B4198" t="str">
        <f>"1551685904001488"</f>
        <v>1551685904001488</v>
      </c>
      <c r="C4198" t="s">
        <v>40</v>
      </c>
      <c r="D4198">
        <v>4.8396470000000003</v>
      </c>
      <c r="E4198">
        <v>0.54654999999999998</v>
      </c>
      <c r="F4198" t="s">
        <v>41</v>
      </c>
      <c r="G4198">
        <v>-238.45840000000001</v>
      </c>
      <c r="H4198" s="1">
        <v>-1.086406E-6</v>
      </c>
      <c r="I4198">
        <v>141.28020000000001</v>
      </c>
      <c r="J4198">
        <v>-210.899</v>
      </c>
      <c r="K4198">
        <v>1.107613</v>
      </c>
      <c r="L4198">
        <v>141.66550000000001</v>
      </c>
      <c r="M4198">
        <v>-0.99046699999999999</v>
      </c>
      <c r="N4198">
        <v>-1.4071760000000001E-2</v>
      </c>
      <c r="O4198">
        <v>-0.1370305</v>
      </c>
      <c r="P4198">
        <v>-0.97555369999999997</v>
      </c>
      <c r="Q4198">
        <v>0.16566900000000001</v>
      </c>
      <c r="R4198">
        <v>-0.14439160000000001</v>
      </c>
      <c r="S4198">
        <v>-3.0906069999999999</v>
      </c>
      <c r="T4198">
        <v>-0.1232176</v>
      </c>
      <c r="U4198">
        <v>-4.5623780000000003E-2</v>
      </c>
      <c r="V4198">
        <v>-7.9812069999999902E-3</v>
      </c>
      <c r="W4198">
        <v>0.179595</v>
      </c>
      <c r="X4198">
        <v>0.98370829999999998</v>
      </c>
      <c r="Y4198">
        <v>0.1222317</v>
      </c>
      <c r="Z4198">
        <v>6.8096349999999996E-3</v>
      </c>
      <c r="AA4198">
        <v>0.99247830000000004</v>
      </c>
      <c r="AB4198">
        <v>22</v>
      </c>
      <c r="AC4198">
        <v>-27.5594</v>
      </c>
      <c r="AD4198">
        <v>-1.107614086406</v>
      </c>
      <c r="AE4198">
        <v>-0.38529999999999998</v>
      </c>
      <c r="AF4198">
        <v>3.3897130313840398</v>
      </c>
      <c r="AG4198">
        <v>-1.107614086406</v>
      </c>
      <c r="AH4198">
        <v>27.308078345607001</v>
      </c>
      <c r="AI4198">
        <v>92.304970210879404</v>
      </c>
      <c r="AJ4198">
        <v>82.924149376133002</v>
      </c>
      <c r="AK4198">
        <v>27.5399365709028</v>
      </c>
      <c r="AL4198">
        <v>79.653829838587598</v>
      </c>
      <c r="AM4198">
        <v>90.464852683370495</v>
      </c>
      <c r="AN4198">
        <v>1.00000004158953</v>
      </c>
    </row>
    <row r="4199" spans="1:40" x14ac:dyDescent="0.25">
      <c r="A4199" t="str">
        <f>"20190304155144036"</f>
        <v>20190304155144036</v>
      </c>
      <c r="B4199" t="str">
        <f>"1551685904030768"</f>
        <v>1551685904030768</v>
      </c>
      <c r="C4199" t="s">
        <v>40</v>
      </c>
      <c r="D4199">
        <v>5.0230560000000004</v>
      </c>
      <c r="E4199">
        <v>0.54680869999999904</v>
      </c>
      <c r="F4199" t="s">
        <v>41</v>
      </c>
      <c r="G4199">
        <v>-236.77459999999999</v>
      </c>
      <c r="H4199" s="1">
        <v>-1.789794E-6</v>
      </c>
      <c r="I4199">
        <v>141.209</v>
      </c>
      <c r="J4199">
        <v>-211.2226</v>
      </c>
      <c r="K4199">
        <v>1.1078760000000001</v>
      </c>
      <c r="L4199">
        <v>141.63030000000001</v>
      </c>
      <c r="M4199">
        <v>-0.99146829999999997</v>
      </c>
      <c r="N4199">
        <v>-1.40156E-2</v>
      </c>
      <c r="O4199">
        <v>-0.1295926</v>
      </c>
      <c r="P4199">
        <v>-0.97628939999999997</v>
      </c>
      <c r="Q4199">
        <v>0.16434609999999999</v>
      </c>
      <c r="R4199">
        <v>-0.14088819999999999</v>
      </c>
      <c r="S4199">
        <v>-3.0895389999999998</v>
      </c>
      <c r="T4199">
        <v>-0.13224900000000001</v>
      </c>
      <c r="U4199">
        <v>-5.450439E-2</v>
      </c>
      <c r="V4199">
        <v>-1.193555E-2</v>
      </c>
      <c r="W4199">
        <v>0.1782406</v>
      </c>
      <c r="X4199">
        <v>0.98391459999999997</v>
      </c>
      <c r="Y4199">
        <v>0.111906199999999</v>
      </c>
      <c r="Z4199">
        <v>6.8895049999999998E-3</v>
      </c>
      <c r="AA4199">
        <v>0.99369490000000005</v>
      </c>
      <c r="AB4199">
        <v>22</v>
      </c>
      <c r="AC4199">
        <v>-25.5519999999999</v>
      </c>
      <c r="AD4199">
        <v>-1.107877789794</v>
      </c>
      <c r="AE4199">
        <v>-0.42130000000000201</v>
      </c>
      <c r="AF4199">
        <v>2.8885000669532301</v>
      </c>
      <c r="AG4199">
        <v>-1.107877789794</v>
      </c>
      <c r="AH4199">
        <v>25.343458358981099</v>
      </c>
      <c r="AI4199">
        <v>92.486984833268195</v>
      </c>
      <c r="AJ4199">
        <v>83.497817928501306</v>
      </c>
      <c r="AK4199">
        <v>25.5315825484304</v>
      </c>
      <c r="AL4199">
        <v>79.732704090167303</v>
      </c>
      <c r="AM4199">
        <v>90.695002493309701</v>
      </c>
      <c r="AN4199">
        <v>1.0000000544676499</v>
      </c>
    </row>
    <row r="4200" spans="1:40" x14ac:dyDescent="0.25">
      <c r="A4200" t="str">
        <f>"20190304155144059"</f>
        <v>20190304155144059</v>
      </c>
      <c r="B4200" t="str">
        <f>"1551685904051264"</f>
        <v>1551685904051264</v>
      </c>
      <c r="C4200" t="s">
        <v>40</v>
      </c>
      <c r="D4200">
        <v>4.9560550000000001</v>
      </c>
      <c r="E4200">
        <v>0.54613690000000004</v>
      </c>
      <c r="F4200" t="s">
        <v>41</v>
      </c>
      <c r="G4200">
        <v>-235.12700000000001</v>
      </c>
      <c r="H4200" s="1">
        <v>-2.5235329999999999E-6</v>
      </c>
      <c r="I4200">
        <v>141.31020000000001</v>
      </c>
      <c r="J4200">
        <v>-211.44659999999999</v>
      </c>
      <c r="K4200">
        <v>1.108031</v>
      </c>
      <c r="L4200">
        <v>141.6069</v>
      </c>
      <c r="M4200">
        <v>-0.99209360000000002</v>
      </c>
      <c r="N4200">
        <v>-1.3981159999999999E-2</v>
      </c>
      <c r="O4200">
        <v>-0.1247186</v>
      </c>
      <c r="P4200">
        <v>-0.97658509999999998</v>
      </c>
      <c r="Q4200">
        <v>0.16448260000000001</v>
      </c>
      <c r="R4200">
        <v>-0.1386609</v>
      </c>
      <c r="S4200">
        <v>-3.0910190000000002</v>
      </c>
      <c r="T4200">
        <v>-0.14325739999999901</v>
      </c>
      <c r="U4200">
        <v>-4.1381840000000003E-2</v>
      </c>
      <c r="V4200">
        <v>-1.460242E-2</v>
      </c>
      <c r="W4200">
        <v>0.17835509999999999</v>
      </c>
      <c r="X4200">
        <v>0.9838578</v>
      </c>
      <c r="Y4200">
        <v>0.1112176</v>
      </c>
      <c r="Z4200">
        <v>7.3713709999999998E-3</v>
      </c>
      <c r="AA4200">
        <v>0.99376880000000001</v>
      </c>
      <c r="AB4200">
        <v>22</v>
      </c>
      <c r="AC4200">
        <v>-23.680399999999999</v>
      </c>
      <c r="AD4200">
        <v>-1.1080335235330001</v>
      </c>
      <c r="AE4200">
        <v>-0.29669999999998697</v>
      </c>
      <c r="AF4200">
        <v>2.6534835421395702</v>
      </c>
      <c r="AG4200">
        <v>-1.1080335235330001</v>
      </c>
      <c r="AH4200">
        <v>23.4810766982133</v>
      </c>
      <c r="AI4200">
        <v>92.684627829121197</v>
      </c>
      <c r="AJ4200">
        <v>83.552631360888896</v>
      </c>
      <c r="AK4200">
        <v>23.656493318010099</v>
      </c>
      <c r="AL4200">
        <v>79.726036030623703</v>
      </c>
      <c r="AM4200">
        <v>90.850321672962195</v>
      </c>
      <c r="AN4200">
        <v>0.99999997149335196</v>
      </c>
    </row>
    <row r="4201" spans="1:40" x14ac:dyDescent="0.25">
      <c r="A4201" t="str">
        <f>"20190304155144083"</f>
        <v>20190304155144083</v>
      </c>
      <c r="B4201" t="str">
        <f>"1551685904080544"</f>
        <v>1551685904080544</v>
      </c>
      <c r="C4201" t="s">
        <v>40</v>
      </c>
      <c r="D4201">
        <v>5.0229739999999996</v>
      </c>
      <c r="E4201">
        <v>0.54538450000000005</v>
      </c>
      <c r="F4201" t="s">
        <v>41</v>
      </c>
      <c r="G4201">
        <v>-234.4366</v>
      </c>
      <c r="H4201" s="1">
        <v>-2.8222369999999998E-6</v>
      </c>
      <c r="I4201">
        <v>141.31970000000001</v>
      </c>
      <c r="J4201">
        <v>-211.68459999999999</v>
      </c>
      <c r="K4201">
        <v>1.1081540000000001</v>
      </c>
      <c r="L4201">
        <v>141.583</v>
      </c>
      <c r="M4201">
        <v>-0.99270729999999996</v>
      </c>
      <c r="N4201">
        <v>-1.3948489999999999E-2</v>
      </c>
      <c r="O4201">
        <v>-0.11974079999999999</v>
      </c>
      <c r="P4201">
        <v>-0.97688680000000006</v>
      </c>
      <c r="Q4201">
        <v>0.165091299999999</v>
      </c>
      <c r="R4201">
        <v>-0.13578390000000001</v>
      </c>
      <c r="S4201">
        <v>-3.0915370000000002</v>
      </c>
      <c r="T4201">
        <v>-0.14900089999999999</v>
      </c>
      <c r="U4201">
        <v>-3.8620000000000002E-2</v>
      </c>
      <c r="V4201">
        <v>-1.6707489999999998E-2</v>
      </c>
      <c r="W4201">
        <v>0.17893779999999901</v>
      </c>
      <c r="X4201">
        <v>0.98371850000000005</v>
      </c>
      <c r="Y4201">
        <v>0.107112</v>
      </c>
      <c r="Z4201">
        <v>7.4104000000000001E-3</v>
      </c>
      <c r="AA4201">
        <v>0.99421939999999998</v>
      </c>
      <c r="AB4201">
        <v>22</v>
      </c>
      <c r="AC4201">
        <v>-22.751999999999999</v>
      </c>
      <c r="AD4201">
        <v>-1.108156822237</v>
      </c>
      <c r="AE4201">
        <v>-0.26329999999998599</v>
      </c>
      <c r="AF4201">
        <v>2.4573734702035801</v>
      </c>
      <c r="AG4201">
        <v>-1.108156822237</v>
      </c>
      <c r="AH4201">
        <v>22.566276480987799</v>
      </c>
      <c r="AI4201">
        <v>92.794856103698095</v>
      </c>
      <c r="AJ4201">
        <v>83.785216765140902</v>
      </c>
      <c r="AK4201">
        <v>22.7267140196535</v>
      </c>
      <c r="AL4201">
        <v>79.692104031958706</v>
      </c>
      <c r="AM4201">
        <v>90.973018841915305</v>
      </c>
      <c r="AN4201">
        <v>0.999999981866594</v>
      </c>
    </row>
    <row r="4202" spans="1:40" x14ac:dyDescent="0.25">
      <c r="A4202" t="str">
        <f>"20190304155144105"</f>
        <v>20190304155144105</v>
      </c>
      <c r="B4202" t="str">
        <f>"1551685904101040"</f>
        <v>1551685904101040</v>
      </c>
      <c r="C4202" t="s">
        <v>40</v>
      </c>
      <c r="D4202">
        <v>5.0012460000000001</v>
      </c>
      <c r="E4202">
        <v>0.54492810000000003</v>
      </c>
      <c r="F4202" t="s">
        <v>41</v>
      </c>
      <c r="G4202">
        <v>-235.13120000000001</v>
      </c>
      <c r="H4202" s="1">
        <v>-2.5235270000000002E-6</v>
      </c>
      <c r="I4202">
        <v>141.31700000000001</v>
      </c>
      <c r="J4202">
        <v>-211.90309999999999</v>
      </c>
      <c r="K4202">
        <v>1.1082449999999999</v>
      </c>
      <c r="L4202">
        <v>141.56190000000001</v>
      </c>
      <c r="M4202">
        <v>-0.99322750000000004</v>
      </c>
      <c r="N4202">
        <v>-1.3921650000000001E-2</v>
      </c>
      <c r="O4202">
        <v>-0.1153501</v>
      </c>
      <c r="P4202">
        <v>-0.9770723</v>
      </c>
      <c r="Q4202">
        <v>0.1658201</v>
      </c>
      <c r="R4202">
        <v>-0.133543</v>
      </c>
      <c r="S4202">
        <v>-3.0907900000000001</v>
      </c>
      <c r="T4202">
        <v>-0.1460805</v>
      </c>
      <c r="U4202">
        <v>-3.5064699999999997E-2</v>
      </c>
      <c r="V4202">
        <v>-1.8852859999999999E-2</v>
      </c>
      <c r="W4202">
        <v>0.17964659999999999</v>
      </c>
      <c r="X4202">
        <v>0.98355049999999999</v>
      </c>
      <c r="Y4202">
        <v>0.1038719</v>
      </c>
      <c r="Z4202">
        <v>7.0071880000000001E-3</v>
      </c>
      <c r="AA4202">
        <v>0.99456599999999995</v>
      </c>
      <c r="AB4202">
        <v>22</v>
      </c>
      <c r="AC4202">
        <v>-23.228100000000001</v>
      </c>
      <c r="AD4202">
        <v>-1.108247523527</v>
      </c>
      <c r="AE4202">
        <v>-0.24490000000000101</v>
      </c>
      <c r="AF4202">
        <v>2.43082507265445</v>
      </c>
      <c r="AG4202">
        <v>-1.108247523527</v>
      </c>
      <c r="AH4202">
        <v>23.0488097586314</v>
      </c>
      <c r="AI4202">
        <v>92.7376522994021</v>
      </c>
      <c r="AJ4202">
        <v>83.979599707629802</v>
      </c>
      <c r="AK4202">
        <v>23.203119497102701</v>
      </c>
      <c r="AL4202">
        <v>79.650823629433106</v>
      </c>
      <c r="AM4202">
        <v>91.098120579492601</v>
      </c>
      <c r="AN4202">
        <v>0.999999958635993</v>
      </c>
    </row>
    <row r="4203" spans="1:40" x14ac:dyDescent="0.25">
      <c r="A4203" t="str">
        <f>"20190304155144124"</f>
        <v>20190304155144124</v>
      </c>
      <c r="B4203" t="str">
        <f>"1551685904120560"</f>
        <v>1551685904120560</v>
      </c>
      <c r="C4203" t="s">
        <v>40</v>
      </c>
      <c r="D4203">
        <v>4.9842120000000003</v>
      </c>
      <c r="E4203">
        <v>0.54417159999999998</v>
      </c>
      <c r="F4203" t="s">
        <v>41</v>
      </c>
      <c r="G4203">
        <v>-235.80109999999999</v>
      </c>
      <c r="H4203" s="1">
        <v>-2.2370459999999999E-6</v>
      </c>
      <c r="I4203">
        <v>141.3203</v>
      </c>
      <c r="J4203">
        <v>-212.084</v>
      </c>
      <c r="K4203">
        <v>1.1083019999999999</v>
      </c>
      <c r="L4203">
        <v>141.54509999999999</v>
      </c>
      <c r="M4203">
        <v>-0.99363049999999997</v>
      </c>
      <c r="N4203">
        <v>-1.3901210000000001E-2</v>
      </c>
      <c r="O4203">
        <v>-0.1118278</v>
      </c>
      <c r="P4203">
        <v>-0.97720149999999995</v>
      </c>
      <c r="Q4203">
        <v>0.1661031</v>
      </c>
      <c r="R4203">
        <v>-0.132238299999999</v>
      </c>
      <c r="S4203">
        <v>-3.0904539999999998</v>
      </c>
      <c r="T4203">
        <v>-0.1433171</v>
      </c>
      <c r="U4203">
        <v>-3.123474E-2</v>
      </c>
      <c r="V4203">
        <v>-2.1059769999999998E-2</v>
      </c>
      <c r="W4203">
        <v>0.1799191</v>
      </c>
      <c r="X4203">
        <v>0.983456</v>
      </c>
      <c r="Y4203">
        <v>0.1015896</v>
      </c>
      <c r="Z4203">
        <v>6.6783459999999999E-3</v>
      </c>
      <c r="AA4203">
        <v>0.99480400000000002</v>
      </c>
      <c r="AB4203">
        <v>22</v>
      </c>
      <c r="AC4203">
        <v>-23.717099999999899</v>
      </c>
      <c r="AD4203">
        <v>-1.1083042370459999</v>
      </c>
      <c r="AE4203">
        <v>-0.22479999999998701</v>
      </c>
      <c r="AF4203">
        <v>2.42380495504759</v>
      </c>
      <c r="AG4203">
        <v>-1.1083042370459999</v>
      </c>
      <c r="AH4203">
        <v>23.542045011906001</v>
      </c>
      <c r="AI4203">
        <v>92.681208644884407</v>
      </c>
      <c r="AJ4203">
        <v>84.121742485905003</v>
      </c>
      <c r="AK4203">
        <v>23.692426048941801</v>
      </c>
      <c r="AL4203">
        <v>79.634952879786596</v>
      </c>
      <c r="AM4203">
        <v>91.226746850297502</v>
      </c>
      <c r="AN4203">
        <v>1.00000005019663</v>
      </c>
    </row>
    <row r="4204" spans="1:40" x14ac:dyDescent="0.25">
      <c r="A4204" t="str">
        <f>"20190304155144148"</f>
        <v>20190304155144148</v>
      </c>
      <c r="B4204" t="str">
        <f>"1551685904141056"</f>
        <v>1551685904141056</v>
      </c>
      <c r="C4204" t="s">
        <v>40</v>
      </c>
      <c r="D4204">
        <v>5.0221539999999996</v>
      </c>
      <c r="E4204">
        <v>0.54321619999999904</v>
      </c>
      <c r="F4204" t="s">
        <v>41</v>
      </c>
      <c r="G4204">
        <v>-235.84569999999999</v>
      </c>
      <c r="H4204" s="1">
        <v>-2.2115029999999998E-6</v>
      </c>
      <c r="I4204">
        <v>141.2962</v>
      </c>
      <c r="J4204">
        <v>-212.32320000000001</v>
      </c>
      <c r="K4204">
        <v>1.1083620000000001</v>
      </c>
      <c r="L4204">
        <v>141.52369999999999</v>
      </c>
      <c r="M4204">
        <v>-0.99413249999999997</v>
      </c>
      <c r="N4204">
        <v>-1.3876589999999999E-2</v>
      </c>
      <c r="O4204">
        <v>-0.1072752</v>
      </c>
      <c r="P4204">
        <v>-0.97752570000000005</v>
      </c>
      <c r="Q4204">
        <v>0.1663279</v>
      </c>
      <c r="R4204">
        <v>-0.12953210000000001</v>
      </c>
      <c r="S4204">
        <v>-3.0901179999999999</v>
      </c>
      <c r="T4204">
        <v>-0.14413110000000001</v>
      </c>
      <c r="U4204">
        <v>-3.2363889999999999E-2</v>
      </c>
      <c r="V4204">
        <v>-2.2875550000000001E-2</v>
      </c>
      <c r="W4204">
        <v>0.18012549999999999</v>
      </c>
      <c r="X4204">
        <v>0.98337759999999996</v>
      </c>
      <c r="Y4204">
        <v>9.6673880000000004E-2</v>
      </c>
      <c r="Z4204">
        <v>6.426902E-3</v>
      </c>
      <c r="AA4204">
        <v>0.99529529999999999</v>
      </c>
      <c r="AB4204">
        <v>22</v>
      </c>
      <c r="AC4204">
        <v>-23.522499999999901</v>
      </c>
      <c r="AD4204">
        <v>-1.1083642115029999</v>
      </c>
      <c r="AE4204">
        <v>-0.22749999999999199</v>
      </c>
      <c r="AF4204">
        <v>2.2923479421461401</v>
      </c>
      <c r="AG4204">
        <v>-1.1083642115029999</v>
      </c>
      <c r="AH4204">
        <v>23.359283347576401</v>
      </c>
      <c r="AI4204">
        <v>92.703596746920994</v>
      </c>
      <c r="AJ4204">
        <v>84.395262165073504</v>
      </c>
      <c r="AK4204">
        <v>23.4976477296252</v>
      </c>
      <c r="AL4204">
        <v>79.6229300427878</v>
      </c>
      <c r="AM4204">
        <v>91.332586923449696</v>
      </c>
      <c r="AN4204">
        <v>0.99999999535990602</v>
      </c>
    </row>
    <row r="4205" spans="1:40" x14ac:dyDescent="0.25">
      <c r="A4205" t="str">
        <f>"20190304155144171"</f>
        <v>20190304155144171</v>
      </c>
      <c r="B4205" t="str">
        <f>"1551685904160576"</f>
        <v>1551685904160576</v>
      </c>
      <c r="C4205" t="s">
        <v>40</v>
      </c>
      <c r="D4205">
        <v>5.0688300000000002</v>
      </c>
      <c r="E4205">
        <v>0.54286319999999999</v>
      </c>
      <c r="F4205" t="s">
        <v>41</v>
      </c>
      <c r="G4205">
        <v>-235.7011</v>
      </c>
      <c r="H4205" s="1">
        <v>-2.27292E-6</v>
      </c>
      <c r="I4205">
        <v>141.29399999999899</v>
      </c>
      <c r="J4205">
        <v>-212.5471</v>
      </c>
      <c r="K4205">
        <v>1.108411</v>
      </c>
      <c r="L4205">
        <v>141.50460000000001</v>
      </c>
      <c r="M4205">
        <v>-0.99457450000000003</v>
      </c>
      <c r="N4205">
        <v>-1.385642E-2</v>
      </c>
      <c r="O4205">
        <v>-0.1031005</v>
      </c>
      <c r="P4205">
        <v>-0.97786189999999995</v>
      </c>
      <c r="Q4205">
        <v>0.16608709999999999</v>
      </c>
      <c r="R4205">
        <v>-0.12728410000000001</v>
      </c>
      <c r="S4205">
        <v>-3.0898590000000001</v>
      </c>
      <c r="T4205">
        <v>-0.14649239999999999</v>
      </c>
      <c r="U4205">
        <v>-3.0349729999999998E-2</v>
      </c>
      <c r="V4205">
        <v>-2.4764979999999999E-2</v>
      </c>
      <c r="W4205">
        <v>0.17987310000000001</v>
      </c>
      <c r="X4205">
        <v>0.98337810000000003</v>
      </c>
      <c r="Y4205">
        <v>9.3143119999999996E-2</v>
      </c>
      <c r="Z4205">
        <v>6.3004250000000001E-3</v>
      </c>
      <c r="AA4205">
        <v>0.99563279999999998</v>
      </c>
      <c r="AB4205">
        <v>22</v>
      </c>
      <c r="AC4205">
        <v>-23.154</v>
      </c>
      <c r="AD4205">
        <v>-1.10841327292</v>
      </c>
      <c r="AE4205">
        <v>-0.21060000000002699</v>
      </c>
      <c r="AF4205">
        <v>2.1729612271228098</v>
      </c>
      <c r="AG4205">
        <v>-1.10841327292</v>
      </c>
      <c r="AH4205">
        <v>22.9995992998752</v>
      </c>
      <c r="AI4205">
        <v>92.746891333483205</v>
      </c>
      <c r="AJ4205">
        <v>84.602817289303403</v>
      </c>
      <c r="AK4205">
        <v>23.128595038025701</v>
      </c>
      <c r="AL4205">
        <v>79.637632320039202</v>
      </c>
      <c r="AM4205">
        <v>91.442607863936104</v>
      </c>
      <c r="AN4205">
        <v>1.0000000619488001</v>
      </c>
    </row>
    <row r="4206" spans="1:40" x14ac:dyDescent="0.25">
      <c r="A4206" t="str">
        <f>"20190304155144192"</f>
        <v>20190304155144192</v>
      </c>
      <c r="B4206" t="str">
        <f>"1551685904181072"</f>
        <v>1551685904181072</v>
      </c>
      <c r="C4206" t="s">
        <v>40</v>
      </c>
      <c r="D4206">
        <v>4.9658340000000001</v>
      </c>
      <c r="E4206">
        <v>0.54230230000000001</v>
      </c>
      <c r="F4206" t="s">
        <v>41</v>
      </c>
      <c r="G4206">
        <v>-236.41579999999999</v>
      </c>
      <c r="H4206" s="1">
        <v>-1.9693980000000001E-6</v>
      </c>
      <c r="I4206">
        <v>141.30549999999999</v>
      </c>
      <c r="J4206">
        <v>-212.75380000000001</v>
      </c>
      <c r="K4206">
        <v>1.1084430000000001</v>
      </c>
      <c r="L4206">
        <v>141.48779999999999</v>
      </c>
      <c r="M4206">
        <v>-0.99496249999999997</v>
      </c>
      <c r="N4206">
        <v>-1.384021E-2</v>
      </c>
      <c r="O4206">
        <v>-9.9288840000000003E-2</v>
      </c>
      <c r="P4206">
        <v>-0.97805149999999996</v>
      </c>
      <c r="Q4206">
        <v>0.1661395</v>
      </c>
      <c r="R4206">
        <v>-0.1257489</v>
      </c>
      <c r="S4206">
        <v>-3.0888979999999999</v>
      </c>
      <c r="T4206">
        <v>-0.14344199999999999</v>
      </c>
      <c r="U4206">
        <v>-2.575684E-2</v>
      </c>
      <c r="V4206">
        <v>-2.7009829999999999E-2</v>
      </c>
      <c r="W4206">
        <v>0.17991869999999999</v>
      </c>
      <c r="X4206">
        <v>0.98331060000000003</v>
      </c>
      <c r="Y4206">
        <v>9.0818449999999995E-2</v>
      </c>
      <c r="Z4206">
        <v>5.9629649999999998E-3</v>
      </c>
      <c r="AA4206">
        <v>0.9958496</v>
      </c>
      <c r="AB4206">
        <v>22</v>
      </c>
      <c r="AC4206">
        <v>-23.6619999999999</v>
      </c>
      <c r="AD4206">
        <v>-1.1084449693979901</v>
      </c>
      <c r="AE4206">
        <v>-0.18229999999999699</v>
      </c>
      <c r="AF4206">
        <v>2.1634510206145401</v>
      </c>
      <c r="AG4206">
        <v>-1.1084449693979901</v>
      </c>
      <c r="AH4206">
        <v>23.511565686284001</v>
      </c>
      <c r="AI4206">
        <v>92.687853630494502</v>
      </c>
      <c r="AJ4206">
        <v>84.742649942058705</v>
      </c>
      <c r="AK4206">
        <v>23.6368968265555</v>
      </c>
      <c r="AL4206">
        <v>79.634975681590902</v>
      </c>
      <c r="AM4206">
        <v>91.573419659185504</v>
      </c>
      <c r="AN4206">
        <v>1.0000000027993301</v>
      </c>
    </row>
    <row r="4207" spans="1:40" x14ac:dyDescent="0.25">
      <c r="A4207" t="str">
        <f>"20190304155144215"</f>
        <v>20190304155144215</v>
      </c>
      <c r="B4207" t="str">
        <f>"1551685904211328"</f>
        <v>1551685904211328</v>
      </c>
      <c r="C4207" t="s">
        <v>40</v>
      </c>
      <c r="D4207">
        <v>5.2417999999999996</v>
      </c>
      <c r="E4207">
        <v>0.54192510000000005</v>
      </c>
      <c r="F4207" t="s">
        <v>41</v>
      </c>
      <c r="G4207">
        <v>-237.6978</v>
      </c>
      <c r="H4207" s="1">
        <v>-1.413313E-6</v>
      </c>
      <c r="I4207">
        <v>141.2826</v>
      </c>
      <c r="J4207">
        <v>-212.97219999999999</v>
      </c>
      <c r="K4207">
        <v>1.1084700000000001</v>
      </c>
      <c r="L4207">
        <v>141.47069999999999</v>
      </c>
      <c r="M4207">
        <v>-0.99535180000000001</v>
      </c>
      <c r="N4207">
        <v>-1.3825189999999999E-2</v>
      </c>
      <c r="O4207">
        <v>-9.5307959999999997E-2</v>
      </c>
      <c r="P4207">
        <v>-0.97823360000000004</v>
      </c>
      <c r="Q4207">
        <v>0.16662879999999899</v>
      </c>
      <c r="R4207">
        <v>-0.1236688</v>
      </c>
      <c r="S4207">
        <v>-3.0873719999999998</v>
      </c>
      <c r="T4207">
        <v>-0.13719439999999999</v>
      </c>
      <c r="U4207">
        <v>-2.5390630000000001E-2</v>
      </c>
      <c r="V4207">
        <v>-2.8873800000000002E-2</v>
      </c>
      <c r="W4207">
        <v>0.1803999</v>
      </c>
      <c r="X4207">
        <v>0.98316939999999997</v>
      </c>
      <c r="Y4207">
        <v>8.6970660000000005E-2</v>
      </c>
      <c r="Z4207">
        <v>5.4419500000000001E-3</v>
      </c>
      <c r="AA4207">
        <v>0.99619599999999997</v>
      </c>
      <c r="AB4207">
        <v>22</v>
      </c>
      <c r="AC4207">
        <v>-24.7256</v>
      </c>
      <c r="AD4207">
        <v>-1.108471413313</v>
      </c>
      <c r="AE4207">
        <v>-0.188099999999991</v>
      </c>
      <c r="AF4207">
        <v>2.16517687944431</v>
      </c>
      <c r="AG4207">
        <v>-1.108471413313</v>
      </c>
      <c r="AH4207">
        <v>24.581551140897599</v>
      </c>
      <c r="AI4207">
        <v>92.571981254182901</v>
      </c>
      <c r="AJ4207">
        <v>84.966299707601394</v>
      </c>
      <c r="AK4207">
        <v>24.701606350316101</v>
      </c>
      <c r="AL4207">
        <v>79.606945709509006</v>
      </c>
      <c r="AM4207">
        <v>91.682183668886196</v>
      </c>
      <c r="AN4207">
        <v>0.99999994467140296</v>
      </c>
    </row>
    <row r="4208" spans="1:40" x14ac:dyDescent="0.25">
      <c r="A4208" t="str">
        <f>"20190304155144237"</f>
        <v>20190304155144237</v>
      </c>
      <c r="B4208" t="str">
        <f>"1551685904230848"</f>
        <v>1551685904230848</v>
      </c>
      <c r="C4208" t="s">
        <v>40</v>
      </c>
      <c r="D4208">
        <v>4.9685480000000002</v>
      </c>
      <c r="E4208">
        <v>0.54155730000000002</v>
      </c>
      <c r="F4208" t="s">
        <v>41</v>
      </c>
      <c r="G4208">
        <v>-238.7499</v>
      </c>
      <c r="H4208" s="1">
        <v>-9.6255699999999998E-7</v>
      </c>
      <c r="I4208">
        <v>141.28469999999999</v>
      </c>
      <c r="J4208">
        <v>-213.1944</v>
      </c>
      <c r="K4208">
        <v>1.108493</v>
      </c>
      <c r="L4208">
        <v>141.45419999999999</v>
      </c>
      <c r="M4208">
        <v>-0.99572620000000001</v>
      </c>
      <c r="N4208">
        <v>-1.3811210000000001E-2</v>
      </c>
      <c r="O4208">
        <v>-9.1316010000000003E-2</v>
      </c>
      <c r="P4208">
        <v>-0.97851869999999996</v>
      </c>
      <c r="Q4208">
        <v>0.16598869999999999</v>
      </c>
      <c r="R4208">
        <v>-0.1222674</v>
      </c>
      <c r="S4208">
        <v>-3.0865330000000002</v>
      </c>
      <c r="T4208">
        <v>-0.1327245</v>
      </c>
      <c r="U4208">
        <v>-2.2262569999999999E-2</v>
      </c>
      <c r="V4208">
        <v>-3.1419820000000001E-2</v>
      </c>
      <c r="W4208">
        <v>0.1797578</v>
      </c>
      <c r="X4208">
        <v>0.983209</v>
      </c>
      <c r="Y4208">
        <v>8.3998669999999998E-2</v>
      </c>
      <c r="Z4208">
        <v>5.0437540000000001E-3</v>
      </c>
      <c r="AA4208">
        <v>0.99645309999999998</v>
      </c>
      <c r="AB4208">
        <v>22</v>
      </c>
      <c r="AC4208">
        <v>-25.555499999999899</v>
      </c>
      <c r="AD4208">
        <v>-1.1084939625570001</v>
      </c>
      <c r="AE4208">
        <v>-0.16949999999999901</v>
      </c>
      <c r="AF4208">
        <v>2.1609915059193598</v>
      </c>
      <c r="AG4208">
        <v>-1.1084939625570001</v>
      </c>
      <c r="AH4208">
        <v>25.416369261718899</v>
      </c>
      <c r="AI4208">
        <v>92.488313969481098</v>
      </c>
      <c r="AJ4208">
        <v>85.140193948337995</v>
      </c>
      <c r="AK4208">
        <v>25.532145808798202</v>
      </c>
      <c r="AL4208">
        <v>79.644347386685794</v>
      </c>
      <c r="AM4208">
        <v>91.830343956812499</v>
      </c>
      <c r="AN4208">
        <v>1.0000000047153299</v>
      </c>
    </row>
    <row r="4209" spans="1:40" x14ac:dyDescent="0.25">
      <c r="A4209" t="str">
        <f>"20190304155144262"</f>
        <v>20190304155144262</v>
      </c>
      <c r="B4209" t="str">
        <f>"1551685904251343"</f>
        <v>1551685904251343</v>
      </c>
      <c r="C4209" t="s">
        <v>40</v>
      </c>
      <c r="D4209">
        <v>5.1051279999999997</v>
      </c>
      <c r="E4209">
        <v>0.54161130000000002</v>
      </c>
      <c r="F4209" t="s">
        <v>41</v>
      </c>
      <c r="G4209">
        <v>-239.4546</v>
      </c>
      <c r="H4209" s="1">
        <v>-6.5927859999999996E-7</v>
      </c>
      <c r="I4209">
        <v>141.28110000000001</v>
      </c>
      <c r="J4209">
        <v>-213.4212</v>
      </c>
      <c r="K4209">
        <v>1.108528</v>
      </c>
      <c r="L4209">
        <v>141.43819999999999</v>
      </c>
      <c r="M4209">
        <v>-0.99608560000000002</v>
      </c>
      <c r="N4209">
        <v>-1.379768E-2</v>
      </c>
      <c r="O4209">
        <v>-8.7311009999999994E-2</v>
      </c>
      <c r="P4209">
        <v>-0.97884939999999998</v>
      </c>
      <c r="Q4209">
        <v>0.16478709999999999</v>
      </c>
      <c r="R4209">
        <v>-0.1212394</v>
      </c>
      <c r="S4209">
        <v>-3.0854189999999999</v>
      </c>
      <c r="T4209">
        <v>-0.13024179999999999</v>
      </c>
      <c r="U4209">
        <v>-2.0324709999999999E-2</v>
      </c>
      <c r="V4209">
        <v>-3.4352349999999997E-2</v>
      </c>
      <c r="W4209">
        <v>0.178557299999999</v>
      </c>
      <c r="X4209">
        <v>0.98332969999999997</v>
      </c>
      <c r="Y4209">
        <v>8.0625089999999996E-2</v>
      </c>
      <c r="Z4209">
        <v>4.7319709999999997E-3</v>
      </c>
      <c r="AA4209">
        <v>0.99673319999999999</v>
      </c>
      <c r="AB4209">
        <v>22</v>
      </c>
      <c r="AC4209">
        <v>-26.0334</v>
      </c>
      <c r="AD4209">
        <v>-1.1085286592785999</v>
      </c>
      <c r="AE4209">
        <v>-0.157099999999985</v>
      </c>
      <c r="AF4209">
        <v>2.1128879497186199</v>
      </c>
      <c r="AG4209">
        <v>-1.1085286592785999</v>
      </c>
      <c r="AH4209">
        <v>25.900720003610399</v>
      </c>
      <c r="AI4209">
        <v>92.442610618430805</v>
      </c>
      <c r="AJ4209">
        <v>85.336342371616396</v>
      </c>
      <c r="AK4209">
        <v>26.010390769497</v>
      </c>
      <c r="AL4209">
        <v>79.714262598286595</v>
      </c>
      <c r="AM4209">
        <v>92.000798463009701</v>
      </c>
      <c r="AN4209">
        <v>1.0000000461179499</v>
      </c>
    </row>
    <row r="4210" spans="1:40" x14ac:dyDescent="0.25">
      <c r="A4210" t="str">
        <f>"20190304155144284"</f>
        <v>20190304155144284</v>
      </c>
      <c r="B4210" t="str">
        <f>"1551685904280623"</f>
        <v>1551685904280623</v>
      </c>
      <c r="C4210" t="s">
        <v>40</v>
      </c>
      <c r="D4210">
        <v>4.9687020000000004</v>
      </c>
      <c r="E4210">
        <v>0.54139999999999999</v>
      </c>
      <c r="F4210" t="s">
        <v>41</v>
      </c>
      <c r="G4210">
        <v>-239.36850000000001</v>
      </c>
      <c r="H4210" s="1">
        <v>-7.0260399999999996E-7</v>
      </c>
      <c r="I4210">
        <v>141.30510000000001</v>
      </c>
      <c r="J4210">
        <v>-213.63829999999999</v>
      </c>
      <c r="K4210">
        <v>1.1085700000000001</v>
      </c>
      <c r="L4210">
        <v>141.42359999999999</v>
      </c>
      <c r="M4210">
        <v>-0.99640830000000002</v>
      </c>
      <c r="N4210">
        <v>-1.3785250000000001E-2</v>
      </c>
      <c r="O4210">
        <v>-8.3550360000000004E-2</v>
      </c>
      <c r="P4210">
        <v>-0.9789892</v>
      </c>
      <c r="Q4210">
        <v>0.16470270000000001</v>
      </c>
      <c r="R4210">
        <v>-0.12022289999999999</v>
      </c>
      <c r="S4210">
        <v>-3.0850520000000001</v>
      </c>
      <c r="T4210">
        <v>-0.1318009</v>
      </c>
      <c r="U4210">
        <v>-1.580811E-2</v>
      </c>
      <c r="V4210">
        <v>-3.7068139999999999E-2</v>
      </c>
      <c r="W4210">
        <v>0.17846999999999999</v>
      </c>
      <c r="X4210">
        <v>0.98324690000000003</v>
      </c>
      <c r="Y4210">
        <v>7.8321799999999997E-2</v>
      </c>
      <c r="Z4210">
        <v>4.6244529999999997E-3</v>
      </c>
      <c r="AA4210">
        <v>0.99691739999999995</v>
      </c>
      <c r="AB4210">
        <v>22</v>
      </c>
      <c r="AC4210">
        <v>-25.7302</v>
      </c>
      <c r="AD4210">
        <v>-1.1085707026039999</v>
      </c>
      <c r="AE4210">
        <v>-0.11849999999998299</v>
      </c>
      <c r="AF4210">
        <v>2.02812130705236</v>
      </c>
      <c r="AG4210">
        <v>-1.1085707026039999</v>
      </c>
      <c r="AH4210">
        <v>25.602596096227401</v>
      </c>
      <c r="AI4210">
        <v>92.471577120090501</v>
      </c>
      <c r="AJ4210">
        <v>85.470746758391897</v>
      </c>
      <c r="AK4210">
        <v>25.706713751573702</v>
      </c>
      <c r="AL4210">
        <v>79.719345977562099</v>
      </c>
      <c r="AM4210">
        <v>92.159012804237705</v>
      </c>
      <c r="AN4210">
        <v>1.0000000271313301</v>
      </c>
    </row>
    <row r="4211" spans="1:40" x14ac:dyDescent="0.25">
      <c r="A4211" t="str">
        <f>"20190304155144305"</f>
        <v>20190304155144305</v>
      </c>
      <c r="B4211" t="str">
        <f>"1551685904301120"</f>
        <v>1551685904301120</v>
      </c>
      <c r="C4211" t="s">
        <v>40</v>
      </c>
      <c r="D4211">
        <v>5.008527</v>
      </c>
      <c r="E4211">
        <v>0.54120999999999997</v>
      </c>
      <c r="F4211" t="s">
        <v>41</v>
      </c>
      <c r="G4211">
        <v>-240.4529</v>
      </c>
      <c r="H4211" s="1">
        <v>-4.4214620000000002E-6</v>
      </c>
      <c r="I4211">
        <v>141.30500000000001</v>
      </c>
      <c r="J4211">
        <v>-213.8501</v>
      </c>
      <c r="K4211">
        <v>1.1086309999999999</v>
      </c>
      <c r="L4211">
        <v>141.41</v>
      </c>
      <c r="M4211">
        <v>-0.99670309999999995</v>
      </c>
      <c r="N4211">
        <v>-1.377368E-2</v>
      </c>
      <c r="O4211">
        <v>-7.9958479999999998E-2</v>
      </c>
      <c r="P4211">
        <v>-0.97908839999999997</v>
      </c>
      <c r="Q4211">
        <v>0.1646763</v>
      </c>
      <c r="R4211">
        <v>-0.1194476</v>
      </c>
      <c r="S4211">
        <v>-3.0841669999999999</v>
      </c>
      <c r="T4211">
        <v>-0.12750629999999999</v>
      </c>
      <c r="U4211">
        <v>-1.36261E-2</v>
      </c>
      <c r="V4211">
        <v>-3.9862080000000001E-2</v>
      </c>
      <c r="W4211">
        <v>0.1784405</v>
      </c>
      <c r="X4211">
        <v>0.98314290000000004</v>
      </c>
      <c r="Y4211">
        <v>7.5445239999999997E-2</v>
      </c>
      <c r="Z4211">
        <v>4.278212E-3</v>
      </c>
      <c r="AA4211">
        <v>0.99714080000000005</v>
      </c>
      <c r="AB4211">
        <v>22</v>
      </c>
      <c r="AC4211">
        <v>-26.602799999999998</v>
      </c>
      <c r="AD4211">
        <v>-1.108635421462</v>
      </c>
      <c r="AE4211">
        <v>-0.104999999999989</v>
      </c>
      <c r="AF4211">
        <v>2.0191507665152999</v>
      </c>
      <c r="AG4211">
        <v>-1.108635421462</v>
      </c>
      <c r="AH4211">
        <v>26.4800163650354</v>
      </c>
      <c r="AI4211">
        <v>92.390463565649398</v>
      </c>
      <c r="AJ4211">
        <v>85.639527703800397</v>
      </c>
      <c r="AK4211">
        <v>26.580017099471199</v>
      </c>
      <c r="AL4211">
        <v>79.721063283626094</v>
      </c>
      <c r="AM4211">
        <v>92.321817744273403</v>
      </c>
      <c r="AN4211">
        <v>0.99999997964129295</v>
      </c>
    </row>
    <row r="4212" spans="1:40" x14ac:dyDescent="0.25">
      <c r="A4212" t="str">
        <f>"20190304155144326"</f>
        <v>20190304155144326</v>
      </c>
      <c r="B4212" t="str">
        <f>"1551685904320640"</f>
        <v>1551685904320640</v>
      </c>
      <c r="C4212" t="s">
        <v>40</v>
      </c>
      <c r="D4212">
        <v>4.8921000000000001</v>
      </c>
      <c r="E4212">
        <v>0.54201350000000004</v>
      </c>
      <c r="F4212" t="s">
        <v>41</v>
      </c>
      <c r="G4212">
        <v>-241.0659</v>
      </c>
      <c r="H4212" s="1">
        <v>-4.2112530000000004E-6</v>
      </c>
      <c r="I4212">
        <v>141.2961</v>
      </c>
      <c r="J4212">
        <v>-214.05109999999999</v>
      </c>
      <c r="K4212">
        <v>1.1086860000000001</v>
      </c>
      <c r="L4212">
        <v>141.39779999999999</v>
      </c>
      <c r="M4212">
        <v>-0.99696450000000003</v>
      </c>
      <c r="N4212">
        <v>-1.376316E-2</v>
      </c>
      <c r="O4212">
        <v>-7.6632720000000001E-2</v>
      </c>
      <c r="P4212">
        <v>-0.97918170000000004</v>
      </c>
      <c r="Q4212">
        <v>0.164262299999999</v>
      </c>
      <c r="R4212">
        <v>-0.119253399999999</v>
      </c>
      <c r="S4212">
        <v>-3.0836489999999999</v>
      </c>
      <c r="T4212">
        <v>-0.12561230000000001</v>
      </c>
      <c r="U4212">
        <v>-1.2908940000000001E-2</v>
      </c>
      <c r="V4212">
        <v>-4.297517E-2</v>
      </c>
      <c r="W4212">
        <v>0.17802470000000001</v>
      </c>
      <c r="X4212">
        <v>0.98308709999999999</v>
      </c>
      <c r="Y4212">
        <v>7.2357359999999996E-2</v>
      </c>
      <c r="Z4212">
        <v>4.0339690000000001E-3</v>
      </c>
      <c r="AA4212">
        <v>0.9973706</v>
      </c>
      <c r="AB4212">
        <v>22</v>
      </c>
      <c r="AC4212">
        <v>-27.014800000000001</v>
      </c>
      <c r="AD4212">
        <v>-1.1086902112529999</v>
      </c>
      <c r="AE4212">
        <v>-0.101699999999993</v>
      </c>
      <c r="AF4212">
        <v>1.9657018384360301</v>
      </c>
      <c r="AG4212">
        <v>-1.1086902112529999</v>
      </c>
      <c r="AH4212">
        <v>26.8978361061803</v>
      </c>
      <c r="AI4212">
        <v>92.354043035351694</v>
      </c>
      <c r="AJ4212">
        <v>85.820237869160394</v>
      </c>
      <c r="AK4212">
        <v>26.992346413327901</v>
      </c>
      <c r="AL4212">
        <v>79.745274250498298</v>
      </c>
      <c r="AM4212">
        <v>92.503063271304597</v>
      </c>
      <c r="AN4212">
        <v>0.99999995261651298</v>
      </c>
    </row>
    <row r="4213" spans="1:40" x14ac:dyDescent="0.25">
      <c r="A4213" t="str">
        <f>"20190304155144350"</f>
        <v>20190304155144350</v>
      </c>
      <c r="B4213" t="str">
        <f>"1551685904341136"</f>
        <v>1551685904341136</v>
      </c>
      <c r="C4213" t="s">
        <v>40</v>
      </c>
      <c r="D4213">
        <v>3.5264899999999999</v>
      </c>
      <c r="E4213">
        <v>0.61924579999999996</v>
      </c>
      <c r="F4213" t="s">
        <v>41</v>
      </c>
      <c r="G4213">
        <v>-242.4487</v>
      </c>
      <c r="H4213" s="1">
        <v>-3.6821459999999999E-6</v>
      </c>
      <c r="I4213">
        <v>141.34649999999999</v>
      </c>
      <c r="J4213">
        <v>-214.28</v>
      </c>
      <c r="K4213">
        <v>1.1087499999999999</v>
      </c>
      <c r="L4213">
        <v>141.38470000000001</v>
      </c>
      <c r="M4213">
        <v>-0.99724020000000002</v>
      </c>
      <c r="N4213">
        <v>-1.375151E-2</v>
      </c>
      <c r="O4213">
        <v>-7.2956750000000001E-2</v>
      </c>
      <c r="P4213">
        <v>-0.97929180000000005</v>
      </c>
      <c r="Q4213">
        <v>0.16398270000000001</v>
      </c>
      <c r="R4213">
        <v>-0.1187319</v>
      </c>
      <c r="S4213">
        <v>-3.0832820000000001</v>
      </c>
      <c r="T4213">
        <v>-0.1203762</v>
      </c>
      <c r="U4213">
        <v>-5.5694580000000002E-3</v>
      </c>
      <c r="V4213">
        <v>-4.6111100000000002E-2</v>
      </c>
      <c r="W4213">
        <v>0.17774039999999999</v>
      </c>
      <c r="X4213">
        <v>0.98299650000000005</v>
      </c>
      <c r="Y4213">
        <v>7.1065569999999995E-2</v>
      </c>
      <c r="Z4213">
        <v>3.7171940000000001E-3</v>
      </c>
      <c r="AA4213">
        <v>0.99746469999999998</v>
      </c>
      <c r="AB4213">
        <v>22</v>
      </c>
      <c r="AC4213">
        <v>-28.168700000000001</v>
      </c>
      <c r="AD4213">
        <v>-1.108753682146</v>
      </c>
      <c r="AE4213">
        <v>-3.8200000000017498E-2</v>
      </c>
      <c r="AF4213">
        <v>2.0140727560406702</v>
      </c>
      <c r="AG4213">
        <v>-1.108753682146</v>
      </c>
      <c r="AH4213">
        <v>28.0529439178028</v>
      </c>
      <c r="AI4213">
        <v>92.257553272514997</v>
      </c>
      <c r="AJ4213">
        <v>85.893471859916303</v>
      </c>
      <c r="AK4213">
        <v>28.1469978194778</v>
      </c>
      <c r="AL4213">
        <v>79.761827938721098</v>
      </c>
      <c r="AM4213">
        <v>92.685702493458905</v>
      </c>
      <c r="AN4213">
        <v>1.0000000011738099</v>
      </c>
    </row>
    <row r="4214" spans="1:40" x14ac:dyDescent="0.25">
      <c r="A4214" t="str">
        <f>"20190304155144416"</f>
        <v>20190304155144416</v>
      </c>
      <c r="B4214" t="str">
        <f>"1551685904411407"</f>
        <v>1551685904411407</v>
      </c>
      <c r="C4214" t="s">
        <v>40</v>
      </c>
      <c r="D4214">
        <v>3.8305349999999998</v>
      </c>
      <c r="E4214">
        <v>0.61924579999999996</v>
      </c>
      <c r="F4214" t="s">
        <v>41</v>
      </c>
      <c r="G4214">
        <v>-221.32329999999999</v>
      </c>
      <c r="H4214" s="1">
        <v>-4.3802379999999998E-6</v>
      </c>
      <c r="I4214">
        <v>142.74260000000001</v>
      </c>
      <c r="J4214">
        <v>-214.91489999999999</v>
      </c>
      <c r="K4214">
        <v>1.108916</v>
      </c>
      <c r="L4214">
        <v>141.3518</v>
      </c>
      <c r="M4214">
        <v>-0.99789830000000002</v>
      </c>
      <c r="N4214">
        <v>-1.3722140000000001E-2</v>
      </c>
      <c r="O4214">
        <v>-6.3329549999999998E-2</v>
      </c>
      <c r="P4214">
        <v>-0.97958670000000003</v>
      </c>
      <c r="Q4214">
        <v>0.1632315</v>
      </c>
      <c r="R4214">
        <v>-0.11732679999999999</v>
      </c>
      <c r="S4214">
        <v>-3.22377</v>
      </c>
      <c r="T4214">
        <v>-0.5074862</v>
      </c>
      <c r="U4214">
        <v>0.62156679999999997</v>
      </c>
      <c r="V4214">
        <v>-5.4272929999999997E-2</v>
      </c>
      <c r="W4214">
        <v>0.17697270000000001</v>
      </c>
      <c r="X4214">
        <v>0.98271819999999999</v>
      </c>
      <c r="Y4214">
        <v>0.24729029999999999</v>
      </c>
      <c r="Z4214">
        <v>2.9868720000000001E-2</v>
      </c>
      <c r="AA4214">
        <v>0.96848089999999998</v>
      </c>
      <c r="AB4214">
        <v>21</v>
      </c>
      <c r="AC4214">
        <v>-6.4084000000000003</v>
      </c>
      <c r="AD4214">
        <v>-1.1089203802380001</v>
      </c>
      <c r="AE4214">
        <v>1.39080000000001</v>
      </c>
      <c r="AF4214">
        <v>1.74401428182222</v>
      </c>
      <c r="AG4214">
        <v>-1.1089203802380001</v>
      </c>
      <c r="AH4214">
        <v>6.1320904185024601</v>
      </c>
      <c r="AI4214">
        <v>99.867351612804796</v>
      </c>
      <c r="AJ4214">
        <v>74.123835105569597</v>
      </c>
      <c r="AK4214">
        <v>6.4709986188838498</v>
      </c>
      <c r="AL4214">
        <v>79.806522187743596</v>
      </c>
      <c r="AM4214">
        <v>93.161083313519995</v>
      </c>
      <c r="AN4214">
        <v>0.99999997404365704</v>
      </c>
    </row>
    <row r="4215" spans="1:40" x14ac:dyDescent="0.25">
      <c r="A4215" t="str">
        <f>"20190304155144439"</f>
        <v>20190304155144439</v>
      </c>
      <c r="B4215" t="str">
        <f>"1551685904430928"</f>
        <v>1551685904430928</v>
      </c>
      <c r="C4215" t="s">
        <v>40</v>
      </c>
      <c r="D4215">
        <v>4.9301959999999996</v>
      </c>
      <c r="E4215">
        <v>0.55704900000000002</v>
      </c>
      <c r="F4215" t="s">
        <v>51</v>
      </c>
      <c r="G4215">
        <v>-215.74029999999999</v>
      </c>
      <c r="H4215">
        <v>0.97812860000000001</v>
      </c>
      <c r="I4215">
        <v>141.512</v>
      </c>
      <c r="J4215">
        <v>-215.1345</v>
      </c>
      <c r="K4215">
        <v>1.1089690000000001</v>
      </c>
      <c r="L4215">
        <v>141.3416</v>
      </c>
      <c r="M4215">
        <v>-0.99809349999999997</v>
      </c>
      <c r="N4215">
        <v>-1.3713100000000001E-2</v>
      </c>
      <c r="O4215">
        <v>-6.0177359999999999E-2</v>
      </c>
      <c r="P4215">
        <v>-0.97953319999999999</v>
      </c>
      <c r="Q4215">
        <v>0.16378019999999999</v>
      </c>
      <c r="R4215">
        <v>-0.1170076</v>
      </c>
      <c r="S4215">
        <v>-3.2225190000000001</v>
      </c>
      <c r="T4215">
        <v>-0.51060760000000005</v>
      </c>
      <c r="U4215">
        <v>0.62553409999999998</v>
      </c>
      <c r="V4215">
        <v>-5.7088E-2</v>
      </c>
      <c r="W4215">
        <v>0.1775147</v>
      </c>
      <c r="X4215">
        <v>0.98246089999999997</v>
      </c>
      <c r="Y4215">
        <v>0.24545990000000001</v>
      </c>
      <c r="Z4215">
        <v>2.9447029999999999E-2</v>
      </c>
      <c r="AA4215">
        <v>0.96895940000000003</v>
      </c>
      <c r="AB4215">
        <v>21</v>
      </c>
      <c r="AC4215">
        <v>-0.60579999999998702</v>
      </c>
      <c r="AD4215">
        <v>-0.1308404</v>
      </c>
      <c r="AE4215">
        <v>0.1704</v>
      </c>
      <c r="AF4215">
        <v>0.19799140922815101</v>
      </c>
      <c r="AG4215">
        <v>-0.1308404</v>
      </c>
      <c r="AH4215">
        <v>0.56981526790978199</v>
      </c>
      <c r="AI4215">
        <v>102.237815862128</v>
      </c>
      <c r="AJ4215">
        <v>70.839400858137395</v>
      </c>
      <c r="AK4215">
        <v>0.61725946565719503</v>
      </c>
      <c r="AL4215">
        <v>79.774968179491196</v>
      </c>
      <c r="AM4215">
        <v>93.3255548042914</v>
      </c>
      <c r="AN4215">
        <v>0.99999996424444904</v>
      </c>
    </row>
    <row r="4216" spans="1:40" x14ac:dyDescent="0.25">
      <c r="A4216" t="str">
        <f>"20190304155144461"</f>
        <v>20190304155144461</v>
      </c>
      <c r="B4216" t="str">
        <f>"1551685904451424"</f>
        <v>1551685904451424</v>
      </c>
      <c r="C4216" t="s">
        <v>40</v>
      </c>
      <c r="D4216">
        <v>4.7619069999999999</v>
      </c>
      <c r="E4216">
        <v>0.553346</v>
      </c>
      <c r="F4216" t="s">
        <v>51</v>
      </c>
      <c r="G4216">
        <v>-215.92519999999999</v>
      </c>
      <c r="H4216">
        <v>0.991174</v>
      </c>
      <c r="I4216">
        <v>141.3749</v>
      </c>
      <c r="J4216">
        <v>-215.34970000000001</v>
      </c>
      <c r="K4216">
        <v>1.109029</v>
      </c>
      <c r="L4216">
        <v>141.3323</v>
      </c>
      <c r="M4216">
        <v>-0.99826970000000004</v>
      </c>
      <c r="N4216">
        <v>-1.3704279999999999E-2</v>
      </c>
      <c r="O4216">
        <v>-5.7181269999999999E-2</v>
      </c>
      <c r="P4216">
        <v>-0.9794003</v>
      </c>
      <c r="Q4216">
        <v>0.1644649</v>
      </c>
      <c r="R4216">
        <v>-0.11715830000000001</v>
      </c>
      <c r="S4216">
        <v>-3.157089</v>
      </c>
      <c r="T4216">
        <v>-0.47030480000000002</v>
      </c>
      <c r="U4216">
        <v>0.13212589999999999</v>
      </c>
      <c r="V4216">
        <v>-6.0222730000000002E-2</v>
      </c>
      <c r="W4216">
        <v>0.178191299999999</v>
      </c>
      <c r="X4216">
        <v>0.98215129999999995</v>
      </c>
      <c r="Y4216">
        <v>9.7192029999999999E-2</v>
      </c>
      <c r="Z4216">
        <v>1.555401E-2</v>
      </c>
      <c r="AA4216">
        <v>0.99514409999999998</v>
      </c>
      <c r="AB4216">
        <v>21</v>
      </c>
      <c r="AC4216">
        <v>-0.57549999999997603</v>
      </c>
      <c r="AD4216">
        <v>-0.117855</v>
      </c>
      <c r="AE4216">
        <v>4.2599999999992998E-2</v>
      </c>
      <c r="AF4216">
        <v>7.2420591066786194E-2</v>
      </c>
      <c r="AG4216">
        <v>-0.117855</v>
      </c>
      <c r="AH4216">
        <v>0.54921472067028099</v>
      </c>
      <c r="AI4216">
        <v>102.01041714222499</v>
      </c>
      <c r="AJ4216">
        <v>82.4881971649652</v>
      </c>
      <c r="AK4216">
        <v>0.566366800259688</v>
      </c>
      <c r="AL4216">
        <v>79.735574642565993</v>
      </c>
      <c r="AM4216">
        <v>93.508821490647605</v>
      </c>
      <c r="AN4216">
        <v>1.0000000463480101</v>
      </c>
    </row>
    <row r="4217" spans="1:40" x14ac:dyDescent="0.25">
      <c r="A4217" t="str">
        <f>"20190304155144507"</f>
        <v>20190304155144507</v>
      </c>
      <c r="B4217" t="str">
        <f>"1551685904501200"</f>
        <v>1551685904501200</v>
      </c>
      <c r="C4217" t="s">
        <v>40</v>
      </c>
      <c r="D4217">
        <v>4.9895209999999999</v>
      </c>
      <c r="E4217">
        <v>0.54849709999999996</v>
      </c>
      <c r="F4217" t="s">
        <v>51</v>
      </c>
      <c r="G4217">
        <v>-216.1345</v>
      </c>
      <c r="H4217">
        <v>1.0288299999999999</v>
      </c>
      <c r="I4217">
        <v>141.35679999999999</v>
      </c>
      <c r="J4217">
        <v>-215.78280000000001</v>
      </c>
      <c r="K4217">
        <v>1.1091629999999999</v>
      </c>
      <c r="L4217">
        <v>141.315</v>
      </c>
      <c r="M4217">
        <v>-0.99858329999999995</v>
      </c>
      <c r="N4217">
        <v>-1.368694E-2</v>
      </c>
      <c r="O4217">
        <v>-5.142323E-2</v>
      </c>
      <c r="P4217">
        <v>-0.97929449999999996</v>
      </c>
      <c r="Q4217">
        <v>0.1658521</v>
      </c>
      <c r="R4217">
        <v>-0.1160856</v>
      </c>
      <c r="S4217">
        <v>-3.1284640000000001</v>
      </c>
      <c r="T4217">
        <v>-0.31972060000000002</v>
      </c>
      <c r="U4217">
        <v>9.7763059999999999E-2</v>
      </c>
      <c r="V4217">
        <v>-6.4885239999999997E-2</v>
      </c>
      <c r="W4217">
        <v>0.1795523</v>
      </c>
      <c r="X4217">
        <v>0.98160619999999998</v>
      </c>
      <c r="Y4217">
        <v>8.191147E-2</v>
      </c>
      <c r="Z4217">
        <v>9.2735639999999998E-3</v>
      </c>
      <c r="AA4217">
        <v>0.9965965</v>
      </c>
      <c r="AB4217">
        <v>21</v>
      </c>
      <c r="AC4217">
        <v>-0.35169999999999302</v>
      </c>
      <c r="AD4217">
        <v>-8.0332999999999904E-2</v>
      </c>
      <c r="AE4217">
        <v>4.1799999999994897E-2</v>
      </c>
      <c r="AF4217">
        <v>5.6904423746421399E-2</v>
      </c>
      <c r="AG4217">
        <v>-8.0332999999999904E-2</v>
      </c>
      <c r="AH4217">
        <v>0.33200460100058798</v>
      </c>
      <c r="AI4217">
        <v>103.413678263587</v>
      </c>
      <c r="AJ4217">
        <v>80.274207033255706</v>
      </c>
      <c r="AK4217">
        <v>0.34629259220559699</v>
      </c>
      <c r="AL4217">
        <v>79.656315600156304</v>
      </c>
      <c r="AM4217">
        <v>93.781811869581006</v>
      </c>
      <c r="AN4217">
        <v>0.999999927341791</v>
      </c>
    </row>
    <row r="4218" spans="1:40" x14ac:dyDescent="0.25">
      <c r="A4218" t="str">
        <f>"20190304155144528"</f>
        <v>20190304155144528</v>
      </c>
      <c r="B4218" t="str">
        <f>"1551685904520720"</f>
        <v>1551685904520720</v>
      </c>
      <c r="C4218" t="s">
        <v>40</v>
      </c>
      <c r="D4218">
        <v>4.9946780000000004</v>
      </c>
      <c r="E4218">
        <v>0.5446396</v>
      </c>
      <c r="F4218" t="s">
        <v>41</v>
      </c>
      <c r="G4218">
        <v>-232.5069</v>
      </c>
      <c r="H4218" s="1">
        <v>-3.731593E-6</v>
      </c>
      <c r="I4218">
        <v>141.62610000000001</v>
      </c>
      <c r="J4218">
        <v>-215.98670000000001</v>
      </c>
      <c r="K4218">
        <v>1.1092310000000001</v>
      </c>
      <c r="L4218">
        <v>141.30760000000001</v>
      </c>
      <c r="M4218">
        <v>-0.99871220000000005</v>
      </c>
      <c r="N4218">
        <v>-1.3679200000000001E-2</v>
      </c>
      <c r="O4218">
        <v>-4.8855969999999999E-2</v>
      </c>
      <c r="P4218">
        <v>-0.97947249999999997</v>
      </c>
      <c r="Q4218">
        <v>0.1657132</v>
      </c>
      <c r="R4218">
        <v>-0.1147749</v>
      </c>
      <c r="S4218">
        <v>-3.1051639999999998</v>
      </c>
      <c r="T4218">
        <v>-0.20593929999999999</v>
      </c>
      <c r="U4218">
        <v>5.776978E-2</v>
      </c>
      <c r="V4218">
        <v>-6.6126500000000005E-2</v>
      </c>
      <c r="W4218">
        <v>0.1793989</v>
      </c>
      <c r="X4218">
        <v>0.98155150000000002</v>
      </c>
      <c r="Y4218">
        <v>6.7185449999999994E-2</v>
      </c>
      <c r="Z4218">
        <v>5.2534189999999996E-3</v>
      </c>
      <c r="AA4218">
        <v>0.99772669999999997</v>
      </c>
      <c r="AB4218">
        <v>21</v>
      </c>
      <c r="AC4218">
        <v>-16.5201999999999</v>
      </c>
      <c r="AD4218">
        <v>-1.10923473159299</v>
      </c>
      <c r="AE4218">
        <v>0.31850000000000001</v>
      </c>
      <c r="AF4218">
        <v>1.1202568541670099</v>
      </c>
      <c r="AG4218">
        <v>-1.10923473159299</v>
      </c>
      <c r="AH4218">
        <v>16.410947782029801</v>
      </c>
      <c r="AI4218">
        <v>93.857855070467394</v>
      </c>
      <c r="AJ4218">
        <v>86.094889199215402</v>
      </c>
      <c r="AK4218">
        <v>16.486497026766799</v>
      </c>
      <c r="AL4218">
        <v>79.665250741323305</v>
      </c>
      <c r="AM4218">
        <v>93.854156384469903</v>
      </c>
      <c r="AN4218">
        <v>1.0000000132378499</v>
      </c>
    </row>
    <row r="4219" spans="1:40" x14ac:dyDescent="0.25">
      <c r="A4219" t="str">
        <f>"20190304155144550"</f>
        <v>20190304155144550</v>
      </c>
      <c r="B4219" t="str">
        <f>"1551685904541216"</f>
        <v>1551685904541216</v>
      </c>
      <c r="C4219" t="s">
        <v>40</v>
      </c>
      <c r="D4219">
        <v>5.0190130000000002</v>
      </c>
      <c r="E4219">
        <v>0.54174219999999995</v>
      </c>
      <c r="F4219" t="s">
        <v>41</v>
      </c>
      <c r="G4219">
        <v>-234.90770000000001</v>
      </c>
      <c r="H4219" s="1">
        <v>-2.6664649999999999E-6</v>
      </c>
      <c r="I4219">
        <v>141.49379999999999</v>
      </c>
      <c r="J4219">
        <v>-216.20670000000001</v>
      </c>
      <c r="K4219">
        <v>1.1093059999999999</v>
      </c>
      <c r="L4219">
        <v>141.30009999999999</v>
      </c>
      <c r="M4219">
        <v>-0.99883849999999996</v>
      </c>
      <c r="N4219">
        <v>-1.367093E-2</v>
      </c>
      <c r="O4219">
        <v>-4.6204519999999999E-2</v>
      </c>
      <c r="P4219">
        <v>-0.97935320000000003</v>
      </c>
      <c r="Q4219">
        <v>0.16652059999999999</v>
      </c>
      <c r="R4219">
        <v>-0.1146219</v>
      </c>
      <c r="S4219">
        <v>-3.0971679999999999</v>
      </c>
      <c r="T4219">
        <v>-0.18157010000000001</v>
      </c>
      <c r="U4219">
        <v>3.048706E-2</v>
      </c>
      <c r="V4219">
        <v>-6.8620669999999995E-2</v>
      </c>
      <c r="W4219">
        <v>0.18019070000000001</v>
      </c>
      <c r="X4219">
        <v>0.98123519999999997</v>
      </c>
      <c r="Y4219">
        <v>5.5874199999999999E-2</v>
      </c>
      <c r="Z4219">
        <v>4.093083E-3</v>
      </c>
      <c r="AA4219">
        <v>0.99842940000000002</v>
      </c>
      <c r="AB4219">
        <v>21</v>
      </c>
      <c r="AC4219">
        <v>-18.701000000000001</v>
      </c>
      <c r="AD4219">
        <v>-1.10930866646499</v>
      </c>
      <c r="AE4219">
        <v>0.19370000000000601</v>
      </c>
      <c r="AF4219">
        <v>1.0539365029850001</v>
      </c>
      <c r="AG4219">
        <v>-1.10930866646499</v>
      </c>
      <c r="AH4219">
        <v>18.606609976298799</v>
      </c>
      <c r="AI4219">
        <v>93.4064347096419</v>
      </c>
      <c r="AJ4219">
        <v>86.758052337139205</v>
      </c>
      <c r="AK4219">
        <v>18.669421059045199</v>
      </c>
      <c r="AL4219">
        <v>79.619132278137499</v>
      </c>
      <c r="AM4219">
        <v>94.000349846631295</v>
      </c>
      <c r="AN4219">
        <v>1.0000000012183801</v>
      </c>
    </row>
    <row r="4220" spans="1:40" x14ac:dyDescent="0.25">
      <c r="A4220" t="str">
        <f>"20190304155144572"</f>
        <v>20190304155144572</v>
      </c>
      <c r="B4220" t="str">
        <f>"1551685904560747"</f>
        <v>1551685904560747</v>
      </c>
      <c r="C4220" t="s">
        <v>40</v>
      </c>
      <c r="D4220">
        <v>4.8978769999999896</v>
      </c>
      <c r="E4220">
        <v>0.53944049999999999</v>
      </c>
      <c r="F4220" t="s">
        <v>41</v>
      </c>
      <c r="G4220">
        <v>-236.91329999999999</v>
      </c>
      <c r="H4220" s="1">
        <v>-1.7671059999999999E-6</v>
      </c>
      <c r="I4220">
        <v>141.34739999999999</v>
      </c>
      <c r="J4220">
        <v>-216.40989999999999</v>
      </c>
      <c r="K4220">
        <v>1.1093759999999999</v>
      </c>
      <c r="L4220">
        <v>141.29349999999999</v>
      </c>
      <c r="M4220">
        <v>-0.99894519999999998</v>
      </c>
      <c r="N4220">
        <v>-1.366352E-2</v>
      </c>
      <c r="O4220">
        <v>-4.3840570000000002E-2</v>
      </c>
      <c r="P4220">
        <v>-0.97926829999999998</v>
      </c>
      <c r="Q4220">
        <v>0.16792599999999999</v>
      </c>
      <c r="R4220">
        <v>-0.11328969999999999</v>
      </c>
      <c r="S4220">
        <v>-3.0922390000000002</v>
      </c>
      <c r="T4220">
        <v>-0.1656591</v>
      </c>
      <c r="U4220">
        <v>7.0800780000000001E-3</v>
      </c>
      <c r="V4220">
        <v>-6.9642200000000001E-2</v>
      </c>
      <c r="W4220">
        <v>0.18157789999999999</v>
      </c>
      <c r="X4220">
        <v>0.98090739999999998</v>
      </c>
      <c r="Y4220">
        <v>4.6014279999999998E-2</v>
      </c>
      <c r="Z4220">
        <v>3.2938910000000002E-3</v>
      </c>
      <c r="AA4220">
        <v>0.99893529999999997</v>
      </c>
      <c r="AB4220">
        <v>21</v>
      </c>
      <c r="AC4220">
        <v>-20.503399999999999</v>
      </c>
      <c r="AD4220">
        <v>-1.1093777671059999</v>
      </c>
      <c r="AE4220">
        <v>5.3899999999998699E-2</v>
      </c>
      <c r="AF4220">
        <v>0.95003147572707602</v>
      </c>
      <c r="AG4220">
        <v>-1.1093777671059999</v>
      </c>
      <c r="AH4220">
        <v>20.421534855076299</v>
      </c>
      <c r="AI4220">
        <v>93.106122060020297</v>
      </c>
      <c r="AJ4220">
        <v>87.336459904802297</v>
      </c>
      <c r="AK4220">
        <v>20.473699340180701</v>
      </c>
      <c r="AL4220">
        <v>79.538317935457499</v>
      </c>
      <c r="AM4220">
        <v>94.061056013767796</v>
      </c>
      <c r="AN4220">
        <v>0.99999994858200303</v>
      </c>
    </row>
    <row r="4221" spans="1:40" x14ac:dyDescent="0.25">
      <c r="A4221" t="str">
        <f>"20190304155144594"</f>
        <v>20190304155144594</v>
      </c>
      <c r="B4221" t="str">
        <f>"1551685904590992"</f>
        <v>1551685904590992</v>
      </c>
      <c r="C4221" t="s">
        <v>40</v>
      </c>
      <c r="D4221">
        <v>4.9693430000000003</v>
      </c>
      <c r="E4221">
        <v>0.53739009999999998</v>
      </c>
      <c r="F4221" t="s">
        <v>41</v>
      </c>
      <c r="G4221">
        <v>-238.57239999999999</v>
      </c>
      <c r="H4221" s="1">
        <v>-1.024556E-6</v>
      </c>
      <c r="I4221">
        <v>141.23159999999999</v>
      </c>
      <c r="J4221">
        <v>-216.61619999999999</v>
      </c>
      <c r="K4221">
        <v>1.109429</v>
      </c>
      <c r="L4221">
        <v>141.28720000000001</v>
      </c>
      <c r="M4221">
        <v>-0.99904420000000005</v>
      </c>
      <c r="N4221">
        <v>-1.3656400000000001E-2</v>
      </c>
      <c r="O4221">
        <v>-4.1527090000000003E-2</v>
      </c>
      <c r="P4221">
        <v>-0.97931389999999996</v>
      </c>
      <c r="Q4221">
        <v>0.16864129999999899</v>
      </c>
      <c r="R4221">
        <v>-0.11182540000000001</v>
      </c>
      <c r="S4221">
        <v>-3.0890049999999998</v>
      </c>
      <c r="T4221">
        <v>-0.15462479999999901</v>
      </c>
      <c r="U4221">
        <v>-8.6212159999999993E-3</v>
      </c>
      <c r="V4221">
        <v>-7.0475300000000005E-2</v>
      </c>
      <c r="W4221">
        <v>0.18227750000000001</v>
      </c>
      <c r="X4221">
        <v>0.98071819999999998</v>
      </c>
      <c r="Y4221">
        <v>3.865321E-2</v>
      </c>
      <c r="Z4221">
        <v>2.7408799999999998E-3</v>
      </c>
      <c r="AA4221">
        <v>0.9992489</v>
      </c>
      <c r="AB4221">
        <v>21</v>
      </c>
      <c r="AC4221">
        <v>-21.9561999999999</v>
      </c>
      <c r="AD4221">
        <v>-1.109430024556</v>
      </c>
      <c r="AE4221">
        <v>-5.5600000000026698E-2</v>
      </c>
      <c r="AF4221">
        <v>0.85412920473860399</v>
      </c>
      <c r="AG4221">
        <v>-1.109430024556</v>
      </c>
      <c r="AH4221">
        <v>21.8836925313772</v>
      </c>
      <c r="AI4221">
        <v>92.900015438102102</v>
      </c>
      <c r="AJ4221">
        <v>87.764857509659507</v>
      </c>
      <c r="AK4221">
        <v>21.928437483907299</v>
      </c>
      <c r="AL4221">
        <v>79.4975542979506</v>
      </c>
      <c r="AM4221">
        <v>94.110261320709895</v>
      </c>
      <c r="AN4221">
        <v>1.0000000213637801</v>
      </c>
    </row>
    <row r="4222" spans="1:40" x14ac:dyDescent="0.25">
      <c r="A4222" t="str">
        <f>"20190304155144617"</f>
        <v>20190304155144617</v>
      </c>
      <c r="B4222" t="str">
        <f>"1551685904611488"</f>
        <v>1551685904611488</v>
      </c>
      <c r="C4222" t="s">
        <v>40</v>
      </c>
      <c r="D4222">
        <v>5.0002360000000001</v>
      </c>
      <c r="E4222">
        <v>0.5362633</v>
      </c>
      <c r="F4222" t="s">
        <v>41</v>
      </c>
      <c r="G4222">
        <v>-240.8553</v>
      </c>
      <c r="H4222" s="1">
        <v>-4.251536E-6</v>
      </c>
      <c r="I4222">
        <v>141.119</v>
      </c>
      <c r="J4222">
        <v>-216.83070000000001</v>
      </c>
      <c r="K4222">
        <v>1.1094850000000001</v>
      </c>
      <c r="L4222">
        <v>141.28110000000001</v>
      </c>
      <c r="M4222">
        <v>-0.99913750000000001</v>
      </c>
      <c r="N4222">
        <v>-1.36493E-2</v>
      </c>
      <c r="O4222">
        <v>-3.9215750000000001E-2</v>
      </c>
      <c r="P4222">
        <v>-0.9794988</v>
      </c>
      <c r="Q4222">
        <v>0.16861670000000001</v>
      </c>
      <c r="R4222">
        <v>-0.1102301</v>
      </c>
      <c r="S4222">
        <v>-3.0852360000000001</v>
      </c>
      <c r="T4222">
        <v>-0.1412128</v>
      </c>
      <c r="U4222">
        <v>-2.1408079999999999E-2</v>
      </c>
      <c r="V4222">
        <v>-7.1171659999999998E-2</v>
      </c>
      <c r="W4222">
        <v>0.18223809999999999</v>
      </c>
      <c r="X4222">
        <v>0.98067519999999997</v>
      </c>
      <c r="Y4222">
        <v>3.2221100000000003E-2</v>
      </c>
      <c r="Z4222">
        <v>2.2154010000000001E-3</v>
      </c>
      <c r="AA4222">
        <v>0.99947830000000004</v>
      </c>
      <c r="AB4222">
        <v>21</v>
      </c>
      <c r="AC4222">
        <v>-24.0245999999999</v>
      </c>
      <c r="AD4222">
        <v>-1.109489251536</v>
      </c>
      <c r="AE4222">
        <v>-0.16210000000000899</v>
      </c>
      <c r="AF4222">
        <v>0.77859478530540804</v>
      </c>
      <c r="AG4222">
        <v>-1.109489251536</v>
      </c>
      <c r="AH4222">
        <v>23.9613729189096</v>
      </c>
      <c r="AI4222">
        <v>92.649690332310698</v>
      </c>
      <c r="AJ4222">
        <v>88.138900271871094</v>
      </c>
      <c r="AK4222">
        <v>23.999678506139102</v>
      </c>
      <c r="AL4222">
        <v>79.499849863532006</v>
      </c>
      <c r="AM4222">
        <v>94.1509145441795</v>
      </c>
      <c r="AN4222">
        <v>0.99999998908690202</v>
      </c>
    </row>
    <row r="4223" spans="1:40" x14ac:dyDescent="0.25">
      <c r="A4223" t="str">
        <f>"20190304155144639"</f>
        <v>20190304155144639</v>
      </c>
      <c r="B4223" t="str">
        <f>"1551685904631009"</f>
        <v>1551685904631009</v>
      </c>
      <c r="C4223" t="s">
        <v>40</v>
      </c>
      <c r="D4223">
        <v>5.0086839999999997</v>
      </c>
      <c r="E4223">
        <v>0.53517650000000005</v>
      </c>
      <c r="F4223" t="s">
        <v>41</v>
      </c>
      <c r="G4223">
        <v>-242.39009999999999</v>
      </c>
      <c r="H4223" s="1">
        <v>-3.633769E-6</v>
      </c>
      <c r="I4223">
        <v>141.0701</v>
      </c>
      <c r="J4223">
        <v>-217.04390000000001</v>
      </c>
      <c r="K4223">
        <v>1.1095429999999999</v>
      </c>
      <c r="L4223">
        <v>141.27549999999999</v>
      </c>
      <c r="M4223">
        <v>-0.99922169999999999</v>
      </c>
      <c r="N4223">
        <v>-1.3642339999999999E-2</v>
      </c>
      <c r="O4223">
        <v>-3.7013860000000003E-2</v>
      </c>
      <c r="P4223">
        <v>-0.9797112</v>
      </c>
      <c r="Q4223">
        <v>0.1684099</v>
      </c>
      <c r="R4223">
        <v>-0.10864799999999999</v>
      </c>
      <c r="S4223">
        <v>-3.0829620000000002</v>
      </c>
      <c r="T4223">
        <v>-0.13382649999999999</v>
      </c>
      <c r="U4223">
        <v>-2.5451660000000001E-2</v>
      </c>
      <c r="V4223">
        <v>-7.1773199999999995E-2</v>
      </c>
      <c r="W4223">
        <v>0.18201719999999999</v>
      </c>
      <c r="X4223">
        <v>0.9806724</v>
      </c>
      <c r="Y4223">
        <v>2.8714480000000001E-2</v>
      </c>
      <c r="Z4223">
        <v>1.9196009999999999E-3</v>
      </c>
      <c r="AA4223">
        <v>0.99958579999999997</v>
      </c>
      <c r="AB4223">
        <v>21</v>
      </c>
      <c r="AC4223">
        <v>-25.3461999999999</v>
      </c>
      <c r="AD4223">
        <v>-1.1095466337690001</v>
      </c>
      <c r="AE4223">
        <v>-0.205399999999997</v>
      </c>
      <c r="AF4223">
        <v>0.73158686669369999</v>
      </c>
      <c r="AG4223">
        <v>-1.1095466337690001</v>
      </c>
      <c r="AH4223">
        <v>25.2879753194009</v>
      </c>
      <c r="AI4223">
        <v>92.511274798520404</v>
      </c>
      <c r="AJ4223">
        <v>88.3428823013098</v>
      </c>
      <c r="AK4223">
        <v>25.322875208606501</v>
      </c>
      <c r="AL4223">
        <v>79.512721951536193</v>
      </c>
      <c r="AM4223">
        <v>94.185885633115504</v>
      </c>
      <c r="AN4223">
        <v>1.0000000047279101</v>
      </c>
    </row>
    <row r="4224" spans="1:40" x14ac:dyDescent="0.25">
      <c r="A4224" t="str">
        <f>"20190304155144662"</f>
        <v>20190304155144662</v>
      </c>
      <c r="B4224" t="str">
        <f>"1551685904651507"</f>
        <v>1551685904651507</v>
      </c>
      <c r="C4224" t="s">
        <v>40</v>
      </c>
      <c r="D4224">
        <v>4.9489669999999997</v>
      </c>
      <c r="E4224">
        <v>0.53403940000000005</v>
      </c>
      <c r="F4224" t="s">
        <v>41</v>
      </c>
      <c r="G4224">
        <v>-243.50540000000001</v>
      </c>
      <c r="H4224" s="1">
        <v>-3.1427480000000001E-6</v>
      </c>
      <c r="I4224">
        <v>141.02289999999999</v>
      </c>
      <c r="J4224">
        <v>-217.25409999999999</v>
      </c>
      <c r="K4224">
        <v>1.109599</v>
      </c>
      <c r="L4224">
        <v>141.27019999999999</v>
      </c>
      <c r="M4224">
        <v>-0.99929679999999999</v>
      </c>
      <c r="N4224">
        <v>-1.3635619999999999E-2</v>
      </c>
      <c r="O4224">
        <v>-3.492895E-2</v>
      </c>
      <c r="P4224">
        <v>-0.97980840000000002</v>
      </c>
      <c r="Q4224">
        <v>0.16898529999999901</v>
      </c>
      <c r="R4224">
        <v>-0.106861999999999</v>
      </c>
      <c r="S4224">
        <v>-3.0810849999999999</v>
      </c>
      <c r="T4224">
        <v>-0.129192</v>
      </c>
      <c r="U4224">
        <v>-2.940369E-2</v>
      </c>
      <c r="V4224">
        <v>-7.2058800000000006E-2</v>
      </c>
      <c r="W4224">
        <v>0.1825756</v>
      </c>
      <c r="X4224">
        <v>0.98054770000000002</v>
      </c>
      <c r="Y4224">
        <v>2.5350089999999999E-2</v>
      </c>
      <c r="Z4224">
        <v>1.691566E-3</v>
      </c>
      <c r="AA4224">
        <v>0.99967720000000004</v>
      </c>
      <c r="AB4224">
        <v>21</v>
      </c>
      <c r="AC4224">
        <v>-26.251300000000001</v>
      </c>
      <c r="AD4224">
        <v>-1.1096021427480001</v>
      </c>
      <c r="AE4224">
        <v>-0.247299999999995</v>
      </c>
      <c r="AF4224">
        <v>0.66867194602993296</v>
      </c>
      <c r="AG4224">
        <v>-1.1096021427480001</v>
      </c>
      <c r="AH4224">
        <v>26.197116938164399</v>
      </c>
      <c r="AI4224">
        <v>92.424575167810502</v>
      </c>
      <c r="AJ4224">
        <v>88.537863401950204</v>
      </c>
      <c r="AK4224">
        <v>26.229130274533698</v>
      </c>
      <c r="AL4224">
        <v>79.480183296164498</v>
      </c>
      <c r="AM4224">
        <v>94.203015087447099</v>
      </c>
      <c r="AN4224">
        <v>1.0000000561740401</v>
      </c>
    </row>
    <row r="4225" spans="1:40" x14ac:dyDescent="0.25">
      <c r="A4225" t="str">
        <f>"20190304155144685"</f>
        <v>20190304155144685</v>
      </c>
      <c r="B4225" t="str">
        <f>"1551685904680784"</f>
        <v>1551685904680784</v>
      </c>
      <c r="C4225" t="s">
        <v>40</v>
      </c>
      <c r="D4225">
        <v>4.9708670000000001</v>
      </c>
      <c r="E4225">
        <v>0.53280469999999902</v>
      </c>
      <c r="F4225" t="s">
        <v>41</v>
      </c>
      <c r="G4225">
        <v>-244.4641</v>
      </c>
      <c r="H4225" s="1">
        <v>-2.7196219999999999E-6</v>
      </c>
      <c r="I4225">
        <v>140.97839999999999</v>
      </c>
      <c r="J4225">
        <v>-217.47659999999999</v>
      </c>
      <c r="K4225">
        <v>1.109653</v>
      </c>
      <c r="L4225">
        <v>141.26499999999999</v>
      </c>
      <c r="M4225">
        <v>-0.99936910000000001</v>
      </c>
      <c r="N4225">
        <v>-1.362875E-2</v>
      </c>
      <c r="O4225">
        <v>-3.2802810000000002E-2</v>
      </c>
      <c r="P4225">
        <v>-0.97997639999999997</v>
      </c>
      <c r="Q4225">
        <v>0.1689803</v>
      </c>
      <c r="R4225">
        <v>-0.1053196</v>
      </c>
      <c r="S4225">
        <v>-3.079895</v>
      </c>
      <c r="T4225">
        <v>-0.1255955</v>
      </c>
      <c r="U4225">
        <v>-3.3020019999999997E-2</v>
      </c>
      <c r="V4225">
        <v>-7.2627629999999999E-2</v>
      </c>
      <c r="W4225">
        <v>0.18255460000000001</v>
      </c>
      <c r="X4225">
        <v>0.98050959999999998</v>
      </c>
      <c r="Y4225">
        <v>2.2052680000000002E-2</v>
      </c>
      <c r="Z4225">
        <v>1.4896270000000001E-3</v>
      </c>
      <c r="AA4225">
        <v>0.99975570000000002</v>
      </c>
      <c r="AB4225">
        <v>21</v>
      </c>
      <c r="AC4225">
        <v>-26.987500000000001</v>
      </c>
      <c r="AD4225">
        <v>-1.109655719622</v>
      </c>
      <c r="AE4225">
        <v>-0.28659999999999197</v>
      </c>
      <c r="AF4225">
        <v>0.59789145954334499</v>
      </c>
      <c r="AG4225">
        <v>-1.109655719622</v>
      </c>
      <c r="AH4225">
        <v>26.9368405806756</v>
      </c>
      <c r="AI4225">
        <v>92.3583698418403</v>
      </c>
      <c r="AJ4225">
        <v>88.728468800290102</v>
      </c>
      <c r="AK4225">
        <v>26.966315849263001</v>
      </c>
      <c r="AL4225">
        <v>79.481406638207403</v>
      </c>
      <c r="AM4225">
        <v>94.236237262118095</v>
      </c>
      <c r="AN4225">
        <v>1.0000000151563599</v>
      </c>
    </row>
    <row r="4226" spans="1:40" x14ac:dyDescent="0.25">
      <c r="A4226" t="str">
        <f>"20190304155144709"</f>
        <v>20190304155144709</v>
      </c>
      <c r="B4226" t="str">
        <f>"1551685904701280"</f>
        <v>1551685904701280</v>
      </c>
      <c r="C4226" t="s">
        <v>40</v>
      </c>
      <c r="D4226">
        <v>5.0121960000000003</v>
      </c>
      <c r="E4226">
        <v>0.53200599999999998</v>
      </c>
      <c r="F4226" t="s">
        <v>41</v>
      </c>
      <c r="G4226">
        <v>-245.2705</v>
      </c>
      <c r="H4226" s="1">
        <v>-2.3571599999999998E-6</v>
      </c>
      <c r="I4226">
        <v>140.91630000000001</v>
      </c>
      <c r="J4226">
        <v>-217.6867</v>
      </c>
      <c r="K4226">
        <v>1.1096889999999999</v>
      </c>
      <c r="L4226">
        <v>141.26050000000001</v>
      </c>
      <c r="M4226">
        <v>-0.99943099999999996</v>
      </c>
      <c r="N4226">
        <v>-1.3615850000000001E-2</v>
      </c>
      <c r="O4226">
        <v>-3.086175E-2</v>
      </c>
      <c r="P4226">
        <v>-0.98030039999999996</v>
      </c>
      <c r="Q4226">
        <v>0.16810429999999901</v>
      </c>
      <c r="R4226">
        <v>-0.1036945</v>
      </c>
      <c r="S4226">
        <v>-3.0783230000000001</v>
      </c>
      <c r="T4226">
        <v>-0.1229002</v>
      </c>
      <c r="U4226">
        <v>-3.8620000000000002E-2</v>
      </c>
      <c r="V4226">
        <v>-7.2924639999999999E-2</v>
      </c>
      <c r="W4226">
        <v>0.1816604</v>
      </c>
      <c r="X4226">
        <v>0.98065360000000001</v>
      </c>
      <c r="Y4226">
        <v>1.8293139999999999E-2</v>
      </c>
      <c r="Z4226">
        <v>1.3008469999999999E-3</v>
      </c>
      <c r="AA4226">
        <v>0.99983180000000005</v>
      </c>
      <c r="AB4226">
        <v>21</v>
      </c>
      <c r="AC4226">
        <v>-27.5838</v>
      </c>
      <c r="AD4226">
        <v>-1.10969135716</v>
      </c>
      <c r="AE4226">
        <v>-0.34420000000000001</v>
      </c>
      <c r="AF4226">
        <v>0.50650755365197497</v>
      </c>
      <c r="AG4226">
        <v>-1.10969135716</v>
      </c>
      <c r="AH4226">
        <v>27.536722416931202</v>
      </c>
      <c r="AI4226">
        <v>92.307301152435301</v>
      </c>
      <c r="AJ4226">
        <v>88.946226336376498</v>
      </c>
      <c r="AK4226">
        <v>27.563727002660301</v>
      </c>
      <c r="AL4226">
        <v>79.533511567203007</v>
      </c>
      <c r="AM4226">
        <v>94.252875566391594</v>
      </c>
      <c r="AN4226">
        <v>0.99999999362012404</v>
      </c>
    </row>
    <row r="4227" spans="1:40" x14ac:dyDescent="0.25">
      <c r="A4227" t="str">
        <f>"20190304155144731"</f>
        <v>20190304155144731</v>
      </c>
      <c r="B4227" t="str">
        <f>"1551685904720800"</f>
        <v>1551685904720800</v>
      </c>
      <c r="C4227" t="s">
        <v>40</v>
      </c>
      <c r="D4227">
        <v>4.9201280000000001</v>
      </c>
      <c r="E4227">
        <v>0.53291119999999903</v>
      </c>
      <c r="F4227" t="s">
        <v>41</v>
      </c>
      <c r="G4227">
        <v>-245.1172</v>
      </c>
      <c r="H4227" s="1">
        <v>-2.4198839999999999E-6</v>
      </c>
      <c r="I4227">
        <v>140.90479999999999</v>
      </c>
      <c r="J4227">
        <v>-217.9041</v>
      </c>
      <c r="K4227">
        <v>1.10971</v>
      </c>
      <c r="L4227">
        <v>141.2561</v>
      </c>
      <c r="M4227">
        <v>-0.99948979999999998</v>
      </c>
      <c r="N4227">
        <v>-1.3576360000000001E-2</v>
      </c>
      <c r="O4227">
        <v>-2.8911639999999999E-2</v>
      </c>
      <c r="P4227">
        <v>-0.98057329999999998</v>
      </c>
      <c r="Q4227">
        <v>0.16715720000000001</v>
      </c>
      <c r="R4227">
        <v>-0.1026381</v>
      </c>
      <c r="S4227">
        <v>-3.0774539999999999</v>
      </c>
      <c r="T4227">
        <v>-0.12449780000000001</v>
      </c>
      <c r="U4227">
        <v>-3.9901730000000003E-2</v>
      </c>
      <c r="V4227">
        <v>-7.3794449999999998E-2</v>
      </c>
      <c r="W4227">
        <v>0.18067330000000001</v>
      </c>
      <c r="X4227">
        <v>0.9807709</v>
      </c>
      <c r="Y4227">
        <v>1.5924730000000002E-2</v>
      </c>
      <c r="Z4227">
        <v>1.206581E-3</v>
      </c>
      <c r="AA4227">
        <v>0.99987239999999999</v>
      </c>
      <c r="AB4227">
        <v>21</v>
      </c>
      <c r="AC4227">
        <v>-27.213100000000001</v>
      </c>
      <c r="AD4227">
        <v>-1.109712419884</v>
      </c>
      <c r="AE4227">
        <v>-0.35130000000000899</v>
      </c>
      <c r="AF4227">
        <v>0.43497153392260002</v>
      </c>
      <c r="AG4227">
        <v>-1.109712419884</v>
      </c>
      <c r="AH4227">
        <v>27.166711772274301</v>
      </c>
      <c r="AI4227">
        <v>92.338832006108703</v>
      </c>
      <c r="AJ4227">
        <v>89.082704451641405</v>
      </c>
      <c r="AK4227">
        <v>27.192846309424699</v>
      </c>
      <c r="AL4227">
        <v>79.591020034726895</v>
      </c>
      <c r="AM4227">
        <v>94.302899620925103</v>
      </c>
      <c r="AN4227">
        <v>1.00000001023525</v>
      </c>
    </row>
    <row r="4228" spans="1:40" x14ac:dyDescent="0.25">
      <c r="A4228" t="str">
        <f>"20190304155144751"</f>
        <v>20190304155144751</v>
      </c>
      <c r="B4228" t="str">
        <f>"1551685904741296"</f>
        <v>1551685904741296</v>
      </c>
      <c r="C4228" t="s">
        <v>40</v>
      </c>
      <c r="D4228">
        <v>4.8870079999999998</v>
      </c>
      <c r="E4228">
        <v>0.5337691</v>
      </c>
      <c r="F4228" t="s">
        <v>41</v>
      </c>
      <c r="G4228">
        <v>-247.4358</v>
      </c>
      <c r="H4228" s="1">
        <v>-1.4432199999999999E-6</v>
      </c>
      <c r="I4228">
        <v>140.97239999999999</v>
      </c>
      <c r="J4228">
        <v>-218.09020000000001</v>
      </c>
      <c r="K4228">
        <v>1.10971</v>
      </c>
      <c r="L4228">
        <v>141.2527</v>
      </c>
      <c r="M4228">
        <v>-0.99953650000000005</v>
      </c>
      <c r="N4228">
        <v>-1.352973E-2</v>
      </c>
      <c r="O4228">
        <v>-2.727011E-2</v>
      </c>
      <c r="P4228">
        <v>-0.98065809999999998</v>
      </c>
      <c r="Q4228">
        <v>0.16704829999999901</v>
      </c>
      <c r="R4228">
        <v>-0.10200339999999999</v>
      </c>
      <c r="S4228">
        <v>-3.0760649999999998</v>
      </c>
      <c r="T4228">
        <v>-0.11558930000000001</v>
      </c>
      <c r="U4228">
        <v>-2.9541020000000001E-2</v>
      </c>
      <c r="V4228">
        <v>-7.4777759999999999E-2</v>
      </c>
      <c r="W4228">
        <v>0.1805176</v>
      </c>
      <c r="X4228">
        <v>0.98072510000000002</v>
      </c>
      <c r="Y4228">
        <v>1.7647050000000001E-2</v>
      </c>
      <c r="Z4228">
        <v>1.106168E-3</v>
      </c>
      <c r="AA4228">
        <v>0.9998437</v>
      </c>
      <c r="AB4228">
        <v>21</v>
      </c>
      <c r="AC4228">
        <v>-29.345599999999902</v>
      </c>
      <c r="AD4228">
        <v>-1.1097114432199999</v>
      </c>
      <c r="AE4228">
        <v>-0.28030000000001098</v>
      </c>
      <c r="AF4228">
        <v>0.51939262600666303</v>
      </c>
      <c r="AG4228">
        <v>-1.1097114432199999</v>
      </c>
      <c r="AH4228">
        <v>29.300433310428499</v>
      </c>
      <c r="AI4228">
        <v>92.168617577965094</v>
      </c>
      <c r="AJ4228">
        <v>88.984455669129105</v>
      </c>
      <c r="AK4228">
        <v>29.326039970750099</v>
      </c>
      <c r="AL4228">
        <v>79.600090220564198</v>
      </c>
      <c r="AM4228">
        <v>94.360218882598701</v>
      </c>
      <c r="AN4228">
        <v>1.0000000195351899</v>
      </c>
    </row>
    <row r="4229" spans="1:40" x14ac:dyDescent="0.25">
      <c r="A4229" t="str">
        <f>"20190304155144773"</f>
        <v>20190304155144773</v>
      </c>
      <c r="B4229" t="str">
        <f>"1551685904771552"</f>
        <v>1551685904771552</v>
      </c>
      <c r="C4229" t="s">
        <v>40</v>
      </c>
      <c r="D4229">
        <v>5.0361640000000003</v>
      </c>
      <c r="E4229">
        <v>0.53349480000000005</v>
      </c>
      <c r="F4229" t="s">
        <v>41</v>
      </c>
      <c r="G4229">
        <v>-250.37209999999999</v>
      </c>
      <c r="H4229" s="1">
        <v>-4.4014949999999998E-6</v>
      </c>
      <c r="I4229">
        <v>141.03749999999999</v>
      </c>
      <c r="J4229">
        <v>-218.3047</v>
      </c>
      <c r="K4229">
        <v>1.1097030000000001</v>
      </c>
      <c r="L4229">
        <v>141.2491</v>
      </c>
      <c r="M4229">
        <v>-0.99958659999999999</v>
      </c>
      <c r="N4229">
        <v>-1.3471520000000001E-2</v>
      </c>
      <c r="O4229">
        <v>-2.5399020000000001E-2</v>
      </c>
      <c r="P4229">
        <v>-0.98073600000000005</v>
      </c>
      <c r="Q4229">
        <v>0.1673201</v>
      </c>
      <c r="R4229">
        <v>-0.1008011</v>
      </c>
      <c r="S4229">
        <v>-3.075043</v>
      </c>
      <c r="T4229">
        <v>-0.10570690000000001</v>
      </c>
      <c r="U4229">
        <v>-2.0492549999999998E-2</v>
      </c>
      <c r="V4229">
        <v>-7.541399E-2</v>
      </c>
      <c r="W4229">
        <v>0.1807329</v>
      </c>
      <c r="X4229">
        <v>0.98063670000000003</v>
      </c>
      <c r="Y4229">
        <v>1.8717979999999999E-2</v>
      </c>
      <c r="Z4229">
        <v>9.7836819999999993E-4</v>
      </c>
      <c r="AA4229">
        <v>0.9998243</v>
      </c>
      <c r="AB4229">
        <v>21</v>
      </c>
      <c r="AC4229">
        <v>-32.0673999999999</v>
      </c>
      <c r="AD4229">
        <v>-1.1097074014949999</v>
      </c>
      <c r="AE4229">
        <v>-0.21160000000000401</v>
      </c>
      <c r="AF4229">
        <v>0.60230149408458999</v>
      </c>
      <c r="AG4229">
        <v>-1.1097074014949999</v>
      </c>
      <c r="AH4229">
        <v>32.024079472778901</v>
      </c>
      <c r="AI4229">
        <v>91.984284695938001</v>
      </c>
      <c r="AJ4229">
        <v>88.922521239757103</v>
      </c>
      <c r="AK4229">
        <v>32.048960727074501</v>
      </c>
      <c r="AL4229">
        <v>79.587547880668893</v>
      </c>
      <c r="AM4229">
        <v>94.397566783940604</v>
      </c>
      <c r="AN4229">
        <v>0.99999999420851005</v>
      </c>
    </row>
    <row r="4230" spans="1:40" x14ac:dyDescent="0.25">
      <c r="A4230" t="str">
        <f>"20190304155144795"</f>
        <v>20190304155144795</v>
      </c>
      <c r="B4230" t="str">
        <f>"1551685904791072"</f>
        <v>1551685904791072</v>
      </c>
      <c r="C4230" t="s">
        <v>40</v>
      </c>
      <c r="D4230">
        <v>5.0289789999999996</v>
      </c>
      <c r="E4230">
        <v>0.53301860000000001</v>
      </c>
      <c r="F4230" t="s">
        <v>41</v>
      </c>
      <c r="G4230">
        <v>-252.7894</v>
      </c>
      <c r="H4230" s="1">
        <v>-3.454793E-6</v>
      </c>
      <c r="I4230">
        <v>141.0412</v>
      </c>
      <c r="J4230">
        <v>-218.50659999999999</v>
      </c>
      <c r="K4230">
        <v>1.1096919999999999</v>
      </c>
      <c r="L4230">
        <v>141.24610000000001</v>
      </c>
      <c r="M4230">
        <v>-0.99963060000000004</v>
      </c>
      <c r="N4230">
        <v>-1.341467E-2</v>
      </c>
      <c r="O4230">
        <v>-2.3640609999999999E-2</v>
      </c>
      <c r="P4230">
        <v>-0.98078480000000001</v>
      </c>
      <c r="Q4230">
        <v>0.16761870000000001</v>
      </c>
      <c r="R4230">
        <v>-9.9824780000000002E-2</v>
      </c>
      <c r="S4230">
        <v>-3.0739139999999998</v>
      </c>
      <c r="T4230">
        <v>-9.8917720000000001E-2</v>
      </c>
      <c r="U4230">
        <v>-1.852417E-2</v>
      </c>
      <c r="V4230">
        <v>-7.616241E-2</v>
      </c>
      <c r="W4230">
        <v>0.18097669999999999</v>
      </c>
      <c r="X4230">
        <v>0.98053389999999996</v>
      </c>
      <c r="Y4230">
        <v>1.760078E-2</v>
      </c>
      <c r="Z4230">
        <v>8.4457830000000001E-4</v>
      </c>
      <c r="AA4230">
        <v>0.99984470000000003</v>
      </c>
      <c r="AB4230">
        <v>21</v>
      </c>
      <c r="AC4230">
        <v>-34.282800000000002</v>
      </c>
      <c r="AD4230">
        <v>-1.10969545479299</v>
      </c>
      <c r="AE4230">
        <v>-0.20490000000000899</v>
      </c>
      <c r="AF4230">
        <v>0.60506251683922496</v>
      </c>
      <c r="AG4230">
        <v>-1.10969545479299</v>
      </c>
      <c r="AH4230">
        <v>34.242185623992597</v>
      </c>
      <c r="AI4230">
        <v>91.855860176899697</v>
      </c>
      <c r="AJ4230">
        <v>88.987683744611303</v>
      </c>
      <c r="AK4230">
        <v>34.265504533855001</v>
      </c>
      <c r="AL4230">
        <v>79.573345062209597</v>
      </c>
      <c r="AM4230">
        <v>94.4414989136869</v>
      </c>
      <c r="AN4230">
        <v>1.00000000384455</v>
      </c>
    </row>
    <row r="4231" spans="1:40" x14ac:dyDescent="0.25">
      <c r="A4231" t="str">
        <f>"20190304155144819"</f>
        <v>20190304155144819</v>
      </c>
      <c r="B4231" t="str">
        <f>"1551685904811568"</f>
        <v>1551685904811568</v>
      </c>
      <c r="C4231" t="s">
        <v>40</v>
      </c>
      <c r="D4231">
        <v>5.0366400000000002</v>
      </c>
      <c r="E4231">
        <v>0.53265469999999904</v>
      </c>
      <c r="F4231" t="s">
        <v>41</v>
      </c>
      <c r="G4231">
        <v>-253.8175</v>
      </c>
      <c r="H4231" s="1">
        <v>-3.0094879999999998E-6</v>
      </c>
      <c r="I4231">
        <v>141.02529999999999</v>
      </c>
      <c r="J4231">
        <v>-218.7303</v>
      </c>
      <c r="K4231">
        <v>1.109675</v>
      </c>
      <c r="L4231">
        <v>141.2431</v>
      </c>
      <c r="M4231">
        <v>-0.9996758</v>
      </c>
      <c r="N4231">
        <v>-1.3351419999999999E-2</v>
      </c>
      <c r="O4231">
        <v>-2.1681849999999999E-2</v>
      </c>
      <c r="P4231">
        <v>-0.98086499999999999</v>
      </c>
      <c r="Q4231">
        <v>0.16786789999999999</v>
      </c>
      <c r="R4231">
        <v>-9.8613220000000001E-2</v>
      </c>
      <c r="S4231">
        <v>-3.073318</v>
      </c>
      <c r="T4231">
        <v>-9.6583489999999994E-2</v>
      </c>
      <c r="U4231">
        <v>-1.921082E-2</v>
      </c>
      <c r="V4231">
        <v>-7.6869870000000007E-2</v>
      </c>
      <c r="W4231">
        <v>0.18116660000000001</v>
      </c>
      <c r="X4231">
        <v>0.98044359999999997</v>
      </c>
      <c r="Y4231">
        <v>1.541973E-2</v>
      </c>
      <c r="Z4231">
        <v>7.3689380000000002E-4</v>
      </c>
      <c r="AA4231">
        <v>0.99988089999999996</v>
      </c>
      <c r="AB4231">
        <v>21</v>
      </c>
      <c r="AC4231">
        <v>-35.087200000000003</v>
      </c>
      <c r="AD4231">
        <v>-1.1096780094880001</v>
      </c>
      <c r="AE4231">
        <v>-0.21780000000001101</v>
      </c>
      <c r="AF4231">
        <v>0.54253177459461499</v>
      </c>
      <c r="AG4231">
        <v>-1.1096780094880001</v>
      </c>
      <c r="AH4231">
        <v>35.048617937053997</v>
      </c>
      <c r="AI4231">
        <v>91.813224889316302</v>
      </c>
      <c r="AJ4231">
        <v>89.113166214241403</v>
      </c>
      <c r="AK4231">
        <v>35.0703770340264</v>
      </c>
      <c r="AL4231">
        <v>79.562281498976603</v>
      </c>
      <c r="AM4231">
        <v>94.482999054702603</v>
      </c>
      <c r="AN4231">
        <v>0.99999998332516804</v>
      </c>
    </row>
    <row r="4232" spans="1:40" x14ac:dyDescent="0.25">
      <c r="A4232" t="str">
        <f>"20190304155144840"</f>
        <v>20190304155144840</v>
      </c>
      <c r="B4232" t="str">
        <f>"1551685904831088"</f>
        <v>1551685904831088</v>
      </c>
      <c r="C4232" t="s">
        <v>40</v>
      </c>
      <c r="D4232">
        <v>5.017722</v>
      </c>
      <c r="E4232">
        <v>0.53227340000000001</v>
      </c>
      <c r="F4232" t="s">
        <v>41</v>
      </c>
      <c r="G4232">
        <v>-254.7705</v>
      </c>
      <c r="H4232" s="1">
        <v>-2.6007599999999902E-6</v>
      </c>
      <c r="I4232">
        <v>141.0256</v>
      </c>
      <c r="J4232">
        <v>-218.9358</v>
      </c>
      <c r="K4232">
        <v>1.1096569999999999</v>
      </c>
      <c r="L4232">
        <v>141.24080000000001</v>
      </c>
      <c r="M4232">
        <v>-0.99971429999999994</v>
      </c>
      <c r="N4232">
        <v>-1.3296240000000001E-2</v>
      </c>
      <c r="O4232">
        <v>-1.9867030000000001E-2</v>
      </c>
      <c r="P4232">
        <v>-0.98097979999999996</v>
      </c>
      <c r="Q4232">
        <v>0.16758719999999999</v>
      </c>
      <c r="R4232">
        <v>-9.7946759999999994E-2</v>
      </c>
      <c r="S4232">
        <v>-3.072845</v>
      </c>
      <c r="T4232">
        <v>-9.4613080000000002E-2</v>
      </c>
      <c r="U4232">
        <v>-1.8539429999999999E-2</v>
      </c>
      <c r="V4232">
        <v>-7.7981700000000001E-2</v>
      </c>
      <c r="W4232">
        <v>0.18083560000000001</v>
      </c>
      <c r="X4232">
        <v>0.98041699999999998</v>
      </c>
      <c r="Y4232">
        <v>1.3823999999999999E-2</v>
      </c>
      <c r="Z4232">
        <v>6.5207769999999995E-4</v>
      </c>
      <c r="AA4232">
        <v>0.99990420000000002</v>
      </c>
      <c r="AB4232">
        <v>21</v>
      </c>
      <c r="AC4232">
        <v>-35.834699999999998</v>
      </c>
      <c r="AD4232">
        <v>-1.1096596007599999</v>
      </c>
      <c r="AE4232">
        <v>-0.21520000000000999</v>
      </c>
      <c r="AF4232">
        <v>0.49635848029887297</v>
      </c>
      <c r="AG4232">
        <v>-1.1096596007599999</v>
      </c>
      <c r="AH4232">
        <v>35.797576902311597</v>
      </c>
      <c r="AI4232">
        <v>91.775325595342807</v>
      </c>
      <c r="AJ4232">
        <v>89.205604787713497</v>
      </c>
      <c r="AK4232">
        <v>35.818210846543401</v>
      </c>
      <c r="AL4232">
        <v>79.581565893559201</v>
      </c>
      <c r="AM4232">
        <v>94.547693048510894</v>
      </c>
      <c r="AN4232">
        <v>1.0000000768256201</v>
      </c>
    </row>
    <row r="4233" spans="1:40" x14ac:dyDescent="0.25">
      <c r="A4233" t="str">
        <f>"20190304155144863"</f>
        <v>20190304155144863</v>
      </c>
      <c r="B4233" t="str">
        <f>"1551685904861344"</f>
        <v>1551685904861344</v>
      </c>
      <c r="C4233" t="s">
        <v>40</v>
      </c>
      <c r="D4233">
        <v>4.9351719999999997</v>
      </c>
      <c r="E4233">
        <v>0.53171659999999998</v>
      </c>
      <c r="F4233" t="s">
        <v>41</v>
      </c>
      <c r="G4233">
        <v>-255.0027</v>
      </c>
      <c r="H4233" s="1">
        <v>-2.4963640000000002E-6</v>
      </c>
      <c r="I4233">
        <v>141.0077</v>
      </c>
      <c r="J4233">
        <v>-219.14359999999999</v>
      </c>
      <c r="K4233">
        <v>1.1096459999999999</v>
      </c>
      <c r="L4233">
        <v>141.2389</v>
      </c>
      <c r="M4233">
        <v>-0.99975000000000003</v>
      </c>
      <c r="N4233">
        <v>-1.324495E-2</v>
      </c>
      <c r="O4233">
        <v>-1.8017430000000001E-2</v>
      </c>
      <c r="P4233">
        <v>-0.98105419999999999</v>
      </c>
      <c r="Q4233">
        <v>0.1674426</v>
      </c>
      <c r="R4233">
        <v>-9.7446539999999998E-2</v>
      </c>
      <c r="S4233">
        <v>-3.0723569999999998</v>
      </c>
      <c r="T4233">
        <v>-9.4526289999999999E-2</v>
      </c>
      <c r="U4233">
        <v>-1.985168E-2</v>
      </c>
      <c r="V4233">
        <v>-7.9295340000000006E-2</v>
      </c>
      <c r="W4233">
        <v>0.18064469999999999</v>
      </c>
      <c r="X4233">
        <v>0.98034670000000002</v>
      </c>
      <c r="Y4233">
        <v>1.154785E-2</v>
      </c>
      <c r="Z4233">
        <v>5.6964669999999995E-4</v>
      </c>
      <c r="AA4233">
        <v>0.99993319999999997</v>
      </c>
      <c r="AB4233">
        <v>21</v>
      </c>
      <c r="AC4233">
        <v>-35.859099999999998</v>
      </c>
      <c r="AD4233">
        <v>-1.1096484963640001</v>
      </c>
      <c r="AE4233">
        <v>-0.23120000000000099</v>
      </c>
      <c r="AF4233">
        <v>0.41458602092749203</v>
      </c>
      <c r="AG4233">
        <v>-1.1096484963640001</v>
      </c>
      <c r="AH4233">
        <v>35.823142208496101</v>
      </c>
      <c r="AI4233">
        <v>91.774093386955897</v>
      </c>
      <c r="AJ4233">
        <v>89.336937874590106</v>
      </c>
      <c r="AK4233">
        <v>35.842721981517599</v>
      </c>
      <c r="AL4233">
        <v>79.592685530789296</v>
      </c>
      <c r="AM4233">
        <v>94.624301843663204</v>
      </c>
      <c r="AN4233">
        <v>0.99999995539234598</v>
      </c>
    </row>
    <row r="4234" spans="1:40" x14ac:dyDescent="0.25">
      <c r="A4234" t="str">
        <f>"20190304155144885"</f>
        <v>20190304155144885</v>
      </c>
      <c r="B4234" t="str">
        <f>"1551685904880864"</f>
        <v>1551685904880864</v>
      </c>
      <c r="C4234" t="s">
        <v>40</v>
      </c>
      <c r="D4234">
        <v>4.9505600000000003</v>
      </c>
      <c r="E4234">
        <v>0.53136229999999995</v>
      </c>
      <c r="F4234" t="s">
        <v>41</v>
      </c>
      <c r="G4234">
        <v>-255.46459999999999</v>
      </c>
      <c r="H4234" s="1">
        <v>-2.287512E-6</v>
      </c>
      <c r="I4234">
        <v>140.9675</v>
      </c>
      <c r="J4234">
        <v>-219.35470000000001</v>
      </c>
      <c r="K4234">
        <v>1.109634</v>
      </c>
      <c r="L4234">
        <v>141.2373</v>
      </c>
      <c r="M4234">
        <v>-0.99978299999999998</v>
      </c>
      <c r="N4234">
        <v>-1.319742E-2</v>
      </c>
      <c r="O4234">
        <v>-1.6124360000000001E-2</v>
      </c>
      <c r="P4234">
        <v>-0.98111859999999995</v>
      </c>
      <c r="Q4234">
        <v>0.1675104</v>
      </c>
      <c r="R4234">
        <v>-9.6679550000000003E-2</v>
      </c>
      <c r="S4234">
        <v>-3.0716860000000001</v>
      </c>
      <c r="T4234">
        <v>-9.3843460000000004E-2</v>
      </c>
      <c r="U4234">
        <v>-2.2949219999999999E-2</v>
      </c>
      <c r="V4234">
        <v>-8.0384579999999997E-2</v>
      </c>
      <c r="W4234">
        <v>0.1806691</v>
      </c>
      <c r="X4234">
        <v>0.9802535</v>
      </c>
      <c r="Y4234">
        <v>8.6470790000000002E-3</v>
      </c>
      <c r="Z4234">
        <v>4.6882230000000003E-4</v>
      </c>
      <c r="AA4234">
        <v>0.99996249999999998</v>
      </c>
      <c r="AB4234">
        <v>21</v>
      </c>
      <c r="AC4234">
        <v>-36.109899999999897</v>
      </c>
      <c r="AD4234">
        <v>-1.1096362875120001</v>
      </c>
      <c r="AE4234">
        <v>-0.26980000000000298</v>
      </c>
      <c r="AF4234">
        <v>0.31223992804575201</v>
      </c>
      <c r="AG4234">
        <v>-1.1096362875120001</v>
      </c>
      <c r="AH4234">
        <v>36.075491326305396</v>
      </c>
      <c r="AI4234">
        <v>91.761723982749601</v>
      </c>
      <c r="AJ4234">
        <v>89.504107007059801</v>
      </c>
      <c r="AK4234">
        <v>36.093903375744297</v>
      </c>
      <c r="AL4234">
        <v>79.591264220226805</v>
      </c>
      <c r="AM4234">
        <v>94.687986067504497</v>
      </c>
      <c r="AN4234">
        <v>0.99999996432941696</v>
      </c>
    </row>
    <row r="4235" spans="1:40" x14ac:dyDescent="0.25">
      <c r="A4235" t="str">
        <f>"20190304155144909"</f>
        <v>20190304155144909</v>
      </c>
      <c r="B4235" t="str">
        <f>"1551685904901360"</f>
        <v>1551685904901360</v>
      </c>
      <c r="C4235" t="s">
        <v>40</v>
      </c>
      <c r="D4235">
        <v>4.8954750000000002</v>
      </c>
      <c r="E4235">
        <v>0.5311034</v>
      </c>
      <c r="F4235" t="s">
        <v>41</v>
      </c>
      <c r="G4235">
        <v>-256.13130000000001</v>
      </c>
      <c r="H4235" s="1">
        <v>-1.9978729999999999E-6</v>
      </c>
      <c r="I4235">
        <v>140.9538</v>
      </c>
      <c r="J4235">
        <v>-219.56890000000001</v>
      </c>
      <c r="K4235">
        <v>1.109626</v>
      </c>
      <c r="L4235">
        <v>141.23609999999999</v>
      </c>
      <c r="M4235">
        <v>-0.9998127</v>
      </c>
      <c r="N4235">
        <v>-1.315386E-2</v>
      </c>
      <c r="O4235">
        <v>-1.4197960000000001E-2</v>
      </c>
      <c r="P4235">
        <v>-0.98118830000000001</v>
      </c>
      <c r="Q4235">
        <v>0.1677024</v>
      </c>
      <c r="R4235">
        <v>-9.5632149999999999E-2</v>
      </c>
      <c r="S4235">
        <v>-3.0712280000000001</v>
      </c>
      <c r="T4235">
        <v>-9.2666150000000003E-2</v>
      </c>
      <c r="U4235">
        <v>-2.3666380000000001E-2</v>
      </c>
      <c r="V4235">
        <v>-8.1226439999999997E-2</v>
      </c>
      <c r="W4235">
        <v>0.18082010000000001</v>
      </c>
      <c r="X4235">
        <v>0.98015629999999998</v>
      </c>
      <c r="Y4235">
        <v>6.4876380000000004E-3</v>
      </c>
      <c r="Z4235">
        <v>3.820537E-4</v>
      </c>
      <c r="AA4235">
        <v>0.9999789</v>
      </c>
      <c r="AB4235">
        <v>21</v>
      </c>
      <c r="AC4235">
        <v>-36.562399999999997</v>
      </c>
      <c r="AD4235">
        <v>-1.1096279978729999</v>
      </c>
      <c r="AE4235">
        <v>-0.282299999999992</v>
      </c>
      <c r="AF4235">
        <v>0.236666886735767</v>
      </c>
      <c r="AG4235">
        <v>-1.1096279978729999</v>
      </c>
      <c r="AH4235">
        <v>36.529079171047201</v>
      </c>
      <c r="AI4235">
        <v>91.739877526981104</v>
      </c>
      <c r="AJ4235">
        <v>89.628793707841197</v>
      </c>
      <c r="AK4235">
        <v>36.546694933927597</v>
      </c>
      <c r="AL4235">
        <v>79.582468136372398</v>
      </c>
      <c r="AM4235">
        <v>94.737328241114298</v>
      </c>
      <c r="AN4235">
        <v>1.00000000777438</v>
      </c>
    </row>
    <row r="4236" spans="1:40" x14ac:dyDescent="0.25">
      <c r="A4236" t="str">
        <f>"20190304155144930"</f>
        <v>20190304155144930</v>
      </c>
      <c r="B4236" t="str">
        <f>"1551685904920880"</f>
        <v>1551685904920880</v>
      </c>
      <c r="C4236" t="s">
        <v>40</v>
      </c>
      <c r="D4236">
        <v>4.8499359999999996</v>
      </c>
      <c r="E4236">
        <v>0.53076309999999904</v>
      </c>
      <c r="F4236" t="s">
        <v>41</v>
      </c>
      <c r="G4236">
        <v>-257.12819999999999</v>
      </c>
      <c r="H4236" s="1">
        <v>-1.5700650000000001E-6</v>
      </c>
      <c r="I4236">
        <v>140.95330000000001</v>
      </c>
      <c r="J4236">
        <v>-219.774</v>
      </c>
      <c r="K4236">
        <v>1.109621</v>
      </c>
      <c r="L4236">
        <v>141.2354</v>
      </c>
      <c r="M4236">
        <v>-0.99983770000000005</v>
      </c>
      <c r="N4236">
        <v>-1.3116549999999999E-2</v>
      </c>
      <c r="O4236">
        <v>-1.235675E-2</v>
      </c>
      <c r="P4236">
        <v>-0.98127410000000004</v>
      </c>
      <c r="Q4236">
        <v>0.16792689999999999</v>
      </c>
      <c r="R4236">
        <v>-9.4351279999999996E-2</v>
      </c>
      <c r="S4236">
        <v>-3.07077</v>
      </c>
      <c r="T4236">
        <v>-9.0721010000000005E-2</v>
      </c>
      <c r="U4236">
        <v>-2.311707E-2</v>
      </c>
      <c r="V4236">
        <v>-8.1752149999999996E-2</v>
      </c>
      <c r="W4236">
        <v>0.18100820000000001</v>
      </c>
      <c r="X4236">
        <v>0.98007789999999995</v>
      </c>
      <c r="Y4236">
        <v>4.8254429999999996E-3</v>
      </c>
      <c r="Z4236">
        <v>3.0581830000000001E-4</v>
      </c>
      <c r="AA4236">
        <v>0.99998830000000005</v>
      </c>
      <c r="AB4236">
        <v>21</v>
      </c>
      <c r="AC4236">
        <v>-37.354199999999899</v>
      </c>
      <c r="AD4236">
        <v>-1.109622570065</v>
      </c>
      <c r="AE4236">
        <v>-0.28209999999998497</v>
      </c>
      <c r="AF4236">
        <v>0.17937944855674201</v>
      </c>
      <c r="AG4236">
        <v>-1.109622570065</v>
      </c>
      <c r="AH4236">
        <v>37.321902309436901</v>
      </c>
      <c r="AI4236">
        <v>91.702947325401396</v>
      </c>
      <c r="AJ4236">
        <v>89.724622659629503</v>
      </c>
      <c r="AK4236">
        <v>37.338824716770603</v>
      </c>
      <c r="AL4236">
        <v>79.571510279192793</v>
      </c>
      <c r="AM4236">
        <v>94.768227699755499</v>
      </c>
      <c r="AN4236">
        <v>1.00000003628263</v>
      </c>
    </row>
    <row r="4237" spans="1:40" x14ac:dyDescent="0.25">
      <c r="A4237" t="str">
        <f>"20190304155144953"</f>
        <v>20190304155144953</v>
      </c>
      <c r="B4237" t="str">
        <f>"1551685904941386"</f>
        <v>1551685904941386</v>
      </c>
      <c r="C4237" t="s">
        <v>40</v>
      </c>
      <c r="D4237">
        <v>4.8656819999999996</v>
      </c>
      <c r="E4237">
        <v>0.53080499999999997</v>
      </c>
      <c r="F4237" t="s">
        <v>41</v>
      </c>
      <c r="G4237">
        <v>-257.92970000000003</v>
      </c>
      <c r="H4237" s="1">
        <v>-1.227306E-6</v>
      </c>
      <c r="I4237">
        <v>140.9573</v>
      </c>
      <c r="J4237">
        <v>-219.9802</v>
      </c>
      <c r="K4237">
        <v>1.109623</v>
      </c>
      <c r="L4237">
        <v>141.23509999999999</v>
      </c>
      <c r="M4237">
        <v>-0.99985919999999895</v>
      </c>
      <c r="N4237">
        <v>-1.308323E-2</v>
      </c>
      <c r="O4237">
        <v>-1.051298E-2</v>
      </c>
      <c r="P4237">
        <v>-0.98141029999999996</v>
      </c>
      <c r="Q4237">
        <v>0.16799559999999999</v>
      </c>
      <c r="R4237">
        <v>-9.2799069999999997E-2</v>
      </c>
      <c r="S4237">
        <v>-3.0703580000000001</v>
      </c>
      <c r="T4237">
        <v>-8.9290380000000003E-2</v>
      </c>
      <c r="U4237">
        <v>-2.2369380000000001E-2</v>
      </c>
      <c r="V4237">
        <v>-8.2010949999999999E-2</v>
      </c>
      <c r="W4237">
        <v>0.1810447</v>
      </c>
      <c r="X4237">
        <v>0.98004950000000002</v>
      </c>
      <c r="Y4237">
        <v>3.225285E-3</v>
      </c>
      <c r="Z4237">
        <v>2.361152E-4</v>
      </c>
      <c r="AA4237">
        <v>0.99999479999999996</v>
      </c>
      <c r="AB4237">
        <v>21</v>
      </c>
      <c r="AC4237">
        <v>-37.9495</v>
      </c>
      <c r="AD4237">
        <v>-1.109624227306</v>
      </c>
      <c r="AE4237">
        <v>-0.277799999999984</v>
      </c>
      <c r="AF4237">
        <v>0.12110828053952399</v>
      </c>
      <c r="AG4237">
        <v>-1.109624227306</v>
      </c>
      <c r="AH4237">
        <v>37.917907092338098</v>
      </c>
      <c r="AI4237">
        <v>91.676208598249403</v>
      </c>
      <c r="AJ4237">
        <v>89.817000191321796</v>
      </c>
      <c r="AK4237">
        <v>37.934332884665601</v>
      </c>
      <c r="AL4237">
        <v>79.569383477593803</v>
      </c>
      <c r="AM4237">
        <v>94.783390355324897</v>
      </c>
      <c r="AN4237">
        <v>1.0000000008841201</v>
      </c>
    </row>
    <row r="4238" spans="1:40" x14ac:dyDescent="0.25">
      <c r="A4238" t="str">
        <f>"20190304155144975"</f>
        <v>20190304155144975</v>
      </c>
      <c r="B4238" t="str">
        <f>"1551685904971632"</f>
        <v>1551685904971632</v>
      </c>
      <c r="C4238" t="s">
        <v>40</v>
      </c>
      <c r="D4238">
        <v>4.613499</v>
      </c>
      <c r="E4238">
        <v>0.5859453</v>
      </c>
      <c r="F4238" t="s">
        <v>41</v>
      </c>
      <c r="G4238">
        <v>-258.41489999999999</v>
      </c>
      <c r="H4238" s="1">
        <v>-1.034147E-6</v>
      </c>
      <c r="I4238">
        <v>141.0136</v>
      </c>
      <c r="J4238">
        <v>-220.1875</v>
      </c>
      <c r="K4238">
        <v>1.1096330000000001</v>
      </c>
      <c r="L4238">
        <v>141.23509999999999</v>
      </c>
      <c r="M4238">
        <v>-0.99987720000000002</v>
      </c>
      <c r="N4238">
        <v>-1.3053439999999999E-2</v>
      </c>
      <c r="O4238">
        <v>-8.6768339999999996E-3</v>
      </c>
      <c r="P4238">
        <v>-0.98148590000000002</v>
      </c>
      <c r="Q4238">
        <v>0.1684996</v>
      </c>
      <c r="R4238">
        <v>-9.1067200000000001E-2</v>
      </c>
      <c r="S4238">
        <v>-3.0703130000000001</v>
      </c>
      <c r="T4238">
        <v>-8.8641170000000005E-2</v>
      </c>
      <c r="U4238">
        <v>-1.768494E-2</v>
      </c>
      <c r="V4238">
        <v>-8.208501E-2</v>
      </c>
      <c r="W4238">
        <v>0.1815165</v>
      </c>
      <c r="X4238">
        <v>0.97995600000000005</v>
      </c>
      <c r="Y4238">
        <v>2.9149139999999998E-3</v>
      </c>
      <c r="Z4238">
        <v>1.9829010000000001E-4</v>
      </c>
      <c r="AA4238">
        <v>0.99999570000000004</v>
      </c>
      <c r="AB4238">
        <v>21</v>
      </c>
      <c r="AC4238">
        <v>-38.227399999999903</v>
      </c>
      <c r="AD4238">
        <v>-1.1096340341469999</v>
      </c>
      <c r="AE4238">
        <v>-0.22149999999999101</v>
      </c>
      <c r="AF4238">
        <v>0.110136595009342</v>
      </c>
      <c r="AG4238">
        <v>-1.1096340341469999</v>
      </c>
      <c r="AH4238">
        <v>38.195701018974397</v>
      </c>
      <c r="AI4238">
        <v>91.664040829146501</v>
      </c>
      <c r="AJ4238">
        <v>89.834789141012607</v>
      </c>
      <c r="AK4238">
        <v>38.211974485626598</v>
      </c>
      <c r="AL4238">
        <v>79.541895627502498</v>
      </c>
      <c r="AM4238">
        <v>94.788144607446796</v>
      </c>
      <c r="AN4238">
        <v>0.99999997528747397</v>
      </c>
    </row>
    <row r="4239" spans="1:40" x14ac:dyDescent="0.25">
      <c r="A4239" t="str">
        <f>"20190304155144997"</f>
        <v>20190304155144997</v>
      </c>
      <c r="B4239" t="str">
        <f>"1551685904991152"</f>
        <v>1551685904991152</v>
      </c>
      <c r="C4239" t="s">
        <v>40</v>
      </c>
      <c r="D4239">
        <v>4.6098520000000001</v>
      </c>
      <c r="E4239">
        <v>0.58817399999999997</v>
      </c>
      <c r="F4239" t="s">
        <v>87</v>
      </c>
      <c r="G4239">
        <v>-459.875</v>
      </c>
      <c r="H4239">
        <v>3.9515699999999998</v>
      </c>
      <c r="I4239">
        <v>173.9898</v>
      </c>
      <c r="J4239">
        <v>-220.39269999999999</v>
      </c>
      <c r="K4239">
        <v>1.1096520000000001</v>
      </c>
      <c r="L4239">
        <v>141.2354</v>
      </c>
      <c r="M4239">
        <v>-0.99989139999999999</v>
      </c>
      <c r="N4239">
        <v>-1.3027250000000001E-2</v>
      </c>
      <c r="O4239">
        <v>-6.8920839999999997E-3</v>
      </c>
      <c r="P4239">
        <v>-0.98156869999999996</v>
      </c>
      <c r="Q4239">
        <v>0.16916329999999999</v>
      </c>
      <c r="R4239">
        <v>-8.8921169999999994E-2</v>
      </c>
      <c r="S4239">
        <v>-3.0894780000000002</v>
      </c>
      <c r="T4239">
        <v>3.6631459999999998E-2</v>
      </c>
      <c r="U4239">
        <v>0.4221954</v>
      </c>
      <c r="V4239">
        <v>-8.1698190000000004E-2</v>
      </c>
      <c r="W4239">
        <v>0.18214849999999999</v>
      </c>
      <c r="X4239">
        <v>0.97987109999999999</v>
      </c>
      <c r="Y4239">
        <v>0.1422225</v>
      </c>
      <c r="Z4239" s="1">
        <v>-7.9224699999999994E-5</v>
      </c>
      <c r="AA4239">
        <v>0.98983469999999996</v>
      </c>
      <c r="AB4239">
        <v>21</v>
      </c>
      <c r="AC4239">
        <v>-239.48230000000001</v>
      </c>
      <c r="AD4239">
        <v>2.8419180000000002</v>
      </c>
      <c r="AE4239">
        <v>32.754399999999997</v>
      </c>
      <c r="AF4239">
        <v>34.3995387909954</v>
      </c>
      <c r="AG4239">
        <v>2.8419180000000002</v>
      </c>
      <c r="AH4239">
        <v>239.217776966087</v>
      </c>
      <c r="AI4239">
        <v>89.326284976037101</v>
      </c>
      <c r="AJ4239">
        <v>81.816958076718294</v>
      </c>
      <c r="AK4239">
        <v>241.69515837837599</v>
      </c>
      <c r="AL4239">
        <v>79.505071295780496</v>
      </c>
      <c r="AM4239">
        <v>94.766095989871403</v>
      </c>
      <c r="AN4239">
        <v>1.00000002145836</v>
      </c>
    </row>
    <row r="4240" spans="1:40" x14ac:dyDescent="0.25">
      <c r="A4240" t="str">
        <f>"20190304155145020"</f>
        <v>20190304155145020</v>
      </c>
      <c r="B4240" t="str">
        <f>"1551685905011648"</f>
        <v>1551685905011648</v>
      </c>
      <c r="C4240" t="s">
        <v>40</v>
      </c>
      <c r="D4240">
        <v>4.5770039999999996</v>
      </c>
      <c r="E4240">
        <v>0.58985339999999997</v>
      </c>
      <c r="F4240" t="s">
        <v>88</v>
      </c>
      <c r="G4240">
        <v>-364.12810000000002</v>
      </c>
      <c r="H4240">
        <v>3.4549650000000001</v>
      </c>
      <c r="I4240">
        <v>161.9736</v>
      </c>
      <c r="J4240">
        <v>-220.61089999999999</v>
      </c>
      <c r="K4240">
        <v>1.1096870000000001</v>
      </c>
      <c r="L4240">
        <v>141.23609999999999</v>
      </c>
      <c r="M4240">
        <v>-0.99990270000000003</v>
      </c>
      <c r="N4240">
        <v>-1.3002329999999999E-2</v>
      </c>
      <c r="O4240">
        <v>-5.0456570000000003E-3</v>
      </c>
      <c r="P4240">
        <v>-0.98178600000000005</v>
      </c>
      <c r="Q4240">
        <v>0.16927139999999999</v>
      </c>
      <c r="R4240">
        <v>-8.6274359999999994E-2</v>
      </c>
      <c r="S4240">
        <v>-3.0880130000000001</v>
      </c>
      <c r="T4240">
        <v>5.038786E-2</v>
      </c>
      <c r="U4240">
        <v>0.44554139999999998</v>
      </c>
      <c r="V4240">
        <v>-8.0877939999999995E-2</v>
      </c>
      <c r="W4240">
        <v>0.18222450000000001</v>
      </c>
      <c r="X4240">
        <v>0.97992500000000005</v>
      </c>
      <c r="Y4240">
        <v>0.1477889</v>
      </c>
      <c r="Z4240">
        <v>-3.8082870000000002E-4</v>
      </c>
      <c r="AA4240">
        <v>0.98901890000000003</v>
      </c>
      <c r="AB4240">
        <v>21</v>
      </c>
      <c r="AC4240">
        <v>-143.5172</v>
      </c>
      <c r="AD4240">
        <v>2.345278</v>
      </c>
      <c r="AE4240">
        <v>20.737500000000001</v>
      </c>
      <c r="AF4240">
        <v>21.4558233485517</v>
      </c>
      <c r="AG4240">
        <v>2.345278</v>
      </c>
      <c r="AH4240">
        <v>143.37322589512499</v>
      </c>
      <c r="AI4240">
        <v>89.073166701363903</v>
      </c>
      <c r="AJ4240">
        <v>81.488839789640494</v>
      </c>
      <c r="AK4240">
        <v>144.98873952150899</v>
      </c>
      <c r="AL4240">
        <v>79.500642552480798</v>
      </c>
      <c r="AM4240">
        <v>94.718203158935793</v>
      </c>
      <c r="AN4240">
        <v>1.00000000760194</v>
      </c>
    </row>
    <row r="4241" spans="1:40" x14ac:dyDescent="0.25">
      <c r="A4241" t="str">
        <f>"20190304155145041"</f>
        <v>20190304155145041</v>
      </c>
      <c r="B4241" t="str">
        <f>"1551685905031168"</f>
        <v>1551685905031168</v>
      </c>
      <c r="C4241" t="s">
        <v>40</v>
      </c>
      <c r="D4241">
        <v>4.6105989999999997</v>
      </c>
      <c r="E4241">
        <v>0.59096569999999904</v>
      </c>
      <c r="F4241" t="s">
        <v>88</v>
      </c>
      <c r="G4241">
        <v>-362.75290000000001</v>
      </c>
      <c r="H4241">
        <v>3.5313340000000002</v>
      </c>
      <c r="I4241">
        <v>162.67910000000001</v>
      </c>
      <c r="J4241">
        <v>-220.81120000000001</v>
      </c>
      <c r="K4241">
        <v>1.1097300000000001</v>
      </c>
      <c r="L4241">
        <v>141.2371</v>
      </c>
      <c r="M4241">
        <v>-0.99990990000000002</v>
      </c>
      <c r="N4241">
        <v>-1.298179E-2</v>
      </c>
      <c r="O4241">
        <v>-3.4139510000000001E-3</v>
      </c>
      <c r="P4241">
        <v>-0.9821356</v>
      </c>
      <c r="Q4241">
        <v>0.168354</v>
      </c>
      <c r="R4241">
        <v>-8.4064050000000001E-2</v>
      </c>
      <c r="S4241">
        <v>-3.0875240000000002</v>
      </c>
      <c r="T4241">
        <v>5.260277E-2</v>
      </c>
      <c r="U4241">
        <v>0.46577449999999998</v>
      </c>
      <c r="V4241">
        <v>-8.0289860000000005E-2</v>
      </c>
      <c r="W4241">
        <v>0.1812801</v>
      </c>
      <c r="X4241">
        <v>0.98014849999999998</v>
      </c>
      <c r="Y4241">
        <v>0.1525379</v>
      </c>
      <c r="Z4241">
        <v>-3.981721E-4</v>
      </c>
      <c r="AA4241">
        <v>0.98829750000000005</v>
      </c>
      <c r="AB4241">
        <v>21</v>
      </c>
      <c r="AC4241">
        <v>-141.9417</v>
      </c>
      <c r="AD4241">
        <v>2.4216039999999999</v>
      </c>
      <c r="AE4241">
        <v>21.442</v>
      </c>
      <c r="AF4241">
        <v>21.920260053276699</v>
      </c>
      <c r="AG4241">
        <v>2.4216039999999999</v>
      </c>
      <c r="AH4241">
        <v>141.827304968389</v>
      </c>
      <c r="AI4241">
        <v>89.033284768872093</v>
      </c>
      <c r="AJ4241">
        <v>81.214111520016203</v>
      </c>
      <c r="AK4241">
        <v>143.53169127872999</v>
      </c>
      <c r="AL4241">
        <v>79.555669209740699</v>
      </c>
      <c r="AM4241">
        <v>94.682986013399898</v>
      </c>
      <c r="AN4241">
        <v>1.0000000091635299</v>
      </c>
    </row>
    <row r="4242" spans="1:40" x14ac:dyDescent="0.25">
      <c r="A4242" t="str">
        <f>"20190304155145075"</f>
        <v>20190304155145075</v>
      </c>
      <c r="B4242" t="str">
        <f>"1551685905071689"</f>
        <v>1551685905071689</v>
      </c>
      <c r="C4242" t="s">
        <v>40</v>
      </c>
      <c r="D4242">
        <v>4.6111040000000001</v>
      </c>
      <c r="E4242">
        <v>0.59065129999999999</v>
      </c>
      <c r="F4242" t="s">
        <v>88</v>
      </c>
      <c r="G4242">
        <v>-363.49400000000003</v>
      </c>
      <c r="H4242">
        <v>3.3848379999999998</v>
      </c>
      <c r="I4242">
        <v>163.4657</v>
      </c>
      <c r="J4242">
        <v>-221.11799999999999</v>
      </c>
      <c r="K4242">
        <v>1.1098129999999999</v>
      </c>
      <c r="L4242">
        <v>141.239</v>
      </c>
      <c r="M4242">
        <v>-0.99991569999999996</v>
      </c>
      <c r="N4242">
        <v>-1.2954429999999999E-2</v>
      </c>
      <c r="O4242">
        <v>-1.0677849999999999E-3</v>
      </c>
      <c r="P4242">
        <v>-0.98251529999999998</v>
      </c>
      <c r="Q4242">
        <v>0.16731770000000001</v>
      </c>
      <c r="R4242">
        <v>-8.1664669999999995E-2</v>
      </c>
      <c r="S4242">
        <v>-3.0872959999999998</v>
      </c>
      <c r="T4242">
        <v>4.9228790000000001E-2</v>
      </c>
      <c r="U4242">
        <v>0.48097230000000002</v>
      </c>
      <c r="V4242">
        <v>-8.0234979999999997E-2</v>
      </c>
      <c r="W4242">
        <v>0.1802029</v>
      </c>
      <c r="X4242">
        <v>0.98035159999999999</v>
      </c>
      <c r="Y4242">
        <v>0.15498519999999999</v>
      </c>
      <c r="Z4242">
        <v>-2.4890989999999999E-4</v>
      </c>
      <c r="AA4242">
        <v>0.98791680000000004</v>
      </c>
      <c r="AB4242">
        <v>21</v>
      </c>
      <c r="AC4242">
        <v>-142.376</v>
      </c>
      <c r="AD4242">
        <v>2.2750249999999999</v>
      </c>
      <c r="AE4242">
        <v>22.226699999999902</v>
      </c>
      <c r="AF4242">
        <v>22.3731504261556</v>
      </c>
      <c r="AG4242">
        <v>2.2750249999999999</v>
      </c>
      <c r="AH4242">
        <v>142.31671054491699</v>
      </c>
      <c r="AI4242">
        <v>89.095277307988496</v>
      </c>
      <c r="AJ4242">
        <v>81.0658362284437</v>
      </c>
      <c r="AK4242">
        <v>144.08254474108901</v>
      </c>
      <c r="AL4242">
        <v>79.618421607291495</v>
      </c>
      <c r="AM4242">
        <v>94.678834092989405</v>
      </c>
      <c r="AN4242">
        <v>0.99999999840328502</v>
      </c>
    </row>
    <row r="4243" spans="1:40" x14ac:dyDescent="0.25">
      <c r="A4243" t="str">
        <f>"20190304155145099"</f>
        <v>20190304155145099</v>
      </c>
      <c r="B4243" t="str">
        <f>"1551685905091210"</f>
        <v>1551685905091210</v>
      </c>
      <c r="C4243" t="s">
        <v>40</v>
      </c>
      <c r="D4243">
        <v>4.6324889999999996</v>
      </c>
      <c r="E4243">
        <v>0.59045639999999999</v>
      </c>
      <c r="F4243" t="s">
        <v>88</v>
      </c>
      <c r="G4243">
        <v>-363.4966</v>
      </c>
      <c r="H4243">
        <v>3.2124739999999998</v>
      </c>
      <c r="I4243">
        <v>163.68440000000001</v>
      </c>
      <c r="J4243">
        <v>-221.33670000000001</v>
      </c>
      <c r="K4243">
        <v>1.1098699999999999</v>
      </c>
      <c r="L4243">
        <v>141.2407</v>
      </c>
      <c r="M4243">
        <v>-0.99991640000000004</v>
      </c>
      <c r="N4243">
        <v>-1.293747E-2</v>
      </c>
      <c r="O4243">
        <v>4.8681510000000001E-4</v>
      </c>
      <c r="P4243">
        <v>-0.98282610000000004</v>
      </c>
      <c r="Q4243">
        <v>0.1664408</v>
      </c>
      <c r="R4243">
        <v>-7.9689529999999995E-2</v>
      </c>
      <c r="S4243">
        <v>-3.08609</v>
      </c>
      <c r="T4243">
        <v>4.5576810000000002E-2</v>
      </c>
      <c r="U4243">
        <v>0.48651119999999998</v>
      </c>
      <c r="V4243">
        <v>-7.9818319999999998E-2</v>
      </c>
      <c r="W4243">
        <v>0.1792976</v>
      </c>
      <c r="X4243">
        <v>0.98055159999999997</v>
      </c>
      <c r="Y4243">
        <v>0.15524070000000001</v>
      </c>
      <c r="Z4243">
        <v>-1.154111E-4</v>
      </c>
      <c r="AA4243">
        <v>0.98787670000000005</v>
      </c>
      <c r="AB4243">
        <v>21</v>
      </c>
      <c r="AC4243">
        <v>-142.15989999999999</v>
      </c>
      <c r="AD4243">
        <v>2.1026039999999999</v>
      </c>
      <c r="AE4243">
        <v>22.4437</v>
      </c>
      <c r="AF4243">
        <v>22.369711463506</v>
      </c>
      <c r="AG4243">
        <v>2.1026039999999999</v>
      </c>
      <c r="AH4243">
        <v>142.14047203222799</v>
      </c>
      <c r="AI4243">
        <v>89.1628201865215</v>
      </c>
      <c r="AJ4243">
        <v>81.056290576675906</v>
      </c>
      <c r="AK4243">
        <v>143.90531166043101</v>
      </c>
      <c r="AL4243">
        <v>79.671150502306205</v>
      </c>
      <c r="AM4243">
        <v>94.653698738833299</v>
      </c>
      <c r="AN4243">
        <v>1.0000000169179699</v>
      </c>
    </row>
    <row r="4244" spans="1:40" x14ac:dyDescent="0.25">
      <c r="A4244" t="str">
        <f>"20190304155145122"</f>
        <v>20190304155145122</v>
      </c>
      <c r="B4244" t="str">
        <f>"1551685905111706"</f>
        <v>1551685905111706</v>
      </c>
      <c r="C4244" t="s">
        <v>40</v>
      </c>
      <c r="D4244">
        <v>4.5878189999999996</v>
      </c>
      <c r="E4244">
        <v>0.58985790000000005</v>
      </c>
      <c r="F4244" t="s">
        <v>88</v>
      </c>
      <c r="G4244">
        <v>-364.44839999999999</v>
      </c>
      <c r="H4244">
        <v>2.930958</v>
      </c>
      <c r="I4244">
        <v>164.0351</v>
      </c>
      <c r="J4244">
        <v>-221.54949999999999</v>
      </c>
      <c r="K4244">
        <v>1.109923</v>
      </c>
      <c r="L4244">
        <v>141.24260000000001</v>
      </c>
      <c r="M4244">
        <v>-0.99991479999999999</v>
      </c>
      <c r="N4244">
        <v>-1.292283E-2</v>
      </c>
      <c r="O4244">
        <v>1.909413E-3</v>
      </c>
      <c r="P4244">
        <v>-0.98303280000000004</v>
      </c>
      <c r="Q4244">
        <v>0.16605309999999901</v>
      </c>
      <c r="R4244">
        <v>-7.793108E-2</v>
      </c>
      <c r="S4244">
        <v>-3.0856170000000001</v>
      </c>
      <c r="T4244">
        <v>3.926528E-2</v>
      </c>
      <c r="U4244">
        <v>0.49147030000000003</v>
      </c>
      <c r="V4244">
        <v>-7.9484929999999995E-2</v>
      </c>
      <c r="W4244">
        <v>0.17888470000000001</v>
      </c>
      <c r="X4244">
        <v>0.98065409999999997</v>
      </c>
      <c r="Y4244">
        <v>0.15540989999999999</v>
      </c>
      <c r="Z4244" s="1">
        <v>7.657823E-5</v>
      </c>
      <c r="AA4244">
        <v>0.98785009999999995</v>
      </c>
      <c r="AB4244">
        <v>21</v>
      </c>
      <c r="AC4244">
        <v>-142.8989</v>
      </c>
      <c r="AD4244">
        <v>1.821035</v>
      </c>
      <c r="AE4244">
        <v>22.792499999999901</v>
      </c>
      <c r="AF4244">
        <v>22.516016851061501</v>
      </c>
      <c r="AG4244">
        <v>1.821035</v>
      </c>
      <c r="AH4244">
        <v>142.919529459328</v>
      </c>
      <c r="AI4244">
        <v>89.278888134873696</v>
      </c>
      <c r="AJ4244">
        <v>81.047019509158801</v>
      </c>
      <c r="AK4244">
        <v>144.693742380879</v>
      </c>
      <c r="AL4244">
        <v>79.695196800818707</v>
      </c>
      <c r="AM4244">
        <v>94.633863450390294</v>
      </c>
      <c r="AN4244">
        <v>1.0000000269189999</v>
      </c>
    </row>
    <row r="4245" spans="1:40" x14ac:dyDescent="0.25">
      <c r="A4245" t="str">
        <f>"20190304155145141"</f>
        <v>20190304155145141</v>
      </c>
      <c r="B4245" t="str">
        <f>"1551685905131226"</f>
        <v>1551685905131226</v>
      </c>
      <c r="C4245" t="s">
        <v>40</v>
      </c>
      <c r="D4245">
        <v>4.6263820000000004</v>
      </c>
      <c r="E4245">
        <v>0.5896882</v>
      </c>
      <c r="F4245" t="s">
        <v>88</v>
      </c>
      <c r="G4245">
        <v>-362.77670000000001</v>
      </c>
      <c r="H4245">
        <v>2.7922850000000001</v>
      </c>
      <c r="I4245">
        <v>163.7861</v>
      </c>
      <c r="J4245">
        <v>-221.73179999999999</v>
      </c>
      <c r="K4245">
        <v>1.109958</v>
      </c>
      <c r="L4245">
        <v>141.24430000000001</v>
      </c>
      <c r="M4245">
        <v>-0.99991200000000002</v>
      </c>
      <c r="N4245">
        <v>-1.2911600000000001E-2</v>
      </c>
      <c r="O4245">
        <v>3.04682E-3</v>
      </c>
      <c r="P4245">
        <v>-0.98326179999999996</v>
      </c>
      <c r="Q4245">
        <v>0.1652264</v>
      </c>
      <c r="R4245">
        <v>-7.6790269999999994E-2</v>
      </c>
      <c r="S4245">
        <v>-3.0846100000000001</v>
      </c>
      <c r="T4245">
        <v>3.6746500000000001E-2</v>
      </c>
      <c r="U4245">
        <v>0.49238589999999999</v>
      </c>
      <c r="V4245">
        <v>-7.9484219999999994E-2</v>
      </c>
      <c r="W4245">
        <v>0.17804020000000001</v>
      </c>
      <c r="X4245">
        <v>0.98080780000000001</v>
      </c>
      <c r="Y4245">
        <v>0.15462319999999999</v>
      </c>
      <c r="Z4245">
        <v>1.6451510000000001E-4</v>
      </c>
      <c r="AA4245">
        <v>0.98797349999999995</v>
      </c>
      <c r="AB4245">
        <v>21</v>
      </c>
      <c r="AC4245">
        <v>-141.04490000000001</v>
      </c>
      <c r="AD4245">
        <v>1.6823269999999899</v>
      </c>
      <c r="AE4245">
        <v>22.541799999999899</v>
      </c>
      <c r="AF4245">
        <v>22.108854071498801</v>
      </c>
      <c r="AG4245">
        <v>1.6823269999999899</v>
      </c>
      <c r="AH4245">
        <v>141.09335868236201</v>
      </c>
      <c r="AI4245">
        <v>89.325100669417495</v>
      </c>
      <c r="AJ4245">
        <v>81.0943623062103</v>
      </c>
      <c r="AK4245">
        <v>142.82495411082499</v>
      </c>
      <c r="AL4245">
        <v>79.744372211191703</v>
      </c>
      <c r="AM4245">
        <v>94.633099245184994</v>
      </c>
      <c r="AN4245">
        <v>0.99999999729294398</v>
      </c>
    </row>
    <row r="4246" spans="1:40" x14ac:dyDescent="0.25">
      <c r="A4246" t="str">
        <f>"20190304155145164"</f>
        <v>20190304155145164</v>
      </c>
      <c r="B4246" t="str">
        <f>"1551685905161482"</f>
        <v>1551685905161482</v>
      </c>
      <c r="C4246" t="s">
        <v>40</v>
      </c>
      <c r="D4246">
        <v>4.5298999999999996</v>
      </c>
      <c r="E4246">
        <v>0.58841449999999995</v>
      </c>
      <c r="F4246" t="s">
        <v>88</v>
      </c>
      <c r="G4246">
        <v>-362.90120000000002</v>
      </c>
      <c r="H4246">
        <v>2.595367</v>
      </c>
      <c r="I4246">
        <v>163.8997</v>
      </c>
      <c r="J4246">
        <v>-221.94649999999999</v>
      </c>
      <c r="K4246">
        <v>1.1100110000000001</v>
      </c>
      <c r="L4246">
        <v>141.2465</v>
      </c>
      <c r="M4246">
        <v>-0.99990769999999995</v>
      </c>
      <c r="N4246">
        <v>-1.2899610000000001E-2</v>
      </c>
      <c r="O4246">
        <v>4.293364E-3</v>
      </c>
      <c r="P4246">
        <v>-0.98342399999999996</v>
      </c>
      <c r="Q4246">
        <v>0.1648529</v>
      </c>
      <c r="R4246">
        <v>-7.550693E-2</v>
      </c>
      <c r="S4246">
        <v>-3.0842740000000002</v>
      </c>
      <c r="T4246">
        <v>3.2454490000000003E-2</v>
      </c>
      <c r="U4246">
        <v>0.49497989999999997</v>
      </c>
      <c r="V4246">
        <v>-7.9451610000000006E-2</v>
      </c>
      <c r="W4246">
        <v>0.17764460000000001</v>
      </c>
      <c r="X4246">
        <v>0.98088220000000004</v>
      </c>
      <c r="Y4246">
        <v>0.15421960000000001</v>
      </c>
      <c r="Z4246">
        <v>2.94751E-4</v>
      </c>
      <c r="AA4246">
        <v>0.98803660000000004</v>
      </c>
      <c r="AB4246">
        <v>21</v>
      </c>
      <c r="AC4246">
        <v>-140.9547</v>
      </c>
      <c r="AD4246">
        <v>1.4853559999999999</v>
      </c>
      <c r="AE4246">
        <v>22.653199999999998</v>
      </c>
      <c r="AF4246">
        <v>22.045384654432301</v>
      </c>
      <c r="AG4246">
        <v>1.4853559999999999</v>
      </c>
      <c r="AH4246">
        <v>141.035400127983</v>
      </c>
      <c r="AI4246">
        <v>89.403833495677503</v>
      </c>
      <c r="AJ4246">
        <v>81.115929044066206</v>
      </c>
      <c r="AK4246">
        <v>142.75569815691699</v>
      </c>
      <c r="AL4246">
        <v>79.767405897001893</v>
      </c>
      <c r="AM4246">
        <v>94.630856943633404</v>
      </c>
      <c r="AN4246">
        <v>1.00000002625879</v>
      </c>
    </row>
    <row r="4247" spans="1:40" x14ac:dyDescent="0.25">
      <c r="A4247" t="str">
        <f>"20190304155145186"</f>
        <v>20190304155145186</v>
      </c>
      <c r="B4247" t="str">
        <f>"1551685905181003"</f>
        <v>1551685905181003</v>
      </c>
      <c r="C4247" t="s">
        <v>40</v>
      </c>
      <c r="D4247">
        <v>4.6245669999999999</v>
      </c>
      <c r="E4247">
        <v>0.58780650000000001</v>
      </c>
      <c r="F4247" t="s">
        <v>88</v>
      </c>
      <c r="G4247">
        <v>-362.80090000000001</v>
      </c>
      <c r="H4247">
        <v>2.3700929999999998</v>
      </c>
      <c r="I4247">
        <v>163.60470000000001</v>
      </c>
      <c r="J4247">
        <v>-222.1497</v>
      </c>
      <c r="K4247">
        <v>1.1100620000000001</v>
      </c>
      <c r="L4247">
        <v>141.24870000000001</v>
      </c>
      <c r="M4247">
        <v>-0.99990250000000003</v>
      </c>
      <c r="N4247">
        <v>-1.2889370000000001E-2</v>
      </c>
      <c r="O4247">
        <v>5.3812520000000004E-3</v>
      </c>
      <c r="P4247">
        <v>-0.98341800000000001</v>
      </c>
      <c r="Q4247">
        <v>0.16507249999999901</v>
      </c>
      <c r="R4247">
        <v>-7.5102600000000005E-2</v>
      </c>
      <c r="S4247">
        <v>-3.0835110000000001</v>
      </c>
      <c r="T4247">
        <v>2.7586220000000002E-2</v>
      </c>
      <c r="U4247">
        <v>0.48945620000000001</v>
      </c>
      <c r="V4247">
        <v>-8.0139970000000005E-2</v>
      </c>
      <c r="W4247">
        <v>0.1778441</v>
      </c>
      <c r="X4247">
        <v>0.98079000000000005</v>
      </c>
      <c r="Y4247">
        <v>0.15145719999999999</v>
      </c>
      <c r="Z4247">
        <v>4.257032E-4</v>
      </c>
      <c r="AA4247">
        <v>0.98846369999999895</v>
      </c>
      <c r="AB4247">
        <v>21</v>
      </c>
      <c r="AC4247">
        <v>-140.65119999999999</v>
      </c>
      <c r="AD4247">
        <v>1.2600309999999999</v>
      </c>
      <c r="AE4247">
        <v>22.355999999999899</v>
      </c>
      <c r="AF4247">
        <v>21.597043286319199</v>
      </c>
      <c r="AG4247">
        <v>1.2600309999999999</v>
      </c>
      <c r="AH4247">
        <v>140.75845813054701</v>
      </c>
      <c r="AI4247">
        <v>89.493049871656098</v>
      </c>
      <c r="AJ4247">
        <v>81.276943620403301</v>
      </c>
      <c r="AK4247">
        <v>142.41124777250201</v>
      </c>
      <c r="AL4247">
        <v>79.755789968201299</v>
      </c>
      <c r="AM4247">
        <v>94.671238556578501</v>
      </c>
      <c r="AN4247">
        <v>0.99999998139820501</v>
      </c>
    </row>
    <row r="4248" spans="1:40" x14ac:dyDescent="0.25">
      <c r="A4248" t="str">
        <f>"20190304155145210"</f>
        <v>20190304155145210</v>
      </c>
      <c r="B4248" t="str">
        <f>"1551685905201498"</f>
        <v>1551685905201498</v>
      </c>
      <c r="C4248" t="s">
        <v>40</v>
      </c>
      <c r="D4248">
        <v>4.6499920000000001</v>
      </c>
      <c r="E4248">
        <v>0.58723780000000003</v>
      </c>
      <c r="F4248" t="s">
        <v>88</v>
      </c>
      <c r="G4248">
        <v>-362.93950000000001</v>
      </c>
      <c r="H4248">
        <v>2.3834439999999999</v>
      </c>
      <c r="I4248">
        <v>163.45519999999999</v>
      </c>
      <c r="J4248">
        <v>-222.36189999999999</v>
      </c>
      <c r="K4248">
        <v>1.11012</v>
      </c>
      <c r="L4248">
        <v>141.25120000000001</v>
      </c>
      <c r="M4248">
        <v>-0.99989649999999997</v>
      </c>
      <c r="N4248">
        <v>-1.2879760000000001E-2</v>
      </c>
      <c r="O4248">
        <v>6.4235830000000001E-3</v>
      </c>
      <c r="P4248">
        <v>-0.98342339999999995</v>
      </c>
      <c r="Q4248">
        <v>0.16517290000000001</v>
      </c>
      <c r="R4248">
        <v>-7.4810589999999996E-2</v>
      </c>
      <c r="S4248">
        <v>-3.0830380000000002</v>
      </c>
      <c r="T4248">
        <v>2.788591E-2</v>
      </c>
      <c r="U4248">
        <v>0.4862823</v>
      </c>
      <c r="V4248">
        <v>-8.0897819999999995E-2</v>
      </c>
      <c r="W4248">
        <v>0.17792339999999901</v>
      </c>
      <c r="X4248">
        <v>0.98071339999999996</v>
      </c>
      <c r="Y4248">
        <v>0.14945739999999999</v>
      </c>
      <c r="Z4248">
        <v>4.3665270000000001E-4</v>
      </c>
      <c r="AA4248">
        <v>0.98876799999999998</v>
      </c>
      <c r="AB4248">
        <v>21</v>
      </c>
      <c r="AC4248">
        <v>-140.57759999999999</v>
      </c>
      <c r="AD4248">
        <v>1.2733239999999999</v>
      </c>
      <c r="AE4248">
        <v>22.203999999999901</v>
      </c>
      <c r="AF4248">
        <v>21.298750209945201</v>
      </c>
      <c r="AG4248">
        <v>1.2733239999999999</v>
      </c>
      <c r="AH4248">
        <v>140.70607719124001</v>
      </c>
      <c r="AI4248">
        <v>89.487353782757097</v>
      </c>
      <c r="AJ4248">
        <v>81.392453536885199</v>
      </c>
      <c r="AK4248">
        <v>142.31464532177199</v>
      </c>
      <c r="AL4248">
        <v>79.751172794660505</v>
      </c>
      <c r="AM4248">
        <v>94.715580870151001</v>
      </c>
      <c r="AN4248">
        <v>0.99999998324393602</v>
      </c>
    </row>
    <row r="4249" spans="1:40" x14ac:dyDescent="0.25">
      <c r="A4249" t="str">
        <f>"20190304155145232"</f>
        <v>20190304155145232</v>
      </c>
      <c r="B4249" t="str">
        <f>"1551685905221021"</f>
        <v>1551685905221021</v>
      </c>
      <c r="C4249" t="s">
        <v>40</v>
      </c>
      <c r="D4249">
        <v>4.6159919999999897</v>
      </c>
      <c r="E4249">
        <v>0.58661940000000001</v>
      </c>
      <c r="F4249" t="s">
        <v>79</v>
      </c>
      <c r="G4249">
        <v>-442.71480000000003</v>
      </c>
      <c r="H4249">
        <v>3.0545460000000002</v>
      </c>
      <c r="I4249">
        <v>175.7835</v>
      </c>
      <c r="J4249">
        <v>-222.56960000000001</v>
      </c>
      <c r="K4249">
        <v>1.1101829999999999</v>
      </c>
      <c r="L4249">
        <v>141.25370000000001</v>
      </c>
      <c r="M4249">
        <v>-0.9998901</v>
      </c>
      <c r="N4249">
        <v>-1.2871469999999999E-2</v>
      </c>
      <c r="O4249">
        <v>7.3572079999999996E-3</v>
      </c>
      <c r="P4249">
        <v>-0.98336259999999998</v>
      </c>
      <c r="Q4249">
        <v>0.1654031</v>
      </c>
      <c r="R4249">
        <v>-7.5101699999999993E-2</v>
      </c>
      <c r="S4249">
        <v>-3.082748</v>
      </c>
      <c r="T4249">
        <v>2.7202839999999999E-2</v>
      </c>
      <c r="U4249">
        <v>0.4831085</v>
      </c>
      <c r="V4249">
        <v>-8.2130529999999993E-2</v>
      </c>
      <c r="W4249">
        <v>0.17813399999999999</v>
      </c>
      <c r="X4249">
        <v>0.98057269999999996</v>
      </c>
      <c r="Y4249">
        <v>0.14755499999999999</v>
      </c>
      <c r="Z4249">
        <v>4.6700229999999999E-4</v>
      </c>
      <c r="AA4249">
        <v>0.98905370000000004</v>
      </c>
      <c r="AB4249">
        <v>21</v>
      </c>
      <c r="AC4249">
        <v>-220.14519999999999</v>
      </c>
      <c r="AD4249">
        <v>1.9443630000000001</v>
      </c>
      <c r="AE4249">
        <v>34.529799999999902</v>
      </c>
      <c r="AF4249">
        <v>32.906571787539001</v>
      </c>
      <c r="AG4249">
        <v>1.9443630000000001</v>
      </c>
      <c r="AH4249">
        <v>220.376526591925</v>
      </c>
      <c r="AI4249">
        <v>89.500040057278994</v>
      </c>
      <c r="AJ4249">
        <v>81.507354992378396</v>
      </c>
      <c r="AK4249">
        <v>222.828266804294</v>
      </c>
      <c r="AL4249">
        <v>79.738910412322099</v>
      </c>
      <c r="AM4249">
        <v>94.7877885009746</v>
      </c>
      <c r="AN4249">
        <v>0.99999998294968495</v>
      </c>
    </row>
    <row r="4250" spans="1:40" x14ac:dyDescent="0.25">
      <c r="A4250" t="str">
        <f>"20190304155145253"</f>
        <v>20190304155145253</v>
      </c>
      <c r="B4250" t="str">
        <f>"1551685905251274"</f>
        <v>1551685905251274</v>
      </c>
      <c r="C4250" t="s">
        <v>40</v>
      </c>
      <c r="D4250">
        <v>4.6710200000000004</v>
      </c>
      <c r="E4250">
        <v>0.58580310000000002</v>
      </c>
      <c r="F4250" t="s">
        <v>79</v>
      </c>
      <c r="G4250">
        <v>-442.92809999999997</v>
      </c>
      <c r="H4250">
        <v>3.0444610000000001</v>
      </c>
      <c r="I4250">
        <v>175.40770000000001</v>
      </c>
      <c r="J4250">
        <v>-222.7671</v>
      </c>
      <c r="K4250">
        <v>1.1102270000000001</v>
      </c>
      <c r="L4250">
        <v>141.25620000000001</v>
      </c>
      <c r="M4250">
        <v>-0.99988390000000005</v>
      </c>
      <c r="N4250">
        <v>-1.286438E-2</v>
      </c>
      <c r="O4250">
        <v>8.1814290000000005E-3</v>
      </c>
      <c r="P4250">
        <v>-0.98317759999999998</v>
      </c>
      <c r="Q4250">
        <v>0.16622990000000001</v>
      </c>
      <c r="R4250">
        <v>-7.5695810000000002E-2</v>
      </c>
      <c r="S4250">
        <v>-3.0827179999999998</v>
      </c>
      <c r="T4250">
        <v>2.705991E-2</v>
      </c>
      <c r="U4250">
        <v>0.47779850000000001</v>
      </c>
      <c r="V4250">
        <v>-8.3552029999999999E-2</v>
      </c>
      <c r="W4250">
        <v>0.1789424</v>
      </c>
      <c r="X4250">
        <v>0.98030539999999999</v>
      </c>
      <c r="Y4250">
        <v>0.1450776</v>
      </c>
      <c r="Z4250">
        <v>4.8180219999999999E-4</v>
      </c>
      <c r="AA4250">
        <v>0.98942019999999997</v>
      </c>
      <c r="AB4250">
        <v>21</v>
      </c>
      <c r="AC4250">
        <v>-220.161</v>
      </c>
      <c r="AD4250">
        <v>1.934234</v>
      </c>
      <c r="AE4250">
        <v>34.151499999999999</v>
      </c>
      <c r="AF4250">
        <v>32.346538349629398</v>
      </c>
      <c r="AG4250">
        <v>1.934234</v>
      </c>
      <c r="AH4250">
        <v>220.41644823739401</v>
      </c>
      <c r="AI4250">
        <v>89.502549504600097</v>
      </c>
      <c r="AJ4250">
        <v>81.651326331109004</v>
      </c>
      <c r="AK4250">
        <v>222.78566035083699</v>
      </c>
      <c r="AL4250">
        <v>79.691836344510193</v>
      </c>
      <c r="AM4250">
        <v>94.871581025056102</v>
      </c>
      <c r="AN4250">
        <v>1.00000000075202</v>
      </c>
    </row>
    <row r="4251" spans="1:40" x14ac:dyDescent="0.25">
      <c r="A4251" t="str">
        <f>"20190304155145275"</f>
        <v>20190304155145275</v>
      </c>
      <c r="B4251" t="str">
        <f>"1551685905270795"</f>
        <v>1551685905270795</v>
      </c>
      <c r="C4251" t="s">
        <v>40</v>
      </c>
      <c r="D4251">
        <v>4.6365270000000001</v>
      </c>
      <c r="E4251">
        <v>0.58555230000000003</v>
      </c>
      <c r="F4251" t="s">
        <v>79</v>
      </c>
      <c r="G4251">
        <v>-443.2414</v>
      </c>
      <c r="H4251">
        <v>3.1064750000000001</v>
      </c>
      <c r="I4251">
        <v>174.85560000000001</v>
      </c>
      <c r="J4251">
        <v>-222.96879999999999</v>
      </c>
      <c r="K4251">
        <v>1.110263</v>
      </c>
      <c r="L4251">
        <v>141.25880000000001</v>
      </c>
      <c r="M4251">
        <v>-0.99987720000000002</v>
      </c>
      <c r="N4251">
        <v>-1.285788E-2</v>
      </c>
      <c r="O4251">
        <v>8.9538719999999999E-3</v>
      </c>
      <c r="P4251">
        <v>-0.98310609999999998</v>
      </c>
      <c r="Q4251">
        <v>0.16625390000000001</v>
      </c>
      <c r="R4251">
        <v>-7.6564370000000007E-2</v>
      </c>
      <c r="S4251">
        <v>-3.0827789999999999</v>
      </c>
      <c r="T4251">
        <v>2.7912739999999998E-2</v>
      </c>
      <c r="U4251">
        <v>0.46980290000000002</v>
      </c>
      <c r="V4251">
        <v>-8.5196729999999998E-2</v>
      </c>
      <c r="W4251">
        <v>0.178951799999999</v>
      </c>
      <c r="X4251">
        <v>0.98016210000000004</v>
      </c>
      <c r="Y4251">
        <v>0.1418026</v>
      </c>
      <c r="Z4251">
        <v>4.73709E-4</v>
      </c>
      <c r="AA4251">
        <v>0.98989490000000002</v>
      </c>
      <c r="AB4251">
        <v>21</v>
      </c>
      <c r="AC4251">
        <v>-220.27260000000001</v>
      </c>
      <c r="AD4251">
        <v>1.9962119999999901</v>
      </c>
      <c r="AE4251">
        <v>33.596800000000002</v>
      </c>
      <c r="AF4251">
        <v>31.620459292990599</v>
      </c>
      <c r="AG4251">
        <v>1.9962119999999901</v>
      </c>
      <c r="AH4251">
        <v>220.546913534938</v>
      </c>
      <c r="AI4251">
        <v>89.486668030830302</v>
      </c>
      <c r="AJ4251">
        <v>81.840937827767902</v>
      </c>
      <c r="AK4251">
        <v>222.81108450441999</v>
      </c>
      <c r="AL4251">
        <v>79.6912887734034</v>
      </c>
      <c r="AM4251">
        <v>94.967724237243203</v>
      </c>
      <c r="AN4251">
        <v>0.99999998590117101</v>
      </c>
    </row>
    <row r="4252" spans="1:40" x14ac:dyDescent="0.25">
      <c r="A4252" t="str">
        <f>"20190304155145300"</f>
        <v>20190304155145300</v>
      </c>
      <c r="B4252" t="str">
        <f>"1551685905291290"</f>
        <v>1551685905291290</v>
      </c>
      <c r="C4252" t="s">
        <v>40</v>
      </c>
      <c r="D4252">
        <v>4.762645</v>
      </c>
      <c r="E4252">
        <v>0.56348419999999999</v>
      </c>
      <c r="F4252" t="s">
        <v>79</v>
      </c>
      <c r="G4252">
        <v>-443.43880000000001</v>
      </c>
      <c r="H4252">
        <v>3.0746000000000002</v>
      </c>
      <c r="I4252">
        <v>174.5078</v>
      </c>
      <c r="J4252">
        <v>-223.19290000000001</v>
      </c>
      <c r="K4252">
        <v>1.110306</v>
      </c>
      <c r="L4252">
        <v>141.26179999999999</v>
      </c>
      <c r="M4252">
        <v>-0.99987029999999999</v>
      </c>
      <c r="N4252">
        <v>-1.2851420000000001E-2</v>
      </c>
      <c r="O4252">
        <v>9.719699E-3</v>
      </c>
      <c r="P4252">
        <v>-0.98306800000000005</v>
      </c>
      <c r="Q4252">
        <v>0.16583899999999999</v>
      </c>
      <c r="R4252">
        <v>-7.7942360000000002E-2</v>
      </c>
      <c r="S4252">
        <v>-3.0831300000000001</v>
      </c>
      <c r="T4252">
        <v>2.7470230000000002E-2</v>
      </c>
      <c r="U4252">
        <v>0.46496579999999899</v>
      </c>
      <c r="V4252">
        <v>-8.7345909999999999E-2</v>
      </c>
      <c r="W4252">
        <v>0.1785216</v>
      </c>
      <c r="X4252">
        <v>0.98005140000000002</v>
      </c>
      <c r="Y4252">
        <v>0.139509299999999</v>
      </c>
      <c r="Z4252">
        <v>4.9384669999999996E-4</v>
      </c>
      <c r="AA4252">
        <v>0.99022069999999995</v>
      </c>
      <c r="AB4252">
        <v>21</v>
      </c>
      <c r="AC4252">
        <v>-220.24590000000001</v>
      </c>
      <c r="AD4252">
        <v>1.964294</v>
      </c>
      <c r="AE4252">
        <v>33.246000000000002</v>
      </c>
      <c r="AF4252">
        <v>31.1011101604097</v>
      </c>
      <c r="AG4252">
        <v>1.964294</v>
      </c>
      <c r="AH4252">
        <v>220.54151066836801</v>
      </c>
      <c r="AI4252">
        <v>89.494697470966798</v>
      </c>
      <c r="AJ4252">
        <v>81.972991174460205</v>
      </c>
      <c r="AK4252">
        <v>222.73234033703901</v>
      </c>
      <c r="AL4252">
        <v>79.716341064400098</v>
      </c>
      <c r="AM4252">
        <v>95.092961778163897</v>
      </c>
      <c r="AN4252">
        <v>1.00000000815112</v>
      </c>
    </row>
    <row r="4253" spans="1:40" x14ac:dyDescent="0.25">
      <c r="A4253" t="str">
        <f>"20190304155145322"</f>
        <v>20190304155145322</v>
      </c>
      <c r="B4253" t="str">
        <f>"1551685905310810"</f>
        <v>1551685905310810</v>
      </c>
      <c r="C4253" t="s">
        <v>40</v>
      </c>
      <c r="D4253">
        <v>4.8484280000000002</v>
      </c>
      <c r="E4253">
        <v>0.52545980000000003</v>
      </c>
      <c r="F4253" t="s">
        <v>87</v>
      </c>
      <c r="G4253">
        <v>-459.875</v>
      </c>
      <c r="H4253">
        <v>5.5784789999999997</v>
      </c>
      <c r="I4253">
        <v>163.26429999999999</v>
      </c>
      <c r="J4253">
        <v>-223.39570000000001</v>
      </c>
      <c r="K4253">
        <v>1.1103510000000001</v>
      </c>
      <c r="L4253">
        <v>141.2646</v>
      </c>
      <c r="M4253">
        <v>-0.99986419999999998</v>
      </c>
      <c r="N4253">
        <v>-1.2846089999999999E-2</v>
      </c>
      <c r="O4253">
        <v>1.032576E-2</v>
      </c>
      <c r="P4253">
        <v>-0.98306550000000004</v>
      </c>
      <c r="Q4253">
        <v>0.16521340000000001</v>
      </c>
      <c r="R4253">
        <v>-7.9290079999999999E-2</v>
      </c>
      <c r="S4253">
        <v>-3.0644990000000001</v>
      </c>
      <c r="T4253">
        <v>5.7852750000000001E-2</v>
      </c>
      <c r="U4253">
        <v>0.28488160000000001</v>
      </c>
      <c r="V4253">
        <v>-8.9309200000000005E-2</v>
      </c>
      <c r="W4253">
        <v>0.1778816</v>
      </c>
      <c r="X4253">
        <v>0.97999080000000005</v>
      </c>
      <c r="Y4253">
        <v>8.2276139999999998E-2</v>
      </c>
      <c r="Z4253" s="1">
        <v>8.1590959999999996E-5</v>
      </c>
      <c r="AA4253">
        <v>0.99660959999999998</v>
      </c>
      <c r="AB4253">
        <v>21</v>
      </c>
      <c r="AC4253">
        <v>-236.47929999999999</v>
      </c>
      <c r="AD4253">
        <v>4.4681280000000001</v>
      </c>
      <c r="AE4253">
        <v>21.999699999999901</v>
      </c>
      <c r="AF4253">
        <v>19.549577769428101</v>
      </c>
      <c r="AG4253">
        <v>4.4681280000000001</v>
      </c>
      <c r="AH4253">
        <v>236.61012867155799</v>
      </c>
      <c r="AI4253">
        <v>88.921832371357695</v>
      </c>
      <c r="AJ4253">
        <v>85.276745640311702</v>
      </c>
      <c r="AK4253">
        <v>237.45842404252301</v>
      </c>
      <c r="AL4253">
        <v>79.753606573585898</v>
      </c>
      <c r="AM4253">
        <v>95.207135053819599</v>
      </c>
      <c r="AN4253">
        <v>0.99999998245391997</v>
      </c>
    </row>
    <row r="4254" spans="1:40" x14ac:dyDescent="0.25">
      <c r="A4254" t="str">
        <f>"20190304155145343"</f>
        <v>20190304155145343</v>
      </c>
      <c r="B4254" t="str">
        <f>"1551685905341066"</f>
        <v>1551685905341066</v>
      </c>
      <c r="C4254" t="s">
        <v>40</v>
      </c>
      <c r="D4254">
        <v>4.731865</v>
      </c>
      <c r="E4254">
        <v>0.52483089999999999</v>
      </c>
      <c r="F4254" t="s">
        <v>84</v>
      </c>
      <c r="G4254">
        <v>-299.49520000000001</v>
      </c>
      <c r="H4254" s="1">
        <v>-8.4048960000000005E-6</v>
      </c>
      <c r="I4254">
        <v>140.8066</v>
      </c>
      <c r="J4254">
        <v>-223.5976</v>
      </c>
      <c r="K4254">
        <v>1.1104019999999999</v>
      </c>
      <c r="L4254">
        <v>141.26740000000001</v>
      </c>
      <c r="M4254">
        <v>-0.99985889999999999</v>
      </c>
      <c r="N4254">
        <v>-1.284126E-2</v>
      </c>
      <c r="O4254">
        <v>1.0841430000000001E-2</v>
      </c>
      <c r="P4254">
        <v>-0.98301470000000002</v>
      </c>
      <c r="Q4254">
        <v>0.1647594</v>
      </c>
      <c r="R4254">
        <v>-8.0849809999999994E-2</v>
      </c>
      <c r="S4254">
        <v>-3.057709</v>
      </c>
      <c r="T4254">
        <v>-4.4614670000000002E-2</v>
      </c>
      <c r="U4254">
        <v>-1.8402100000000001E-2</v>
      </c>
      <c r="V4254">
        <v>-9.1398229999999997E-2</v>
      </c>
      <c r="W4254">
        <v>0.17741100000000001</v>
      </c>
      <c r="X4254">
        <v>0.97988350000000002</v>
      </c>
      <c r="Y4254">
        <v>-1.6856550000000001E-2</v>
      </c>
      <c r="Z4254">
        <v>-2.5016719999999999E-4</v>
      </c>
      <c r="AA4254">
        <v>0.99985789999999997</v>
      </c>
      <c r="AB4254">
        <v>21</v>
      </c>
      <c r="AC4254">
        <v>-75.897599999999997</v>
      </c>
      <c r="AD4254">
        <v>-1.110410404896</v>
      </c>
      <c r="AE4254">
        <v>-0.46080000000000598</v>
      </c>
      <c r="AF4254">
        <v>-1.28340447784578</v>
      </c>
      <c r="AG4254">
        <v>-1.110410404896</v>
      </c>
      <c r="AH4254">
        <v>75.871902996609705</v>
      </c>
      <c r="AI4254">
        <v>90.838362913788202</v>
      </c>
      <c r="AJ4254">
        <v>90.9690892789678</v>
      </c>
      <c r="AK4254">
        <v>75.890880892555302</v>
      </c>
      <c r="AL4254">
        <v>79.781005810262002</v>
      </c>
      <c r="AM4254">
        <v>95.328822085493002</v>
      </c>
      <c r="AN4254">
        <v>0.99999998647019095</v>
      </c>
    </row>
    <row r="4255" spans="1:40" x14ac:dyDescent="0.25">
      <c r="A4255" t="str">
        <f>"20190304155145366"</f>
        <v>20190304155145366</v>
      </c>
      <c r="B4255" t="str">
        <f>"1551685905361562"</f>
        <v>1551685905361562</v>
      </c>
      <c r="C4255" t="s">
        <v>40</v>
      </c>
      <c r="D4255">
        <v>4.7601959999999996</v>
      </c>
      <c r="E4255">
        <v>0.52504740000000005</v>
      </c>
      <c r="F4255" t="s">
        <v>84</v>
      </c>
      <c r="G4255">
        <v>-305.58179999999999</v>
      </c>
      <c r="H4255" s="1">
        <v>-9.1224850000000001E-6</v>
      </c>
      <c r="I4255">
        <v>140.50530000000001</v>
      </c>
      <c r="J4255">
        <v>-223.80179999999999</v>
      </c>
      <c r="K4255">
        <v>1.110471</v>
      </c>
      <c r="L4255">
        <v>141.27019999999999</v>
      </c>
      <c r="M4255">
        <v>-0.99985409999999997</v>
      </c>
      <c r="N4255">
        <v>-1.283684E-2</v>
      </c>
      <c r="O4255">
        <v>1.1266460000000001E-2</v>
      </c>
      <c r="P4255">
        <v>-0.98294009999999998</v>
      </c>
      <c r="Q4255">
        <v>0.16469439999999999</v>
      </c>
      <c r="R4255">
        <v>-8.188028E-2</v>
      </c>
      <c r="S4255">
        <v>-3.0564420000000001</v>
      </c>
      <c r="T4255">
        <v>-4.1397089999999998E-2</v>
      </c>
      <c r="U4255">
        <v>-2.8411869999999999E-2</v>
      </c>
      <c r="V4255">
        <v>-9.2873730000000002E-2</v>
      </c>
      <c r="W4255">
        <v>0.17732600000000001</v>
      </c>
      <c r="X4255">
        <v>0.97976019999999997</v>
      </c>
      <c r="Y4255">
        <v>-2.0557969999999998E-2</v>
      </c>
      <c r="Z4255">
        <v>-2.7913699999999999E-4</v>
      </c>
      <c r="AA4255">
        <v>0.99978860000000003</v>
      </c>
      <c r="AB4255">
        <v>21</v>
      </c>
      <c r="AC4255">
        <v>-81.78</v>
      </c>
      <c r="AD4255">
        <v>-1.1104801224850001</v>
      </c>
      <c r="AE4255">
        <v>-0.76489999999998204</v>
      </c>
      <c r="AF4255">
        <v>-1.6859876501428901</v>
      </c>
      <c r="AG4255">
        <v>-1.1104801224850001</v>
      </c>
      <c r="AH4255">
        <v>81.751117835514506</v>
      </c>
      <c r="AI4255">
        <v>90.778073609366899</v>
      </c>
      <c r="AJ4255">
        <v>91.181467449487499</v>
      </c>
      <c r="AK4255">
        <v>81.776041649220502</v>
      </c>
      <c r="AL4255">
        <v>79.785955015813997</v>
      </c>
      <c r="AM4255">
        <v>95.415018791516701</v>
      </c>
      <c r="AN4255">
        <v>1.00000004475207</v>
      </c>
    </row>
    <row r="4256" spans="1:40" x14ac:dyDescent="0.25">
      <c r="A4256" t="str">
        <f>"20190304155145389"</f>
        <v>20190304155145389</v>
      </c>
      <c r="B4256" t="str">
        <f>"1551685905381083"</f>
        <v>1551685905381083</v>
      </c>
      <c r="C4256" t="s">
        <v>40</v>
      </c>
      <c r="D4256">
        <v>4.750337</v>
      </c>
      <c r="E4256">
        <v>0.5255204</v>
      </c>
      <c r="F4256" t="s">
        <v>84</v>
      </c>
      <c r="G4256">
        <v>-310.24950000000001</v>
      </c>
      <c r="H4256" s="1">
        <v>-9.5939509999999992E-6</v>
      </c>
      <c r="I4256">
        <v>140.41249999999999</v>
      </c>
      <c r="J4256">
        <v>-224.00790000000001</v>
      </c>
      <c r="K4256">
        <v>1.1105370000000001</v>
      </c>
      <c r="L4256">
        <v>141.27289999999999</v>
      </c>
      <c r="M4256">
        <v>-0.99985060000000003</v>
      </c>
      <c r="N4256">
        <v>-1.283284E-2</v>
      </c>
      <c r="O4256">
        <v>1.1580679999999999E-2</v>
      </c>
      <c r="P4256">
        <v>-0.98281470000000004</v>
      </c>
      <c r="Q4256">
        <v>0.16473289999999999</v>
      </c>
      <c r="R4256">
        <v>-8.3296190000000006E-2</v>
      </c>
      <c r="S4256">
        <v>-3.0561219999999998</v>
      </c>
      <c r="T4256">
        <v>-3.9258000000000001E-2</v>
      </c>
      <c r="U4256">
        <v>-3.0319209999999999E-2</v>
      </c>
      <c r="V4256">
        <v>-9.4628039999999997E-2</v>
      </c>
      <c r="W4256">
        <v>0.1773429</v>
      </c>
      <c r="X4256">
        <v>0.97958920000000005</v>
      </c>
      <c r="Y4256">
        <v>-2.1497180000000001E-2</v>
      </c>
      <c r="Z4256">
        <v>-2.7615529999999998E-4</v>
      </c>
      <c r="AA4256">
        <v>0.99976889999999996</v>
      </c>
      <c r="AB4256">
        <v>20</v>
      </c>
      <c r="AC4256">
        <v>-86.241600000000005</v>
      </c>
      <c r="AD4256">
        <v>-1.110546593951</v>
      </c>
      <c r="AE4256">
        <v>-0.86039999999999806</v>
      </c>
      <c r="AF4256">
        <v>-1.85885269824723</v>
      </c>
      <c r="AG4256">
        <v>-1.110546593951</v>
      </c>
      <c r="AH4256">
        <v>86.211556714998693</v>
      </c>
      <c r="AI4256">
        <v>90.737851547759803</v>
      </c>
      <c r="AJ4256">
        <v>91.2351930343617</v>
      </c>
      <c r="AK4256">
        <v>86.238745110968296</v>
      </c>
      <c r="AL4256">
        <v>79.784970510802395</v>
      </c>
      <c r="AM4256">
        <v>95.517635998955399</v>
      </c>
      <c r="AN4256">
        <v>0.99999998544564495</v>
      </c>
    </row>
    <row r="4257" spans="1:40" x14ac:dyDescent="0.25">
      <c r="A4257" t="str">
        <f>"20190304155145412"</f>
        <v>20190304155145412</v>
      </c>
      <c r="B4257" t="str">
        <f>"1551685905401578"</f>
        <v>1551685905401578</v>
      </c>
      <c r="C4257" t="s">
        <v>40</v>
      </c>
      <c r="D4257">
        <v>4.7832030000000003</v>
      </c>
      <c r="E4257">
        <v>0.52594410000000003</v>
      </c>
      <c r="F4257" t="s">
        <v>84</v>
      </c>
      <c r="G4257">
        <v>-295.97949999999997</v>
      </c>
      <c r="H4257" s="1">
        <v>-8.6432030000000004E-6</v>
      </c>
      <c r="I4257">
        <v>140.53919999999999</v>
      </c>
      <c r="J4257">
        <v>-224.2159</v>
      </c>
      <c r="K4257">
        <v>1.1106020000000001</v>
      </c>
      <c r="L4257">
        <v>141.2756</v>
      </c>
      <c r="M4257">
        <v>-0.99984850000000003</v>
      </c>
      <c r="N4257">
        <v>-1.2829210000000001E-2</v>
      </c>
      <c r="O4257">
        <v>1.17757E-2</v>
      </c>
      <c r="P4257">
        <v>-0.98282550000000002</v>
      </c>
      <c r="Q4257">
        <v>0.16418920000000001</v>
      </c>
      <c r="R4257">
        <v>-8.4238880000000002E-2</v>
      </c>
      <c r="S4257">
        <v>-3.0577390000000002</v>
      </c>
      <c r="T4257">
        <v>-4.7181960000000002E-2</v>
      </c>
      <c r="U4257">
        <v>-3.117371E-2</v>
      </c>
      <c r="V4257">
        <v>-9.5792530000000001E-2</v>
      </c>
      <c r="W4257">
        <v>0.17677880000000001</v>
      </c>
      <c r="X4257">
        <v>0.97957799999999995</v>
      </c>
      <c r="Y4257">
        <v>-2.196501E-2</v>
      </c>
      <c r="Z4257">
        <v>-3.4098400000000001E-4</v>
      </c>
      <c r="AA4257">
        <v>0.9997587</v>
      </c>
      <c r="AB4257">
        <v>20</v>
      </c>
      <c r="AC4257">
        <v>-71.763599999999897</v>
      </c>
      <c r="AD4257">
        <v>-1.1106106432030001</v>
      </c>
      <c r="AE4257">
        <v>-0.73640000000000305</v>
      </c>
      <c r="AF4257">
        <v>-1.58110634854006</v>
      </c>
      <c r="AG4257">
        <v>-1.1106106432030001</v>
      </c>
      <c r="AH4257">
        <v>71.732772471965504</v>
      </c>
      <c r="AI4257">
        <v>90.886802061222298</v>
      </c>
      <c r="AJ4257">
        <v>91.262687210255095</v>
      </c>
      <c r="AK4257">
        <v>71.758790400904601</v>
      </c>
      <c r="AL4257">
        <v>79.817810133313102</v>
      </c>
      <c r="AM4257">
        <v>95.585172599991793</v>
      </c>
      <c r="AN4257">
        <v>1.00000000550862</v>
      </c>
    </row>
    <row r="4258" spans="1:40" x14ac:dyDescent="0.25">
      <c r="A4258" t="str">
        <f>"20190304155145432"</f>
        <v>20190304155145432</v>
      </c>
      <c r="B4258" t="str">
        <f>"1551685905421098"</f>
        <v>1551685905421098</v>
      </c>
      <c r="C4258" t="s">
        <v>40</v>
      </c>
      <c r="D4258">
        <v>4.7707470000000001</v>
      </c>
      <c r="E4258">
        <v>0.52571420000000002</v>
      </c>
      <c r="F4258" t="s">
        <v>84</v>
      </c>
      <c r="G4258">
        <v>-298.7081</v>
      </c>
      <c r="H4258" s="1">
        <v>-8.402229E-6</v>
      </c>
      <c r="I4258">
        <v>140.5343</v>
      </c>
      <c r="J4258">
        <v>-224.40639999999999</v>
      </c>
      <c r="K4258">
        <v>1.1106529999999999</v>
      </c>
      <c r="L4258">
        <v>141.27799999999999</v>
      </c>
      <c r="M4258">
        <v>-0.99984740000000005</v>
      </c>
      <c r="N4258">
        <v>-1.2826239999999999E-2</v>
      </c>
      <c r="O4258">
        <v>1.186888E-2</v>
      </c>
      <c r="P4258">
        <v>-0.98279729999999998</v>
      </c>
      <c r="Q4258">
        <v>0.163823</v>
      </c>
      <c r="R4258">
        <v>-8.5274550000000005E-2</v>
      </c>
      <c r="S4258">
        <v>-3.0574340000000002</v>
      </c>
      <c r="T4258">
        <v>-4.5583489999999997E-2</v>
      </c>
      <c r="U4258">
        <v>-3.042603E-2</v>
      </c>
      <c r="V4258">
        <v>-9.694266E-2</v>
      </c>
      <c r="W4258">
        <v>0.17639669999999999</v>
      </c>
      <c r="X4258">
        <v>0.97953369999999995</v>
      </c>
      <c r="Y4258">
        <v>-2.1815029999999999E-2</v>
      </c>
      <c r="Z4258">
        <v>-3.272382E-4</v>
      </c>
      <c r="AA4258">
        <v>0.99976200000000004</v>
      </c>
      <c r="AB4258">
        <v>20</v>
      </c>
      <c r="AC4258">
        <v>-74.301699999999997</v>
      </c>
      <c r="AD4258">
        <v>-1.110661402229</v>
      </c>
      <c r="AE4258">
        <v>-0.74369999999998904</v>
      </c>
      <c r="AF4258">
        <v>-1.62523491580382</v>
      </c>
      <c r="AG4258">
        <v>-1.110661402229</v>
      </c>
      <c r="AH4258">
        <v>74.271044244131801</v>
      </c>
      <c r="AI4258">
        <v>90.856541624009196</v>
      </c>
      <c r="AJ4258">
        <v>91.253573898994105</v>
      </c>
      <c r="AK4258">
        <v>74.297126259336096</v>
      </c>
      <c r="AL4258">
        <v>79.840052048638199</v>
      </c>
      <c r="AM4258">
        <v>95.652053145555001</v>
      </c>
      <c r="AN4258">
        <v>0.99999997226722703</v>
      </c>
    </row>
    <row r="4259" spans="1:40" x14ac:dyDescent="0.25">
      <c r="A4259" t="str">
        <f>"20190304155145455"</f>
        <v>20190304155145455</v>
      </c>
      <c r="B4259" t="str">
        <f>"1551685905451354"</f>
        <v>1551685905451354</v>
      </c>
      <c r="C4259" t="s">
        <v>40</v>
      </c>
      <c r="D4259">
        <v>4.7686260000000003</v>
      </c>
      <c r="E4259">
        <v>0.52568700000000002</v>
      </c>
      <c r="F4259" t="s">
        <v>84</v>
      </c>
      <c r="G4259">
        <v>-301.45400000000001</v>
      </c>
      <c r="H4259" s="1">
        <v>-8.4988340000000004E-6</v>
      </c>
      <c r="I4259">
        <v>140.4015</v>
      </c>
      <c r="J4259">
        <v>-224.6148</v>
      </c>
      <c r="K4259">
        <v>1.1106959999999999</v>
      </c>
      <c r="L4259">
        <v>141.28059999999999</v>
      </c>
      <c r="M4259">
        <v>-0.99984720000000005</v>
      </c>
      <c r="N4259">
        <v>-1.282324E-2</v>
      </c>
      <c r="O4259">
        <v>1.188294E-2</v>
      </c>
      <c r="P4259">
        <v>-0.98288980000000004</v>
      </c>
      <c r="Q4259">
        <v>0.16310339999999901</v>
      </c>
      <c r="R4259">
        <v>-8.558723E-2</v>
      </c>
      <c r="S4259">
        <v>-3.056854</v>
      </c>
      <c r="T4259">
        <v>-4.4065359999999998E-2</v>
      </c>
      <c r="U4259">
        <v>-3.4774779999999998E-2</v>
      </c>
      <c r="V4259">
        <v>-9.7288150000000004E-2</v>
      </c>
      <c r="W4259">
        <v>0.1756654</v>
      </c>
      <c r="X4259">
        <v>0.97963089999999997</v>
      </c>
      <c r="Y4259">
        <v>-2.3253030000000001E-2</v>
      </c>
      <c r="Z4259">
        <v>-3.356031E-4</v>
      </c>
      <c r="AA4259">
        <v>0.9997296</v>
      </c>
      <c r="AB4259">
        <v>20</v>
      </c>
      <c r="AC4259">
        <v>-76.839200000000005</v>
      </c>
      <c r="AD4259">
        <v>-1.11070449883399</v>
      </c>
      <c r="AE4259">
        <v>-0.879099999999994</v>
      </c>
      <c r="AF4259">
        <v>-1.79181423486187</v>
      </c>
      <c r="AG4259">
        <v>-1.11070449883399</v>
      </c>
      <c r="AH4259">
        <v>76.807280378990001</v>
      </c>
      <c r="AI4259">
        <v>90.828267034067494</v>
      </c>
      <c r="AJ4259">
        <v>91.336393826089605</v>
      </c>
      <c r="AK4259">
        <v>76.836206191825795</v>
      </c>
      <c r="AL4259">
        <v>79.882617495581002</v>
      </c>
      <c r="AM4259">
        <v>95.671506032133294</v>
      </c>
      <c r="AN4259">
        <v>1.00000000856119</v>
      </c>
    </row>
    <row r="4260" spans="1:40" x14ac:dyDescent="0.25">
      <c r="A4260" t="str">
        <f>"20190304155145476"</f>
        <v>20190304155145476</v>
      </c>
      <c r="B4260" t="str">
        <f>"1551685905471701"</f>
        <v>1551685905471701</v>
      </c>
      <c r="C4260" t="s">
        <v>40</v>
      </c>
      <c r="D4260">
        <v>4.7610539999999997</v>
      </c>
      <c r="E4260">
        <v>0.52567259999999905</v>
      </c>
      <c r="F4260" t="s">
        <v>84</v>
      </c>
      <c r="G4260">
        <v>-298.91890000000001</v>
      </c>
      <c r="H4260" s="1">
        <v>-8.353381E-6</v>
      </c>
      <c r="I4260">
        <v>140.41929999999999</v>
      </c>
      <c r="J4260">
        <v>-224.80959999999999</v>
      </c>
      <c r="K4260">
        <v>1.110716</v>
      </c>
      <c r="L4260">
        <v>141.28290000000001</v>
      </c>
      <c r="M4260">
        <v>-0.99984779999999995</v>
      </c>
      <c r="N4260">
        <v>-1.2820659999999999E-2</v>
      </c>
      <c r="O4260">
        <v>1.183178E-2</v>
      </c>
      <c r="P4260">
        <v>-0.98294870000000001</v>
      </c>
      <c r="Q4260">
        <v>0.1625646</v>
      </c>
      <c r="R4260">
        <v>-8.5935440000000002E-2</v>
      </c>
      <c r="S4260">
        <v>-3.0567169999999999</v>
      </c>
      <c r="T4260">
        <v>-4.5692089999999998E-2</v>
      </c>
      <c r="U4260">
        <v>-3.5430910000000003E-2</v>
      </c>
      <c r="V4260">
        <v>-9.7597690000000001E-2</v>
      </c>
      <c r="W4260">
        <v>0.175119</v>
      </c>
      <c r="X4260">
        <v>0.97969790000000001</v>
      </c>
      <c r="Y4260">
        <v>-2.3416639999999999E-2</v>
      </c>
      <c r="Z4260">
        <v>-3.5029210000000002E-4</v>
      </c>
      <c r="AA4260">
        <v>0.9997258</v>
      </c>
      <c r="AB4260">
        <v>20</v>
      </c>
      <c r="AC4260">
        <v>-74.109300000000005</v>
      </c>
      <c r="AD4260">
        <v>-1.1107243533810001</v>
      </c>
      <c r="AE4260">
        <v>-0.86360000000001902</v>
      </c>
      <c r="AF4260">
        <v>-1.7400657353362401</v>
      </c>
      <c r="AG4260">
        <v>-1.1107243533810001</v>
      </c>
      <c r="AH4260">
        <v>74.077255190303305</v>
      </c>
      <c r="AI4260">
        <v>90.858799407072595</v>
      </c>
      <c r="AJ4260">
        <v>91.345623450949006</v>
      </c>
      <c r="AK4260">
        <v>74.106013749774803</v>
      </c>
      <c r="AL4260">
        <v>79.914416493161696</v>
      </c>
      <c r="AM4260">
        <v>95.689046224256401</v>
      </c>
      <c r="AN4260">
        <v>0.99999997425937204</v>
      </c>
    </row>
    <row r="4261" spans="1:40" x14ac:dyDescent="0.25">
      <c r="A4261" t="str">
        <f>"20190304155145501"</f>
        <v>20190304155145501</v>
      </c>
      <c r="B4261" t="str">
        <f>"1551685905491221"</f>
        <v>1551685905491221</v>
      </c>
      <c r="C4261" t="s">
        <v>40</v>
      </c>
      <c r="D4261">
        <v>4.8075070000000002</v>
      </c>
      <c r="E4261">
        <v>0.52567540000000001</v>
      </c>
      <c r="F4261" t="s">
        <v>84</v>
      </c>
      <c r="G4261">
        <v>-293.33</v>
      </c>
      <c r="H4261" s="1">
        <v>-8.8598600000000002E-6</v>
      </c>
      <c r="I4261">
        <v>140.47810000000001</v>
      </c>
      <c r="J4261">
        <v>-225.0369</v>
      </c>
      <c r="K4261">
        <v>1.1107400000000001</v>
      </c>
      <c r="L4261">
        <v>141.28550000000001</v>
      </c>
      <c r="M4261">
        <v>-0.9998494</v>
      </c>
      <c r="N4261">
        <v>-1.281789E-2</v>
      </c>
      <c r="O4261">
        <v>1.17147E-2</v>
      </c>
      <c r="P4261">
        <v>-0.9829772</v>
      </c>
      <c r="Q4261">
        <v>0.1622191</v>
      </c>
      <c r="R4261">
        <v>-8.6264770000000005E-2</v>
      </c>
      <c r="S4261">
        <v>-3.0571139999999999</v>
      </c>
      <c r="T4261">
        <v>-4.9556259999999998E-2</v>
      </c>
      <c r="U4261">
        <v>-3.5903930000000001E-2</v>
      </c>
      <c r="V4261">
        <v>-9.7821149999999996E-2</v>
      </c>
      <c r="W4261">
        <v>0.174766</v>
      </c>
      <c r="X4261">
        <v>0.97973869999999996</v>
      </c>
      <c r="Y4261">
        <v>-2.345204E-2</v>
      </c>
      <c r="Z4261">
        <v>-3.8011449999999998E-4</v>
      </c>
      <c r="AA4261">
        <v>0.99972490000000003</v>
      </c>
      <c r="AB4261">
        <v>20</v>
      </c>
      <c r="AC4261">
        <v>-68.293099999999896</v>
      </c>
      <c r="AD4261">
        <v>-1.1107488598599999</v>
      </c>
      <c r="AE4261">
        <v>-0.80740000000000101</v>
      </c>
      <c r="AF4261">
        <v>-1.60701830593149</v>
      </c>
      <c r="AG4261">
        <v>-1.1107488598599999</v>
      </c>
      <c r="AH4261">
        <v>68.260899108510202</v>
      </c>
      <c r="AI4261">
        <v>90.931982763651604</v>
      </c>
      <c r="AJ4261">
        <v>91.3486250954616</v>
      </c>
      <c r="AK4261">
        <v>68.288846951515396</v>
      </c>
      <c r="AL4261">
        <v>79.934959220727507</v>
      </c>
      <c r="AM4261">
        <v>95.7017502599723</v>
      </c>
      <c r="AN4261">
        <v>1.0000000262105</v>
      </c>
    </row>
    <row r="4262" spans="1:40" x14ac:dyDescent="0.25">
      <c r="A4262" t="str">
        <f>"20190304155145524"</f>
        <v>20190304155145524</v>
      </c>
      <c r="B4262" t="str">
        <f>"1551685905521477"</f>
        <v>1551685905521477</v>
      </c>
      <c r="C4262" t="s">
        <v>40</v>
      </c>
      <c r="D4262">
        <v>4.8314810000000001</v>
      </c>
      <c r="E4262">
        <v>0.52588109999999999</v>
      </c>
      <c r="F4262" t="s">
        <v>84</v>
      </c>
      <c r="G4262">
        <v>-292.28140000000002</v>
      </c>
      <c r="H4262" s="1">
        <v>-8.9542199999999995E-6</v>
      </c>
      <c r="I4262">
        <v>140.48670000000001</v>
      </c>
      <c r="J4262">
        <v>-225.23830000000001</v>
      </c>
      <c r="K4262">
        <v>1.1107590000000001</v>
      </c>
      <c r="L4262">
        <v>141.2878</v>
      </c>
      <c r="M4262">
        <v>-0.99985100000000005</v>
      </c>
      <c r="N4262">
        <v>-1.2815750000000001E-2</v>
      </c>
      <c r="O4262">
        <v>1.1578130000000001E-2</v>
      </c>
      <c r="P4262">
        <v>-0.9830238</v>
      </c>
      <c r="Q4262">
        <v>0.1618009</v>
      </c>
      <c r="R4262">
        <v>-8.6517739999999996E-2</v>
      </c>
      <c r="S4262">
        <v>-3.0570979999999999</v>
      </c>
      <c r="T4262">
        <v>-5.049729E-2</v>
      </c>
      <c r="U4262">
        <v>-3.6315920000000002E-2</v>
      </c>
      <c r="V4262">
        <v>-9.7949170000000002E-2</v>
      </c>
      <c r="W4262">
        <v>0.174341</v>
      </c>
      <c r="X4262">
        <v>0.97980160000000005</v>
      </c>
      <c r="Y4262">
        <v>-2.3450080000000002E-2</v>
      </c>
      <c r="Z4262">
        <v>-3.8679699999999998E-4</v>
      </c>
      <c r="AA4262">
        <v>0.99972490000000003</v>
      </c>
      <c r="AB4262">
        <v>20</v>
      </c>
      <c r="AC4262">
        <v>-67.043099999999995</v>
      </c>
      <c r="AD4262">
        <v>-1.11076795422</v>
      </c>
      <c r="AE4262">
        <v>-0.80109999999999004</v>
      </c>
      <c r="AF4262">
        <v>-1.5769108551896101</v>
      </c>
      <c r="AG4262">
        <v>-1.11076795422</v>
      </c>
      <c r="AH4262">
        <v>67.010937731027596</v>
      </c>
      <c r="AI4262">
        <v>90.949380517762705</v>
      </c>
      <c r="AJ4262">
        <v>91.348043584384001</v>
      </c>
      <c r="AK4262">
        <v>67.038692028447301</v>
      </c>
      <c r="AL4262">
        <v>79.959689326726902</v>
      </c>
      <c r="AM4262">
        <v>95.708798874710695</v>
      </c>
      <c r="AN4262">
        <v>0.99999999977362397</v>
      </c>
    </row>
    <row r="4263" spans="1:40" x14ac:dyDescent="0.25">
      <c r="A4263" t="str">
        <f>"20190304155145544"</f>
        <v>20190304155145544</v>
      </c>
      <c r="B4263" t="str">
        <f>"1551685905540997"</f>
        <v>1551685905540997</v>
      </c>
      <c r="C4263" t="s">
        <v>40</v>
      </c>
      <c r="D4263">
        <v>4.8217699999999999</v>
      </c>
      <c r="E4263">
        <v>0.52594609999999997</v>
      </c>
      <c r="F4263" t="s">
        <v>84</v>
      </c>
      <c r="G4263">
        <v>-289.7389</v>
      </c>
      <c r="H4263" s="1">
        <v>-9.0693449999999995E-6</v>
      </c>
      <c r="I4263">
        <v>140.54769999999999</v>
      </c>
      <c r="J4263">
        <v>-225.42490000000001</v>
      </c>
      <c r="K4263">
        <v>1.110771</v>
      </c>
      <c r="L4263">
        <v>141.28980000000001</v>
      </c>
      <c r="M4263">
        <v>-0.99985279999999999</v>
      </c>
      <c r="N4263">
        <v>-1.2809940000000001E-2</v>
      </c>
      <c r="O4263">
        <v>1.1428489999999999E-2</v>
      </c>
      <c r="P4263">
        <v>-0.98299349999999996</v>
      </c>
      <c r="Q4263">
        <v>0.1617266</v>
      </c>
      <c r="R4263">
        <v>-8.6997260000000007E-2</v>
      </c>
      <c r="S4263">
        <v>-3.057388</v>
      </c>
      <c r="T4263">
        <v>-5.2651410000000003E-2</v>
      </c>
      <c r="U4263">
        <v>-3.507996E-2</v>
      </c>
      <c r="V4263">
        <v>-9.8289860000000007E-2</v>
      </c>
      <c r="W4263">
        <v>0.1742561</v>
      </c>
      <c r="X4263">
        <v>0.97978259999999995</v>
      </c>
      <c r="Y4263">
        <v>-2.2894970000000001E-2</v>
      </c>
      <c r="Z4263">
        <v>-3.9418070000000002E-4</v>
      </c>
      <c r="AA4263">
        <v>0.99973780000000001</v>
      </c>
      <c r="AB4263">
        <v>20</v>
      </c>
      <c r="AC4263">
        <v>-64.313999999999993</v>
      </c>
      <c r="AD4263">
        <v>-1.1107800693449901</v>
      </c>
      <c r="AE4263">
        <v>-0.74210000000002097</v>
      </c>
      <c r="AF4263">
        <v>-1.47668319874134</v>
      </c>
      <c r="AG4263">
        <v>-1.1107800693449901</v>
      </c>
      <c r="AH4263">
        <v>64.282144907942197</v>
      </c>
      <c r="AI4263">
        <v>90.989697776175802</v>
      </c>
      <c r="AJ4263">
        <v>91.315961641688006</v>
      </c>
      <c r="AK4263">
        <v>64.308697542382106</v>
      </c>
      <c r="AL4263">
        <v>79.9646295015703</v>
      </c>
      <c r="AM4263">
        <v>95.728633916891098</v>
      </c>
      <c r="AN4263">
        <v>1.0000000141143901</v>
      </c>
    </row>
    <row r="4264" spans="1:40" x14ac:dyDescent="0.25">
      <c r="A4264" t="str">
        <f>"20190304155145566"</f>
        <v>20190304155145566</v>
      </c>
      <c r="B4264" t="str">
        <f>"1551685905561494"</f>
        <v>1551685905561494</v>
      </c>
      <c r="C4264" t="s">
        <v>40</v>
      </c>
      <c r="D4264">
        <v>4.8709509999999998</v>
      </c>
      <c r="E4264">
        <v>0.52593509999999999</v>
      </c>
      <c r="F4264" t="s">
        <v>84</v>
      </c>
      <c r="G4264">
        <v>-287.52530000000002</v>
      </c>
      <c r="H4264" s="1">
        <v>-7.7226499999999997E-6</v>
      </c>
      <c r="I4264">
        <v>140.5686</v>
      </c>
      <c r="J4264">
        <v>-225.6259</v>
      </c>
      <c r="K4264">
        <v>1.1107929999999999</v>
      </c>
      <c r="L4264">
        <v>141.2919</v>
      </c>
      <c r="M4264">
        <v>-0.99985489999999999</v>
      </c>
      <c r="N4264">
        <v>-1.2798469999999999E-2</v>
      </c>
      <c r="O4264">
        <v>1.124357E-2</v>
      </c>
      <c r="P4264">
        <v>-0.98284519999999997</v>
      </c>
      <c r="Q4264">
        <v>0.16223360000000001</v>
      </c>
      <c r="R4264">
        <v>-8.7724720000000006E-2</v>
      </c>
      <c r="S4264">
        <v>-3.0577700000000001</v>
      </c>
      <c r="T4264">
        <v>-5.4693819999999997E-2</v>
      </c>
      <c r="U4264">
        <v>-3.5507200000000003E-2</v>
      </c>
      <c r="V4264">
        <v>-9.8841780000000004E-2</v>
      </c>
      <c r="W4264">
        <v>0.17474529999999999</v>
      </c>
      <c r="X4264">
        <v>0.97963990000000001</v>
      </c>
      <c r="Y4264">
        <v>-2.2847929999999999E-2</v>
      </c>
      <c r="Z4264">
        <v>-4.0774650000000002E-4</v>
      </c>
      <c r="AA4264">
        <v>0.99973889999999999</v>
      </c>
      <c r="AB4264">
        <v>20</v>
      </c>
      <c r="AC4264">
        <v>-61.8994</v>
      </c>
      <c r="AD4264">
        <v>-1.1108007226499901</v>
      </c>
      <c r="AE4264">
        <v>-0.72329999999999395</v>
      </c>
      <c r="AF4264">
        <v>-1.4188246573377901</v>
      </c>
      <c r="AG4264">
        <v>-1.1108007226499901</v>
      </c>
      <c r="AH4264">
        <v>61.867432908781197</v>
      </c>
      <c r="AI4264">
        <v>91.028337985225505</v>
      </c>
      <c r="AJ4264">
        <v>91.313751255177905</v>
      </c>
      <c r="AK4264">
        <v>61.893668467592498</v>
      </c>
      <c r="AL4264">
        <v>79.936163263712501</v>
      </c>
      <c r="AM4264">
        <v>95.7614192368586</v>
      </c>
      <c r="AN4264">
        <v>0.99999997550883402</v>
      </c>
    </row>
    <row r="4265" spans="1:40" x14ac:dyDescent="0.25">
      <c r="A4265" t="str">
        <f>"20190304155145589"</f>
        <v>20190304155145589</v>
      </c>
      <c r="B4265" t="str">
        <f>"1551685905581053"</f>
        <v>1551685905581053</v>
      </c>
      <c r="C4265" t="s">
        <v>40</v>
      </c>
      <c r="D4265">
        <v>4.8832719999999998</v>
      </c>
      <c r="E4265">
        <v>0.5259625</v>
      </c>
      <c r="F4265" t="s">
        <v>84</v>
      </c>
      <c r="G4265">
        <v>-289.9357</v>
      </c>
      <c r="H4265" s="1">
        <v>-9.1572400000000004E-6</v>
      </c>
      <c r="I4265">
        <v>140.49279999999999</v>
      </c>
      <c r="J4265">
        <v>-225.8321</v>
      </c>
      <c r="K4265">
        <v>1.110798</v>
      </c>
      <c r="L4265">
        <v>141.29390000000001</v>
      </c>
      <c r="M4265">
        <v>-0.99985749999999995</v>
      </c>
      <c r="N4265">
        <v>-1.2779560000000001E-2</v>
      </c>
      <c r="O4265">
        <v>1.102848E-2</v>
      </c>
      <c r="P4265">
        <v>-0.98268730000000004</v>
      </c>
      <c r="Q4265">
        <v>0.162717</v>
      </c>
      <c r="R4265">
        <v>-8.8593309999999995E-2</v>
      </c>
      <c r="S4265">
        <v>-3.057693</v>
      </c>
      <c r="T4265">
        <v>-5.2814479999999997E-2</v>
      </c>
      <c r="U4265">
        <v>-3.7994380000000001E-2</v>
      </c>
      <c r="V4265">
        <v>-9.9502389999999996E-2</v>
      </c>
      <c r="W4265">
        <v>0.1752059</v>
      </c>
      <c r="X4265">
        <v>0.97949079999999999</v>
      </c>
      <c r="Y4265">
        <v>-2.3446459999999999E-2</v>
      </c>
      <c r="Z4265">
        <v>-4.0185090000000002E-4</v>
      </c>
      <c r="AA4265">
        <v>0.99972499999999997</v>
      </c>
      <c r="AB4265">
        <v>20</v>
      </c>
      <c r="AC4265">
        <v>-64.1036</v>
      </c>
      <c r="AD4265">
        <v>-1.11080715724</v>
      </c>
      <c r="AE4265">
        <v>-0.80110000000001902</v>
      </c>
      <c r="AF4265">
        <v>-1.50762166907851</v>
      </c>
      <c r="AG4265">
        <v>-1.11080715724</v>
      </c>
      <c r="AH4265">
        <v>64.071629422683401</v>
      </c>
      <c r="AI4265">
        <v>90.9929602322607</v>
      </c>
      <c r="AJ4265">
        <v>91.347935469419596</v>
      </c>
      <c r="AK4265">
        <v>64.098989949259902</v>
      </c>
      <c r="AL4265">
        <v>79.909359873184997</v>
      </c>
      <c r="AM4265">
        <v>95.800540926861899</v>
      </c>
      <c r="AN4265">
        <v>1.00000003014758</v>
      </c>
    </row>
    <row r="4266" spans="1:40" x14ac:dyDescent="0.25">
      <c r="A4266" t="str">
        <f>"20190304155145613"</f>
        <v>20190304155145613</v>
      </c>
      <c r="B4266" t="str">
        <f>"1551685905601552"</f>
        <v>1551685905601552</v>
      </c>
      <c r="C4266" t="s">
        <v>40</v>
      </c>
      <c r="D4266">
        <v>4.8876720000000002</v>
      </c>
      <c r="E4266">
        <v>0.52593509999999999</v>
      </c>
      <c r="F4266" t="s">
        <v>84</v>
      </c>
      <c r="G4266">
        <v>-292.32940000000002</v>
      </c>
      <c r="H4266" s="1">
        <v>-8.9320160000000006E-6</v>
      </c>
      <c r="I4266">
        <v>140.41849999999999</v>
      </c>
      <c r="J4266">
        <v>-226.0394</v>
      </c>
      <c r="K4266">
        <v>1.1107940000000001</v>
      </c>
      <c r="L4266">
        <v>141.29589999999999</v>
      </c>
      <c r="M4266">
        <v>-0.99986059999999999</v>
      </c>
      <c r="N4266">
        <v>-1.2751429999999999E-2</v>
      </c>
      <c r="O4266">
        <v>1.0784210000000001E-2</v>
      </c>
      <c r="P4266">
        <v>-0.9826414</v>
      </c>
      <c r="Q4266">
        <v>0.16260379999999899</v>
      </c>
      <c r="R4266">
        <v>-8.930892E-2</v>
      </c>
      <c r="S4266">
        <v>-3.0576780000000001</v>
      </c>
      <c r="T4266">
        <v>-5.1077129999999998E-2</v>
      </c>
      <c r="U4266">
        <v>-4.0252690000000001E-2</v>
      </c>
      <c r="V4266">
        <v>-9.9976670000000004E-2</v>
      </c>
      <c r="W4266">
        <v>0.175065</v>
      </c>
      <c r="X4266">
        <v>0.97946770000000005</v>
      </c>
      <c r="Y4266">
        <v>-2.394073E-2</v>
      </c>
      <c r="Z4266">
        <v>-3.9522230000000003E-4</v>
      </c>
      <c r="AA4266">
        <v>0.99971330000000003</v>
      </c>
      <c r="AB4266">
        <v>20</v>
      </c>
      <c r="AC4266">
        <v>-66.290000000000006</v>
      </c>
      <c r="AD4266">
        <v>-1.110802932016</v>
      </c>
      <c r="AE4266">
        <v>-0.87739999999999396</v>
      </c>
      <c r="AF4266">
        <v>-1.5918454432784099</v>
      </c>
      <c r="AG4266">
        <v>-1.110802932016</v>
      </c>
      <c r="AH4266">
        <v>66.258080498484802</v>
      </c>
      <c r="AI4266">
        <v>90.960184829730096</v>
      </c>
      <c r="AJ4266">
        <v>91.376262079677204</v>
      </c>
      <c r="AK4266">
        <v>66.286507574413307</v>
      </c>
      <c r="AL4266">
        <v>79.917559599532694</v>
      </c>
      <c r="AM4266">
        <v>95.828135947535202</v>
      </c>
      <c r="AN4266">
        <v>1.0000000320562801</v>
      </c>
    </row>
    <row r="4267" spans="1:40" x14ac:dyDescent="0.25">
      <c r="A4267" t="str">
        <f>"20190304155145633"</f>
        <v>20190304155145633</v>
      </c>
      <c r="B4267" t="str">
        <f>"1551685905630829"</f>
        <v>1551685905630829</v>
      </c>
      <c r="C4267" t="s">
        <v>40</v>
      </c>
      <c r="D4267">
        <v>4.8899839999999903</v>
      </c>
      <c r="E4267">
        <v>0.52606469999999905</v>
      </c>
      <c r="F4267" t="s">
        <v>84</v>
      </c>
      <c r="G4267">
        <v>-292.71570000000003</v>
      </c>
      <c r="H4267" s="1">
        <v>-8.8844620000000005E-6</v>
      </c>
      <c r="I4267">
        <v>140.36680000000001</v>
      </c>
      <c r="J4267">
        <v>-226.23740000000001</v>
      </c>
      <c r="K4267">
        <v>1.1107750000000001</v>
      </c>
      <c r="L4267">
        <v>141.29769999999999</v>
      </c>
      <c r="M4267">
        <v>-0.99986370000000002</v>
      </c>
      <c r="N4267">
        <v>-1.271855E-2</v>
      </c>
      <c r="O4267">
        <v>1.05404E-2</v>
      </c>
      <c r="P4267">
        <v>-0.98272280000000001</v>
      </c>
      <c r="Q4267">
        <v>0.16177910000000001</v>
      </c>
      <c r="R4267">
        <v>-8.9911389999999994E-2</v>
      </c>
      <c r="S4267">
        <v>-3.0575709999999998</v>
      </c>
      <c r="T4267">
        <v>-5.0938009999999999E-2</v>
      </c>
      <c r="U4267">
        <v>-4.2602540000000001E-2</v>
      </c>
      <c r="V4267">
        <v>-0.1003373</v>
      </c>
      <c r="W4267">
        <v>0.17421049999999999</v>
      </c>
      <c r="X4267">
        <v>0.97958310000000004</v>
      </c>
      <c r="Y4267">
        <v>-2.4465489999999999E-2</v>
      </c>
      <c r="Z4267">
        <v>-4.0090919999999998E-4</v>
      </c>
      <c r="AA4267">
        <v>0.99970060000000005</v>
      </c>
      <c r="AB4267">
        <v>20</v>
      </c>
      <c r="AC4267">
        <v>-66.478300000000004</v>
      </c>
      <c r="AD4267">
        <v>-1.1107838844619999</v>
      </c>
      <c r="AE4267">
        <v>-0.93089999999997997</v>
      </c>
      <c r="AF4267">
        <v>-1.63115742150881</v>
      </c>
      <c r="AG4267">
        <v>-1.1107838844619999</v>
      </c>
      <c r="AH4267">
        <v>66.446246111651007</v>
      </c>
      <c r="AI4267">
        <v>90.957437658867406</v>
      </c>
      <c r="AJ4267">
        <v>91.406244514979903</v>
      </c>
      <c r="AK4267">
        <v>66.475545411089499</v>
      </c>
      <c r="AL4267">
        <v>79.967282233478301</v>
      </c>
      <c r="AM4267">
        <v>95.848329097320303</v>
      </c>
      <c r="AN4267">
        <v>0.99999996094357402</v>
      </c>
    </row>
    <row r="4268" spans="1:40" x14ac:dyDescent="0.25">
      <c r="A4268" t="str">
        <f>"20190304155145655"</f>
        <v>20190304155145655</v>
      </c>
      <c r="B4268" t="str">
        <f>"1551685905651325"</f>
        <v>1551685905651325</v>
      </c>
      <c r="C4268" t="s">
        <v>40</v>
      </c>
      <c r="D4268">
        <v>4.8541019999999904</v>
      </c>
      <c r="E4268">
        <v>0.52612479999999995</v>
      </c>
      <c r="F4268" t="s">
        <v>84</v>
      </c>
      <c r="G4268">
        <v>-290.19760000000002</v>
      </c>
      <c r="H4268" s="1">
        <v>-9.1169400000000002E-6</v>
      </c>
      <c r="I4268">
        <v>140.38929999999999</v>
      </c>
      <c r="J4268">
        <v>-226.42609999999999</v>
      </c>
      <c r="K4268">
        <v>1.110757</v>
      </c>
      <c r="L4268">
        <v>141.29939999999999</v>
      </c>
      <c r="M4268">
        <v>-0.99986660000000005</v>
      </c>
      <c r="N4268">
        <v>-1.2677259999999999E-2</v>
      </c>
      <c r="O4268">
        <v>1.0301879999999999E-2</v>
      </c>
      <c r="P4268">
        <v>-0.98264010000000002</v>
      </c>
      <c r="Q4268">
        <v>0.1619362</v>
      </c>
      <c r="R4268">
        <v>-9.0526330000000002E-2</v>
      </c>
      <c r="S4268">
        <v>-3.0575260000000002</v>
      </c>
      <c r="T4268">
        <v>-5.3099390000000003E-2</v>
      </c>
      <c r="U4268">
        <v>-4.3426510000000001E-2</v>
      </c>
      <c r="V4268">
        <v>-0.1007135</v>
      </c>
      <c r="W4268">
        <v>0.17432839999999999</v>
      </c>
      <c r="X4268">
        <v>0.97952349999999999</v>
      </c>
      <c r="Y4268">
        <v>-2.4496130000000001E-2</v>
      </c>
      <c r="Z4268">
        <v>-4.1628299999999999E-4</v>
      </c>
      <c r="AA4268">
        <v>0.99969980000000003</v>
      </c>
      <c r="AB4268">
        <v>20</v>
      </c>
      <c r="AC4268">
        <v>-63.771500000000003</v>
      </c>
      <c r="AD4268">
        <v>-1.1107661169399901</v>
      </c>
      <c r="AE4268">
        <v>-0.91010000000000002</v>
      </c>
      <c r="AF4268">
        <v>-1.56659563330686</v>
      </c>
      <c r="AG4268">
        <v>-1.1107661169399901</v>
      </c>
      <c r="AH4268">
        <v>63.739405330698403</v>
      </c>
      <c r="AI4268">
        <v>90.998072711578004</v>
      </c>
      <c r="AJ4268">
        <v>91.407939876421693</v>
      </c>
      <c r="AK4268">
        <v>63.768329248584699</v>
      </c>
      <c r="AL4268">
        <v>79.960421910837596</v>
      </c>
      <c r="AM4268">
        <v>95.870458390500303</v>
      </c>
      <c r="AN4268">
        <v>0.99999994359052802</v>
      </c>
    </row>
    <row r="4269" spans="1:40" x14ac:dyDescent="0.25">
      <c r="A4269" t="str">
        <f>"20190304155145678"</f>
        <v>20190304155145678</v>
      </c>
      <c r="B4269" t="str">
        <f>"1551685905670846"</f>
        <v>1551685905670846</v>
      </c>
      <c r="C4269" t="s">
        <v>40</v>
      </c>
      <c r="D4269">
        <v>4.9913069999999999</v>
      </c>
      <c r="E4269">
        <v>0.52606260000000005</v>
      </c>
      <c r="F4269" t="s">
        <v>84</v>
      </c>
      <c r="G4269">
        <v>-291.0992</v>
      </c>
      <c r="H4269" s="1">
        <v>-9.0220620000000006E-6</v>
      </c>
      <c r="I4269">
        <v>140.3502</v>
      </c>
      <c r="J4269">
        <v>-226.64449999999999</v>
      </c>
      <c r="K4269">
        <v>1.1107400000000001</v>
      </c>
      <c r="L4269">
        <v>141.3013</v>
      </c>
      <c r="M4269">
        <v>-0.99987020000000004</v>
      </c>
      <c r="N4269">
        <v>-1.2615700000000001E-2</v>
      </c>
      <c r="O4269">
        <v>1.0026749999999999E-2</v>
      </c>
      <c r="P4269">
        <v>-0.98258590000000001</v>
      </c>
      <c r="Q4269">
        <v>0.16205729999999999</v>
      </c>
      <c r="R4269">
        <v>-9.0897599999999995E-2</v>
      </c>
      <c r="S4269">
        <v>-3.0575260000000002</v>
      </c>
      <c r="T4269">
        <v>-5.2513240000000003E-2</v>
      </c>
      <c r="U4269">
        <v>-4.4876100000000002E-2</v>
      </c>
      <c r="V4269">
        <v>-0.100809</v>
      </c>
      <c r="W4269">
        <v>0.17439170000000001</v>
      </c>
      <c r="X4269">
        <v>0.9795024</v>
      </c>
      <c r="Y4269">
        <v>-2.469499E-2</v>
      </c>
      <c r="Z4269">
        <v>-4.1354880000000002E-4</v>
      </c>
      <c r="AA4269">
        <v>0.99969490000000005</v>
      </c>
      <c r="AB4269">
        <v>20</v>
      </c>
      <c r="AC4269">
        <v>-64.454700000000003</v>
      </c>
      <c r="AD4269">
        <v>-1.110749022062</v>
      </c>
      <c r="AE4269">
        <v>-0.95109999999999595</v>
      </c>
      <c r="AF4269">
        <v>-1.5969006052949599</v>
      </c>
      <c r="AG4269">
        <v>-1.110749022062</v>
      </c>
      <c r="AH4269">
        <v>64.422794285100196</v>
      </c>
      <c r="AI4269">
        <v>90.987467087363797</v>
      </c>
      <c r="AJ4269">
        <v>91.419946674087399</v>
      </c>
      <c r="AK4269">
        <v>64.452154955699797</v>
      </c>
      <c r="AL4269">
        <v>79.956738586226294</v>
      </c>
      <c r="AM4269">
        <v>95.876111721932901</v>
      </c>
      <c r="AN4269">
        <v>0.99999993555782196</v>
      </c>
    </row>
    <row r="4270" spans="1:40" x14ac:dyDescent="0.25">
      <c r="A4270" t="str">
        <f>"20190304155145703"</f>
        <v>20190304155145703</v>
      </c>
      <c r="B4270" t="str">
        <f>"1551685905691340"</f>
        <v>1551685905691340</v>
      </c>
      <c r="C4270" t="s">
        <v>40</v>
      </c>
      <c r="D4270">
        <v>4.8820620000000003</v>
      </c>
      <c r="E4270">
        <v>0.52600690000000005</v>
      </c>
      <c r="F4270" t="s">
        <v>84</v>
      </c>
      <c r="G4270">
        <v>-291.58940000000001</v>
      </c>
      <c r="H4270" s="1">
        <v>-8.9663129999999997E-6</v>
      </c>
      <c r="I4270">
        <v>140.30199999999999</v>
      </c>
      <c r="J4270">
        <v>-226.85939999999999</v>
      </c>
      <c r="K4270">
        <v>1.1107100000000001</v>
      </c>
      <c r="L4270">
        <v>141.3032</v>
      </c>
      <c r="M4270">
        <v>-0.99987380000000003</v>
      </c>
      <c r="N4270">
        <v>-1.254158E-2</v>
      </c>
      <c r="O4270">
        <v>9.7692560000000005E-3</v>
      </c>
      <c r="P4270">
        <v>-0.98246279999999997</v>
      </c>
      <c r="Q4270">
        <v>0.16258529999999999</v>
      </c>
      <c r="R4270">
        <v>-9.1286149999999996E-2</v>
      </c>
      <c r="S4270">
        <v>-3.0574340000000002</v>
      </c>
      <c r="T4270">
        <v>-5.2291150000000002E-2</v>
      </c>
      <c r="U4270">
        <v>-4.7042849999999997E-2</v>
      </c>
      <c r="V4270">
        <v>-0.1009375</v>
      </c>
      <c r="W4270">
        <v>0.174849</v>
      </c>
      <c r="X4270">
        <v>0.97940769999999999</v>
      </c>
      <c r="Y4270">
        <v>-2.514622E-2</v>
      </c>
      <c r="Z4270">
        <v>-4.1727700000000002E-4</v>
      </c>
      <c r="AA4270">
        <v>0.99968369999999995</v>
      </c>
      <c r="AB4270">
        <v>20</v>
      </c>
      <c r="AC4270">
        <v>-64.73</v>
      </c>
      <c r="AD4270">
        <v>-1.1107189663129999</v>
      </c>
      <c r="AE4270">
        <v>-1.0011999999999801</v>
      </c>
      <c r="AF4270">
        <v>-1.6330850540972599</v>
      </c>
      <c r="AG4270">
        <v>-1.1107189663129999</v>
      </c>
      <c r="AH4270">
        <v>64.698083669174494</v>
      </c>
      <c r="AI4270">
        <v>90.983228502847695</v>
      </c>
      <c r="AJ4270">
        <v>91.445931800744404</v>
      </c>
      <c r="AK4270">
        <v>64.728221772883202</v>
      </c>
      <c r="AL4270">
        <v>79.9301290085902</v>
      </c>
      <c r="AM4270">
        <v>95.884114314655093</v>
      </c>
      <c r="AN4270">
        <v>0.99999999726326905</v>
      </c>
    </row>
    <row r="4271" spans="1:40" x14ac:dyDescent="0.25">
      <c r="A4271" t="str">
        <f>"20190304155145724"</f>
        <v>20190304155145724</v>
      </c>
      <c r="B4271" t="str">
        <f>"1551685905720621"</f>
        <v>1551685905720621</v>
      </c>
      <c r="C4271" t="s">
        <v>40</v>
      </c>
      <c r="D4271">
        <v>4.8646010000000004</v>
      </c>
      <c r="E4271">
        <v>0.52600530000000001</v>
      </c>
      <c r="F4271" t="s">
        <v>84</v>
      </c>
      <c r="G4271">
        <v>-295.90589999999997</v>
      </c>
      <c r="H4271" s="1">
        <v>-8.5578650000000008E-6</v>
      </c>
      <c r="I4271">
        <v>140.191</v>
      </c>
      <c r="J4271">
        <v>-227.05940000000001</v>
      </c>
      <c r="K4271">
        <v>1.1106849999999999</v>
      </c>
      <c r="L4271">
        <v>141.3048</v>
      </c>
      <c r="M4271">
        <v>-0.99987700000000002</v>
      </c>
      <c r="N4271">
        <v>-1.2460560000000001E-2</v>
      </c>
      <c r="O4271">
        <v>9.5403150000000006E-3</v>
      </c>
      <c r="P4271">
        <v>-0.98238919999999996</v>
      </c>
      <c r="Q4271">
        <v>0.1629517</v>
      </c>
      <c r="R4271">
        <v>-9.1425450000000005E-2</v>
      </c>
      <c r="S4271">
        <v>-3.0570979999999999</v>
      </c>
      <c r="T4271">
        <v>-4.9178119999999999E-2</v>
      </c>
      <c r="U4271">
        <v>-4.9240109999999997E-2</v>
      </c>
      <c r="V4271">
        <v>-0.1008468</v>
      </c>
      <c r="W4271">
        <v>0.17513870000000001</v>
      </c>
      <c r="X4271">
        <v>0.97936529999999999</v>
      </c>
      <c r="Y4271">
        <v>-2.563787E-2</v>
      </c>
      <c r="Z4271">
        <v>-4.0053149999999999E-4</v>
      </c>
      <c r="AA4271">
        <v>0.99967119999999998</v>
      </c>
      <c r="AB4271">
        <v>20</v>
      </c>
      <c r="AC4271">
        <v>-68.846499999999907</v>
      </c>
      <c r="AD4271">
        <v>-1.1106935578649999</v>
      </c>
      <c r="AE4271">
        <v>-1.1137999999999899</v>
      </c>
      <c r="AF4271">
        <v>-1.77015689954956</v>
      </c>
      <c r="AG4271">
        <v>-1.1106935578649999</v>
      </c>
      <c r="AH4271">
        <v>68.8148337172737</v>
      </c>
      <c r="AI4271">
        <v>90.924386296758698</v>
      </c>
      <c r="AJ4271">
        <v>91.473521804565905</v>
      </c>
      <c r="AK4271">
        <v>68.846557177280303</v>
      </c>
      <c r="AL4271">
        <v>79.9132704747785</v>
      </c>
      <c r="AM4271">
        <v>95.879116772612207</v>
      </c>
      <c r="AN4271">
        <v>1.0000000160760001</v>
      </c>
    </row>
    <row r="4272" spans="1:40" x14ac:dyDescent="0.25">
      <c r="A4272" t="str">
        <f>"20190304155145745"</f>
        <v>20190304155145745</v>
      </c>
      <c r="B4272" t="str">
        <f>"1551685905741117"</f>
        <v>1551685905741117</v>
      </c>
      <c r="C4272" t="s">
        <v>40</v>
      </c>
      <c r="D4272">
        <v>4.7831440000000001</v>
      </c>
      <c r="E4272">
        <v>0.52599479999999998</v>
      </c>
      <c r="F4272" t="s">
        <v>84</v>
      </c>
      <c r="G4272">
        <v>-298.41860000000003</v>
      </c>
      <c r="H4272" s="1">
        <v>-8.3234299999999994E-6</v>
      </c>
      <c r="I4272">
        <v>140.13910000000001</v>
      </c>
      <c r="J4272">
        <v>-227.2467</v>
      </c>
      <c r="K4272">
        <v>1.1106670000000001</v>
      </c>
      <c r="L4272">
        <v>141.3064</v>
      </c>
      <c r="M4272">
        <v>-0.99987990000000004</v>
      </c>
      <c r="N4272">
        <v>-1.237749E-2</v>
      </c>
      <c r="O4272">
        <v>9.3326050000000008E-3</v>
      </c>
      <c r="P4272">
        <v>-0.98226480000000005</v>
      </c>
      <c r="Q4272">
        <v>0.1636493</v>
      </c>
      <c r="R4272">
        <v>-9.1514970000000001E-2</v>
      </c>
      <c r="S4272">
        <v>-3.0570369999999998</v>
      </c>
      <c r="T4272">
        <v>-4.7582270000000003E-2</v>
      </c>
      <c r="U4272">
        <v>-4.9942019999999997E-2</v>
      </c>
      <c r="V4272">
        <v>-0.1007277</v>
      </c>
      <c r="W4272">
        <v>0.17575560000000001</v>
      </c>
      <c r="X4272">
        <v>0.979267</v>
      </c>
      <c r="Y4272">
        <v>-2.56603E-2</v>
      </c>
      <c r="Z4272">
        <v>-3.882472E-4</v>
      </c>
      <c r="AA4272">
        <v>0.99967059999999996</v>
      </c>
      <c r="AB4272">
        <v>20</v>
      </c>
      <c r="AC4272">
        <v>-71.171899999999994</v>
      </c>
      <c r="AD4272">
        <v>-1.11067532343</v>
      </c>
      <c r="AE4272">
        <v>-1.16729999999998</v>
      </c>
      <c r="AF4272">
        <v>-1.8310734281249701</v>
      </c>
      <c r="AG4272">
        <v>-1.11067532343</v>
      </c>
      <c r="AH4272">
        <v>71.140584833013094</v>
      </c>
      <c r="AI4272">
        <v>90.894155919460601</v>
      </c>
      <c r="AJ4272">
        <v>91.474399193009603</v>
      </c>
      <c r="AK4272">
        <v>71.172812505593697</v>
      </c>
      <c r="AL4272">
        <v>79.877367436420499</v>
      </c>
      <c r="AM4272">
        <v>95.872807428777094</v>
      </c>
      <c r="AN4272">
        <v>0.99999997888382397</v>
      </c>
    </row>
    <row r="4273" spans="1:40" x14ac:dyDescent="0.25">
      <c r="A4273" t="str">
        <f>"20190304155145768"</f>
        <v>20190304155145768</v>
      </c>
      <c r="B4273" t="str">
        <f>"1551685905760637"</f>
        <v>1551685905760637</v>
      </c>
      <c r="C4273" t="s">
        <v>40</v>
      </c>
      <c r="D4273">
        <v>4.8755069999999998</v>
      </c>
      <c r="E4273">
        <v>0.52600429999999998</v>
      </c>
      <c r="F4273" t="s">
        <v>84</v>
      </c>
      <c r="G4273">
        <v>-300.358</v>
      </c>
      <c r="H4273" s="1">
        <v>-8.243525E-6</v>
      </c>
      <c r="I4273">
        <v>140.0796</v>
      </c>
      <c r="J4273">
        <v>-227.45830000000001</v>
      </c>
      <c r="K4273">
        <v>1.110646</v>
      </c>
      <c r="L4273">
        <v>141.3081</v>
      </c>
      <c r="M4273">
        <v>-0.99988319999999997</v>
      </c>
      <c r="N4273">
        <v>-1.227892E-2</v>
      </c>
      <c r="O4273">
        <v>9.1034259999999995E-3</v>
      </c>
      <c r="P4273">
        <v>-0.98223280000000002</v>
      </c>
      <c r="Q4273">
        <v>0.16392809999999999</v>
      </c>
      <c r="R4273">
        <v>-9.1356989999999999E-2</v>
      </c>
      <c r="S4273">
        <v>-3.0571139999999999</v>
      </c>
      <c r="T4273">
        <v>-4.644239E-2</v>
      </c>
      <c r="U4273">
        <v>-5.130005E-2</v>
      </c>
      <c r="V4273">
        <v>-0.1003424</v>
      </c>
      <c r="W4273">
        <v>0.17593919999999999</v>
      </c>
      <c r="X4273">
        <v>0.97927359999999997</v>
      </c>
      <c r="Y4273">
        <v>-2.5874879999999999E-2</v>
      </c>
      <c r="Z4273">
        <v>-3.819111E-4</v>
      </c>
      <c r="AA4273">
        <v>0.99966509999999997</v>
      </c>
      <c r="AB4273">
        <v>20</v>
      </c>
      <c r="AC4273">
        <v>-72.899699999999996</v>
      </c>
      <c r="AD4273">
        <v>-1.110654243525</v>
      </c>
      <c r="AE4273">
        <v>-1.2284999999999899</v>
      </c>
      <c r="AF4273">
        <v>-1.8916971569110901</v>
      </c>
      <c r="AG4273">
        <v>-1.110654243525</v>
      </c>
      <c r="AH4273">
        <v>72.8685851858272</v>
      </c>
      <c r="AI4273">
        <v>90.872933730175504</v>
      </c>
      <c r="AJ4273">
        <v>91.487086981120498</v>
      </c>
      <c r="AK4273">
        <v>72.9015965392136</v>
      </c>
      <c r="AL4273">
        <v>79.866681544619595</v>
      </c>
      <c r="AM4273">
        <v>95.850459940229399</v>
      </c>
      <c r="AN4273">
        <v>0.99999999149567897</v>
      </c>
    </row>
    <row r="4274" spans="1:40" x14ac:dyDescent="0.25">
      <c r="A4274" t="str">
        <f>"20190304155145790"</f>
        <v>20190304155145790</v>
      </c>
      <c r="B4274" t="str">
        <f>"1551685905781468"</f>
        <v>1551685905781468</v>
      </c>
      <c r="C4274" t="s">
        <v>40</v>
      </c>
      <c r="D4274">
        <v>4.8782819999999996</v>
      </c>
      <c r="E4274">
        <v>0.52592620000000001</v>
      </c>
      <c r="F4274" t="s">
        <v>84</v>
      </c>
      <c r="G4274">
        <v>-301.53829999999999</v>
      </c>
      <c r="H4274" s="1">
        <v>-8.4093960000000002E-6</v>
      </c>
      <c r="I4274">
        <v>140.06020000000001</v>
      </c>
      <c r="J4274">
        <v>-227.6507</v>
      </c>
      <c r="K4274">
        <v>1.11063</v>
      </c>
      <c r="L4274">
        <v>141.30959999999999</v>
      </c>
      <c r="M4274">
        <v>-0.99988619999999995</v>
      </c>
      <c r="N4274">
        <v>-1.218587E-2</v>
      </c>
      <c r="O4274">
        <v>8.8991269999999997E-3</v>
      </c>
      <c r="P4274">
        <v>-0.98223419999999895</v>
      </c>
      <c r="Q4274">
        <v>0.164108</v>
      </c>
      <c r="R4274">
        <v>-9.1021660000000004E-2</v>
      </c>
      <c r="S4274">
        <v>-3.0571290000000002</v>
      </c>
      <c r="T4274">
        <v>-4.5834420000000001E-2</v>
      </c>
      <c r="U4274">
        <v>-5.1498410000000001E-2</v>
      </c>
      <c r="V4274">
        <v>-9.980559E-2</v>
      </c>
      <c r="W4274">
        <v>0.17602880000000001</v>
      </c>
      <c r="X4274">
        <v>0.97931239999999997</v>
      </c>
      <c r="Y4274">
        <v>-2.5735540000000001E-2</v>
      </c>
      <c r="Z4274">
        <v>-3.7470299999999999E-4</v>
      </c>
      <c r="AA4274">
        <v>0.99966869999999997</v>
      </c>
      <c r="AB4274">
        <v>20</v>
      </c>
      <c r="AC4274">
        <v>-73.887599999999907</v>
      </c>
      <c r="AD4274">
        <v>-1.110638409396</v>
      </c>
      <c r="AE4274">
        <v>-1.2493999999999801</v>
      </c>
      <c r="AF4274">
        <v>-1.90650380572869</v>
      </c>
      <c r="AG4274">
        <v>-1.110638409396</v>
      </c>
      <c r="AH4274">
        <v>73.856871566806404</v>
      </c>
      <c r="AI4274">
        <v>90.861245681478394</v>
      </c>
      <c r="AJ4274">
        <v>91.478675805484002</v>
      </c>
      <c r="AK4274">
        <v>73.889821708225995</v>
      </c>
      <c r="AL4274">
        <v>79.861466901851003</v>
      </c>
      <c r="AM4274">
        <v>95.819147650956396</v>
      </c>
      <c r="AN4274">
        <v>1.00000003550922</v>
      </c>
    </row>
    <row r="4275" spans="1:40" x14ac:dyDescent="0.25">
      <c r="A4275" t="str">
        <f>"20190304155145810"</f>
        <v>20190304155145810</v>
      </c>
      <c r="B4275" t="str">
        <f>"1551685905800988"</f>
        <v>1551685905800988</v>
      </c>
      <c r="C4275" t="s">
        <v>40</v>
      </c>
      <c r="D4275">
        <v>4.9674009999999997</v>
      </c>
      <c r="E4275">
        <v>0.4833846</v>
      </c>
      <c r="F4275" t="s">
        <v>84</v>
      </c>
      <c r="G4275">
        <v>-302.803</v>
      </c>
      <c r="H4275" s="1">
        <v>-8.5894350000000002E-6</v>
      </c>
      <c r="I4275">
        <v>140.0549</v>
      </c>
      <c r="J4275">
        <v>-227.84309999999999</v>
      </c>
      <c r="K4275">
        <v>1.1106210000000001</v>
      </c>
      <c r="L4275">
        <v>141.31110000000001</v>
      </c>
      <c r="M4275">
        <v>-0.99988909999999998</v>
      </c>
      <c r="N4275">
        <v>-1.209416E-2</v>
      </c>
      <c r="O4275">
        <v>8.6964580000000007E-3</v>
      </c>
      <c r="P4275">
        <v>-0.98218510000000003</v>
      </c>
      <c r="Q4275">
        <v>0.16440569999999999</v>
      </c>
      <c r="R4275">
        <v>-9.1013659999999996E-2</v>
      </c>
      <c r="S4275">
        <v>-3.0570979999999999</v>
      </c>
      <c r="T4275">
        <v>-4.5179370000000003E-2</v>
      </c>
      <c r="U4275">
        <v>-5.104065E-2</v>
      </c>
      <c r="V4275">
        <v>-9.9598690000000004E-2</v>
      </c>
      <c r="W4275">
        <v>0.17623620000000001</v>
      </c>
      <c r="X4275">
        <v>0.9792961</v>
      </c>
      <c r="Y4275">
        <v>-2.5383639999999999E-2</v>
      </c>
      <c r="Z4275">
        <v>-3.6440639999999998E-4</v>
      </c>
      <c r="AA4275">
        <v>0.9996777</v>
      </c>
      <c r="AB4275">
        <v>20</v>
      </c>
      <c r="AC4275">
        <v>-74.959900000000005</v>
      </c>
      <c r="AD4275">
        <v>-1.11062958943499</v>
      </c>
      <c r="AE4275">
        <v>-1.2562</v>
      </c>
      <c r="AF4275">
        <v>-1.9076670971427701</v>
      </c>
      <c r="AG4275">
        <v>-1.11062958943499</v>
      </c>
      <c r="AH4275">
        <v>74.929695504555596</v>
      </c>
      <c r="AI4275">
        <v>90.848917365809697</v>
      </c>
      <c r="AJ4275">
        <v>91.458402654721993</v>
      </c>
      <c r="AK4275">
        <v>74.962203544478797</v>
      </c>
      <c r="AL4275">
        <v>79.849394404314594</v>
      </c>
      <c r="AM4275">
        <v>95.807262909452604</v>
      </c>
      <c r="AN4275">
        <v>0.99999997435768195</v>
      </c>
    </row>
    <row r="4276" spans="1:40" x14ac:dyDescent="0.25">
      <c r="A4276" t="str">
        <f>"20190304155145836"</f>
        <v>20190304155145836</v>
      </c>
      <c r="B4276" t="str">
        <f>"1551685905831241"</f>
        <v>1551685905831241</v>
      </c>
      <c r="C4276" t="s">
        <v>40</v>
      </c>
      <c r="D4276">
        <v>4.8645149999999999</v>
      </c>
      <c r="E4276">
        <v>0.46861720000000001</v>
      </c>
      <c r="F4276" t="s">
        <v>41</v>
      </c>
      <c r="G4276">
        <v>-264.2749</v>
      </c>
      <c r="H4276" s="1">
        <v>-2.9636030000000002E-6</v>
      </c>
      <c r="I4276">
        <v>136.6551</v>
      </c>
      <c r="J4276">
        <v>-228.0685</v>
      </c>
      <c r="K4276">
        <v>1.110606</v>
      </c>
      <c r="L4276">
        <v>141.31280000000001</v>
      </c>
      <c r="M4276">
        <v>-0.99989240000000001</v>
      </c>
      <c r="N4276">
        <v>-1.1989390000000001E-2</v>
      </c>
      <c r="O4276">
        <v>8.4573830000000006E-3</v>
      </c>
      <c r="P4276">
        <v>-0.98228320000000002</v>
      </c>
      <c r="Q4276">
        <v>0.1642053</v>
      </c>
      <c r="R4276">
        <v>-9.0314019999999995E-2</v>
      </c>
      <c r="S4276">
        <v>-3.0339809999999998</v>
      </c>
      <c r="T4276">
        <v>-9.2490909999999996E-2</v>
      </c>
      <c r="U4276">
        <v>-0.38774110000000001</v>
      </c>
      <c r="V4276">
        <v>-9.8664979999999999E-2</v>
      </c>
      <c r="W4276">
        <v>0.17593539999999999</v>
      </c>
      <c r="X4276">
        <v>0.97944469999999995</v>
      </c>
      <c r="Y4276">
        <v>-0.13506580000000001</v>
      </c>
      <c r="Z4276">
        <v>-3.0189650000000002E-3</v>
      </c>
      <c r="AA4276">
        <v>0.99083200000000005</v>
      </c>
      <c r="AB4276">
        <v>20</v>
      </c>
      <c r="AC4276">
        <v>-36.206400000000002</v>
      </c>
      <c r="AD4276">
        <v>-1.1106089636030001</v>
      </c>
      <c r="AE4276">
        <v>-4.6577000000000002</v>
      </c>
      <c r="AF4276">
        <v>-4.9591765725407004</v>
      </c>
      <c r="AG4276">
        <v>-1.1106089636030001</v>
      </c>
      <c r="AH4276">
        <v>36.1322661102284</v>
      </c>
      <c r="AI4276">
        <v>91.744222588988904</v>
      </c>
      <c r="AJ4276">
        <v>97.815053751639198</v>
      </c>
      <c r="AK4276">
        <v>36.487909488048601</v>
      </c>
      <c r="AL4276">
        <v>79.866902619358399</v>
      </c>
      <c r="AM4276">
        <v>95.752321336757404</v>
      </c>
      <c r="AN4276">
        <v>0.99999998180482497</v>
      </c>
    </row>
    <row r="4277" spans="1:40" x14ac:dyDescent="0.25">
      <c r="A4277" t="str">
        <f>"20190304155145857"</f>
        <v>20190304155145857</v>
      </c>
      <c r="B4277" t="str">
        <f>"1551685905850760"</f>
        <v>1551685905850760</v>
      </c>
      <c r="C4277" t="s">
        <v>40</v>
      </c>
      <c r="D4277">
        <v>4.898231</v>
      </c>
      <c r="E4277">
        <v>0.46622469999999999</v>
      </c>
      <c r="F4277" t="s">
        <v>41</v>
      </c>
      <c r="G4277">
        <v>-262.43360000000001</v>
      </c>
      <c r="H4277" s="1">
        <v>-3.941598E-6</v>
      </c>
      <c r="I4277">
        <v>135.59479999999999</v>
      </c>
      <c r="J4277">
        <v>-228.2636</v>
      </c>
      <c r="K4277">
        <v>1.110595</v>
      </c>
      <c r="L4277">
        <v>141.3142</v>
      </c>
      <c r="M4277">
        <v>-0.99989530000000004</v>
      </c>
      <c r="N4277">
        <v>-1.1899160000000001E-2</v>
      </c>
      <c r="O4277">
        <v>8.2474769999999996E-3</v>
      </c>
      <c r="P4277">
        <v>-0.98232430000000004</v>
      </c>
      <c r="Q4277">
        <v>0.16403760000000001</v>
      </c>
      <c r="R4277">
        <v>-9.0170849999999997E-2</v>
      </c>
      <c r="S4277">
        <v>-3.0241850000000001</v>
      </c>
      <c r="T4277">
        <v>-9.7735520000000006E-2</v>
      </c>
      <c r="U4277">
        <v>-0.50318909999999994</v>
      </c>
      <c r="V4277">
        <v>-9.831645E-2</v>
      </c>
      <c r="W4277">
        <v>0.17568</v>
      </c>
      <c r="X4277">
        <v>0.9795256</v>
      </c>
      <c r="Y4277">
        <v>-0.1721404</v>
      </c>
      <c r="Z4277">
        <v>-3.9607239999999997E-3</v>
      </c>
      <c r="AA4277">
        <v>0.98506439999999995</v>
      </c>
      <c r="AB4277">
        <v>20</v>
      </c>
      <c r="AC4277">
        <v>-34.17</v>
      </c>
      <c r="AD4277">
        <v>-1.110598941598</v>
      </c>
      <c r="AE4277">
        <v>-5.7194000000000003</v>
      </c>
      <c r="AF4277">
        <v>-5.9948813145792004</v>
      </c>
      <c r="AG4277">
        <v>-1.110598941598</v>
      </c>
      <c r="AH4277">
        <v>34.086636260927598</v>
      </c>
      <c r="AI4277">
        <v>91.837942659658594</v>
      </c>
      <c r="AJ4277">
        <v>99.974709787076307</v>
      </c>
      <c r="AK4277">
        <v>34.627601758853501</v>
      </c>
      <c r="AL4277">
        <v>79.881767612768201</v>
      </c>
      <c r="AM4277">
        <v>95.731666779373896</v>
      </c>
      <c r="AN4277">
        <v>0.999999993897981</v>
      </c>
    </row>
    <row r="4278" spans="1:40" x14ac:dyDescent="0.25">
      <c r="A4278" t="str">
        <f>"20190304155145878"</f>
        <v>20190304155145878</v>
      </c>
      <c r="B4278" t="str">
        <f>"1551685905871256"</f>
        <v>1551685905871256</v>
      </c>
      <c r="C4278" t="s">
        <v>40</v>
      </c>
      <c r="D4278">
        <v>4.8659840000000001</v>
      </c>
      <c r="E4278">
        <v>0.4646556</v>
      </c>
      <c r="F4278" t="s">
        <v>41</v>
      </c>
      <c r="G4278">
        <v>-264.40320000000003</v>
      </c>
      <c r="H4278" s="1">
        <v>-3.1908710000000001E-6</v>
      </c>
      <c r="I4278">
        <v>135.06370000000001</v>
      </c>
      <c r="J4278">
        <v>-228.45599999999999</v>
      </c>
      <c r="K4278">
        <v>1.110579</v>
      </c>
      <c r="L4278">
        <v>141.31549999999999</v>
      </c>
      <c r="M4278">
        <v>-0.99989810000000001</v>
      </c>
      <c r="N4278">
        <v>-1.1804820000000001E-2</v>
      </c>
      <c r="O4278">
        <v>8.0371780000000007E-3</v>
      </c>
      <c r="P4278">
        <v>-0.98233340000000002</v>
      </c>
      <c r="Q4278">
        <v>0.1638725</v>
      </c>
      <c r="R4278">
        <v>-9.0372240000000006E-2</v>
      </c>
      <c r="S4278">
        <v>-3.0215299999999998</v>
      </c>
      <c r="T4278">
        <v>-9.2854259999999994E-2</v>
      </c>
      <c r="U4278">
        <v>-0.52258300000000002</v>
      </c>
      <c r="V4278">
        <v>-9.8311689999999993E-2</v>
      </c>
      <c r="W4278">
        <v>0.1754223</v>
      </c>
      <c r="X4278">
        <v>0.97957229999999995</v>
      </c>
      <c r="Y4278">
        <v>-0.1782223</v>
      </c>
      <c r="Z4278">
        <v>-3.9287239999999998E-3</v>
      </c>
      <c r="AA4278">
        <v>0.98398240000000003</v>
      </c>
      <c r="AB4278">
        <v>20</v>
      </c>
      <c r="AC4278">
        <v>-35.947200000000002</v>
      </c>
      <c r="AD4278">
        <v>-1.1105821908710001</v>
      </c>
      <c r="AE4278">
        <v>-6.25179999999997</v>
      </c>
      <c r="AF4278">
        <v>-6.5344782230111402</v>
      </c>
      <c r="AG4278">
        <v>-1.1105821908710001</v>
      </c>
      <c r="AH4278">
        <v>35.862562982743597</v>
      </c>
      <c r="AI4278">
        <v>91.745040386280905</v>
      </c>
      <c r="AJ4278">
        <v>100.326515221759</v>
      </c>
      <c r="AK4278">
        <v>36.469935866970502</v>
      </c>
      <c r="AL4278">
        <v>79.896766032269397</v>
      </c>
      <c r="AM4278">
        <v>95.7311197090891</v>
      </c>
      <c r="AN4278">
        <v>1.0000000313276101</v>
      </c>
    </row>
    <row r="4279" spans="1:40" x14ac:dyDescent="0.25">
      <c r="A4279" t="str">
        <f>"20190304155145903"</f>
        <v>20190304155145903</v>
      </c>
      <c r="B4279" t="str">
        <f>"1551685905901513"</f>
        <v>1551685905901513</v>
      </c>
      <c r="C4279" t="s">
        <v>40</v>
      </c>
      <c r="D4279">
        <v>4.961201</v>
      </c>
      <c r="E4279">
        <v>0.46288800000000002</v>
      </c>
      <c r="F4279" t="s">
        <v>41</v>
      </c>
      <c r="G4279">
        <v>-265.12509999999997</v>
      </c>
      <c r="H4279" s="1">
        <v>-2.9272690000000001E-6</v>
      </c>
      <c r="I4279">
        <v>134.80369999999999</v>
      </c>
      <c r="J4279">
        <v>-228.6824</v>
      </c>
      <c r="K4279">
        <v>1.110568</v>
      </c>
      <c r="L4279">
        <v>141.31700000000001</v>
      </c>
      <c r="M4279">
        <v>-0.9999015</v>
      </c>
      <c r="N4279">
        <v>-1.168334E-2</v>
      </c>
      <c r="O4279">
        <v>7.7868659999999999E-3</v>
      </c>
      <c r="P4279">
        <v>-0.98228979999999999</v>
      </c>
      <c r="Q4279">
        <v>0.16404630000000001</v>
      </c>
      <c r="R4279">
        <v>-9.0529520000000002E-2</v>
      </c>
      <c r="S4279">
        <v>-3.0198670000000001</v>
      </c>
      <c r="T4279">
        <v>-9.146166E-2</v>
      </c>
      <c r="U4279">
        <v>-0.53627009999999997</v>
      </c>
      <c r="V4279">
        <v>-9.8222429999999999E-2</v>
      </c>
      <c r="W4279">
        <v>0.1754772</v>
      </c>
      <c r="X4279">
        <v>0.97957139999999998</v>
      </c>
      <c r="Y4279">
        <v>-0.18239279999999999</v>
      </c>
      <c r="Z4279">
        <v>-3.9578469999999996E-3</v>
      </c>
      <c r="AA4279">
        <v>0.98321780000000003</v>
      </c>
      <c r="AB4279">
        <v>20</v>
      </c>
      <c r="AC4279">
        <v>-36.442699999999903</v>
      </c>
      <c r="AD4279">
        <v>-1.1105709272689901</v>
      </c>
      <c r="AE4279">
        <v>-6.5133000000000099</v>
      </c>
      <c r="AF4279">
        <v>-6.7907849445375197</v>
      </c>
      <c r="AG4279">
        <v>-1.1105709272689901</v>
      </c>
      <c r="AH4279">
        <v>36.3581530106228</v>
      </c>
      <c r="AI4279">
        <v>91.7198503142031</v>
      </c>
      <c r="AJ4279">
        <v>100.57950751289199</v>
      </c>
      <c r="AK4279">
        <v>37.0035595354192</v>
      </c>
      <c r="AL4279">
        <v>79.893570721112098</v>
      </c>
      <c r="AM4279">
        <v>95.725956079328</v>
      </c>
      <c r="AN4279">
        <v>1.0000000105864499</v>
      </c>
    </row>
    <row r="4280" spans="1:40" x14ac:dyDescent="0.25">
      <c r="A4280" t="str">
        <f>"20190304155145925"</f>
        <v>20190304155145925</v>
      </c>
      <c r="B4280" t="str">
        <f>"1551685905921032"</f>
        <v>1551685905921032</v>
      </c>
      <c r="C4280" t="s">
        <v>40</v>
      </c>
      <c r="D4280">
        <v>4.8997699999999904</v>
      </c>
      <c r="E4280">
        <v>0.46229520000000002</v>
      </c>
      <c r="F4280" t="s">
        <v>41</v>
      </c>
      <c r="G4280">
        <v>-263.82209999999998</v>
      </c>
      <c r="H4280" s="1">
        <v>-3.4688740000000001E-6</v>
      </c>
      <c r="I4280">
        <v>134.9016</v>
      </c>
      <c r="J4280">
        <v>-228.88489999999999</v>
      </c>
      <c r="K4280">
        <v>1.110555</v>
      </c>
      <c r="L4280">
        <v>141.3184</v>
      </c>
      <c r="M4280">
        <v>-0.99990460000000003</v>
      </c>
      <c r="N4280">
        <v>-1.156663E-2</v>
      </c>
      <c r="O4280">
        <v>7.5615439999999999E-3</v>
      </c>
      <c r="P4280">
        <v>-0.98215070000000004</v>
      </c>
      <c r="Q4280">
        <v>0.164551</v>
      </c>
      <c r="R4280">
        <v>-9.1122629999999996E-2</v>
      </c>
      <c r="S4280">
        <v>-3.0192109999999999</v>
      </c>
      <c r="T4280">
        <v>-9.5420480000000002E-2</v>
      </c>
      <c r="U4280">
        <v>-0.55120849999999999</v>
      </c>
      <c r="V4280">
        <v>-9.8593379999999994E-2</v>
      </c>
      <c r="W4280">
        <v>0.17586589999999999</v>
      </c>
      <c r="X4280">
        <v>0.97946440000000001</v>
      </c>
      <c r="Y4280">
        <v>-0.18690670000000001</v>
      </c>
      <c r="Z4280">
        <v>-4.1690970000000001E-3</v>
      </c>
      <c r="AA4280">
        <v>0.98236880000000004</v>
      </c>
      <c r="AB4280">
        <v>20</v>
      </c>
      <c r="AC4280">
        <v>-34.937199999999898</v>
      </c>
      <c r="AD4280">
        <v>-1.110558468874</v>
      </c>
      <c r="AE4280">
        <v>-6.4167999999999896</v>
      </c>
      <c r="AF4280">
        <v>-6.6742895146653396</v>
      </c>
      <c r="AG4280">
        <v>-1.110558468874</v>
      </c>
      <c r="AH4280">
        <v>34.853608955680997</v>
      </c>
      <c r="AI4280">
        <v>91.792479750164503</v>
      </c>
      <c r="AJ4280">
        <v>100.840613379549</v>
      </c>
      <c r="AK4280">
        <v>35.5042749239283</v>
      </c>
      <c r="AL4280">
        <v>79.870947833125598</v>
      </c>
      <c r="AM4280">
        <v>95.748060070608602</v>
      </c>
      <c r="AN4280">
        <v>0.99999999011499696</v>
      </c>
    </row>
    <row r="4281" spans="1:40" x14ac:dyDescent="0.25">
      <c r="A4281" t="str">
        <f>"20190304155145947"</f>
        <v>20190304155145947</v>
      </c>
      <c r="B4281" t="str">
        <f>"1551685905941529"</f>
        <v>1551685905941529</v>
      </c>
      <c r="C4281" t="s">
        <v>40</v>
      </c>
      <c r="D4281">
        <v>5.0436779999999999</v>
      </c>
      <c r="E4281">
        <v>0.46198919999999999</v>
      </c>
      <c r="F4281" t="s">
        <v>41</v>
      </c>
      <c r="G4281">
        <v>-264.89240000000001</v>
      </c>
      <c r="H4281" s="1">
        <v>-3.052339E-6</v>
      </c>
      <c r="I4281">
        <v>134.66149999999999</v>
      </c>
      <c r="J4281">
        <v>-229.07910000000001</v>
      </c>
      <c r="K4281">
        <v>1.1105449999999999</v>
      </c>
      <c r="L4281">
        <v>141.31960000000001</v>
      </c>
      <c r="M4281">
        <v>-0.99990760000000001</v>
      </c>
      <c r="N4281">
        <v>-1.144419E-2</v>
      </c>
      <c r="O4281">
        <v>7.3450690000000001E-3</v>
      </c>
      <c r="P4281">
        <v>-0.98205949999999997</v>
      </c>
      <c r="Q4281">
        <v>0.1650944</v>
      </c>
      <c r="R4281">
        <v>-9.1121069999999998E-2</v>
      </c>
      <c r="S4281">
        <v>-3.0183559999999998</v>
      </c>
      <c r="T4281">
        <v>-9.3093629999999997E-2</v>
      </c>
      <c r="U4281">
        <v>-0.55801389999999995</v>
      </c>
      <c r="V4281">
        <v>-9.837891E-2</v>
      </c>
      <c r="W4281">
        <v>0.1762888</v>
      </c>
      <c r="X4281">
        <v>0.97940990000000006</v>
      </c>
      <c r="Y4281">
        <v>-0.18888969999999999</v>
      </c>
      <c r="Z4281">
        <v>-4.1193699999999998E-3</v>
      </c>
      <c r="AA4281">
        <v>0.98198969999999997</v>
      </c>
      <c r="AB4281">
        <v>20</v>
      </c>
      <c r="AC4281">
        <v>-35.813299999999998</v>
      </c>
      <c r="AD4281">
        <v>-1.1105480523389999</v>
      </c>
      <c r="AE4281">
        <v>-6.6581000000000099</v>
      </c>
      <c r="AF4281">
        <v>-6.9145619574470301</v>
      </c>
      <c r="AG4281">
        <v>-1.1105480523389999</v>
      </c>
      <c r="AH4281">
        <v>35.730216710371401</v>
      </c>
      <c r="AI4281">
        <v>91.747856961502094</v>
      </c>
      <c r="AJ4281">
        <v>100.952572835708</v>
      </c>
      <c r="AK4281">
        <v>36.410065506807697</v>
      </c>
      <c r="AL4281">
        <v>79.846332476139807</v>
      </c>
      <c r="AM4281">
        <v>95.735956819232001</v>
      </c>
      <c r="AN4281">
        <v>0.99999995157811705</v>
      </c>
    </row>
    <row r="4282" spans="1:40" x14ac:dyDescent="0.25">
      <c r="A4282" t="str">
        <f>"20190304155145970"</f>
        <v>20190304155145970</v>
      </c>
      <c r="B4282" t="str">
        <f>"1551685905961049"</f>
        <v>1551685905961049</v>
      </c>
      <c r="C4282" t="s">
        <v>40</v>
      </c>
      <c r="D4282">
        <v>4.9136670000000002</v>
      </c>
      <c r="E4282">
        <v>0.46143459999999997</v>
      </c>
      <c r="F4282" t="s">
        <v>41</v>
      </c>
      <c r="G4282">
        <v>-266.56200000000001</v>
      </c>
      <c r="H4282" s="1">
        <v>-2.557176E-6</v>
      </c>
      <c r="I4282">
        <v>134.3501</v>
      </c>
      <c r="J4282">
        <v>-229.29159999999999</v>
      </c>
      <c r="K4282">
        <v>1.1105240000000001</v>
      </c>
      <c r="L4282">
        <v>141.32089999999999</v>
      </c>
      <c r="M4282">
        <v>-0.99991099999999999</v>
      </c>
      <c r="N4282">
        <v>-1.129396E-2</v>
      </c>
      <c r="O4282">
        <v>7.1074090000000003E-3</v>
      </c>
      <c r="P4282">
        <v>-0.98186019999999896</v>
      </c>
      <c r="Q4282">
        <v>0.16608310000000001</v>
      </c>
      <c r="R4282">
        <v>-9.1473449999999998E-2</v>
      </c>
      <c r="S4282">
        <v>-3.017776</v>
      </c>
      <c r="T4282">
        <v>-8.941114E-2</v>
      </c>
      <c r="U4282">
        <v>-0.56111149999999999</v>
      </c>
      <c r="V4282">
        <v>-9.8497390000000004E-2</v>
      </c>
      <c r="W4282">
        <v>0.17712749999999999</v>
      </c>
      <c r="X4282">
        <v>0.97924670000000003</v>
      </c>
      <c r="Y4282">
        <v>-0.1896726</v>
      </c>
      <c r="Z4282">
        <v>-3.9950940000000002E-3</v>
      </c>
      <c r="AA4282">
        <v>0.98183920000000002</v>
      </c>
      <c r="AB4282">
        <v>20</v>
      </c>
      <c r="AC4282">
        <v>-37.270400000000002</v>
      </c>
      <c r="AD4282">
        <v>-1.1105265571759999</v>
      </c>
      <c r="AE4282">
        <v>-6.9707999999999899</v>
      </c>
      <c r="AF4282">
        <v>-7.22933528768408</v>
      </c>
      <c r="AG4282">
        <v>-1.1105265571759999</v>
      </c>
      <c r="AH4282">
        <v>37.188010322960601</v>
      </c>
      <c r="AI4282">
        <v>91.679071901949499</v>
      </c>
      <c r="AJ4282">
        <v>101.00106645928</v>
      </c>
      <c r="AK4282">
        <v>37.9004573813638</v>
      </c>
      <c r="AL4282">
        <v>79.797510629992303</v>
      </c>
      <c r="AM4282">
        <v>95.743769311107698</v>
      </c>
      <c r="AN4282">
        <v>0.99999999327697597</v>
      </c>
    </row>
    <row r="4283" spans="1:40" x14ac:dyDescent="0.25">
      <c r="A4283" t="str">
        <f>"20190304155145991"</f>
        <v>20190304155145991</v>
      </c>
      <c r="B4283" t="str">
        <f>"1551685905981545"</f>
        <v>1551685905981545</v>
      </c>
      <c r="C4283" t="s">
        <v>40</v>
      </c>
      <c r="D4283">
        <v>4.9294830000000003</v>
      </c>
      <c r="E4283">
        <v>0.46102019999999999</v>
      </c>
      <c r="F4283" t="s">
        <v>41</v>
      </c>
      <c r="G4283">
        <v>-268.5111</v>
      </c>
      <c r="H4283" s="1">
        <v>-1.998385E-6</v>
      </c>
      <c r="I4283">
        <v>133.95740000000001</v>
      </c>
      <c r="J4283">
        <v>-229.49039999999999</v>
      </c>
      <c r="K4283">
        <v>1.1105069999999999</v>
      </c>
      <c r="L4283">
        <v>141.322</v>
      </c>
      <c r="M4283">
        <v>-0.99991419999999998</v>
      </c>
      <c r="N4283">
        <v>-1.1147600000000001E-2</v>
      </c>
      <c r="O4283">
        <v>6.885866E-3</v>
      </c>
      <c r="P4283">
        <v>-0.9816513</v>
      </c>
      <c r="Q4283">
        <v>0.16731689999999999</v>
      </c>
      <c r="R4283">
        <v>-9.1466640000000002E-2</v>
      </c>
      <c r="S4283">
        <v>-3.01709</v>
      </c>
      <c r="T4283">
        <v>-8.5430980000000004E-2</v>
      </c>
      <c r="U4283">
        <v>-0.56645199999999996</v>
      </c>
      <c r="V4283">
        <v>-9.8272319999999996E-2</v>
      </c>
      <c r="W4283">
        <v>0.17821619999999999</v>
      </c>
      <c r="X4283">
        <v>0.97907180000000005</v>
      </c>
      <c r="Y4283">
        <v>-0.19118250000000001</v>
      </c>
      <c r="Z4283">
        <v>-3.8751359999999999E-3</v>
      </c>
      <c r="AA4283">
        <v>0.9815469</v>
      </c>
      <c r="AB4283">
        <v>20</v>
      </c>
      <c r="AC4283">
        <v>-39.020699999999998</v>
      </c>
      <c r="AD4283">
        <v>-1.1105089983849901</v>
      </c>
      <c r="AE4283">
        <v>-7.3645999999999896</v>
      </c>
      <c r="AF4283">
        <v>-7.6271682925458899</v>
      </c>
      <c r="AG4283">
        <v>-1.1105089983849901</v>
      </c>
      <c r="AH4283">
        <v>38.938606747918001</v>
      </c>
      <c r="AI4283">
        <v>91.603154442572901</v>
      </c>
      <c r="AJ4283">
        <v>101.082595703157</v>
      </c>
      <c r="AK4283">
        <v>39.694105631281197</v>
      </c>
      <c r="AL4283">
        <v>79.734124561301599</v>
      </c>
      <c r="AM4283">
        <v>95.731748967673994</v>
      </c>
      <c r="AN4283">
        <v>1.00000002618793</v>
      </c>
    </row>
    <row r="4284" spans="1:40" x14ac:dyDescent="0.25">
      <c r="A4284" t="str">
        <f>"20190304155146013"</f>
        <v>20190304155146013</v>
      </c>
      <c r="B4284" t="str">
        <f>"1551685906001065"</f>
        <v>1551685906001065</v>
      </c>
      <c r="C4284" t="s">
        <v>40</v>
      </c>
      <c r="D4284">
        <v>4.8643359999999998</v>
      </c>
      <c r="E4284">
        <v>0.46083610000000003</v>
      </c>
      <c r="F4284" t="s">
        <v>41</v>
      </c>
      <c r="G4284">
        <v>-270.74209999999999</v>
      </c>
      <c r="H4284" s="1">
        <v>-5.0330400000000002E-6</v>
      </c>
      <c r="I4284">
        <v>133.5326</v>
      </c>
      <c r="J4284">
        <v>-229.68600000000001</v>
      </c>
      <c r="K4284">
        <v>1.110492</v>
      </c>
      <c r="L4284">
        <v>141.32310000000001</v>
      </c>
      <c r="M4284">
        <v>-0.9999171</v>
      </c>
      <c r="N4284">
        <v>-1.1010590000000001E-2</v>
      </c>
      <c r="O4284">
        <v>6.6681939999999997E-3</v>
      </c>
      <c r="P4284">
        <v>-0.98157629999999996</v>
      </c>
      <c r="Q4284">
        <v>0.1678316</v>
      </c>
      <c r="R4284">
        <v>-9.1328199999999998E-2</v>
      </c>
      <c r="S4284">
        <v>-3.0168460000000001</v>
      </c>
      <c r="T4284">
        <v>-8.1214899999999896E-2</v>
      </c>
      <c r="U4284">
        <v>-0.56965639999999995</v>
      </c>
      <c r="V4284">
        <v>-9.7920450000000006E-2</v>
      </c>
      <c r="W4284">
        <v>0.1785958</v>
      </c>
      <c r="X4284">
        <v>0.97903790000000002</v>
      </c>
      <c r="Y4284">
        <v>-0.19199869999999999</v>
      </c>
      <c r="Z4284">
        <v>-3.7329970000000001E-3</v>
      </c>
      <c r="AA4284">
        <v>0.98138809999999999</v>
      </c>
      <c r="AB4284">
        <v>21</v>
      </c>
      <c r="AC4284">
        <v>-41.056100000000001</v>
      </c>
      <c r="AD4284">
        <v>-1.1104970330399999</v>
      </c>
      <c r="AE4284">
        <v>-7.7904999999999998</v>
      </c>
      <c r="AF4284">
        <v>-8.0584227052158202</v>
      </c>
      <c r="AG4284">
        <v>-1.1104970330399999</v>
      </c>
      <c r="AH4284">
        <v>40.974300040233999</v>
      </c>
      <c r="AI4284">
        <v>91.523299991717494</v>
      </c>
      <c r="AJ4284">
        <v>101.126368445834</v>
      </c>
      <c r="AK4284">
        <v>41.773970890297797</v>
      </c>
      <c r="AL4284">
        <v>79.712020631114399</v>
      </c>
      <c r="AM4284">
        <v>95.711558467980794</v>
      </c>
      <c r="AN4284">
        <v>1.0000000419711199</v>
      </c>
    </row>
    <row r="4285" spans="1:40" x14ac:dyDescent="0.25">
      <c r="A4285" t="str">
        <f>"20190304155146036"</f>
        <v>20190304155146036</v>
      </c>
      <c r="B4285" t="str">
        <f>"1551685906031321"</f>
        <v>1551685906031321</v>
      </c>
      <c r="C4285" t="s">
        <v>40</v>
      </c>
      <c r="D4285">
        <v>4.8801579999999998</v>
      </c>
      <c r="E4285">
        <v>0.4605882</v>
      </c>
      <c r="F4285" t="s">
        <v>41</v>
      </c>
      <c r="G4285">
        <v>-271.44560000000001</v>
      </c>
      <c r="H4285" s="1">
        <v>-4.7522619999999996E-6</v>
      </c>
      <c r="I4285">
        <v>133.41399999999999</v>
      </c>
      <c r="J4285">
        <v>-229.89580000000001</v>
      </c>
      <c r="K4285">
        <v>1.1104780000000001</v>
      </c>
      <c r="L4285">
        <v>141.32429999999999</v>
      </c>
      <c r="M4285">
        <v>-0.99992020000000004</v>
      </c>
      <c r="N4285">
        <v>-1.087086E-2</v>
      </c>
      <c r="O4285">
        <v>6.4347950000000001E-3</v>
      </c>
      <c r="P4285">
        <v>-0.98146869999999997</v>
      </c>
      <c r="Q4285">
        <v>0.1685382</v>
      </c>
      <c r="R4285">
        <v>-9.1182700000000005E-2</v>
      </c>
      <c r="S4285">
        <v>-3.016861</v>
      </c>
      <c r="T4285">
        <v>-8.0226179999999994E-2</v>
      </c>
      <c r="U4285">
        <v>-0.57138059999999902</v>
      </c>
      <c r="V4285">
        <v>-9.7545569999999998E-2</v>
      </c>
      <c r="W4285">
        <v>0.17916480000000001</v>
      </c>
      <c r="X4285">
        <v>0.97897129999999999</v>
      </c>
      <c r="Y4285">
        <v>-0.19231239999999999</v>
      </c>
      <c r="Z4285">
        <v>-3.6891620000000002E-3</v>
      </c>
      <c r="AA4285">
        <v>0.98132680000000005</v>
      </c>
      <c r="AB4285">
        <v>21</v>
      </c>
      <c r="AC4285">
        <v>-41.549799999999998</v>
      </c>
      <c r="AD4285">
        <v>-1.110482752262</v>
      </c>
      <c r="AE4285">
        <v>-7.9103000000000003</v>
      </c>
      <c r="AF4285">
        <v>-8.1718833816483798</v>
      </c>
      <c r="AG4285">
        <v>-1.110482752262</v>
      </c>
      <c r="AH4285">
        <v>41.469449623346897</v>
      </c>
      <c r="AI4285">
        <v>91.504990152936202</v>
      </c>
      <c r="AJ4285">
        <v>101.147755657728</v>
      </c>
      <c r="AK4285">
        <v>42.281533818082401</v>
      </c>
      <c r="AL4285">
        <v>79.678884287425703</v>
      </c>
      <c r="AM4285">
        <v>95.690220550645407</v>
      </c>
      <c r="AN4285">
        <v>0.99999998500467702</v>
      </c>
    </row>
    <row r="4286" spans="1:40" x14ac:dyDescent="0.25">
      <c r="A4286" t="str">
        <f>"20190304155146057"</f>
        <v>20190304155146057</v>
      </c>
      <c r="B4286" t="str">
        <f>"1551685906050841"</f>
        <v>1551685906050841</v>
      </c>
      <c r="C4286" t="s">
        <v>40</v>
      </c>
      <c r="D4286">
        <v>4.9091069999999997</v>
      </c>
      <c r="E4286">
        <v>0.46052559999999898</v>
      </c>
      <c r="F4286" t="s">
        <v>41</v>
      </c>
      <c r="G4286">
        <v>-271.43560000000002</v>
      </c>
      <c r="H4286" s="1">
        <v>-4.752437E-6</v>
      </c>
      <c r="I4286">
        <v>133.43719999999999</v>
      </c>
      <c r="J4286">
        <v>-230.10079999999999</v>
      </c>
      <c r="K4286">
        <v>1.11046</v>
      </c>
      <c r="L4286">
        <v>141.3253</v>
      </c>
      <c r="M4286">
        <v>-0.99992320000000001</v>
      </c>
      <c r="N4286">
        <v>-1.0737439999999999E-2</v>
      </c>
      <c r="O4286">
        <v>6.2073099999999997E-3</v>
      </c>
      <c r="P4286">
        <v>-0.9813326</v>
      </c>
      <c r="Q4286">
        <v>0.169275799999999</v>
      </c>
      <c r="R4286">
        <v>-9.1281039999999994E-2</v>
      </c>
      <c r="S4286">
        <v>-3.0172729999999999</v>
      </c>
      <c r="T4286">
        <v>-8.0660819999999994E-2</v>
      </c>
      <c r="U4286">
        <v>-0.57287600000000005</v>
      </c>
      <c r="V4286">
        <v>-9.7420290000000007E-2</v>
      </c>
      <c r="W4286">
        <v>0.17976989999999901</v>
      </c>
      <c r="X4286">
        <v>0.97887279999999999</v>
      </c>
      <c r="Y4286">
        <v>-0.1925336</v>
      </c>
      <c r="Z4286">
        <v>-3.6917859999999999E-3</v>
      </c>
      <c r="AA4286">
        <v>0.98128340000000003</v>
      </c>
      <c r="AB4286">
        <v>21</v>
      </c>
      <c r="AC4286">
        <v>-41.334800000000001</v>
      </c>
      <c r="AD4286">
        <v>-1.1104647524369999</v>
      </c>
      <c r="AE4286">
        <v>-7.8880999999999997</v>
      </c>
      <c r="AF4286">
        <v>-8.1388729882228397</v>
      </c>
      <c r="AG4286">
        <v>-1.1104647524369999</v>
      </c>
      <c r="AH4286">
        <v>41.256307020561898</v>
      </c>
      <c r="AI4286">
        <v>91.512674738306998</v>
      </c>
      <c r="AJ4286">
        <v>101.159774958431</v>
      </c>
      <c r="AK4286">
        <v>42.0661057677044</v>
      </c>
      <c r="AL4286">
        <v>79.643641993598195</v>
      </c>
      <c r="AM4286">
        <v>95.683528447288793</v>
      </c>
      <c r="AN4286">
        <v>0.99999994421476501</v>
      </c>
    </row>
    <row r="4287" spans="1:40" x14ac:dyDescent="0.25">
      <c r="A4287" t="str">
        <f>"20190304155146081"</f>
        <v>20190304155146081</v>
      </c>
      <c r="B4287" t="str">
        <f>"1551685906071336"</f>
        <v>1551685906071336</v>
      </c>
      <c r="C4287" t="s">
        <v>40</v>
      </c>
      <c r="D4287">
        <v>4.9652190000000003</v>
      </c>
      <c r="E4287">
        <v>0.46025519999999998</v>
      </c>
      <c r="F4287" t="s">
        <v>41</v>
      </c>
      <c r="G4287">
        <v>-273.63319999999999</v>
      </c>
      <c r="H4287" s="1">
        <v>-3.9008839999999998E-6</v>
      </c>
      <c r="I4287">
        <v>133.04589999999999</v>
      </c>
      <c r="J4287">
        <v>-230.30590000000001</v>
      </c>
      <c r="K4287">
        <v>1.1104419999999999</v>
      </c>
      <c r="L4287">
        <v>141.32640000000001</v>
      </c>
      <c r="M4287">
        <v>-0.99992590000000003</v>
      </c>
      <c r="N4287">
        <v>-1.061119E-2</v>
      </c>
      <c r="O4287">
        <v>5.9798969999999996E-3</v>
      </c>
      <c r="P4287">
        <v>-0.9812784</v>
      </c>
      <c r="Q4287">
        <v>0.16960069999999999</v>
      </c>
      <c r="R4287">
        <v>-9.1260220000000003E-2</v>
      </c>
      <c r="S4287">
        <v>-3.0169679999999999</v>
      </c>
      <c r="T4287">
        <v>-7.6959609999999998E-2</v>
      </c>
      <c r="U4287">
        <v>-0.57379150000000001</v>
      </c>
      <c r="V4287">
        <v>-9.7176250000000006E-2</v>
      </c>
      <c r="W4287">
        <v>0.1799712</v>
      </c>
      <c r="X4287">
        <v>0.97886010000000001</v>
      </c>
      <c r="Y4287">
        <v>-0.19262360000000001</v>
      </c>
      <c r="Z4287">
        <v>-3.5542249999999998E-3</v>
      </c>
      <c r="AA4287">
        <v>0.98126630000000004</v>
      </c>
      <c r="AB4287">
        <v>21</v>
      </c>
      <c r="AC4287">
        <v>-43.327299999999902</v>
      </c>
      <c r="AD4287">
        <v>-1.110445900884</v>
      </c>
      <c r="AE4287">
        <v>-8.2805000000000106</v>
      </c>
      <c r="AF4287">
        <v>-8.5340511593787998</v>
      </c>
      <c r="AG4287">
        <v>-1.110445900884</v>
      </c>
      <c r="AH4287">
        <v>43.249598130427898</v>
      </c>
      <c r="AI4287">
        <v>91.442951809619501</v>
      </c>
      <c r="AJ4287">
        <v>101.162261437499</v>
      </c>
      <c r="AK4287">
        <v>44.097515323804799</v>
      </c>
      <c r="AL4287">
        <v>79.631917455219394</v>
      </c>
      <c r="AM4287">
        <v>95.669457024019195</v>
      </c>
      <c r="AN4287">
        <v>0.99999997588275502</v>
      </c>
    </row>
    <row r="4288" spans="1:40" x14ac:dyDescent="0.25">
      <c r="A4288" t="str">
        <f>"20190304155146115"</f>
        <v>20190304155146115</v>
      </c>
      <c r="B4288" t="str">
        <f>"1551685906111353"</f>
        <v>1551685906111353</v>
      </c>
      <c r="C4288" t="s">
        <v>40</v>
      </c>
      <c r="D4288">
        <v>5.0288130000000004</v>
      </c>
      <c r="E4288">
        <v>0.4596808</v>
      </c>
      <c r="F4288" t="s">
        <v>41</v>
      </c>
      <c r="G4288">
        <v>-273.15859999999998</v>
      </c>
      <c r="H4288" s="1">
        <v>-4.0648859999999999E-6</v>
      </c>
      <c r="I4288">
        <v>133.14619999999999</v>
      </c>
      <c r="J4288">
        <v>-230.62860000000001</v>
      </c>
      <c r="K4288">
        <v>1.1104270000000001</v>
      </c>
      <c r="L4288">
        <v>141.3279</v>
      </c>
      <c r="M4288">
        <v>-0.99992970000000003</v>
      </c>
      <c r="N4288">
        <v>-1.0439179999999999E-2</v>
      </c>
      <c r="O4288">
        <v>5.6229649999999997E-3</v>
      </c>
      <c r="P4288">
        <v>-0.981213</v>
      </c>
      <c r="Q4288">
        <v>0.16980319999999999</v>
      </c>
      <c r="R4288">
        <v>-9.1586829999999994E-2</v>
      </c>
      <c r="S4288">
        <v>-3.0171809999999999</v>
      </c>
      <c r="T4288">
        <v>-7.8184489999999995E-2</v>
      </c>
      <c r="U4288">
        <v>-0.57594299999999998</v>
      </c>
      <c r="V4288">
        <v>-9.7152779999999994E-2</v>
      </c>
      <c r="W4288">
        <v>0.18000450000000001</v>
      </c>
      <c r="X4288">
        <v>0.97885630000000001</v>
      </c>
      <c r="Y4288">
        <v>-0.19293360000000001</v>
      </c>
      <c r="Z4288">
        <v>-3.5795240000000002E-3</v>
      </c>
      <c r="AA4288">
        <v>0.98120529999999995</v>
      </c>
      <c r="AB4288">
        <v>21</v>
      </c>
      <c r="AC4288">
        <v>-42.529999999999902</v>
      </c>
      <c r="AD4288">
        <v>-1.1104310648860001</v>
      </c>
      <c r="AE4288">
        <v>-8.1816999999999993</v>
      </c>
      <c r="AF4288">
        <v>-8.4151964715101197</v>
      </c>
      <c r="AG4288">
        <v>-1.1104310648860001</v>
      </c>
      <c r="AH4288">
        <v>42.455410709746197</v>
      </c>
      <c r="AI4288">
        <v>91.4696635490955</v>
      </c>
      <c r="AJ4288">
        <v>101.21142597102001</v>
      </c>
      <c r="AK4288">
        <v>43.295617414897897</v>
      </c>
      <c r="AL4288">
        <v>79.629977761032606</v>
      </c>
      <c r="AM4288">
        <v>95.668118515268105</v>
      </c>
      <c r="AN4288">
        <v>0.99999996936583302</v>
      </c>
    </row>
    <row r="4289" spans="1:40" x14ac:dyDescent="0.25">
      <c r="A4289" t="str">
        <f>"20190304155146136"</f>
        <v>20190304155146136</v>
      </c>
      <c r="B4289" t="str">
        <f>"1551685906130873"</f>
        <v>1551685906130873</v>
      </c>
      <c r="C4289" t="s">
        <v>40</v>
      </c>
      <c r="D4289">
        <v>5.9158169999999997</v>
      </c>
      <c r="E4289">
        <v>0.46002900000000002</v>
      </c>
      <c r="F4289" t="s">
        <v>41</v>
      </c>
      <c r="G4289">
        <v>-273.28109999999998</v>
      </c>
      <c r="H4289" s="1">
        <v>-4.0203840000000001E-6</v>
      </c>
      <c r="I4289">
        <v>133.101</v>
      </c>
      <c r="J4289">
        <v>-230.8329</v>
      </c>
      <c r="K4289">
        <v>1.110417</v>
      </c>
      <c r="L4289">
        <v>141.3288</v>
      </c>
      <c r="M4289">
        <v>-0.99993189999999998</v>
      </c>
      <c r="N4289">
        <v>-1.034654E-2</v>
      </c>
      <c r="O4289">
        <v>5.3970249999999997E-3</v>
      </c>
      <c r="P4289">
        <v>-0.98132350000000002</v>
      </c>
      <c r="Q4289">
        <v>0.1693354</v>
      </c>
      <c r="R4289">
        <v>-9.1268230000000006E-2</v>
      </c>
      <c r="S4289">
        <v>-3.0167079999999999</v>
      </c>
      <c r="T4289">
        <v>-7.8538300000000005E-2</v>
      </c>
      <c r="U4289">
        <v>-0.58186340000000003</v>
      </c>
      <c r="V4289">
        <v>-9.6613389999999993E-2</v>
      </c>
      <c r="W4289">
        <v>0.17944769999999999</v>
      </c>
      <c r="X4289">
        <v>0.97901199999999999</v>
      </c>
      <c r="Y4289">
        <v>-0.19459609999999999</v>
      </c>
      <c r="Z4289">
        <v>-3.6096050000000001E-3</v>
      </c>
      <c r="AA4289">
        <v>0.98087679999999999</v>
      </c>
      <c r="AB4289">
        <v>21</v>
      </c>
      <c r="AC4289">
        <v>-42.4481999999999</v>
      </c>
      <c r="AD4289">
        <v>-1.1104210203839999</v>
      </c>
      <c r="AE4289">
        <v>-8.2278000000000002</v>
      </c>
      <c r="AF4289">
        <v>-8.4512125323532192</v>
      </c>
      <c r="AG4289">
        <v>-1.1104210203839999</v>
      </c>
      <c r="AH4289">
        <v>42.3752256711429</v>
      </c>
      <c r="AI4289">
        <v>91.472085204995295</v>
      </c>
      <c r="AJ4289">
        <v>101.278944323307</v>
      </c>
      <c r="AK4289">
        <v>43.2240185405036</v>
      </c>
      <c r="AL4289">
        <v>79.662409075029103</v>
      </c>
      <c r="AM4289">
        <v>95.635961777298107</v>
      </c>
      <c r="AN4289">
        <v>1.0000000601532799</v>
      </c>
    </row>
    <row r="4290" spans="1:40" x14ac:dyDescent="0.25">
      <c r="A4290" t="str">
        <f>"20190304155146159"</f>
        <v>20190304155146159</v>
      </c>
      <c r="B4290" t="str">
        <f>"1551685906151369"</f>
        <v>1551685906151369</v>
      </c>
      <c r="C4290" t="s">
        <v>40</v>
      </c>
      <c r="D4290">
        <v>4.90428</v>
      </c>
      <c r="E4290">
        <v>0.54275629999999997</v>
      </c>
      <c r="F4290" t="s">
        <v>41</v>
      </c>
      <c r="G4290">
        <v>-273.41410000000002</v>
      </c>
      <c r="H4290" s="1">
        <v>-3.9514629999999998E-6</v>
      </c>
      <c r="I4290">
        <v>133.1678</v>
      </c>
      <c r="J4290">
        <v>-231.03700000000001</v>
      </c>
      <c r="K4290">
        <v>1.110411</v>
      </c>
      <c r="L4290">
        <v>141.3296</v>
      </c>
      <c r="M4290">
        <v>-0.99993410000000005</v>
      </c>
      <c r="N4290">
        <v>-1.0261340000000001E-2</v>
      </c>
      <c r="O4290">
        <v>5.1711589999999998E-3</v>
      </c>
      <c r="P4290">
        <v>-0.98136760000000001</v>
      </c>
      <c r="Q4290">
        <v>0.1692089</v>
      </c>
      <c r="R4290">
        <v>-9.1028709999999999E-2</v>
      </c>
      <c r="S4290">
        <v>-3.0168910000000002</v>
      </c>
      <c r="T4290">
        <v>-7.8673839999999995E-2</v>
      </c>
      <c r="U4290">
        <v>-0.57820130000000003</v>
      </c>
      <c r="V4290">
        <v>-9.6153069999999993E-2</v>
      </c>
      <c r="W4290">
        <v>0.1792385</v>
      </c>
      <c r="X4290">
        <v>0.97909559999999995</v>
      </c>
      <c r="Y4290">
        <v>-0.19321559999999999</v>
      </c>
      <c r="Z4290">
        <v>-3.577762E-3</v>
      </c>
      <c r="AA4290">
        <v>0.98114979999999996</v>
      </c>
      <c r="AB4290">
        <v>21</v>
      </c>
      <c r="AC4290">
        <v>-42.377099999999999</v>
      </c>
      <c r="AD4290">
        <v>-1.110414951463</v>
      </c>
      <c r="AE4290">
        <v>-8.1617999999999995</v>
      </c>
      <c r="AF4290">
        <v>-8.3752962423432802</v>
      </c>
      <c r="AG4290">
        <v>-1.110414951463</v>
      </c>
      <c r="AH4290">
        <v>42.306316320071801</v>
      </c>
      <c r="AI4290">
        <v>91.474887939226903</v>
      </c>
      <c r="AJ4290">
        <v>101.19794095073</v>
      </c>
      <c r="AK4290">
        <v>43.141662103880698</v>
      </c>
      <c r="AL4290">
        <v>79.674592508408196</v>
      </c>
      <c r="AM4290">
        <v>95.608804680258899</v>
      </c>
      <c r="AN4290">
        <v>1.00000002334601</v>
      </c>
    </row>
    <row r="4291" spans="1:40" x14ac:dyDescent="0.25">
      <c r="A4291" t="str">
        <f>"20190304155146180"</f>
        <v>20190304155146180</v>
      </c>
      <c r="B4291" t="str">
        <f>"1551685906170889"</f>
        <v>1551685906170889</v>
      </c>
      <c r="C4291" t="s">
        <v>40</v>
      </c>
      <c r="D4291">
        <v>4.7416349999999996</v>
      </c>
      <c r="E4291">
        <v>0.54688029999999999</v>
      </c>
      <c r="F4291" t="s">
        <v>53</v>
      </c>
      <c r="G4291">
        <v>0</v>
      </c>
      <c r="H4291">
        <v>0</v>
      </c>
      <c r="I4291">
        <v>0</v>
      </c>
      <c r="J4291">
        <v>-231.2396</v>
      </c>
      <c r="K4291">
        <v>1.1104019999999999</v>
      </c>
      <c r="L4291">
        <v>141.3304</v>
      </c>
      <c r="M4291">
        <v>-0.99993589999999999</v>
      </c>
      <c r="N4291">
        <v>-1.0180649999999999E-2</v>
      </c>
      <c r="O4291">
        <v>4.9471150000000002E-3</v>
      </c>
      <c r="P4291">
        <v>-0.98135070000000002</v>
      </c>
      <c r="Q4291">
        <v>0.16915949999999999</v>
      </c>
      <c r="R4291">
        <v>-9.1300859999999998E-2</v>
      </c>
      <c r="S4291">
        <v>-2.90062</v>
      </c>
      <c r="T4291">
        <v>0.93743799999999999</v>
      </c>
      <c r="U4291">
        <v>5.6976319999999997E-2</v>
      </c>
      <c r="V4291">
        <v>-9.6205330000000006E-2</v>
      </c>
      <c r="W4291">
        <v>0.1791095</v>
      </c>
      <c r="X4291">
        <v>0.97911409999999999</v>
      </c>
      <c r="Y4291">
        <v>1.425848E-2</v>
      </c>
      <c r="Z4291">
        <v>-5.6427669999999997E-4</v>
      </c>
      <c r="AA4291">
        <v>0.99989819999999996</v>
      </c>
      <c r="AB4291">
        <v>21</v>
      </c>
      <c r="AC4291">
        <v>-2.90062</v>
      </c>
      <c r="AD4291">
        <v>0.93743799999999999</v>
      </c>
      <c r="AE4291">
        <v>5.6976319999999997E-2</v>
      </c>
      <c r="AF4291">
        <v>3.85954810746338E-2</v>
      </c>
      <c r="AG4291">
        <v>0.93743799999999999</v>
      </c>
      <c r="AH4291">
        <v>2.6266244401446599</v>
      </c>
      <c r="AI4291">
        <v>70.360557852160795</v>
      </c>
      <c r="AJ4291">
        <v>89.158159420247998</v>
      </c>
      <c r="AK4291">
        <v>2.7891639544079498</v>
      </c>
      <c r="AL4291">
        <v>79.682105513835197</v>
      </c>
      <c r="AM4291">
        <v>95.611728302351693</v>
      </c>
      <c r="AN4291">
        <v>1.0000000496647301</v>
      </c>
    </row>
    <row r="4292" spans="1:40" x14ac:dyDescent="0.25">
      <c r="A4292" t="str">
        <f>"20190304155146203"</f>
        <v>20190304155146203</v>
      </c>
      <c r="B4292" t="str">
        <f>"1551685906201147"</f>
        <v>1551685906201147</v>
      </c>
      <c r="C4292" t="s">
        <v>40</v>
      </c>
      <c r="D4292">
        <v>4.7954470000000002</v>
      </c>
      <c r="E4292">
        <v>0.54805800000000005</v>
      </c>
      <c r="F4292" t="s">
        <v>86</v>
      </c>
      <c r="G4292">
        <v>-511.06490000000002</v>
      </c>
      <c r="H4292">
        <v>18.870059999999999</v>
      </c>
      <c r="I4292">
        <v>151.09540000000001</v>
      </c>
      <c r="J4292">
        <v>-231.45169999999999</v>
      </c>
      <c r="K4292">
        <v>1.1103940000000001</v>
      </c>
      <c r="L4292">
        <v>141.3312</v>
      </c>
      <c r="M4292">
        <v>-0.99993790000000005</v>
      </c>
      <c r="N4292">
        <v>-1.0102959999999999E-2</v>
      </c>
      <c r="O4292">
        <v>4.7123809999999999E-3</v>
      </c>
      <c r="P4292">
        <v>-0.98147649999999997</v>
      </c>
      <c r="Q4292">
        <v>0.16854920000000001</v>
      </c>
      <c r="R4292">
        <v>-9.1077989999999998E-2</v>
      </c>
      <c r="S4292">
        <v>-3.0336609999999999</v>
      </c>
      <c r="T4292">
        <v>0.1925374</v>
      </c>
      <c r="U4292">
        <v>0.1058655</v>
      </c>
      <c r="V4292">
        <v>-9.5752870000000004E-2</v>
      </c>
      <c r="W4292">
        <v>0.17842539999999901</v>
      </c>
      <c r="X4292">
        <v>0.97928329999999997</v>
      </c>
      <c r="Y4292">
        <v>3.0127419999999999E-2</v>
      </c>
      <c r="Z4292">
        <v>-4.562077E-4</v>
      </c>
      <c r="AA4292">
        <v>0.99954600000000005</v>
      </c>
      <c r="AB4292">
        <v>21</v>
      </c>
      <c r="AC4292">
        <v>-279.61320000000001</v>
      </c>
      <c r="AD4292">
        <v>17.759665999999999</v>
      </c>
      <c r="AE4292">
        <v>9.7642000000000095</v>
      </c>
      <c r="AF4292">
        <v>8.4124843823862392</v>
      </c>
      <c r="AG4292">
        <v>17.759665999999999</v>
      </c>
      <c r="AH4292">
        <v>278.53382563388902</v>
      </c>
      <c r="AI4292">
        <v>86.353346348722894</v>
      </c>
      <c r="AJ4292">
        <v>88.270036436553298</v>
      </c>
      <c r="AK4292">
        <v>279.22619442338299</v>
      </c>
      <c r="AL4292">
        <v>79.721942861033298</v>
      </c>
      <c r="AM4292">
        <v>95.584544299930002</v>
      </c>
      <c r="AN4292">
        <v>1.00000000856864</v>
      </c>
    </row>
    <row r="4293" spans="1:40" x14ac:dyDescent="0.25">
      <c r="A4293" t="str">
        <f>"20190304155146224"</f>
        <v>20190304155146224</v>
      </c>
      <c r="B4293" t="str">
        <f>"1551685906220665"</f>
        <v>1551685906220665</v>
      </c>
      <c r="C4293" t="s">
        <v>40</v>
      </c>
      <c r="D4293">
        <v>4.7676049999999996</v>
      </c>
      <c r="E4293">
        <v>0.54788139999999996</v>
      </c>
      <c r="F4293" t="s">
        <v>86</v>
      </c>
      <c r="G4293">
        <v>-511.0652</v>
      </c>
      <c r="H4293">
        <v>19.695509999999999</v>
      </c>
      <c r="I4293">
        <v>152.0034</v>
      </c>
      <c r="J4293">
        <v>-231.65270000000001</v>
      </c>
      <c r="K4293">
        <v>1.1103889999999901</v>
      </c>
      <c r="L4293">
        <v>141.33189999999999</v>
      </c>
      <c r="M4293">
        <v>-0.99993969999999999</v>
      </c>
      <c r="N4293">
        <v>-1.0038780000000001E-2</v>
      </c>
      <c r="O4293">
        <v>4.4900309999999898E-3</v>
      </c>
      <c r="P4293">
        <v>-0.9814619</v>
      </c>
      <c r="Q4293">
        <v>0.1685875</v>
      </c>
      <c r="R4293">
        <v>-9.1163549999999996E-2</v>
      </c>
      <c r="S4293">
        <v>-3.0327449999999998</v>
      </c>
      <c r="T4293">
        <v>0.20157829999999999</v>
      </c>
      <c r="U4293">
        <v>0.1157532</v>
      </c>
      <c r="V4293">
        <v>-9.5620220000000006E-2</v>
      </c>
      <c r="W4293">
        <v>0.17840049999999999</v>
      </c>
      <c r="X4293">
        <v>0.97930079999999997</v>
      </c>
      <c r="Y4293">
        <v>3.3602930000000003E-2</v>
      </c>
      <c r="Z4293">
        <v>-6.0322360000000005E-4</v>
      </c>
      <c r="AA4293">
        <v>0.99943510000000002</v>
      </c>
      <c r="AB4293">
        <v>21</v>
      </c>
      <c r="AC4293">
        <v>-279.41250000000002</v>
      </c>
      <c r="AD4293">
        <v>18.585121000000001</v>
      </c>
      <c r="AE4293">
        <v>10.6715</v>
      </c>
      <c r="AF4293">
        <v>9.3753402425295391</v>
      </c>
      <c r="AG4293">
        <v>18.585121000000001</v>
      </c>
      <c r="AH4293">
        <v>278.22844321797697</v>
      </c>
      <c r="AI4293">
        <v>86.180591455442894</v>
      </c>
      <c r="AJ4293">
        <v>88.070059806767901</v>
      </c>
      <c r="AK4293">
        <v>279.00603997538599</v>
      </c>
      <c r="AL4293">
        <v>79.723392812988706</v>
      </c>
      <c r="AM4293">
        <v>95.576757598720306</v>
      </c>
      <c r="AN4293">
        <v>1.0000000108768601</v>
      </c>
    </row>
    <row r="4294" spans="1:40" x14ac:dyDescent="0.25">
      <c r="A4294" t="str">
        <f>"20190304155146247"</f>
        <v>20190304155146247</v>
      </c>
      <c r="B4294" t="str">
        <f>"1551685906241161"</f>
        <v>1551685906241161</v>
      </c>
      <c r="C4294" t="s">
        <v>40</v>
      </c>
      <c r="D4294">
        <v>4.7561299999999997</v>
      </c>
      <c r="E4294">
        <v>0.54735549999999999</v>
      </c>
      <c r="F4294" t="s">
        <v>86</v>
      </c>
      <c r="G4294">
        <v>-511.06529999999998</v>
      </c>
      <c r="H4294">
        <v>20.089929999999999</v>
      </c>
      <c r="I4294">
        <v>151.8321</v>
      </c>
      <c r="J4294">
        <v>-231.86779999999999</v>
      </c>
      <c r="K4294">
        <v>1.1103829999999999</v>
      </c>
      <c r="L4294">
        <v>141.33260000000001</v>
      </c>
      <c r="M4294">
        <v>-0.99994119999999997</v>
      </c>
      <c r="N4294">
        <v>-9.9791870000000005E-3</v>
      </c>
      <c r="O4294">
        <v>4.2521579999999998E-3</v>
      </c>
      <c r="P4294">
        <v>-0.98145539999999998</v>
      </c>
      <c r="Q4294">
        <v>0.16839960000000001</v>
      </c>
      <c r="R4294">
        <v>-9.1580759999999997E-2</v>
      </c>
      <c r="S4294">
        <v>-3.0318909999999999</v>
      </c>
      <c r="T4294">
        <v>0.2059462</v>
      </c>
      <c r="U4294">
        <v>0.11393739999999999</v>
      </c>
      <c r="V4294">
        <v>-9.5804349999999996E-2</v>
      </c>
      <c r="W4294">
        <v>0.17815420000000001</v>
      </c>
      <c r="X4294">
        <v>0.97932759999999996</v>
      </c>
      <c r="Y4294">
        <v>3.3251070000000001E-2</v>
      </c>
      <c r="Z4294">
        <v>-6.3072740000000001E-4</v>
      </c>
      <c r="AA4294">
        <v>0.99944679999999997</v>
      </c>
      <c r="AB4294">
        <v>21</v>
      </c>
      <c r="AC4294">
        <v>-279.19749999999999</v>
      </c>
      <c r="AD4294">
        <v>18.979547</v>
      </c>
      <c r="AE4294">
        <v>10.4994999999999</v>
      </c>
      <c r="AF4294">
        <v>9.2693795505455192</v>
      </c>
      <c r="AG4294">
        <v>18.979547</v>
      </c>
      <c r="AH4294">
        <v>277.95696080652499</v>
      </c>
      <c r="AI4294">
        <v>86.095937981819901</v>
      </c>
      <c r="AJ4294">
        <v>88.089993579623396</v>
      </c>
      <c r="AK4294">
        <v>278.75834814831597</v>
      </c>
      <c r="AL4294">
        <v>79.737734092392301</v>
      </c>
      <c r="AM4294">
        <v>95.587276592931602</v>
      </c>
      <c r="AN4294">
        <v>0.99999997028915999</v>
      </c>
    </row>
    <row r="4295" spans="1:40" x14ac:dyDescent="0.25">
      <c r="A4295" t="str">
        <f>"20190304155146270"</f>
        <v>20190304155146270</v>
      </c>
      <c r="B4295" t="str">
        <f>"1551685906261657"</f>
        <v>1551685906261657</v>
      </c>
      <c r="C4295" t="s">
        <v>40</v>
      </c>
      <c r="D4295">
        <v>4.7607949999999999</v>
      </c>
      <c r="E4295">
        <v>0.54696440000000002</v>
      </c>
      <c r="F4295" t="s">
        <v>86</v>
      </c>
      <c r="G4295">
        <v>-511.0652</v>
      </c>
      <c r="H4295">
        <v>19.704730000000001</v>
      </c>
      <c r="I4295">
        <v>151.33189999999999</v>
      </c>
      <c r="J4295">
        <v>-232.08330000000001</v>
      </c>
      <c r="K4295">
        <v>1.110379</v>
      </c>
      <c r="L4295">
        <v>141.33320000000001</v>
      </c>
      <c r="M4295">
        <v>-0.99994269999999996</v>
      </c>
      <c r="N4295">
        <v>-9.9275219999999994E-3</v>
      </c>
      <c r="O4295">
        <v>4.0133490000000003E-3</v>
      </c>
      <c r="P4295">
        <v>-0.98136590000000001</v>
      </c>
      <c r="Q4295">
        <v>0.1688047</v>
      </c>
      <c r="R4295">
        <v>-9.1793250000000007E-2</v>
      </c>
      <c r="S4295">
        <v>-3.032181</v>
      </c>
      <c r="T4295">
        <v>0.20194139999999999</v>
      </c>
      <c r="U4295">
        <v>0.10859679999999999</v>
      </c>
      <c r="V4295">
        <v>-9.5782699999999998E-2</v>
      </c>
      <c r="W4295">
        <v>0.178508</v>
      </c>
      <c r="X4295">
        <v>0.97926530000000001</v>
      </c>
      <c r="Y4295">
        <v>3.173256E-2</v>
      </c>
      <c r="Z4295">
        <v>-5.9078139999999999E-4</v>
      </c>
      <c r="AA4295">
        <v>0.99949619999999995</v>
      </c>
      <c r="AB4295">
        <v>21</v>
      </c>
      <c r="AC4295">
        <v>-278.9819</v>
      </c>
      <c r="AD4295">
        <v>18.594351</v>
      </c>
      <c r="AE4295">
        <v>9.9986999999999799</v>
      </c>
      <c r="AF4295">
        <v>8.8396942085688899</v>
      </c>
      <c r="AG4295">
        <v>18.594351</v>
      </c>
      <c r="AH4295">
        <v>277.78734559111098</v>
      </c>
      <c r="AI4295">
        <v>86.172416302162901</v>
      </c>
      <c r="AJ4295">
        <v>88.177360039410104</v>
      </c>
      <c r="AK4295">
        <v>278.54927652637599</v>
      </c>
      <c r="AL4295">
        <v>79.717132712411299</v>
      </c>
      <c r="AM4295">
        <v>95.586375088992298</v>
      </c>
      <c r="AN4295">
        <v>0.99999997973368904</v>
      </c>
    </row>
    <row r="4296" spans="1:40" x14ac:dyDescent="0.25">
      <c r="A4296" t="str">
        <f>"20190304155146291"</f>
        <v>20190304155146291</v>
      </c>
      <c r="B4296" t="str">
        <f>"1551685906281193"</f>
        <v>1551685906281193</v>
      </c>
      <c r="C4296" t="s">
        <v>40</v>
      </c>
      <c r="D4296">
        <v>4.7347830000000002</v>
      </c>
      <c r="E4296">
        <v>0.54720179999999996</v>
      </c>
      <c r="F4296" t="s">
        <v>86</v>
      </c>
      <c r="G4296">
        <v>-511.0652</v>
      </c>
      <c r="H4296">
        <v>19.782859999999999</v>
      </c>
      <c r="I4296">
        <v>150.99029999999999</v>
      </c>
      <c r="J4296">
        <v>-232.2859</v>
      </c>
      <c r="K4296">
        <v>1.1103700000000001</v>
      </c>
      <c r="L4296">
        <v>141.33369999999999</v>
      </c>
      <c r="M4296">
        <v>-0.9999441</v>
      </c>
      <c r="N4296">
        <v>-9.8843279999999995E-3</v>
      </c>
      <c r="O4296">
        <v>3.7894560000000001E-3</v>
      </c>
      <c r="P4296">
        <v>-0.98122609999999999</v>
      </c>
      <c r="Q4296">
        <v>0.16935159999999999</v>
      </c>
      <c r="R4296">
        <v>-9.2280020000000004E-2</v>
      </c>
      <c r="S4296">
        <v>-3.03186</v>
      </c>
      <c r="T4296">
        <v>0.2029252</v>
      </c>
      <c r="U4296">
        <v>0.10495</v>
      </c>
      <c r="V4296">
        <v>-9.6049270000000006E-2</v>
      </c>
      <c r="W4296">
        <v>0.1790109</v>
      </c>
      <c r="X4296">
        <v>0.9791474</v>
      </c>
      <c r="Y4296">
        <v>3.0759950000000001E-2</v>
      </c>
      <c r="Z4296">
        <v>-5.8505760000000003E-4</v>
      </c>
      <c r="AA4296">
        <v>0.99952660000000004</v>
      </c>
      <c r="AB4296">
        <v>21</v>
      </c>
      <c r="AC4296">
        <v>-278.77929999999998</v>
      </c>
      <c r="AD4296">
        <v>18.67249</v>
      </c>
      <c r="AE4296">
        <v>9.6565999999999903</v>
      </c>
      <c r="AF4296">
        <v>8.5616934345615299</v>
      </c>
      <c r="AG4296">
        <v>18.67249</v>
      </c>
      <c r="AH4296">
        <v>277.57013664104898</v>
      </c>
      <c r="AI4296">
        <v>86.153263772063895</v>
      </c>
      <c r="AJ4296">
        <v>88.233263056606205</v>
      </c>
      <c r="AK4296">
        <v>278.32920298128698</v>
      </c>
      <c r="AL4296">
        <v>79.687847140498704</v>
      </c>
      <c r="AM4296">
        <v>95.602493840973196</v>
      </c>
      <c r="AN4296">
        <v>0.99999999775655102</v>
      </c>
    </row>
    <row r="4297" spans="1:40" x14ac:dyDescent="0.25">
      <c r="A4297" t="str">
        <f>"20190304155146317"</f>
        <v>20190304155146317</v>
      </c>
      <c r="B4297" t="str">
        <f>"1551685906311433"</f>
        <v>1551685906311433</v>
      </c>
      <c r="C4297" t="s">
        <v>40</v>
      </c>
      <c r="D4297">
        <v>4.6835889999999996</v>
      </c>
      <c r="E4297">
        <v>0.54703579999999996</v>
      </c>
      <c r="F4297" t="s">
        <v>86</v>
      </c>
      <c r="G4297">
        <v>-511.06540000000001</v>
      </c>
      <c r="H4297">
        <v>20.275449999999999</v>
      </c>
      <c r="I4297">
        <v>151.0136</v>
      </c>
      <c r="J4297">
        <v>-232.51740000000001</v>
      </c>
      <c r="K4297">
        <v>1.110366</v>
      </c>
      <c r="L4297">
        <v>141.33430000000001</v>
      </c>
      <c r="M4297">
        <v>-0.99994530000000004</v>
      </c>
      <c r="N4297">
        <v>-9.8415459999999996E-3</v>
      </c>
      <c r="O4297">
        <v>3.5333719999999999E-3</v>
      </c>
      <c r="P4297">
        <v>-0.98121910000000001</v>
      </c>
      <c r="Q4297">
        <v>0.169256399999999</v>
      </c>
      <c r="R4297">
        <v>-9.2528680000000002E-2</v>
      </c>
      <c r="S4297">
        <v>-3.031342</v>
      </c>
      <c r="T4297">
        <v>0.2083941</v>
      </c>
      <c r="U4297">
        <v>0.1052551</v>
      </c>
      <c r="V4297">
        <v>-9.6046569999999998E-2</v>
      </c>
      <c r="W4297">
        <v>0.17887400000000001</v>
      </c>
      <c r="X4297">
        <v>0.97917270000000001</v>
      </c>
      <c r="Y4297">
        <v>3.1117809999999999E-2</v>
      </c>
      <c r="Z4297">
        <v>-6.3744910000000004E-4</v>
      </c>
      <c r="AA4297">
        <v>0.9995155</v>
      </c>
      <c r="AB4297">
        <v>21</v>
      </c>
      <c r="AC4297">
        <v>-278.548</v>
      </c>
      <c r="AD4297">
        <v>19.165084</v>
      </c>
      <c r="AE4297">
        <v>9.67929999999998</v>
      </c>
      <c r="AF4297">
        <v>8.6540599128209497</v>
      </c>
      <c r="AG4297">
        <v>19.165084</v>
      </c>
      <c r="AH4297">
        <v>277.26947340925102</v>
      </c>
      <c r="AI4297">
        <v>86.047878171630202</v>
      </c>
      <c r="AJ4297">
        <v>88.212279970500802</v>
      </c>
      <c r="AK4297">
        <v>278.065736980206</v>
      </c>
      <c r="AL4297">
        <v>79.695819780812101</v>
      </c>
      <c r="AM4297">
        <v>95.6021935204448</v>
      </c>
      <c r="AN4297">
        <v>1.00000001395502</v>
      </c>
    </row>
    <row r="4298" spans="1:40" x14ac:dyDescent="0.25">
      <c r="A4298" t="str">
        <f>"20190304155146338"</f>
        <v>20190304155146338</v>
      </c>
      <c r="B4298" t="str">
        <f>"1551685906330954"</f>
        <v>1551685906330954</v>
      </c>
      <c r="C4298" t="s">
        <v>40</v>
      </c>
      <c r="D4298">
        <v>4.6325229999999999</v>
      </c>
      <c r="E4298">
        <v>0.54714439999999998</v>
      </c>
      <c r="F4298" t="s">
        <v>86</v>
      </c>
      <c r="G4298">
        <v>-511.06540000000001</v>
      </c>
      <c r="H4298">
        <v>20.352429999999998</v>
      </c>
      <c r="I4298">
        <v>150.8192</v>
      </c>
      <c r="J4298">
        <v>-232.72329999999999</v>
      </c>
      <c r="K4298">
        <v>1.1103670000000001</v>
      </c>
      <c r="L4298">
        <v>141.3348</v>
      </c>
      <c r="M4298">
        <v>-0.99994640000000001</v>
      </c>
      <c r="N4298">
        <v>-9.8088050000000003E-3</v>
      </c>
      <c r="O4298">
        <v>3.3054880000000001E-3</v>
      </c>
      <c r="P4298">
        <v>-0.98129869999999997</v>
      </c>
      <c r="Q4298">
        <v>0.16870950000000001</v>
      </c>
      <c r="R4298">
        <v>-9.2682609999999999E-2</v>
      </c>
      <c r="S4298">
        <v>-3.0310359999999998</v>
      </c>
      <c r="T4298">
        <v>0.20938399999999999</v>
      </c>
      <c r="U4298">
        <v>0.10321039999999999</v>
      </c>
      <c r="V4298">
        <v>-9.5977880000000002E-2</v>
      </c>
      <c r="W4298">
        <v>0.17829589999999901</v>
      </c>
      <c r="X4298">
        <v>0.97928479999999996</v>
      </c>
      <c r="Y4298">
        <v>3.067522E-2</v>
      </c>
      <c r="Z4298">
        <v>-6.4693819999999997E-4</v>
      </c>
      <c r="AA4298">
        <v>0.99952920000000001</v>
      </c>
      <c r="AB4298">
        <v>21</v>
      </c>
      <c r="AC4298">
        <v>-278.34210000000002</v>
      </c>
      <c r="AD4298">
        <v>19.242063000000002</v>
      </c>
      <c r="AE4298">
        <v>9.4843999999999902</v>
      </c>
      <c r="AF4298">
        <v>8.5235597767018891</v>
      </c>
      <c r="AG4298">
        <v>19.242063000000002</v>
      </c>
      <c r="AH4298">
        <v>277.04942194670099</v>
      </c>
      <c r="AI4298">
        <v>86.028858358591606</v>
      </c>
      <c r="AJ4298">
        <v>88.2378234022149</v>
      </c>
      <c r="AK4298">
        <v>277.84760258235798</v>
      </c>
      <c r="AL4298">
        <v>79.729482975159101</v>
      </c>
      <c r="AM4298">
        <v>95.597575673216895</v>
      </c>
      <c r="AN4298">
        <v>0.99999995045857004</v>
      </c>
    </row>
    <row r="4299" spans="1:40" x14ac:dyDescent="0.25">
      <c r="A4299" t="str">
        <f>"20190304155146361"</f>
        <v>20190304155146361</v>
      </c>
      <c r="B4299" t="str">
        <f>"1551685906351449"</f>
        <v>1551685906351449</v>
      </c>
      <c r="C4299" t="s">
        <v>40</v>
      </c>
      <c r="D4299">
        <v>4.5947940000000003</v>
      </c>
      <c r="E4299">
        <v>0.5472378</v>
      </c>
      <c r="F4299" t="s">
        <v>86</v>
      </c>
      <c r="G4299">
        <v>-511.06540000000001</v>
      </c>
      <c r="H4299">
        <v>20.294599999999999</v>
      </c>
      <c r="I4299">
        <v>150.8365</v>
      </c>
      <c r="J4299">
        <v>-232.94130000000001</v>
      </c>
      <c r="K4299">
        <v>1.1103620000000001</v>
      </c>
      <c r="L4299">
        <v>141.33529999999999</v>
      </c>
      <c r="M4299">
        <v>-0.99994760000000005</v>
      </c>
      <c r="N4299">
        <v>-9.7789650000000006E-3</v>
      </c>
      <c r="O4299">
        <v>3.0625579999999999E-3</v>
      </c>
      <c r="P4299">
        <v>-0.98128190000000004</v>
      </c>
      <c r="Q4299">
        <v>0.16859930000000001</v>
      </c>
      <c r="R4299">
        <v>-9.3061210000000005E-2</v>
      </c>
      <c r="S4299">
        <v>-3.0310359999999998</v>
      </c>
      <c r="T4299">
        <v>0.20890919999999999</v>
      </c>
      <c r="U4299">
        <v>0.1034698</v>
      </c>
      <c r="V4299">
        <v>-9.6118579999999995E-2</v>
      </c>
      <c r="W4299">
        <v>0.1781566</v>
      </c>
      <c r="X4299">
        <v>0.97929639999999996</v>
      </c>
      <c r="Y4299">
        <v>3.1002289999999998E-2</v>
      </c>
      <c r="Z4299">
        <v>-6.7436030000000004E-4</v>
      </c>
      <c r="AA4299">
        <v>0.99951909999999999</v>
      </c>
      <c r="AB4299">
        <v>21</v>
      </c>
      <c r="AC4299">
        <v>-278.1241</v>
      </c>
      <c r="AD4299">
        <v>19.184238000000001</v>
      </c>
      <c r="AE4299">
        <v>9.5012000000000096</v>
      </c>
      <c r="AF4299">
        <v>8.60843361290007</v>
      </c>
      <c r="AG4299">
        <v>19.184238000000001</v>
      </c>
      <c r="AH4299">
        <v>276.83628140541401</v>
      </c>
      <c r="AI4299">
        <v>86.037755895541196</v>
      </c>
      <c r="AJ4299">
        <v>88.218918310515093</v>
      </c>
      <c r="AK4299">
        <v>277.63369179421602</v>
      </c>
      <c r="AL4299">
        <v>79.737594627107399</v>
      </c>
      <c r="AM4299">
        <v>95.605663304425804</v>
      </c>
      <c r="AN4299">
        <v>0.99999999729886802</v>
      </c>
    </row>
    <row r="4300" spans="1:40" x14ac:dyDescent="0.25">
      <c r="A4300" t="str">
        <f>"20190304155146382"</f>
        <v>20190304155146382</v>
      </c>
      <c r="B4300" t="str">
        <f>"1551685906370969"</f>
        <v>1551685906370969</v>
      </c>
      <c r="C4300" t="s">
        <v>40</v>
      </c>
      <c r="D4300">
        <v>4.6053160000000002</v>
      </c>
      <c r="E4300">
        <v>0.54727419999999904</v>
      </c>
      <c r="F4300" t="s">
        <v>86</v>
      </c>
      <c r="G4300">
        <v>-511.06549999999999</v>
      </c>
      <c r="H4300">
        <v>20.47954</v>
      </c>
      <c r="I4300">
        <v>150.79409999999999</v>
      </c>
      <c r="J4300">
        <v>-233.14429999999999</v>
      </c>
      <c r="K4300">
        <v>1.110366</v>
      </c>
      <c r="L4300">
        <v>141.3356</v>
      </c>
      <c r="M4300">
        <v>-0.99994839999999996</v>
      </c>
      <c r="N4300">
        <v>-9.7550959999999996E-3</v>
      </c>
      <c r="O4300">
        <v>2.830838E-3</v>
      </c>
      <c r="P4300">
        <v>-0.98119009999999995</v>
      </c>
      <c r="Q4300">
        <v>0.16878650000000001</v>
      </c>
      <c r="R4300">
        <v>-9.3688889999999997E-2</v>
      </c>
      <c r="S4300">
        <v>-3.0307309999999998</v>
      </c>
      <c r="T4300">
        <v>0.21106710000000001</v>
      </c>
      <c r="U4300">
        <v>0.1030731</v>
      </c>
      <c r="V4300">
        <v>-9.6520099999999998E-2</v>
      </c>
      <c r="W4300">
        <v>0.17831849999999999</v>
      </c>
      <c r="X4300">
        <v>0.97922739999999997</v>
      </c>
      <c r="Y4300">
        <v>3.1104420000000001E-2</v>
      </c>
      <c r="Z4300">
        <v>-7.0513349999999999E-4</v>
      </c>
      <c r="AA4300">
        <v>0.99951590000000001</v>
      </c>
      <c r="AB4300">
        <v>21</v>
      </c>
      <c r="AC4300">
        <v>-277.9212</v>
      </c>
      <c r="AD4300">
        <v>19.369173999999902</v>
      </c>
      <c r="AE4300">
        <v>9.4584999999999795</v>
      </c>
      <c r="AF4300">
        <v>8.6298072403778097</v>
      </c>
      <c r="AG4300">
        <v>19.369173999999902</v>
      </c>
      <c r="AH4300">
        <v>276.60491406743398</v>
      </c>
      <c r="AI4300">
        <v>85.996360912359904</v>
      </c>
      <c r="AJ4300">
        <v>88.213006452030697</v>
      </c>
      <c r="AK4300">
        <v>277.41650448504498</v>
      </c>
      <c r="AL4300">
        <v>79.728167090815006</v>
      </c>
      <c r="AM4300">
        <v>95.629324079343505</v>
      </c>
      <c r="AN4300">
        <v>0.99999995902850902</v>
      </c>
    </row>
    <row r="4301" spans="1:40" x14ac:dyDescent="0.25">
      <c r="A4301" t="str">
        <f>"20190304155146405"</f>
        <v>20190304155146405</v>
      </c>
      <c r="B4301" t="str">
        <f>"1551685906401226"</f>
        <v>1551685906401226</v>
      </c>
      <c r="C4301" t="s">
        <v>40</v>
      </c>
      <c r="D4301">
        <v>4.5623319999999996</v>
      </c>
      <c r="E4301">
        <v>0.54728489999999996</v>
      </c>
      <c r="F4301" t="s">
        <v>86</v>
      </c>
      <c r="G4301">
        <v>-511.06549999999999</v>
      </c>
      <c r="H4301">
        <v>20.64377</v>
      </c>
      <c r="I4301">
        <v>150.61879999999999</v>
      </c>
      <c r="J4301">
        <v>-233.35820000000001</v>
      </c>
      <c r="K4301">
        <v>1.1103730000000001</v>
      </c>
      <c r="L4301">
        <v>141.33590000000001</v>
      </c>
      <c r="M4301">
        <v>-0.99994950000000005</v>
      </c>
      <c r="N4301">
        <v>-9.7333449999999992E-3</v>
      </c>
      <c r="O4301">
        <v>2.574977E-3</v>
      </c>
      <c r="P4301">
        <v>-0.98112619999999895</v>
      </c>
      <c r="Q4301">
        <v>0.16932659999999999</v>
      </c>
      <c r="R4301">
        <v>-9.3383079999999993E-2</v>
      </c>
      <c r="S4301">
        <v>-3.0305330000000001</v>
      </c>
      <c r="T4301">
        <v>0.2129982</v>
      </c>
      <c r="U4301">
        <v>0.10122680000000001</v>
      </c>
      <c r="V4301">
        <v>-9.5966480000000007E-2</v>
      </c>
      <c r="W4301">
        <v>0.17883499999999999</v>
      </c>
      <c r="X4301">
        <v>0.97918769999999999</v>
      </c>
      <c r="Y4301">
        <v>3.0752890000000001E-2</v>
      </c>
      <c r="Z4301">
        <v>-7.2349350000000003E-4</v>
      </c>
      <c r="AA4301">
        <v>0.99952669999999999</v>
      </c>
      <c r="AB4301">
        <v>21</v>
      </c>
      <c r="AC4301">
        <v>-277.70729999999998</v>
      </c>
      <c r="AD4301">
        <v>19.533397000000001</v>
      </c>
      <c r="AE4301">
        <v>9.2828999999999802</v>
      </c>
      <c r="AF4301">
        <v>8.5256126480666996</v>
      </c>
      <c r="AG4301">
        <v>19.533397000000001</v>
      </c>
      <c r="AH4301">
        <v>276.36451150278998</v>
      </c>
      <c r="AI4301">
        <v>85.958983406072406</v>
      </c>
      <c r="AJ4301">
        <v>88.233033791497604</v>
      </c>
      <c r="AK4301">
        <v>277.18510581840502</v>
      </c>
      <c r="AL4301">
        <v>79.698091179134906</v>
      </c>
      <c r="AM4301">
        <v>95.597466516657803</v>
      </c>
      <c r="AN4301">
        <v>1.00000003716993</v>
      </c>
    </row>
    <row r="4302" spans="1:40" x14ac:dyDescent="0.25">
      <c r="A4302" t="str">
        <f>"20190304155146426"</f>
        <v>20190304155146426</v>
      </c>
      <c r="B4302" t="str">
        <f>"1551685906420745"</f>
        <v>1551685906420745</v>
      </c>
      <c r="C4302" t="s">
        <v>40</v>
      </c>
      <c r="D4302">
        <v>4.5180449999999999</v>
      </c>
      <c r="E4302">
        <v>0.54742409999999997</v>
      </c>
      <c r="F4302" t="s">
        <v>86</v>
      </c>
      <c r="G4302">
        <v>-511.06560000000002</v>
      </c>
      <c r="H4302">
        <v>20.97054</v>
      </c>
      <c r="I4302">
        <v>150.6848</v>
      </c>
      <c r="J4302">
        <v>-233.5582</v>
      </c>
      <c r="K4302">
        <v>1.110379</v>
      </c>
      <c r="L4302">
        <v>141.33609999999999</v>
      </c>
      <c r="M4302">
        <v>-0.99995029999999996</v>
      </c>
      <c r="N4302">
        <v>-9.7159380000000004E-3</v>
      </c>
      <c r="O4302">
        <v>2.3185039999999999E-3</v>
      </c>
      <c r="P4302">
        <v>-0.9810799</v>
      </c>
      <c r="Q4302">
        <v>0.16956940000000001</v>
      </c>
      <c r="R4302">
        <v>-9.3429129999999999E-2</v>
      </c>
      <c r="S4302">
        <v>-3.0300449999999999</v>
      </c>
      <c r="T4302">
        <v>0.216693</v>
      </c>
      <c r="U4302">
        <v>0.102005</v>
      </c>
      <c r="V4302">
        <v>-9.5765959999999997E-2</v>
      </c>
      <c r="W4302">
        <v>0.17905789999999999</v>
      </c>
      <c r="X4302">
        <v>0.9791666</v>
      </c>
      <c r="Y4302">
        <v>3.1266820000000001E-2</v>
      </c>
      <c r="Z4302">
        <v>-7.7613659999999996E-4</v>
      </c>
      <c r="AA4302">
        <v>0.99951080000000003</v>
      </c>
      <c r="AB4302">
        <v>21</v>
      </c>
      <c r="AC4302">
        <v>-277.50740000000002</v>
      </c>
      <c r="AD4302">
        <v>19.860161000000002</v>
      </c>
      <c r="AE4302">
        <v>9.3486999999999991</v>
      </c>
      <c r="AF4302">
        <v>8.6609339542544994</v>
      </c>
      <c r="AG4302">
        <v>19.860161000000002</v>
      </c>
      <c r="AH4302">
        <v>276.11574385679899</v>
      </c>
      <c r="AI4302">
        <v>85.887990109962601</v>
      </c>
      <c r="AJ4302">
        <v>88.203389983437901</v>
      </c>
      <c r="AK4302">
        <v>276.96451357078098</v>
      </c>
      <c r="AL4302">
        <v>79.685110461380802</v>
      </c>
      <c r="AM4302">
        <v>95.585964377319399</v>
      </c>
      <c r="AN4302">
        <v>1.0000000406013401</v>
      </c>
    </row>
    <row r="4303" spans="1:40" x14ac:dyDescent="0.25">
      <c r="A4303" t="str">
        <f>"20190304155146450"</f>
        <v>20190304155146450</v>
      </c>
      <c r="B4303" t="str">
        <f>"1551685906441241"</f>
        <v>1551685906441241</v>
      </c>
      <c r="C4303" t="s">
        <v>40</v>
      </c>
      <c r="D4303">
        <v>4.5051860000000001</v>
      </c>
      <c r="E4303">
        <v>0.54745010000000005</v>
      </c>
      <c r="F4303" t="s">
        <v>86</v>
      </c>
      <c r="G4303">
        <v>-511.06569999999999</v>
      </c>
      <c r="H4303">
        <v>21.23237</v>
      </c>
      <c r="I4303">
        <v>150.7758</v>
      </c>
      <c r="J4303">
        <v>-233.77809999999999</v>
      </c>
      <c r="K4303">
        <v>1.110392</v>
      </c>
      <c r="L4303">
        <v>141.33629999999999</v>
      </c>
      <c r="M4303">
        <v>-0.99995109999999998</v>
      </c>
      <c r="N4303">
        <v>-9.6996659999999991E-3</v>
      </c>
      <c r="O4303">
        <v>2.0108650000000001E-3</v>
      </c>
      <c r="P4303">
        <v>-0.98115680000000005</v>
      </c>
      <c r="Q4303">
        <v>0.16925870000000001</v>
      </c>
      <c r="R4303">
        <v>-9.3184020000000006E-2</v>
      </c>
      <c r="S4303">
        <v>-3.029709</v>
      </c>
      <c r="T4303">
        <v>0.21968360000000001</v>
      </c>
      <c r="U4303">
        <v>0.10305789999999999</v>
      </c>
      <c r="V4303">
        <v>-9.5227820000000005E-2</v>
      </c>
      <c r="W4303">
        <v>0.1787281</v>
      </c>
      <c r="X4303">
        <v>0.97927929999999996</v>
      </c>
      <c r="Y4303">
        <v>3.1920539999999997E-2</v>
      </c>
      <c r="Z4303">
        <v>-8.3534959999999998E-4</v>
      </c>
      <c r="AA4303">
        <v>0.99949010000000005</v>
      </c>
      <c r="AB4303">
        <v>21</v>
      </c>
      <c r="AC4303">
        <v>-277.2876</v>
      </c>
      <c r="AD4303">
        <v>20.121977999999999</v>
      </c>
      <c r="AE4303">
        <v>9.4395000000000095</v>
      </c>
      <c r="AF4303">
        <v>8.8353935623501894</v>
      </c>
      <c r="AG4303">
        <v>20.121977999999999</v>
      </c>
      <c r="AH4303">
        <v>275.85505195149801</v>
      </c>
      <c r="AI4303">
        <v>85.830134972519403</v>
      </c>
      <c r="AJ4303">
        <v>88.165493956584598</v>
      </c>
      <c r="AK4303">
        <v>276.729051357456</v>
      </c>
      <c r="AL4303">
        <v>79.704316104628504</v>
      </c>
      <c r="AM4303">
        <v>95.554136627635899</v>
      </c>
      <c r="AN4303">
        <v>1.0000000094200201</v>
      </c>
    </row>
    <row r="4304" spans="1:40" x14ac:dyDescent="0.25">
      <c r="A4304" t="str">
        <f>"20190304155146471"</f>
        <v>20190304155146471</v>
      </c>
      <c r="B4304" t="str">
        <f>"1551685906460765"</f>
        <v>1551685906460765</v>
      </c>
      <c r="C4304" t="s">
        <v>40</v>
      </c>
      <c r="D4304">
        <v>4.3803070000000002</v>
      </c>
      <c r="E4304">
        <v>0.54118379999999999</v>
      </c>
      <c r="F4304" t="s">
        <v>86</v>
      </c>
      <c r="G4304">
        <v>-511.06569999999999</v>
      </c>
      <c r="H4304">
        <v>21.236160000000002</v>
      </c>
      <c r="I4304">
        <v>150.87209999999999</v>
      </c>
      <c r="J4304">
        <v>-233.994</v>
      </c>
      <c r="K4304">
        <v>1.110419</v>
      </c>
      <c r="L4304">
        <v>141.3364</v>
      </c>
      <c r="M4304">
        <v>-0.9999517</v>
      </c>
      <c r="N4304">
        <v>-9.6862560000000007E-3</v>
      </c>
      <c r="O4304">
        <v>1.676826E-3</v>
      </c>
      <c r="P4304">
        <v>-0.98120419999999997</v>
      </c>
      <c r="Q4304">
        <v>0.16961889999999999</v>
      </c>
      <c r="R4304">
        <v>-9.2022439999999997E-2</v>
      </c>
      <c r="S4304">
        <v>-3.0296020000000001</v>
      </c>
      <c r="T4304">
        <v>0.21989130000000001</v>
      </c>
      <c r="U4304">
        <v>0.104187</v>
      </c>
      <c r="V4304">
        <v>-9.3748049999999999E-2</v>
      </c>
      <c r="W4304">
        <v>0.17907149999999999</v>
      </c>
      <c r="X4304">
        <v>0.97935930000000004</v>
      </c>
      <c r="Y4304">
        <v>3.2624809999999997E-2</v>
      </c>
      <c r="Z4304">
        <v>-8.8610730000000001E-4</v>
      </c>
      <c r="AA4304">
        <v>0.99946729999999995</v>
      </c>
      <c r="AB4304">
        <v>21</v>
      </c>
      <c r="AC4304">
        <v>-277.07170000000002</v>
      </c>
      <c r="AD4304">
        <v>20.125741000000001</v>
      </c>
      <c r="AE4304">
        <v>9.5356999999999896</v>
      </c>
      <c r="AF4304">
        <v>9.0235104540401405</v>
      </c>
      <c r="AG4304">
        <v>20.125741000000001</v>
      </c>
      <c r="AH4304">
        <v>275.63472361416001</v>
      </c>
      <c r="AI4304">
        <v>85.826131169460893</v>
      </c>
      <c r="AJ4304">
        <v>88.124965968735793</v>
      </c>
      <c r="AK4304">
        <v>276.51576818251698</v>
      </c>
      <c r="AL4304">
        <v>79.684317688194398</v>
      </c>
      <c r="AM4304">
        <v>95.467912711085603</v>
      </c>
      <c r="AN4304">
        <v>0.99999996874376995</v>
      </c>
    </row>
    <row r="4305" spans="1:40" x14ac:dyDescent="0.25">
      <c r="A4305" t="str">
        <f>"20190304155146492"</f>
        <v>20190304155146492</v>
      </c>
      <c r="B4305" t="str">
        <f>"1551685906491017"</f>
        <v>1551685906491017</v>
      </c>
      <c r="C4305" t="s">
        <v>40</v>
      </c>
      <c r="D4305">
        <v>4.3876879999999998</v>
      </c>
      <c r="E4305">
        <v>0.54745010000000005</v>
      </c>
      <c r="F4305" t="s">
        <v>53</v>
      </c>
      <c r="G4305">
        <v>0</v>
      </c>
      <c r="H4305">
        <v>0</v>
      </c>
      <c r="I4305">
        <v>0</v>
      </c>
      <c r="J4305">
        <v>-234.20189999999999</v>
      </c>
      <c r="K4305">
        <v>1.110447</v>
      </c>
      <c r="L4305">
        <v>141.33629999999999</v>
      </c>
      <c r="M4305">
        <v>-0.99995230000000002</v>
      </c>
      <c r="N4305">
        <v>-9.6753220000000001E-3</v>
      </c>
      <c r="O4305">
        <v>1.3282470000000001E-3</v>
      </c>
      <c r="P4305">
        <v>-0.98118559999999999</v>
      </c>
      <c r="Q4305">
        <v>0.17029949999999999</v>
      </c>
      <c r="R4305">
        <v>-9.0957120000000002E-2</v>
      </c>
      <c r="S4305">
        <v>-3.0007630000000001</v>
      </c>
      <c r="T4305">
        <v>0.35768709999999998</v>
      </c>
      <c r="U4305">
        <v>5.4702760000000003E-2</v>
      </c>
      <c r="V4305">
        <v>-9.2350489999999993E-2</v>
      </c>
      <c r="W4305">
        <v>0.1797376</v>
      </c>
      <c r="X4305">
        <v>0.97937010000000002</v>
      </c>
      <c r="Y4305">
        <v>1.68002999999999E-2</v>
      </c>
      <c r="Z4305">
        <v>-7.455726E-4</v>
      </c>
      <c r="AA4305">
        <v>0.99985860000000004</v>
      </c>
      <c r="AB4305">
        <v>21</v>
      </c>
      <c r="AC4305">
        <v>-3.0007630000000001</v>
      </c>
      <c r="AD4305">
        <v>0.35768709999999998</v>
      </c>
      <c r="AE4305">
        <v>5.4702760000000003E-2</v>
      </c>
      <c r="AF4305">
        <v>5.0006497683136197E-2</v>
      </c>
      <c r="AG4305">
        <v>0.35768709999999998</v>
      </c>
      <c r="AH4305">
        <v>2.9588072585924401</v>
      </c>
      <c r="AI4305">
        <v>83.107996651750895</v>
      </c>
      <c r="AJ4305">
        <v>89.031742097418103</v>
      </c>
      <c r="AK4305">
        <v>2.9807685426440398</v>
      </c>
      <c r="AL4305">
        <v>79.645523930272702</v>
      </c>
      <c r="AM4305">
        <v>95.386823216318206</v>
      </c>
      <c r="AN4305">
        <v>1.0000000053155</v>
      </c>
    </row>
    <row r="4306" spans="1:40" x14ac:dyDescent="0.25">
      <c r="A4306" t="str">
        <f>"20190304155146516"</f>
        <v>20190304155146516</v>
      </c>
      <c r="B4306" t="str">
        <f>"1551685906511513"</f>
        <v>1551685906511513</v>
      </c>
      <c r="C4306" t="s">
        <v>40</v>
      </c>
      <c r="D4306">
        <v>4.8473059999999997</v>
      </c>
      <c r="E4306">
        <v>0.54264429999999997</v>
      </c>
      <c r="F4306" t="s">
        <v>86</v>
      </c>
      <c r="G4306">
        <v>-511.08859999999999</v>
      </c>
      <c r="H4306">
        <v>90.290400000000005</v>
      </c>
      <c r="I4306">
        <v>150.3596</v>
      </c>
      <c r="J4306">
        <v>-234.4228</v>
      </c>
      <c r="K4306">
        <v>1.110473</v>
      </c>
      <c r="L4306">
        <v>141.33619999999999</v>
      </c>
      <c r="M4306">
        <v>-0.99995290000000003</v>
      </c>
      <c r="N4306">
        <v>-9.6655600000000001E-3</v>
      </c>
      <c r="O4306">
        <v>9.2608040000000005E-4</v>
      </c>
      <c r="P4306">
        <v>-0.98118030000000001</v>
      </c>
      <c r="Q4306">
        <v>0.17087910000000001</v>
      </c>
      <c r="R4306">
        <v>-8.9919810000000003E-2</v>
      </c>
      <c r="S4306">
        <v>-2.9039609999999998</v>
      </c>
      <c r="T4306">
        <v>0.93531059999999999</v>
      </c>
      <c r="U4306">
        <v>9.4635010000000006E-2</v>
      </c>
      <c r="V4306">
        <v>-9.0927679999999997E-2</v>
      </c>
      <c r="W4306">
        <v>0.1803042</v>
      </c>
      <c r="X4306">
        <v>0.97939909999999997</v>
      </c>
      <c r="Y4306">
        <v>3.0216119999999999E-2</v>
      </c>
      <c r="Z4306">
        <v>-4.2956840000000001E-3</v>
      </c>
      <c r="AA4306">
        <v>0.99953409999999998</v>
      </c>
      <c r="AB4306">
        <v>21</v>
      </c>
      <c r="AC4306">
        <v>-276.66579999999999</v>
      </c>
      <c r="AD4306">
        <v>89.179927000000006</v>
      </c>
      <c r="AE4306">
        <v>9.0234000000000094</v>
      </c>
      <c r="AF4306">
        <v>7.94277710702824</v>
      </c>
      <c r="AG4306">
        <v>89.179927000000006</v>
      </c>
      <c r="AH4306">
        <v>250.65789386023999</v>
      </c>
      <c r="AI4306">
        <v>70.424361826821894</v>
      </c>
      <c r="AJ4306">
        <v>88.185034706219994</v>
      </c>
      <c r="AK4306">
        <v>266.16823034004</v>
      </c>
      <c r="AL4306">
        <v>79.612521143188104</v>
      </c>
      <c r="AM4306">
        <v>95.304151306517099</v>
      </c>
      <c r="AN4306">
        <v>1.00000002230431</v>
      </c>
    </row>
    <row r="4307" spans="1:40" x14ac:dyDescent="0.25">
      <c r="A4307" t="str">
        <f>"20190304155146538"</f>
        <v>20190304155146538</v>
      </c>
      <c r="B4307" t="str">
        <f>"1551685906531033"</f>
        <v>1551685906531033</v>
      </c>
      <c r="C4307" t="s">
        <v>40</v>
      </c>
      <c r="D4307">
        <v>4.5842179999999999</v>
      </c>
      <c r="E4307">
        <v>0.53471489999999999</v>
      </c>
      <c r="F4307" t="s">
        <v>53</v>
      </c>
      <c r="G4307">
        <v>0</v>
      </c>
      <c r="H4307">
        <v>0</v>
      </c>
      <c r="I4307">
        <v>0</v>
      </c>
      <c r="J4307">
        <v>-234.6387</v>
      </c>
      <c r="K4307">
        <v>1.110487</v>
      </c>
      <c r="L4307">
        <v>141.33590000000001</v>
      </c>
      <c r="M4307">
        <v>-0.99995330000000004</v>
      </c>
      <c r="N4307">
        <v>-9.657634E-3</v>
      </c>
      <c r="O4307">
        <v>5.0205979999999996E-4</v>
      </c>
      <c r="P4307">
        <v>-0.98116490000000001</v>
      </c>
      <c r="Q4307">
        <v>0.1709947</v>
      </c>
      <c r="R4307">
        <v>-8.9869279999999996E-2</v>
      </c>
      <c r="S4307">
        <v>-2.8859249999999999</v>
      </c>
      <c r="T4307">
        <v>1.0156889999999901</v>
      </c>
      <c r="U4307">
        <v>5.758667E-2</v>
      </c>
      <c r="V4307">
        <v>-9.0468699999999999E-2</v>
      </c>
      <c r="W4307">
        <v>0.18040880000000001</v>
      </c>
      <c r="X4307">
        <v>0.97942229999999997</v>
      </c>
      <c r="Y4307">
        <v>1.840613E-2</v>
      </c>
      <c r="Z4307">
        <v>-2.8765269999999998E-3</v>
      </c>
      <c r="AA4307">
        <v>0.9998264</v>
      </c>
      <c r="AB4307">
        <v>22</v>
      </c>
      <c r="AC4307">
        <v>-2.8859249999999999</v>
      </c>
      <c r="AD4307">
        <v>1.0156889999999901</v>
      </c>
      <c r="AE4307">
        <v>5.758667E-2</v>
      </c>
      <c r="AF4307">
        <v>4.99527176215959E-2</v>
      </c>
      <c r="AG4307">
        <v>1.0156889999999901</v>
      </c>
      <c r="AH4307">
        <v>2.5679935711858399</v>
      </c>
      <c r="AI4307">
        <v>68.423992113184994</v>
      </c>
      <c r="AJ4307">
        <v>88.885620656320995</v>
      </c>
      <c r="AK4307">
        <v>2.7620120203160901</v>
      </c>
      <c r="AL4307">
        <v>79.606427655364598</v>
      </c>
      <c r="AM4307">
        <v>95.277404545434194</v>
      </c>
      <c r="AN4307">
        <v>0.99999998126720901</v>
      </c>
    </row>
    <row r="4308" spans="1:40" x14ac:dyDescent="0.25">
      <c r="A4308" t="str">
        <f>"20190304155146561"</f>
        <v>20190304155146561</v>
      </c>
      <c r="B4308" t="str">
        <f>"1551685906551532"</f>
        <v>1551685906551532</v>
      </c>
      <c r="C4308" t="s">
        <v>40</v>
      </c>
      <c r="D4308">
        <v>4.3714000000000004</v>
      </c>
      <c r="E4308">
        <v>0.53112099999999995</v>
      </c>
      <c r="F4308" t="s">
        <v>53</v>
      </c>
      <c r="G4308">
        <v>0</v>
      </c>
      <c r="H4308">
        <v>0</v>
      </c>
      <c r="I4308">
        <v>0</v>
      </c>
      <c r="J4308">
        <v>-234.85759999999999</v>
      </c>
      <c r="K4308">
        <v>1.110501</v>
      </c>
      <c r="L4308">
        <v>141.3355</v>
      </c>
      <c r="M4308">
        <v>-0.99995350000000005</v>
      </c>
      <c r="N4308">
        <v>-9.6509539999999998E-3</v>
      </c>
      <c r="O4308" s="1">
        <v>4.7136399999999998E-5</v>
      </c>
      <c r="P4308">
        <v>-0.98094919999999997</v>
      </c>
      <c r="Q4308">
        <v>0.17173629999999901</v>
      </c>
      <c r="R4308">
        <v>-9.0803529999999993E-2</v>
      </c>
      <c r="S4308">
        <v>-2.8845519999999998</v>
      </c>
      <c r="T4308">
        <v>0.99030019999999996</v>
      </c>
      <c r="U4308">
        <v>-4.9285889999999997E-3</v>
      </c>
      <c r="V4308">
        <v>-9.0963470000000005E-2</v>
      </c>
      <c r="W4308">
        <v>0.18113850000000001</v>
      </c>
      <c r="X4308">
        <v>0.97924180000000005</v>
      </c>
      <c r="Y4308">
        <v>-1.660587E-3</v>
      </c>
      <c r="Z4308">
        <v>2.850552E-4</v>
      </c>
      <c r="AA4308">
        <v>0.99999859999999896</v>
      </c>
      <c r="AB4308">
        <v>22</v>
      </c>
      <c r="AC4308">
        <v>-2.8845519999999998</v>
      </c>
      <c r="AD4308">
        <v>0.99030019999999996</v>
      </c>
      <c r="AE4308">
        <v>-4.9285889999999997E-3</v>
      </c>
      <c r="AF4308">
        <v>-4.5305774417025496E-3</v>
      </c>
      <c r="AG4308">
        <v>0.99030019999999996</v>
      </c>
      <c r="AH4308">
        <v>2.5804172820853499</v>
      </c>
      <c r="AI4308">
        <v>69.004465062516203</v>
      </c>
      <c r="AJ4308">
        <v>90.100597179081404</v>
      </c>
      <c r="AK4308">
        <v>2.76392264036763</v>
      </c>
      <c r="AL4308">
        <v>79.563918835055006</v>
      </c>
      <c r="AM4308">
        <v>95.307074652665406</v>
      </c>
      <c r="AN4308">
        <v>1.00000000596196</v>
      </c>
    </row>
    <row r="4309" spans="1:40" x14ac:dyDescent="0.25">
      <c r="A4309" t="str">
        <f>"20190304155146583"</f>
        <v>20190304155146583</v>
      </c>
      <c r="B4309" t="str">
        <f>"1551685906580809"</f>
        <v>1551685906580809</v>
      </c>
      <c r="C4309" t="s">
        <v>40</v>
      </c>
      <c r="D4309">
        <v>4.3496240000000004</v>
      </c>
      <c r="E4309">
        <v>0.5267522</v>
      </c>
      <c r="F4309" t="s">
        <v>53</v>
      </c>
      <c r="G4309">
        <v>0</v>
      </c>
      <c r="H4309">
        <v>0</v>
      </c>
      <c r="I4309">
        <v>0</v>
      </c>
      <c r="J4309">
        <v>-235.07300000000001</v>
      </c>
      <c r="K4309">
        <v>1.1105020000000001</v>
      </c>
      <c r="L4309">
        <v>141.33500000000001</v>
      </c>
      <c r="M4309">
        <v>-0.99995339999999999</v>
      </c>
      <c r="N4309">
        <v>-9.6454929999999998E-3</v>
      </c>
      <c r="O4309">
        <v>-4.1572110000000001E-4</v>
      </c>
      <c r="P4309">
        <v>-0.98078810000000005</v>
      </c>
      <c r="Q4309">
        <v>0.17194579999999901</v>
      </c>
      <c r="R4309">
        <v>-9.2138339999999999E-2</v>
      </c>
      <c r="S4309">
        <v>-2.877335</v>
      </c>
      <c r="T4309">
        <v>1.013863</v>
      </c>
      <c r="U4309">
        <v>-3.6804200000000002E-2</v>
      </c>
      <c r="V4309">
        <v>-9.1848579999999999E-2</v>
      </c>
      <c r="W4309">
        <v>0.18133830000000001</v>
      </c>
      <c r="X4309">
        <v>0.97912220000000005</v>
      </c>
      <c r="Y4309">
        <v>-1.1715339999999999E-2</v>
      </c>
      <c r="Z4309">
        <v>1.7993799999999999E-3</v>
      </c>
      <c r="AA4309">
        <v>0.99992970000000003</v>
      </c>
      <c r="AB4309">
        <v>22</v>
      </c>
      <c r="AC4309">
        <v>-2.877335</v>
      </c>
      <c r="AD4309">
        <v>1.013863</v>
      </c>
      <c r="AE4309">
        <v>-3.6804200000000002E-2</v>
      </c>
      <c r="AF4309">
        <v>-3.1675786360915802E-2</v>
      </c>
      <c r="AG4309">
        <v>1.013863</v>
      </c>
      <c r="AH4309">
        <v>2.5596044828514599</v>
      </c>
      <c r="AI4309">
        <v>68.392912646770199</v>
      </c>
      <c r="AJ4309">
        <v>90.709014319798598</v>
      </c>
      <c r="AK4309">
        <v>2.7532701732383398</v>
      </c>
      <c r="AL4309">
        <v>79.552278422430803</v>
      </c>
      <c r="AM4309">
        <v>95.359066131330493</v>
      </c>
      <c r="AN4309">
        <v>1.0000000116138701</v>
      </c>
    </row>
    <row r="4310" spans="1:40" x14ac:dyDescent="0.25">
      <c r="A4310" t="str">
        <f>"20190304155146605"</f>
        <v>20190304155146605</v>
      </c>
      <c r="B4310" t="str">
        <f>"1551685906601306"</f>
        <v>1551685906601306</v>
      </c>
      <c r="C4310" t="s">
        <v>40</v>
      </c>
      <c r="D4310">
        <v>4.2851239999999997</v>
      </c>
      <c r="E4310">
        <v>0.52481</v>
      </c>
      <c r="F4310" t="s">
        <v>53</v>
      </c>
      <c r="G4310">
        <v>0</v>
      </c>
      <c r="H4310">
        <v>0</v>
      </c>
      <c r="I4310">
        <v>0</v>
      </c>
      <c r="J4310">
        <v>-235.2774</v>
      </c>
      <c r="K4310">
        <v>1.110517</v>
      </c>
      <c r="L4310">
        <v>141.33439999999999</v>
      </c>
      <c r="M4310">
        <v>-0.99995319999999999</v>
      </c>
      <c r="N4310">
        <v>-9.641195E-3</v>
      </c>
      <c r="O4310">
        <v>-8.6207149999999904E-4</v>
      </c>
      <c r="P4310">
        <v>-0.9805971</v>
      </c>
      <c r="Q4310">
        <v>0.1721916</v>
      </c>
      <c r="R4310">
        <v>-9.3699459999999998E-2</v>
      </c>
      <c r="S4310">
        <v>-2.8759160000000001</v>
      </c>
      <c r="T4310">
        <v>1.002551</v>
      </c>
      <c r="U4310">
        <v>-7.5500490000000003E-2</v>
      </c>
      <c r="V4310">
        <v>-9.2975139999999998E-2</v>
      </c>
      <c r="W4310">
        <v>0.1815765</v>
      </c>
      <c r="X4310">
        <v>0.9789717</v>
      </c>
      <c r="Y4310">
        <v>-2.4058099999999999E-2</v>
      </c>
      <c r="Z4310">
        <v>3.653365E-3</v>
      </c>
      <c r="AA4310">
        <v>0.99970389999999998</v>
      </c>
      <c r="AB4310">
        <v>22</v>
      </c>
      <c r="AC4310">
        <v>-2.8759160000000001</v>
      </c>
      <c r="AD4310">
        <v>1.002551</v>
      </c>
      <c r="AE4310">
        <v>-7.5500490000000003E-2</v>
      </c>
      <c r="AF4310">
        <v>-6.5113701322034395E-2</v>
      </c>
      <c r="AG4310">
        <v>1.002551</v>
      </c>
      <c r="AH4310">
        <v>2.5645423031607999</v>
      </c>
      <c r="AI4310">
        <v>68.654347372620407</v>
      </c>
      <c r="AJ4310">
        <v>91.454426742633501</v>
      </c>
      <c r="AK4310">
        <v>2.7543103540454901</v>
      </c>
      <c r="AL4310">
        <v>79.538400004057806</v>
      </c>
      <c r="AM4310">
        <v>95.425236465534397</v>
      </c>
      <c r="AN4310">
        <v>0.99999999570557896</v>
      </c>
    </row>
    <row r="4311" spans="1:40" x14ac:dyDescent="0.25">
      <c r="A4311" t="str">
        <f>"20190304155146628"</f>
        <v>20190304155146628</v>
      </c>
      <c r="B4311" t="str">
        <f>"1551685906620825"</f>
        <v>1551685906620825</v>
      </c>
      <c r="C4311" t="s">
        <v>40</v>
      </c>
      <c r="D4311">
        <v>4.2834729999999999</v>
      </c>
      <c r="E4311">
        <v>0.52375890000000003</v>
      </c>
      <c r="F4311" t="s">
        <v>53</v>
      </c>
      <c r="G4311">
        <v>0</v>
      </c>
      <c r="H4311">
        <v>0</v>
      </c>
      <c r="I4311">
        <v>0</v>
      </c>
      <c r="J4311">
        <v>-235.5026</v>
      </c>
      <c r="K4311">
        <v>1.1105229999999999</v>
      </c>
      <c r="L4311">
        <v>141.33369999999999</v>
      </c>
      <c r="M4311">
        <v>-0.99995270000000003</v>
      </c>
      <c r="N4311">
        <v>-9.6372920000000004E-3</v>
      </c>
      <c r="O4311">
        <v>-1.356534E-3</v>
      </c>
      <c r="P4311">
        <v>-0.98030510000000004</v>
      </c>
      <c r="Q4311">
        <v>0.17347009999999999</v>
      </c>
      <c r="R4311">
        <v>-9.4393630000000006E-2</v>
      </c>
      <c r="S4311">
        <v>-2.8748469999999999</v>
      </c>
      <c r="T4311">
        <v>0.99885869999999999</v>
      </c>
      <c r="U4311">
        <v>-9.5321660000000002E-2</v>
      </c>
      <c r="V4311">
        <v>-9.3185729999999994E-2</v>
      </c>
      <c r="W4311">
        <v>0.18284900000000001</v>
      </c>
      <c r="X4311">
        <v>0.9787148</v>
      </c>
      <c r="Y4311">
        <v>-3.015257E-2</v>
      </c>
      <c r="Z4311">
        <v>4.4679050000000003E-3</v>
      </c>
      <c r="AA4311">
        <v>0.99953530000000002</v>
      </c>
      <c r="AB4311">
        <v>22</v>
      </c>
      <c r="AC4311">
        <v>-2.8748469999999999</v>
      </c>
      <c r="AD4311">
        <v>0.99885869999999999</v>
      </c>
      <c r="AE4311">
        <v>-9.5321660000000002E-2</v>
      </c>
      <c r="AF4311">
        <v>-8.1583618376549802E-2</v>
      </c>
      <c r="AG4311">
        <v>0.99885869999999999</v>
      </c>
      <c r="AH4311">
        <v>2.5655955230127101</v>
      </c>
      <c r="AI4311">
        <v>68.737420309929504</v>
      </c>
      <c r="AJ4311">
        <v>91.821340257074795</v>
      </c>
      <c r="AK4311">
        <v>2.7543883126850401</v>
      </c>
      <c r="AL4311">
        <v>79.464249808101101</v>
      </c>
      <c r="AM4311">
        <v>95.438869840047403</v>
      </c>
      <c r="AN4311">
        <v>0.99999999840783604</v>
      </c>
    </row>
    <row r="4312" spans="1:40" x14ac:dyDescent="0.25">
      <c r="A4312" t="str">
        <f>"20190304155146650"</f>
        <v>20190304155146650</v>
      </c>
      <c r="B4312" t="str">
        <f>"1551685906641321"</f>
        <v>1551685906641321</v>
      </c>
      <c r="C4312" t="s">
        <v>40</v>
      </c>
      <c r="D4312">
        <v>4.3497820000000003</v>
      </c>
      <c r="E4312">
        <v>0.52214769999999999</v>
      </c>
      <c r="F4312" t="s">
        <v>53</v>
      </c>
      <c r="G4312">
        <v>0</v>
      </c>
      <c r="H4312">
        <v>0</v>
      </c>
      <c r="I4312">
        <v>0</v>
      </c>
      <c r="J4312">
        <v>-235.7193</v>
      </c>
      <c r="K4312">
        <v>1.1105210000000001</v>
      </c>
      <c r="L4312">
        <v>141.3329</v>
      </c>
      <c r="M4312">
        <v>-0.99995199999999995</v>
      </c>
      <c r="N4312">
        <v>-9.6342949999999993E-3</v>
      </c>
      <c r="O4312">
        <v>-1.830578E-3</v>
      </c>
      <c r="P4312">
        <v>-0.98010319999999995</v>
      </c>
      <c r="Q4312">
        <v>0.17440919999999999</v>
      </c>
      <c r="R4312">
        <v>-9.4759629999999997E-2</v>
      </c>
      <c r="S4312">
        <v>-2.871429</v>
      </c>
      <c r="T4312">
        <v>1.0098180000000001</v>
      </c>
      <c r="U4312">
        <v>-0.1053467</v>
      </c>
      <c r="V4312">
        <v>-9.3087080000000003E-2</v>
      </c>
      <c r="W4312">
        <v>0.18378420000000001</v>
      </c>
      <c r="X4312">
        <v>0.978549</v>
      </c>
      <c r="Y4312">
        <v>-3.3026899999999998E-2</v>
      </c>
      <c r="Z4312">
        <v>4.830862E-3</v>
      </c>
      <c r="AA4312">
        <v>0.99944279999999996</v>
      </c>
      <c r="AB4312">
        <v>22</v>
      </c>
      <c r="AC4312">
        <v>-2.871429</v>
      </c>
      <c r="AD4312">
        <v>1.0098180000000001</v>
      </c>
      <c r="AE4312">
        <v>-0.1053467</v>
      </c>
      <c r="AF4312">
        <v>-8.9086710326265403E-2</v>
      </c>
      <c r="AG4312">
        <v>1.0098180000000001</v>
      </c>
      <c r="AH4312">
        <v>2.5559312412267801</v>
      </c>
      <c r="AI4312">
        <v>68.453498028132898</v>
      </c>
      <c r="AJ4312">
        <v>91.996230152486305</v>
      </c>
      <c r="AK4312">
        <v>2.7496278557215299</v>
      </c>
      <c r="AL4312">
        <v>79.409743039283796</v>
      </c>
      <c r="AM4312">
        <v>95.434061568082498</v>
      </c>
      <c r="AN4312">
        <v>0.99999999101678305</v>
      </c>
    </row>
    <row r="4313" spans="1:40" x14ac:dyDescent="0.25">
      <c r="A4313" t="str">
        <f>"20190304155146672"</f>
        <v>20190304155146672</v>
      </c>
      <c r="B4313" t="str">
        <f>"1551685906660841"</f>
        <v>1551685906660841</v>
      </c>
      <c r="C4313" t="s">
        <v>40</v>
      </c>
      <c r="D4313">
        <v>4.2510409999999998</v>
      </c>
      <c r="E4313">
        <v>0.52207179999999997</v>
      </c>
      <c r="F4313" t="s">
        <v>53</v>
      </c>
      <c r="G4313">
        <v>0</v>
      </c>
      <c r="H4313">
        <v>0</v>
      </c>
      <c r="I4313">
        <v>0</v>
      </c>
      <c r="J4313">
        <v>-235.93350000000001</v>
      </c>
      <c r="K4313">
        <v>1.11052</v>
      </c>
      <c r="L4313">
        <v>141.33189999999999</v>
      </c>
      <c r="M4313">
        <v>-0.99995109999999998</v>
      </c>
      <c r="N4313">
        <v>-9.6320169999999997E-3</v>
      </c>
      <c r="O4313">
        <v>-2.295315E-3</v>
      </c>
      <c r="P4313">
        <v>-0.97985109999999997</v>
      </c>
      <c r="Q4313">
        <v>0.17555079999999901</v>
      </c>
      <c r="R4313">
        <v>-9.5255220000000002E-2</v>
      </c>
      <c r="S4313">
        <v>-2.870743</v>
      </c>
      <c r="T4313">
        <v>1.0040279999999999</v>
      </c>
      <c r="U4313">
        <v>-0.1189117</v>
      </c>
      <c r="V4313">
        <v>-9.3127039999999994E-2</v>
      </c>
      <c r="W4313">
        <v>0.184922</v>
      </c>
      <c r="X4313">
        <v>0.97833079999999994</v>
      </c>
      <c r="Y4313">
        <v>-3.7100849999999998E-2</v>
      </c>
      <c r="Z4313">
        <v>5.313814E-3</v>
      </c>
      <c r="AA4313">
        <v>0.9992974</v>
      </c>
      <c r="AB4313">
        <v>22</v>
      </c>
      <c r="AC4313">
        <v>-2.870743</v>
      </c>
      <c r="AD4313">
        <v>1.0040279999999999</v>
      </c>
      <c r="AE4313">
        <v>-0.1189117</v>
      </c>
      <c r="AF4313">
        <v>-0.10009858002510399</v>
      </c>
      <c r="AG4313">
        <v>1.0040279999999999</v>
      </c>
      <c r="AH4313">
        <v>2.5585755013249001</v>
      </c>
      <c r="AI4313">
        <v>68.589018775120195</v>
      </c>
      <c r="AJ4313">
        <v>92.240427439183904</v>
      </c>
      <c r="AK4313">
        <v>2.7503455321989998</v>
      </c>
      <c r="AL4313">
        <v>79.343414845218007</v>
      </c>
      <c r="AM4313">
        <v>95.437585530494701</v>
      </c>
      <c r="AN4313">
        <v>0.99999997294590004</v>
      </c>
    </row>
    <row r="4314" spans="1:40" x14ac:dyDescent="0.25">
      <c r="A4314" t="str">
        <f>"20190304155146685"</f>
        <v>20190304155146685</v>
      </c>
      <c r="B4314" t="str">
        <f>"1551685906681338"</f>
        <v>1551685906681338</v>
      </c>
      <c r="C4314" t="s">
        <v>40</v>
      </c>
      <c r="D4314">
        <v>4.3351850000000001</v>
      </c>
      <c r="E4314">
        <v>0.52100829999999998</v>
      </c>
      <c r="F4314" t="s">
        <v>53</v>
      </c>
      <c r="G4314">
        <v>0</v>
      </c>
      <c r="H4314">
        <v>0</v>
      </c>
      <c r="I4314">
        <v>0</v>
      </c>
      <c r="J4314">
        <v>-236.0624</v>
      </c>
      <c r="K4314">
        <v>1.1105179999999999</v>
      </c>
      <c r="L4314">
        <v>141.3313</v>
      </c>
      <c r="M4314">
        <v>-0.99995049999999996</v>
      </c>
      <c r="N4314">
        <v>-9.630909E-3</v>
      </c>
      <c r="O4314">
        <v>-2.5725600000000002E-3</v>
      </c>
      <c r="P4314">
        <v>-0.97975909999999999</v>
      </c>
      <c r="Q4314">
        <v>0.1759887</v>
      </c>
      <c r="R4314">
        <v>-9.5396090000000003E-2</v>
      </c>
      <c r="S4314">
        <v>-2.868179</v>
      </c>
      <c r="T4314">
        <v>1.0145649999999999</v>
      </c>
      <c r="U4314">
        <v>-0.1208191</v>
      </c>
      <c r="V4314">
        <v>-9.2996110000000007E-2</v>
      </c>
      <c r="W4314">
        <v>0.18535879999999999</v>
      </c>
      <c r="X4314">
        <v>0.97826060000000004</v>
      </c>
      <c r="Y4314">
        <v>-3.7474800000000003E-2</v>
      </c>
      <c r="Z4314">
        <v>5.3375740000000003E-3</v>
      </c>
      <c r="AA4314">
        <v>0.99928329999999999</v>
      </c>
      <c r="AB4314">
        <v>22</v>
      </c>
      <c r="AC4314">
        <v>-2.868179</v>
      </c>
      <c r="AD4314">
        <v>1.0145649999999999</v>
      </c>
      <c r="AE4314">
        <v>-0.1208191</v>
      </c>
      <c r="AF4314">
        <v>-0.100843955494703</v>
      </c>
      <c r="AG4314">
        <v>1.0145649999999999</v>
      </c>
      <c r="AH4314">
        <v>2.5499772715833999</v>
      </c>
      <c r="AI4314">
        <v>68.319140817256695</v>
      </c>
      <c r="AJ4314">
        <v>92.264696146377403</v>
      </c>
      <c r="AK4314">
        <v>2.7462512135958601</v>
      </c>
      <c r="AL4314">
        <v>79.317947866091203</v>
      </c>
      <c r="AM4314">
        <v>95.430373723313295</v>
      </c>
      <c r="AN4314">
        <v>0.99999998136246504</v>
      </c>
    </row>
    <row r="4315" spans="1:40" x14ac:dyDescent="0.25">
      <c r="A4315" t="str">
        <f>"20190304155146705"</f>
        <v>20190304155146705</v>
      </c>
      <c r="B4315" t="str">
        <f>"1551685906700857"</f>
        <v>1551685906700857</v>
      </c>
      <c r="C4315" t="s">
        <v>40</v>
      </c>
      <c r="D4315">
        <v>4.4942640000000003</v>
      </c>
      <c r="E4315">
        <v>0.52071979999999995</v>
      </c>
      <c r="F4315" t="s">
        <v>53</v>
      </c>
      <c r="G4315">
        <v>0</v>
      </c>
      <c r="H4315">
        <v>0</v>
      </c>
      <c r="I4315">
        <v>0</v>
      </c>
      <c r="J4315">
        <v>-236.25800000000001</v>
      </c>
      <c r="K4315">
        <v>1.1105160000000001</v>
      </c>
      <c r="L4315">
        <v>141.3304</v>
      </c>
      <c r="M4315">
        <v>-0.99994930000000004</v>
      </c>
      <c r="N4315">
        <v>-9.6295870000000002E-3</v>
      </c>
      <c r="O4315">
        <v>-2.9892690000000001E-3</v>
      </c>
      <c r="P4315">
        <v>-0.9796144</v>
      </c>
      <c r="Q4315">
        <v>0.17638039999999999</v>
      </c>
      <c r="R4315">
        <v>-9.6155450000000003E-2</v>
      </c>
      <c r="S4315">
        <v>-2.867874</v>
      </c>
      <c r="T4315">
        <v>1.010365</v>
      </c>
      <c r="U4315">
        <v>-0.12966920000000001</v>
      </c>
      <c r="V4315">
        <v>-9.3346419999999999E-2</v>
      </c>
      <c r="W4315">
        <v>0.1857481</v>
      </c>
      <c r="X4315">
        <v>0.97815339999999995</v>
      </c>
      <c r="Y4315">
        <v>-4.0034189999999997E-2</v>
      </c>
      <c r="Z4315">
        <v>5.594623E-3</v>
      </c>
      <c r="AA4315">
        <v>0.99918260000000003</v>
      </c>
      <c r="AB4315">
        <v>22</v>
      </c>
      <c r="AC4315">
        <v>-2.867874</v>
      </c>
      <c r="AD4315">
        <v>1.010365</v>
      </c>
      <c r="AE4315">
        <v>-0.12966920000000001</v>
      </c>
      <c r="AF4315">
        <v>-0.10774901749306701</v>
      </c>
      <c r="AG4315">
        <v>1.010365</v>
      </c>
      <c r="AH4315">
        <v>2.55212873414709</v>
      </c>
      <c r="AI4315">
        <v>68.419284586436206</v>
      </c>
      <c r="AJ4315">
        <v>92.417550387068403</v>
      </c>
      <c r="AK4315">
        <v>2.7469634798546099</v>
      </c>
      <c r="AL4315">
        <v>79.295248543012306</v>
      </c>
      <c r="AM4315">
        <v>95.451300370299705</v>
      </c>
      <c r="AN4315">
        <v>0.99999999235599302</v>
      </c>
    </row>
    <row r="4316" spans="1:40" x14ac:dyDescent="0.25">
      <c r="A4316" t="str">
        <f>"20190304155146731"</f>
        <v>20190304155146731</v>
      </c>
      <c r="B4316" t="str">
        <f>"1551685906721354"</f>
        <v>1551685906721354</v>
      </c>
      <c r="C4316" t="s">
        <v>40</v>
      </c>
      <c r="D4316">
        <v>4.493233</v>
      </c>
      <c r="E4316">
        <v>0.52034099999999905</v>
      </c>
      <c r="F4316" t="s">
        <v>53</v>
      </c>
      <c r="G4316">
        <v>0</v>
      </c>
      <c r="H4316">
        <v>0</v>
      </c>
      <c r="I4316">
        <v>0</v>
      </c>
      <c r="J4316">
        <v>-236.49809999999999</v>
      </c>
      <c r="K4316">
        <v>1.1105160000000001</v>
      </c>
      <c r="L4316">
        <v>141.32900000000001</v>
      </c>
      <c r="M4316">
        <v>-0.99994760000000005</v>
      </c>
      <c r="N4316">
        <v>-9.6284560000000005E-3</v>
      </c>
      <c r="O4316">
        <v>-3.4953850000000002E-3</v>
      </c>
      <c r="P4316">
        <v>-0.97933060000000005</v>
      </c>
      <c r="Q4316">
        <v>0.17739099999999999</v>
      </c>
      <c r="R4316">
        <v>-9.7182560000000001E-2</v>
      </c>
      <c r="S4316">
        <v>-2.8672179999999998</v>
      </c>
      <c r="T4316">
        <v>1.011002</v>
      </c>
      <c r="U4316">
        <v>-0.13442989999999999</v>
      </c>
      <c r="V4316">
        <v>-9.387761E-2</v>
      </c>
      <c r="W4316">
        <v>0.18675539999999999</v>
      </c>
      <c r="X4316">
        <v>0.97791079999999997</v>
      </c>
      <c r="Y4316">
        <v>-4.115738E-2</v>
      </c>
      <c r="Z4316">
        <v>5.6078530000000003E-3</v>
      </c>
      <c r="AA4316">
        <v>0.99913689999999999</v>
      </c>
      <c r="AB4316">
        <v>22</v>
      </c>
      <c r="AC4316">
        <v>-2.8672179999999998</v>
      </c>
      <c r="AD4316">
        <v>1.011002</v>
      </c>
      <c r="AE4316">
        <v>-0.13442989999999999</v>
      </c>
      <c r="AF4316">
        <v>-0.110676185025228</v>
      </c>
      <c r="AG4316">
        <v>1.011002</v>
      </c>
      <c r="AH4316">
        <v>2.55117380790153</v>
      </c>
      <c r="AI4316">
        <v>68.400566863023101</v>
      </c>
      <c r="AJ4316">
        <v>92.484074031600798</v>
      </c>
      <c r="AK4316">
        <v>2.7464271445022099</v>
      </c>
      <c r="AL4316">
        <v>79.236507363399298</v>
      </c>
      <c r="AM4316">
        <v>95.483484389661101</v>
      </c>
      <c r="AN4316">
        <v>1.00000005892255</v>
      </c>
    </row>
    <row r="4317" spans="1:40" x14ac:dyDescent="0.25">
      <c r="A4317" t="str">
        <f>"20190304155146752"</f>
        <v>20190304155146752</v>
      </c>
      <c r="B4317" t="str">
        <f>"1551685906740873"</f>
        <v>1551685906740873</v>
      </c>
      <c r="C4317" t="s">
        <v>40</v>
      </c>
      <c r="D4317">
        <v>4.3099080000000001</v>
      </c>
      <c r="E4317">
        <v>0.52002539999999997</v>
      </c>
      <c r="F4317" t="s">
        <v>53</v>
      </c>
      <c r="G4317">
        <v>0</v>
      </c>
      <c r="H4317">
        <v>0</v>
      </c>
      <c r="I4317">
        <v>0</v>
      </c>
      <c r="J4317">
        <v>-236.71729999999999</v>
      </c>
      <c r="K4317">
        <v>1.110522</v>
      </c>
      <c r="L4317">
        <v>141.32769999999999</v>
      </c>
      <c r="M4317">
        <v>-0.99994590000000005</v>
      </c>
      <c r="N4317">
        <v>-9.6278240000000001E-3</v>
      </c>
      <c r="O4317">
        <v>-3.9540720000000003E-3</v>
      </c>
      <c r="P4317">
        <v>-0.97910280000000005</v>
      </c>
      <c r="Q4317">
        <v>0.17831739999999999</v>
      </c>
      <c r="R4317">
        <v>-9.7778859999999995E-2</v>
      </c>
      <c r="S4317">
        <v>-2.8663180000000001</v>
      </c>
      <c r="T4317">
        <v>1.010778</v>
      </c>
      <c r="U4317">
        <v>-0.14018249999999999</v>
      </c>
      <c r="V4317">
        <v>-9.4025819999999996E-2</v>
      </c>
      <c r="W4317">
        <v>0.18768009999999999</v>
      </c>
      <c r="X4317">
        <v>0.97771949999999996</v>
      </c>
      <c r="Y4317">
        <v>-4.2655770000000003E-2</v>
      </c>
      <c r="Z4317">
        <v>5.6958069999999998E-3</v>
      </c>
      <c r="AA4317">
        <v>0.99907360000000001</v>
      </c>
      <c r="AB4317">
        <v>22</v>
      </c>
      <c r="AC4317">
        <v>-2.8663180000000001</v>
      </c>
      <c r="AD4317">
        <v>1.010778</v>
      </c>
      <c r="AE4317">
        <v>-0.14018249999999999</v>
      </c>
      <c r="AF4317">
        <v>-0.114626856596731</v>
      </c>
      <c r="AG4317">
        <v>1.010778</v>
      </c>
      <c r="AH4317">
        <v>2.55044627587018</v>
      </c>
      <c r="AI4317">
        <v>68.400668686761193</v>
      </c>
      <c r="AJ4317">
        <v>92.573360756373205</v>
      </c>
      <c r="AK4317">
        <v>2.7458309648697101</v>
      </c>
      <c r="AL4317">
        <v>79.182572178384703</v>
      </c>
      <c r="AM4317">
        <v>95.493156599482106</v>
      </c>
      <c r="AN4317">
        <v>1.0000000477214599</v>
      </c>
    </row>
    <row r="4318" spans="1:40" x14ac:dyDescent="0.25">
      <c r="A4318" t="str">
        <f>"20190304155146862"</f>
        <v>20190304155146862</v>
      </c>
      <c r="B4318" t="str">
        <f>"1551685906860921"</f>
        <v>1551685906860921</v>
      </c>
      <c r="C4318" t="s">
        <v>40</v>
      </c>
      <c r="D4318">
        <v>4.0569419999999896</v>
      </c>
      <c r="E4318">
        <v>0.52018929999999997</v>
      </c>
      <c r="F4318" t="s">
        <v>53</v>
      </c>
      <c r="G4318">
        <v>0</v>
      </c>
      <c r="H4318">
        <v>0</v>
      </c>
      <c r="I4318">
        <v>0</v>
      </c>
      <c r="J4318">
        <v>-237.8081</v>
      </c>
      <c r="K4318">
        <v>1.1104639999999999</v>
      </c>
      <c r="L4318">
        <v>141.32</v>
      </c>
      <c r="M4318">
        <v>-0.99993529999999997</v>
      </c>
      <c r="N4318">
        <v>-9.6287500000000002E-3</v>
      </c>
      <c r="O4318">
        <v>-6.066091E-3</v>
      </c>
      <c r="P4318">
        <v>-0.97864660000000003</v>
      </c>
      <c r="Q4318">
        <v>0.18008209999999999</v>
      </c>
      <c r="R4318">
        <v>-9.9103640000000007E-2</v>
      </c>
      <c r="S4318">
        <v>-2.8649290000000001</v>
      </c>
      <c r="T4318">
        <v>1.0139739999999999</v>
      </c>
      <c r="U4318">
        <v>-0.1443634</v>
      </c>
      <c r="V4318">
        <v>-9.3260060000000006E-2</v>
      </c>
      <c r="W4318">
        <v>0.18945580000000001</v>
      </c>
      <c r="X4318">
        <v>0.97745029999999999</v>
      </c>
      <c r="Y4318">
        <v>-4.2171460000000001E-2</v>
      </c>
      <c r="Z4318">
        <v>4.8905729999999996E-3</v>
      </c>
      <c r="AA4318">
        <v>0.99909840000000005</v>
      </c>
      <c r="AB4318">
        <v>22</v>
      </c>
      <c r="AC4318">
        <v>-2.8649290000000001</v>
      </c>
      <c r="AD4318">
        <v>1.0139739999999999</v>
      </c>
      <c r="AE4318">
        <v>-0.1443634</v>
      </c>
      <c r="AF4318">
        <v>-0.112877370921036</v>
      </c>
      <c r="AG4318">
        <v>1.0139739999999999</v>
      </c>
      <c r="AH4318">
        <v>2.5474559849970202</v>
      </c>
      <c r="AI4318">
        <v>68.315064838777602</v>
      </c>
      <c r="AJ4318">
        <v>92.537107357127695</v>
      </c>
      <c r="AK4318">
        <v>2.7441604488511899</v>
      </c>
      <c r="AL4318">
        <v>79.078973133928201</v>
      </c>
      <c r="AM4318">
        <v>95.450181450235903</v>
      </c>
      <c r="AN4318">
        <v>1.0000000139574601</v>
      </c>
    </row>
    <row r="4319" spans="1:40" x14ac:dyDescent="0.25">
      <c r="A4319" t="str">
        <f>"20190304155146885"</f>
        <v>20190304155146885</v>
      </c>
      <c r="B4319" t="str">
        <f>"1551685906881420"</f>
        <v>1551685906881420</v>
      </c>
      <c r="C4319" t="s">
        <v>40</v>
      </c>
      <c r="D4319">
        <v>4.0819850000000004</v>
      </c>
      <c r="E4319">
        <v>0.58840049999999999</v>
      </c>
      <c r="F4319" t="s">
        <v>53</v>
      </c>
      <c r="G4319">
        <v>0</v>
      </c>
      <c r="H4319">
        <v>0</v>
      </c>
      <c r="I4319">
        <v>0</v>
      </c>
      <c r="J4319">
        <v>-238.0283</v>
      </c>
      <c r="K4319">
        <v>1.1104309999999999</v>
      </c>
      <c r="L4319">
        <v>141.31819999999999</v>
      </c>
      <c r="M4319">
        <v>-0.99993319999999997</v>
      </c>
      <c r="N4319">
        <v>-9.6295219999999997E-3</v>
      </c>
      <c r="O4319">
        <v>-6.399376E-3</v>
      </c>
      <c r="P4319">
        <v>-0.97863739999999999</v>
      </c>
      <c r="Q4319">
        <v>0.17960029999999999</v>
      </c>
      <c r="R4319">
        <v>-0.10006429999999999</v>
      </c>
      <c r="S4319">
        <v>-2.86232</v>
      </c>
      <c r="T4319">
        <v>1.0222500000000001</v>
      </c>
      <c r="U4319">
        <v>-0.1482086</v>
      </c>
      <c r="V4319">
        <v>-9.3879790000000005E-2</v>
      </c>
      <c r="W4319">
        <v>0.18898190000000001</v>
      </c>
      <c r="X4319">
        <v>0.97748270000000004</v>
      </c>
      <c r="Y4319">
        <v>-4.3148369999999998E-2</v>
      </c>
      <c r="Z4319">
        <v>4.9801999999999997E-3</v>
      </c>
      <c r="AA4319">
        <v>0.99905630000000001</v>
      </c>
      <c r="AB4319">
        <v>22</v>
      </c>
      <c r="AC4319">
        <v>-2.86232</v>
      </c>
      <c r="AD4319">
        <v>1.0222500000000001</v>
      </c>
      <c r="AE4319">
        <v>-0.1482086</v>
      </c>
      <c r="AF4319">
        <v>-0.11522951712110301</v>
      </c>
      <c r="AG4319">
        <v>1.0222500000000001</v>
      </c>
      <c r="AH4319">
        <v>2.5400896809164801</v>
      </c>
      <c r="AI4319">
        <v>68.098247314968205</v>
      </c>
      <c r="AJ4319">
        <v>92.597405013435804</v>
      </c>
      <c r="AK4319">
        <v>2.7404978546268399</v>
      </c>
      <c r="AL4319">
        <v>79.106624997624806</v>
      </c>
      <c r="AM4319">
        <v>95.485997912835998</v>
      </c>
      <c r="AN4319">
        <v>1.00000000114867</v>
      </c>
    </row>
    <row r="4320" spans="1:40" x14ac:dyDescent="0.25">
      <c r="A4320" t="str">
        <f>"20190304155146906"</f>
        <v>20190304155146906</v>
      </c>
      <c r="B4320" t="str">
        <f>"1551685906900941"</f>
        <v>1551685906900941</v>
      </c>
      <c r="C4320" t="s">
        <v>40</v>
      </c>
      <c r="D4320">
        <v>4.2589550000000003</v>
      </c>
      <c r="E4320">
        <v>0.58036969999999899</v>
      </c>
      <c r="F4320" t="s">
        <v>86</v>
      </c>
      <c r="G4320">
        <v>-511.96260000000001</v>
      </c>
      <c r="H4320">
        <v>112.75230000000001</v>
      </c>
      <c r="I4320">
        <v>177.9845</v>
      </c>
      <c r="J4320">
        <v>-238.2431</v>
      </c>
      <c r="K4320">
        <v>1.1103959999999999</v>
      </c>
      <c r="L4320">
        <v>141.31649999999999</v>
      </c>
      <c r="M4320">
        <v>-0.99993149999999997</v>
      </c>
      <c r="N4320">
        <v>-9.6304849999999994E-3</v>
      </c>
      <c r="O4320">
        <v>-6.6718059999999997E-3</v>
      </c>
      <c r="P4320">
        <v>-0.97840680000000002</v>
      </c>
      <c r="Q4320">
        <v>0.1805457</v>
      </c>
      <c r="R4320">
        <v>-0.10061680000000001</v>
      </c>
      <c r="S4320">
        <v>-2.8889619999999998</v>
      </c>
      <c r="T4320">
        <v>1.177395</v>
      </c>
      <c r="U4320">
        <v>0.38668819999999998</v>
      </c>
      <c r="V4320">
        <v>-9.4151150000000003E-2</v>
      </c>
      <c r="W4320">
        <v>0.1899343</v>
      </c>
      <c r="X4320">
        <v>0.97727200000000003</v>
      </c>
      <c r="Y4320">
        <v>0.12887000000000001</v>
      </c>
      <c r="Z4320">
        <v>-2.7172169999999999E-2</v>
      </c>
      <c r="AA4320">
        <v>0.99128910000000003</v>
      </c>
      <c r="AB4320">
        <v>22</v>
      </c>
      <c r="AC4320">
        <v>-273.71949999999998</v>
      </c>
      <c r="AD4320">
        <v>111.641904</v>
      </c>
      <c r="AE4320">
        <v>36.667999999999999</v>
      </c>
      <c r="AF4320">
        <v>33.086338727749101</v>
      </c>
      <c r="AG4320">
        <v>111.641904</v>
      </c>
      <c r="AH4320">
        <v>235.05491819714101</v>
      </c>
      <c r="AI4320">
        <v>64.811252176082704</v>
      </c>
      <c r="AJ4320">
        <v>81.987684330897906</v>
      </c>
      <c r="AK4320">
        <v>262.31552586115998</v>
      </c>
      <c r="AL4320">
        <v>79.051050170061202</v>
      </c>
      <c r="AM4320">
        <v>95.502936959472706</v>
      </c>
      <c r="AN4320">
        <v>1.0000000196734</v>
      </c>
    </row>
    <row r="4321" spans="1:40" x14ac:dyDescent="0.25">
      <c r="A4321" t="str">
        <f>"20190304155146931"</f>
        <v>20190304155146931</v>
      </c>
      <c r="B4321" t="str">
        <f>"1551685906921437"</f>
        <v>1551685906921437</v>
      </c>
      <c r="C4321" t="s">
        <v>40</v>
      </c>
      <c r="D4321">
        <v>4.3519360000000002</v>
      </c>
      <c r="E4321">
        <v>0.57204390000000005</v>
      </c>
      <c r="F4321" t="s">
        <v>86</v>
      </c>
      <c r="G4321">
        <v>-511.96050000000002</v>
      </c>
      <c r="H4321">
        <v>106.48950000000001</v>
      </c>
      <c r="I4321">
        <v>171.8563</v>
      </c>
      <c r="J4321">
        <v>-238.47380000000001</v>
      </c>
      <c r="K4321">
        <v>1.11036</v>
      </c>
      <c r="L4321">
        <v>141.31469999999999</v>
      </c>
      <c r="M4321">
        <v>-0.99992990000000004</v>
      </c>
      <c r="N4321">
        <v>-9.631611E-3</v>
      </c>
      <c r="O4321">
        <v>-6.8937260000000002E-3</v>
      </c>
      <c r="P4321">
        <v>-0.97826089999999999</v>
      </c>
      <c r="Q4321">
        <v>0.18086749999999999</v>
      </c>
      <c r="R4321">
        <v>-0.1014528</v>
      </c>
      <c r="S4321">
        <v>-2.8938290000000002</v>
      </c>
      <c r="T4321">
        <v>1.1141019999999999</v>
      </c>
      <c r="U4321">
        <v>0.322876</v>
      </c>
      <c r="V4321">
        <v>-9.4750719999999997E-2</v>
      </c>
      <c r="W4321">
        <v>0.19026570000000001</v>
      </c>
      <c r="X4321">
        <v>0.9771495</v>
      </c>
      <c r="Y4321">
        <v>0.1096765</v>
      </c>
      <c r="Z4321">
        <v>-2.239818E-2</v>
      </c>
      <c r="AA4321">
        <v>0.99371489999999996</v>
      </c>
      <c r="AB4321">
        <v>22</v>
      </c>
      <c r="AC4321">
        <v>-273.48669999999998</v>
      </c>
      <c r="AD4321">
        <v>105.379139999999</v>
      </c>
      <c r="AE4321">
        <v>30.541599999999999</v>
      </c>
      <c r="AF4321">
        <v>28.2793968424063</v>
      </c>
      <c r="AG4321">
        <v>105.379139999999</v>
      </c>
      <c r="AH4321">
        <v>238.32197364747299</v>
      </c>
      <c r="AI4321">
        <v>66.294161520667402</v>
      </c>
      <c r="AJ4321">
        <v>83.232898580479798</v>
      </c>
      <c r="AK4321">
        <v>262.11037857386799</v>
      </c>
      <c r="AL4321">
        <v>79.031708790034003</v>
      </c>
      <c r="AM4321">
        <v>95.538453336490903</v>
      </c>
      <c r="AN4321">
        <v>0.99999994044362694</v>
      </c>
    </row>
    <row r="4322" spans="1:40" x14ac:dyDescent="0.25">
      <c r="A4322" t="str">
        <f>"20190304155146952"</f>
        <v>20190304155146952</v>
      </c>
      <c r="B4322" t="str">
        <f>"1551685906940957"</f>
        <v>1551685906940957</v>
      </c>
      <c r="C4322" t="s">
        <v>40</v>
      </c>
      <c r="D4322">
        <v>4.4286180000000002</v>
      </c>
      <c r="E4322">
        <v>0.56823179999999995</v>
      </c>
      <c r="F4322" t="s">
        <v>86</v>
      </c>
      <c r="G4322">
        <v>-511.95819999999998</v>
      </c>
      <c r="H4322">
        <v>99.568420000000003</v>
      </c>
      <c r="I4322">
        <v>165.41800000000001</v>
      </c>
      <c r="J4322">
        <v>-238.7046</v>
      </c>
      <c r="K4322">
        <v>1.110317</v>
      </c>
      <c r="L4322">
        <v>141.31290000000001</v>
      </c>
      <c r="M4322">
        <v>-0.99992890000000001</v>
      </c>
      <c r="N4322">
        <v>-9.6328449999999993E-3</v>
      </c>
      <c r="O4322">
        <v>-7.0413659999999899E-3</v>
      </c>
      <c r="P4322">
        <v>-0.97806110000000002</v>
      </c>
      <c r="Q4322">
        <v>0.1818767</v>
      </c>
      <c r="R4322">
        <v>-0.1015776</v>
      </c>
      <c r="S4322">
        <v>-2.900131</v>
      </c>
      <c r="T4322">
        <v>1.0440860000000001</v>
      </c>
      <c r="U4322">
        <v>0.25559999999999999</v>
      </c>
      <c r="V4322">
        <v>-9.4711130000000004E-2</v>
      </c>
      <c r="W4322">
        <v>0.1912847</v>
      </c>
      <c r="X4322">
        <v>0.97695449999999995</v>
      </c>
      <c r="Y4322">
        <v>8.8953340000000006E-2</v>
      </c>
      <c r="Z4322">
        <v>-1.7574409999999999E-2</v>
      </c>
      <c r="AA4322">
        <v>0.99588069999999895</v>
      </c>
      <c r="AB4322">
        <v>22</v>
      </c>
      <c r="AC4322">
        <v>-273.25360000000001</v>
      </c>
      <c r="AD4322">
        <v>98.458102999999994</v>
      </c>
      <c r="AE4322">
        <v>24.1051</v>
      </c>
      <c r="AF4322">
        <v>23.058170879306999</v>
      </c>
      <c r="AG4322">
        <v>98.458102999999994</v>
      </c>
      <c r="AH4322">
        <v>241.91240121494599</v>
      </c>
      <c r="AI4322">
        <v>67.944046317952996</v>
      </c>
      <c r="AJ4322">
        <v>84.555233139157195</v>
      </c>
      <c r="AK4322">
        <v>262.19703879380302</v>
      </c>
      <c r="AL4322">
        <v>78.972233408011206</v>
      </c>
      <c r="AM4322">
        <v>95.5372517149126</v>
      </c>
      <c r="AN4322">
        <v>1.0000000648351</v>
      </c>
    </row>
    <row r="4323" spans="1:40" x14ac:dyDescent="0.25">
      <c r="A4323" t="str">
        <f>"20190304155146973"</f>
        <v>20190304155146973</v>
      </c>
      <c r="B4323" t="str">
        <f>"1551685906970911"</f>
        <v>1551685906970911</v>
      </c>
      <c r="C4323" t="s">
        <v>40</v>
      </c>
      <c r="D4323">
        <v>4.2645799999999996</v>
      </c>
      <c r="E4323">
        <v>0.56348589999999998</v>
      </c>
      <c r="F4323" t="s">
        <v>86</v>
      </c>
      <c r="G4323">
        <v>-511.95679999999999</v>
      </c>
      <c r="H4323">
        <v>95.480239999999995</v>
      </c>
      <c r="I4323">
        <v>162.56639999999999</v>
      </c>
      <c r="J4323">
        <v>-238.9135</v>
      </c>
      <c r="K4323">
        <v>1.1102799999999999</v>
      </c>
      <c r="L4323">
        <v>141.31129999999999</v>
      </c>
      <c r="M4323">
        <v>-0.99992820000000004</v>
      </c>
      <c r="N4323">
        <v>-9.6339860000000006E-3</v>
      </c>
      <c r="O4323">
        <v>-7.1224779999999998E-3</v>
      </c>
      <c r="P4323">
        <v>-0.97801009999999999</v>
      </c>
      <c r="Q4323">
        <v>0.18243529999999999</v>
      </c>
      <c r="R4323">
        <v>-0.10106370000000001</v>
      </c>
      <c r="S4323">
        <v>-2.9042509999999999</v>
      </c>
      <c r="T4323">
        <v>1.003007</v>
      </c>
      <c r="U4323">
        <v>0.22589110000000001</v>
      </c>
      <c r="V4323">
        <v>-9.4101409999999996E-2</v>
      </c>
      <c r="W4323">
        <v>0.19185240000000001</v>
      </c>
      <c r="X4323">
        <v>0.97690200000000005</v>
      </c>
      <c r="Y4323">
        <v>7.9751359999999993E-2</v>
      </c>
      <c r="Z4323">
        <v>-1.542373E-2</v>
      </c>
      <c r="AA4323">
        <v>0.99669549999999996</v>
      </c>
      <c r="AB4323">
        <v>22</v>
      </c>
      <c r="AC4323">
        <v>-273.04329999999999</v>
      </c>
      <c r="AD4323">
        <v>94.369959999999907</v>
      </c>
      <c r="AE4323">
        <v>21.255099999999999</v>
      </c>
      <c r="AF4323">
        <v>20.737158646382099</v>
      </c>
      <c r="AG4323">
        <v>94.369959999999907</v>
      </c>
      <c r="AH4323">
        <v>243.92268955652199</v>
      </c>
      <c r="AI4323">
        <v>68.918642008849005</v>
      </c>
      <c r="AJ4323">
        <v>85.140667207317193</v>
      </c>
      <c r="AK4323">
        <v>262.36234024648797</v>
      </c>
      <c r="AL4323">
        <v>78.939091723793396</v>
      </c>
      <c r="AM4323">
        <v>95.502117945335897</v>
      </c>
      <c r="AN4323">
        <v>0.99999996817687298</v>
      </c>
    </row>
    <row r="4324" spans="1:40" x14ac:dyDescent="0.25">
      <c r="A4324" t="str">
        <f>"20190304155146995"</f>
        <v>20190304155146995</v>
      </c>
      <c r="B4324" t="str">
        <f>"1551685906991392"</f>
        <v>1551685906991392</v>
      </c>
      <c r="C4324" t="s">
        <v>40</v>
      </c>
      <c r="D4324">
        <v>4.2676170000000004</v>
      </c>
      <c r="E4324">
        <v>0.5609613</v>
      </c>
      <c r="F4324" t="s">
        <v>86</v>
      </c>
      <c r="G4324">
        <v>-511.95569999999998</v>
      </c>
      <c r="H4324">
        <v>91.877529999999993</v>
      </c>
      <c r="I4324">
        <v>159.23400000000001</v>
      </c>
      <c r="J4324">
        <v>-239.13030000000001</v>
      </c>
      <c r="K4324">
        <v>1.110247</v>
      </c>
      <c r="L4324">
        <v>141.30969999999999</v>
      </c>
      <c r="M4324">
        <v>-0.99992809999999999</v>
      </c>
      <c r="N4324">
        <v>-9.6354130000000007E-3</v>
      </c>
      <c r="O4324">
        <v>-7.1576349999999999E-3</v>
      </c>
      <c r="P4324">
        <v>-0.9780797</v>
      </c>
      <c r="Q4324">
        <v>0.18224219999999999</v>
      </c>
      <c r="R4324">
        <v>-0.100739</v>
      </c>
      <c r="S4324">
        <v>-2.9069060000000002</v>
      </c>
      <c r="T4324">
        <v>0.9663408</v>
      </c>
      <c r="U4324">
        <v>0.19081119999999999</v>
      </c>
      <c r="V4324">
        <v>-9.3727050000000006E-2</v>
      </c>
      <c r="W4324">
        <v>0.19166849999999999</v>
      </c>
      <c r="X4324">
        <v>0.97697409999999996</v>
      </c>
      <c r="Y4324">
        <v>6.8667339999999993E-2</v>
      </c>
      <c r="Z4324">
        <v>-1.3145830000000001E-2</v>
      </c>
      <c r="AA4324">
        <v>0.99755300000000002</v>
      </c>
      <c r="AB4324">
        <v>22</v>
      </c>
      <c r="AC4324">
        <v>-272.82539999999898</v>
      </c>
      <c r="AD4324">
        <v>90.767282999999907</v>
      </c>
      <c r="AE4324">
        <v>17.924299999999999</v>
      </c>
      <c r="AF4324">
        <v>17.903574086062601</v>
      </c>
      <c r="AG4324">
        <v>90.767282999999907</v>
      </c>
      <c r="AH4324">
        <v>245.62043418875999</v>
      </c>
      <c r="AI4324">
        <v>69.767875918128397</v>
      </c>
      <c r="AJ4324">
        <v>85.831013525898101</v>
      </c>
      <c r="AK4324">
        <v>262.46644608279399</v>
      </c>
      <c r="AL4324">
        <v>78.949827823150201</v>
      </c>
      <c r="AM4324">
        <v>95.479960624324505</v>
      </c>
      <c r="AN4324">
        <v>0.99999998293238102</v>
      </c>
    </row>
    <row r="4325" spans="1:40" x14ac:dyDescent="0.25">
      <c r="A4325" t="str">
        <f>"20190304155147019"</f>
        <v>20190304155147019</v>
      </c>
      <c r="B4325" t="str">
        <f>"1551685907010911"</f>
        <v>1551685907010911</v>
      </c>
      <c r="C4325" t="s">
        <v>40</v>
      </c>
      <c r="D4325">
        <v>4.2967469999999999</v>
      </c>
      <c r="E4325">
        <v>0.55909819999999999</v>
      </c>
      <c r="F4325" t="s">
        <v>86</v>
      </c>
      <c r="G4325">
        <v>-511.95499999999998</v>
      </c>
      <c r="H4325">
        <v>89.722300000000004</v>
      </c>
      <c r="I4325">
        <v>157.4725</v>
      </c>
      <c r="J4325">
        <v>-239.375</v>
      </c>
      <c r="K4325">
        <v>1.11022</v>
      </c>
      <c r="L4325">
        <v>141.30789999999999</v>
      </c>
      <c r="M4325">
        <v>-0.99992809999999999</v>
      </c>
      <c r="N4325">
        <v>-9.6372790000000003E-3</v>
      </c>
      <c r="O4325">
        <v>-7.1524619999999896E-3</v>
      </c>
      <c r="P4325">
        <v>-0.97819920000000005</v>
      </c>
      <c r="Q4325">
        <v>0.18205460000000001</v>
      </c>
      <c r="R4325">
        <v>-9.9913500000000002E-2</v>
      </c>
      <c r="S4325">
        <v>-2.9089360000000002</v>
      </c>
      <c r="T4325">
        <v>0.94480710000000001</v>
      </c>
      <c r="U4325">
        <v>0.17233280000000001</v>
      </c>
      <c r="V4325">
        <v>-9.2894110000000002E-2</v>
      </c>
      <c r="W4325">
        <v>0.19148970000000001</v>
      </c>
      <c r="X4325">
        <v>0.97708870000000003</v>
      </c>
      <c r="Y4325">
        <v>6.2772209999999995E-2</v>
      </c>
      <c r="Z4325">
        <v>-1.1950570000000001E-2</v>
      </c>
      <c r="AA4325">
        <v>0.99795630000000002</v>
      </c>
      <c r="AB4325">
        <v>22</v>
      </c>
      <c r="AC4325">
        <v>-272.58</v>
      </c>
      <c r="AD4325">
        <v>88.612080000000006</v>
      </c>
      <c r="AE4325">
        <v>16.1646</v>
      </c>
      <c r="AF4325">
        <v>16.3880543851431</v>
      </c>
      <c r="AG4325">
        <v>88.612080000000006</v>
      </c>
      <c r="AH4325">
        <v>246.49843657648401</v>
      </c>
      <c r="AI4325">
        <v>70.267521639468697</v>
      </c>
      <c r="AJ4325">
        <v>86.196379184806005</v>
      </c>
      <c r="AK4325">
        <v>262.45408795274602</v>
      </c>
      <c r="AL4325">
        <v>78.960265549889598</v>
      </c>
      <c r="AM4325">
        <v>95.430920227747194</v>
      </c>
      <c r="AN4325">
        <v>0.99999997427323495</v>
      </c>
    </row>
    <row r="4326" spans="1:40" x14ac:dyDescent="0.25">
      <c r="A4326" t="str">
        <f>"20190304155147041"</f>
        <v>20190304155147041</v>
      </c>
      <c r="B4326" t="str">
        <f>"1551685907031407"</f>
        <v>1551685907031407</v>
      </c>
      <c r="C4326" t="s">
        <v>40</v>
      </c>
      <c r="D4326">
        <v>4.4768400000000002</v>
      </c>
      <c r="E4326">
        <v>0.5574076</v>
      </c>
      <c r="F4326" t="s">
        <v>86</v>
      </c>
      <c r="G4326">
        <v>-511.95429999999999</v>
      </c>
      <c r="H4326">
        <v>87.941059999999993</v>
      </c>
      <c r="I4326">
        <v>156.3306</v>
      </c>
      <c r="J4326">
        <v>-239.59219999999999</v>
      </c>
      <c r="K4326">
        <v>1.110201</v>
      </c>
      <c r="L4326">
        <v>141.3064</v>
      </c>
      <c r="M4326">
        <v>-0.99992829999999999</v>
      </c>
      <c r="N4326">
        <v>-9.6390260000000002E-3</v>
      </c>
      <c r="O4326">
        <v>-7.1165309999999997E-3</v>
      </c>
      <c r="P4326">
        <v>-0.97822549999999997</v>
      </c>
      <c r="Q4326">
        <v>0.18233959999999999</v>
      </c>
      <c r="R4326">
        <v>-9.9134589999999995E-2</v>
      </c>
      <c r="S4326">
        <v>-2.9106749999999999</v>
      </c>
      <c r="T4326">
        <v>0.92720219999999998</v>
      </c>
      <c r="U4326">
        <v>0.16041559999999999</v>
      </c>
      <c r="V4326">
        <v>-9.2142840000000004E-2</v>
      </c>
      <c r="W4326">
        <v>0.1917799</v>
      </c>
      <c r="X4326">
        <v>0.9771029</v>
      </c>
      <c r="Y4326">
        <v>5.8943580000000002E-2</v>
      </c>
      <c r="Z4326">
        <v>-1.1141710000000001E-2</v>
      </c>
      <c r="AA4326">
        <v>0.99819919999999995</v>
      </c>
      <c r="AB4326">
        <v>22</v>
      </c>
      <c r="AC4326">
        <v>-272.3621</v>
      </c>
      <c r="AD4326">
        <v>86.830858999999904</v>
      </c>
      <c r="AE4326">
        <v>15.0242</v>
      </c>
      <c r="AF4326">
        <v>15.401553091511399</v>
      </c>
      <c r="AG4326">
        <v>86.830858999999904</v>
      </c>
      <c r="AH4326">
        <v>247.19968900684401</v>
      </c>
      <c r="AI4326">
        <v>70.6804468546528</v>
      </c>
      <c r="AJ4326">
        <v>86.434846573297804</v>
      </c>
      <c r="AK4326">
        <v>262.45855321819698</v>
      </c>
      <c r="AL4326">
        <v>78.9433241160488</v>
      </c>
      <c r="AM4326">
        <v>95.387179934385799</v>
      </c>
      <c r="AN4326">
        <v>0.99999995509784101</v>
      </c>
    </row>
    <row r="4327" spans="1:40" x14ac:dyDescent="0.25">
      <c r="A4327" t="str">
        <f>"20190304155147063"</f>
        <v>20190304155147063</v>
      </c>
      <c r="B4327" t="str">
        <f>"1551685907050931"</f>
        <v>1551685907050931</v>
      </c>
      <c r="C4327" t="s">
        <v>40</v>
      </c>
      <c r="D4327">
        <v>4.2423460000000004</v>
      </c>
      <c r="E4327">
        <v>0.55647569999999902</v>
      </c>
      <c r="F4327" t="s">
        <v>86</v>
      </c>
      <c r="G4327">
        <v>-511.95389999999998</v>
      </c>
      <c r="H4327">
        <v>86.608919999999998</v>
      </c>
      <c r="I4327">
        <v>155.33449999999999</v>
      </c>
      <c r="J4327">
        <v>-239.8115</v>
      </c>
      <c r="K4327">
        <v>1.1101840000000001</v>
      </c>
      <c r="L4327">
        <v>141.3048</v>
      </c>
      <c r="M4327">
        <v>-0.9999287</v>
      </c>
      <c r="N4327">
        <v>-9.6408459999999998E-3</v>
      </c>
      <c r="O4327">
        <v>-7.0500909999999996E-3</v>
      </c>
      <c r="P4327">
        <v>-0.97836040000000002</v>
      </c>
      <c r="Q4327">
        <v>0.18200910000000001</v>
      </c>
      <c r="R4327">
        <v>-9.8405359999999997E-2</v>
      </c>
      <c r="S4327">
        <v>-2.9116059999999999</v>
      </c>
      <c r="T4327">
        <v>0.91399969999999997</v>
      </c>
      <c r="U4327">
        <v>0.1499634</v>
      </c>
      <c r="V4327">
        <v>-9.1471259999999999E-2</v>
      </c>
      <c r="W4327">
        <v>0.1914556</v>
      </c>
      <c r="X4327">
        <v>0.97722969999999998</v>
      </c>
      <c r="Y4327">
        <v>5.5537950000000003E-2</v>
      </c>
      <c r="Z4327">
        <v>-1.045929E-2</v>
      </c>
      <c r="AA4327">
        <v>0.99840180000000001</v>
      </c>
      <c r="AB4327">
        <v>22</v>
      </c>
      <c r="AC4327">
        <v>-272.14239999999899</v>
      </c>
      <c r="AD4327">
        <v>85.498735999999994</v>
      </c>
      <c r="AE4327">
        <v>14.029699999999901</v>
      </c>
      <c r="AF4327">
        <v>14.518826976161</v>
      </c>
      <c r="AG4327">
        <v>85.498735999999994</v>
      </c>
      <c r="AH4327">
        <v>247.65719630167001</v>
      </c>
      <c r="AI4327">
        <v>70.984080029095693</v>
      </c>
      <c r="AJ4327">
        <v>86.644892700635793</v>
      </c>
      <c r="AK4327">
        <v>262.40220478182999</v>
      </c>
      <c r="AL4327">
        <v>78.962257151109895</v>
      </c>
      <c r="AM4327">
        <v>95.347454231505694</v>
      </c>
      <c r="AN4327">
        <v>1.0000000623697101</v>
      </c>
    </row>
    <row r="4328" spans="1:40" x14ac:dyDescent="0.25">
      <c r="A4328" t="str">
        <f>"20190304155147087"</f>
        <v>20190304155147087</v>
      </c>
      <c r="B4328" t="str">
        <f>"1551685907081183"</f>
        <v>1551685907081183</v>
      </c>
      <c r="C4328" t="s">
        <v>40</v>
      </c>
      <c r="D4328">
        <v>4.1848280000000004</v>
      </c>
      <c r="E4328">
        <v>0.55460909999999997</v>
      </c>
      <c r="F4328" t="s">
        <v>86</v>
      </c>
      <c r="G4328">
        <v>-511.95359999999999</v>
      </c>
      <c r="H4328">
        <v>85.479500000000002</v>
      </c>
      <c r="I4328">
        <v>154.87180000000001</v>
      </c>
      <c r="J4328">
        <v>-240.04069999999999</v>
      </c>
      <c r="K4328">
        <v>1.110163</v>
      </c>
      <c r="L4328">
        <v>141.30330000000001</v>
      </c>
      <c r="M4328">
        <v>-0.99992939999999997</v>
      </c>
      <c r="N4328">
        <v>-9.6428509999999992E-3</v>
      </c>
      <c r="O4328">
        <v>-6.9481959999999898E-3</v>
      </c>
      <c r="P4328">
        <v>-0.97847519999999999</v>
      </c>
      <c r="Q4328">
        <v>0.18182499999999999</v>
      </c>
      <c r="R4328">
        <v>-9.7601850000000004E-2</v>
      </c>
      <c r="S4328">
        <v>-2.9129640000000001</v>
      </c>
      <c r="T4328">
        <v>0.90307490000000001</v>
      </c>
      <c r="U4328">
        <v>0.14521789999999901</v>
      </c>
      <c r="V4328">
        <v>-9.0757749999999998E-2</v>
      </c>
      <c r="W4328">
        <v>0.1912787</v>
      </c>
      <c r="X4328">
        <v>0.97733080000000006</v>
      </c>
      <c r="Y4328">
        <v>5.3938760000000002E-2</v>
      </c>
      <c r="Z4328">
        <v>-1.0067420000000001E-2</v>
      </c>
      <c r="AA4328">
        <v>0.99849350000000003</v>
      </c>
      <c r="AB4328">
        <v>23</v>
      </c>
      <c r="AC4328">
        <v>-271.91289999999998</v>
      </c>
      <c r="AD4328">
        <v>84.369337000000002</v>
      </c>
      <c r="AE4328">
        <v>13.5685</v>
      </c>
      <c r="AF4328">
        <v>14.103166592405501</v>
      </c>
      <c r="AG4328">
        <v>84.369337000000002</v>
      </c>
      <c r="AH4328">
        <v>247.99577759459601</v>
      </c>
      <c r="AI4328">
        <v>71.239638824231704</v>
      </c>
      <c r="AJ4328">
        <v>86.745176355976795</v>
      </c>
      <c r="AK4328">
        <v>262.33373789602598</v>
      </c>
      <c r="AL4328">
        <v>78.972582942011996</v>
      </c>
      <c r="AM4328">
        <v>95.3054353472331</v>
      </c>
      <c r="AN4328">
        <v>1.0000000014436901</v>
      </c>
    </row>
    <row r="4329" spans="1:40" x14ac:dyDescent="0.25">
      <c r="A4329" t="str">
        <f>"20190304155147108"</f>
        <v>20190304155147108</v>
      </c>
      <c r="B4329" t="str">
        <f>"1551685907101679"</f>
        <v>1551685907101679</v>
      </c>
      <c r="C4329" t="s">
        <v>40</v>
      </c>
      <c r="D4329">
        <v>4.4840780000000002</v>
      </c>
      <c r="E4329">
        <v>0.5246556</v>
      </c>
      <c r="F4329" t="s">
        <v>86</v>
      </c>
      <c r="G4329">
        <v>-511.95260000000002</v>
      </c>
      <c r="H4329">
        <v>82.672650000000004</v>
      </c>
      <c r="I4329">
        <v>153.7458</v>
      </c>
      <c r="J4329">
        <v>-240.26730000000001</v>
      </c>
      <c r="K4329">
        <v>1.1101259999999999</v>
      </c>
      <c r="L4329">
        <v>141.30189999999999</v>
      </c>
      <c r="M4329">
        <v>-0.99993030000000005</v>
      </c>
      <c r="N4329">
        <v>-9.6449340000000008E-3</v>
      </c>
      <c r="O4329">
        <v>-6.8135790000000002E-3</v>
      </c>
      <c r="P4329">
        <v>-0.97869660000000003</v>
      </c>
      <c r="Q4329">
        <v>0.1812695</v>
      </c>
      <c r="R4329">
        <v>-9.6406919999999993E-2</v>
      </c>
      <c r="S4329">
        <v>-2.9167480000000001</v>
      </c>
      <c r="T4329">
        <v>0.87490519999999905</v>
      </c>
      <c r="U4329">
        <v>0.13346859999999999</v>
      </c>
      <c r="V4329">
        <v>-8.9682029999999996E-2</v>
      </c>
      <c r="W4329">
        <v>0.1907324</v>
      </c>
      <c r="X4329">
        <v>0.97753690000000004</v>
      </c>
      <c r="Y4329">
        <v>5.0072489999999997E-2</v>
      </c>
      <c r="Z4329">
        <v>-9.1609900000000008E-3</v>
      </c>
      <c r="AA4329">
        <v>0.99870360000000002</v>
      </c>
      <c r="AB4329">
        <v>23</v>
      </c>
      <c r="AC4329">
        <v>-271.68529999999998</v>
      </c>
      <c r="AD4329">
        <v>81.562523999999996</v>
      </c>
      <c r="AE4329">
        <v>12.443899999999999</v>
      </c>
      <c r="AF4329">
        <v>13.1152948226175</v>
      </c>
      <c r="AG4329">
        <v>81.562523999999996</v>
      </c>
      <c r="AH4329">
        <v>249.18337120352399</v>
      </c>
      <c r="AI4329">
        <v>71.899147400126495</v>
      </c>
      <c r="AJ4329">
        <v>86.987125236367007</v>
      </c>
      <c r="AK4329">
        <v>262.52011116081701</v>
      </c>
      <c r="AL4329">
        <v>79.004471286619804</v>
      </c>
      <c r="AM4329">
        <v>95.241805160227798</v>
      </c>
      <c r="AN4329">
        <v>1.0000000528881401</v>
      </c>
    </row>
    <row r="4330" spans="1:40" x14ac:dyDescent="0.25">
      <c r="A4330" t="str">
        <f>"20190304155147131"</f>
        <v>20190304155147131</v>
      </c>
      <c r="B4330" t="str">
        <f>"1551685907121199"</f>
        <v>1551685907121199</v>
      </c>
      <c r="C4330" t="s">
        <v>40</v>
      </c>
      <c r="D4330">
        <v>4.2455429999999996</v>
      </c>
      <c r="E4330">
        <v>0.52381489999999997</v>
      </c>
      <c r="F4330" t="s">
        <v>53</v>
      </c>
      <c r="G4330">
        <v>0</v>
      </c>
      <c r="H4330">
        <v>0</v>
      </c>
      <c r="I4330">
        <v>0</v>
      </c>
      <c r="J4330">
        <v>-240.5051</v>
      </c>
      <c r="K4330">
        <v>1.1100920000000001</v>
      </c>
      <c r="L4330">
        <v>141.3004</v>
      </c>
      <c r="M4330">
        <v>-0.99993149999999997</v>
      </c>
      <c r="N4330">
        <v>-9.6471950000000008E-3</v>
      </c>
      <c r="O4330">
        <v>-6.6323069999999996E-3</v>
      </c>
      <c r="P4330">
        <v>-0.97894510000000001</v>
      </c>
      <c r="Q4330">
        <v>0.18076100000000001</v>
      </c>
      <c r="R4330">
        <v>-9.4825590000000001E-2</v>
      </c>
      <c r="S4330">
        <v>-3.0314480000000001</v>
      </c>
      <c r="T4330">
        <v>0.1379321</v>
      </c>
      <c r="U4330">
        <v>-8.4213259999999998E-2</v>
      </c>
      <c r="V4330">
        <v>-8.8263350000000004E-2</v>
      </c>
      <c r="W4330">
        <v>0.19023390000000001</v>
      </c>
      <c r="X4330">
        <v>0.9777631</v>
      </c>
      <c r="Y4330">
        <v>-2.1131359999999998E-2</v>
      </c>
      <c r="Z4330" s="1">
        <v>1.292484E-5</v>
      </c>
      <c r="AA4330">
        <v>0.99977669999999996</v>
      </c>
      <c r="AB4330">
        <v>23</v>
      </c>
      <c r="AC4330">
        <v>-3.0314480000000001</v>
      </c>
      <c r="AD4330">
        <v>0.1379321</v>
      </c>
      <c r="AE4330">
        <v>-8.4213259999999998E-2</v>
      </c>
      <c r="AF4330">
        <v>-6.39726392401119E-2</v>
      </c>
      <c r="AG4330">
        <v>0.1379321</v>
      </c>
      <c r="AH4330">
        <v>3.0256806788164501</v>
      </c>
      <c r="AI4330">
        <v>87.390439353727999</v>
      </c>
      <c r="AJ4330">
        <v>91.211236936570103</v>
      </c>
      <c r="AK4330">
        <v>3.0294985282955502</v>
      </c>
      <c r="AL4330">
        <v>79.033565550308396</v>
      </c>
      <c r="AM4330">
        <v>95.158148981398398</v>
      </c>
      <c r="AN4330">
        <v>1.0000000176920201</v>
      </c>
    </row>
    <row r="4331" spans="1:40" x14ac:dyDescent="0.25">
      <c r="A4331" t="str">
        <f>"20190304155147153"</f>
        <v>20190304155147153</v>
      </c>
      <c r="B4331" t="str">
        <f>"1551685907141695"</f>
        <v>1551685907141695</v>
      </c>
      <c r="C4331" t="s">
        <v>40</v>
      </c>
      <c r="D4331">
        <v>4.2453450000000004</v>
      </c>
      <c r="E4331">
        <v>0.5226809</v>
      </c>
      <c r="F4331" t="s">
        <v>53</v>
      </c>
      <c r="G4331">
        <v>0</v>
      </c>
      <c r="H4331">
        <v>0</v>
      </c>
      <c r="I4331">
        <v>0</v>
      </c>
      <c r="J4331">
        <v>-240.727</v>
      </c>
      <c r="K4331">
        <v>1.11007099999999</v>
      </c>
      <c r="L4331">
        <v>141.29920000000001</v>
      </c>
      <c r="M4331">
        <v>-0.99993270000000001</v>
      </c>
      <c r="N4331">
        <v>-9.6506730000000002E-3</v>
      </c>
      <c r="O4331">
        <v>-6.433813E-3</v>
      </c>
      <c r="P4331">
        <v>-0.97897420000000002</v>
      </c>
      <c r="Q4331">
        <v>0.18178949999999999</v>
      </c>
      <c r="R4331">
        <v>-9.2533539999999997E-2</v>
      </c>
      <c r="S4331">
        <v>-3.0464020000000001</v>
      </c>
      <c r="T4331">
        <v>5.3839089999999999E-2</v>
      </c>
      <c r="U4331">
        <v>-8.4457400000000002E-2</v>
      </c>
      <c r="V4331">
        <v>-8.6153950000000007E-2</v>
      </c>
      <c r="W4331">
        <v>0.1912702</v>
      </c>
      <c r="X4331">
        <v>0.97774899999999998</v>
      </c>
      <c r="Y4331">
        <v>-2.1281689999999999E-2</v>
      </c>
      <c r="Z4331" s="1">
        <v>-9.0457530000000001E-5</v>
      </c>
      <c r="AA4331">
        <v>0.99977349999999998</v>
      </c>
      <c r="AB4331">
        <v>23</v>
      </c>
      <c r="AC4331">
        <v>-3.0464020000000001</v>
      </c>
      <c r="AD4331">
        <v>5.3839089999999999E-2</v>
      </c>
      <c r="AE4331">
        <v>-8.4457400000000002E-2</v>
      </c>
      <c r="AF4331">
        <v>-6.4834523023105606E-2</v>
      </c>
      <c r="AG4331">
        <v>5.3839089999999999E-2</v>
      </c>
      <c r="AH4331">
        <v>3.0459317294144399</v>
      </c>
      <c r="AI4331">
        <v>88.987589563517503</v>
      </c>
      <c r="AJ4331">
        <v>91.219391633243902</v>
      </c>
      <c r="AK4331">
        <v>3.0470973504700001</v>
      </c>
      <c r="AL4331">
        <v>78.973078540109498</v>
      </c>
      <c r="AM4331">
        <v>95.035588455939106</v>
      </c>
      <c r="AN4331">
        <v>0.99999994975481998</v>
      </c>
    </row>
    <row r="4332" spans="1:40" x14ac:dyDescent="0.25">
      <c r="A4332" t="str">
        <f>"20190304155147186"</f>
        <v>20190304155147186</v>
      </c>
      <c r="B4332" t="str">
        <f>"1551685907181715"</f>
        <v>1551685907181715</v>
      </c>
      <c r="C4332" t="s">
        <v>40</v>
      </c>
      <c r="D4332">
        <v>4.2833839999999999</v>
      </c>
      <c r="E4332">
        <v>0.52195849999999999</v>
      </c>
      <c r="F4332" t="s">
        <v>53</v>
      </c>
      <c r="G4332">
        <v>0</v>
      </c>
      <c r="H4332">
        <v>0</v>
      </c>
      <c r="I4332">
        <v>0</v>
      </c>
      <c r="J4332">
        <v>-241.06290000000001</v>
      </c>
      <c r="K4332">
        <v>1.110061</v>
      </c>
      <c r="L4332">
        <v>141.29740000000001</v>
      </c>
      <c r="M4332">
        <v>-0.99993489999999996</v>
      </c>
      <c r="N4332">
        <v>-9.6700399999999995E-3</v>
      </c>
      <c r="O4332">
        <v>-6.0718969999999997E-3</v>
      </c>
      <c r="P4332">
        <v>-0.97898280000000004</v>
      </c>
      <c r="Q4332">
        <v>0.18255730000000001</v>
      </c>
      <c r="R4332">
        <v>-9.0916300000000005E-2</v>
      </c>
      <c r="S4332">
        <v>-3.0535739999999998</v>
      </c>
      <c r="T4332">
        <v>1.4699220000000001E-2</v>
      </c>
      <c r="U4332">
        <v>-8.5983279999999995E-2</v>
      </c>
      <c r="V4332">
        <v>-8.4877019999999997E-2</v>
      </c>
      <c r="W4332">
        <v>0.19206210000000001</v>
      </c>
      <c r="X4332">
        <v>0.97770550000000001</v>
      </c>
      <c r="Y4332">
        <v>-2.2077690000000001E-2</v>
      </c>
      <c r="Z4332">
        <v>-1.4156910000000001E-4</v>
      </c>
      <c r="AA4332">
        <v>0.99975630000000004</v>
      </c>
      <c r="AB4332">
        <v>23</v>
      </c>
      <c r="AC4332">
        <v>-3.0535739999999998</v>
      </c>
      <c r="AD4332">
        <v>1.4699220000000001E-2</v>
      </c>
      <c r="AE4332">
        <v>-8.5983279999999995E-2</v>
      </c>
      <c r="AF4332">
        <v>-6.7438281287920704E-2</v>
      </c>
      <c r="AG4332">
        <v>1.4699220000000001E-2</v>
      </c>
      <c r="AH4332">
        <v>3.0539690988946302</v>
      </c>
      <c r="AI4332">
        <v>89.724295996933094</v>
      </c>
      <c r="AJ4332">
        <v>91.265009863496502</v>
      </c>
      <c r="AK4332">
        <v>3.05474896609442</v>
      </c>
      <c r="AL4332">
        <v>78.926849502870496</v>
      </c>
      <c r="AM4332">
        <v>94.961548464009994</v>
      </c>
      <c r="AN4332">
        <v>1.0000000017553701</v>
      </c>
    </row>
    <row r="4333" spans="1:40" x14ac:dyDescent="0.25">
      <c r="A4333" t="str">
        <f>"20190304155147209"</f>
        <v>20190304155147209</v>
      </c>
      <c r="B4333" t="str">
        <f>"1551685907201234"</f>
        <v>1551685907201234</v>
      </c>
      <c r="C4333" t="s">
        <v>40</v>
      </c>
      <c r="D4333">
        <v>4.2642360000000004</v>
      </c>
      <c r="E4333">
        <v>0.52156480000000005</v>
      </c>
      <c r="F4333" t="s">
        <v>41</v>
      </c>
      <c r="G4333">
        <v>-390.34910000000002</v>
      </c>
      <c r="H4333" s="1">
        <v>-4.5715339999999999E-6</v>
      </c>
      <c r="I4333">
        <v>137.0848</v>
      </c>
      <c r="J4333">
        <v>-241.28569999999999</v>
      </c>
      <c r="K4333">
        <v>1.1100540000000001</v>
      </c>
      <c r="L4333">
        <v>141.29640000000001</v>
      </c>
      <c r="M4333">
        <v>-0.99993639999999995</v>
      </c>
      <c r="N4333">
        <v>-9.6924400000000001E-3</v>
      </c>
      <c r="O4333">
        <v>-5.7835530000000003E-3</v>
      </c>
      <c r="P4333">
        <v>-0.97892100000000004</v>
      </c>
      <c r="Q4333">
        <v>0.18347479999999999</v>
      </c>
      <c r="R4333">
        <v>-8.9727879999999996E-2</v>
      </c>
      <c r="S4333">
        <v>-3.0606230000000001</v>
      </c>
      <c r="T4333">
        <v>-2.2758250000000001E-2</v>
      </c>
      <c r="U4333">
        <v>-8.6364750000000004E-2</v>
      </c>
      <c r="V4333">
        <v>-8.3962350000000005E-2</v>
      </c>
      <c r="W4333">
        <v>0.19300349999999999</v>
      </c>
      <c r="X4333">
        <v>0.97759910000000005</v>
      </c>
      <c r="Y4333">
        <v>-2.2423390000000001E-2</v>
      </c>
      <c r="Z4333">
        <v>-2.051E-4</v>
      </c>
      <c r="AA4333">
        <v>0.99974850000000004</v>
      </c>
      <c r="AB4333">
        <v>23</v>
      </c>
      <c r="AC4333">
        <v>-149.0634</v>
      </c>
      <c r="AD4333">
        <v>-1.1100585715339999</v>
      </c>
      <c r="AE4333">
        <v>-4.2115999999999998</v>
      </c>
      <c r="AF4333">
        <v>-3.3491874827022299</v>
      </c>
      <c r="AG4333">
        <v>-1.1100585715339999</v>
      </c>
      <c r="AH4333">
        <v>149.07700520900801</v>
      </c>
      <c r="AI4333">
        <v>90.426520856168096</v>
      </c>
      <c r="AJ4333">
        <v>91.286999508988004</v>
      </c>
      <c r="AK4333">
        <v>149.11875391416501</v>
      </c>
      <c r="AL4333">
        <v>78.871882992958405</v>
      </c>
      <c r="AM4333">
        <v>94.908874982726303</v>
      </c>
      <c r="AN4333">
        <v>1.00000001377529</v>
      </c>
    </row>
    <row r="4334" spans="1:40" x14ac:dyDescent="0.25">
      <c r="A4334" t="str">
        <f>"20190304155147230"</f>
        <v>20190304155147230</v>
      </c>
      <c r="B4334" t="str">
        <f>"1551685907221734"</f>
        <v>1551685907221734</v>
      </c>
      <c r="C4334" t="s">
        <v>40</v>
      </c>
      <c r="D4334">
        <v>4.3042499999999997</v>
      </c>
      <c r="E4334">
        <v>0.52104379999999995</v>
      </c>
      <c r="F4334" t="s">
        <v>41</v>
      </c>
      <c r="G4334">
        <v>-348.33499999999998</v>
      </c>
      <c r="H4334" s="1">
        <v>-9.3462379999999995E-7</v>
      </c>
      <c r="I4334">
        <v>138.27430000000001</v>
      </c>
      <c r="J4334">
        <v>-241.51849999999999</v>
      </c>
      <c r="K4334">
        <v>1.1100239999999999</v>
      </c>
      <c r="L4334">
        <v>141.2954</v>
      </c>
      <c r="M4334">
        <v>-0.99993799999999999</v>
      </c>
      <c r="N4334">
        <v>-9.720968E-3</v>
      </c>
      <c r="O4334">
        <v>-5.4330630000000001E-3</v>
      </c>
      <c r="P4334">
        <v>-0.97909109999999999</v>
      </c>
      <c r="Q4334">
        <v>0.18291750000000001</v>
      </c>
      <c r="R4334">
        <v>-8.9005130000000002E-2</v>
      </c>
      <c r="S4334">
        <v>-3.0626220000000002</v>
      </c>
      <c r="T4334">
        <v>-3.1758069999999999E-2</v>
      </c>
      <c r="U4334">
        <v>-8.64563E-2</v>
      </c>
      <c r="V4334">
        <v>-8.3570660000000005E-2</v>
      </c>
      <c r="W4334">
        <v>0.1924804</v>
      </c>
      <c r="X4334">
        <v>0.97773580000000004</v>
      </c>
      <c r="Y4334">
        <v>-2.278432E-2</v>
      </c>
      <c r="Z4334">
        <v>-2.2536029999999999E-4</v>
      </c>
      <c r="AA4334">
        <v>0.99974039999999997</v>
      </c>
      <c r="AB4334">
        <v>23</v>
      </c>
      <c r="AC4334">
        <v>-106.8165</v>
      </c>
      <c r="AD4334">
        <v>-1.11002493462379</v>
      </c>
      <c r="AE4334">
        <v>-3.0210999999999899</v>
      </c>
      <c r="AF4334">
        <v>-2.4404238822799802</v>
      </c>
      <c r="AG4334">
        <v>-1.11002493462379</v>
      </c>
      <c r="AH4334">
        <v>106.819811537156</v>
      </c>
      <c r="AI4334">
        <v>90.595216039939899</v>
      </c>
      <c r="AJ4334">
        <v>91.308761614545404</v>
      </c>
      <c r="AK4334">
        <v>106.85345086104699</v>
      </c>
      <c r="AL4334">
        <v>78.902427283473003</v>
      </c>
      <c r="AM4334">
        <v>94.885406043055099</v>
      </c>
      <c r="AN4334">
        <v>1.0000000270993099</v>
      </c>
    </row>
    <row r="4335" spans="1:40" x14ac:dyDescent="0.25">
      <c r="A4335" t="str">
        <f>"20190304155147252"</f>
        <v>20190304155147252</v>
      </c>
      <c r="B4335" t="str">
        <f>"1551685907241250"</f>
        <v>1551685907241250</v>
      </c>
      <c r="C4335" t="s">
        <v>40</v>
      </c>
      <c r="D4335">
        <v>4.2430209999999997</v>
      </c>
      <c r="E4335">
        <v>0.52016759999999995</v>
      </c>
      <c r="F4335" t="s">
        <v>84</v>
      </c>
      <c r="G4335">
        <v>-318.46080000000001</v>
      </c>
      <c r="H4335" s="1">
        <v>-5.87435799999999E-6</v>
      </c>
      <c r="I4335">
        <v>139.06479999999999</v>
      </c>
      <c r="J4335">
        <v>-241.74379999999999</v>
      </c>
      <c r="K4335">
        <v>1.1100000000000001</v>
      </c>
      <c r="L4335">
        <v>141.2946</v>
      </c>
      <c r="M4335">
        <v>-0.99993969999999999</v>
      </c>
      <c r="N4335">
        <v>-9.7516960000000007E-3</v>
      </c>
      <c r="O4335">
        <v>-5.0571790000000002E-3</v>
      </c>
      <c r="P4335">
        <v>-0.97923610000000005</v>
      </c>
      <c r="Q4335">
        <v>0.18242359999999999</v>
      </c>
      <c r="R4335">
        <v>-8.8424160000000002E-2</v>
      </c>
      <c r="S4335">
        <v>-3.0642550000000002</v>
      </c>
      <c r="T4335">
        <v>-4.4207330000000003E-2</v>
      </c>
      <c r="U4335">
        <v>-8.8836670000000006E-2</v>
      </c>
      <c r="V4335">
        <v>-8.3345639999999999E-2</v>
      </c>
      <c r="W4335">
        <v>0.19202230000000001</v>
      </c>
      <c r="X4335">
        <v>0.97784510000000002</v>
      </c>
      <c r="Y4335">
        <v>-2.3919329999999999E-2</v>
      </c>
      <c r="Z4335">
        <v>-2.6552770000000002E-4</v>
      </c>
      <c r="AA4335">
        <v>0.99971379999999999</v>
      </c>
      <c r="AB4335">
        <v>23</v>
      </c>
      <c r="AC4335">
        <v>-76.716999999999999</v>
      </c>
      <c r="AD4335">
        <v>-1.1100058743579999</v>
      </c>
      <c r="AE4335">
        <v>-2.2298000000000102</v>
      </c>
      <c r="AF4335">
        <v>-1.84139628210707</v>
      </c>
      <c r="AG4335">
        <v>-1.1100058743579999</v>
      </c>
      <c r="AH4335">
        <v>76.711250176488704</v>
      </c>
      <c r="AI4335">
        <v>90.828768953132197</v>
      </c>
      <c r="AJ4335">
        <v>91.375078337821805</v>
      </c>
      <c r="AK4335">
        <v>76.741375782225205</v>
      </c>
      <c r="AL4335">
        <v>78.929173660485105</v>
      </c>
      <c r="AM4335">
        <v>94.871773157801101</v>
      </c>
      <c r="AN4335">
        <v>1.0000000494991499</v>
      </c>
    </row>
    <row r="4336" spans="1:40" x14ac:dyDescent="0.25">
      <c r="A4336" t="str">
        <f>"20190304155147275"</f>
        <v>20190304155147275</v>
      </c>
      <c r="B4336" t="str">
        <f>"1551685907271507"</f>
        <v>1551685907271507</v>
      </c>
      <c r="C4336" t="s">
        <v>40</v>
      </c>
      <c r="D4336">
        <v>4.308217</v>
      </c>
      <c r="E4336">
        <v>0.51916969999999996</v>
      </c>
      <c r="F4336" t="s">
        <v>84</v>
      </c>
      <c r="G4336">
        <v>-302.05489999999998</v>
      </c>
      <c r="H4336" s="1">
        <v>-8.3023729999999998E-6</v>
      </c>
      <c r="I4336">
        <v>139.46260000000001</v>
      </c>
      <c r="J4336">
        <v>-241.9665</v>
      </c>
      <c r="K4336">
        <v>1.109974</v>
      </c>
      <c r="L4336">
        <v>141.29390000000001</v>
      </c>
      <c r="M4336">
        <v>-0.99994130000000003</v>
      </c>
      <c r="N4336">
        <v>-9.7881849999999996E-3</v>
      </c>
      <c r="O4336">
        <v>-4.6487639999999997E-3</v>
      </c>
      <c r="P4336">
        <v>-0.97929540000000004</v>
      </c>
      <c r="Q4336">
        <v>0.18246109999999999</v>
      </c>
      <c r="R4336">
        <v>-8.7683250000000004E-2</v>
      </c>
      <c r="S4336">
        <v>-3.0657350000000001</v>
      </c>
      <c r="T4336">
        <v>-5.6423899999999999E-2</v>
      </c>
      <c r="U4336">
        <v>-9.3124390000000001E-2</v>
      </c>
      <c r="V4336">
        <v>-8.2992289999999996E-2</v>
      </c>
      <c r="W4336">
        <v>0.19210140000000001</v>
      </c>
      <c r="X4336">
        <v>0.97785960000000005</v>
      </c>
      <c r="Y4336">
        <v>-2.5708209999999999E-2</v>
      </c>
      <c r="Z4336">
        <v>-3.2233030000000001E-4</v>
      </c>
      <c r="AA4336">
        <v>0.99966940000000004</v>
      </c>
      <c r="AB4336">
        <v>23</v>
      </c>
      <c r="AC4336">
        <v>-60.088399999999901</v>
      </c>
      <c r="AD4336">
        <v>-1.109982302373</v>
      </c>
      <c r="AE4336">
        <v>-1.8312999999999899</v>
      </c>
      <c r="AF4336">
        <v>-1.5514011421968299</v>
      </c>
      <c r="AG4336">
        <v>-1.109982302373</v>
      </c>
      <c r="AH4336">
        <v>60.0757835307924</v>
      </c>
      <c r="AI4336">
        <v>91.058144796544397</v>
      </c>
      <c r="AJ4336">
        <v>91.479281351171196</v>
      </c>
      <c r="AK4336">
        <v>60.106061866123099</v>
      </c>
      <c r="AL4336">
        <v>78.924555400659301</v>
      </c>
      <c r="AM4336">
        <v>94.851146103220998</v>
      </c>
      <c r="AN4336">
        <v>1.00000003269678</v>
      </c>
    </row>
    <row r="4337" spans="1:40" x14ac:dyDescent="0.25">
      <c r="A4337" t="str">
        <f>"20190304155147297"</f>
        <v>20190304155147297</v>
      </c>
      <c r="B4337" t="str">
        <f>"1551685907291032"</f>
        <v>1551685907291032</v>
      </c>
      <c r="C4337" t="s">
        <v>40</v>
      </c>
      <c r="D4337">
        <v>4.2566129999999998</v>
      </c>
      <c r="E4337">
        <v>0.51905119999999905</v>
      </c>
      <c r="F4337" t="s">
        <v>84</v>
      </c>
      <c r="G4337">
        <v>-293.57830000000001</v>
      </c>
      <c r="H4337" s="1">
        <v>-8.6161159999999907E-6</v>
      </c>
      <c r="I4337">
        <v>139.63659999999999</v>
      </c>
      <c r="J4337">
        <v>-242.19990000000001</v>
      </c>
      <c r="K4337">
        <v>1.10995</v>
      </c>
      <c r="L4337">
        <v>141.29339999999999</v>
      </c>
      <c r="M4337">
        <v>-0.99994300000000003</v>
      </c>
      <c r="N4337">
        <v>-9.8338969999999994E-3</v>
      </c>
      <c r="O4337">
        <v>-4.1741909999999998E-3</v>
      </c>
      <c r="P4337">
        <v>-0.97936199999999995</v>
      </c>
      <c r="Q4337">
        <v>0.18241830000000001</v>
      </c>
      <c r="R4337">
        <v>-8.7028699999999903E-2</v>
      </c>
      <c r="S4337">
        <v>-3.06691</v>
      </c>
      <c r="T4337">
        <v>-6.5958020000000006E-2</v>
      </c>
      <c r="U4337">
        <v>-9.8480219999999993E-2</v>
      </c>
      <c r="V4337">
        <v>-8.27878999999999E-2</v>
      </c>
      <c r="W4337">
        <v>0.1921098</v>
      </c>
      <c r="X4337">
        <v>0.97787519999999994</v>
      </c>
      <c r="Y4337">
        <v>-2.79124E-2</v>
      </c>
      <c r="Z4337">
        <v>-3.8864120000000002E-4</v>
      </c>
      <c r="AA4337">
        <v>0.99961029999999995</v>
      </c>
      <c r="AB4337">
        <v>23</v>
      </c>
      <c r="AC4337">
        <v>-51.378399999999999</v>
      </c>
      <c r="AD4337">
        <v>-1.109958616116</v>
      </c>
      <c r="AE4337">
        <v>-1.6568000000000001</v>
      </c>
      <c r="AF4337">
        <v>-1.44163981629765</v>
      </c>
      <c r="AG4337">
        <v>-1.109958616116</v>
      </c>
      <c r="AH4337">
        <v>51.3609224343882</v>
      </c>
      <c r="AI4337">
        <v>91.237536586458901</v>
      </c>
      <c r="AJ4337">
        <v>91.607802022702003</v>
      </c>
      <c r="AK4337">
        <v>51.393138518684303</v>
      </c>
      <c r="AL4337">
        <v>78.924064157470397</v>
      </c>
      <c r="AM4337">
        <v>94.839178872827105</v>
      </c>
      <c r="AN4337">
        <v>0.99999995920874396</v>
      </c>
    </row>
    <row r="4338" spans="1:40" x14ac:dyDescent="0.25">
      <c r="A4338" t="str">
        <f>"20190304155147320"</f>
        <v>20190304155147320</v>
      </c>
      <c r="B4338" t="str">
        <f>"1551685907311530"</f>
        <v>1551685907311530</v>
      </c>
      <c r="C4338" t="s">
        <v>40</v>
      </c>
      <c r="D4338">
        <v>4.2612009999999998</v>
      </c>
      <c r="E4338">
        <v>0.51903339999999998</v>
      </c>
      <c r="F4338" t="s">
        <v>84</v>
      </c>
      <c r="G4338">
        <v>-292.84730000000002</v>
      </c>
      <c r="H4338" s="1">
        <v>-8.6924990000000008E-6</v>
      </c>
      <c r="I4338">
        <v>139.68270000000001</v>
      </c>
      <c r="J4338">
        <v>-242.43719999999999</v>
      </c>
      <c r="K4338">
        <v>1.1099209999999999</v>
      </c>
      <c r="L4338">
        <v>141.29300000000001</v>
      </c>
      <c r="M4338">
        <v>-0.99994459999999996</v>
      </c>
      <c r="N4338">
        <v>-9.8844209999999991E-3</v>
      </c>
      <c r="O4338">
        <v>-3.635466E-3</v>
      </c>
      <c r="P4338">
        <v>-0.97952969999999895</v>
      </c>
      <c r="Q4338">
        <v>0.18174570000000001</v>
      </c>
      <c r="R4338">
        <v>-8.6543889999999998E-2</v>
      </c>
      <c r="S4338">
        <v>-3.0670929999999998</v>
      </c>
      <c r="T4338">
        <v>-6.7216629999999999E-2</v>
      </c>
      <c r="U4338">
        <v>-9.7534179999999998E-2</v>
      </c>
      <c r="V4338">
        <v>-8.2814840000000001E-2</v>
      </c>
      <c r="W4338">
        <v>0.19149440000000001</v>
      </c>
      <c r="X4338">
        <v>0.97799369999999997</v>
      </c>
      <c r="Y4338">
        <v>-2.814059E-2</v>
      </c>
      <c r="Z4338">
        <v>-4.0366369999999998E-4</v>
      </c>
      <c r="AA4338">
        <v>0.99960389999999999</v>
      </c>
      <c r="AB4338">
        <v>23</v>
      </c>
      <c r="AC4338">
        <v>-50.4101</v>
      </c>
      <c r="AD4338">
        <v>-1.1099296924990001</v>
      </c>
      <c r="AE4338">
        <v>-1.6102999999999901</v>
      </c>
      <c r="AF4338">
        <v>-1.42632544392653</v>
      </c>
      <c r="AG4338">
        <v>-1.1099296924990001</v>
      </c>
      <c r="AH4338">
        <v>50.3912169401885</v>
      </c>
      <c r="AI4338">
        <v>91.261302305451693</v>
      </c>
      <c r="AJ4338">
        <v>91.621326471773301</v>
      </c>
      <c r="AK4338">
        <v>50.423616420358201</v>
      </c>
      <c r="AL4338">
        <v>78.959991918148603</v>
      </c>
      <c r="AM4338">
        <v>94.840162358469499</v>
      </c>
      <c r="AN4338">
        <v>1.0000000400976301</v>
      </c>
    </row>
    <row r="4339" spans="1:40" x14ac:dyDescent="0.25">
      <c r="A4339" t="str">
        <f>"20190304155147343"</f>
        <v>20190304155147343</v>
      </c>
      <c r="B4339" t="str">
        <f>"1551685907331046"</f>
        <v>1551685907331046</v>
      </c>
      <c r="C4339" t="s">
        <v>40</v>
      </c>
      <c r="D4339">
        <v>4.337129</v>
      </c>
      <c r="E4339">
        <v>0.51894419999999997</v>
      </c>
      <c r="F4339" t="s">
        <v>84</v>
      </c>
      <c r="G4339">
        <v>-291.13040000000001</v>
      </c>
      <c r="H4339" s="1">
        <v>-8.8651030000000008E-6</v>
      </c>
      <c r="I4339">
        <v>139.7654</v>
      </c>
      <c r="J4339">
        <v>-242.67519999999999</v>
      </c>
      <c r="K4339">
        <v>1.1098840000000001</v>
      </c>
      <c r="L4339">
        <v>141.2928</v>
      </c>
      <c r="M4339">
        <v>-0.99994609999999995</v>
      </c>
      <c r="N4339">
        <v>-9.9444790000000009E-3</v>
      </c>
      <c r="O4339">
        <v>-3.0335570000000001E-3</v>
      </c>
      <c r="P4339">
        <v>-0.97976920000000001</v>
      </c>
      <c r="Q4339">
        <v>0.18080779999999999</v>
      </c>
      <c r="R4339">
        <v>-8.579908E-2</v>
      </c>
      <c r="S4339">
        <v>-3.0671840000000001</v>
      </c>
      <c r="T4339">
        <v>-6.9914459999999998E-2</v>
      </c>
      <c r="U4339">
        <v>-9.6221920000000002E-2</v>
      </c>
      <c r="V4339">
        <v>-8.2642080000000007E-2</v>
      </c>
      <c r="W4339">
        <v>0.19062519999999999</v>
      </c>
      <c r="X4339">
        <v>0.97817810000000005</v>
      </c>
      <c r="Y4339">
        <v>-2.8313330000000001E-2</v>
      </c>
      <c r="Z4339">
        <v>-4.2445329999999998E-4</v>
      </c>
      <c r="AA4339">
        <v>0.99959900000000002</v>
      </c>
      <c r="AB4339">
        <v>23</v>
      </c>
      <c r="AC4339">
        <v>-48.455199999999998</v>
      </c>
      <c r="AD4339">
        <v>-1.109892865103</v>
      </c>
      <c r="AE4339">
        <v>-1.5274000000000001</v>
      </c>
      <c r="AF4339">
        <v>-1.3796709681219701</v>
      </c>
      <c r="AG4339">
        <v>-1.109892865103</v>
      </c>
      <c r="AH4339">
        <v>48.434224233900302</v>
      </c>
      <c r="AI4339">
        <v>91.3121977164855</v>
      </c>
      <c r="AJ4339">
        <v>91.631655187576001</v>
      </c>
      <c r="AK4339">
        <v>48.466580561166303</v>
      </c>
      <c r="AL4339">
        <v>79.010728024569701</v>
      </c>
      <c r="AM4339">
        <v>94.829206881599603</v>
      </c>
      <c r="AN4339">
        <v>1.0000000377906799</v>
      </c>
    </row>
    <row r="4340" spans="1:40" x14ac:dyDescent="0.25">
      <c r="A4340" t="str">
        <f>"20190304155147366"</f>
        <v>20190304155147366</v>
      </c>
      <c r="B4340" t="str">
        <f>"1551685907361302"</f>
        <v>1551685907361302</v>
      </c>
      <c r="C4340" t="s">
        <v>40</v>
      </c>
      <c r="D4340">
        <v>4.3932120000000001</v>
      </c>
      <c r="E4340">
        <v>0.51827699999999999</v>
      </c>
      <c r="F4340" t="s">
        <v>84</v>
      </c>
      <c r="G4340">
        <v>-288.43860000000001</v>
      </c>
      <c r="H4340" s="1">
        <v>-8.0671799999999999E-6</v>
      </c>
      <c r="I4340">
        <v>139.87629999999999</v>
      </c>
      <c r="J4340">
        <v>-242.9075</v>
      </c>
      <c r="K4340">
        <v>1.109864</v>
      </c>
      <c r="L4340">
        <v>141.2928</v>
      </c>
      <c r="M4340">
        <v>-0.99994700000000003</v>
      </c>
      <c r="N4340">
        <v>-1.0017E-2</v>
      </c>
      <c r="O4340">
        <v>-2.384597E-3</v>
      </c>
      <c r="P4340">
        <v>-0.98009429999999997</v>
      </c>
      <c r="Q4340">
        <v>0.17945739999999999</v>
      </c>
      <c r="R4340">
        <v>-8.4911699999999896E-2</v>
      </c>
      <c r="S4340">
        <v>-3.067383</v>
      </c>
      <c r="T4340">
        <v>-7.4392799999999995E-2</v>
      </c>
      <c r="U4340">
        <v>-9.4940189999999994E-2</v>
      </c>
      <c r="V4340">
        <v>-8.2372089999999995E-2</v>
      </c>
      <c r="W4340">
        <v>0.18935650000000001</v>
      </c>
      <c r="X4340">
        <v>0.97844719999999996</v>
      </c>
      <c r="Y4340">
        <v>-2.8541440000000001E-2</v>
      </c>
      <c r="Z4340">
        <v>-4.5505859999999998E-4</v>
      </c>
      <c r="AA4340">
        <v>0.99959249999999999</v>
      </c>
      <c r="AB4340">
        <v>23</v>
      </c>
      <c r="AC4340">
        <v>-45.531100000000002</v>
      </c>
      <c r="AD4340">
        <v>-1.10987206718</v>
      </c>
      <c r="AE4340">
        <v>-1.4165000000000101</v>
      </c>
      <c r="AF4340">
        <v>-1.3071412550545001</v>
      </c>
      <c r="AG4340">
        <v>-1.10987206718</v>
      </c>
      <c r="AH4340">
        <v>45.5073343665577</v>
      </c>
      <c r="AI4340">
        <v>91.396526101054803</v>
      </c>
      <c r="AJ4340">
        <v>91.645297209144402</v>
      </c>
      <c r="AK4340">
        <v>45.539630163362702</v>
      </c>
      <c r="AL4340">
        <v>79.084767161079199</v>
      </c>
      <c r="AM4340">
        <v>94.812186582581404</v>
      </c>
      <c r="AN4340">
        <v>0.99999998424552805</v>
      </c>
    </row>
    <row r="4341" spans="1:40" x14ac:dyDescent="0.25">
      <c r="A4341" t="str">
        <f>"20190304155147388"</f>
        <v>20190304155147388</v>
      </c>
      <c r="B4341" t="str">
        <f>"1551685907380823"</f>
        <v>1551685907380823</v>
      </c>
      <c r="C4341" t="s">
        <v>40</v>
      </c>
      <c r="D4341">
        <v>4.3497589999999997</v>
      </c>
      <c r="E4341">
        <v>0.51796560000000003</v>
      </c>
      <c r="F4341" t="s">
        <v>84</v>
      </c>
      <c r="G4341">
        <v>-284.52480000000003</v>
      </c>
      <c r="H4341" s="1">
        <v>-5.7372739999999998E-6</v>
      </c>
      <c r="I4341">
        <v>139.96600000000001</v>
      </c>
      <c r="J4341">
        <v>-243.1335</v>
      </c>
      <c r="K4341">
        <v>1.1098380000000001</v>
      </c>
      <c r="L4341">
        <v>141.29300000000001</v>
      </c>
      <c r="M4341">
        <v>-0.99994760000000005</v>
      </c>
      <c r="N4341">
        <v>-1.0097129999999999E-2</v>
      </c>
      <c r="O4341">
        <v>-1.6952650000000001E-3</v>
      </c>
      <c r="P4341">
        <v>-0.98008019999999996</v>
      </c>
      <c r="Q4341">
        <v>0.18001610000000001</v>
      </c>
      <c r="R4341">
        <v>-8.3888229999999994E-2</v>
      </c>
      <c r="S4341">
        <v>-3.0674589999999999</v>
      </c>
      <c r="T4341">
        <v>-8.1804390000000005E-2</v>
      </c>
      <c r="U4341">
        <v>-9.7793580000000005E-2</v>
      </c>
      <c r="V4341">
        <v>-8.2004779999999999E-2</v>
      </c>
      <c r="W4341">
        <v>0.19000030000000001</v>
      </c>
      <c r="X4341">
        <v>0.97835329999999998</v>
      </c>
      <c r="Y4341">
        <v>-3.0155709999999999E-2</v>
      </c>
      <c r="Z4341">
        <v>-5.2617370000000003E-4</v>
      </c>
      <c r="AA4341">
        <v>0.99954509999999996</v>
      </c>
      <c r="AB4341">
        <v>23</v>
      </c>
      <c r="AC4341">
        <v>-41.391300000000001</v>
      </c>
      <c r="AD4341">
        <v>-1.109843737274</v>
      </c>
      <c r="AE4341">
        <v>-1.32699999999999</v>
      </c>
      <c r="AF4341">
        <v>-1.2559232614190901</v>
      </c>
      <c r="AG4341">
        <v>-1.109843737274</v>
      </c>
      <c r="AH4341">
        <v>41.363781822876398</v>
      </c>
      <c r="AI4341">
        <v>91.536243443083606</v>
      </c>
      <c r="AJ4341">
        <v>91.739130180930601</v>
      </c>
      <c r="AK4341">
        <v>41.397723887313703</v>
      </c>
      <c r="AL4341">
        <v>79.047198723478203</v>
      </c>
      <c r="AM4341">
        <v>94.791286064182202</v>
      </c>
      <c r="AN4341">
        <v>1.0000000387819099</v>
      </c>
    </row>
    <row r="4342" spans="1:40" x14ac:dyDescent="0.25">
      <c r="A4342" t="str">
        <f>"20190304155147410"</f>
        <v>20190304155147410</v>
      </c>
      <c r="B4342" t="str">
        <f>"1551685907401318"</f>
        <v>1551685907401318</v>
      </c>
      <c r="C4342" t="s">
        <v>40</v>
      </c>
      <c r="D4342">
        <v>4.3395760000000001</v>
      </c>
      <c r="E4342">
        <v>0.51787879999999997</v>
      </c>
      <c r="F4342" t="s">
        <v>84</v>
      </c>
      <c r="G4342">
        <v>-285.47320000000002</v>
      </c>
      <c r="H4342" s="1">
        <v>-6.244234E-6</v>
      </c>
      <c r="I4342">
        <v>139.9478</v>
      </c>
      <c r="J4342">
        <v>-243.3587</v>
      </c>
      <c r="K4342">
        <v>1.1098170000000001</v>
      </c>
      <c r="L4342">
        <v>141.29339999999999</v>
      </c>
      <c r="M4342">
        <v>-0.99994769999999999</v>
      </c>
      <c r="N4342">
        <v>-1.018705E-2</v>
      </c>
      <c r="O4342">
        <v>-9.5392109999999997E-4</v>
      </c>
      <c r="P4342">
        <v>-0.98009559999999996</v>
      </c>
      <c r="Q4342">
        <v>0.18054539999999999</v>
      </c>
      <c r="R4342">
        <v>-8.2560259999999996E-2</v>
      </c>
      <c r="S4342">
        <v>-3.0674130000000002</v>
      </c>
      <c r="T4342">
        <v>-8.0405710000000005E-2</v>
      </c>
      <c r="U4342">
        <v>-9.7457890000000005E-2</v>
      </c>
      <c r="V4342">
        <v>-8.1386410000000006E-2</v>
      </c>
      <c r="W4342">
        <v>0.1906233</v>
      </c>
      <c r="X4342">
        <v>0.97828369999999998</v>
      </c>
      <c r="Y4342">
        <v>-3.0787930000000002E-2</v>
      </c>
      <c r="Z4342">
        <v>-5.4496929999999996E-4</v>
      </c>
      <c r="AA4342">
        <v>0.99952580000000002</v>
      </c>
      <c r="AB4342">
        <v>23</v>
      </c>
      <c r="AC4342">
        <v>-42.1145</v>
      </c>
      <c r="AD4342">
        <v>-1.1098232442339999</v>
      </c>
      <c r="AE4342">
        <v>-1.3455999999999899</v>
      </c>
      <c r="AF4342">
        <v>-1.3045183887221901</v>
      </c>
      <c r="AG4342">
        <v>-1.1098232442339999</v>
      </c>
      <c r="AH4342">
        <v>42.086567063950298</v>
      </c>
      <c r="AI4342">
        <v>91.509815506972103</v>
      </c>
      <c r="AJ4342">
        <v>91.775375855844203</v>
      </c>
      <c r="AK4342">
        <v>42.121403147192801</v>
      </c>
      <c r="AL4342">
        <v>79.010838432378307</v>
      </c>
      <c r="AM4342">
        <v>94.755659691493406</v>
      </c>
      <c r="AN4342">
        <v>0.99999999396063399</v>
      </c>
    </row>
    <row r="4343" spans="1:40" x14ac:dyDescent="0.25">
      <c r="A4343" t="str">
        <f>"20190304155147432"</f>
        <v>20190304155147432</v>
      </c>
      <c r="B4343" t="str">
        <f>"1551685907420838"</f>
        <v>1551685907420838</v>
      </c>
      <c r="C4343" t="s">
        <v>40</v>
      </c>
      <c r="D4343">
        <v>4.2803279999999999</v>
      </c>
      <c r="E4343">
        <v>0.51816119999999999</v>
      </c>
      <c r="F4343" t="s">
        <v>84</v>
      </c>
      <c r="G4343">
        <v>-287.25459999999998</v>
      </c>
      <c r="H4343" s="1">
        <v>-7.3503760000000001E-6</v>
      </c>
      <c r="I4343">
        <v>139.93889999999999</v>
      </c>
      <c r="J4343">
        <v>-243.5908</v>
      </c>
      <c r="K4343">
        <v>1.1097939999999999</v>
      </c>
      <c r="L4343">
        <v>141.29409999999999</v>
      </c>
      <c r="M4343">
        <v>-0.99994720000000004</v>
      </c>
      <c r="N4343">
        <v>-1.028311E-2</v>
      </c>
      <c r="O4343">
        <v>-1.486758E-4</v>
      </c>
      <c r="P4343">
        <v>-0.98021029999999998</v>
      </c>
      <c r="Q4343">
        <v>0.18056739999999999</v>
      </c>
      <c r="R4343">
        <v>-8.1137719999999997E-2</v>
      </c>
      <c r="S4343">
        <v>-3.0672299999999999</v>
      </c>
      <c r="T4343">
        <v>-7.7548980000000003E-2</v>
      </c>
      <c r="U4343">
        <v>-9.4650269999999995E-2</v>
      </c>
      <c r="V4343">
        <v>-8.07393E-2</v>
      </c>
      <c r="W4343">
        <v>0.1907451</v>
      </c>
      <c r="X4343">
        <v>0.97831360000000001</v>
      </c>
      <c r="Y4343">
        <v>-3.0681489999999999E-2</v>
      </c>
      <c r="Z4343">
        <v>-5.4330540000000003E-4</v>
      </c>
      <c r="AA4343">
        <v>0.99952909999999995</v>
      </c>
      <c r="AB4343">
        <v>23</v>
      </c>
      <c r="AC4343">
        <v>-43.663799999999902</v>
      </c>
      <c r="AD4343">
        <v>-1.109801350376</v>
      </c>
      <c r="AE4343">
        <v>-1.35519999999999</v>
      </c>
      <c r="AF4343">
        <v>-1.3478379966255201</v>
      </c>
      <c r="AG4343">
        <v>-1.109801350376</v>
      </c>
      <c r="AH4343">
        <v>43.635838422445303</v>
      </c>
      <c r="AI4343">
        <v>91.456209807507406</v>
      </c>
      <c r="AJ4343">
        <v>91.769208190925696</v>
      </c>
      <c r="AK4343">
        <v>43.670753613055503</v>
      </c>
      <c r="AL4343">
        <v>79.003729586531307</v>
      </c>
      <c r="AM4343">
        <v>94.717874885541406</v>
      </c>
      <c r="AN4343">
        <v>1.00000001384173</v>
      </c>
    </row>
    <row r="4344" spans="1:40" x14ac:dyDescent="0.25">
      <c r="A4344" t="str">
        <f>"20190304155147454"</f>
        <v>20190304155147454</v>
      </c>
      <c r="B4344" t="str">
        <f>"1551685907451095"</f>
        <v>1551685907451095</v>
      </c>
      <c r="C4344" t="s">
        <v>40</v>
      </c>
      <c r="D4344">
        <v>4.2181839999999999</v>
      </c>
      <c r="E4344">
        <v>0.51815059999999902</v>
      </c>
      <c r="F4344" t="s">
        <v>84</v>
      </c>
      <c r="G4344">
        <v>-289.76049999999998</v>
      </c>
      <c r="H4344" s="1">
        <v>-8.9171040000000007E-6</v>
      </c>
      <c r="I4344">
        <v>139.9597</v>
      </c>
      <c r="J4344">
        <v>-243.81280000000001</v>
      </c>
      <c r="K4344">
        <v>1.1097919999999999</v>
      </c>
      <c r="L4344">
        <v>141.29499999999999</v>
      </c>
      <c r="M4344">
        <v>-0.99994609999999995</v>
      </c>
      <c r="N4344">
        <v>-1.0376099999999999E-2</v>
      </c>
      <c r="O4344">
        <v>6.5181359999999999E-4</v>
      </c>
      <c r="P4344">
        <v>-0.98032660000000005</v>
      </c>
      <c r="Q4344">
        <v>0.18047750000000001</v>
      </c>
      <c r="R4344">
        <v>-7.9923439999999998E-2</v>
      </c>
      <c r="S4344">
        <v>-3.066818</v>
      </c>
      <c r="T4344">
        <v>-7.3718549999999994E-2</v>
      </c>
      <c r="U4344">
        <v>-8.8638309999999998E-2</v>
      </c>
      <c r="V4344">
        <v>-8.0300730000000001E-2</v>
      </c>
      <c r="W4344">
        <v>0.19074920000000001</v>
      </c>
      <c r="X4344">
        <v>0.97834889999999997</v>
      </c>
      <c r="Y4344">
        <v>-2.9529610000000001E-2</v>
      </c>
      <c r="Z4344">
        <v>-5.1695309999999896E-4</v>
      </c>
      <c r="AA4344">
        <v>0.9995638</v>
      </c>
      <c r="AB4344">
        <v>23</v>
      </c>
      <c r="AC4344">
        <v>-45.947699999999898</v>
      </c>
      <c r="AD4344">
        <v>-1.109800917104</v>
      </c>
      <c r="AE4344">
        <v>-1.3352999999999799</v>
      </c>
      <c r="AF4344">
        <v>-1.36445531553849</v>
      </c>
      <c r="AG4344">
        <v>-1.109800917104</v>
      </c>
      <c r="AH4344">
        <v>45.920052907830303</v>
      </c>
      <c r="AI4344">
        <v>91.383850692503898</v>
      </c>
      <c r="AJ4344">
        <v>91.701969627074007</v>
      </c>
      <c r="AK4344">
        <v>45.953722976943297</v>
      </c>
      <c r="AL4344">
        <v>79.003490318874299</v>
      </c>
      <c r="AM4344">
        <v>94.692193929241697</v>
      </c>
      <c r="AN4344">
        <v>1.00000001733519</v>
      </c>
    </row>
    <row r="4345" spans="1:40" x14ac:dyDescent="0.25">
      <c r="A4345" t="str">
        <f>"20190304155147476"</f>
        <v>20190304155147476</v>
      </c>
      <c r="B4345" t="str">
        <f>"1551685907471590"</f>
        <v>1551685907471590</v>
      </c>
      <c r="C4345" t="s">
        <v>40</v>
      </c>
      <c r="D4345">
        <v>4.3038540000000003</v>
      </c>
      <c r="E4345">
        <v>0.5182137</v>
      </c>
      <c r="F4345" t="s">
        <v>84</v>
      </c>
      <c r="G4345">
        <v>-288.96280000000002</v>
      </c>
      <c r="H4345" s="1">
        <v>-8.4462289999999999E-6</v>
      </c>
      <c r="I4345">
        <v>140.03919999999999</v>
      </c>
      <c r="J4345">
        <v>-244.04140000000001</v>
      </c>
      <c r="K4345">
        <v>1.1098079999999999</v>
      </c>
      <c r="L4345">
        <v>141.2962</v>
      </c>
      <c r="M4345">
        <v>-0.99994419999999995</v>
      </c>
      <c r="N4345">
        <v>-1.047503E-2</v>
      </c>
      <c r="O4345">
        <v>1.4957480000000001E-3</v>
      </c>
      <c r="P4345">
        <v>-0.98021670000000005</v>
      </c>
      <c r="Q4345">
        <v>0.18153130000000001</v>
      </c>
      <c r="R4345">
        <v>-7.8880130000000007E-2</v>
      </c>
      <c r="S4345">
        <v>-3.067123</v>
      </c>
      <c r="T4345">
        <v>-7.5390819999999997E-2</v>
      </c>
      <c r="U4345">
        <v>-8.5311890000000001E-2</v>
      </c>
      <c r="V4345">
        <v>-8.0079029999999995E-2</v>
      </c>
      <c r="W4345">
        <v>0.19189970000000001</v>
      </c>
      <c r="X4345">
        <v>0.97814199999999996</v>
      </c>
      <c r="Y4345">
        <v>-2.9286670000000001E-2</v>
      </c>
      <c r="Z4345">
        <v>-5.3435940000000001E-4</v>
      </c>
      <c r="AA4345">
        <v>0.99957090000000004</v>
      </c>
      <c r="AB4345">
        <v>23</v>
      </c>
      <c r="AC4345">
        <v>-44.921399999999998</v>
      </c>
      <c r="AD4345">
        <v>-1.1098164462290001</v>
      </c>
      <c r="AE4345">
        <v>-1.2569999999999999</v>
      </c>
      <c r="AF4345">
        <v>-1.32338623418504</v>
      </c>
      <c r="AG4345">
        <v>-1.1098164462290001</v>
      </c>
      <c r="AH4345">
        <v>44.892089977284101</v>
      </c>
      <c r="AI4345">
        <v>91.415555700864402</v>
      </c>
      <c r="AJ4345">
        <v>91.688548981702994</v>
      </c>
      <c r="AK4345">
        <v>44.925302293893701</v>
      </c>
      <c r="AL4345">
        <v>78.936330221808802</v>
      </c>
      <c r="AM4345">
        <v>94.680282374609902</v>
      </c>
      <c r="AN4345">
        <v>0.99999995903491401</v>
      </c>
    </row>
    <row r="4346" spans="1:40" x14ac:dyDescent="0.25">
      <c r="A4346" t="str">
        <f>"20190304155147498"</f>
        <v>20190304155147498</v>
      </c>
      <c r="B4346" t="str">
        <f>"1551685907491619"</f>
        <v>1551685907491619</v>
      </c>
      <c r="C4346" t="s">
        <v>40</v>
      </c>
      <c r="D4346">
        <v>4.2665480000000002</v>
      </c>
      <c r="E4346">
        <v>0.51823960000000002</v>
      </c>
      <c r="F4346" t="s">
        <v>84</v>
      </c>
      <c r="G4346">
        <v>-291.33269999999999</v>
      </c>
      <c r="H4346" s="1">
        <v>-8.9147520000000001E-6</v>
      </c>
      <c r="I4346">
        <v>140.02099999999999</v>
      </c>
      <c r="J4346">
        <v>-244.27010000000001</v>
      </c>
      <c r="K4346">
        <v>1.1098170000000001</v>
      </c>
      <c r="L4346">
        <v>141.29750000000001</v>
      </c>
      <c r="M4346">
        <v>-0.99994150000000004</v>
      </c>
      <c r="N4346">
        <v>-1.0578300000000001E-2</v>
      </c>
      <c r="O4346">
        <v>2.3489969999999998E-3</v>
      </c>
      <c r="P4346">
        <v>-0.98016289999999995</v>
      </c>
      <c r="Q4346">
        <v>0.18206729999999999</v>
      </c>
      <c r="R4346">
        <v>-7.8311539999999999E-2</v>
      </c>
      <c r="S4346">
        <v>-3.0672450000000002</v>
      </c>
      <c r="T4346">
        <v>-7.1981069999999994E-2</v>
      </c>
      <c r="U4346">
        <v>-8.2702639999999994E-2</v>
      </c>
      <c r="V4346">
        <v>-8.0343999999999999E-2</v>
      </c>
      <c r="W4346">
        <v>0.19253609999999999</v>
      </c>
      <c r="X4346">
        <v>0.97799530000000001</v>
      </c>
      <c r="Y4346">
        <v>-2.9289679999999998E-2</v>
      </c>
      <c r="Z4346">
        <v>-5.28817E-4</v>
      </c>
      <c r="AA4346">
        <v>0.99957079999999998</v>
      </c>
      <c r="AB4346">
        <v>23</v>
      </c>
      <c r="AC4346">
        <v>-47.062599999999897</v>
      </c>
      <c r="AD4346">
        <v>-1.109825914752</v>
      </c>
      <c r="AE4346">
        <v>-1.27649999999999</v>
      </c>
      <c r="AF4346">
        <v>-1.38628219292778</v>
      </c>
      <c r="AG4346">
        <v>-1.109825914752</v>
      </c>
      <c r="AH4346">
        <v>47.033335172299203</v>
      </c>
      <c r="AI4346">
        <v>91.351147117223306</v>
      </c>
      <c r="AJ4346">
        <v>91.6882734269944</v>
      </c>
      <c r="AK4346">
        <v>47.0668472420803</v>
      </c>
      <c r="AL4346">
        <v>78.899175418823205</v>
      </c>
      <c r="AM4346">
        <v>94.696400825796999</v>
      </c>
      <c r="AN4346">
        <v>1.00000005748064</v>
      </c>
    </row>
    <row r="4347" spans="1:40" x14ac:dyDescent="0.25">
      <c r="A4347" t="str">
        <f>"20190304155147520"</f>
        <v>20190304155147520</v>
      </c>
      <c r="B4347" t="str">
        <f>"1551685907511139"</f>
        <v>1551685907511139</v>
      </c>
      <c r="C4347" t="s">
        <v>40</v>
      </c>
      <c r="D4347">
        <v>4.2516080000000001</v>
      </c>
      <c r="E4347">
        <v>0.51815840000000002</v>
      </c>
      <c r="F4347" t="s">
        <v>84</v>
      </c>
      <c r="G4347">
        <v>-293.28149999999999</v>
      </c>
      <c r="H4347" s="1">
        <v>-8.7362299999999999E-6</v>
      </c>
      <c r="I4347">
        <v>139.9932</v>
      </c>
      <c r="J4347">
        <v>-244.51</v>
      </c>
      <c r="K4347">
        <v>1.109829</v>
      </c>
      <c r="L4347">
        <v>141.29910000000001</v>
      </c>
      <c r="M4347">
        <v>-0.99993770000000004</v>
      </c>
      <c r="N4347">
        <v>-1.069355E-2</v>
      </c>
      <c r="O4347">
        <v>3.244575E-3</v>
      </c>
      <c r="P4347">
        <v>-0.98028360000000003</v>
      </c>
      <c r="Q4347">
        <v>0.1816034</v>
      </c>
      <c r="R4347">
        <v>-7.7875449999999999E-2</v>
      </c>
      <c r="S4347">
        <v>-3.0670929999999998</v>
      </c>
      <c r="T4347">
        <v>-6.9451929999999995E-2</v>
      </c>
      <c r="U4347">
        <v>-8.1619259999999999E-2</v>
      </c>
      <c r="V4347">
        <v>-8.0787540000000005E-2</v>
      </c>
      <c r="W4347">
        <v>0.1921861</v>
      </c>
      <c r="X4347">
        <v>0.9780276</v>
      </c>
      <c r="Y4347">
        <v>-2.9833849999999999E-2</v>
      </c>
      <c r="Z4347">
        <v>-5.3601790000000005E-4</v>
      </c>
      <c r="AA4347">
        <v>0.99955479999999997</v>
      </c>
      <c r="AB4347">
        <v>23</v>
      </c>
      <c r="AC4347">
        <v>-48.771500000000003</v>
      </c>
      <c r="AD4347">
        <v>-1.10983773623</v>
      </c>
      <c r="AE4347">
        <v>-1.3059000000000001</v>
      </c>
      <c r="AF4347">
        <v>-1.46338769874069</v>
      </c>
      <c r="AG4347">
        <v>-1.10983773623</v>
      </c>
      <c r="AH4347">
        <v>48.741784073890798</v>
      </c>
      <c r="AI4347">
        <v>91.303797308790493</v>
      </c>
      <c r="AJ4347">
        <v>91.719690022044105</v>
      </c>
      <c r="AK4347">
        <v>48.776374999208201</v>
      </c>
      <c r="AL4347">
        <v>78.919610555640205</v>
      </c>
      <c r="AM4347">
        <v>94.722055183821098</v>
      </c>
      <c r="AN4347">
        <v>1.0000000550071</v>
      </c>
    </row>
    <row r="4348" spans="1:40" x14ac:dyDescent="0.25">
      <c r="A4348" t="str">
        <f>"20190304155147545"</f>
        <v>20190304155147545</v>
      </c>
      <c r="B4348" t="str">
        <f>"1551685907541395"</f>
        <v>1551685907541395</v>
      </c>
      <c r="C4348" t="s">
        <v>40</v>
      </c>
      <c r="D4348">
        <v>4.3025200000000003</v>
      </c>
      <c r="E4348">
        <v>0.51818980000000003</v>
      </c>
      <c r="F4348" t="s">
        <v>84</v>
      </c>
      <c r="G4348">
        <v>-292.66340000000002</v>
      </c>
      <c r="H4348" s="1">
        <v>-8.7989839999999995E-6</v>
      </c>
      <c r="I4348">
        <v>140.02529999999999</v>
      </c>
      <c r="J4348">
        <v>-244.7543</v>
      </c>
      <c r="K4348">
        <v>1.1098520000000001</v>
      </c>
      <c r="L4348">
        <v>141.30090000000001</v>
      </c>
      <c r="M4348">
        <v>-0.99993279999999995</v>
      </c>
      <c r="N4348">
        <v>-1.0823609999999999E-2</v>
      </c>
      <c r="O4348">
        <v>4.1497160000000003E-3</v>
      </c>
      <c r="P4348">
        <v>-0.98035810000000001</v>
      </c>
      <c r="Q4348">
        <v>0.1815745</v>
      </c>
      <c r="R4348">
        <v>-7.6999289999999998E-2</v>
      </c>
      <c r="S4348">
        <v>-3.0670009999999999</v>
      </c>
      <c r="T4348">
        <v>-7.0688249999999994E-2</v>
      </c>
      <c r="U4348">
        <v>-8.1130980000000005E-2</v>
      </c>
      <c r="V4348">
        <v>-8.0799940000000001E-2</v>
      </c>
      <c r="W4348">
        <v>0.19228390000000001</v>
      </c>
      <c r="X4348">
        <v>0.97800730000000002</v>
      </c>
      <c r="Y4348">
        <v>-3.0579660000000002E-2</v>
      </c>
      <c r="Z4348">
        <v>-5.6855849999999999E-4</v>
      </c>
      <c r="AA4348">
        <v>0.99953219999999998</v>
      </c>
      <c r="AB4348">
        <v>23</v>
      </c>
      <c r="AC4348">
        <v>-47.909100000000002</v>
      </c>
      <c r="AD4348">
        <v>-1.1098607989839999</v>
      </c>
      <c r="AE4348">
        <v>-1.2756000000000201</v>
      </c>
      <c r="AF4348">
        <v>-1.4736195476052101</v>
      </c>
      <c r="AG4348">
        <v>-1.1098607989839999</v>
      </c>
      <c r="AH4348">
        <v>47.877717802320497</v>
      </c>
      <c r="AI4348">
        <v>91.327316184527106</v>
      </c>
      <c r="AJ4348">
        <v>91.762939793996694</v>
      </c>
      <c r="AK4348">
        <v>47.913246681088502</v>
      </c>
      <c r="AL4348">
        <v>78.913899954347201</v>
      </c>
      <c r="AM4348">
        <v>94.722874273998698</v>
      </c>
      <c r="AN4348">
        <v>1.0000000036782499</v>
      </c>
    </row>
    <row r="4349" spans="1:40" x14ac:dyDescent="0.25">
      <c r="A4349" t="str">
        <f>"20190304155147566"</f>
        <v>20190304155147566</v>
      </c>
      <c r="B4349" t="str">
        <f>"1551685907560915"</f>
        <v>1551685907560915</v>
      </c>
      <c r="C4349" t="s">
        <v>40</v>
      </c>
      <c r="D4349">
        <v>4.4920660000000003</v>
      </c>
      <c r="E4349">
        <v>0.51803889999999997</v>
      </c>
      <c r="F4349" t="s">
        <v>84</v>
      </c>
      <c r="G4349">
        <v>-293.0016</v>
      </c>
      <c r="H4349" s="1">
        <v>-8.7808840000000005E-6</v>
      </c>
      <c r="I4349">
        <v>140.0693</v>
      </c>
      <c r="J4349">
        <v>-244.9812</v>
      </c>
      <c r="K4349">
        <v>1.109877</v>
      </c>
      <c r="L4349">
        <v>141.30289999999999</v>
      </c>
      <c r="M4349">
        <v>-0.99992749999999997</v>
      </c>
      <c r="N4349">
        <v>-1.0963189999999999E-2</v>
      </c>
      <c r="O4349">
        <v>4.9792200000000003E-3</v>
      </c>
      <c r="P4349">
        <v>-0.9804001</v>
      </c>
      <c r="Q4349">
        <v>0.18159439999999999</v>
      </c>
      <c r="R4349">
        <v>-7.6415949999999996E-2</v>
      </c>
      <c r="S4349">
        <v>-3.0670169999999999</v>
      </c>
      <c r="T4349">
        <v>-7.055235E-2</v>
      </c>
      <c r="U4349">
        <v>-7.8292849999999997E-2</v>
      </c>
      <c r="V4349">
        <v>-8.1031060000000002E-2</v>
      </c>
      <c r="W4349">
        <v>0.19243969999999999</v>
      </c>
      <c r="X4349">
        <v>0.97795750000000004</v>
      </c>
      <c r="Y4349">
        <v>-3.048437E-2</v>
      </c>
      <c r="Z4349">
        <v>-5.776202E-4</v>
      </c>
      <c r="AA4349">
        <v>0.99953510000000001</v>
      </c>
      <c r="AB4349">
        <v>23</v>
      </c>
      <c r="AC4349">
        <v>-48.020400000000002</v>
      </c>
      <c r="AD4349">
        <v>-1.1098857808839999</v>
      </c>
      <c r="AE4349">
        <v>-1.23359999999999</v>
      </c>
      <c r="AF4349">
        <v>-1.4719174319616299</v>
      </c>
      <c r="AG4349">
        <v>-1.1098857808839999</v>
      </c>
      <c r="AH4349">
        <v>47.988043539586997</v>
      </c>
      <c r="AI4349">
        <v>91.324299852873395</v>
      </c>
      <c r="AJ4349">
        <v>91.756858954487797</v>
      </c>
      <c r="AK4349">
        <v>48.023439174328303</v>
      </c>
      <c r="AL4349">
        <v>78.904803021416598</v>
      </c>
      <c r="AM4349">
        <v>94.736562290786097</v>
      </c>
      <c r="AN4349">
        <v>0.99999997131353102</v>
      </c>
    </row>
    <row r="4350" spans="1:40" x14ac:dyDescent="0.25">
      <c r="A4350" t="str">
        <f>"20190304155147589"</f>
        <v>20190304155147589</v>
      </c>
      <c r="B4350" t="str">
        <f>"1551685907581412"</f>
        <v>1551685907581412</v>
      </c>
      <c r="C4350" t="s">
        <v>40</v>
      </c>
      <c r="D4350">
        <v>4.2545489999999999</v>
      </c>
      <c r="E4350">
        <v>0.467638</v>
      </c>
      <c r="F4350" t="s">
        <v>84</v>
      </c>
      <c r="G4350">
        <v>-294.29610000000002</v>
      </c>
      <c r="H4350" s="1">
        <v>-8.6612909999999999E-6</v>
      </c>
      <c r="I4350">
        <v>140.047</v>
      </c>
      <c r="J4350">
        <v>-245.2012</v>
      </c>
      <c r="K4350">
        <v>1.1099079999999999</v>
      </c>
      <c r="L4350">
        <v>141.3049</v>
      </c>
      <c r="M4350">
        <v>-0.99992159999999997</v>
      </c>
      <c r="N4350">
        <v>-1.112587E-2</v>
      </c>
      <c r="O4350">
        <v>5.7673819999999997E-3</v>
      </c>
      <c r="P4350">
        <v>-0.98050740000000003</v>
      </c>
      <c r="Q4350">
        <v>0.18131169999999999</v>
      </c>
      <c r="R4350">
        <v>-7.5708960000000006E-2</v>
      </c>
      <c r="S4350">
        <v>-3.0666660000000001</v>
      </c>
      <c r="T4350">
        <v>-6.9018599999999999E-2</v>
      </c>
      <c r="U4350">
        <v>-7.8094479999999994E-2</v>
      </c>
      <c r="V4350">
        <v>-8.1099760000000007E-2</v>
      </c>
      <c r="W4350">
        <v>0.19231570000000001</v>
      </c>
      <c r="X4350">
        <v>0.97797619999999996</v>
      </c>
      <c r="Y4350">
        <v>-3.1210620000000001E-2</v>
      </c>
      <c r="Z4350">
        <v>-5.9041360000000001E-4</v>
      </c>
      <c r="AA4350">
        <v>0.99951270000000003</v>
      </c>
      <c r="AB4350">
        <v>23</v>
      </c>
      <c r="AC4350">
        <v>-49.094900000000003</v>
      </c>
      <c r="AD4350">
        <v>-1.1099166612910001</v>
      </c>
      <c r="AE4350">
        <v>-1.2579</v>
      </c>
      <c r="AF4350">
        <v>-1.5402588960352199</v>
      </c>
      <c r="AG4350">
        <v>-1.1099166612910001</v>
      </c>
      <c r="AH4350">
        <v>49.061768999330098</v>
      </c>
      <c r="AI4350">
        <v>91.295334356182906</v>
      </c>
      <c r="AJ4350">
        <v>91.798169120951698</v>
      </c>
      <c r="AK4350">
        <v>49.098487652935397</v>
      </c>
      <c r="AL4350">
        <v>78.912042959174599</v>
      </c>
      <c r="AM4350">
        <v>94.740469531519906</v>
      </c>
      <c r="AN4350">
        <v>0.99999997365249305</v>
      </c>
    </row>
    <row r="4351" spans="1:40" x14ac:dyDescent="0.25">
      <c r="A4351" t="str">
        <f>"20190304155147610"</f>
        <v>20190304155147610</v>
      </c>
      <c r="B4351" t="str">
        <f>"1551685907600931"</f>
        <v>1551685907600931</v>
      </c>
      <c r="C4351" t="s">
        <v>40</v>
      </c>
      <c r="D4351">
        <v>4.211017</v>
      </c>
      <c r="E4351">
        <v>0.44960430000000001</v>
      </c>
      <c r="F4351" t="s">
        <v>89</v>
      </c>
      <c r="G4351">
        <v>-382.27569999999997</v>
      </c>
      <c r="H4351">
        <v>1.3534170000000001</v>
      </c>
      <c r="I4351">
        <v>119.61960000000001</v>
      </c>
      <c r="J4351">
        <v>-245.4348</v>
      </c>
      <c r="K4351">
        <v>1.1099509999999999</v>
      </c>
      <c r="L4351">
        <v>141.3073</v>
      </c>
      <c r="M4351">
        <v>-0.99991430000000003</v>
      </c>
      <c r="N4351">
        <v>-1.1326299999999999E-2</v>
      </c>
      <c r="O4351">
        <v>6.5964589999999998E-3</v>
      </c>
      <c r="P4351">
        <v>-0.98050119999999996</v>
      </c>
      <c r="Q4351">
        <v>0.18156700000000001</v>
      </c>
      <c r="R4351">
        <v>-7.5175740000000005E-2</v>
      </c>
      <c r="S4351">
        <v>-3.021744</v>
      </c>
      <c r="T4351">
        <v>5.3681140000000002E-3</v>
      </c>
      <c r="U4351">
        <v>-0.47804259999999899</v>
      </c>
      <c r="V4351">
        <v>-8.1383910000000004E-2</v>
      </c>
      <c r="W4351">
        <v>0.19276399999999999</v>
      </c>
      <c r="X4351">
        <v>0.97786439999999997</v>
      </c>
      <c r="Y4351">
        <v>-0.16277079999999999</v>
      </c>
      <c r="Z4351">
        <v>-6.9793920000000003E-4</v>
      </c>
      <c r="AA4351">
        <v>0.98666359999999997</v>
      </c>
      <c r="AB4351">
        <v>23</v>
      </c>
      <c r="AC4351">
        <v>-136.84089999999901</v>
      </c>
      <c r="AD4351">
        <v>0.24346599999999999</v>
      </c>
      <c r="AE4351">
        <v>-21.6876999999999</v>
      </c>
      <c r="AF4351">
        <v>-22.589881434692799</v>
      </c>
      <c r="AG4351">
        <v>0.24346599999999999</v>
      </c>
      <c r="AH4351">
        <v>136.69442911117201</v>
      </c>
      <c r="AI4351">
        <v>89.899316368411903</v>
      </c>
      <c r="AJ4351">
        <v>99.383788684324401</v>
      </c>
      <c r="AK4351">
        <v>138.54865199256099</v>
      </c>
      <c r="AL4351">
        <v>78.885868271781703</v>
      </c>
      <c r="AM4351">
        <v>94.757544045156905</v>
      </c>
      <c r="AN4351">
        <v>1.0000000426451201</v>
      </c>
    </row>
    <row r="4352" spans="1:40" x14ac:dyDescent="0.25">
      <c r="A4352" t="str">
        <f>"20190304155147633"</f>
        <v>20190304155147633</v>
      </c>
      <c r="B4352" t="str">
        <f>"1551685907621427"</f>
        <v>1551685907621427</v>
      </c>
      <c r="C4352" t="s">
        <v>40</v>
      </c>
      <c r="D4352">
        <v>4.2726930000000003</v>
      </c>
      <c r="E4352">
        <v>0.4439768</v>
      </c>
      <c r="F4352" t="s">
        <v>58</v>
      </c>
      <c r="G4352">
        <v>-353.77690000000001</v>
      </c>
      <c r="H4352">
        <v>0.95017050000000003</v>
      </c>
      <c r="I4352">
        <v>119.0001</v>
      </c>
      <c r="J4352">
        <v>-245.6602</v>
      </c>
      <c r="K4352">
        <v>1.1099889999999999</v>
      </c>
      <c r="L4352">
        <v>141.3098</v>
      </c>
      <c r="M4352">
        <v>-0.99990619999999997</v>
      </c>
      <c r="N4352">
        <v>-1.152456E-2</v>
      </c>
      <c r="O4352">
        <v>7.3990940000000002E-3</v>
      </c>
      <c r="P4352">
        <v>-0.98062499999999997</v>
      </c>
      <c r="Q4352">
        <v>0.18116889999999999</v>
      </c>
      <c r="R4352">
        <v>-7.4516479999999996E-2</v>
      </c>
      <c r="S4352">
        <v>-3.0129090000000001</v>
      </c>
      <c r="T4352">
        <v>-4.4430490000000001E-3</v>
      </c>
      <c r="U4352">
        <v>-0.62034609999999901</v>
      </c>
      <c r="V4352">
        <v>-8.1518770000000004E-2</v>
      </c>
      <c r="W4352">
        <v>0.19255810000000001</v>
      </c>
      <c r="X4352">
        <v>0.97789369999999998</v>
      </c>
      <c r="Y4352">
        <v>-0.20890539999999999</v>
      </c>
      <c r="Z4352">
        <v>-1.2951729999999999E-3</v>
      </c>
      <c r="AA4352">
        <v>0.977935</v>
      </c>
      <c r="AB4352">
        <v>23</v>
      </c>
      <c r="AC4352">
        <v>-108.11669999999999</v>
      </c>
      <c r="AD4352">
        <v>-0.159818499999999</v>
      </c>
      <c r="AE4352">
        <v>-22.3096999999999</v>
      </c>
      <c r="AF4352">
        <v>-23.109059554582</v>
      </c>
      <c r="AG4352">
        <v>-0.159818499999999</v>
      </c>
      <c r="AH4352">
        <v>107.94843127964999</v>
      </c>
      <c r="AI4352">
        <v>90.082947421477797</v>
      </c>
      <c r="AJ4352">
        <v>102.08321313309</v>
      </c>
      <c r="AK4352">
        <v>110.39437481677901</v>
      </c>
      <c r="AL4352">
        <v>78.897890342524605</v>
      </c>
      <c r="AM4352">
        <v>94.765249294975803</v>
      </c>
      <c r="AN4352">
        <v>1.0000000101188</v>
      </c>
    </row>
    <row r="4353" spans="1:40" x14ac:dyDescent="0.25">
      <c r="A4353" t="str">
        <f>"20190304155147654"</f>
        <v>20190304155147654</v>
      </c>
      <c r="B4353" t="str">
        <f>"1551685907651683"</f>
        <v>1551685907651683</v>
      </c>
      <c r="C4353" t="s">
        <v>40</v>
      </c>
      <c r="D4353">
        <v>4.2385529999999996</v>
      </c>
      <c r="E4353">
        <v>0.44113010000000002</v>
      </c>
      <c r="F4353" t="s">
        <v>58</v>
      </c>
      <c r="G4353">
        <v>-345.36520000000002</v>
      </c>
      <c r="H4353">
        <v>0.7539285</v>
      </c>
      <c r="I4353">
        <v>119.3353</v>
      </c>
      <c r="J4353">
        <v>-245.88740000000001</v>
      </c>
      <c r="K4353">
        <v>1.110034</v>
      </c>
      <c r="L4353">
        <v>141.3124</v>
      </c>
      <c r="M4353">
        <v>-0.99989749999999999</v>
      </c>
      <c r="N4353">
        <v>-1.1732680000000001E-2</v>
      </c>
      <c r="O4353">
        <v>8.208112E-3</v>
      </c>
      <c r="P4353">
        <v>-0.98074070000000002</v>
      </c>
      <c r="Q4353">
        <v>0.18075579999999999</v>
      </c>
      <c r="R4353">
        <v>-7.3995130000000006E-2</v>
      </c>
      <c r="S4353">
        <v>-3.0108489999999999</v>
      </c>
      <c r="T4353">
        <v>-1.0751719999999999E-2</v>
      </c>
      <c r="U4353">
        <v>-0.663574199999999</v>
      </c>
      <c r="V4353">
        <v>-8.1796389999999997E-2</v>
      </c>
      <c r="W4353">
        <v>0.1923475</v>
      </c>
      <c r="X4353">
        <v>0.97791189999999995</v>
      </c>
      <c r="Y4353">
        <v>-0.22323180000000001</v>
      </c>
      <c r="Z4353">
        <v>-1.6528230000000001E-3</v>
      </c>
      <c r="AA4353">
        <v>0.97476399999999996</v>
      </c>
      <c r="AB4353">
        <v>23</v>
      </c>
      <c r="AC4353">
        <v>-99.477800000000002</v>
      </c>
      <c r="AD4353">
        <v>-0.35610550000000002</v>
      </c>
      <c r="AE4353">
        <v>-21.9771</v>
      </c>
      <c r="AF4353">
        <v>-22.792662179708898</v>
      </c>
      <c r="AG4353">
        <v>-0.35610550000000002</v>
      </c>
      <c r="AH4353">
        <v>99.292832321399501</v>
      </c>
      <c r="AI4353">
        <v>90.200276846121596</v>
      </c>
      <c r="AJ4353">
        <v>102.92827030609899</v>
      </c>
      <c r="AK4353">
        <v>101.87589906730101</v>
      </c>
      <c r="AL4353">
        <v>78.910185991859095</v>
      </c>
      <c r="AM4353">
        <v>94.781314121442705</v>
      </c>
      <c r="AN4353">
        <v>0.999999947167444</v>
      </c>
    </row>
    <row r="4354" spans="1:40" x14ac:dyDescent="0.25">
      <c r="A4354" t="str">
        <f>"20190304155147677"</f>
        <v>20190304155147677</v>
      </c>
      <c r="B4354" t="str">
        <f>"1551685907671203"</f>
        <v>1551685907671203</v>
      </c>
      <c r="C4354" t="s">
        <v>40</v>
      </c>
      <c r="D4354">
        <v>4.2414370000000003</v>
      </c>
      <c r="E4354">
        <v>0.4397488</v>
      </c>
      <c r="F4354" t="s">
        <v>58</v>
      </c>
      <c r="G4354">
        <v>-343.90129999999999</v>
      </c>
      <c r="H4354">
        <v>0.55212220000000001</v>
      </c>
      <c r="I4354">
        <v>118.9999</v>
      </c>
      <c r="J4354">
        <v>-246.11760000000001</v>
      </c>
      <c r="K4354">
        <v>1.1100730000000001</v>
      </c>
      <c r="L4354">
        <v>141.3152</v>
      </c>
      <c r="M4354">
        <v>-0.999888</v>
      </c>
      <c r="N4354">
        <v>-1.19493E-2</v>
      </c>
      <c r="O4354">
        <v>9.0246189999999993E-3</v>
      </c>
      <c r="P4354">
        <v>-0.98081390000000002</v>
      </c>
      <c r="Q4354">
        <v>0.18065210000000001</v>
      </c>
      <c r="R4354">
        <v>-7.3272379999999998E-2</v>
      </c>
      <c r="S4354">
        <v>-3.0103909999999998</v>
      </c>
      <c r="T4354">
        <v>-1.713514E-2</v>
      </c>
      <c r="U4354">
        <v>-0.68530269999999904</v>
      </c>
      <c r="V4354">
        <v>-8.1878110000000004E-2</v>
      </c>
      <c r="W4354">
        <v>0.19245470000000001</v>
      </c>
      <c r="X4354">
        <v>0.97788410000000003</v>
      </c>
      <c r="Y4354">
        <v>-0.23074639999999999</v>
      </c>
      <c r="Z4354">
        <v>-1.988807E-3</v>
      </c>
      <c r="AA4354">
        <v>0.97301190000000004</v>
      </c>
      <c r="AB4354">
        <v>23</v>
      </c>
      <c r="AC4354">
        <v>-97.783699999999897</v>
      </c>
      <c r="AD4354">
        <v>-0.55795079999999897</v>
      </c>
      <c r="AE4354">
        <v>-22.315300000000001</v>
      </c>
      <c r="AF4354">
        <v>-23.196196830724599</v>
      </c>
      <c r="AG4354">
        <v>-0.55795079999999897</v>
      </c>
      <c r="AH4354">
        <v>97.575296377107193</v>
      </c>
      <c r="AI4354">
        <v>90.318740030150806</v>
      </c>
      <c r="AJ4354">
        <v>103.372481898526</v>
      </c>
      <c r="AK4354">
        <v>100.296128138554</v>
      </c>
      <c r="AL4354">
        <v>78.903928375714898</v>
      </c>
      <c r="AM4354">
        <v>94.786204221059407</v>
      </c>
      <c r="AN4354">
        <v>1.00000007474103</v>
      </c>
    </row>
    <row r="4355" spans="1:40" x14ac:dyDescent="0.25">
      <c r="A4355" t="str">
        <f>"20190304155147700"</f>
        <v>20190304155147700</v>
      </c>
      <c r="B4355" t="str">
        <f>"1551685907691702"</f>
        <v>1551685907691702</v>
      </c>
      <c r="C4355" t="s">
        <v>40</v>
      </c>
      <c r="D4355">
        <v>4.2430750000000002</v>
      </c>
      <c r="E4355">
        <v>0.43957059999999998</v>
      </c>
      <c r="F4355" t="s">
        <v>58</v>
      </c>
      <c r="G4355">
        <v>-342.83580000000001</v>
      </c>
      <c r="H4355">
        <v>0.49141089999999998</v>
      </c>
      <c r="I4355">
        <v>118.9999</v>
      </c>
      <c r="J4355">
        <v>-246.35120000000001</v>
      </c>
      <c r="K4355">
        <v>1.1101019999999999</v>
      </c>
      <c r="L4355">
        <v>141.3184</v>
      </c>
      <c r="M4355">
        <v>-0.99987760000000003</v>
      </c>
      <c r="N4355">
        <v>-1.215872E-2</v>
      </c>
      <c r="O4355">
        <v>9.8492990000000006E-3</v>
      </c>
      <c r="P4355">
        <v>-0.98089440000000006</v>
      </c>
      <c r="Q4355">
        <v>0.18052750000000001</v>
      </c>
      <c r="R4355">
        <v>-7.2499449999999993E-2</v>
      </c>
      <c r="S4355">
        <v>-3.0103610000000001</v>
      </c>
      <c r="T4355">
        <v>-1.9255520000000002E-2</v>
      </c>
      <c r="U4355">
        <v>-0.69456479999999998</v>
      </c>
      <c r="V4355">
        <v>-8.191503E-2</v>
      </c>
      <c r="W4355">
        <v>0.1925346</v>
      </c>
      <c r="X4355">
        <v>0.97786519999999999</v>
      </c>
      <c r="Y4355">
        <v>-0.2343914</v>
      </c>
      <c r="Z4355">
        <v>-2.1274499999999999E-3</v>
      </c>
      <c r="AA4355">
        <v>0.97214</v>
      </c>
      <c r="AB4355">
        <v>23</v>
      </c>
      <c r="AC4355">
        <v>-96.4846</v>
      </c>
      <c r="AD4355">
        <v>-0.61869110000000005</v>
      </c>
      <c r="AE4355">
        <v>-22.3185</v>
      </c>
      <c r="AF4355">
        <v>-23.266885070630899</v>
      </c>
      <c r="AG4355">
        <v>-0.61869110000000005</v>
      </c>
      <c r="AH4355">
        <v>96.256324602502701</v>
      </c>
      <c r="AI4355">
        <v>90.357957116247405</v>
      </c>
      <c r="AJ4355">
        <v>103.58876938919801</v>
      </c>
      <c r="AK4355">
        <v>99.030352647809593</v>
      </c>
      <c r="AL4355">
        <v>78.899262319600197</v>
      </c>
      <c r="AM4355">
        <v>94.788444473743695</v>
      </c>
      <c r="AN4355">
        <v>0.99999999685405006</v>
      </c>
    </row>
    <row r="4356" spans="1:40" x14ac:dyDescent="0.25">
      <c r="A4356" t="str">
        <f>"20190304155147721"</f>
        <v>20190304155147721</v>
      </c>
      <c r="B4356" t="str">
        <f>"1551685907711219"</f>
        <v>1551685907711219</v>
      </c>
      <c r="C4356" t="s">
        <v>40</v>
      </c>
      <c r="D4356">
        <v>4.0961730000000003</v>
      </c>
      <c r="E4356">
        <v>0.43915799999999999</v>
      </c>
      <c r="F4356" t="s">
        <v>58</v>
      </c>
      <c r="G4356">
        <v>-343.16660000000002</v>
      </c>
      <c r="H4356">
        <v>0.2642813</v>
      </c>
      <c r="I4356">
        <v>118.99979999999999</v>
      </c>
      <c r="J4356">
        <v>-246.5812</v>
      </c>
      <c r="K4356">
        <v>1.110125</v>
      </c>
      <c r="L4356">
        <v>141.32159999999999</v>
      </c>
      <c r="M4356">
        <v>-0.99986710000000001</v>
      </c>
      <c r="N4356">
        <v>-1.234506E-2</v>
      </c>
      <c r="O4356">
        <v>1.0659160000000001E-2</v>
      </c>
      <c r="P4356">
        <v>-0.98099780000000003</v>
      </c>
      <c r="Q4356">
        <v>0.1803042</v>
      </c>
      <c r="R4356">
        <v>-7.1654979999999993E-2</v>
      </c>
      <c r="S4356">
        <v>-3.0119630000000002</v>
      </c>
      <c r="T4356">
        <v>-2.6313420000000001E-2</v>
      </c>
      <c r="U4356">
        <v>-0.69433590000000001</v>
      </c>
      <c r="V4356">
        <v>-8.186533E-2</v>
      </c>
      <c r="W4356">
        <v>0.19249440000000001</v>
      </c>
      <c r="X4356">
        <v>0.97787729999999995</v>
      </c>
      <c r="Y4356">
        <v>-0.234988</v>
      </c>
      <c r="Z4356">
        <v>-2.4446139999999999E-3</v>
      </c>
      <c r="AA4356">
        <v>0.97199519999999995</v>
      </c>
      <c r="AB4356">
        <v>23</v>
      </c>
      <c r="AC4356">
        <v>-96.585400000000007</v>
      </c>
      <c r="AD4356">
        <v>-0.84584369999999998</v>
      </c>
      <c r="AE4356">
        <v>-22.3218</v>
      </c>
      <c r="AF4356">
        <v>-23.348429390222901</v>
      </c>
      <c r="AG4356">
        <v>-0.84584369999999998</v>
      </c>
      <c r="AH4356">
        <v>96.334948728535494</v>
      </c>
      <c r="AI4356">
        <v>90.488903673443502</v>
      </c>
      <c r="AJ4356">
        <v>103.62390659806</v>
      </c>
      <c r="AK4356">
        <v>99.127629614979796</v>
      </c>
      <c r="AL4356">
        <v>78.901609777249703</v>
      </c>
      <c r="AM4356">
        <v>94.785493755625296</v>
      </c>
      <c r="AN4356">
        <v>1.0000000200713199</v>
      </c>
    </row>
    <row r="4357" spans="1:40" x14ac:dyDescent="0.25">
      <c r="A4357" t="str">
        <f>"20190304155147746"</f>
        <v>20190304155147746</v>
      </c>
      <c r="B4357" t="str">
        <f>"1551685907741475"</f>
        <v>1551685907741475</v>
      </c>
      <c r="C4357" t="s">
        <v>40</v>
      </c>
      <c r="D4357">
        <v>4.2860420000000001</v>
      </c>
      <c r="E4357">
        <v>0.43826910000000002</v>
      </c>
      <c r="F4357" t="s">
        <v>58</v>
      </c>
      <c r="G4357">
        <v>-343.33819999999997</v>
      </c>
      <c r="H4357">
        <v>2.5319089999999999E-2</v>
      </c>
      <c r="I4357">
        <v>118.99979999999999</v>
      </c>
      <c r="J4357">
        <v>-246.82079999999999</v>
      </c>
      <c r="K4357">
        <v>1.110142</v>
      </c>
      <c r="L4357">
        <v>141.32509999999999</v>
      </c>
      <c r="M4357">
        <v>-0.99985559999999996</v>
      </c>
      <c r="N4357">
        <v>-1.2519489999999999E-2</v>
      </c>
      <c r="O4357">
        <v>1.149789E-2</v>
      </c>
      <c r="P4357">
        <v>-0.98101050000000001</v>
      </c>
      <c r="Q4357">
        <v>0.18059020000000001</v>
      </c>
      <c r="R4357">
        <v>-7.0753079999999996E-2</v>
      </c>
      <c r="S4357">
        <v>-3.0135350000000001</v>
      </c>
      <c r="T4357">
        <v>-3.3786299999999998E-2</v>
      </c>
      <c r="U4357">
        <v>-0.69522090000000003</v>
      </c>
      <c r="V4357">
        <v>-8.1786070000000002E-2</v>
      </c>
      <c r="W4357">
        <v>0.19295019999999999</v>
      </c>
      <c r="X4357">
        <v>0.9777941</v>
      </c>
      <c r="Y4357">
        <v>-0.235954</v>
      </c>
      <c r="Z4357">
        <v>-2.7870600000000001E-3</v>
      </c>
      <c r="AA4357">
        <v>0.97176019999999996</v>
      </c>
      <c r="AB4357">
        <v>23</v>
      </c>
      <c r="AC4357">
        <v>-96.517399999999895</v>
      </c>
      <c r="AD4357">
        <v>-1.08482291</v>
      </c>
      <c r="AE4357">
        <v>-22.325299999999999</v>
      </c>
      <c r="AF4357">
        <v>-23.4308476504415</v>
      </c>
      <c r="AG4357">
        <v>-1.08482291</v>
      </c>
      <c r="AH4357">
        <v>96.242764107394393</v>
      </c>
      <c r="AI4357">
        <v>90.627469408626297</v>
      </c>
      <c r="AJ4357">
        <v>103.682798402109</v>
      </c>
      <c r="AK4357">
        <v>99.059835985104598</v>
      </c>
      <c r="AL4357">
        <v>78.874995446753303</v>
      </c>
      <c r="AM4357">
        <v>94.781286961579298</v>
      </c>
      <c r="AN4357">
        <v>1.0000000214604401</v>
      </c>
    </row>
    <row r="4358" spans="1:40" x14ac:dyDescent="0.25">
      <c r="A4358" t="str">
        <f>"20190304155147769"</f>
        <v>20190304155147769</v>
      </c>
      <c r="B4358" t="str">
        <f>"1551685907760995"</f>
        <v>1551685907760995</v>
      </c>
      <c r="C4358" t="s">
        <v>40</v>
      </c>
      <c r="D4358">
        <v>4.3411530000000003</v>
      </c>
      <c r="E4358">
        <v>0.43797829999999899</v>
      </c>
      <c r="F4358" t="s">
        <v>58</v>
      </c>
      <c r="G4358">
        <v>-342.97809999999998</v>
      </c>
      <c r="H4358">
        <v>6.4048140000000003E-2</v>
      </c>
      <c r="I4358">
        <v>118.99979999999999</v>
      </c>
      <c r="J4358">
        <v>-247.06</v>
      </c>
      <c r="K4358">
        <v>1.110161</v>
      </c>
      <c r="L4358">
        <v>141.3289</v>
      </c>
      <c r="M4358">
        <v>-0.99984379999999995</v>
      </c>
      <c r="N4358">
        <v>-1.2675830000000001E-2</v>
      </c>
      <c r="O4358">
        <v>1.232364E-2</v>
      </c>
      <c r="P4358">
        <v>-0.98092559999999995</v>
      </c>
      <c r="Q4358">
        <v>0.18151719999999999</v>
      </c>
      <c r="R4358">
        <v>-6.9548840000000001E-2</v>
      </c>
      <c r="S4358">
        <v>-3.0136409999999998</v>
      </c>
      <c r="T4358">
        <v>-3.2784939999999999E-2</v>
      </c>
      <c r="U4358">
        <v>-0.69969179999999997</v>
      </c>
      <c r="V4358">
        <v>-8.1392210000000006E-2</v>
      </c>
      <c r="W4358">
        <v>0.19402620000000001</v>
      </c>
      <c r="X4358">
        <v>0.97761399999999998</v>
      </c>
      <c r="Y4358">
        <v>-0.23811760000000001</v>
      </c>
      <c r="Z4358">
        <v>-2.7855509999999998E-3</v>
      </c>
      <c r="AA4358">
        <v>0.9712324</v>
      </c>
      <c r="AB4358">
        <v>23</v>
      </c>
      <c r="AC4358">
        <v>-95.918099999999896</v>
      </c>
      <c r="AD4358">
        <v>-1.04611286</v>
      </c>
      <c r="AE4358">
        <v>-22.3291</v>
      </c>
      <c r="AF4358">
        <v>-23.506906733948998</v>
      </c>
      <c r="AG4358">
        <v>-1.04611286</v>
      </c>
      <c r="AH4358">
        <v>95.624827405705105</v>
      </c>
      <c r="AI4358">
        <v>90.608657886075207</v>
      </c>
      <c r="AJ4358">
        <v>103.810846983338</v>
      </c>
      <c r="AK4358">
        <v>98.477289933696497</v>
      </c>
      <c r="AL4358">
        <v>78.812157422899602</v>
      </c>
      <c r="AM4358">
        <v>94.759240113705502</v>
      </c>
      <c r="AN4358">
        <v>0.99999999556556196</v>
      </c>
    </row>
    <row r="4359" spans="1:40" x14ac:dyDescent="0.25">
      <c r="A4359" t="str">
        <f>"20190304155147789"</f>
        <v>20190304155147789</v>
      </c>
      <c r="B4359" t="str">
        <f>"1551685907781491"</f>
        <v>1551685907781491</v>
      </c>
      <c r="C4359" t="s">
        <v>40</v>
      </c>
      <c r="D4359">
        <v>4.6724699999999997</v>
      </c>
      <c r="E4359">
        <v>0.43799300000000002</v>
      </c>
      <c r="F4359" t="s">
        <v>58</v>
      </c>
      <c r="G4359">
        <v>-343.46230000000003</v>
      </c>
      <c r="H4359">
        <v>7.476592E-2</v>
      </c>
      <c r="I4359">
        <v>118.99979999999999</v>
      </c>
      <c r="J4359">
        <v>-247.2653</v>
      </c>
      <c r="K4359">
        <v>1.1101829999999999</v>
      </c>
      <c r="L4359">
        <v>141.3322</v>
      </c>
      <c r="M4359">
        <v>-0.99983350000000004</v>
      </c>
      <c r="N4359">
        <v>-1.2796149999999999E-2</v>
      </c>
      <c r="O4359">
        <v>1.301677E-2</v>
      </c>
      <c r="P4359">
        <v>-0.98101709999999998</v>
      </c>
      <c r="Q4359">
        <v>0.18169859999999999</v>
      </c>
      <c r="R4359">
        <v>-6.7761089999999996E-2</v>
      </c>
      <c r="S4359">
        <v>-3.0148160000000002</v>
      </c>
      <c r="T4359">
        <v>-3.2379749999999999E-2</v>
      </c>
      <c r="U4359">
        <v>-0.69830319999999901</v>
      </c>
      <c r="V4359">
        <v>-8.0290929999999996E-2</v>
      </c>
      <c r="W4359">
        <v>0.19432179999999999</v>
      </c>
      <c r="X4359">
        <v>0.97764640000000003</v>
      </c>
      <c r="Y4359">
        <v>-0.23828340000000001</v>
      </c>
      <c r="Z4359">
        <v>-2.781169E-3</v>
      </c>
      <c r="AA4359">
        <v>0.97119169999999999</v>
      </c>
      <c r="AB4359">
        <v>23</v>
      </c>
      <c r="AC4359">
        <v>-96.197000000000003</v>
      </c>
      <c r="AD4359">
        <v>-1.03541708</v>
      </c>
      <c r="AE4359">
        <v>-22.3324</v>
      </c>
      <c r="AF4359">
        <v>-23.580192139702799</v>
      </c>
      <c r="AG4359">
        <v>-1.03541708</v>
      </c>
      <c r="AH4359">
        <v>95.8875884244828</v>
      </c>
      <c r="AI4359">
        <v>90.600771881523002</v>
      </c>
      <c r="AJ4359">
        <v>103.815744850736</v>
      </c>
      <c r="AK4359">
        <v>98.749821082054893</v>
      </c>
      <c r="AL4359">
        <v>78.794892680484296</v>
      </c>
      <c r="AM4359">
        <v>94.694980003921998</v>
      </c>
      <c r="AN4359">
        <v>1.0000000394142301</v>
      </c>
    </row>
    <row r="4360" spans="1:40" x14ac:dyDescent="0.25">
      <c r="A4360" t="str">
        <f>"20190304155147812"</f>
        <v>20190304155147812</v>
      </c>
      <c r="B4360" t="str">
        <f>"1551685907801011"</f>
        <v>1551685907801011</v>
      </c>
      <c r="C4360" t="s">
        <v>40</v>
      </c>
      <c r="D4360">
        <v>4.4531239999999999</v>
      </c>
      <c r="E4360">
        <v>0.49920710000000001</v>
      </c>
      <c r="F4360" t="s">
        <v>58</v>
      </c>
      <c r="G4360">
        <v>-344.44740000000002</v>
      </c>
      <c r="H4360">
        <v>0.17574189999999901</v>
      </c>
      <c r="I4360">
        <v>118.99979999999999</v>
      </c>
      <c r="J4360">
        <v>-247.49770000000001</v>
      </c>
      <c r="K4360">
        <v>1.1102069999999999</v>
      </c>
      <c r="L4360">
        <v>141.33619999999999</v>
      </c>
      <c r="M4360">
        <v>-0.99982159999999998</v>
      </c>
      <c r="N4360">
        <v>-1.291602E-2</v>
      </c>
      <c r="O4360">
        <v>1.378214E-2</v>
      </c>
      <c r="P4360">
        <v>-0.98121860000000005</v>
      </c>
      <c r="Q4360">
        <v>0.1812271</v>
      </c>
      <c r="R4360">
        <v>-6.6082479999999999E-2</v>
      </c>
      <c r="S4360">
        <v>-3.0155789999999998</v>
      </c>
      <c r="T4360">
        <v>-2.8995509999999999E-2</v>
      </c>
      <c r="U4360">
        <v>-0.69297790000000004</v>
      </c>
      <c r="V4360">
        <v>-7.9375470000000004E-2</v>
      </c>
      <c r="W4360">
        <v>0.1939649</v>
      </c>
      <c r="X4360">
        <v>0.97779199999999999</v>
      </c>
      <c r="Y4360">
        <v>-0.23734849999999999</v>
      </c>
      <c r="Z4360">
        <v>-2.6342370000000002E-3</v>
      </c>
      <c r="AA4360">
        <v>0.97142099999999998</v>
      </c>
      <c r="AB4360">
        <v>23</v>
      </c>
      <c r="AC4360">
        <v>-96.949700000000007</v>
      </c>
      <c r="AD4360">
        <v>-0.93446510000000005</v>
      </c>
      <c r="AE4360">
        <v>-22.336400000000001</v>
      </c>
      <c r="AF4360">
        <v>-23.668475922553601</v>
      </c>
      <c r="AG4360">
        <v>-0.93446510000000005</v>
      </c>
      <c r="AH4360">
        <v>96.624097013065494</v>
      </c>
      <c r="AI4360">
        <v>90.538188040449498</v>
      </c>
      <c r="AJ4360">
        <v>103.763823730282</v>
      </c>
      <c r="AK4360">
        <v>99.485104920836903</v>
      </c>
      <c r="AL4360">
        <v>78.815737963698993</v>
      </c>
      <c r="AM4360">
        <v>94.6409959380034</v>
      </c>
      <c r="AN4360">
        <v>1.0000000214668601</v>
      </c>
    </row>
    <row r="4361" spans="1:40" x14ac:dyDescent="0.25">
      <c r="A4361" t="str">
        <f>"20190304155147834"</f>
        <v>20190304155147834</v>
      </c>
      <c r="B4361" t="str">
        <f>"1551685907831267"</f>
        <v>1551685907831267</v>
      </c>
      <c r="C4361" t="s">
        <v>40</v>
      </c>
      <c r="D4361">
        <v>4.5199870000000004</v>
      </c>
      <c r="E4361">
        <v>0.51052909999999996</v>
      </c>
      <c r="F4361" t="s">
        <v>53</v>
      </c>
      <c r="G4361">
        <v>0</v>
      </c>
      <c r="H4361">
        <v>0</v>
      </c>
      <c r="I4361">
        <v>0</v>
      </c>
      <c r="J4361">
        <v>-247.72059999999999</v>
      </c>
      <c r="K4361">
        <v>1.110223</v>
      </c>
      <c r="L4361">
        <v>141.34010000000001</v>
      </c>
      <c r="M4361">
        <v>-0.99981039999999999</v>
      </c>
      <c r="N4361">
        <v>-1.3016420000000001E-2</v>
      </c>
      <c r="O4361">
        <v>1.448606E-2</v>
      </c>
      <c r="P4361">
        <v>-0.98155709999999996</v>
      </c>
      <c r="Q4361">
        <v>0.1800264</v>
      </c>
      <c r="R4361">
        <v>-6.4315040000000004E-2</v>
      </c>
      <c r="S4361">
        <v>-3.0419160000000001</v>
      </c>
      <c r="T4361">
        <v>1.066339E-2</v>
      </c>
      <c r="U4361">
        <v>-0.2012787</v>
      </c>
      <c r="V4361">
        <v>-7.8315270000000006E-2</v>
      </c>
      <c r="W4361">
        <v>0.1928608</v>
      </c>
      <c r="X4361">
        <v>0.97809579999999996</v>
      </c>
      <c r="Y4361">
        <v>-8.0472130000000003E-2</v>
      </c>
      <c r="Z4361">
        <v>-1.443588E-4</v>
      </c>
      <c r="AA4361">
        <v>0.99675689999999995</v>
      </c>
      <c r="AB4361">
        <v>23</v>
      </c>
      <c r="AC4361">
        <v>-3.0419160000000001</v>
      </c>
      <c r="AD4361">
        <v>1.066339E-2</v>
      </c>
      <c r="AE4361">
        <v>-0.2012787</v>
      </c>
      <c r="AF4361">
        <v>-0.245323683755064</v>
      </c>
      <c r="AG4361">
        <v>1.066339E-2</v>
      </c>
      <c r="AH4361">
        <v>3.0386436027806001</v>
      </c>
      <c r="AI4361">
        <v>89.799587133561502</v>
      </c>
      <c r="AJ4361">
        <v>94.615740779227295</v>
      </c>
      <c r="AK4361">
        <v>3.0485492225674999</v>
      </c>
      <c r="AL4361">
        <v>78.8802152940833</v>
      </c>
      <c r="AM4361">
        <v>94.577856338981206</v>
      </c>
      <c r="AN4361">
        <v>0.99999998183472605</v>
      </c>
    </row>
    <row r="4362" spans="1:40" x14ac:dyDescent="0.25">
      <c r="A4362" t="str">
        <f>"20190304155147855"</f>
        <v>20190304155147855</v>
      </c>
      <c r="B4362" t="str">
        <f>"1551685907850787"</f>
        <v>1551685907850787</v>
      </c>
      <c r="C4362" t="s">
        <v>40</v>
      </c>
      <c r="D4362">
        <v>4.5186089999999997</v>
      </c>
      <c r="E4362">
        <v>0.51333490000000004</v>
      </c>
      <c r="F4362" t="s">
        <v>84</v>
      </c>
      <c r="G4362">
        <v>-433.63080000000002</v>
      </c>
      <c r="H4362" s="1">
        <v>-7.9625969999999906E-6</v>
      </c>
      <c r="I4362">
        <v>134.89490000000001</v>
      </c>
      <c r="J4362">
        <v>-247.94200000000001</v>
      </c>
      <c r="K4362">
        <v>1.110249</v>
      </c>
      <c r="L4362">
        <v>141.3441</v>
      </c>
      <c r="M4362">
        <v>-0.9997994</v>
      </c>
      <c r="N4362">
        <v>-1.3103760000000001E-2</v>
      </c>
      <c r="O4362">
        <v>1.514456E-2</v>
      </c>
      <c r="P4362">
        <v>-0.98178399999999999</v>
      </c>
      <c r="Q4362">
        <v>0.17939829999999901</v>
      </c>
      <c r="R4362">
        <v>-6.2582719999999994E-2</v>
      </c>
      <c r="S4362">
        <v>-3.0527799999999998</v>
      </c>
      <c r="T4362">
        <v>-1.8230799999999998E-2</v>
      </c>
      <c r="U4362">
        <v>-0.105834999999999</v>
      </c>
      <c r="V4362">
        <v>-7.7245830000000001E-2</v>
      </c>
      <c r="W4362">
        <v>0.19231480000000001</v>
      </c>
      <c r="X4362">
        <v>0.97828839999999995</v>
      </c>
      <c r="Y4362">
        <v>-4.9777139999999997E-2</v>
      </c>
      <c r="Z4362">
        <v>-3.6686269999999999E-4</v>
      </c>
      <c r="AA4362">
        <v>0.99876030000000005</v>
      </c>
      <c r="AB4362">
        <v>23</v>
      </c>
      <c r="AC4362">
        <v>-185.68879999999999</v>
      </c>
      <c r="AD4362">
        <v>-1.110256962597</v>
      </c>
      <c r="AE4362">
        <v>-6.4491999999999896</v>
      </c>
      <c r="AF4362">
        <v>-9.2605463511450292</v>
      </c>
      <c r="AG4362">
        <v>-1.110256962597</v>
      </c>
      <c r="AH4362">
        <v>185.56319596932599</v>
      </c>
      <c r="AI4362">
        <v>90.342380473343795</v>
      </c>
      <c r="AJ4362">
        <v>92.856980312498294</v>
      </c>
      <c r="AK4362">
        <v>185.79744370576</v>
      </c>
      <c r="AL4362">
        <v>78.912096330547897</v>
      </c>
      <c r="AM4362">
        <v>94.514718067243095</v>
      </c>
      <c r="AN4362">
        <v>1.0000000470629899</v>
      </c>
    </row>
    <row r="4363" spans="1:40" x14ac:dyDescent="0.25">
      <c r="A4363" t="str">
        <f>"20190304155147878"</f>
        <v>20190304155147878</v>
      </c>
      <c r="B4363" t="str">
        <f>"1551685907871283"</f>
        <v>1551685907871283</v>
      </c>
      <c r="C4363" t="s">
        <v>40</v>
      </c>
      <c r="D4363">
        <v>4.5335779999999897</v>
      </c>
      <c r="E4363">
        <v>0.51476250000000001</v>
      </c>
      <c r="F4363" t="s">
        <v>41</v>
      </c>
      <c r="G4363">
        <v>-377.28320000000002</v>
      </c>
      <c r="H4363" s="1">
        <v>-1.424504E-6</v>
      </c>
      <c r="I4363">
        <v>138.0564</v>
      </c>
      <c r="J4363">
        <v>-248.17310000000001</v>
      </c>
      <c r="K4363">
        <v>1.1102909999999999</v>
      </c>
      <c r="L4363">
        <v>141.3484</v>
      </c>
      <c r="M4363">
        <v>-0.99978860000000003</v>
      </c>
      <c r="N4363">
        <v>-1.3183220000000001E-2</v>
      </c>
      <c r="O4363">
        <v>1.5775620000000001E-2</v>
      </c>
      <c r="P4363">
        <v>-0.98205489999999995</v>
      </c>
      <c r="Q4363">
        <v>0.17842930000000001</v>
      </c>
      <c r="R4363">
        <v>-6.1082659999999997E-2</v>
      </c>
      <c r="S4363">
        <v>-3.0555270000000001</v>
      </c>
      <c r="T4363">
        <v>-2.6228310000000001E-2</v>
      </c>
      <c r="U4363">
        <v>-7.7667239999999999E-2</v>
      </c>
      <c r="V4363">
        <v>-7.6386629999999997E-2</v>
      </c>
      <c r="W4363">
        <v>0.19141900000000001</v>
      </c>
      <c r="X4363">
        <v>0.9785315</v>
      </c>
      <c r="Y4363">
        <v>-4.1175129999999997E-2</v>
      </c>
      <c r="Z4363">
        <v>-3.7561570000000001E-4</v>
      </c>
      <c r="AA4363">
        <v>0.99915189999999998</v>
      </c>
      <c r="AB4363">
        <v>23</v>
      </c>
      <c r="AC4363">
        <v>-129.11009999999999</v>
      </c>
      <c r="AD4363">
        <v>-1.110292424504</v>
      </c>
      <c r="AE4363">
        <v>-3.2919999999999998</v>
      </c>
      <c r="AF4363">
        <v>-5.3281654692201998</v>
      </c>
      <c r="AG4363">
        <v>-1.110292424504</v>
      </c>
      <c r="AH4363">
        <v>129.032556409216</v>
      </c>
      <c r="AI4363">
        <v>90.492583725416495</v>
      </c>
      <c r="AJ4363">
        <v>92.364581972040696</v>
      </c>
      <c r="AK4363">
        <v>129.147290757619</v>
      </c>
      <c r="AL4363">
        <v>78.964393259481696</v>
      </c>
      <c r="AM4363">
        <v>94.463600642154702</v>
      </c>
      <c r="AN4363">
        <v>1.000000023648</v>
      </c>
    </row>
    <row r="4364" spans="1:40" x14ac:dyDescent="0.25">
      <c r="A4364" t="str">
        <f>"20190304155147901"</f>
        <v>20190304155147901</v>
      </c>
      <c r="B4364" t="str">
        <f>"1551685907890807"</f>
        <v>1551685907890807</v>
      </c>
      <c r="C4364" t="s">
        <v>40</v>
      </c>
      <c r="D4364">
        <v>4.5940149999999997</v>
      </c>
      <c r="E4364">
        <v>0.5154244</v>
      </c>
      <c r="F4364" t="s">
        <v>41</v>
      </c>
      <c r="G4364">
        <v>-349.56099999999998</v>
      </c>
      <c r="H4364" s="1">
        <v>-2.256292E-7</v>
      </c>
      <c r="I4364">
        <v>139.3064</v>
      </c>
      <c r="J4364">
        <v>-248.4075</v>
      </c>
      <c r="K4364">
        <v>1.11032999999999</v>
      </c>
      <c r="L4364">
        <v>141.3528</v>
      </c>
      <c r="M4364">
        <v>-0.99977859999999996</v>
      </c>
      <c r="N4364">
        <v>-1.3252979999999999E-2</v>
      </c>
      <c r="O4364">
        <v>1.6347779999999999E-2</v>
      </c>
      <c r="P4364">
        <v>-0.98226630000000004</v>
      </c>
      <c r="Q4364">
        <v>0.17766709999999999</v>
      </c>
      <c r="R4364">
        <v>-5.9895700000000003E-2</v>
      </c>
      <c r="S4364">
        <v>-3.057083</v>
      </c>
      <c r="T4364">
        <v>-3.3477899999999998E-2</v>
      </c>
      <c r="U4364">
        <v>-6.1569209999999999E-2</v>
      </c>
      <c r="V4364">
        <v>-7.5786350000000002E-2</v>
      </c>
      <c r="W4364">
        <v>0.19071930000000001</v>
      </c>
      <c r="X4364">
        <v>0.9787148</v>
      </c>
      <c r="Y4364">
        <v>-3.6474109999999997E-2</v>
      </c>
      <c r="Z4364">
        <v>-4.0379009999999999E-4</v>
      </c>
      <c r="AA4364">
        <v>0.99933450000000001</v>
      </c>
      <c r="AB4364">
        <v>23</v>
      </c>
      <c r="AC4364">
        <v>-101.153499999999</v>
      </c>
      <c r="AD4364">
        <v>-1.11033022562919</v>
      </c>
      <c r="AE4364">
        <v>-2.0464000000000002</v>
      </c>
      <c r="AF4364">
        <v>-3.69946121732458</v>
      </c>
      <c r="AG4364">
        <v>-1.11033022562919</v>
      </c>
      <c r="AH4364">
        <v>101.09434742289601</v>
      </c>
      <c r="AI4364">
        <v>90.628839608947303</v>
      </c>
      <c r="AJ4364">
        <v>92.095754905247702</v>
      </c>
      <c r="AK4364">
        <v>101.168107263948</v>
      </c>
      <c r="AL4364">
        <v>79.005235764522496</v>
      </c>
      <c r="AM4364">
        <v>94.427837653052094</v>
      </c>
      <c r="AN4364">
        <v>1.00000004098892</v>
      </c>
    </row>
    <row r="4365" spans="1:40" x14ac:dyDescent="0.25">
      <c r="A4365" t="str">
        <f>"20190304155147923"</f>
        <v>20190304155147923</v>
      </c>
      <c r="B4365" t="str">
        <f>"1551685907911299"</f>
        <v>1551685907911299</v>
      </c>
      <c r="C4365" t="s">
        <v>40</v>
      </c>
      <c r="D4365">
        <v>4.5481829999999999</v>
      </c>
      <c r="E4365">
        <v>0.5158528</v>
      </c>
      <c r="F4365" t="s">
        <v>41</v>
      </c>
      <c r="G4365">
        <v>-334.6019</v>
      </c>
      <c r="H4365" s="1">
        <v>-2.599759E-6</v>
      </c>
      <c r="I4365">
        <v>139.87029999999999</v>
      </c>
      <c r="J4365">
        <v>-248.6234</v>
      </c>
      <c r="K4365">
        <v>1.110374</v>
      </c>
      <c r="L4365">
        <v>141.3569</v>
      </c>
      <c r="M4365">
        <v>-0.9997703</v>
      </c>
      <c r="N4365">
        <v>-1.3308530000000001E-2</v>
      </c>
      <c r="O4365">
        <v>1.6803229999999999E-2</v>
      </c>
      <c r="P4365">
        <v>-0.98250910000000002</v>
      </c>
      <c r="Q4365">
        <v>0.17656459999999999</v>
      </c>
      <c r="R4365">
        <v>-5.9169920000000001E-2</v>
      </c>
      <c r="S4365">
        <v>-3.05809</v>
      </c>
      <c r="T4365">
        <v>-3.9393419999999998E-2</v>
      </c>
      <c r="U4365">
        <v>-5.2597049999999999E-2</v>
      </c>
      <c r="V4365">
        <v>-7.5534649999999995E-2</v>
      </c>
      <c r="W4365">
        <v>0.18966459999999999</v>
      </c>
      <c r="X4365">
        <v>0.97893920000000001</v>
      </c>
      <c r="Y4365">
        <v>-3.3990840000000001E-2</v>
      </c>
      <c r="Z4365">
        <v>-4.379443E-4</v>
      </c>
      <c r="AA4365">
        <v>0.99942209999999998</v>
      </c>
      <c r="AB4365">
        <v>23</v>
      </c>
      <c r="AC4365">
        <v>-85.978499999999997</v>
      </c>
      <c r="AD4365">
        <v>-1.110376599759</v>
      </c>
      <c r="AE4365">
        <v>-1.4866000000000099</v>
      </c>
      <c r="AF4365">
        <v>-2.9307457996378599</v>
      </c>
      <c r="AG4365">
        <v>-1.110376599759</v>
      </c>
      <c r="AH4365">
        <v>85.927049961413005</v>
      </c>
      <c r="AI4365">
        <v>90.739922824188895</v>
      </c>
      <c r="AJ4365">
        <v>91.953451170310004</v>
      </c>
      <c r="AK4365">
        <v>85.984185302918107</v>
      </c>
      <c r="AL4365">
        <v>79.066789268757603</v>
      </c>
      <c r="AM4365">
        <v>94.412182574154599</v>
      </c>
      <c r="AN4365">
        <v>1.00000005057021</v>
      </c>
    </row>
    <row r="4366" spans="1:40" x14ac:dyDescent="0.25">
      <c r="A4366" t="str">
        <f>"20190304155147946"</f>
        <v>20190304155147946</v>
      </c>
      <c r="B4366" t="str">
        <f>"1551685907941555"</f>
        <v>1551685907941555</v>
      </c>
      <c r="C4366" t="s">
        <v>40</v>
      </c>
      <c r="D4366">
        <v>4.582586</v>
      </c>
      <c r="E4366">
        <v>0.51621490000000003</v>
      </c>
      <c r="F4366" t="s">
        <v>41</v>
      </c>
      <c r="G4366">
        <v>-322.2509</v>
      </c>
      <c r="H4366" s="1">
        <v>-3.469362E-6</v>
      </c>
      <c r="I4366">
        <v>140.2278</v>
      </c>
      <c r="J4366">
        <v>-248.86019999999999</v>
      </c>
      <c r="K4366">
        <v>1.1104400000000001</v>
      </c>
      <c r="L4366">
        <v>141.36150000000001</v>
      </c>
      <c r="M4366">
        <v>-0.99976259999999995</v>
      </c>
      <c r="N4366">
        <v>-1.3361079999999999E-2</v>
      </c>
      <c r="O4366">
        <v>1.721696E-2</v>
      </c>
      <c r="P4366">
        <v>-0.98264260000000003</v>
      </c>
      <c r="Q4366">
        <v>0.1758661</v>
      </c>
      <c r="R4366">
        <v>-5.9033450000000001E-2</v>
      </c>
      <c r="S4366">
        <v>-3.0588679999999999</v>
      </c>
      <c r="T4366">
        <v>-4.6130900000000002E-2</v>
      </c>
      <c r="U4366">
        <v>-4.6905519999999999E-2</v>
      </c>
      <c r="V4366">
        <v>-7.5835239999999998E-2</v>
      </c>
      <c r="W4366">
        <v>0.18900810000000001</v>
      </c>
      <c r="X4366">
        <v>0.97904290000000005</v>
      </c>
      <c r="Y4366">
        <v>-3.2539659999999998E-2</v>
      </c>
      <c r="Z4366">
        <v>-4.9235100000000003E-4</v>
      </c>
      <c r="AA4366">
        <v>0.99947039999999998</v>
      </c>
      <c r="AB4366">
        <v>23</v>
      </c>
      <c r="AC4366">
        <v>-73.390699999999995</v>
      </c>
      <c r="AD4366">
        <v>-1.11044346936199</v>
      </c>
      <c r="AE4366">
        <v>-1.1336999999999999</v>
      </c>
      <c r="AF4366">
        <v>-2.3966608035770101</v>
      </c>
      <c r="AG4366">
        <v>-1.11044346936199</v>
      </c>
      <c r="AH4366">
        <v>73.343512434305097</v>
      </c>
      <c r="AI4366">
        <v>90.8669468850794</v>
      </c>
      <c r="AJ4366">
        <v>91.871599811282493</v>
      </c>
      <c r="AK4366">
        <v>73.391061335200206</v>
      </c>
      <c r="AL4366">
        <v>79.1050965364539</v>
      </c>
      <c r="AM4366">
        <v>94.429203778921305</v>
      </c>
      <c r="AN4366">
        <v>1.00000002276593</v>
      </c>
    </row>
    <row r="4367" spans="1:40" x14ac:dyDescent="0.25">
      <c r="A4367" t="str">
        <f>"20190304155147969"</f>
        <v>20190304155147969</v>
      </c>
      <c r="B4367" t="str">
        <f>"1551685907961075"</f>
        <v>1551685907961075</v>
      </c>
      <c r="C4367" t="s">
        <v>40</v>
      </c>
      <c r="D4367">
        <v>4.7391100000000002</v>
      </c>
      <c r="E4367">
        <v>0.51647559999999904</v>
      </c>
      <c r="F4367" t="s">
        <v>84</v>
      </c>
      <c r="G4367">
        <v>-315.41090000000003</v>
      </c>
      <c r="H4367" s="1">
        <v>-7.6154120000000003E-6</v>
      </c>
      <c r="I4367">
        <v>140.41980000000001</v>
      </c>
      <c r="J4367">
        <v>-249.0898</v>
      </c>
      <c r="K4367">
        <v>1.1105149999999999</v>
      </c>
      <c r="L4367">
        <v>141.36580000000001</v>
      </c>
      <c r="M4367">
        <v>-0.99975670000000005</v>
      </c>
      <c r="N4367">
        <v>-1.3404309999999999E-2</v>
      </c>
      <c r="O4367">
        <v>1.751894E-2</v>
      </c>
      <c r="P4367">
        <v>-0.98255700000000001</v>
      </c>
      <c r="Q4367">
        <v>0.1763256</v>
      </c>
      <c r="R4367">
        <v>-5.9086130000000001E-2</v>
      </c>
      <c r="S4367">
        <v>-3.0595089999999998</v>
      </c>
      <c r="T4367">
        <v>-5.1050190000000002E-2</v>
      </c>
      <c r="U4367">
        <v>-4.3289179999999997E-2</v>
      </c>
      <c r="V4367">
        <v>-7.6211680000000004E-2</v>
      </c>
      <c r="W4367">
        <v>0.18949650000000001</v>
      </c>
      <c r="X4367">
        <v>0.97891919999999999</v>
      </c>
      <c r="Y4367">
        <v>-3.1656190000000001E-2</v>
      </c>
      <c r="Z4367">
        <v>-5.3373629999999895E-4</v>
      </c>
      <c r="AA4367">
        <v>0.99949869999999996</v>
      </c>
      <c r="AB4367">
        <v>23</v>
      </c>
      <c r="AC4367">
        <v>-66.321100000000001</v>
      </c>
      <c r="AD4367">
        <v>-1.11052261541199</v>
      </c>
      <c r="AE4367">
        <v>-0.94599999999999795</v>
      </c>
      <c r="AF4367">
        <v>-2.1072438161679701</v>
      </c>
      <c r="AG4367">
        <v>-1.11052261541199</v>
      </c>
      <c r="AH4367">
        <v>66.275766766647806</v>
      </c>
      <c r="AI4367">
        <v>90.959478550403702</v>
      </c>
      <c r="AJ4367">
        <v>91.821110828917597</v>
      </c>
      <c r="AK4367">
        <v>66.3185569617374</v>
      </c>
      <c r="AL4367">
        <v>79.076597709099502</v>
      </c>
      <c r="AM4367">
        <v>94.451662049151693</v>
      </c>
      <c r="AN4367">
        <v>0.99999997190465495</v>
      </c>
    </row>
    <row r="4368" spans="1:40" x14ac:dyDescent="0.25">
      <c r="A4368" t="str">
        <f>"20190304155147991"</f>
        <v>20190304155147991</v>
      </c>
      <c r="B4368" t="str">
        <f>"1551685907981575"</f>
        <v>1551685907981575</v>
      </c>
      <c r="C4368" t="s">
        <v>40</v>
      </c>
      <c r="D4368">
        <v>4.6064360000000004</v>
      </c>
      <c r="E4368">
        <v>0.5164552</v>
      </c>
      <c r="F4368" t="s">
        <v>84</v>
      </c>
      <c r="G4368">
        <v>-313.95769999999999</v>
      </c>
      <c r="H4368" s="1">
        <v>-8.2107430000000001E-6</v>
      </c>
      <c r="I4368">
        <v>140.48769999999999</v>
      </c>
      <c r="J4368">
        <v>-249.30969999999999</v>
      </c>
      <c r="K4368">
        <v>1.110582</v>
      </c>
      <c r="L4368">
        <v>141.37</v>
      </c>
      <c r="M4368">
        <v>-0.99975259999999999</v>
      </c>
      <c r="N4368">
        <v>-1.344002E-2</v>
      </c>
      <c r="O4368">
        <v>1.7717770000000001E-2</v>
      </c>
      <c r="P4368">
        <v>-0.98252379999999995</v>
      </c>
      <c r="Q4368">
        <v>0.17644770000000001</v>
      </c>
      <c r="R4368">
        <v>-5.9273810000000003E-2</v>
      </c>
      <c r="S4368">
        <v>-3.0601500000000001</v>
      </c>
      <c r="T4368">
        <v>-5.2389030000000003E-2</v>
      </c>
      <c r="U4368">
        <v>-4.1427609999999997E-2</v>
      </c>
      <c r="V4368">
        <v>-7.6621170000000002E-2</v>
      </c>
      <c r="W4368">
        <v>0.18964210000000001</v>
      </c>
      <c r="X4368">
        <v>0.97885909999999998</v>
      </c>
      <c r="Y4368">
        <v>-3.124387E-2</v>
      </c>
      <c r="Z4368">
        <v>-5.4257709999999996E-4</v>
      </c>
      <c r="AA4368">
        <v>0.9995117</v>
      </c>
      <c r="AB4368">
        <v>23</v>
      </c>
      <c r="AC4368">
        <v>-64.647999999999996</v>
      </c>
      <c r="AD4368">
        <v>-1.1105902107429999</v>
      </c>
      <c r="AE4368">
        <v>-0.88230000000001496</v>
      </c>
      <c r="AF4368">
        <v>-2.0270853240660101</v>
      </c>
      <c r="AG4368">
        <v>-1.1105902107429999</v>
      </c>
      <c r="AH4368">
        <v>64.603154354283205</v>
      </c>
      <c r="AI4368">
        <v>90.984388040179297</v>
      </c>
      <c r="AJ4368">
        <v>91.797208529612902</v>
      </c>
      <c r="AK4368">
        <v>64.644489618610095</v>
      </c>
      <c r="AL4368">
        <v>79.068102066443799</v>
      </c>
      <c r="AM4368">
        <v>94.475757852249103</v>
      </c>
      <c r="AN4368">
        <v>1.0000000337186901</v>
      </c>
    </row>
    <row r="4369" spans="1:40" x14ac:dyDescent="0.25">
      <c r="A4369" t="str">
        <f>"20190304155148012"</f>
        <v>20190304155148012</v>
      </c>
      <c r="B4369" t="str">
        <f>"1551685908001091"</f>
        <v>1551685908001091</v>
      </c>
      <c r="C4369" t="s">
        <v>40</v>
      </c>
      <c r="D4369">
        <v>4.5635050000000001</v>
      </c>
      <c r="E4369">
        <v>0.51618699999999995</v>
      </c>
      <c r="F4369" t="s">
        <v>84</v>
      </c>
      <c r="G4369">
        <v>-312.73200000000003</v>
      </c>
      <c r="H4369" s="1">
        <v>-8.6716640000000002E-6</v>
      </c>
      <c r="I4369">
        <v>140.48589999999999</v>
      </c>
      <c r="J4369">
        <v>-249.5266</v>
      </c>
      <c r="K4369">
        <v>1.110638</v>
      </c>
      <c r="L4369">
        <v>141.374</v>
      </c>
      <c r="M4369">
        <v>-0.99975009999999997</v>
      </c>
      <c r="N4369">
        <v>-1.34705E-2</v>
      </c>
      <c r="O4369">
        <v>1.784471E-2</v>
      </c>
      <c r="P4369">
        <v>-0.98250930000000003</v>
      </c>
      <c r="Q4369">
        <v>0.17625539999999901</v>
      </c>
      <c r="R4369">
        <v>-6.0081780000000001E-2</v>
      </c>
      <c r="S4369">
        <v>-3.0604399999999998</v>
      </c>
      <c r="T4369">
        <v>-5.3591489999999999E-2</v>
      </c>
      <c r="U4369">
        <v>-4.2663569999999998E-2</v>
      </c>
      <c r="V4369">
        <v>-7.7576899999999893E-2</v>
      </c>
      <c r="W4369">
        <v>0.18946979999999999</v>
      </c>
      <c r="X4369">
        <v>0.97881719999999905</v>
      </c>
      <c r="Y4369">
        <v>-3.1772599999999998E-2</v>
      </c>
      <c r="Z4369">
        <v>-5.6425970000000003E-4</v>
      </c>
      <c r="AA4369">
        <v>0.99949500000000002</v>
      </c>
      <c r="AB4369">
        <v>23</v>
      </c>
      <c r="AC4369">
        <v>-63.205399999999997</v>
      </c>
      <c r="AD4369">
        <v>-1.110646671664</v>
      </c>
      <c r="AE4369">
        <v>-0.88810000000000799</v>
      </c>
      <c r="AF4369">
        <v>-2.0153206949193301</v>
      </c>
      <c r="AG4369">
        <v>-1.110646671664</v>
      </c>
      <c r="AH4369">
        <v>63.159986250562497</v>
      </c>
      <c r="AI4369">
        <v>91.006910431701698</v>
      </c>
      <c r="AJ4369">
        <v>91.827584413080601</v>
      </c>
      <c r="AK4369">
        <v>63.201890135532203</v>
      </c>
      <c r="AL4369">
        <v>79.0781565483055</v>
      </c>
      <c r="AM4369">
        <v>94.531548058714904</v>
      </c>
      <c r="AN4369">
        <v>1.0000000457707401</v>
      </c>
    </row>
    <row r="4370" spans="1:40" x14ac:dyDescent="0.25">
      <c r="A4370" t="str">
        <f>"20190304155148035"</f>
        <v>20190304155148035</v>
      </c>
      <c r="B4370" t="str">
        <f>"1551685908031347"</f>
        <v>1551685908031347</v>
      </c>
      <c r="C4370" t="s">
        <v>40</v>
      </c>
      <c r="D4370">
        <v>4.6109390000000001</v>
      </c>
      <c r="E4370">
        <v>0.51616530000000005</v>
      </c>
      <c r="F4370" t="s">
        <v>84</v>
      </c>
      <c r="G4370">
        <v>-309.24959999999999</v>
      </c>
      <c r="H4370" s="1">
        <v>-9.637314E-6</v>
      </c>
      <c r="I4370">
        <v>140.46530000000001</v>
      </c>
      <c r="J4370">
        <v>-249.75229999999999</v>
      </c>
      <c r="K4370">
        <v>1.1106799999999999</v>
      </c>
      <c r="L4370">
        <v>141.37819999999999</v>
      </c>
      <c r="M4370">
        <v>-0.99974850000000004</v>
      </c>
      <c r="N4370">
        <v>-1.349769E-2</v>
      </c>
      <c r="O4370">
        <v>1.7910639999999999E-2</v>
      </c>
      <c r="P4370">
        <v>-0.98254719999999995</v>
      </c>
      <c r="Q4370">
        <v>0.1756906</v>
      </c>
      <c r="R4370">
        <v>-6.1107340000000003E-2</v>
      </c>
      <c r="S4370">
        <v>-3.0607600000000001</v>
      </c>
      <c r="T4370">
        <v>-5.6919930000000001E-2</v>
      </c>
      <c r="U4370">
        <v>-4.6569819999999998E-2</v>
      </c>
      <c r="V4370">
        <v>-7.8687699999999999E-2</v>
      </c>
      <c r="W4370">
        <v>0.18892390000000001</v>
      </c>
      <c r="X4370">
        <v>0.97883399999999998</v>
      </c>
      <c r="Y4370">
        <v>-3.3111000000000002E-2</v>
      </c>
      <c r="Z4370">
        <v>-6.2263330000000003E-4</v>
      </c>
      <c r="AA4370">
        <v>0.99945150000000005</v>
      </c>
      <c r="AB4370">
        <v>22</v>
      </c>
      <c r="AC4370">
        <v>-59.497300000000003</v>
      </c>
      <c r="AD4370">
        <v>-1.1106896373139901</v>
      </c>
      <c r="AE4370">
        <v>-0.91289999999997895</v>
      </c>
      <c r="AF4370">
        <v>-1.97779624050342</v>
      </c>
      <c r="AG4370">
        <v>-1.1106896373139901</v>
      </c>
      <c r="AH4370">
        <v>59.450689160129699</v>
      </c>
      <c r="AI4370">
        <v>91.069714294922704</v>
      </c>
      <c r="AJ4370">
        <v>91.905404315264505</v>
      </c>
      <c r="AK4370">
        <v>59.493947179975798</v>
      </c>
      <c r="AL4370">
        <v>79.110009066286395</v>
      </c>
      <c r="AM4370">
        <v>94.596079317004097</v>
      </c>
      <c r="AN4370">
        <v>0.99999999683925</v>
      </c>
    </row>
    <row r="4371" spans="1:40" x14ac:dyDescent="0.25">
      <c r="A4371" t="str">
        <f>"20190304155148057"</f>
        <v>20190304155148057</v>
      </c>
      <c r="B4371" t="str">
        <f>"1551685908050868"</f>
        <v>1551685908050868</v>
      </c>
      <c r="C4371" t="s">
        <v>40</v>
      </c>
      <c r="D4371">
        <v>4.6618120000000003</v>
      </c>
      <c r="E4371">
        <v>0.5161308</v>
      </c>
      <c r="F4371" t="s">
        <v>84</v>
      </c>
      <c r="G4371">
        <v>-306.78750000000002</v>
      </c>
      <c r="H4371" s="1">
        <v>-9.2821879999999995E-6</v>
      </c>
      <c r="I4371">
        <v>140.46010000000001</v>
      </c>
      <c r="J4371">
        <v>-249.9753</v>
      </c>
      <c r="K4371">
        <v>1.110717</v>
      </c>
      <c r="L4371">
        <v>141.38229999999999</v>
      </c>
      <c r="M4371">
        <v>-0.99974810000000003</v>
      </c>
      <c r="N4371">
        <v>-1.3520539999999999E-2</v>
      </c>
      <c r="O4371">
        <v>1.792067E-2</v>
      </c>
      <c r="P4371">
        <v>-0.98250680000000001</v>
      </c>
      <c r="Q4371">
        <v>0.17556340000000001</v>
      </c>
      <c r="R4371">
        <v>-6.211473E-2</v>
      </c>
      <c r="S4371">
        <v>-3.060883</v>
      </c>
      <c r="T4371">
        <v>-5.9606909999999999E-2</v>
      </c>
      <c r="U4371">
        <v>-4.9270630000000003E-2</v>
      </c>
      <c r="V4371">
        <v>-7.9719509999999993E-2</v>
      </c>
      <c r="W4371">
        <v>0.18881200000000001</v>
      </c>
      <c r="X4371">
        <v>0.97877210000000003</v>
      </c>
      <c r="Y4371">
        <v>-3.4000959999999997E-2</v>
      </c>
      <c r="Z4371">
        <v>-6.6756779999999896E-4</v>
      </c>
      <c r="AA4371">
        <v>0.99942160000000002</v>
      </c>
      <c r="AB4371">
        <v>22</v>
      </c>
      <c r="AC4371">
        <v>-56.812199999999997</v>
      </c>
      <c r="AD4371">
        <v>-1.110726282188</v>
      </c>
      <c r="AE4371">
        <v>-0.92219999999997504</v>
      </c>
      <c r="AF4371">
        <v>-1.93951636965351</v>
      </c>
      <c r="AG4371">
        <v>-1.110726282188</v>
      </c>
      <c r="AH4371">
        <v>56.764855199296797</v>
      </c>
      <c r="AI4371">
        <v>91.120318323095702</v>
      </c>
      <c r="AJ4371">
        <v>91.956895485267907</v>
      </c>
      <c r="AK4371">
        <v>56.808839298292597</v>
      </c>
      <c r="AL4371">
        <v>79.116537977234501</v>
      </c>
      <c r="AM4371">
        <v>94.656376322510297</v>
      </c>
      <c r="AN4371">
        <v>0.99999999767852499</v>
      </c>
    </row>
    <row r="4372" spans="1:40" x14ac:dyDescent="0.25">
      <c r="A4372" t="str">
        <f>"20190304155148080"</f>
        <v>20190304155148080</v>
      </c>
      <c r="B4372" t="str">
        <f>"1551685908071366"</f>
        <v>1551685908071366</v>
      </c>
      <c r="C4372" t="s">
        <v>40</v>
      </c>
      <c r="D4372">
        <v>4.634862</v>
      </c>
      <c r="E4372">
        <v>0.51596900000000001</v>
      </c>
      <c r="F4372" t="s">
        <v>84</v>
      </c>
      <c r="G4372">
        <v>-306.428</v>
      </c>
      <c r="H4372" s="1">
        <v>-9.2186640000000002E-6</v>
      </c>
      <c r="I4372">
        <v>140.42009999999999</v>
      </c>
      <c r="J4372">
        <v>-250.19710000000001</v>
      </c>
      <c r="K4372">
        <v>1.110746</v>
      </c>
      <c r="L4372">
        <v>141.3862</v>
      </c>
      <c r="M4372">
        <v>-0.99974830000000003</v>
      </c>
      <c r="N4372">
        <v>-1.3539890000000001E-2</v>
      </c>
      <c r="O4372">
        <v>1.78958E-2</v>
      </c>
      <c r="P4372">
        <v>-0.98239730000000003</v>
      </c>
      <c r="Q4372">
        <v>0.17587549999999999</v>
      </c>
      <c r="R4372">
        <v>-6.2957819999999998E-2</v>
      </c>
      <c r="S4372">
        <v>-3.0608979999999999</v>
      </c>
      <c r="T4372">
        <v>-6.0224180000000002E-2</v>
      </c>
      <c r="U4372">
        <v>-5.2169800000000002E-2</v>
      </c>
      <c r="V4372">
        <v>-8.0546030000000005E-2</v>
      </c>
      <c r="W4372">
        <v>0.1891369</v>
      </c>
      <c r="X4372">
        <v>0.97864169999999995</v>
      </c>
      <c r="Y4372">
        <v>-3.4921849999999997E-2</v>
      </c>
      <c r="Z4372">
        <v>-6.8972849999999997E-4</v>
      </c>
      <c r="AA4372">
        <v>0.99938979999999999</v>
      </c>
      <c r="AB4372">
        <v>22</v>
      </c>
      <c r="AC4372">
        <v>-56.230899999999899</v>
      </c>
      <c r="AD4372">
        <v>-1.110755218664</v>
      </c>
      <c r="AE4372">
        <v>-0.96610000000001095</v>
      </c>
      <c r="AF4372">
        <v>-1.9715652489689199</v>
      </c>
      <c r="AG4372">
        <v>-1.110755218664</v>
      </c>
      <c r="AH4372">
        <v>56.182686686008502</v>
      </c>
      <c r="AI4372">
        <v>91.131917421992696</v>
      </c>
      <c r="AJ4372">
        <v>92.009801230007099</v>
      </c>
      <c r="AK4372">
        <v>56.228241391181101</v>
      </c>
      <c r="AL4372">
        <v>79.097581075338795</v>
      </c>
      <c r="AM4372">
        <v>94.705061389491604</v>
      </c>
      <c r="AN4372">
        <v>1.0000000034346299</v>
      </c>
    </row>
    <row r="4373" spans="1:40" x14ac:dyDescent="0.25">
      <c r="A4373" t="str">
        <f>"20190304155148103"</f>
        <v>20190304155148103</v>
      </c>
      <c r="B4373" t="str">
        <f>"1551685908090890"</f>
        <v>1551685908090890</v>
      </c>
      <c r="C4373" t="s">
        <v>40</v>
      </c>
      <c r="D4373">
        <v>4.5967379999999904</v>
      </c>
      <c r="E4373">
        <v>0.51697979999999999</v>
      </c>
      <c r="F4373" t="s">
        <v>84</v>
      </c>
      <c r="G4373">
        <v>-306.5838</v>
      </c>
      <c r="H4373" s="1">
        <v>-9.2235700000000005E-6</v>
      </c>
      <c r="I4373">
        <v>140.3614</v>
      </c>
      <c r="J4373">
        <v>-250.4299</v>
      </c>
      <c r="K4373">
        <v>1.1107579999999999</v>
      </c>
      <c r="L4373">
        <v>141.3904</v>
      </c>
      <c r="M4373">
        <v>-0.99974870000000005</v>
      </c>
      <c r="N4373">
        <v>-1.3557100000000001E-2</v>
      </c>
      <c r="O4373">
        <v>1.7852710000000001E-2</v>
      </c>
      <c r="P4373">
        <v>-0.98234639999999995</v>
      </c>
      <c r="Q4373">
        <v>0.17589969999999999</v>
      </c>
      <c r="R4373">
        <v>-6.3678250000000006E-2</v>
      </c>
      <c r="S4373">
        <v>-3.0609739999999999</v>
      </c>
      <c r="T4373">
        <v>-6.0297730000000001E-2</v>
      </c>
      <c r="U4373">
        <v>-5.5633540000000002E-2</v>
      </c>
      <c r="V4373">
        <v>-8.1228129999999996E-2</v>
      </c>
      <c r="W4373">
        <v>0.1891748</v>
      </c>
      <c r="X4373">
        <v>0.97857799999999995</v>
      </c>
      <c r="Y4373">
        <v>-3.6008489999999997E-2</v>
      </c>
      <c r="Z4373">
        <v>-7.0835699999999995E-4</v>
      </c>
      <c r="AA4373">
        <v>0.9993512</v>
      </c>
      <c r="AB4373">
        <v>22</v>
      </c>
      <c r="AC4373">
        <v>-56.153899999999901</v>
      </c>
      <c r="AD4373">
        <v>-1.1107672235699999</v>
      </c>
      <c r="AE4373">
        <v>-1.0289999999999899</v>
      </c>
      <c r="AF4373">
        <v>-2.0306331421121002</v>
      </c>
      <c r="AG4373">
        <v>-1.1107672235699999</v>
      </c>
      <c r="AH4373">
        <v>56.104631668384002</v>
      </c>
      <c r="AI4373">
        <v>91.133459589173697</v>
      </c>
      <c r="AJ4373">
        <v>92.072840354988003</v>
      </c>
      <c r="AK4373">
        <v>56.152354976686702</v>
      </c>
      <c r="AL4373">
        <v>79.095369693657503</v>
      </c>
      <c r="AM4373">
        <v>94.745032257254394</v>
      </c>
      <c r="AN4373">
        <v>1.00000000807116</v>
      </c>
    </row>
    <row r="4374" spans="1:40" x14ac:dyDescent="0.25">
      <c r="A4374" t="str">
        <f>"20190304155148124"</f>
        <v>20190304155148124</v>
      </c>
      <c r="B4374" t="str">
        <f>"1551685908121140"</f>
        <v>1551685908121140</v>
      </c>
      <c r="C4374" t="s">
        <v>40</v>
      </c>
      <c r="D4374">
        <v>4.5631019999999998</v>
      </c>
      <c r="E4374">
        <v>0.51811309999999999</v>
      </c>
      <c r="F4374" t="s">
        <v>84</v>
      </c>
      <c r="G4374">
        <v>-311.8032</v>
      </c>
      <c r="H4374" s="1">
        <v>-8.9990309999999995E-6</v>
      </c>
      <c r="I4374">
        <v>140.4014</v>
      </c>
      <c r="J4374">
        <v>-250.6405</v>
      </c>
      <c r="K4374">
        <v>1.110762</v>
      </c>
      <c r="L4374">
        <v>141.39410000000001</v>
      </c>
      <c r="M4374">
        <v>-0.99974940000000001</v>
      </c>
      <c r="N4374">
        <v>-1.3570280000000001E-2</v>
      </c>
      <c r="O4374">
        <v>1.7810530000000001E-2</v>
      </c>
      <c r="P4374">
        <v>-0.98238419999999904</v>
      </c>
      <c r="Q4374">
        <v>0.1755398</v>
      </c>
      <c r="R4374">
        <v>-6.4089220000000002E-2</v>
      </c>
      <c r="S4374">
        <v>-3.060638</v>
      </c>
      <c r="T4374">
        <v>-5.5393100000000001E-2</v>
      </c>
      <c r="U4374">
        <v>-4.9316409999999998E-2</v>
      </c>
      <c r="V4374">
        <v>-8.1598560000000001E-2</v>
      </c>
      <c r="W4374">
        <v>0.1888283</v>
      </c>
      <c r="X4374">
        <v>0.97861410000000004</v>
      </c>
      <c r="Y4374">
        <v>-3.3908430000000003E-2</v>
      </c>
      <c r="Z4374">
        <v>-6.1754430000000003E-4</v>
      </c>
      <c r="AA4374">
        <v>0.9994248</v>
      </c>
      <c r="AB4374">
        <v>22</v>
      </c>
      <c r="AC4374">
        <v>-61.162700000000001</v>
      </c>
      <c r="AD4374">
        <v>-1.110770999031</v>
      </c>
      <c r="AE4374">
        <v>-0.99270000000001302</v>
      </c>
      <c r="AF4374">
        <v>-2.0812965323558101</v>
      </c>
      <c r="AG4374">
        <v>-1.110770999031</v>
      </c>
      <c r="AH4374">
        <v>61.115162806347499</v>
      </c>
      <c r="AI4374">
        <v>91.040635745181305</v>
      </c>
      <c r="AJ4374">
        <v>91.950472408688199</v>
      </c>
      <c r="AK4374">
        <v>61.160679626000302</v>
      </c>
      <c r="AL4374">
        <v>79.115587021540904</v>
      </c>
      <c r="AM4374">
        <v>94.766396837867603</v>
      </c>
      <c r="AN4374">
        <v>1.00000000429688</v>
      </c>
    </row>
    <row r="4375" spans="1:40" x14ac:dyDescent="0.25">
      <c r="A4375" t="str">
        <f>"20190304155148148"</f>
        <v>20190304155148148</v>
      </c>
      <c r="B4375" t="str">
        <f>"1551685908141636"</f>
        <v>1551685908141636</v>
      </c>
      <c r="C4375" t="s">
        <v>40</v>
      </c>
      <c r="D4375">
        <v>4.6849270000000001</v>
      </c>
      <c r="E4375">
        <v>0.51846190000000003</v>
      </c>
      <c r="F4375" t="s">
        <v>41</v>
      </c>
      <c r="G4375">
        <v>-321.7439</v>
      </c>
      <c r="H4375" s="1">
        <v>-3.7446399999999999E-6</v>
      </c>
      <c r="I4375">
        <v>140.4451</v>
      </c>
      <c r="J4375">
        <v>-250.8793</v>
      </c>
      <c r="K4375">
        <v>1.1107530000000001</v>
      </c>
      <c r="L4375">
        <v>141.39830000000001</v>
      </c>
      <c r="M4375">
        <v>-0.99974989999999997</v>
      </c>
      <c r="N4375">
        <v>-1.3582840000000001E-2</v>
      </c>
      <c r="O4375">
        <v>1.7767769999999999E-2</v>
      </c>
      <c r="P4375">
        <v>-0.98235519999999998</v>
      </c>
      <c r="Q4375">
        <v>0.17548749999999999</v>
      </c>
      <c r="R4375">
        <v>-6.4671489999999998E-2</v>
      </c>
      <c r="S4375">
        <v>-3.0596770000000002</v>
      </c>
      <c r="T4375">
        <v>-4.7797800000000001E-2</v>
      </c>
      <c r="U4375">
        <v>-4.0832519999999997E-2</v>
      </c>
      <c r="V4375">
        <v>-8.2134879999999993E-2</v>
      </c>
      <c r="W4375">
        <v>0.18878900000000001</v>
      </c>
      <c r="X4375">
        <v>0.97857680000000002</v>
      </c>
      <c r="Y4375">
        <v>-3.1102769999999998E-2</v>
      </c>
      <c r="Z4375">
        <v>-4.9038659999999998E-4</v>
      </c>
      <c r="AA4375">
        <v>0.99951610000000002</v>
      </c>
      <c r="AB4375">
        <v>22</v>
      </c>
      <c r="AC4375">
        <v>-70.864599999999996</v>
      </c>
      <c r="AD4375">
        <v>-1.11075674464</v>
      </c>
      <c r="AE4375">
        <v>-0.95320000000000904</v>
      </c>
      <c r="AF4375">
        <v>-2.2117282570099399</v>
      </c>
      <c r="AG4375">
        <v>-1.11075674464</v>
      </c>
      <c r="AH4375">
        <v>70.819077439124996</v>
      </c>
      <c r="AI4375">
        <v>90.898140044116303</v>
      </c>
      <c r="AJ4375">
        <v>91.788804984937997</v>
      </c>
      <c r="AK4375">
        <v>70.862311927832295</v>
      </c>
      <c r="AL4375">
        <v>79.117879821618104</v>
      </c>
      <c r="AM4375">
        <v>94.797761027182204</v>
      </c>
      <c r="AN4375">
        <v>0.99999998926592704</v>
      </c>
    </row>
    <row r="4376" spans="1:40" x14ac:dyDescent="0.25">
      <c r="A4376" t="str">
        <f>"20190304155148169"</f>
        <v>20190304155148169</v>
      </c>
      <c r="B4376" t="str">
        <f>"1551685908161157"</f>
        <v>1551685908161157</v>
      </c>
      <c r="C4376" t="s">
        <v>40</v>
      </c>
      <c r="D4376">
        <v>4.7056389999999997</v>
      </c>
      <c r="E4376">
        <v>0.51824170000000003</v>
      </c>
      <c r="F4376" t="s">
        <v>41</v>
      </c>
      <c r="G4376">
        <v>-322.04820000000001</v>
      </c>
      <c r="H4376" s="1">
        <v>-3.6240520000000001E-6</v>
      </c>
      <c r="I4376">
        <v>140.48249999999999</v>
      </c>
      <c r="J4376">
        <v>-251.09889999999999</v>
      </c>
      <c r="K4376">
        <v>1.110743</v>
      </c>
      <c r="L4376">
        <v>141.40209999999999</v>
      </c>
      <c r="M4376">
        <v>-0.99975040000000004</v>
      </c>
      <c r="N4376">
        <v>-1.3590120000000001E-2</v>
      </c>
      <c r="O4376">
        <v>1.773899E-2</v>
      </c>
      <c r="P4376">
        <v>-0.98239080000000001</v>
      </c>
      <c r="Q4376">
        <v>0.17506969999999999</v>
      </c>
      <c r="R4376">
        <v>-6.5261100000000002E-2</v>
      </c>
      <c r="S4376">
        <v>-3.0598299999999998</v>
      </c>
      <c r="T4376">
        <v>-4.7755840000000001E-2</v>
      </c>
      <c r="U4376">
        <v>-3.9367680000000002E-2</v>
      </c>
      <c r="V4376">
        <v>-8.2692089999999996E-2</v>
      </c>
      <c r="W4376">
        <v>0.18838070000000001</v>
      </c>
      <c r="X4376">
        <v>0.97860849999999999</v>
      </c>
      <c r="Y4376">
        <v>-3.059504E-2</v>
      </c>
      <c r="Z4376">
        <v>-4.8241689999999998E-4</v>
      </c>
      <c r="AA4376">
        <v>0.99953170000000002</v>
      </c>
      <c r="AB4376">
        <v>22</v>
      </c>
      <c r="AC4376">
        <v>-70.949299999999994</v>
      </c>
      <c r="AD4376">
        <v>-1.1107466240520001</v>
      </c>
      <c r="AE4376">
        <v>-0.91960000000000197</v>
      </c>
      <c r="AF4376">
        <v>-2.1776066666293401</v>
      </c>
      <c r="AG4376">
        <v>-1.1107466240520001</v>
      </c>
      <c r="AH4376">
        <v>70.904444532366995</v>
      </c>
      <c r="AI4376">
        <v>90.897065110307693</v>
      </c>
      <c r="AJ4376">
        <v>91.759106453084499</v>
      </c>
      <c r="AK4376">
        <v>70.946571328718207</v>
      </c>
      <c r="AL4376">
        <v>79.141700499196304</v>
      </c>
      <c r="AM4376">
        <v>94.830000245525696</v>
      </c>
      <c r="AN4376">
        <v>0.99999993307665103</v>
      </c>
    </row>
    <row r="4377" spans="1:40" x14ac:dyDescent="0.25">
      <c r="A4377" t="str">
        <f>"20190304155148191"</f>
        <v>20190304155148191</v>
      </c>
      <c r="B4377" t="str">
        <f>"1551685908181656"</f>
        <v>1551685908181656</v>
      </c>
      <c r="C4377" t="s">
        <v>40</v>
      </c>
      <c r="D4377">
        <v>4.5925699999999896</v>
      </c>
      <c r="E4377">
        <v>0.51920909999999998</v>
      </c>
      <c r="F4377" t="s">
        <v>84</v>
      </c>
      <c r="G4377">
        <v>-318.06310000000002</v>
      </c>
      <c r="H4377" s="1">
        <v>-6.4544189999999999E-6</v>
      </c>
      <c r="I4377">
        <v>140.47720000000001</v>
      </c>
      <c r="J4377">
        <v>-251.3126</v>
      </c>
      <c r="K4377">
        <v>1.11073</v>
      </c>
      <c r="L4377">
        <v>141.4059</v>
      </c>
      <c r="M4377">
        <v>-0.99975060000000004</v>
      </c>
      <c r="N4377">
        <v>-1.3592140000000001E-2</v>
      </c>
      <c r="O4377">
        <v>1.772193E-2</v>
      </c>
      <c r="P4377">
        <v>-0.98229849999999996</v>
      </c>
      <c r="Q4377">
        <v>0.1754001</v>
      </c>
      <c r="R4377">
        <v>-6.5762940000000006E-2</v>
      </c>
      <c r="S4377">
        <v>-3.0600130000000001</v>
      </c>
      <c r="T4377">
        <v>-5.0757049999999998E-2</v>
      </c>
      <c r="U4377">
        <v>-4.2266850000000002E-2</v>
      </c>
      <c r="V4377">
        <v>-8.3170090000000002E-2</v>
      </c>
      <c r="W4377">
        <v>0.1887141</v>
      </c>
      <c r="X4377">
        <v>0.97850380000000003</v>
      </c>
      <c r="Y4377">
        <v>-3.152307E-2</v>
      </c>
      <c r="Z4377">
        <v>-5.2873199999999997E-4</v>
      </c>
      <c r="AA4377">
        <v>0.99950289999999997</v>
      </c>
      <c r="AB4377">
        <v>22</v>
      </c>
      <c r="AC4377">
        <v>-66.750500000000002</v>
      </c>
      <c r="AD4377">
        <v>-1.1107364544189999</v>
      </c>
      <c r="AE4377">
        <v>-0.92869999999999198</v>
      </c>
      <c r="AF4377">
        <v>-2.11102663958988</v>
      </c>
      <c r="AG4377">
        <v>-1.1107364544189999</v>
      </c>
      <c r="AH4377">
        <v>66.705088664874296</v>
      </c>
      <c r="AI4377">
        <v>90.953492375938794</v>
      </c>
      <c r="AJ4377">
        <v>91.812643738533296</v>
      </c>
      <c r="AK4377">
        <v>66.747726723334694</v>
      </c>
      <c r="AL4377">
        <v>79.122249736071296</v>
      </c>
      <c r="AM4377">
        <v>94.858304037526295</v>
      </c>
      <c r="AN4377">
        <v>0.999999981011928</v>
      </c>
    </row>
    <row r="4378" spans="1:40" x14ac:dyDescent="0.25">
      <c r="A4378" t="str">
        <f>"20190304155148225"</f>
        <v>20190304155148225</v>
      </c>
      <c r="B4378" t="str">
        <f>"1551685908221668"</f>
        <v>1551685908221668</v>
      </c>
      <c r="C4378" t="s">
        <v>40</v>
      </c>
      <c r="D4378">
        <v>4.6402749999999999</v>
      </c>
      <c r="E4378">
        <v>0.52010999999999996</v>
      </c>
      <c r="F4378" t="s">
        <v>41</v>
      </c>
      <c r="G4378">
        <v>-330.14429999999999</v>
      </c>
      <c r="H4378" s="1">
        <v>-4.8101860000000002E-6</v>
      </c>
      <c r="I4378">
        <v>140.4863</v>
      </c>
      <c r="J4378">
        <v>-251.64359999999999</v>
      </c>
      <c r="K4378">
        <v>1.1107209999999901</v>
      </c>
      <c r="L4378">
        <v>141.4118</v>
      </c>
      <c r="M4378">
        <v>-0.99975119999999895</v>
      </c>
      <c r="N4378">
        <v>-1.3563459999999999E-2</v>
      </c>
      <c r="O4378">
        <v>1.7715399999999999E-2</v>
      </c>
      <c r="P4378">
        <v>-0.9818981</v>
      </c>
      <c r="Q4378">
        <v>0.1773721</v>
      </c>
      <c r="R4378">
        <v>-6.6449190000000005E-2</v>
      </c>
      <c r="S4378">
        <v>-3.0593569999999999</v>
      </c>
      <c r="T4378">
        <v>-4.3106199999999997E-2</v>
      </c>
      <c r="U4378">
        <v>-3.5690310000000003E-2</v>
      </c>
      <c r="V4378">
        <v>-8.3836060000000004E-2</v>
      </c>
      <c r="W4378">
        <v>0.19065509999999999</v>
      </c>
      <c r="X4378">
        <v>0.97807060000000001</v>
      </c>
      <c r="Y4378">
        <v>-2.9373429999999999E-2</v>
      </c>
      <c r="Z4378">
        <v>-4.1545299999999998E-4</v>
      </c>
      <c r="AA4378">
        <v>0.99956840000000002</v>
      </c>
      <c r="AB4378">
        <v>22</v>
      </c>
      <c r="AC4378">
        <v>-78.500699999999995</v>
      </c>
      <c r="AD4378">
        <v>-1.11072581018599</v>
      </c>
      <c r="AE4378">
        <v>-0.92549999999999899</v>
      </c>
      <c r="AF4378">
        <v>-2.3156902484772202</v>
      </c>
      <c r="AG4378">
        <v>-1.11072581018599</v>
      </c>
      <c r="AH4378">
        <v>78.456276654155303</v>
      </c>
      <c r="AI4378">
        <v>90.810743964643095</v>
      </c>
      <c r="AJ4378">
        <v>91.690632983254503</v>
      </c>
      <c r="AK4378">
        <v>78.498302399387399</v>
      </c>
      <c r="AL4378">
        <v>79.008982179913005</v>
      </c>
      <c r="AM4378">
        <v>94.899176028183106</v>
      </c>
      <c r="AN4378">
        <v>0.99999997534834595</v>
      </c>
    </row>
    <row r="4379" spans="1:40" x14ac:dyDescent="0.25">
      <c r="A4379" t="str">
        <f>"20190304155148247"</f>
        <v>20190304155148247</v>
      </c>
      <c r="B4379" t="str">
        <f>"1551685908241188"</f>
        <v>1551685908241188</v>
      </c>
      <c r="C4379" t="s">
        <v>40</v>
      </c>
      <c r="D4379">
        <v>4.6178379999999999</v>
      </c>
      <c r="E4379">
        <v>0.52048159999999999</v>
      </c>
      <c r="F4379" t="s">
        <v>41</v>
      </c>
      <c r="G4379">
        <v>-358.23239999999998</v>
      </c>
      <c r="H4379" s="1">
        <v>-9.3710200000000005E-7</v>
      </c>
      <c r="I4379">
        <v>140.35470000000001</v>
      </c>
      <c r="J4379">
        <v>-251.86410000000001</v>
      </c>
      <c r="K4379">
        <v>1.1107070000000001</v>
      </c>
      <c r="L4379">
        <v>141.41560000000001</v>
      </c>
      <c r="M4379">
        <v>-0.99975170000000002</v>
      </c>
      <c r="N4379">
        <v>-1.3504769999999999E-2</v>
      </c>
      <c r="O4379">
        <v>1.7720929999999999E-2</v>
      </c>
      <c r="P4379">
        <v>-0.98164750000000001</v>
      </c>
      <c r="Q4379">
        <v>0.1787231</v>
      </c>
      <c r="R4379">
        <v>-6.6532140000000003E-2</v>
      </c>
      <c r="S4379">
        <v>-3.059021</v>
      </c>
      <c r="T4379">
        <v>-3.1876920000000003E-2</v>
      </c>
      <c r="U4379">
        <v>-3.0334469999999999E-2</v>
      </c>
      <c r="V4379">
        <v>-8.3916660000000004E-2</v>
      </c>
      <c r="W4379">
        <v>0.19194639999999999</v>
      </c>
      <c r="X4379">
        <v>0.97781110000000004</v>
      </c>
      <c r="Y4379">
        <v>-2.7632500000000001E-2</v>
      </c>
      <c r="Z4379">
        <v>-2.7589889999999999E-4</v>
      </c>
      <c r="AA4379">
        <v>0.99961809999999995</v>
      </c>
      <c r="AB4379">
        <v>22</v>
      </c>
      <c r="AC4379">
        <v>-106.368299999999</v>
      </c>
      <c r="AD4379">
        <v>-1.1107079371020001</v>
      </c>
      <c r="AE4379">
        <v>-1.0609</v>
      </c>
      <c r="AF4379">
        <v>-2.9455294676743899</v>
      </c>
      <c r="AG4379">
        <v>-1.1107079371020001</v>
      </c>
      <c r="AH4379">
        <v>106.321200468496</v>
      </c>
      <c r="AI4379">
        <v>90.598301718680204</v>
      </c>
      <c r="AJ4379">
        <v>91.5869200980529</v>
      </c>
      <c r="AK4379">
        <v>106.36779345755301</v>
      </c>
      <c r="AL4379">
        <v>78.933604136047904</v>
      </c>
      <c r="AM4379">
        <v>94.905158220148806</v>
      </c>
      <c r="AN4379">
        <v>0.99999998679086199</v>
      </c>
    </row>
    <row r="4380" spans="1:40" x14ac:dyDescent="0.25">
      <c r="A4380" t="str">
        <f>"20190304155148269"</f>
        <v>20190304155148269</v>
      </c>
      <c r="B4380" t="str">
        <f>"1551685908261691"</f>
        <v>1551685908261691</v>
      </c>
      <c r="C4380" t="s">
        <v>40</v>
      </c>
      <c r="D4380">
        <v>4.647227</v>
      </c>
      <c r="E4380">
        <v>0.52080839999999995</v>
      </c>
      <c r="F4380" t="s">
        <v>41</v>
      </c>
      <c r="G4380">
        <v>-382.69380000000001</v>
      </c>
      <c r="H4380" s="1">
        <v>-3.275025E-6</v>
      </c>
      <c r="I4380">
        <v>140.2115</v>
      </c>
      <c r="J4380">
        <v>-252.083</v>
      </c>
      <c r="K4380">
        <v>1.11069</v>
      </c>
      <c r="L4380">
        <v>141.4195</v>
      </c>
      <c r="M4380">
        <v>-0.99975290000000006</v>
      </c>
      <c r="N4380">
        <v>-1.340156E-2</v>
      </c>
      <c r="O4380">
        <v>1.7739410000000001E-2</v>
      </c>
      <c r="P4380">
        <v>-0.98155630000000005</v>
      </c>
      <c r="Q4380">
        <v>0.17914669999999999</v>
      </c>
      <c r="R4380">
        <v>-6.6737050000000006E-2</v>
      </c>
      <c r="S4380">
        <v>-3.0588989999999998</v>
      </c>
      <c r="T4380">
        <v>-2.5969269999999999E-2</v>
      </c>
      <c r="U4380">
        <v>-2.8152469999999999E-2</v>
      </c>
      <c r="V4380">
        <v>-8.4135520000000005E-2</v>
      </c>
      <c r="W4380">
        <v>0.19226940000000001</v>
      </c>
      <c r="X4380">
        <v>0.97772879999999995</v>
      </c>
      <c r="Y4380">
        <v>-2.693916E-2</v>
      </c>
      <c r="Z4380">
        <v>-2.0772839999999999E-4</v>
      </c>
      <c r="AA4380">
        <v>0.99963709999999995</v>
      </c>
      <c r="AB4380">
        <v>22</v>
      </c>
      <c r="AC4380">
        <v>-130.61080000000001</v>
      </c>
      <c r="AD4380">
        <v>-1.110693275025</v>
      </c>
      <c r="AE4380">
        <v>-1.20799999999999</v>
      </c>
      <c r="AF4380">
        <v>-3.5247214620914602</v>
      </c>
      <c r="AG4380">
        <v>-1.110693275025</v>
      </c>
      <c r="AH4380">
        <v>130.55937219417299</v>
      </c>
      <c r="AI4380">
        <v>90.487236757373495</v>
      </c>
      <c r="AJ4380">
        <v>91.546442956626095</v>
      </c>
      <c r="AK4380">
        <v>130.61166474964199</v>
      </c>
      <c r="AL4380">
        <v>78.914746017203399</v>
      </c>
      <c r="AM4380">
        <v>94.9183004566016</v>
      </c>
      <c r="AN4380">
        <v>0.99999995712573397</v>
      </c>
    </row>
    <row r="4381" spans="1:40" x14ac:dyDescent="0.25">
      <c r="A4381" t="str">
        <f>"20190304155148290"</f>
        <v>20190304155148290</v>
      </c>
      <c r="B4381" t="str">
        <f>"1551685908281203"</f>
        <v>1551685908281203</v>
      </c>
      <c r="C4381" t="s">
        <v>40</v>
      </c>
      <c r="D4381">
        <v>4.8555080000000004</v>
      </c>
      <c r="E4381">
        <v>0.52104010000000001</v>
      </c>
      <c r="F4381" t="s">
        <v>84</v>
      </c>
      <c r="G4381">
        <v>-403.32979999999998</v>
      </c>
      <c r="H4381" s="1">
        <v>-7.05596599999999E-6</v>
      </c>
      <c r="I4381">
        <v>140.1353</v>
      </c>
      <c r="J4381">
        <v>-252.30019999999999</v>
      </c>
      <c r="K4381">
        <v>1.1106670000000001</v>
      </c>
      <c r="L4381">
        <v>141.42339999999999</v>
      </c>
      <c r="M4381">
        <v>-0.99975449999999999</v>
      </c>
      <c r="N4381">
        <v>-1.327221E-2</v>
      </c>
      <c r="O4381">
        <v>1.774804E-2</v>
      </c>
      <c r="P4381">
        <v>-0.98142339999999995</v>
      </c>
      <c r="Q4381">
        <v>0.17974309999999999</v>
      </c>
      <c r="R4381">
        <v>-6.7087499999999994E-2</v>
      </c>
      <c r="S4381">
        <v>-3.0587010000000001</v>
      </c>
      <c r="T4381">
        <v>-2.2461890000000002E-2</v>
      </c>
      <c r="U4381">
        <v>-2.5970460000000001E-2</v>
      </c>
      <c r="V4381">
        <v>-8.4490780000000001E-2</v>
      </c>
      <c r="W4381">
        <v>0.1927382</v>
      </c>
      <c r="X4381">
        <v>0.97760590000000003</v>
      </c>
      <c r="Y4381">
        <v>-2.6235709999999999E-2</v>
      </c>
      <c r="Z4381">
        <v>-1.6520820000000001E-4</v>
      </c>
      <c r="AA4381">
        <v>0.99965579999999998</v>
      </c>
      <c r="AB4381">
        <v>22</v>
      </c>
      <c r="AC4381">
        <v>-151.02959999999999</v>
      </c>
      <c r="AD4381">
        <v>-1.110674055966</v>
      </c>
      <c r="AE4381">
        <v>-1.28809999999998</v>
      </c>
      <c r="AF4381">
        <v>-3.9683976996429702</v>
      </c>
      <c r="AG4381">
        <v>-1.110674055966</v>
      </c>
      <c r="AH4381">
        <v>150.97477969470799</v>
      </c>
      <c r="AI4381">
        <v>90.421353929649399</v>
      </c>
      <c r="AJ4381">
        <v>91.505682585752297</v>
      </c>
      <c r="AK4381">
        <v>151.03100966697801</v>
      </c>
      <c r="AL4381">
        <v>78.887374280554695</v>
      </c>
      <c r="AM4381">
        <v>94.9395831715794</v>
      </c>
      <c r="AN4381">
        <v>1.00000000067952</v>
      </c>
    </row>
    <row r="4382" spans="1:40" x14ac:dyDescent="0.25">
      <c r="A4382" t="str">
        <f>"20190304155148314"</f>
        <v>20190304155148314</v>
      </c>
      <c r="B4382" t="str">
        <f>"1551685908311460"</f>
        <v>1551685908311460</v>
      </c>
      <c r="C4382" t="s">
        <v>40</v>
      </c>
      <c r="D4382">
        <v>4.2206910000000004</v>
      </c>
      <c r="E4382">
        <v>0.52131890000000003</v>
      </c>
      <c r="F4382" t="s">
        <v>84</v>
      </c>
      <c r="G4382">
        <v>-432.37079999999997</v>
      </c>
      <c r="H4382" s="1">
        <v>-1.04353E-5</v>
      </c>
      <c r="I4382">
        <v>139.92580000000001</v>
      </c>
      <c r="J4382">
        <v>-252.5247</v>
      </c>
      <c r="K4382">
        <v>1.110638</v>
      </c>
      <c r="L4382">
        <v>141.4273</v>
      </c>
      <c r="M4382">
        <v>-0.99975630000000004</v>
      </c>
      <c r="N4382">
        <v>-1.313522E-2</v>
      </c>
      <c r="O4382">
        <v>1.7746479999999999E-2</v>
      </c>
      <c r="P4382">
        <v>-0.98130830000000002</v>
      </c>
      <c r="Q4382">
        <v>0.18028159999999999</v>
      </c>
      <c r="R4382">
        <v>-6.7327020000000001E-2</v>
      </c>
      <c r="S4382">
        <v>-3.0585019999999998</v>
      </c>
      <c r="T4382">
        <v>-1.8864869999999999E-2</v>
      </c>
      <c r="U4382">
        <v>-2.5436400000000001E-2</v>
      </c>
      <c r="V4382">
        <v>-8.4725410000000001E-2</v>
      </c>
      <c r="W4382">
        <v>0.19314149999999999</v>
      </c>
      <c r="X4382">
        <v>0.97750599999999999</v>
      </c>
      <c r="Y4382">
        <v>-2.6060440000000001E-2</v>
      </c>
      <c r="Z4382">
        <v>-1.278765E-4</v>
      </c>
      <c r="AA4382">
        <v>0.9996604</v>
      </c>
      <c r="AB4382">
        <v>22</v>
      </c>
      <c r="AC4382">
        <v>-179.84609999999901</v>
      </c>
      <c r="AD4382">
        <v>-1.1106484352999999</v>
      </c>
      <c r="AE4382">
        <v>-1.5014999999999901</v>
      </c>
      <c r="AF4382">
        <v>-4.6929949111944698</v>
      </c>
      <c r="AG4382">
        <v>-1.1106484352999999</v>
      </c>
      <c r="AH4382">
        <v>179.784268075504</v>
      </c>
      <c r="AI4382">
        <v>90.353829568109205</v>
      </c>
      <c r="AJ4382">
        <v>91.495279629650099</v>
      </c>
      <c r="AK4382">
        <v>179.84893880317401</v>
      </c>
      <c r="AL4382">
        <v>78.863824476312999</v>
      </c>
      <c r="AM4382">
        <v>94.953735888599695</v>
      </c>
      <c r="AN4382">
        <v>1.0000000070789501</v>
      </c>
    </row>
    <row r="4383" spans="1:40" x14ac:dyDescent="0.25">
      <c r="A4383" t="str">
        <f>"20190304155148335"</f>
        <v>20190304155148335</v>
      </c>
      <c r="B4383" t="str">
        <f>"1551685908330979"</f>
        <v>1551685908330979</v>
      </c>
      <c r="C4383" t="s">
        <v>40</v>
      </c>
      <c r="D4383">
        <v>4.6987909999999999</v>
      </c>
      <c r="E4383">
        <v>0.46567930000000002</v>
      </c>
      <c r="F4383" t="s">
        <v>77</v>
      </c>
      <c r="G4383">
        <v>-487.86020000000002</v>
      </c>
      <c r="H4383" s="1">
        <v>-1.224143E-5</v>
      </c>
      <c r="I4383">
        <v>139.56030000000001</v>
      </c>
      <c r="J4383">
        <v>-252.74160000000001</v>
      </c>
      <c r="K4383">
        <v>1.1106199999999999</v>
      </c>
      <c r="L4383">
        <v>141.43119999999999</v>
      </c>
      <c r="M4383">
        <v>-0.99975820000000004</v>
      </c>
      <c r="N4383">
        <v>-1.3000390000000001E-2</v>
      </c>
      <c r="O4383">
        <v>1.773715E-2</v>
      </c>
      <c r="P4383">
        <v>-0.98124199999999995</v>
      </c>
      <c r="Q4383">
        <v>0.18045240000000001</v>
      </c>
      <c r="R4383">
        <v>-6.7833519999999994E-2</v>
      </c>
      <c r="S4383">
        <v>-3.0581360000000002</v>
      </c>
      <c r="T4383">
        <v>-1.443267E-2</v>
      </c>
      <c r="U4383">
        <v>-2.426147E-2</v>
      </c>
      <c r="V4383">
        <v>-8.5222549999999994E-2</v>
      </c>
      <c r="W4383">
        <v>0.1931784</v>
      </c>
      <c r="X4383">
        <v>0.97745550000000003</v>
      </c>
      <c r="Y4383">
        <v>-2.566833E-2</v>
      </c>
      <c r="Z4383" s="1">
        <v>-8.0533429999999999E-5</v>
      </c>
      <c r="AA4383">
        <v>0.99967050000000002</v>
      </c>
      <c r="AB4383">
        <v>22</v>
      </c>
      <c r="AC4383">
        <v>-235.11859999999999</v>
      </c>
      <c r="AD4383">
        <v>-1.1106322414299901</v>
      </c>
      <c r="AE4383">
        <v>-1.87089999999997</v>
      </c>
      <c r="AF4383">
        <v>-6.0411570163923898</v>
      </c>
      <c r="AG4383">
        <v>-1.1106322414299901</v>
      </c>
      <c r="AH4383">
        <v>235.043174394164</v>
      </c>
      <c r="AI4383">
        <v>90.270644143013101</v>
      </c>
      <c r="AJ4383">
        <v>91.472310829444595</v>
      </c>
      <c r="AK4383">
        <v>235.12342059301</v>
      </c>
      <c r="AL4383">
        <v>78.861669780561598</v>
      </c>
      <c r="AM4383">
        <v>94.982912959861395</v>
      </c>
      <c r="AN4383">
        <v>1.0000000158676501</v>
      </c>
    </row>
    <row r="4384" spans="1:40" x14ac:dyDescent="0.25">
      <c r="A4384" t="str">
        <f>"20190304155148360"</f>
        <v>20190304155148360</v>
      </c>
      <c r="B4384" t="str">
        <f>"1551685908351476"</f>
        <v>1551685908351476</v>
      </c>
      <c r="C4384" t="s">
        <v>40</v>
      </c>
      <c r="D4384">
        <v>4.9617570000000004</v>
      </c>
      <c r="E4384">
        <v>0.45693</v>
      </c>
      <c r="F4384" t="s">
        <v>89</v>
      </c>
      <c r="G4384">
        <v>-391.74290000000002</v>
      </c>
      <c r="H4384">
        <v>6.9853560000000003</v>
      </c>
      <c r="I4384">
        <v>119.6177</v>
      </c>
      <c r="J4384">
        <v>-252.97540000000001</v>
      </c>
      <c r="K4384">
        <v>1.1106009999999999</v>
      </c>
      <c r="L4384">
        <v>141.43530000000001</v>
      </c>
      <c r="M4384">
        <v>-0.9997606</v>
      </c>
      <c r="N4384">
        <v>-1.284779E-2</v>
      </c>
      <c r="O4384">
        <v>1.7717299999999998E-2</v>
      </c>
      <c r="P4384">
        <v>-0.98146719999999998</v>
      </c>
      <c r="Q4384">
        <v>0.179315</v>
      </c>
      <c r="R4384">
        <v>-6.7592260000000001E-2</v>
      </c>
      <c r="S4384">
        <v>-3.0014949999999998</v>
      </c>
      <c r="T4384">
        <v>0.12685489999999999</v>
      </c>
      <c r="U4384">
        <v>-0.47102359999999999</v>
      </c>
      <c r="V4384">
        <v>-8.4968920000000003E-2</v>
      </c>
      <c r="W4384">
        <v>0.19189410000000001</v>
      </c>
      <c r="X4384">
        <v>0.97773049999999995</v>
      </c>
      <c r="Y4384">
        <v>-0.17238229999999999</v>
      </c>
      <c r="Z4384">
        <v>3.4747570000000002E-3</v>
      </c>
      <c r="AA4384">
        <v>0.98502400000000001</v>
      </c>
      <c r="AB4384">
        <v>22</v>
      </c>
      <c r="AC4384">
        <v>-138.76750000000001</v>
      </c>
      <c r="AD4384">
        <v>5.8747550000000004</v>
      </c>
      <c r="AE4384">
        <v>-21.817599999999999</v>
      </c>
      <c r="AF4384">
        <v>-24.230582765902</v>
      </c>
      <c r="AG4384">
        <v>5.8747550000000004</v>
      </c>
      <c r="AH4384">
        <v>138.117561385367</v>
      </c>
      <c r="AI4384">
        <v>87.601016926447798</v>
      </c>
      <c r="AJ4384">
        <v>99.950397955503803</v>
      </c>
      <c r="AK4384">
        <v>140.34990078559301</v>
      </c>
      <c r="AL4384">
        <v>78.936657577337598</v>
      </c>
      <c r="AM4384">
        <v>94.966767321614995</v>
      </c>
      <c r="AN4384">
        <v>0.99999999680551299</v>
      </c>
    </row>
    <row r="4385" spans="1:40" x14ac:dyDescent="0.25">
      <c r="A4385" t="str">
        <f>"20190304155148382"</f>
        <v>20190304155148382</v>
      </c>
      <c r="B4385" t="str">
        <f>"1551685908370995"</f>
        <v>1551685908370995</v>
      </c>
      <c r="C4385" t="s">
        <v>40</v>
      </c>
      <c r="D4385">
        <v>4.8686059999999998</v>
      </c>
      <c r="E4385">
        <v>0.45274170000000002</v>
      </c>
      <c r="F4385" t="s">
        <v>90</v>
      </c>
      <c r="G4385">
        <v>-342.53829999999999</v>
      </c>
      <c r="H4385">
        <v>4.9209610000000001</v>
      </c>
      <c r="I4385">
        <v>125.2979</v>
      </c>
      <c r="J4385">
        <v>-253.2073</v>
      </c>
      <c r="K4385">
        <v>1.110584</v>
      </c>
      <c r="L4385">
        <v>141.43940000000001</v>
      </c>
      <c r="M4385">
        <v>-0.99976319999999996</v>
      </c>
      <c r="N4385">
        <v>-1.268799E-2</v>
      </c>
      <c r="O4385">
        <v>1.7684809999999999E-2</v>
      </c>
      <c r="P4385">
        <v>-0.98167629999999995</v>
      </c>
      <c r="Q4385">
        <v>0.178314</v>
      </c>
      <c r="R4385">
        <v>-6.7200679999999999E-2</v>
      </c>
      <c r="S4385">
        <v>-2.9962010000000001</v>
      </c>
      <c r="T4385">
        <v>0.12747039999999901</v>
      </c>
      <c r="U4385">
        <v>-0.539856</v>
      </c>
      <c r="V4385">
        <v>-8.4553820000000002E-2</v>
      </c>
      <c r="W4385">
        <v>0.1907375</v>
      </c>
      <c r="X4385">
        <v>0.9779928</v>
      </c>
      <c r="Y4385">
        <v>-0.19455819999999999</v>
      </c>
      <c r="Z4385">
        <v>3.827918E-3</v>
      </c>
      <c r="AA4385">
        <v>0.98088350000000002</v>
      </c>
      <c r="AB4385">
        <v>22</v>
      </c>
      <c r="AC4385">
        <v>-89.330999999999904</v>
      </c>
      <c r="AD4385">
        <v>3.8103769999999901</v>
      </c>
      <c r="AE4385">
        <v>-16.141500000000001</v>
      </c>
      <c r="AF4385">
        <v>-17.687740215285199</v>
      </c>
      <c r="AG4385">
        <v>3.8103769999999901</v>
      </c>
      <c r="AH4385">
        <v>88.8749573620006</v>
      </c>
      <c r="AI4385">
        <v>87.592199236549405</v>
      </c>
      <c r="AJ4385">
        <v>101.255836685982</v>
      </c>
      <c r="AK4385">
        <v>90.698032905366702</v>
      </c>
      <c r="AL4385">
        <v>79.004173354277299</v>
      </c>
      <c r="AM4385">
        <v>94.941304526975799</v>
      </c>
      <c r="AN4385">
        <v>1.0000000296173399</v>
      </c>
    </row>
    <row r="4386" spans="1:40" x14ac:dyDescent="0.25">
      <c r="A4386" t="str">
        <f>"20190304155148405"</f>
        <v>20190304155148405</v>
      </c>
      <c r="B4386" t="str">
        <f>"1551685908401252"</f>
        <v>1551685908401252</v>
      </c>
      <c r="C4386" t="s">
        <v>40</v>
      </c>
      <c r="D4386">
        <v>4.9462270000000004</v>
      </c>
      <c r="E4386">
        <v>0.44993640000000001</v>
      </c>
      <c r="F4386" t="s">
        <v>58</v>
      </c>
      <c r="G4386">
        <v>-368.61149999999998</v>
      </c>
      <c r="H4386">
        <v>5.4016029999999997</v>
      </c>
      <c r="I4386">
        <v>119.42010000000001</v>
      </c>
      <c r="J4386">
        <v>-253.42439999999999</v>
      </c>
      <c r="K4386">
        <v>1.1105689999999999</v>
      </c>
      <c r="L4386">
        <v>141.44319999999999</v>
      </c>
      <c r="M4386">
        <v>-0.99976600000000004</v>
      </c>
      <c r="N4386">
        <v>-1.253319E-2</v>
      </c>
      <c r="O4386">
        <v>1.763729E-2</v>
      </c>
      <c r="P4386">
        <v>-0.98174349999999999</v>
      </c>
      <c r="Q4386">
        <v>0.1781182</v>
      </c>
      <c r="R4386">
        <v>-6.6739220000000002E-2</v>
      </c>
      <c r="S4386">
        <v>-2.9966279999999998</v>
      </c>
      <c r="T4386">
        <v>0.11142249999999999</v>
      </c>
      <c r="U4386">
        <v>-0.57176210000000005</v>
      </c>
      <c r="V4386">
        <v>-8.4052669999999996E-2</v>
      </c>
      <c r="W4386">
        <v>0.1903888</v>
      </c>
      <c r="X4386">
        <v>0.97810390000000003</v>
      </c>
      <c r="Y4386">
        <v>-0.20460729999999999</v>
      </c>
      <c r="Z4386">
        <v>3.3435330000000001E-3</v>
      </c>
      <c r="AA4386">
        <v>0.9788384</v>
      </c>
      <c r="AB4386">
        <v>22</v>
      </c>
      <c r="AC4386">
        <v>-115.1871</v>
      </c>
      <c r="AD4386">
        <v>4.2910339999999998</v>
      </c>
      <c r="AE4386">
        <v>-22.0230999999999</v>
      </c>
      <c r="AF4386">
        <v>-24.019263854855001</v>
      </c>
      <c r="AG4386">
        <v>4.2910339999999998</v>
      </c>
      <c r="AH4386">
        <v>114.627255841513</v>
      </c>
      <c r="AI4386">
        <v>87.901681741073602</v>
      </c>
      <c r="AJ4386">
        <v>101.834662580661</v>
      </c>
      <c r="AK4386">
        <v>117.195331778506</v>
      </c>
      <c r="AL4386">
        <v>79.024524934963694</v>
      </c>
      <c r="AM4386">
        <v>94.911605939024696</v>
      </c>
      <c r="AN4386">
        <v>0.99999999284738905</v>
      </c>
    </row>
    <row r="4387" spans="1:40" x14ac:dyDescent="0.25">
      <c r="A4387" t="str">
        <f>"20190304155148424"</f>
        <v>20190304155148424</v>
      </c>
      <c r="B4387" t="str">
        <f>"1551685908420772"</f>
        <v>1551685908420772</v>
      </c>
      <c r="C4387" t="s">
        <v>40</v>
      </c>
      <c r="D4387">
        <v>4.6954929999999999</v>
      </c>
      <c r="E4387">
        <v>0.44936500000000001</v>
      </c>
      <c r="F4387" t="s">
        <v>58</v>
      </c>
      <c r="G4387">
        <v>-366.89620000000002</v>
      </c>
      <c r="H4387">
        <v>5.0213950000000001</v>
      </c>
      <c r="I4387">
        <v>119.0014</v>
      </c>
      <c r="J4387">
        <v>-253.6267</v>
      </c>
      <c r="K4387">
        <v>1.1105659999999999</v>
      </c>
      <c r="L4387">
        <v>141.44669999999999</v>
      </c>
      <c r="M4387">
        <v>-0.99976889999999996</v>
      </c>
      <c r="N4387">
        <v>-1.239346E-2</v>
      </c>
      <c r="O4387">
        <v>1.757589E-2</v>
      </c>
      <c r="P4387">
        <v>-0.98172550000000003</v>
      </c>
      <c r="Q4387">
        <v>0.1783256</v>
      </c>
      <c r="R4387">
        <v>-6.6449820000000007E-2</v>
      </c>
      <c r="S4387">
        <v>-2.9967649999999999</v>
      </c>
      <c r="T4387">
        <v>0.1032845</v>
      </c>
      <c r="U4387">
        <v>-0.59268189999999998</v>
      </c>
      <c r="V4387">
        <v>-8.3707820000000002E-2</v>
      </c>
      <c r="W4387">
        <v>0.19045719999999999</v>
      </c>
      <c r="X4387">
        <v>0.97812010000000005</v>
      </c>
      <c r="Y4387">
        <v>-0.2111344</v>
      </c>
      <c r="Z4387">
        <v>3.0968749999999998E-3</v>
      </c>
      <c r="AA4387">
        <v>0.97745219999999999</v>
      </c>
      <c r="AB4387">
        <v>22</v>
      </c>
      <c r="AC4387">
        <v>-113.26949999999999</v>
      </c>
      <c r="AD4387">
        <v>3.9108290000000001</v>
      </c>
      <c r="AE4387">
        <v>-22.4452999999999</v>
      </c>
      <c r="AF4387">
        <v>-24.404803532519299</v>
      </c>
      <c r="AG4387">
        <v>3.9108290000000001</v>
      </c>
      <c r="AH4387">
        <v>112.728168932174</v>
      </c>
      <c r="AI4387">
        <v>88.058012257960002</v>
      </c>
      <c r="AJ4387">
        <v>102.21559097506299</v>
      </c>
      <c r="AK4387">
        <v>115.405931778782</v>
      </c>
      <c r="AL4387">
        <v>79.020532237347993</v>
      </c>
      <c r="AM4387">
        <v>94.891472029568803</v>
      </c>
      <c r="AN4387">
        <v>0.99999993709249901</v>
      </c>
    </row>
    <row r="4388" spans="1:40" x14ac:dyDescent="0.25">
      <c r="A4388" t="str">
        <f>"20190304155148447"</f>
        <v>20190304155148447</v>
      </c>
      <c r="B4388" t="str">
        <f>"1551685908441268"</f>
        <v>1551685908441268</v>
      </c>
      <c r="C4388" t="s">
        <v>40</v>
      </c>
      <c r="D4388">
        <v>4.8054309999999996</v>
      </c>
      <c r="E4388">
        <v>0.44845780000000002</v>
      </c>
      <c r="F4388" t="s">
        <v>58</v>
      </c>
      <c r="G4388">
        <v>-366.42680000000001</v>
      </c>
      <c r="H4388">
        <v>5.0284190000000004</v>
      </c>
      <c r="I4388">
        <v>119.0014</v>
      </c>
      <c r="J4388">
        <v>-253.84950000000001</v>
      </c>
      <c r="K4388">
        <v>1.110563</v>
      </c>
      <c r="L4388">
        <v>141.45050000000001</v>
      </c>
      <c r="M4388">
        <v>-0.99977210000000005</v>
      </c>
      <c r="N4388">
        <v>-1.224772E-2</v>
      </c>
      <c r="O4388">
        <v>1.74897E-2</v>
      </c>
      <c r="P4388">
        <v>-0.98170270000000004</v>
      </c>
      <c r="Q4388">
        <v>0.1782089</v>
      </c>
      <c r="R4388">
        <v>-6.7095080000000001E-2</v>
      </c>
      <c r="S4388">
        <v>-2.9965820000000001</v>
      </c>
      <c r="T4388">
        <v>0.1040797</v>
      </c>
      <c r="U4388">
        <v>-0.59626769999999996</v>
      </c>
      <c r="V4388">
        <v>-8.427511E-2</v>
      </c>
      <c r="W4388">
        <v>0.19019449999999999</v>
      </c>
      <c r="X4388">
        <v>0.97812259999999995</v>
      </c>
      <c r="Y4388">
        <v>-0.21218419999999999</v>
      </c>
      <c r="Z4388">
        <v>3.1493480000000002E-3</v>
      </c>
      <c r="AA4388">
        <v>0.9772246</v>
      </c>
      <c r="AB4388">
        <v>22</v>
      </c>
      <c r="AC4388">
        <v>-112.57729999999999</v>
      </c>
      <c r="AD4388">
        <v>3.917856</v>
      </c>
      <c r="AE4388">
        <v>-22.449100000000001</v>
      </c>
      <c r="AF4388">
        <v>-24.386350697363198</v>
      </c>
      <c r="AG4388">
        <v>3.917856</v>
      </c>
      <c r="AH4388">
        <v>112.03691726405999</v>
      </c>
      <c r="AI4388">
        <v>88.043006349496906</v>
      </c>
      <c r="AJ4388">
        <v>102.27966631407701</v>
      </c>
      <c r="AK4388">
        <v>114.727130732034</v>
      </c>
      <c r="AL4388">
        <v>79.035865136856302</v>
      </c>
      <c r="AM4388">
        <v>94.924446666952306</v>
      </c>
      <c r="AN4388">
        <v>1.00000003131326</v>
      </c>
    </row>
    <row r="4389" spans="1:40" x14ac:dyDescent="0.25">
      <c r="A4389" t="str">
        <f>"20190304155148471"</f>
        <v>20190304155148471</v>
      </c>
      <c r="B4389" t="str">
        <f>"1551685908461763"</f>
        <v>1551685908461763</v>
      </c>
      <c r="C4389" t="s">
        <v>40</v>
      </c>
      <c r="D4389">
        <v>4.861599</v>
      </c>
      <c r="E4389">
        <v>0.44766860000000003</v>
      </c>
      <c r="F4389" t="s">
        <v>58</v>
      </c>
      <c r="G4389">
        <v>-364.93939999999998</v>
      </c>
      <c r="H4389">
        <v>5.1655989999999896</v>
      </c>
      <c r="I4389">
        <v>119.00149999999999</v>
      </c>
      <c r="J4389">
        <v>-254.08199999999999</v>
      </c>
      <c r="K4389">
        <v>1.1105579999999999</v>
      </c>
      <c r="L4389">
        <v>141.4545</v>
      </c>
      <c r="M4389">
        <v>-0.99977579999999999</v>
      </c>
      <c r="N4389">
        <v>-1.210083E-2</v>
      </c>
      <c r="O4389">
        <v>1.7380110000000001E-2</v>
      </c>
      <c r="P4389">
        <v>-0.98168619999999995</v>
      </c>
      <c r="Q4389">
        <v>0.178163299999999</v>
      </c>
      <c r="R4389">
        <v>-6.7458589999999999E-2</v>
      </c>
      <c r="S4389">
        <v>-2.9947509999999999</v>
      </c>
      <c r="T4389">
        <v>0.1093156</v>
      </c>
      <c r="U4389">
        <v>-0.60517880000000002</v>
      </c>
      <c r="V4389">
        <v>-8.4536249999999993E-2</v>
      </c>
      <c r="W4389">
        <v>0.19000210000000001</v>
      </c>
      <c r="X4389">
        <v>0.97813740000000005</v>
      </c>
      <c r="Y4389">
        <v>-0.21497250000000001</v>
      </c>
      <c r="Z4389">
        <v>3.4051440000000001E-3</v>
      </c>
      <c r="AA4389">
        <v>0.97661419999999999</v>
      </c>
      <c r="AB4389">
        <v>22</v>
      </c>
      <c r="AC4389">
        <v>-110.857399999999</v>
      </c>
      <c r="AD4389">
        <v>4.0550409999999903</v>
      </c>
      <c r="AE4389">
        <v>-22.452999999999999</v>
      </c>
      <c r="AF4389">
        <v>-24.345172216463901</v>
      </c>
      <c r="AG4389">
        <v>4.0550409999999903</v>
      </c>
      <c r="AH4389">
        <v>110.30861033234299</v>
      </c>
      <c r="AI4389">
        <v>87.944135032371307</v>
      </c>
      <c r="AJ4389">
        <v>102.44569904993401</v>
      </c>
      <c r="AK4389">
        <v>113.035924737287</v>
      </c>
      <c r="AL4389">
        <v>79.047092963923106</v>
      </c>
      <c r="AM4389">
        <v>94.939556104414095</v>
      </c>
      <c r="AN4389">
        <v>0.99999997442361599</v>
      </c>
    </row>
    <row r="4390" spans="1:40" x14ac:dyDescent="0.25">
      <c r="A4390" t="str">
        <f>"20190304155148492"</f>
        <v>20190304155148492</v>
      </c>
      <c r="B4390" t="str">
        <f>"1551685908481283"</f>
        <v>1551685908481283</v>
      </c>
      <c r="C4390" t="s">
        <v>40</v>
      </c>
      <c r="D4390">
        <v>4.6461209999999999</v>
      </c>
      <c r="E4390">
        <v>0.44735279999999999</v>
      </c>
      <c r="F4390" t="s">
        <v>58</v>
      </c>
      <c r="G4390">
        <v>-363.8553</v>
      </c>
      <c r="H4390">
        <v>5.0915229999999996</v>
      </c>
      <c r="I4390">
        <v>119.0014</v>
      </c>
      <c r="J4390">
        <v>-254.29929999999999</v>
      </c>
      <c r="K4390">
        <v>1.1105529999999999</v>
      </c>
      <c r="L4390">
        <v>141.4581</v>
      </c>
      <c r="M4390">
        <v>-0.99977930000000004</v>
      </c>
      <c r="N4390">
        <v>-1.19705E-2</v>
      </c>
      <c r="O4390">
        <v>1.7265820000000001E-2</v>
      </c>
      <c r="P4390">
        <v>-0.98171589999999997</v>
      </c>
      <c r="Q4390">
        <v>0.17792339999999901</v>
      </c>
      <c r="R4390">
        <v>-6.7656610000000006E-2</v>
      </c>
      <c r="S4390">
        <v>-2.9941710000000001</v>
      </c>
      <c r="T4390">
        <v>0.1085849</v>
      </c>
      <c r="U4390">
        <v>-0.61242680000000005</v>
      </c>
      <c r="V4390">
        <v>-8.4626789999999993E-2</v>
      </c>
      <c r="W4390">
        <v>0.1896342</v>
      </c>
      <c r="X4390">
        <v>0.97820099999999999</v>
      </c>
      <c r="Y4390">
        <v>-0.21716779999999999</v>
      </c>
      <c r="Z4390">
        <v>3.4070020000000001E-3</v>
      </c>
      <c r="AA4390">
        <v>0.97612829999999995</v>
      </c>
      <c r="AB4390">
        <v>22</v>
      </c>
      <c r="AC4390">
        <v>-109.556</v>
      </c>
      <c r="AD4390">
        <v>3.9809699999999899</v>
      </c>
      <c r="AE4390">
        <v>-22.456700000000001</v>
      </c>
      <c r="AF4390">
        <v>-24.3142516642693</v>
      </c>
      <c r="AG4390">
        <v>3.9809699999999899</v>
      </c>
      <c r="AH4390">
        <v>109.013767833372</v>
      </c>
      <c r="AI4390">
        <v>87.958712170962997</v>
      </c>
      <c r="AJ4390">
        <v>102.573360555281</v>
      </c>
      <c r="AK4390">
        <v>111.763287949857</v>
      </c>
      <c r="AL4390">
        <v>79.068562804806803</v>
      </c>
      <c r="AM4390">
        <v>94.944500345540504</v>
      </c>
      <c r="AN4390">
        <v>1.0000000098981701</v>
      </c>
    </row>
    <row r="4391" spans="1:40" x14ac:dyDescent="0.25">
      <c r="A4391" t="str">
        <f>"20190304155148515"</f>
        <v>20190304155148515</v>
      </c>
      <c r="B4391" t="str">
        <f>"1551685908511539"</f>
        <v>1551685908511539</v>
      </c>
      <c r="C4391" t="s">
        <v>40</v>
      </c>
      <c r="D4391">
        <v>4.6358969999999999</v>
      </c>
      <c r="E4391">
        <v>0.44691419999999998</v>
      </c>
      <c r="F4391" t="s">
        <v>58</v>
      </c>
      <c r="G4391">
        <v>-363.53859999999997</v>
      </c>
      <c r="H4391">
        <v>5.0816140000000001</v>
      </c>
      <c r="I4391">
        <v>119.0014</v>
      </c>
      <c r="J4391">
        <v>-254.52379999999999</v>
      </c>
      <c r="K4391">
        <v>1.1105499999999999</v>
      </c>
      <c r="L4391">
        <v>141.46180000000001</v>
      </c>
      <c r="M4391">
        <v>-0.99978299999999998</v>
      </c>
      <c r="N4391">
        <v>-1.184699E-2</v>
      </c>
      <c r="O4391">
        <v>1.7139189999999999E-2</v>
      </c>
      <c r="P4391">
        <v>-0.98170449999999998</v>
      </c>
      <c r="Q4391">
        <v>0.1776934</v>
      </c>
      <c r="R4391">
        <v>-6.8419939999999999E-2</v>
      </c>
      <c r="S4391">
        <v>-2.993744</v>
      </c>
      <c r="T4391">
        <v>0.1088288</v>
      </c>
      <c r="U4391">
        <v>-0.61543269999999906</v>
      </c>
      <c r="V4391">
        <v>-8.5267510000000005E-2</v>
      </c>
      <c r="W4391">
        <v>0.18928159999999999</v>
      </c>
      <c r="X4391">
        <v>0.97821369999999996</v>
      </c>
      <c r="Y4391">
        <v>-0.21801090000000001</v>
      </c>
      <c r="Z4391">
        <v>3.4326830000000002E-3</v>
      </c>
      <c r="AA4391">
        <v>0.97594029999999998</v>
      </c>
      <c r="AB4391">
        <v>22</v>
      </c>
      <c r="AC4391">
        <v>-109.014799999999</v>
      </c>
      <c r="AD4391">
        <v>3.9710640000000001</v>
      </c>
      <c r="AE4391">
        <v>-22.4604</v>
      </c>
      <c r="AF4391">
        <v>-24.294732435225701</v>
      </c>
      <c r="AG4391">
        <v>3.9710640000000001</v>
      </c>
      <c r="AH4391">
        <v>108.47572806874901</v>
      </c>
      <c r="AI4391">
        <v>87.954099371422103</v>
      </c>
      <c r="AJ4391">
        <v>102.623910223878</v>
      </c>
      <c r="AK4391">
        <v>111.233928967004</v>
      </c>
      <c r="AL4391">
        <v>79.0891384629697</v>
      </c>
      <c r="AM4391">
        <v>94.981683737775398</v>
      </c>
      <c r="AN4391">
        <v>1.0000000576139201</v>
      </c>
    </row>
    <row r="4392" spans="1:40" x14ac:dyDescent="0.25">
      <c r="A4392" t="str">
        <f>"20190304155148536"</f>
        <v>20190304155148536</v>
      </c>
      <c r="B4392" t="str">
        <f>"1551685908531060"</f>
        <v>1551685908531060</v>
      </c>
      <c r="C4392" t="s">
        <v>40</v>
      </c>
      <c r="D4392">
        <v>4.4986689999999996</v>
      </c>
      <c r="E4392">
        <v>0.44677169999999999</v>
      </c>
      <c r="F4392" t="s">
        <v>58</v>
      </c>
      <c r="G4392">
        <v>-362.75330000000002</v>
      </c>
      <c r="H4392">
        <v>5.0572179999999998</v>
      </c>
      <c r="I4392">
        <v>119.0014</v>
      </c>
      <c r="J4392">
        <v>-254.73750000000001</v>
      </c>
      <c r="K4392">
        <v>1.1105419999999999</v>
      </c>
      <c r="L4392">
        <v>141.46539999999999</v>
      </c>
      <c r="M4392">
        <v>-0.99978650000000002</v>
      </c>
      <c r="N4392">
        <v>-1.173715E-2</v>
      </c>
      <c r="O4392">
        <v>1.7014129999999999E-2</v>
      </c>
      <c r="P4392">
        <v>-0.98175679999999999</v>
      </c>
      <c r="Q4392">
        <v>0.17717249999999901</v>
      </c>
      <c r="R4392">
        <v>-6.9021659999999999E-2</v>
      </c>
      <c r="S4392">
        <v>-2.9928590000000002</v>
      </c>
      <c r="T4392">
        <v>0.1091371</v>
      </c>
      <c r="U4392">
        <v>-0.62109380000000003</v>
      </c>
      <c r="V4392">
        <v>-8.5748249999999998E-2</v>
      </c>
      <c r="W4392">
        <v>0.18865319999999999</v>
      </c>
      <c r="X4392">
        <v>0.97829299999999997</v>
      </c>
      <c r="Y4392">
        <v>-0.2197141</v>
      </c>
      <c r="Z4392">
        <v>3.4705830000000002E-3</v>
      </c>
      <c r="AA4392">
        <v>0.97555820000000004</v>
      </c>
      <c r="AB4392">
        <v>22</v>
      </c>
      <c r="AC4392">
        <v>-108.0158</v>
      </c>
      <c r="AD4392">
        <v>3.9466760000000001</v>
      </c>
      <c r="AE4392">
        <v>-22.463999999999899</v>
      </c>
      <c r="AF4392">
        <v>-24.2676144310655</v>
      </c>
      <c r="AG4392">
        <v>3.9466760000000001</v>
      </c>
      <c r="AH4392">
        <v>107.48039090124399</v>
      </c>
      <c r="AI4392">
        <v>87.948638873886594</v>
      </c>
      <c r="AJ4392">
        <v>102.72326452291701</v>
      </c>
      <c r="AK4392">
        <v>110.256645105445</v>
      </c>
      <c r="AL4392">
        <v>79.125803003280296</v>
      </c>
      <c r="AM4392">
        <v>95.009224033294998</v>
      </c>
      <c r="AN4392">
        <v>0.99999999304865095</v>
      </c>
    </row>
    <row r="4393" spans="1:40" x14ac:dyDescent="0.25">
      <c r="A4393" t="str">
        <f>"20190304155148562"</f>
        <v>20190304155148562</v>
      </c>
      <c r="B4393" t="str">
        <f>"1551685908551555"</f>
        <v>1551685908551555</v>
      </c>
      <c r="C4393" t="s">
        <v>40</v>
      </c>
      <c r="D4393">
        <v>4.5772899999999996</v>
      </c>
      <c r="E4393">
        <v>0.44657999999999998</v>
      </c>
      <c r="F4393" t="s">
        <v>58</v>
      </c>
      <c r="G4393">
        <v>-362.47669999999999</v>
      </c>
      <c r="H4393">
        <v>4.9144480000000001</v>
      </c>
      <c r="I4393">
        <v>119.0014</v>
      </c>
      <c r="J4393">
        <v>-254.98169999999999</v>
      </c>
      <c r="K4393">
        <v>1.1105339999999999</v>
      </c>
      <c r="L4393">
        <v>141.46940000000001</v>
      </c>
      <c r="M4393">
        <v>-0.99979019999999996</v>
      </c>
      <c r="N4393">
        <v>-1.162151E-2</v>
      </c>
      <c r="O4393">
        <v>1.687077E-2</v>
      </c>
      <c r="P4393">
        <v>-0.98179959999999999</v>
      </c>
      <c r="Q4393">
        <v>0.1766945</v>
      </c>
      <c r="R4393">
        <v>-6.9633009999999995E-2</v>
      </c>
      <c r="S4393">
        <v>-2.9927980000000001</v>
      </c>
      <c r="T4393">
        <v>0.10566589999999999</v>
      </c>
      <c r="U4393">
        <v>-0.62400819999999901</v>
      </c>
      <c r="V4393">
        <v>-8.621906E-2</v>
      </c>
      <c r="W4393">
        <v>0.1880627</v>
      </c>
      <c r="X4393">
        <v>0.97836529999999999</v>
      </c>
      <c r="Y4393">
        <v>-0.22049640000000001</v>
      </c>
      <c r="Z4393">
        <v>3.337956E-3</v>
      </c>
      <c r="AA4393">
        <v>0.97538210000000003</v>
      </c>
      <c r="AB4393">
        <v>22</v>
      </c>
      <c r="AC4393">
        <v>-107.495</v>
      </c>
      <c r="AD4393">
        <v>3.8039139999999998</v>
      </c>
      <c r="AE4393">
        <v>-22.468</v>
      </c>
      <c r="AF4393">
        <v>-24.249352916567201</v>
      </c>
      <c r="AG4393">
        <v>3.8039139999999998</v>
      </c>
      <c r="AH4393">
        <v>106.972274018267</v>
      </c>
      <c r="AI4393">
        <v>88.013783145131299</v>
      </c>
      <c r="AJ4393">
        <v>102.77241637890501</v>
      </c>
      <c r="AK4393">
        <v>109.752304245655</v>
      </c>
      <c r="AL4393">
        <v>79.160252685926693</v>
      </c>
      <c r="AM4393">
        <v>95.036216349754795</v>
      </c>
      <c r="AN4393">
        <v>0.99999998284133096</v>
      </c>
    </row>
    <row r="4394" spans="1:40" x14ac:dyDescent="0.25">
      <c r="A4394" t="str">
        <f>"20190304155148582"</f>
        <v>20190304155148582</v>
      </c>
      <c r="B4394" t="str">
        <f>"1551685908571075"</f>
        <v>1551685908571075</v>
      </c>
      <c r="C4394" t="s">
        <v>40</v>
      </c>
      <c r="D4394">
        <v>4.5680670000000001</v>
      </c>
      <c r="E4394">
        <v>0.44614100000000001</v>
      </c>
      <c r="F4394" t="s">
        <v>58</v>
      </c>
      <c r="G4394">
        <v>-362.1746</v>
      </c>
      <c r="H4394">
        <v>4.8712970000000002</v>
      </c>
      <c r="I4394">
        <v>119.0014</v>
      </c>
      <c r="J4394">
        <v>-255.19800000000001</v>
      </c>
      <c r="K4394">
        <v>1.1105210000000001</v>
      </c>
      <c r="L4394">
        <v>141.47290000000001</v>
      </c>
      <c r="M4394">
        <v>-0.9997935</v>
      </c>
      <c r="N4394">
        <v>-1.153034E-2</v>
      </c>
      <c r="O4394">
        <v>1.674581E-2</v>
      </c>
      <c r="P4394">
        <v>-0.98181960000000001</v>
      </c>
      <c r="Q4394">
        <v>0.17644699999999999</v>
      </c>
      <c r="R4394">
        <v>-6.9979E-2</v>
      </c>
      <c r="S4394">
        <v>-2.9922330000000001</v>
      </c>
      <c r="T4394">
        <v>0.10498</v>
      </c>
      <c r="U4394">
        <v>-0.62718200000000002</v>
      </c>
      <c r="V4394">
        <v>-8.6442569999999996E-2</v>
      </c>
      <c r="W4394">
        <v>0.18772639999999999</v>
      </c>
      <c r="X4394">
        <v>0.97841020000000001</v>
      </c>
      <c r="Y4394">
        <v>-0.2214035</v>
      </c>
      <c r="Z4394">
        <v>3.3226670000000001E-3</v>
      </c>
      <c r="AA4394">
        <v>0.97517659999999995</v>
      </c>
      <c r="AB4394">
        <v>22</v>
      </c>
      <c r="AC4394">
        <v>-106.9766</v>
      </c>
      <c r="AD4394">
        <v>3.7607759999999999</v>
      </c>
      <c r="AE4394">
        <v>-22.471499999999999</v>
      </c>
      <c r="AF4394">
        <v>-24.2311957979623</v>
      </c>
      <c r="AG4394">
        <v>3.7607759999999999</v>
      </c>
      <c r="AH4394">
        <v>106.45925831709999</v>
      </c>
      <c r="AI4394">
        <v>88.027227052491497</v>
      </c>
      <c r="AJ4394">
        <v>102.822641951498</v>
      </c>
      <c r="AK4394">
        <v>109.246821314619</v>
      </c>
      <c r="AL4394">
        <v>79.179871068264703</v>
      </c>
      <c r="AM4394">
        <v>95.048974069730306</v>
      </c>
      <c r="AN4394">
        <v>1.0000000193145999</v>
      </c>
    </row>
    <row r="4395" spans="1:40" x14ac:dyDescent="0.25">
      <c r="A4395" t="str">
        <f>"20190304155148603"</f>
        <v>20190304155148603</v>
      </c>
      <c r="B4395" t="str">
        <f>"1551685908601331"</f>
        <v>1551685908601331</v>
      </c>
      <c r="C4395" t="s">
        <v>40</v>
      </c>
      <c r="D4395">
        <v>4.4734160000000003</v>
      </c>
      <c r="E4395">
        <v>0.44575199999999998</v>
      </c>
      <c r="F4395" t="s">
        <v>58</v>
      </c>
      <c r="G4395">
        <v>-361.61040000000003</v>
      </c>
      <c r="H4395">
        <v>4.8317009999999998</v>
      </c>
      <c r="I4395">
        <v>119.0014</v>
      </c>
      <c r="J4395">
        <v>-255.40559999999999</v>
      </c>
      <c r="K4395">
        <v>1.110514</v>
      </c>
      <c r="L4395">
        <v>141.47620000000001</v>
      </c>
      <c r="M4395">
        <v>-0.99979620000000002</v>
      </c>
      <c r="N4395">
        <v>-1.1453090000000001E-2</v>
      </c>
      <c r="O4395">
        <v>1.6629229999999998E-2</v>
      </c>
      <c r="P4395">
        <v>-0.98181130000000005</v>
      </c>
      <c r="Q4395">
        <v>0.17641760000000001</v>
      </c>
      <c r="R4395">
        <v>-7.0166930000000002E-2</v>
      </c>
      <c r="S4395">
        <v>-2.99173</v>
      </c>
      <c r="T4395">
        <v>0.1046194</v>
      </c>
      <c r="U4395">
        <v>-0.63177490000000003</v>
      </c>
      <c r="V4395">
        <v>-8.6515259999999997E-2</v>
      </c>
      <c r="W4395">
        <v>0.1876225</v>
      </c>
      <c r="X4395">
        <v>0.97842370000000001</v>
      </c>
      <c r="Y4395">
        <v>-0.22275629999999999</v>
      </c>
      <c r="Z4395">
        <v>3.3248660000000001E-3</v>
      </c>
      <c r="AA4395">
        <v>0.97486850000000003</v>
      </c>
      <c r="AB4395">
        <v>22</v>
      </c>
      <c r="AC4395">
        <v>-106.20480000000001</v>
      </c>
      <c r="AD4395">
        <v>3.721187</v>
      </c>
      <c r="AE4395">
        <v>-22.474799999999998</v>
      </c>
      <c r="AF4395">
        <v>-24.2094647948107</v>
      </c>
      <c r="AG4395">
        <v>3.721187</v>
      </c>
      <c r="AH4395">
        <v>105.6921580035</v>
      </c>
      <c r="AI4395">
        <v>88.034438047460398</v>
      </c>
      <c r="AJ4395">
        <v>102.90140573268999</v>
      </c>
      <c r="AK4395">
        <v>108.49321491124201</v>
      </c>
      <c r="AL4395">
        <v>79.185931740601404</v>
      </c>
      <c r="AM4395">
        <v>95.053128443338693</v>
      </c>
      <c r="AN4395">
        <v>1.0000000147204</v>
      </c>
    </row>
    <row r="4396" spans="1:40" x14ac:dyDescent="0.25">
      <c r="A4396" t="str">
        <f>"20190304155148625"</f>
        <v>20190304155148625</v>
      </c>
      <c r="B4396" t="str">
        <f>"1551685908620852"</f>
        <v>1551685908620852</v>
      </c>
      <c r="C4396" t="s">
        <v>40</v>
      </c>
      <c r="D4396">
        <v>4.5018449999999897</v>
      </c>
      <c r="E4396">
        <v>0.44566070000000002</v>
      </c>
      <c r="F4396" t="s">
        <v>58</v>
      </c>
      <c r="G4396">
        <v>-361.19299999999998</v>
      </c>
      <c r="H4396">
        <v>4.9250910000000001</v>
      </c>
      <c r="I4396">
        <v>119.0014</v>
      </c>
      <c r="J4396">
        <v>-255.6268</v>
      </c>
      <c r="K4396">
        <v>1.1105080000000001</v>
      </c>
      <c r="L4396">
        <v>141.47980000000001</v>
      </c>
      <c r="M4396">
        <v>-0.99979899999999999</v>
      </c>
      <c r="N4396">
        <v>-1.138017E-2</v>
      </c>
      <c r="O4396">
        <v>1.6507669999999999E-2</v>
      </c>
      <c r="P4396">
        <v>-0.98181350000000001</v>
      </c>
      <c r="Q4396">
        <v>0.17648050000000001</v>
      </c>
      <c r="R4396">
        <v>-6.9977570000000003E-2</v>
      </c>
      <c r="S4396">
        <v>-2.9908139999999999</v>
      </c>
      <c r="T4396">
        <v>0.10784580000000001</v>
      </c>
      <c r="U4396">
        <v>-0.63540649999999999</v>
      </c>
      <c r="V4396">
        <v>-8.6206080000000004E-2</v>
      </c>
      <c r="W4396">
        <v>0.187614</v>
      </c>
      <c r="X4396">
        <v>0.97845260000000001</v>
      </c>
      <c r="Y4396">
        <v>-0.22382270000000001</v>
      </c>
      <c r="Z4396">
        <v>3.47606E-3</v>
      </c>
      <c r="AA4396">
        <v>0.97462369999999998</v>
      </c>
      <c r="AB4396">
        <v>22</v>
      </c>
      <c r="AC4396">
        <v>-105.56619999999999</v>
      </c>
      <c r="AD4396">
        <v>3.8145829999999998</v>
      </c>
      <c r="AE4396">
        <v>-22.478400000000001</v>
      </c>
      <c r="AF4396">
        <v>-24.187889110453501</v>
      </c>
      <c r="AG4396">
        <v>3.8145829999999998</v>
      </c>
      <c r="AH4396">
        <v>105.049509363944</v>
      </c>
      <c r="AI4396">
        <v>87.973358229167999</v>
      </c>
      <c r="AJ4396">
        <v>102.96649214061701</v>
      </c>
      <c r="AK4396">
        <v>107.86567776957099</v>
      </c>
      <c r="AL4396">
        <v>79.186427352790602</v>
      </c>
      <c r="AM4396">
        <v>95.035015095014998</v>
      </c>
      <c r="AN4396">
        <v>0.99999999583586296</v>
      </c>
    </row>
    <row r="4397" spans="1:40" x14ac:dyDescent="0.25">
      <c r="A4397" t="str">
        <f>"20190304155148649"</f>
        <v>20190304155148649</v>
      </c>
      <c r="B4397" t="str">
        <f>"1551685908641348"</f>
        <v>1551685908641348</v>
      </c>
      <c r="C4397" t="s">
        <v>40</v>
      </c>
      <c r="D4397">
        <v>4.4342410000000001</v>
      </c>
      <c r="E4397">
        <v>0.4455827</v>
      </c>
      <c r="F4397" t="s">
        <v>58</v>
      </c>
      <c r="G4397">
        <v>-361.36680000000001</v>
      </c>
      <c r="H4397">
        <v>5.0222740000000003</v>
      </c>
      <c r="I4397">
        <v>119.0014</v>
      </c>
      <c r="J4397">
        <v>-255.86070000000001</v>
      </c>
      <c r="K4397">
        <v>1.110501</v>
      </c>
      <c r="L4397">
        <v>141.48349999999999</v>
      </c>
      <c r="M4397">
        <v>-0.99980190000000002</v>
      </c>
      <c r="N4397">
        <v>-1.1312569999999999E-2</v>
      </c>
      <c r="O4397">
        <v>1.638268E-2</v>
      </c>
      <c r="P4397">
        <v>-0.98173960000000005</v>
      </c>
      <c r="Q4397">
        <v>0.176821799999999</v>
      </c>
      <c r="R4397">
        <v>-7.0154389999999997E-2</v>
      </c>
      <c r="S4397">
        <v>-2.9903719999999998</v>
      </c>
      <c r="T4397">
        <v>0.11062669999999999</v>
      </c>
      <c r="U4397">
        <v>-0.63569639999999905</v>
      </c>
      <c r="V4397">
        <v>-8.6257899999999998E-2</v>
      </c>
      <c r="W4397">
        <v>0.18788850000000001</v>
      </c>
      <c r="X4397">
        <v>0.97839529999999997</v>
      </c>
      <c r="Y4397">
        <v>-0.2238136</v>
      </c>
      <c r="Z4397">
        <v>3.595095E-3</v>
      </c>
      <c r="AA4397">
        <v>0.97462530000000003</v>
      </c>
      <c r="AB4397">
        <v>22</v>
      </c>
      <c r="AC4397">
        <v>-105.5061</v>
      </c>
      <c r="AD4397">
        <v>3.91177299999999</v>
      </c>
      <c r="AE4397">
        <v>-22.4820999999999</v>
      </c>
      <c r="AF4397">
        <v>-24.175875610448699</v>
      </c>
      <c r="AG4397">
        <v>3.91177299999999</v>
      </c>
      <c r="AH4397">
        <v>104.985548139108</v>
      </c>
      <c r="AI4397">
        <v>87.920513790804407</v>
      </c>
      <c r="AJ4397">
        <v>102.967898577795</v>
      </c>
      <c r="AK4397">
        <v>107.80417546461</v>
      </c>
      <c r="AL4397">
        <v>79.170414276105106</v>
      </c>
      <c r="AM4397">
        <v>95.038319694517597</v>
      </c>
      <c r="AN4397">
        <v>0.99999993840337298</v>
      </c>
    </row>
    <row r="4398" spans="1:40" x14ac:dyDescent="0.25">
      <c r="A4398" t="str">
        <f>"20190304155148670"</f>
        <v>20190304155148670</v>
      </c>
      <c r="B4398" t="str">
        <f>"1551685908660868"</f>
        <v>1551685908660868</v>
      </c>
      <c r="C4398" t="s">
        <v>40</v>
      </c>
      <c r="D4398">
        <v>4.4239179999999996</v>
      </c>
      <c r="E4398">
        <v>0.44553609999999999</v>
      </c>
      <c r="F4398" t="s">
        <v>58</v>
      </c>
      <c r="G4398">
        <v>-361.41660000000002</v>
      </c>
      <c r="H4398">
        <v>5.0789330000000001</v>
      </c>
      <c r="I4398">
        <v>119.0014</v>
      </c>
      <c r="J4398">
        <v>-256.07279999999997</v>
      </c>
      <c r="K4398">
        <v>1.1105</v>
      </c>
      <c r="L4398">
        <v>141.48679999999999</v>
      </c>
      <c r="M4398">
        <v>-0.99980429999999998</v>
      </c>
      <c r="N4398">
        <v>-1.125898E-2</v>
      </c>
      <c r="O4398">
        <v>1.6270300000000001E-2</v>
      </c>
      <c r="P4398">
        <v>-0.98164629999999997</v>
      </c>
      <c r="Q4398">
        <v>0.177322799999999</v>
      </c>
      <c r="R4398">
        <v>-7.0196069999999999E-2</v>
      </c>
      <c r="S4398">
        <v>-2.9900509999999998</v>
      </c>
      <c r="T4398">
        <v>0.11241279999999999</v>
      </c>
      <c r="U4398">
        <v>-0.63684079999999998</v>
      </c>
      <c r="V4398">
        <v>-8.618787E-2</v>
      </c>
      <c r="W4398">
        <v>0.18833659999999999</v>
      </c>
      <c r="X4398">
        <v>0.97831539999999995</v>
      </c>
      <c r="Y4398">
        <v>-0.22407750000000001</v>
      </c>
      <c r="Z4398">
        <v>3.674208E-3</v>
      </c>
      <c r="AA4398">
        <v>0.9745644</v>
      </c>
      <c r="AB4398">
        <v>22</v>
      </c>
      <c r="AC4398">
        <v>-105.3438</v>
      </c>
      <c r="AD4398">
        <v>3.9684330000000001</v>
      </c>
      <c r="AE4398">
        <v>-22.485399999999899</v>
      </c>
      <c r="AF4398">
        <v>-24.163709943410598</v>
      </c>
      <c r="AG4398">
        <v>3.9684330000000001</v>
      </c>
      <c r="AH4398">
        <v>104.821713504587</v>
      </c>
      <c r="AI4398">
        <v>87.887238904643894</v>
      </c>
      <c r="AJ4398">
        <v>102.981166436555</v>
      </c>
      <c r="AK4398">
        <v>107.643973174268</v>
      </c>
      <c r="AL4398">
        <v>79.1442742819562</v>
      </c>
      <c r="AM4398">
        <v>95.034659313348399</v>
      </c>
      <c r="AN4398">
        <v>1.00000002285592</v>
      </c>
    </row>
    <row r="4399" spans="1:40" x14ac:dyDescent="0.25">
      <c r="A4399" t="str">
        <f>"20190304155148694"</f>
        <v>20190304155148694</v>
      </c>
      <c r="B4399" t="str">
        <f>"1551685908691124"</f>
        <v>1551685908691124</v>
      </c>
      <c r="C4399" t="s">
        <v>40</v>
      </c>
      <c r="D4399">
        <v>4.680472</v>
      </c>
      <c r="E4399">
        <v>0.4838055</v>
      </c>
      <c r="F4399" t="s">
        <v>58</v>
      </c>
      <c r="G4399">
        <v>-361.56099999999998</v>
      </c>
      <c r="H4399">
        <v>5.1948509999999999</v>
      </c>
      <c r="I4399">
        <v>119.00149999999999</v>
      </c>
      <c r="J4399">
        <v>-256.31220000000002</v>
      </c>
      <c r="K4399">
        <v>1.1104969999999901</v>
      </c>
      <c r="L4399">
        <v>141.4905</v>
      </c>
      <c r="M4399">
        <v>-0.99980690000000005</v>
      </c>
      <c r="N4399">
        <v>-1.120677E-2</v>
      </c>
      <c r="O4399">
        <v>1.6143540000000001E-2</v>
      </c>
      <c r="P4399">
        <v>-0.98154850000000005</v>
      </c>
      <c r="Q4399">
        <v>0.17784730000000001</v>
      </c>
      <c r="R4399">
        <v>-7.0235240000000004E-2</v>
      </c>
      <c r="S4399">
        <v>-2.9896240000000001</v>
      </c>
      <c r="T4399">
        <v>0.1157542</v>
      </c>
      <c r="U4399">
        <v>-0.63725279999999995</v>
      </c>
      <c r="V4399">
        <v>-8.6101079999999997E-2</v>
      </c>
      <c r="W4399">
        <v>0.18880920000000001</v>
      </c>
      <c r="X4399">
        <v>0.97823190000000004</v>
      </c>
      <c r="Y4399">
        <v>-0.2241021</v>
      </c>
      <c r="Z4399">
        <v>3.8155789999999999E-3</v>
      </c>
      <c r="AA4399">
        <v>0.97455820000000004</v>
      </c>
      <c r="AB4399">
        <v>22</v>
      </c>
      <c r="AC4399">
        <v>-105.24879999999899</v>
      </c>
      <c r="AD4399">
        <v>4.0843540000000003</v>
      </c>
      <c r="AE4399">
        <v>-22.489000000000001</v>
      </c>
      <c r="AF4399">
        <v>-24.150482289509199</v>
      </c>
      <c r="AG4399">
        <v>4.0843540000000003</v>
      </c>
      <c r="AH4399">
        <v>104.72118825896899</v>
      </c>
      <c r="AI4399">
        <v>87.823541841591194</v>
      </c>
      <c r="AJ4399">
        <v>102.986333275028</v>
      </c>
      <c r="AK4399">
        <v>107.547454701558</v>
      </c>
      <c r="AL4399">
        <v>79.116701149936304</v>
      </c>
      <c r="AM4399">
        <v>95.0300426146013</v>
      </c>
      <c r="AN4399">
        <v>0.99999998007970803</v>
      </c>
    </row>
    <row r="4400" spans="1:40" x14ac:dyDescent="0.25">
      <c r="A4400" t="str">
        <f>"20190304155148715"</f>
        <v>20190304155148715</v>
      </c>
      <c r="B4400" t="str">
        <f>"1551685908711620"</f>
        <v>1551685908711620</v>
      </c>
      <c r="C4400" t="s">
        <v>40</v>
      </c>
      <c r="D4400">
        <v>4.4718260000000001</v>
      </c>
      <c r="E4400">
        <v>0.51019570000000003</v>
      </c>
      <c r="F4400" t="s">
        <v>91</v>
      </c>
      <c r="G4400">
        <v>-451.54579999999999</v>
      </c>
      <c r="H4400">
        <v>11.36736</v>
      </c>
      <c r="I4400">
        <v>119.8177</v>
      </c>
      <c r="J4400">
        <v>-256.52319999999997</v>
      </c>
      <c r="K4400">
        <v>1.1104989999999999</v>
      </c>
      <c r="L4400">
        <v>141.49379999999999</v>
      </c>
      <c r="M4400">
        <v>-0.99980919999999895</v>
      </c>
      <c r="N4400">
        <v>-1.116663E-2</v>
      </c>
      <c r="O4400">
        <v>1.603106E-2</v>
      </c>
      <c r="P4400">
        <v>-0.98163199999999995</v>
      </c>
      <c r="Q4400">
        <v>0.1775303</v>
      </c>
      <c r="R4400">
        <v>-6.9869100000000003E-2</v>
      </c>
      <c r="S4400">
        <v>-3.0039370000000001</v>
      </c>
      <c r="T4400">
        <v>0.15781619999999999</v>
      </c>
      <c r="U4400">
        <v>-0.33346559999999997</v>
      </c>
      <c r="V4400">
        <v>-8.5626079999999993E-2</v>
      </c>
      <c r="W4400">
        <v>0.18845419999999999</v>
      </c>
      <c r="X4400">
        <v>0.97834209999999999</v>
      </c>
      <c r="Y4400">
        <v>-0.12608469999999999</v>
      </c>
      <c r="Z4400">
        <v>3.610612E-3</v>
      </c>
      <c r="AA4400">
        <v>0.99201289999999998</v>
      </c>
      <c r="AB4400">
        <v>22</v>
      </c>
      <c r="AC4400">
        <v>-195.02260000000001</v>
      </c>
      <c r="AD4400">
        <v>10.256861000000001</v>
      </c>
      <c r="AE4400">
        <v>-21.676099999999899</v>
      </c>
      <c r="AF4400">
        <v>-24.7323519327627</v>
      </c>
      <c r="AG4400">
        <v>10.256861000000001</v>
      </c>
      <c r="AH4400">
        <v>194.11963167303799</v>
      </c>
      <c r="AI4400">
        <v>86.999636865519093</v>
      </c>
      <c r="AJ4400">
        <v>97.260809267383095</v>
      </c>
      <c r="AK4400">
        <v>195.95745413373601</v>
      </c>
      <c r="AL4400">
        <v>79.137413608079896</v>
      </c>
      <c r="AM4400">
        <v>95.001873597986304</v>
      </c>
      <c r="AN4400">
        <v>1.0000000378531</v>
      </c>
    </row>
    <row r="4401" spans="1:40" x14ac:dyDescent="0.25">
      <c r="A4401" t="str">
        <f>"20190304155148737"</f>
        <v>20190304155148737</v>
      </c>
      <c r="B4401" t="str">
        <f>"1551685908731140"</f>
        <v>1551685908731140</v>
      </c>
      <c r="C4401" t="s">
        <v>40</v>
      </c>
      <c r="D4401">
        <v>4.4142799999999998</v>
      </c>
      <c r="E4401">
        <v>0.52371109999999998</v>
      </c>
      <c r="F4401" t="s">
        <v>53</v>
      </c>
      <c r="G4401">
        <v>0</v>
      </c>
      <c r="H4401">
        <v>0</v>
      </c>
      <c r="I4401">
        <v>0</v>
      </c>
      <c r="J4401">
        <v>-256.75490000000002</v>
      </c>
      <c r="K4401">
        <v>1.1105020000000001</v>
      </c>
      <c r="L4401">
        <v>141.4974</v>
      </c>
      <c r="M4401">
        <v>-0.99981160000000002</v>
      </c>
      <c r="N4401">
        <v>-1.112843E-2</v>
      </c>
      <c r="O4401">
        <v>1.590401E-2</v>
      </c>
      <c r="P4401">
        <v>-0.98173920000000003</v>
      </c>
      <c r="Q4401">
        <v>0.1768739</v>
      </c>
      <c r="R4401">
        <v>-7.0027800000000001E-2</v>
      </c>
      <c r="S4401">
        <v>-3.0325319999999998</v>
      </c>
      <c r="T4401">
        <v>8.278394E-2</v>
      </c>
      <c r="U4401">
        <v>-0.1212463</v>
      </c>
      <c r="V4401">
        <v>-8.5661909999999994E-2</v>
      </c>
      <c r="W4401">
        <v>0.1877616</v>
      </c>
      <c r="X4401">
        <v>0.97847209999999996</v>
      </c>
      <c r="Y4401">
        <v>-5.5813199999999903E-2</v>
      </c>
      <c r="Z4401">
        <v>1.061432E-3</v>
      </c>
      <c r="AA4401">
        <v>0.99844069999999996</v>
      </c>
      <c r="AB4401">
        <v>22</v>
      </c>
      <c r="AC4401">
        <v>-3.0325319999999998</v>
      </c>
      <c r="AD4401">
        <v>8.278394E-2</v>
      </c>
      <c r="AE4401">
        <v>-0.1212463</v>
      </c>
      <c r="AF4401">
        <v>-0.16933737754730899</v>
      </c>
      <c r="AG4401">
        <v>8.278394E-2</v>
      </c>
      <c r="AH4401">
        <v>3.0279671017149798</v>
      </c>
      <c r="AI4401">
        <v>88.436378402438606</v>
      </c>
      <c r="AJ4401">
        <v>93.200900423941405</v>
      </c>
      <c r="AK4401">
        <v>3.03382812585432</v>
      </c>
      <c r="AL4401">
        <v>79.1778177069165</v>
      </c>
      <c r="AM4401">
        <v>95.003294542022402</v>
      </c>
      <c r="AN4401">
        <v>1.0000000158689</v>
      </c>
    </row>
    <row r="4402" spans="1:40" x14ac:dyDescent="0.25">
      <c r="A4402" t="str">
        <f>"20190304155148762"</f>
        <v>20190304155148762</v>
      </c>
      <c r="B4402" t="str">
        <f>"1551685908751636"</f>
        <v>1551685908751636</v>
      </c>
      <c r="C4402" t="s">
        <v>40</v>
      </c>
      <c r="D4402">
        <v>4.5080689999999999</v>
      </c>
      <c r="E4402">
        <v>0.52916989999999997</v>
      </c>
      <c r="F4402" t="s">
        <v>53</v>
      </c>
      <c r="G4402">
        <v>0</v>
      </c>
      <c r="H4402">
        <v>0</v>
      </c>
      <c r="I4402">
        <v>0</v>
      </c>
      <c r="J4402">
        <v>-256.99270000000001</v>
      </c>
      <c r="K4402">
        <v>1.1104989999999999</v>
      </c>
      <c r="L4402">
        <v>141.501</v>
      </c>
      <c r="M4402">
        <v>-0.99981419999999999</v>
      </c>
      <c r="N4402">
        <v>-1.1094720000000001E-2</v>
      </c>
      <c r="O4402">
        <v>1.5766530000000001E-2</v>
      </c>
      <c r="P4402">
        <v>-0.98163339999999999</v>
      </c>
      <c r="Q4402">
        <v>0.17728060000000001</v>
      </c>
      <c r="R4402">
        <v>-7.0479509999999995E-2</v>
      </c>
      <c r="S4402">
        <v>-3.0408019999999998</v>
      </c>
      <c r="T4402">
        <v>7.770908E-2</v>
      </c>
      <c r="U4402">
        <v>-1.376343E-2</v>
      </c>
      <c r="V4402">
        <v>-8.5979009999999995E-2</v>
      </c>
      <c r="W4402">
        <v>0.18813340000000001</v>
      </c>
      <c r="X4402">
        <v>0.97837289999999999</v>
      </c>
      <c r="Y4402">
        <v>-2.0278649999999999E-2</v>
      </c>
      <c r="Z4402">
        <v>7.2430089999999997E-4</v>
      </c>
      <c r="AA4402">
        <v>0.99979410000000002</v>
      </c>
      <c r="AB4402">
        <v>22</v>
      </c>
      <c r="AC4402">
        <v>-3.0408019999999998</v>
      </c>
      <c r="AD4402">
        <v>7.770908E-2</v>
      </c>
      <c r="AE4402">
        <v>-1.376343E-2</v>
      </c>
      <c r="AF4402">
        <v>-6.16672903592798E-2</v>
      </c>
      <c r="AG4402">
        <v>7.770908E-2</v>
      </c>
      <c r="AH4402">
        <v>3.0382228027306701</v>
      </c>
      <c r="AI4402">
        <v>88.535158274664298</v>
      </c>
      <c r="AJ4402">
        <v>91.162781867635502</v>
      </c>
      <c r="AK4402">
        <v>3.03984199504634</v>
      </c>
      <c r="AL4402">
        <v>79.156128979254603</v>
      </c>
      <c r="AM4402">
        <v>95.022227579780704</v>
      </c>
      <c r="AN4402">
        <v>1.0000000489052701</v>
      </c>
    </row>
    <row r="4403" spans="1:40" x14ac:dyDescent="0.25">
      <c r="A4403" t="str">
        <f>"20190304155148784"</f>
        <v>20190304155148784</v>
      </c>
      <c r="B4403" t="str">
        <f>"1551685908780916"</f>
        <v>1551685908780916</v>
      </c>
      <c r="C4403" t="s">
        <v>40</v>
      </c>
      <c r="D4403">
        <v>4.4370760000000002</v>
      </c>
      <c r="E4403">
        <v>0.53405329999999995</v>
      </c>
      <c r="F4403" t="s">
        <v>53</v>
      </c>
      <c r="G4403">
        <v>0</v>
      </c>
      <c r="H4403">
        <v>0</v>
      </c>
      <c r="I4403">
        <v>0</v>
      </c>
      <c r="J4403">
        <v>-257.22269999999997</v>
      </c>
      <c r="K4403">
        <v>1.1105020000000001</v>
      </c>
      <c r="L4403">
        <v>141.50450000000001</v>
      </c>
      <c r="M4403">
        <v>-0.9998167</v>
      </c>
      <c r="N4403">
        <v>-1.1066899999999999E-2</v>
      </c>
      <c r="O4403">
        <v>1.56226E-2</v>
      </c>
      <c r="P4403">
        <v>-0.981595</v>
      </c>
      <c r="Q4403">
        <v>0.17744299999999999</v>
      </c>
      <c r="R4403">
        <v>-7.0606950000000002E-2</v>
      </c>
      <c r="S4403">
        <v>-3.050446</v>
      </c>
      <c r="T4403">
        <v>4.3222070000000001E-2</v>
      </c>
      <c r="U4403">
        <v>2.9006959999999998E-2</v>
      </c>
      <c r="V4403">
        <v>-8.5967450000000001E-2</v>
      </c>
      <c r="W4403">
        <v>0.18826689999999999</v>
      </c>
      <c r="X4403">
        <v>0.9783482</v>
      </c>
      <c r="Y4403">
        <v>-6.1102489999999999E-3</v>
      </c>
      <c r="Z4403">
        <v>4.0369180000000002E-4</v>
      </c>
      <c r="AA4403">
        <v>0.99998120000000001</v>
      </c>
      <c r="AB4403">
        <v>22</v>
      </c>
      <c r="AC4403">
        <v>-3.050446</v>
      </c>
      <c r="AD4403">
        <v>4.3222070000000001E-2</v>
      </c>
      <c r="AE4403">
        <v>2.9006959999999998E-2</v>
      </c>
      <c r="AF4403">
        <v>-1.86516531107686E-2</v>
      </c>
      <c r="AG4403">
        <v>4.3222070000000001E-2</v>
      </c>
      <c r="AH4403">
        <v>3.0499146133251398</v>
      </c>
      <c r="AI4403">
        <v>89.188098538765601</v>
      </c>
      <c r="AJ4403">
        <v>90.350386098534003</v>
      </c>
      <c r="AK4403">
        <v>3.05027788571355</v>
      </c>
      <c r="AL4403">
        <v>79.148340443739201</v>
      </c>
      <c r="AM4403">
        <v>95.021681916041601</v>
      </c>
      <c r="AN4403">
        <v>1.0000000142691701</v>
      </c>
    </row>
    <row r="4404" spans="1:40" x14ac:dyDescent="0.25">
      <c r="A4404" t="str">
        <f>"20190304155148805"</f>
        <v>20190304155148805</v>
      </c>
      <c r="B4404" t="str">
        <f>"1551685908801412"</f>
        <v>1551685908801412</v>
      </c>
      <c r="C4404" t="s">
        <v>40</v>
      </c>
      <c r="D4404">
        <v>4.6784929999999996</v>
      </c>
      <c r="E4404">
        <v>0.53451219999999999</v>
      </c>
      <c r="F4404" t="s">
        <v>53</v>
      </c>
      <c r="G4404">
        <v>0</v>
      </c>
      <c r="H4404">
        <v>0</v>
      </c>
      <c r="I4404">
        <v>0</v>
      </c>
      <c r="J4404">
        <v>-257.42529999999999</v>
      </c>
      <c r="K4404">
        <v>1.110501</v>
      </c>
      <c r="L4404">
        <v>141.50749999999999</v>
      </c>
      <c r="M4404">
        <v>-0.99981929999999997</v>
      </c>
      <c r="N4404">
        <v>-1.104577E-2</v>
      </c>
      <c r="O4404">
        <v>1.5482599999999999E-2</v>
      </c>
      <c r="P4404">
        <v>-0.98161290000000001</v>
      </c>
      <c r="Q4404">
        <v>0.17712900000000001</v>
      </c>
      <c r="R4404">
        <v>-7.1149039999999997E-2</v>
      </c>
      <c r="S4404">
        <v>-3.057404</v>
      </c>
      <c r="T4404">
        <v>2.048707E-2</v>
      </c>
      <c r="U4404">
        <v>6.7398070000000004E-2</v>
      </c>
      <c r="V4404">
        <v>-8.6376179999999997E-2</v>
      </c>
      <c r="W4404">
        <v>0.1879306</v>
      </c>
      <c r="X4404">
        <v>0.97837689999999999</v>
      </c>
      <c r="Y4404">
        <v>6.5589740000000004E-3</v>
      </c>
      <c r="Z4404">
        <v>2.8899109999999998E-4</v>
      </c>
      <c r="AA4404">
        <v>0.99997840000000005</v>
      </c>
      <c r="AB4404">
        <v>23</v>
      </c>
      <c r="AC4404">
        <v>-3.057404</v>
      </c>
      <c r="AD4404">
        <v>2.048707E-2</v>
      </c>
      <c r="AE4404">
        <v>6.7398070000000004E-2</v>
      </c>
      <c r="AF4404">
        <v>2.0049647866723301E-2</v>
      </c>
      <c r="AG4404">
        <v>2.048707E-2</v>
      </c>
      <c r="AH4404">
        <v>3.0579438103255301</v>
      </c>
      <c r="AI4404">
        <v>89.61615388381</v>
      </c>
      <c r="AJ4404">
        <v>89.624341121380496</v>
      </c>
      <c r="AK4404">
        <v>3.05807816373698</v>
      </c>
      <c r="AL4404">
        <v>79.1679596716003</v>
      </c>
      <c r="AM4404">
        <v>95.045287184301003</v>
      </c>
      <c r="AN4404">
        <v>1.0000000566706699</v>
      </c>
    </row>
    <row r="4405" spans="1:40" x14ac:dyDescent="0.25">
      <c r="A4405" t="str">
        <f>"20190304155148828"</f>
        <v>20190304155148828</v>
      </c>
      <c r="B4405" t="str">
        <f>"1551685908820932"</f>
        <v>1551685908820932</v>
      </c>
      <c r="C4405" t="s">
        <v>40</v>
      </c>
      <c r="D4405">
        <v>4.5156619999999998</v>
      </c>
      <c r="E4405">
        <v>0.53626049999999903</v>
      </c>
      <c r="F4405" t="s">
        <v>53</v>
      </c>
      <c r="G4405">
        <v>0</v>
      </c>
      <c r="H4405">
        <v>0</v>
      </c>
      <c r="I4405">
        <v>0</v>
      </c>
      <c r="J4405">
        <v>-257.6592</v>
      </c>
      <c r="K4405">
        <v>1.1105080000000001</v>
      </c>
      <c r="L4405">
        <v>141.51089999999999</v>
      </c>
      <c r="M4405">
        <v>-0.99982219999999999</v>
      </c>
      <c r="N4405">
        <v>-1.1024600000000001E-2</v>
      </c>
      <c r="O4405">
        <v>1.530319E-2</v>
      </c>
      <c r="P4405">
        <v>-0.9816878</v>
      </c>
      <c r="Q4405">
        <v>0.17654210000000001</v>
      </c>
      <c r="R4405">
        <v>-7.1567950000000005E-2</v>
      </c>
      <c r="S4405">
        <v>-3.059723</v>
      </c>
      <c r="T4405">
        <v>8.4074739999999999E-3</v>
      </c>
      <c r="U4405">
        <v>6.9366460000000005E-2</v>
      </c>
      <c r="V4405">
        <v>-8.6626699999999904E-2</v>
      </c>
      <c r="W4405">
        <v>0.18732080000000001</v>
      </c>
      <c r="X4405">
        <v>0.9784716</v>
      </c>
      <c r="Y4405">
        <v>7.3636969999999998E-3</v>
      </c>
      <c r="Z4405">
        <v>2.412286E-4</v>
      </c>
      <c r="AA4405">
        <v>0.99997290000000005</v>
      </c>
      <c r="AB4405">
        <v>23</v>
      </c>
      <c r="AC4405">
        <v>-3.059723</v>
      </c>
      <c r="AD4405">
        <v>8.4074739999999999E-3</v>
      </c>
      <c r="AE4405">
        <v>6.9366460000000005E-2</v>
      </c>
      <c r="AF4405">
        <v>2.2531801706999199E-2</v>
      </c>
      <c r="AG4405">
        <v>8.4074739999999999E-3</v>
      </c>
      <c r="AH4405">
        <v>3.0604031582090401</v>
      </c>
      <c r="AI4405">
        <v>89.842602923537996</v>
      </c>
      <c r="AJ4405">
        <v>89.578175243224194</v>
      </c>
      <c r="AK4405">
        <v>3.0604976488282301</v>
      </c>
      <c r="AL4405">
        <v>79.203529399474903</v>
      </c>
      <c r="AM4405">
        <v>95.059357194670298</v>
      </c>
      <c r="AN4405">
        <v>0.99999996963604398</v>
      </c>
    </row>
    <row r="4406" spans="1:40" x14ac:dyDescent="0.25">
      <c r="A4406" t="str">
        <f>"20190304155148851"</f>
        <v>20190304155148851</v>
      </c>
      <c r="B4406" t="str">
        <f>"1551685908841432"</f>
        <v>1551685908841432</v>
      </c>
      <c r="C4406" t="s">
        <v>40</v>
      </c>
      <c r="D4406">
        <v>4.4914990000000001</v>
      </c>
      <c r="E4406">
        <v>0.53729090000000002</v>
      </c>
      <c r="F4406" t="s">
        <v>53</v>
      </c>
      <c r="G4406">
        <v>0</v>
      </c>
      <c r="H4406">
        <v>0</v>
      </c>
      <c r="I4406">
        <v>0</v>
      </c>
      <c r="J4406">
        <v>-257.8922</v>
      </c>
      <c r="K4406">
        <v>1.110522</v>
      </c>
      <c r="L4406">
        <v>141.51429999999999</v>
      </c>
      <c r="M4406">
        <v>-0.99982559999999998</v>
      </c>
      <c r="N4406">
        <v>-1.100694E-2</v>
      </c>
      <c r="O4406">
        <v>1.5098159999999999E-2</v>
      </c>
      <c r="P4406">
        <v>-0.98171010000000003</v>
      </c>
      <c r="Q4406">
        <v>0.17647079999999901</v>
      </c>
      <c r="R4406">
        <v>-7.1440890000000007E-2</v>
      </c>
      <c r="S4406">
        <v>-3.0622250000000002</v>
      </c>
      <c r="T4406">
        <v>-1.456499E-3</v>
      </c>
      <c r="U4406">
        <v>8.2138059999999999E-2</v>
      </c>
      <c r="V4406">
        <v>-8.630583E-2</v>
      </c>
      <c r="W4406">
        <v>0.18722949999999999</v>
      </c>
      <c r="X4406">
        <v>0.97851750000000004</v>
      </c>
      <c r="Y4406">
        <v>1.1717460000000001E-2</v>
      </c>
      <c r="Z4406">
        <v>2.2628000000000001E-4</v>
      </c>
      <c r="AA4406">
        <v>0.99993129999999997</v>
      </c>
      <c r="AB4406">
        <v>23</v>
      </c>
      <c r="AC4406">
        <v>-3.0622250000000002</v>
      </c>
      <c r="AD4406">
        <v>-1.456499E-3</v>
      </c>
      <c r="AE4406">
        <v>8.2138059999999999E-2</v>
      </c>
      <c r="AF4406">
        <v>3.5891932212970802E-2</v>
      </c>
      <c r="AG4406">
        <v>-1.456499E-3</v>
      </c>
      <c r="AH4406">
        <v>3.0631154300728398</v>
      </c>
      <c r="AI4406">
        <v>90.027242039319404</v>
      </c>
      <c r="AJ4406">
        <v>89.328669724435898</v>
      </c>
      <c r="AK4406">
        <v>3.0633260502495698</v>
      </c>
      <c r="AL4406">
        <v>79.208855489758804</v>
      </c>
      <c r="AM4406">
        <v>95.040478557793605</v>
      </c>
      <c r="AN4406">
        <v>1.0000000398842399</v>
      </c>
    </row>
    <row r="4407" spans="1:40" x14ac:dyDescent="0.25">
      <c r="A4407" t="str">
        <f>"20190304155148871"</f>
        <v>20190304155148871</v>
      </c>
      <c r="B4407" t="str">
        <f>"1551685908860948"</f>
        <v>1551685908860948</v>
      </c>
      <c r="C4407" t="s">
        <v>40</v>
      </c>
      <c r="D4407">
        <v>4.489547</v>
      </c>
      <c r="E4407">
        <v>0.53806189999999998</v>
      </c>
      <c r="F4407" t="s">
        <v>86</v>
      </c>
      <c r="G4407">
        <v>-550.16210000000001</v>
      </c>
      <c r="H4407">
        <v>0.56217379999999995</v>
      </c>
      <c r="I4407">
        <v>150.20930000000001</v>
      </c>
      <c r="J4407">
        <v>-258.10329999999999</v>
      </c>
      <c r="K4407">
        <v>1.110536</v>
      </c>
      <c r="L4407">
        <v>141.5172</v>
      </c>
      <c r="M4407">
        <v>-0.99982879999999996</v>
      </c>
      <c r="N4407">
        <v>-1.0993289999999999E-2</v>
      </c>
      <c r="O4407">
        <v>1.489474E-2</v>
      </c>
      <c r="P4407">
        <v>-0.98171759999999997</v>
      </c>
      <c r="Q4407">
        <v>0.17643410000000001</v>
      </c>
      <c r="R4407">
        <v>-7.1426439999999994E-2</v>
      </c>
      <c r="S4407">
        <v>-3.0635680000000001</v>
      </c>
      <c r="T4407">
        <v>-5.7473180000000004E-3</v>
      </c>
      <c r="U4407">
        <v>9.1140750000000006E-2</v>
      </c>
      <c r="V4407">
        <v>-8.6098590000000003E-2</v>
      </c>
      <c r="W4407">
        <v>0.18717700000000001</v>
      </c>
      <c r="X4407">
        <v>0.97854580000000002</v>
      </c>
      <c r="Y4407">
        <v>1.4844799999999899E-2</v>
      </c>
      <c r="Z4407">
        <v>2.3132989999999999E-4</v>
      </c>
      <c r="AA4407">
        <v>0.99988980000000005</v>
      </c>
      <c r="AB4407">
        <v>23</v>
      </c>
      <c r="AC4407">
        <v>-292.05880000000002</v>
      </c>
      <c r="AD4407">
        <v>-0.54836219999999902</v>
      </c>
      <c r="AE4407">
        <v>8.6920999999999999</v>
      </c>
      <c r="AF4407">
        <v>4.3407183079024803</v>
      </c>
      <c r="AG4407">
        <v>-0.54836219999999902</v>
      </c>
      <c r="AH4407">
        <v>292.15484254996301</v>
      </c>
      <c r="AI4407">
        <v>90.107529744486698</v>
      </c>
      <c r="AJ4407">
        <v>89.148785147714506</v>
      </c>
      <c r="AK4407">
        <v>292.18760165675201</v>
      </c>
      <c r="AL4407">
        <v>79.211917650475598</v>
      </c>
      <c r="AM4407">
        <v>95.028292666418693</v>
      </c>
      <c r="AN4407">
        <v>1.00000003961331</v>
      </c>
    </row>
    <row r="4408" spans="1:40" x14ac:dyDescent="0.25">
      <c r="A4408" t="str">
        <f>"20190304155148894"</f>
        <v>20190304155148894</v>
      </c>
      <c r="B4408" t="str">
        <f>"1551685908891204"</f>
        <v>1551685908891204</v>
      </c>
      <c r="C4408" t="s">
        <v>40</v>
      </c>
      <c r="D4408">
        <v>4.4961589999999996</v>
      </c>
      <c r="E4408">
        <v>0.53896359999999999</v>
      </c>
      <c r="F4408" t="s">
        <v>86</v>
      </c>
      <c r="G4408">
        <v>-546.44420000000002</v>
      </c>
      <c r="H4408">
        <v>0.5614941</v>
      </c>
      <c r="I4408">
        <v>150.69999999999999</v>
      </c>
      <c r="J4408">
        <v>-258.32639999999998</v>
      </c>
      <c r="K4408">
        <v>1.1105480000000001</v>
      </c>
      <c r="L4408">
        <v>141.52029999999999</v>
      </c>
      <c r="M4408">
        <v>-0.99983230000000001</v>
      </c>
      <c r="N4408">
        <v>-1.098095E-2</v>
      </c>
      <c r="O4408">
        <v>1.4658539999999999E-2</v>
      </c>
      <c r="P4408">
        <v>-0.98168449999999996</v>
      </c>
      <c r="Q4408">
        <v>0.17659759999999999</v>
      </c>
      <c r="R4408">
        <v>-7.1477499999999999E-2</v>
      </c>
      <c r="S4408">
        <v>-3.0640260000000001</v>
      </c>
      <c r="T4408">
        <v>-5.8338640000000002E-3</v>
      </c>
      <c r="U4408">
        <v>9.7579959999999993E-2</v>
      </c>
      <c r="V4408">
        <v>-8.5923490000000005E-2</v>
      </c>
      <c r="W4408">
        <v>0.18732499999999999</v>
      </c>
      <c r="X4408">
        <v>0.97853290000000004</v>
      </c>
      <c r="Y4408">
        <v>1.7175820000000001E-2</v>
      </c>
      <c r="Z4408">
        <v>2.4372080000000001E-4</v>
      </c>
      <c r="AA4408">
        <v>0.99985250000000003</v>
      </c>
      <c r="AB4408">
        <v>23</v>
      </c>
      <c r="AC4408">
        <v>-288.11779999999999</v>
      </c>
      <c r="AD4408">
        <v>-0.54905389999999898</v>
      </c>
      <c r="AE4408">
        <v>9.1796999999999898</v>
      </c>
      <c r="AF4408">
        <v>4.9550548419659997</v>
      </c>
      <c r="AG4408">
        <v>-0.54905389999999898</v>
      </c>
      <c r="AH4408">
        <v>288.22036375550198</v>
      </c>
      <c r="AI4408">
        <v>90.109131030247596</v>
      </c>
      <c r="AJ4408">
        <v>89.015073880832901</v>
      </c>
      <c r="AK4408">
        <v>288.263476895748</v>
      </c>
      <c r="AL4408">
        <v>79.203285507131397</v>
      </c>
      <c r="AM4408">
        <v>95.018184635021996</v>
      </c>
      <c r="AN4408">
        <v>1.0000000690705899</v>
      </c>
    </row>
    <row r="4409" spans="1:40" x14ac:dyDescent="0.25">
      <c r="A4409" t="str">
        <f>"20190304155148916"</f>
        <v>20190304155148916</v>
      </c>
      <c r="B4409" t="str">
        <f>"1551685908911700"</f>
        <v>1551685908911700</v>
      </c>
      <c r="C4409" t="s">
        <v>40</v>
      </c>
      <c r="D4409">
        <v>4.5752139999999999</v>
      </c>
      <c r="E4409">
        <v>0.53856990000000005</v>
      </c>
      <c r="F4409" t="s">
        <v>86</v>
      </c>
      <c r="G4409">
        <v>-511.05869999999999</v>
      </c>
      <c r="H4409">
        <v>6.098539E-2</v>
      </c>
      <c r="I4409">
        <v>150.1491</v>
      </c>
      <c r="J4409">
        <v>-258.55540000000002</v>
      </c>
      <c r="K4409">
        <v>1.110563</v>
      </c>
      <c r="L4409">
        <v>141.52340000000001</v>
      </c>
      <c r="M4409">
        <v>-0.99983630000000001</v>
      </c>
      <c r="N4409">
        <v>-1.097018E-2</v>
      </c>
      <c r="O4409">
        <v>1.439318E-2</v>
      </c>
      <c r="P4409">
        <v>-0.9815855</v>
      </c>
      <c r="Q4409">
        <v>0.177017799999999</v>
      </c>
      <c r="R4409">
        <v>-7.1797330000000006E-2</v>
      </c>
      <c r="S4409">
        <v>-3.065887</v>
      </c>
      <c r="T4409">
        <v>-1.273167E-2</v>
      </c>
      <c r="U4409">
        <v>0.1046753</v>
      </c>
      <c r="V4409">
        <v>-8.5988079999999995E-2</v>
      </c>
      <c r="W4409">
        <v>0.18773110000000001</v>
      </c>
      <c r="X4409">
        <v>0.97844929999999997</v>
      </c>
      <c r="Y4409">
        <v>1.973256E-2</v>
      </c>
      <c r="Z4409">
        <v>2.4735289999999998E-4</v>
      </c>
      <c r="AA4409">
        <v>0.99980530000000001</v>
      </c>
      <c r="AB4409">
        <v>23</v>
      </c>
      <c r="AC4409">
        <v>-252.5033</v>
      </c>
      <c r="AD4409">
        <v>-1.04957761</v>
      </c>
      <c r="AE4409">
        <v>8.6256999999999895</v>
      </c>
      <c r="AF4409">
        <v>4.9901763530157401</v>
      </c>
      <c r="AG4409">
        <v>-1.04957761</v>
      </c>
      <c r="AH4409">
        <v>252.59694016765101</v>
      </c>
      <c r="AI4409">
        <v>90.238024616775704</v>
      </c>
      <c r="AJ4409">
        <v>88.868241013297194</v>
      </c>
      <c r="AK4409">
        <v>252.64840718922699</v>
      </c>
      <c r="AL4409">
        <v>79.179596410101496</v>
      </c>
      <c r="AM4409">
        <v>95.022364484453504</v>
      </c>
      <c r="AN4409">
        <v>0.99999997423989295</v>
      </c>
    </row>
    <row r="4410" spans="1:40" x14ac:dyDescent="0.25">
      <c r="A4410" t="str">
        <f>"20190304155148939"</f>
        <v>20190304155148939</v>
      </c>
      <c r="B4410" t="str">
        <f>"1551685908931220"</f>
        <v>1551685908931220</v>
      </c>
      <c r="C4410" t="s">
        <v>40</v>
      </c>
      <c r="D4410">
        <v>4.5013350000000001</v>
      </c>
      <c r="E4410">
        <v>0.53867959999999904</v>
      </c>
      <c r="F4410" t="s">
        <v>84</v>
      </c>
      <c r="G4410">
        <v>-432.88639999999998</v>
      </c>
      <c r="H4410" s="1">
        <v>-1.2885459999999999E-5</v>
      </c>
      <c r="I4410">
        <v>147.27850000000001</v>
      </c>
      <c r="J4410">
        <v>-258.78050000000002</v>
      </c>
      <c r="K4410">
        <v>1.110573</v>
      </c>
      <c r="L4410">
        <v>141.52629999999999</v>
      </c>
      <c r="M4410">
        <v>-0.99984039999999996</v>
      </c>
      <c r="N4410">
        <v>-1.096112E-2</v>
      </c>
      <c r="O4410">
        <v>1.411083E-2</v>
      </c>
      <c r="P4410">
        <v>-0.98153299999999999</v>
      </c>
      <c r="Q4410">
        <v>0.1771007</v>
      </c>
      <c r="R4410">
        <v>-7.23105E-2</v>
      </c>
      <c r="S4410">
        <v>-3.0672000000000001</v>
      </c>
      <c r="T4410">
        <v>-1.9539589999999999E-2</v>
      </c>
      <c r="U4410">
        <v>0.10125729999999999</v>
      </c>
      <c r="V4410">
        <v>-8.6229520000000004E-2</v>
      </c>
      <c r="W4410">
        <v>0.18780189999999999</v>
      </c>
      <c r="X4410">
        <v>0.97841449999999996</v>
      </c>
      <c r="Y4410">
        <v>1.888681E-2</v>
      </c>
      <c r="Z4410">
        <v>2.2847349999999999E-4</v>
      </c>
      <c r="AA4410">
        <v>0.99982159999999998</v>
      </c>
      <c r="AB4410">
        <v>23</v>
      </c>
      <c r="AC4410">
        <v>-174.105899999999</v>
      </c>
      <c r="AD4410">
        <v>-1.1105858854599999</v>
      </c>
      <c r="AE4410">
        <v>5.75220000000001</v>
      </c>
      <c r="AF4410">
        <v>3.2945670706103298</v>
      </c>
      <c r="AG4410">
        <v>-1.1105858854599999</v>
      </c>
      <c r="AH4410">
        <v>174.162657868541</v>
      </c>
      <c r="AI4410">
        <v>90.365288638252693</v>
      </c>
      <c r="AJ4410">
        <v>88.916287338140606</v>
      </c>
      <c r="AK4410">
        <v>174.19735637783401</v>
      </c>
      <c r="AL4410">
        <v>79.175466789849295</v>
      </c>
      <c r="AM4410">
        <v>95.036572219006203</v>
      </c>
      <c r="AN4410">
        <v>1.0000000087866401</v>
      </c>
    </row>
    <row r="4411" spans="1:40" x14ac:dyDescent="0.25">
      <c r="A4411" t="str">
        <f>"20190304155148962"</f>
        <v>20190304155148962</v>
      </c>
      <c r="B4411" t="str">
        <f>"1551685908951735"</f>
        <v>1551685908951735</v>
      </c>
      <c r="C4411" t="s">
        <v>40</v>
      </c>
      <c r="D4411">
        <v>4.4919229999999999</v>
      </c>
      <c r="E4411">
        <v>0.53912629999999995</v>
      </c>
      <c r="F4411" t="s">
        <v>84</v>
      </c>
      <c r="G4411">
        <v>-426.6327</v>
      </c>
      <c r="H4411" s="1">
        <v>-1.359203E-5</v>
      </c>
      <c r="I4411">
        <v>147.04689999999999</v>
      </c>
      <c r="J4411">
        <v>-259.0129</v>
      </c>
      <c r="K4411">
        <v>1.110587</v>
      </c>
      <c r="L4411">
        <v>141.5292</v>
      </c>
      <c r="M4411">
        <v>-0.99984479999999998</v>
      </c>
      <c r="N4411">
        <v>-1.095319E-2</v>
      </c>
      <c r="O4411">
        <v>1.3799499999999999E-2</v>
      </c>
      <c r="P4411">
        <v>-0.98152099999999998</v>
      </c>
      <c r="Q4411">
        <v>0.176844</v>
      </c>
      <c r="R4411">
        <v>-7.3097229999999999E-2</v>
      </c>
      <c r="S4411">
        <v>-3.0675349999999999</v>
      </c>
      <c r="T4411">
        <v>-2.029622E-2</v>
      </c>
      <c r="U4411">
        <v>0.1008911</v>
      </c>
      <c r="V4411">
        <v>-8.67169E-2</v>
      </c>
      <c r="W4411">
        <v>0.18753439999999999</v>
      </c>
      <c r="X4411">
        <v>0.97842269999999998</v>
      </c>
      <c r="Y4411">
        <v>1.9075209999999999E-2</v>
      </c>
      <c r="Z4411">
        <v>2.274438E-4</v>
      </c>
      <c r="AA4411">
        <v>0.99981799999999998</v>
      </c>
      <c r="AB4411">
        <v>23</v>
      </c>
      <c r="AC4411">
        <v>-167.6198</v>
      </c>
      <c r="AD4411">
        <v>-1.1106005920299999</v>
      </c>
      <c r="AE4411">
        <v>5.5176999999999898</v>
      </c>
      <c r="AF4411">
        <v>3.2038258901211898</v>
      </c>
      <c r="AG4411">
        <v>-1.1106005920299999</v>
      </c>
      <c r="AH4411">
        <v>167.67263092080299</v>
      </c>
      <c r="AI4411">
        <v>90.379430937781194</v>
      </c>
      <c r="AJ4411">
        <v>88.905346891416301</v>
      </c>
      <c r="AK4411">
        <v>167.70691426984399</v>
      </c>
      <c r="AL4411">
        <v>79.191070292836301</v>
      </c>
      <c r="AM4411">
        <v>95.0648496670551</v>
      </c>
      <c r="AN4411">
        <v>0.99999997590212897</v>
      </c>
    </row>
    <row r="4412" spans="1:40" x14ac:dyDescent="0.25">
      <c r="A4412" t="str">
        <f>"20190304155148985"</f>
        <v>20190304155148985</v>
      </c>
      <c r="B4412" t="str">
        <f>"1551685908981561"</f>
        <v>1551685908981561</v>
      </c>
      <c r="C4412" t="s">
        <v>40</v>
      </c>
      <c r="D4412">
        <v>4.5323469999999997</v>
      </c>
      <c r="E4412">
        <v>0.53926490000000005</v>
      </c>
      <c r="F4412" t="s">
        <v>41</v>
      </c>
      <c r="G4412">
        <v>-399.42</v>
      </c>
      <c r="H4412" s="1">
        <v>-1.9837339999999998E-6</v>
      </c>
      <c r="I4412">
        <v>146.203</v>
      </c>
      <c r="J4412">
        <v>-259.24740000000003</v>
      </c>
      <c r="K4412">
        <v>1.1106039999999999</v>
      </c>
      <c r="L4412">
        <v>141.53210000000001</v>
      </c>
      <c r="M4412">
        <v>-0.99984960000000001</v>
      </c>
      <c r="N4412">
        <v>-1.09467E-2</v>
      </c>
      <c r="O4412">
        <v>1.3468569999999999E-2</v>
      </c>
      <c r="P4412">
        <v>-0.98144399999999998</v>
      </c>
      <c r="Q4412">
        <v>0.1766626</v>
      </c>
      <c r="R4412">
        <v>-7.45556E-2</v>
      </c>
      <c r="S4412">
        <v>-3.068451</v>
      </c>
      <c r="T4412">
        <v>-2.4270770000000001E-2</v>
      </c>
      <c r="U4412">
        <v>0.10214230000000001</v>
      </c>
      <c r="V4412">
        <v>-8.7855199999999994E-2</v>
      </c>
      <c r="W4412">
        <v>0.1873428</v>
      </c>
      <c r="X4412">
        <v>0.9783579</v>
      </c>
      <c r="Y4412">
        <v>1.980314E-2</v>
      </c>
      <c r="Z4412">
        <v>2.2764169999999999E-4</v>
      </c>
      <c r="AA4412">
        <v>0.99980389999999997</v>
      </c>
      <c r="AB4412">
        <v>23</v>
      </c>
      <c r="AC4412">
        <v>-140.17259999999999</v>
      </c>
      <c r="AD4412">
        <v>-1.1106059837340001</v>
      </c>
      <c r="AE4412">
        <v>4.6708999999999801</v>
      </c>
      <c r="AF4412">
        <v>2.78226463748276</v>
      </c>
      <c r="AG4412">
        <v>-1.1106059837340001</v>
      </c>
      <c r="AH4412">
        <v>140.214005868779</v>
      </c>
      <c r="AI4412">
        <v>90.453729150568094</v>
      </c>
      <c r="AJ4412">
        <v>88.863229798942101</v>
      </c>
      <c r="AK4412">
        <v>140.24600487691001</v>
      </c>
      <c r="AL4412">
        <v>79.202246732811702</v>
      </c>
      <c r="AM4412">
        <v>95.131319459276597</v>
      </c>
      <c r="AN4412">
        <v>1.0000000206856401</v>
      </c>
    </row>
    <row r="4413" spans="1:40" x14ac:dyDescent="0.25">
      <c r="A4413" t="str">
        <f>"20190304155149005"</f>
        <v>20190304155149005</v>
      </c>
      <c r="B4413" t="str">
        <f>"1551685909001069"</f>
        <v>1551685909001069</v>
      </c>
      <c r="C4413" t="s">
        <v>40</v>
      </c>
      <c r="D4413">
        <v>4.6933150000000001</v>
      </c>
      <c r="E4413">
        <v>0.53987010000000002</v>
      </c>
      <c r="F4413" t="s">
        <v>41</v>
      </c>
      <c r="G4413">
        <v>-375.90010000000001</v>
      </c>
      <c r="H4413" s="1">
        <v>-3.2562759999999998E-6</v>
      </c>
      <c r="I4413">
        <v>145.31049999999999</v>
      </c>
      <c r="J4413">
        <v>-259.45859999999999</v>
      </c>
      <c r="K4413">
        <v>1.1106009999999999</v>
      </c>
      <c r="L4413">
        <v>141.53460000000001</v>
      </c>
      <c r="M4413">
        <v>-0.99985360000000001</v>
      </c>
      <c r="N4413">
        <v>-1.0941950000000001E-2</v>
      </c>
      <c r="O4413">
        <v>1.3157820000000001E-2</v>
      </c>
      <c r="P4413">
        <v>-0.98138959999999997</v>
      </c>
      <c r="Q4413">
        <v>0.17630680000000001</v>
      </c>
      <c r="R4413">
        <v>-7.6096289999999997E-2</v>
      </c>
      <c r="S4413">
        <v>-3.06955</v>
      </c>
      <c r="T4413">
        <v>-2.922404E-2</v>
      </c>
      <c r="U4413">
        <v>9.9426269999999997E-2</v>
      </c>
      <c r="V4413">
        <v>-8.9094419999999994E-2</v>
      </c>
      <c r="W4413">
        <v>0.18697929999999999</v>
      </c>
      <c r="X4413">
        <v>0.97831539999999995</v>
      </c>
      <c r="Y4413">
        <v>1.9217809999999998E-2</v>
      </c>
      <c r="Z4413">
        <v>2.1535719999999999E-4</v>
      </c>
      <c r="AA4413">
        <v>0.99981529999999996</v>
      </c>
      <c r="AB4413">
        <v>23</v>
      </c>
      <c r="AC4413">
        <v>-116.4415</v>
      </c>
      <c r="AD4413">
        <v>-1.1106042562759999</v>
      </c>
      <c r="AE4413">
        <v>3.7758999999999698</v>
      </c>
      <c r="AF4413">
        <v>2.2431612761003099</v>
      </c>
      <c r="AG4413">
        <v>-1.1106042562759999</v>
      </c>
      <c r="AH4413">
        <v>116.47051997458099</v>
      </c>
      <c r="AI4413">
        <v>90.546225867654897</v>
      </c>
      <c r="AJ4413">
        <v>88.896649671818693</v>
      </c>
      <c r="AK4413">
        <v>116.49741300764499</v>
      </c>
      <c r="AL4413">
        <v>79.223448696684798</v>
      </c>
      <c r="AM4413">
        <v>95.203528271968807</v>
      </c>
      <c r="AN4413">
        <v>1.0000000480903899</v>
      </c>
    </row>
    <row r="4414" spans="1:40" x14ac:dyDescent="0.25">
      <c r="A4414" t="str">
        <f>"20190304155149029"</f>
        <v>20190304155149029</v>
      </c>
      <c r="B4414" t="str">
        <f>"1551685909021564"</f>
        <v>1551685909021564</v>
      </c>
      <c r="C4414" t="s">
        <v>40</v>
      </c>
      <c r="D4414">
        <v>4.5962180000000004</v>
      </c>
      <c r="E4414">
        <v>0.53984409999999905</v>
      </c>
      <c r="F4414" t="s">
        <v>41</v>
      </c>
      <c r="G4414">
        <v>-359.01569999999998</v>
      </c>
      <c r="H4414" s="1">
        <v>-1.779875E-6</v>
      </c>
      <c r="I4414">
        <v>144.7851</v>
      </c>
      <c r="J4414">
        <v>-259.68709999999999</v>
      </c>
      <c r="K4414">
        <v>1.1106</v>
      </c>
      <c r="L4414">
        <v>141.53720000000001</v>
      </c>
      <c r="M4414">
        <v>-0.99985809999999997</v>
      </c>
      <c r="N4414">
        <v>-1.0937769999999999E-2</v>
      </c>
      <c r="O4414">
        <v>1.2811879999999999E-2</v>
      </c>
      <c r="P4414">
        <v>-0.98148060000000004</v>
      </c>
      <c r="Q4414">
        <v>0.1751162</v>
      </c>
      <c r="R4414">
        <v>-7.7656320000000001E-2</v>
      </c>
      <c r="S4414">
        <v>-3.0708310000000001</v>
      </c>
      <c r="T4414">
        <v>-3.4256460000000002E-2</v>
      </c>
      <c r="U4414">
        <v>0.10026549999999999</v>
      </c>
      <c r="V4414">
        <v>-9.0318289999999996E-2</v>
      </c>
      <c r="W4414">
        <v>0.18578420000000001</v>
      </c>
      <c r="X4414">
        <v>0.97843080000000004</v>
      </c>
      <c r="Y4414">
        <v>1.9822599999999999E-2</v>
      </c>
      <c r="Z4414">
        <v>2.1621960000000001E-4</v>
      </c>
      <c r="AA4414">
        <v>0.99980349999999996</v>
      </c>
      <c r="AB4414">
        <v>23</v>
      </c>
      <c r="AC4414">
        <v>-99.328599999999994</v>
      </c>
      <c r="AD4414">
        <v>-1.1106017798749901</v>
      </c>
      <c r="AE4414">
        <v>3.24789999999998</v>
      </c>
      <c r="AF4414">
        <v>1.9747245512676901</v>
      </c>
      <c r="AG4414">
        <v>-1.1106017798749901</v>
      </c>
      <c r="AH4414">
        <v>99.349653671863294</v>
      </c>
      <c r="AI4414">
        <v>90.640340226300097</v>
      </c>
      <c r="AJ4414">
        <v>88.861309709991403</v>
      </c>
      <c r="AK4414">
        <v>99.375483184163699</v>
      </c>
      <c r="AL4414">
        <v>79.293143569556605</v>
      </c>
      <c r="AM4414">
        <v>95.273988904561904</v>
      </c>
      <c r="AN4414">
        <v>0.99999999643340198</v>
      </c>
    </row>
    <row r="4415" spans="1:40" x14ac:dyDescent="0.25">
      <c r="A4415" t="str">
        <f>"20190304155149051"</f>
        <v>20190304155149051</v>
      </c>
      <c r="B4415" t="str">
        <f>"1551685909041084"</f>
        <v>1551685909041084</v>
      </c>
      <c r="C4415" t="s">
        <v>40</v>
      </c>
      <c r="D4415">
        <v>4.4926050000000002</v>
      </c>
      <c r="E4415">
        <v>0.539933</v>
      </c>
      <c r="F4415" t="s">
        <v>41</v>
      </c>
      <c r="G4415">
        <v>-348.42829999999998</v>
      </c>
      <c r="H4415" s="1">
        <v>-1.9012380000000001E-6</v>
      </c>
      <c r="I4415">
        <v>144.29419999999999</v>
      </c>
      <c r="J4415">
        <v>-259.9255</v>
      </c>
      <c r="K4415">
        <v>1.1105940000000001</v>
      </c>
      <c r="L4415">
        <v>141.53980000000001</v>
      </c>
      <c r="M4415">
        <v>-0.99986269999999999</v>
      </c>
      <c r="N4415">
        <v>-1.094054E-2</v>
      </c>
      <c r="O4415">
        <v>1.244431E-2</v>
      </c>
      <c r="P4415">
        <v>-0.98155890000000001</v>
      </c>
      <c r="Q4415">
        <v>0.17386279999999901</v>
      </c>
      <c r="R4415">
        <v>-7.946106E-2</v>
      </c>
      <c r="S4415">
        <v>-3.0709840000000002</v>
      </c>
      <c r="T4415">
        <v>-3.8433549999999997E-2</v>
      </c>
      <c r="U4415">
        <v>9.5413209999999998E-2</v>
      </c>
      <c r="V4415">
        <v>-9.1764589999999993E-2</v>
      </c>
      <c r="W4415">
        <v>0.18453310000000001</v>
      </c>
      <c r="X4415">
        <v>0.97853299999999999</v>
      </c>
      <c r="Y4415">
        <v>1.8610109999999999E-2</v>
      </c>
      <c r="Z4415">
        <v>1.9869829999999999E-4</v>
      </c>
      <c r="AA4415">
        <v>0.99982680000000002</v>
      </c>
      <c r="AB4415">
        <v>23</v>
      </c>
      <c r="AC4415">
        <v>-88.502799999999894</v>
      </c>
      <c r="AD4415">
        <v>-1.110595901238</v>
      </c>
      <c r="AE4415">
        <v>2.7543999999999702</v>
      </c>
      <c r="AF4415">
        <v>1.65250451124817</v>
      </c>
      <c r="AG4415">
        <v>-1.110595901238</v>
      </c>
      <c r="AH4415">
        <v>88.516299581063294</v>
      </c>
      <c r="AI4415">
        <v>90.718715481978904</v>
      </c>
      <c r="AJ4415">
        <v>88.930473403000704</v>
      </c>
      <c r="AK4415">
        <v>88.538689203873403</v>
      </c>
      <c r="AL4415">
        <v>79.366087864483305</v>
      </c>
      <c r="AM4415">
        <v>95.357399226422004</v>
      </c>
      <c r="AN4415">
        <v>1.0000000185312301</v>
      </c>
    </row>
    <row r="4416" spans="1:40" x14ac:dyDescent="0.25">
      <c r="A4416" t="str">
        <f>"20190304155149073"</f>
        <v>20190304155149073</v>
      </c>
      <c r="B4416" t="str">
        <f>"1551685909071341"</f>
        <v>1551685909071341</v>
      </c>
      <c r="C4416" t="s">
        <v>40</v>
      </c>
      <c r="D4416">
        <v>4.4673970000000001</v>
      </c>
      <c r="E4416">
        <v>0.54025639999999997</v>
      </c>
      <c r="F4416" t="s">
        <v>41</v>
      </c>
      <c r="G4416">
        <v>-337.1891</v>
      </c>
      <c r="H4416" s="1">
        <v>-2.425479E-6</v>
      </c>
      <c r="I4416">
        <v>143.8117</v>
      </c>
      <c r="J4416">
        <v>-260.14800000000002</v>
      </c>
      <c r="K4416">
        <v>1.110595</v>
      </c>
      <c r="L4416">
        <v>141.54220000000001</v>
      </c>
      <c r="M4416">
        <v>-0.9998669</v>
      </c>
      <c r="N4416">
        <v>-1.094782E-2</v>
      </c>
      <c r="O4416">
        <v>1.2099469999999999E-2</v>
      </c>
      <c r="P4416">
        <v>-0.98166220000000004</v>
      </c>
      <c r="Q4416">
        <v>0.17260120000000001</v>
      </c>
      <c r="R4416">
        <v>-8.0922339999999995E-2</v>
      </c>
      <c r="S4416">
        <v>-3.0715029999999999</v>
      </c>
      <c r="T4416">
        <v>-4.4150109999999999E-2</v>
      </c>
      <c r="U4416">
        <v>9.0316770000000005E-2</v>
      </c>
      <c r="V4416">
        <v>-9.2887880000000006E-2</v>
      </c>
      <c r="W4416">
        <v>0.18327930000000001</v>
      </c>
      <c r="X4416">
        <v>0.97866260000000005</v>
      </c>
      <c r="Y4416">
        <v>1.7291859999999999E-2</v>
      </c>
      <c r="Z4416">
        <v>1.7751339999999999E-4</v>
      </c>
      <c r="AA4416">
        <v>0.99985049999999998</v>
      </c>
      <c r="AB4416">
        <v>23</v>
      </c>
      <c r="AC4416">
        <v>-77.0411</v>
      </c>
      <c r="AD4416">
        <v>-1.1105974254790001</v>
      </c>
      <c r="AE4416">
        <v>2.2694999999999901</v>
      </c>
      <c r="AF4416">
        <v>1.33684396744853</v>
      </c>
      <c r="AG4416">
        <v>-1.1105974254790001</v>
      </c>
      <c r="AH4416">
        <v>77.046923900068705</v>
      </c>
      <c r="AI4416">
        <v>90.825711929311595</v>
      </c>
      <c r="AJ4416">
        <v>89.005958601102193</v>
      </c>
      <c r="AK4416">
        <v>77.066523607191201</v>
      </c>
      <c r="AL4416">
        <v>79.439171358790901</v>
      </c>
      <c r="AM4416">
        <v>95.421876757325094</v>
      </c>
      <c r="AN4416">
        <v>0.99999997234907101</v>
      </c>
    </row>
    <row r="4417" spans="1:40" x14ac:dyDescent="0.25">
      <c r="A4417" t="str">
        <f>"20190304155149095"</f>
        <v>20190304155149095</v>
      </c>
      <c r="B4417" t="str">
        <f>"1551685909091347"</f>
        <v>1551685909091347</v>
      </c>
      <c r="C4417" t="s">
        <v>40</v>
      </c>
      <c r="D4417">
        <v>4.4968469999999998</v>
      </c>
      <c r="E4417">
        <v>0.5405316</v>
      </c>
      <c r="F4417" t="s">
        <v>41</v>
      </c>
      <c r="G4417">
        <v>-325.42099999999999</v>
      </c>
      <c r="H4417" s="1">
        <v>-2.958489E-6</v>
      </c>
      <c r="I4417">
        <v>143.41899999999899</v>
      </c>
      <c r="J4417">
        <v>-260.36320000000001</v>
      </c>
      <c r="K4417">
        <v>1.1105989999999999</v>
      </c>
      <c r="L4417">
        <v>141.5444</v>
      </c>
      <c r="M4417">
        <v>-0.99987079999999995</v>
      </c>
      <c r="N4417">
        <v>-1.0957049999999999E-2</v>
      </c>
      <c r="O4417">
        <v>1.176668E-2</v>
      </c>
      <c r="P4417">
        <v>-0.98147490000000004</v>
      </c>
      <c r="Q4417">
        <v>0.17308789999999999</v>
      </c>
      <c r="R4417">
        <v>-8.2145410000000002E-2</v>
      </c>
      <c r="S4417">
        <v>-3.0725099999999999</v>
      </c>
      <c r="T4417">
        <v>-5.2277799999999999E-2</v>
      </c>
      <c r="U4417">
        <v>8.8348389999999999E-2</v>
      </c>
      <c r="V4417">
        <v>-9.3782039999999997E-2</v>
      </c>
      <c r="W4417">
        <v>0.18377289999999999</v>
      </c>
      <c r="X4417">
        <v>0.97848469999999999</v>
      </c>
      <c r="Y4417">
        <v>1.6974260000000001E-2</v>
      </c>
      <c r="Z4417">
        <v>1.661636E-4</v>
      </c>
      <c r="AA4417">
        <v>0.99985590000000002</v>
      </c>
      <c r="AB4417">
        <v>23</v>
      </c>
      <c r="AC4417">
        <v>-65.057799999999901</v>
      </c>
      <c r="AD4417">
        <v>-1.1106019584889999</v>
      </c>
      <c r="AE4417">
        <v>1.8745999999999801</v>
      </c>
      <c r="AF4417">
        <v>1.1085871889958301</v>
      </c>
      <c r="AG4417">
        <v>-1.1106019584889999</v>
      </c>
      <c r="AH4417">
        <v>65.0564117059387</v>
      </c>
      <c r="AI4417">
        <v>90.977880409083596</v>
      </c>
      <c r="AJ4417">
        <v>89.023751562659797</v>
      </c>
      <c r="AK4417">
        <v>65.075334085338298</v>
      </c>
      <c r="AL4417">
        <v>79.410401035463494</v>
      </c>
      <c r="AM4417">
        <v>95.474742636605697</v>
      </c>
      <c r="AN4417">
        <v>0.99999992896752798</v>
      </c>
    </row>
    <row r="4418" spans="1:40" x14ac:dyDescent="0.25">
      <c r="A4418" t="str">
        <f>"20190304155149117"</f>
        <v>20190304155149117</v>
      </c>
      <c r="B4418" t="str">
        <f>"1551685909110867"</f>
        <v>1551685909110867</v>
      </c>
      <c r="C4418" t="s">
        <v>40</v>
      </c>
      <c r="D4418">
        <v>4.562881</v>
      </c>
      <c r="E4418">
        <v>0.54092519999999999</v>
      </c>
      <c r="F4418" t="s">
        <v>41</v>
      </c>
      <c r="G4418">
        <v>-327.06169999999997</v>
      </c>
      <c r="H4418" s="1">
        <v>-2.2554809999999999E-6</v>
      </c>
      <c r="I4418">
        <v>143.4222</v>
      </c>
      <c r="J4418">
        <v>-260.59300000000002</v>
      </c>
      <c r="K4418">
        <v>1.1106009999999999</v>
      </c>
      <c r="L4418">
        <v>141.54669999999999</v>
      </c>
      <c r="M4418">
        <v>-0.99987470000000001</v>
      </c>
      <c r="N4418">
        <v>-1.0974060000000001E-2</v>
      </c>
      <c r="O4418">
        <v>1.1413639999999999E-2</v>
      </c>
      <c r="P4418">
        <v>-0.98132160000000002</v>
      </c>
      <c r="Q4418">
        <v>0.17356070000000001</v>
      </c>
      <c r="R4418">
        <v>-8.2974240000000005E-2</v>
      </c>
      <c r="S4418">
        <v>-3.0728759999999999</v>
      </c>
      <c r="T4418">
        <v>-5.1166650000000001E-2</v>
      </c>
      <c r="U4418">
        <v>8.6517330000000003E-2</v>
      </c>
      <c r="V4418">
        <v>-9.4261769999999995E-2</v>
      </c>
      <c r="W4418">
        <v>0.18426129999999999</v>
      </c>
      <c r="X4418">
        <v>0.97834679999999996</v>
      </c>
      <c r="Y4418">
        <v>1.6728710000000001E-2</v>
      </c>
      <c r="Z4418">
        <v>1.6630989999999999E-4</v>
      </c>
      <c r="AA4418">
        <v>0.99985999999999997</v>
      </c>
      <c r="AB4418">
        <v>23</v>
      </c>
      <c r="AC4418">
        <v>-66.468699999999899</v>
      </c>
      <c r="AD4418">
        <v>-1.1106032554809999</v>
      </c>
      <c r="AE4418">
        <v>1.8755000000000099</v>
      </c>
      <c r="AF4418">
        <v>1.1163709446385599</v>
      </c>
      <c r="AG4418">
        <v>-1.1106032554809999</v>
      </c>
      <c r="AH4418">
        <v>66.467235902505294</v>
      </c>
      <c r="AI4418">
        <v>90.957133036542999</v>
      </c>
      <c r="AJ4418">
        <v>89.037761553049705</v>
      </c>
      <c r="AK4418">
        <v>66.485887015188496</v>
      </c>
      <c r="AL4418">
        <v>79.381932199739495</v>
      </c>
      <c r="AM4418">
        <v>95.503347367919403</v>
      </c>
      <c r="AN4418">
        <v>0.99999998451573102</v>
      </c>
    </row>
    <row r="4419" spans="1:40" x14ac:dyDescent="0.25">
      <c r="A4419" t="str">
        <f>"20190304155149141"</f>
        <v>20190304155149141</v>
      </c>
      <c r="B4419" t="str">
        <f>"1551685909131363"</f>
        <v>1551685909131363</v>
      </c>
      <c r="C4419" t="s">
        <v>40</v>
      </c>
      <c r="D4419">
        <v>4.5033409999999998</v>
      </c>
      <c r="E4419">
        <v>0.54088689999999995</v>
      </c>
      <c r="F4419" t="s">
        <v>41</v>
      </c>
      <c r="G4419">
        <v>-327.48559999999998</v>
      </c>
      <c r="H4419" s="1">
        <v>-2.0774639999999999E-6</v>
      </c>
      <c r="I4419">
        <v>143.4366</v>
      </c>
      <c r="J4419">
        <v>-260.83240000000001</v>
      </c>
      <c r="K4419">
        <v>1.110609</v>
      </c>
      <c r="L4419">
        <v>141.54900000000001</v>
      </c>
      <c r="M4419">
        <v>-0.99987839999999995</v>
      </c>
      <c r="N4419">
        <v>-1.1004150000000001E-2</v>
      </c>
      <c r="O4419">
        <v>1.104956E-2</v>
      </c>
      <c r="P4419">
        <v>-0.98111079999999995</v>
      </c>
      <c r="Q4419">
        <v>0.17465549999999999</v>
      </c>
      <c r="R4419">
        <v>-8.3168480000000003E-2</v>
      </c>
      <c r="S4419">
        <v>-3.0734249999999999</v>
      </c>
      <c r="T4419">
        <v>-5.1027419999999997E-2</v>
      </c>
      <c r="U4419">
        <v>8.6837769999999995E-2</v>
      </c>
      <c r="V4419">
        <v>-9.4096460000000007E-2</v>
      </c>
      <c r="W4419">
        <v>0.1853841</v>
      </c>
      <c r="X4419">
        <v>0.97815059999999998</v>
      </c>
      <c r="Y4419">
        <v>1.719182E-2</v>
      </c>
      <c r="Z4419">
        <v>1.754808E-4</v>
      </c>
      <c r="AA4419">
        <v>0.99985219999999997</v>
      </c>
      <c r="AB4419">
        <v>23</v>
      </c>
      <c r="AC4419">
        <v>-66.653199999999899</v>
      </c>
      <c r="AD4419">
        <v>-1.1106110774639999</v>
      </c>
      <c r="AE4419">
        <v>1.88759999999999</v>
      </c>
      <c r="AF4419">
        <v>1.15063241757857</v>
      </c>
      <c r="AG4419">
        <v>-1.1106110774639999</v>
      </c>
      <c r="AH4419">
        <v>66.651498567375299</v>
      </c>
      <c r="AI4419">
        <v>90.954486590535296</v>
      </c>
      <c r="AJ4419">
        <v>89.010977477789297</v>
      </c>
      <c r="AK4419">
        <v>66.670680761505693</v>
      </c>
      <c r="AL4419">
        <v>79.316472942619995</v>
      </c>
      <c r="AM4419">
        <v>95.494850270562594</v>
      </c>
      <c r="AN4419">
        <v>1.00000000229885</v>
      </c>
    </row>
    <row r="4420" spans="1:40" x14ac:dyDescent="0.25">
      <c r="A4420" t="str">
        <f>"20190304155149155"</f>
        <v>20190304155149155</v>
      </c>
      <c r="B4420" t="str">
        <f>"1551685909150883"</f>
        <v>1551685909150883</v>
      </c>
      <c r="C4420" t="s">
        <v>40</v>
      </c>
      <c r="D4420">
        <v>4.5990089999999997</v>
      </c>
      <c r="E4420">
        <v>0.54036090000000003</v>
      </c>
      <c r="F4420" t="s">
        <v>41</v>
      </c>
      <c r="G4420">
        <v>-337.69720000000001</v>
      </c>
      <c r="H4420" s="1">
        <v>-2.1521749999999999E-6</v>
      </c>
      <c r="I4420">
        <v>143.68719999999999</v>
      </c>
      <c r="J4420">
        <v>-260.97570000000002</v>
      </c>
      <c r="K4420">
        <v>1.110614</v>
      </c>
      <c r="L4420">
        <v>141.55029999999999</v>
      </c>
      <c r="M4420">
        <v>-0.99988049999999995</v>
      </c>
      <c r="N4420">
        <v>-1.102829E-2</v>
      </c>
      <c r="O4420">
        <v>1.083313E-2</v>
      </c>
      <c r="P4420">
        <v>-0.98103739999999995</v>
      </c>
      <c r="Q4420">
        <v>0.17509920000000001</v>
      </c>
      <c r="R4420">
        <v>-8.3102789999999996E-2</v>
      </c>
      <c r="S4420">
        <v>-3.0729060000000001</v>
      </c>
      <c r="T4420">
        <v>-4.4400099999999998E-2</v>
      </c>
      <c r="U4420">
        <v>8.5479739999999999E-2</v>
      </c>
      <c r="V4420">
        <v>-9.3817499999999998E-2</v>
      </c>
      <c r="W4420">
        <v>0.18585119999999999</v>
      </c>
      <c r="X4420">
        <v>0.97808870000000003</v>
      </c>
      <c r="Y4420">
        <v>1.697218E-2</v>
      </c>
      <c r="Z4420">
        <v>1.791773E-4</v>
      </c>
      <c r="AA4420">
        <v>0.99985590000000002</v>
      </c>
      <c r="AB4420">
        <v>23</v>
      </c>
      <c r="AC4420">
        <v>-76.721499999999907</v>
      </c>
      <c r="AD4420">
        <v>-1.110616152175</v>
      </c>
      <c r="AE4420">
        <v>2.13689999999999</v>
      </c>
      <c r="AF4420">
        <v>1.30531673743377</v>
      </c>
      <c r="AG4420">
        <v>-1.110616152175</v>
      </c>
      <c r="AH4420">
        <v>76.724082856775993</v>
      </c>
      <c r="AI4420">
        <v>90.829204683300702</v>
      </c>
      <c r="AJ4420">
        <v>89.025313530885597</v>
      </c>
      <c r="AK4420">
        <v>76.743222568744898</v>
      </c>
      <c r="AL4420">
        <v>79.289236191470494</v>
      </c>
      <c r="AM4420">
        <v>95.479004020014699</v>
      </c>
      <c r="AN4420">
        <v>0.99999994845768803</v>
      </c>
    </row>
    <row r="4421" spans="1:40" x14ac:dyDescent="0.25">
      <c r="A4421" t="str">
        <f>"20190304155149176"</f>
        <v>20190304155149176</v>
      </c>
      <c r="B4421" t="str">
        <f>"1551685909171380"</f>
        <v>1551685909171380</v>
      </c>
      <c r="C4421" t="s">
        <v>40</v>
      </c>
      <c r="D4421">
        <v>4.5320669999999996</v>
      </c>
      <c r="E4421">
        <v>0.53973070000000001</v>
      </c>
      <c r="F4421" t="s">
        <v>41</v>
      </c>
      <c r="G4421">
        <v>-346.25319999999999</v>
      </c>
      <c r="H4421" s="1">
        <v>-2.7043800000000002E-6</v>
      </c>
      <c r="I4421">
        <v>143.8058</v>
      </c>
      <c r="J4421">
        <v>-261.18529999999998</v>
      </c>
      <c r="K4421">
        <v>1.110625</v>
      </c>
      <c r="L4421">
        <v>141.5523</v>
      </c>
      <c r="M4421">
        <v>-0.99988350000000004</v>
      </c>
      <c r="N4421">
        <v>-1.106877E-2</v>
      </c>
      <c r="O4421">
        <v>1.051886E-2</v>
      </c>
      <c r="P4421">
        <v>-0.98097089999999998</v>
      </c>
      <c r="Q4421">
        <v>0.17585429999999999</v>
      </c>
      <c r="R4421">
        <v>-8.2289139999999997E-2</v>
      </c>
      <c r="S4421">
        <v>-3.0720209999999999</v>
      </c>
      <c r="T4421">
        <v>-4.0008660000000001E-2</v>
      </c>
      <c r="U4421">
        <v>8.1253049999999993E-2</v>
      </c>
      <c r="V4421">
        <v>-9.2695550000000002E-2</v>
      </c>
      <c r="W4421">
        <v>0.1866458</v>
      </c>
      <c r="X4421">
        <v>0.97804440000000004</v>
      </c>
      <c r="Y4421">
        <v>1.5920360000000001E-2</v>
      </c>
      <c r="Z4421">
        <v>1.7124419999999999E-4</v>
      </c>
      <c r="AA4421">
        <v>0.99987320000000002</v>
      </c>
      <c r="AB4421">
        <v>23</v>
      </c>
      <c r="AC4421">
        <v>-85.067899999999995</v>
      </c>
      <c r="AD4421">
        <v>-1.1106277043799999</v>
      </c>
      <c r="AE4421">
        <v>2.2534999999999998</v>
      </c>
      <c r="AF4421">
        <v>1.3582718791925501</v>
      </c>
      <c r="AG4421">
        <v>-1.1106277043799999</v>
      </c>
      <c r="AH4421">
        <v>85.072408056553996</v>
      </c>
      <c r="AI4421">
        <v>90.747863602000393</v>
      </c>
      <c r="AJ4421">
        <v>89.085289389141806</v>
      </c>
      <c r="AK4421">
        <v>85.090498934583593</v>
      </c>
      <c r="AL4421">
        <v>79.242898556587505</v>
      </c>
      <c r="AM4421">
        <v>95.414116802924497</v>
      </c>
      <c r="AN4421">
        <v>0.99999998400940104</v>
      </c>
    </row>
    <row r="4422" spans="1:40" x14ac:dyDescent="0.25">
      <c r="A4422" t="str">
        <f>"20190304155149198"</f>
        <v>20190304155149198</v>
      </c>
      <c r="B4422" t="str">
        <f>"1551685909190900"</f>
        <v>1551685909190900</v>
      </c>
      <c r="C4422" t="s">
        <v>40</v>
      </c>
      <c r="D4422">
        <v>4.4682760000000004</v>
      </c>
      <c r="E4422">
        <v>0.53917709999999996</v>
      </c>
      <c r="F4422" t="s">
        <v>41</v>
      </c>
      <c r="G4422">
        <v>-357.8098</v>
      </c>
      <c r="H4422" s="1">
        <v>-2.0939680000000002E-6</v>
      </c>
      <c r="I4422">
        <v>144.02119999999999</v>
      </c>
      <c r="J4422">
        <v>-261.40969999999999</v>
      </c>
      <c r="K4422">
        <v>1.110633</v>
      </c>
      <c r="L4422">
        <v>141.55420000000001</v>
      </c>
      <c r="M4422">
        <v>-0.99988639999999995</v>
      </c>
      <c r="N4422">
        <v>-1.1114819999999999E-2</v>
      </c>
      <c r="O4422">
        <v>1.0184230000000001E-2</v>
      </c>
      <c r="P4422">
        <v>-0.98091320000000004</v>
      </c>
      <c r="Q4422">
        <v>0.1764339</v>
      </c>
      <c r="R4422">
        <v>-8.1734230000000005E-2</v>
      </c>
      <c r="S4422">
        <v>-3.0711059999999999</v>
      </c>
      <c r="T4422">
        <v>-3.5300140000000001E-2</v>
      </c>
      <c r="U4422">
        <v>7.8475950000000003E-2</v>
      </c>
      <c r="V4422">
        <v>-9.1811829999999997E-2</v>
      </c>
      <c r="W4422">
        <v>0.1872711</v>
      </c>
      <c r="X4422">
        <v>0.97800819999999999</v>
      </c>
      <c r="Y4422">
        <v>1.5359799999999899E-2</v>
      </c>
      <c r="Z4422">
        <v>1.6979429999999999E-4</v>
      </c>
      <c r="AA4422">
        <v>0.99988200000000005</v>
      </c>
      <c r="AB4422">
        <v>23</v>
      </c>
      <c r="AC4422">
        <v>-96.400099999999995</v>
      </c>
      <c r="AD4422">
        <v>-1.1106350939679901</v>
      </c>
      <c r="AE4422">
        <v>2.4669999999999801</v>
      </c>
      <c r="AF4422">
        <v>1.4848536756047801</v>
      </c>
      <c r="AG4422">
        <v>-1.1106350939679901</v>
      </c>
      <c r="AH4422">
        <v>96.4074377251697</v>
      </c>
      <c r="AI4422">
        <v>90.659952642704596</v>
      </c>
      <c r="AJ4422">
        <v>89.117608302649998</v>
      </c>
      <c r="AK4422">
        <v>96.425268210580498</v>
      </c>
      <c r="AL4422">
        <v>79.206428174596198</v>
      </c>
      <c r="AM4422">
        <v>95.3630006220707</v>
      </c>
      <c r="AN4422">
        <v>0.99999995814519804</v>
      </c>
    </row>
    <row r="4423" spans="1:40" x14ac:dyDescent="0.25">
      <c r="A4423" t="str">
        <f>"20190304155149219"</f>
        <v>20190304155149219</v>
      </c>
      <c r="B4423" t="str">
        <f>"1551685909211396"</f>
        <v>1551685909211396</v>
      </c>
      <c r="C4423" t="s">
        <v>40</v>
      </c>
      <c r="D4423">
        <v>4.5144960000000003</v>
      </c>
      <c r="E4423">
        <v>0.53885539999999998</v>
      </c>
      <c r="F4423" t="s">
        <v>41</v>
      </c>
      <c r="G4423">
        <v>-370.02730000000003</v>
      </c>
      <c r="H4423" s="1">
        <v>-5.0840940000000004E-6</v>
      </c>
      <c r="I4423">
        <v>144.22399999999999</v>
      </c>
      <c r="J4423">
        <v>-261.6259</v>
      </c>
      <c r="K4423">
        <v>1.1106370000000001</v>
      </c>
      <c r="L4423">
        <v>141.55609999999999</v>
      </c>
      <c r="M4423">
        <v>-0.99988920000000003</v>
      </c>
      <c r="N4423">
        <v>-1.1161229999999999E-2</v>
      </c>
      <c r="O4423">
        <v>9.8615769999999998E-3</v>
      </c>
      <c r="P4423">
        <v>-0.98093439999999998</v>
      </c>
      <c r="Q4423">
        <v>0.1767743</v>
      </c>
      <c r="R4423">
        <v>-8.0740060000000002E-2</v>
      </c>
      <c r="S4423">
        <v>-3.0703130000000001</v>
      </c>
      <c r="T4423">
        <v>-3.1394599999999898E-2</v>
      </c>
      <c r="U4423">
        <v>7.5469969999999997E-2</v>
      </c>
      <c r="V4423">
        <v>-9.0501940000000003E-2</v>
      </c>
      <c r="W4423">
        <v>0.18765850000000001</v>
      </c>
      <c r="X4423">
        <v>0.97805609999999998</v>
      </c>
      <c r="Y4423">
        <v>1.4711119999999999E-2</v>
      </c>
      <c r="Z4423">
        <v>1.6655979999999999E-4</v>
      </c>
      <c r="AA4423">
        <v>0.9998918</v>
      </c>
      <c r="AB4423">
        <v>23</v>
      </c>
      <c r="AC4423">
        <v>-108.4014</v>
      </c>
      <c r="AD4423">
        <v>-1.1106420840939999</v>
      </c>
      <c r="AE4423">
        <v>2.6678999999999999</v>
      </c>
      <c r="AF4423">
        <v>1.59852733428913</v>
      </c>
      <c r="AG4423">
        <v>-1.1106420840939999</v>
      </c>
      <c r="AH4423">
        <v>108.411066128996</v>
      </c>
      <c r="AI4423">
        <v>90.586895455448698</v>
      </c>
      <c r="AJ4423">
        <v>89.155231691957994</v>
      </c>
      <c r="AK4423">
        <v>108.42853902318799</v>
      </c>
      <c r="AL4423">
        <v>79.183831897209402</v>
      </c>
      <c r="AM4423">
        <v>95.286665307026993</v>
      </c>
      <c r="AN4423">
        <v>1.0000000242566101</v>
      </c>
    </row>
    <row r="4424" spans="1:40" x14ac:dyDescent="0.25">
      <c r="A4424" t="str">
        <f>"20190304155149240"</f>
        <v>20190304155149240</v>
      </c>
      <c r="B4424" t="str">
        <f>"1551685909230921"</f>
        <v>1551685909230921</v>
      </c>
      <c r="C4424" t="s">
        <v>40</v>
      </c>
      <c r="D4424">
        <v>4.4984080000000004</v>
      </c>
      <c r="E4424">
        <v>0.53849429999999998</v>
      </c>
      <c r="F4424" t="s">
        <v>41</v>
      </c>
      <c r="G4424">
        <v>-385.53449999999998</v>
      </c>
      <c r="H4424" s="1">
        <v>-3.2258839999999999E-6</v>
      </c>
      <c r="I4424">
        <v>144.60679999999999</v>
      </c>
      <c r="J4424">
        <v>-261.8546</v>
      </c>
      <c r="K4424">
        <v>1.1106480000000001</v>
      </c>
      <c r="L4424">
        <v>141.55789999999999</v>
      </c>
      <c r="M4424">
        <v>-0.9998918</v>
      </c>
      <c r="N4424">
        <v>-1.1213300000000001E-2</v>
      </c>
      <c r="O4424">
        <v>9.5192249999999992E-3</v>
      </c>
      <c r="P4424">
        <v>-0.98084660000000001</v>
      </c>
      <c r="Q4424">
        <v>0.17812229999999901</v>
      </c>
      <c r="R4424">
        <v>-7.8820000000000001E-2</v>
      </c>
      <c r="S4424">
        <v>-3.0695190000000001</v>
      </c>
      <c r="T4424">
        <v>-2.7513269999999999E-2</v>
      </c>
      <c r="U4424">
        <v>7.5576779999999996E-2</v>
      </c>
      <c r="V4424">
        <v>-8.824506E-2</v>
      </c>
      <c r="W4424">
        <v>0.18905830000000001</v>
      </c>
      <c r="X4424">
        <v>0.97799270000000005</v>
      </c>
      <c r="Y4424">
        <v>1.509485E-2</v>
      </c>
      <c r="Z4424">
        <v>1.7371739999999999E-4</v>
      </c>
      <c r="AA4424">
        <v>0.99988600000000005</v>
      </c>
      <c r="AB4424">
        <v>23</v>
      </c>
      <c r="AC4424">
        <v>-123.67989999999899</v>
      </c>
      <c r="AD4424">
        <v>-1.11065122588399</v>
      </c>
      <c r="AE4424">
        <v>3.0489000000000002</v>
      </c>
      <c r="AF4424">
        <v>1.8712001947844299</v>
      </c>
      <c r="AG4424">
        <v>-1.11065122588399</v>
      </c>
      <c r="AH4424">
        <v>123.69335176544701</v>
      </c>
      <c r="AI4424">
        <v>90.514390119849296</v>
      </c>
      <c r="AJ4424">
        <v>89.133310764421495</v>
      </c>
      <c r="AK4424">
        <v>123.71249010219201</v>
      </c>
      <c r="AL4424">
        <v>79.102166967327506</v>
      </c>
      <c r="AM4424">
        <v>95.155881684720001</v>
      </c>
      <c r="AN4424">
        <v>0.99999997633329096</v>
      </c>
    </row>
    <row r="4425" spans="1:40" x14ac:dyDescent="0.25">
      <c r="A4425" t="str">
        <f>"20190304155149273"</f>
        <v>20190304155149273</v>
      </c>
      <c r="B4425" t="str">
        <f>"1551685909270932"</f>
        <v>1551685909270932</v>
      </c>
      <c r="C4425" t="s">
        <v>40</v>
      </c>
      <c r="D4425">
        <v>4.5071589999999997</v>
      </c>
      <c r="E4425">
        <v>0.53787059999999998</v>
      </c>
      <c r="F4425" t="s">
        <v>84</v>
      </c>
      <c r="G4425">
        <v>-419.98649999999998</v>
      </c>
      <c r="H4425" s="1">
        <v>-1.188441E-5</v>
      </c>
      <c r="I4425">
        <v>145.54130000000001</v>
      </c>
      <c r="J4425">
        <v>-262.18619999999999</v>
      </c>
      <c r="K4425">
        <v>1.110646</v>
      </c>
      <c r="L4425">
        <v>141.56049999999999</v>
      </c>
      <c r="M4425">
        <v>-0.99989550000000005</v>
      </c>
      <c r="N4425">
        <v>-1.130077E-2</v>
      </c>
      <c r="O4425">
        <v>9.0188170000000002E-3</v>
      </c>
      <c r="P4425">
        <v>-0.98094789999999998</v>
      </c>
      <c r="Q4425">
        <v>0.17830760000000001</v>
      </c>
      <c r="R4425">
        <v>-7.7122720000000006E-2</v>
      </c>
      <c r="S4425">
        <v>-3.068695</v>
      </c>
      <c r="T4425">
        <v>-2.15534E-2</v>
      </c>
      <c r="U4425">
        <v>7.7301030000000007E-2</v>
      </c>
      <c r="V4425">
        <v>-8.6058659999999995E-2</v>
      </c>
      <c r="W4425">
        <v>0.18933169999999999</v>
      </c>
      <c r="X4425">
        <v>0.97813459999999997</v>
      </c>
      <c r="Y4425">
        <v>1.6163690000000001E-2</v>
      </c>
      <c r="Z4425">
        <v>1.8668539999999999E-4</v>
      </c>
      <c r="AA4425">
        <v>0.99986929999999996</v>
      </c>
      <c r="AB4425">
        <v>23</v>
      </c>
      <c r="AC4425">
        <v>-157.80029999999999</v>
      </c>
      <c r="AD4425">
        <v>-1.1106578844099999</v>
      </c>
      <c r="AE4425">
        <v>3.9808000000000101</v>
      </c>
      <c r="AF4425">
        <v>2.5572486055561598</v>
      </c>
      <c r="AG4425">
        <v>-1.1106578844099999</v>
      </c>
      <c r="AH4425">
        <v>157.82197245512199</v>
      </c>
      <c r="AI4425">
        <v>90.403154301236199</v>
      </c>
      <c r="AJ4425">
        <v>89.071696233845401</v>
      </c>
      <c r="AK4425">
        <v>157.846596640511</v>
      </c>
      <c r="AL4425">
        <v>79.086213791931996</v>
      </c>
      <c r="AM4425">
        <v>95.028074688858396</v>
      </c>
      <c r="AN4425">
        <v>0.99999994065152098</v>
      </c>
    </row>
    <row r="4426" spans="1:40" x14ac:dyDescent="0.25">
      <c r="A4426" t="str">
        <f>"20190304155149296"</f>
        <v>20190304155149296</v>
      </c>
      <c r="B4426" t="str">
        <f>"1551685909291428"</f>
        <v>1551685909291428</v>
      </c>
      <c r="C4426" t="s">
        <v>40</v>
      </c>
      <c r="D4426">
        <v>4.5317360000000004</v>
      </c>
      <c r="E4426">
        <v>0.53755310000000001</v>
      </c>
      <c r="F4426" t="s">
        <v>41</v>
      </c>
      <c r="G4426">
        <v>-462.00040000000001</v>
      </c>
      <c r="H4426" s="1">
        <v>-4.3089789999999998E-6</v>
      </c>
      <c r="I4426">
        <v>146.5513</v>
      </c>
      <c r="J4426">
        <v>-262.41640000000001</v>
      </c>
      <c r="K4426">
        <v>1.1106469999999999</v>
      </c>
      <c r="L4426">
        <v>141.56209999999999</v>
      </c>
      <c r="M4426">
        <v>-0.99989790000000001</v>
      </c>
      <c r="N4426">
        <v>-1.1368799999999899E-2</v>
      </c>
      <c r="O4426">
        <v>8.6688110000000002E-3</v>
      </c>
      <c r="P4426">
        <v>-0.98145519999999997</v>
      </c>
      <c r="Q4426">
        <v>0.1760535</v>
      </c>
      <c r="R4426">
        <v>-7.5837769999999999E-2</v>
      </c>
      <c r="S4426">
        <v>-3.067383</v>
      </c>
      <c r="T4426">
        <v>-1.7049789999999999E-2</v>
      </c>
      <c r="U4426">
        <v>7.6614379999999996E-2</v>
      </c>
      <c r="V4426">
        <v>-8.4434969999999998E-2</v>
      </c>
      <c r="W4426">
        <v>0.18715080000000001</v>
      </c>
      <c r="X4426">
        <v>0.9786958</v>
      </c>
      <c r="Y4426">
        <v>1.6301110000000001E-2</v>
      </c>
      <c r="Z4426">
        <v>1.883493E-4</v>
      </c>
      <c r="AA4426">
        <v>0.99986710000000001</v>
      </c>
      <c r="AB4426">
        <v>23</v>
      </c>
      <c r="AC4426">
        <v>-199.584</v>
      </c>
      <c r="AD4426">
        <v>-1.110651308979</v>
      </c>
      <c r="AE4426">
        <v>4.9892000000000101</v>
      </c>
      <c r="AF4426">
        <v>3.2586440426187</v>
      </c>
      <c r="AG4426">
        <v>-1.110651308979</v>
      </c>
      <c r="AH4426">
        <v>199.61357527359101</v>
      </c>
      <c r="AI4426">
        <v>90.318748353345299</v>
      </c>
      <c r="AJ4426">
        <v>89.064743130109704</v>
      </c>
      <c r="AK4426">
        <v>199.64326119564399</v>
      </c>
      <c r="AL4426">
        <v>79.213446218069393</v>
      </c>
      <c r="AM4426">
        <v>94.930866370171799</v>
      </c>
      <c r="AN4426">
        <v>1.00000007751858</v>
      </c>
    </row>
    <row r="4427" spans="1:40" x14ac:dyDescent="0.25">
      <c r="A4427" t="str">
        <f>"20190304155149319"</f>
        <v>20190304155149319</v>
      </c>
      <c r="B4427" t="str">
        <f>"1551685909310947"</f>
        <v>1551685909310947</v>
      </c>
      <c r="C4427" t="s">
        <v>40</v>
      </c>
      <c r="D4427">
        <v>4.5009990000000002</v>
      </c>
      <c r="E4427">
        <v>0.53734689999999996</v>
      </c>
      <c r="F4427" t="s">
        <v>84</v>
      </c>
      <c r="G4427">
        <v>-413.72820000000002</v>
      </c>
      <c r="H4427" s="1">
        <v>-1.2389960000000001E-5</v>
      </c>
      <c r="I4427">
        <v>145.37989999999999</v>
      </c>
      <c r="J4427">
        <v>-262.64850000000001</v>
      </c>
      <c r="K4427">
        <v>1.110649</v>
      </c>
      <c r="L4427">
        <v>141.56370000000001</v>
      </c>
      <c r="M4427">
        <v>-0.99990000000000001</v>
      </c>
      <c r="N4427">
        <v>-1.14381E-2</v>
      </c>
      <c r="O4427">
        <v>8.3159849999999997E-3</v>
      </c>
      <c r="P4427">
        <v>-0.98201550000000004</v>
      </c>
      <c r="Q4427">
        <v>0.1730767</v>
      </c>
      <c r="R4427">
        <v>-7.5431100000000001E-2</v>
      </c>
      <c r="S4427">
        <v>-3.0667110000000002</v>
      </c>
      <c r="T4427">
        <v>-2.2510289999999999E-2</v>
      </c>
      <c r="U4427">
        <v>7.7377319999999999E-2</v>
      </c>
      <c r="V4427">
        <v>-8.3686899999999995E-2</v>
      </c>
      <c r="W4427">
        <v>0.1842491</v>
      </c>
      <c r="X4427">
        <v>0.97931029999999997</v>
      </c>
      <c r="Y4427">
        <v>1.6907490000000001E-2</v>
      </c>
      <c r="Z4427">
        <v>1.9284090000000001E-4</v>
      </c>
      <c r="AA4427">
        <v>0.99985710000000005</v>
      </c>
      <c r="AB4427">
        <v>23</v>
      </c>
      <c r="AC4427">
        <v>-151.0797</v>
      </c>
      <c r="AD4427">
        <v>-1.11066138996</v>
      </c>
      <c r="AE4427">
        <v>3.8161999999999798</v>
      </c>
      <c r="AF4427">
        <v>2.5594710719266902</v>
      </c>
      <c r="AG4427">
        <v>-1.11066138996</v>
      </c>
      <c r="AH4427">
        <v>151.09805195559699</v>
      </c>
      <c r="AI4427">
        <v>90.421090384399804</v>
      </c>
      <c r="AJ4427">
        <v>89.029551574571101</v>
      </c>
      <c r="AK4427">
        <v>151.123809393713</v>
      </c>
      <c r="AL4427">
        <v>79.382642969937393</v>
      </c>
      <c r="AM4427">
        <v>94.884340918653706</v>
      </c>
      <c r="AN4427">
        <v>0.99999994588425301</v>
      </c>
    </row>
    <row r="4428" spans="1:40" x14ac:dyDescent="0.25">
      <c r="A4428" t="str">
        <f>"20190304155149341"</f>
        <v>20190304155149341</v>
      </c>
      <c r="B4428" t="str">
        <f>"1551685909331444"</f>
        <v>1551685909331444</v>
      </c>
      <c r="C4428" t="s">
        <v>40</v>
      </c>
      <c r="D4428">
        <v>4.5341639999999996</v>
      </c>
      <c r="E4428">
        <v>0.53680220000000001</v>
      </c>
      <c r="F4428" t="s">
        <v>41</v>
      </c>
      <c r="G4428">
        <v>-366.88819999999998</v>
      </c>
      <c r="H4428" s="1">
        <v>-2.52959E-6</v>
      </c>
      <c r="I4428">
        <v>144.17259999999999</v>
      </c>
      <c r="J4428">
        <v>-262.87540000000001</v>
      </c>
      <c r="K4428">
        <v>1.1106529999999999</v>
      </c>
      <c r="L4428">
        <v>141.5652</v>
      </c>
      <c r="M4428">
        <v>-0.99990210000000002</v>
      </c>
      <c r="N4428">
        <v>-1.150845E-2</v>
      </c>
      <c r="O4428">
        <v>7.9695389999999994E-3</v>
      </c>
      <c r="P4428">
        <v>-0.98223090000000002</v>
      </c>
      <c r="Q4428">
        <v>0.17176900000000001</v>
      </c>
      <c r="R4428">
        <v>-7.5619069999999997E-2</v>
      </c>
      <c r="S4428">
        <v>-3.066589</v>
      </c>
      <c r="T4428">
        <v>-3.2673840000000003E-2</v>
      </c>
      <c r="U4428">
        <v>7.6751710000000001E-2</v>
      </c>
      <c r="V4428">
        <v>-8.3536540000000006E-2</v>
      </c>
      <c r="W4428">
        <v>0.1830126</v>
      </c>
      <c r="X4428">
        <v>0.97955499999999995</v>
      </c>
      <c r="Y4428">
        <v>1.7050160000000002E-2</v>
      </c>
      <c r="Z4428">
        <v>1.9576460000000001E-4</v>
      </c>
      <c r="AA4428">
        <v>0.99985460000000004</v>
      </c>
      <c r="AB4428">
        <v>23</v>
      </c>
      <c r="AC4428">
        <v>-104.012799999999</v>
      </c>
      <c r="AD4428">
        <v>-1.11065552959</v>
      </c>
      <c r="AE4428">
        <v>2.6073999999999802</v>
      </c>
      <c r="AF4428">
        <v>1.77812567267213</v>
      </c>
      <c r="AG4428">
        <v>-1.11065552959</v>
      </c>
      <c r="AH4428">
        <v>104.018424704022</v>
      </c>
      <c r="AI4428">
        <v>90.611662421482507</v>
      </c>
      <c r="AJ4428">
        <v>89.020662205358306</v>
      </c>
      <c r="AK4428">
        <v>104.03955000152401</v>
      </c>
      <c r="AL4428">
        <v>79.454715153062295</v>
      </c>
      <c r="AM4428">
        <v>94.874395485622799</v>
      </c>
      <c r="AN4428">
        <v>0.99999998164946502</v>
      </c>
    </row>
    <row r="4429" spans="1:40" x14ac:dyDescent="0.25">
      <c r="A4429" t="str">
        <f>"20190304155149364"</f>
        <v>20190304155149364</v>
      </c>
      <c r="B4429" t="str">
        <f>"1551685909361700"</f>
        <v>1551685909361700</v>
      </c>
      <c r="C4429" t="s">
        <v>40</v>
      </c>
      <c r="D4429">
        <v>4.5464919999999998</v>
      </c>
      <c r="E4429">
        <v>0.53622080000000005</v>
      </c>
      <c r="F4429" t="s">
        <v>41</v>
      </c>
      <c r="G4429">
        <v>-355.25830000000002</v>
      </c>
      <c r="H4429" s="1">
        <v>-3.1070040000000002E-6</v>
      </c>
      <c r="I4429">
        <v>143.7148</v>
      </c>
      <c r="J4429">
        <v>-263.11239999999998</v>
      </c>
      <c r="K4429">
        <v>1.1106670000000001</v>
      </c>
      <c r="L4429">
        <v>141.5667</v>
      </c>
      <c r="M4429">
        <v>-0.99990389999999996</v>
      </c>
      <c r="N4429">
        <v>-1.1588319999999999E-2</v>
      </c>
      <c r="O4429">
        <v>7.6090009999999998E-3</v>
      </c>
      <c r="P4429">
        <v>-0.9821048</v>
      </c>
      <c r="Q4429">
        <v>0.17225119999999999</v>
      </c>
      <c r="R4429">
        <v>-7.6156479999999999E-2</v>
      </c>
      <c r="S4429">
        <v>-3.066284</v>
      </c>
      <c r="T4429">
        <v>-3.6863800000000002E-2</v>
      </c>
      <c r="U4429">
        <v>7.13501E-2</v>
      </c>
      <c r="V4429">
        <v>-8.3719639999999998E-2</v>
      </c>
      <c r="W4429">
        <v>0.18357180000000001</v>
      </c>
      <c r="X4429">
        <v>0.97943469999999999</v>
      </c>
      <c r="Y4429">
        <v>1.5652599999999999E-2</v>
      </c>
      <c r="Z4429">
        <v>1.8149910000000001E-4</v>
      </c>
      <c r="AA4429">
        <v>0.99987749999999997</v>
      </c>
      <c r="AB4429">
        <v>23</v>
      </c>
      <c r="AC4429">
        <v>-92.145899999999997</v>
      </c>
      <c r="AD4429">
        <v>-1.1106701070039999</v>
      </c>
      <c r="AE4429">
        <v>2.1480999999999901</v>
      </c>
      <c r="AF4429">
        <v>1.4466424173064301</v>
      </c>
      <c r="AG4429">
        <v>-1.1106701070039999</v>
      </c>
      <c r="AH4429">
        <v>92.146198007457002</v>
      </c>
      <c r="AI4429">
        <v>90.690487395914801</v>
      </c>
      <c r="AJ4429">
        <v>89.100563039585793</v>
      </c>
      <c r="AK4429">
        <v>92.164245614010298</v>
      </c>
      <c r="AL4429">
        <v>79.422122938631006</v>
      </c>
      <c r="AM4429">
        <v>94.885624914012993</v>
      </c>
      <c r="AN4429">
        <v>0.99999995772052797</v>
      </c>
    </row>
    <row r="4430" spans="1:40" x14ac:dyDescent="0.25">
      <c r="A4430" t="str">
        <f>"20190304155149388"</f>
        <v>20190304155149388</v>
      </c>
      <c r="B4430" t="str">
        <f>"1551685909381221"</f>
        <v>1551685909381221</v>
      </c>
      <c r="C4430" t="s">
        <v>40</v>
      </c>
      <c r="D4430">
        <v>4.5443350000000002</v>
      </c>
      <c r="E4430">
        <v>0.53581699999999999</v>
      </c>
      <c r="F4430" t="s">
        <v>41</v>
      </c>
      <c r="G4430">
        <v>-364.35180000000003</v>
      </c>
      <c r="H4430" s="1">
        <v>-3.4949420000000001E-6</v>
      </c>
      <c r="I4430">
        <v>143.71119999999999</v>
      </c>
      <c r="J4430">
        <v>-263.3433</v>
      </c>
      <c r="K4430">
        <v>1.1106830000000001</v>
      </c>
      <c r="L4430">
        <v>141.56799999999899</v>
      </c>
      <c r="M4430">
        <v>-0.99990559999999995</v>
      </c>
      <c r="N4430">
        <v>-1.1668130000000001E-2</v>
      </c>
      <c r="O4430">
        <v>7.2642849999999997E-3</v>
      </c>
      <c r="P4430">
        <v>-0.9817091</v>
      </c>
      <c r="Q4430">
        <v>0.17421900000000001</v>
      </c>
      <c r="R4430">
        <v>-7.6782089999999997E-2</v>
      </c>
      <c r="S4430">
        <v>-3.065582</v>
      </c>
      <c r="T4430">
        <v>-3.3631679999999997E-2</v>
      </c>
      <c r="U4430">
        <v>6.4941410000000005E-2</v>
      </c>
      <c r="V4430">
        <v>-8.4003499999999995E-2</v>
      </c>
      <c r="W4430">
        <v>0.18561369999999999</v>
      </c>
      <c r="X4430">
        <v>0.97902549999999999</v>
      </c>
      <c r="Y4430">
        <v>1.391385E-2</v>
      </c>
      <c r="Z4430">
        <v>1.6257810000000001E-4</v>
      </c>
      <c r="AA4430">
        <v>0.99990319999999999</v>
      </c>
      <c r="AB4430">
        <v>23</v>
      </c>
      <c r="AC4430">
        <v>-101.0085</v>
      </c>
      <c r="AD4430">
        <v>-1.1106864949419999</v>
      </c>
      <c r="AE4430">
        <v>2.1432000000000002</v>
      </c>
      <c r="AF4430">
        <v>1.40916869594203</v>
      </c>
      <c r="AG4430">
        <v>-1.1106864949419999</v>
      </c>
      <c r="AH4430">
        <v>101.00919671149001</v>
      </c>
      <c r="AI4430">
        <v>90.629931677628804</v>
      </c>
      <c r="AJ4430">
        <v>89.200724447840798</v>
      </c>
      <c r="AK4430">
        <v>101.025131532724</v>
      </c>
      <c r="AL4430">
        <v>79.303085261714301</v>
      </c>
      <c r="AM4430">
        <v>94.904148466140001</v>
      </c>
      <c r="AN4430">
        <v>0.99999998164509396</v>
      </c>
    </row>
    <row r="4431" spans="1:40" x14ac:dyDescent="0.25">
      <c r="A4431" t="str">
        <f>"20190304155149410"</f>
        <v>20190304155149410</v>
      </c>
      <c r="B4431" t="str">
        <f>"1551685909401716"</f>
        <v>1551685909401716</v>
      </c>
      <c r="C4431" t="s">
        <v>40</v>
      </c>
      <c r="D4431">
        <v>4.556489</v>
      </c>
      <c r="E4431">
        <v>0.53555620000000004</v>
      </c>
      <c r="F4431" t="s">
        <v>41</v>
      </c>
      <c r="G4431">
        <v>-389.18529999999998</v>
      </c>
      <c r="H4431" s="1">
        <v>-1.5020030000000001E-6</v>
      </c>
      <c r="I4431">
        <v>144.01410000000001</v>
      </c>
      <c r="J4431">
        <v>-263.57170000000002</v>
      </c>
      <c r="K4431">
        <v>1.1106990000000001</v>
      </c>
      <c r="L4431">
        <v>141.5693</v>
      </c>
      <c r="M4431">
        <v>-0.99990690000000004</v>
      </c>
      <c r="N4431">
        <v>-1.1746100000000001E-2</v>
      </c>
      <c r="O4431">
        <v>6.936668E-3</v>
      </c>
      <c r="P4431">
        <v>-0.9813615</v>
      </c>
      <c r="Q4431">
        <v>0.17611459999999901</v>
      </c>
      <c r="R4431">
        <v>-7.6897359999999998E-2</v>
      </c>
      <c r="S4431">
        <v>-3.065369</v>
      </c>
      <c r="T4431">
        <v>-2.7055030000000001E-2</v>
      </c>
      <c r="U4431">
        <v>5.9585569999999997E-2</v>
      </c>
      <c r="V4431">
        <v>-8.379325E-2</v>
      </c>
      <c r="W4431">
        <v>0.1875831</v>
      </c>
      <c r="X4431">
        <v>0.97866810000000004</v>
      </c>
      <c r="Y4431">
        <v>1.249723E-2</v>
      </c>
      <c r="Z4431">
        <v>1.4881519999999999E-4</v>
      </c>
      <c r="AA4431">
        <v>0.99992190000000003</v>
      </c>
      <c r="AB4431">
        <v>23</v>
      </c>
      <c r="AC4431">
        <v>-125.613599999999</v>
      </c>
      <c r="AD4431">
        <v>-1.1107005020030001</v>
      </c>
      <c r="AE4431">
        <v>2.4448000000000101</v>
      </c>
      <c r="AF4431">
        <v>1.5732182174257701</v>
      </c>
      <c r="AG4431">
        <v>-1.1107005020030001</v>
      </c>
      <c r="AH4431">
        <v>125.61771974705</v>
      </c>
      <c r="AI4431">
        <v>90.506551170466494</v>
      </c>
      <c r="AJ4431">
        <v>89.282473427533503</v>
      </c>
      <c r="AK4431">
        <v>125.63248061553701</v>
      </c>
      <c r="AL4431">
        <v>79.188229719097293</v>
      </c>
      <c r="AM4431">
        <v>94.893711462287797</v>
      </c>
      <c r="AN4431">
        <v>0.99999998905439103</v>
      </c>
    </row>
    <row r="4432" spans="1:40" x14ac:dyDescent="0.25">
      <c r="A4432" t="str">
        <f>"20190304155149430"</f>
        <v>20190304155149430</v>
      </c>
      <c r="B4432" t="str">
        <f>"1551685909421236"</f>
        <v>1551685909421236</v>
      </c>
      <c r="C4432" t="s">
        <v>40</v>
      </c>
      <c r="D4432">
        <v>4.5759059999999998</v>
      </c>
      <c r="E4432">
        <v>0.53507890000000002</v>
      </c>
      <c r="F4432" t="s">
        <v>84</v>
      </c>
      <c r="G4432">
        <v>-437.654</v>
      </c>
      <c r="H4432" s="1">
        <v>-9.9872160000000003E-6</v>
      </c>
      <c r="I4432">
        <v>144.8245</v>
      </c>
      <c r="J4432">
        <v>-263.7921</v>
      </c>
      <c r="K4432">
        <v>1.1107020000000001</v>
      </c>
      <c r="L4432">
        <v>141.57040000000001</v>
      </c>
      <c r="M4432">
        <v>-0.99990820000000002</v>
      </c>
      <c r="N4432">
        <v>-1.181857E-2</v>
      </c>
      <c r="O4432">
        <v>6.6320839999999999E-3</v>
      </c>
      <c r="P4432">
        <v>-0.98121559999999997</v>
      </c>
      <c r="Q4432">
        <v>0.17707679999999901</v>
      </c>
      <c r="R4432">
        <v>-7.6550019999999996E-2</v>
      </c>
      <c r="S4432">
        <v>-3.0649410000000001</v>
      </c>
      <c r="T4432">
        <v>-1.9555449999999999E-2</v>
      </c>
      <c r="U4432">
        <v>5.7312009999999997E-2</v>
      </c>
      <c r="V4432">
        <v>-8.3143209999999995E-2</v>
      </c>
      <c r="W4432">
        <v>0.1886167</v>
      </c>
      <c r="X4432">
        <v>0.97852490000000003</v>
      </c>
      <c r="Y4432">
        <v>1.2063549999999999E-2</v>
      </c>
      <c r="Z4432">
        <v>1.4584870000000001E-4</v>
      </c>
      <c r="AA4432">
        <v>0.99992720000000002</v>
      </c>
      <c r="AB4432">
        <v>23</v>
      </c>
      <c r="AC4432">
        <v>-173.86189999999999</v>
      </c>
      <c r="AD4432">
        <v>-1.1107119872160001</v>
      </c>
      <c r="AE4432">
        <v>3.25409999999999</v>
      </c>
      <c r="AF4432">
        <v>2.1007954935719599</v>
      </c>
      <c r="AG4432">
        <v>-1.1107119872160001</v>
      </c>
      <c r="AH4432">
        <v>173.872565074151</v>
      </c>
      <c r="AI4432">
        <v>90.365978376254304</v>
      </c>
      <c r="AJ4432">
        <v>89.307763943919198</v>
      </c>
      <c r="AK4432">
        <v>173.88880328614999</v>
      </c>
      <c r="AL4432">
        <v>79.1279327870636</v>
      </c>
      <c r="AM4432">
        <v>94.856637153640804</v>
      </c>
      <c r="AN4432">
        <v>1.0000000164039999</v>
      </c>
    </row>
    <row r="4433" spans="1:40" x14ac:dyDescent="0.25">
      <c r="A4433" t="str">
        <f>"20190304155149452"</f>
        <v>20190304155149452</v>
      </c>
      <c r="B4433" t="str">
        <f>"1551685909441735"</f>
        <v>1551685909441735</v>
      </c>
      <c r="C4433" t="s">
        <v>40</v>
      </c>
      <c r="D4433">
        <v>4.5754169999999998</v>
      </c>
      <c r="E4433">
        <v>0.53461530000000002</v>
      </c>
      <c r="F4433" t="s">
        <v>41</v>
      </c>
      <c r="G4433">
        <v>-467.22680000000003</v>
      </c>
      <c r="H4433" s="1">
        <v>-1.8978470000000001E-6</v>
      </c>
      <c r="I4433">
        <v>145.1439</v>
      </c>
      <c r="J4433">
        <v>-264.01130000000001</v>
      </c>
      <c r="K4433">
        <v>1.1107049999999901</v>
      </c>
      <c r="L4433">
        <v>141.57149999999999</v>
      </c>
      <c r="M4433">
        <v>-0.9999093</v>
      </c>
      <c r="N4433">
        <v>-1.188607E-2</v>
      </c>
      <c r="O4433">
        <v>6.3382830000000001E-3</v>
      </c>
      <c r="P4433">
        <v>-0.98105339999999996</v>
      </c>
      <c r="Q4433">
        <v>0.17837320000000001</v>
      </c>
      <c r="R4433">
        <v>-7.5612670000000007E-2</v>
      </c>
      <c r="S4433">
        <v>-3.064667</v>
      </c>
      <c r="T4433">
        <v>-1.6732339999999998E-2</v>
      </c>
      <c r="U4433">
        <v>5.3833010000000001E-2</v>
      </c>
      <c r="V4433">
        <v>-8.1911789999999998E-2</v>
      </c>
      <c r="W4433">
        <v>0.18998010000000001</v>
      </c>
      <c r="X4433">
        <v>0.97836489999999998</v>
      </c>
      <c r="Y4433">
        <v>1.122448E-2</v>
      </c>
      <c r="Z4433">
        <v>1.3808979999999999E-4</v>
      </c>
      <c r="AA4433">
        <v>0.99993699999999996</v>
      </c>
      <c r="AB4433">
        <v>23</v>
      </c>
      <c r="AC4433">
        <v>-203.21549999999999</v>
      </c>
      <c r="AD4433">
        <v>-1.1107068978469901</v>
      </c>
      <c r="AE4433">
        <v>3.5724000000000098</v>
      </c>
      <c r="AF4433">
        <v>2.28413171123655</v>
      </c>
      <c r="AG4433">
        <v>-1.1107068978469901</v>
      </c>
      <c r="AH4433">
        <v>203.22799264676399</v>
      </c>
      <c r="AI4433">
        <v>90.313117125864096</v>
      </c>
      <c r="AJ4433">
        <v>89.356065101891005</v>
      </c>
      <c r="AK4433">
        <v>203.24386318587901</v>
      </c>
      <c r="AL4433">
        <v>79.048376348607704</v>
      </c>
      <c r="AM4433">
        <v>94.785821716120495</v>
      </c>
      <c r="AN4433">
        <v>0.99999992864450904</v>
      </c>
    </row>
    <row r="4434" spans="1:40" x14ac:dyDescent="0.25">
      <c r="A4434" t="str">
        <f>"20190304155149474"</f>
        <v>20190304155149474</v>
      </c>
      <c r="B4434" t="str">
        <f>"1551685909471011"</f>
        <v>1551685909471011</v>
      </c>
      <c r="C4434" t="s">
        <v>40</v>
      </c>
      <c r="D4434">
        <v>4.5954280000000001</v>
      </c>
      <c r="E4434">
        <v>0.53396189999999999</v>
      </c>
      <c r="F4434" t="s">
        <v>42</v>
      </c>
      <c r="G4434">
        <v>-536.82449999999994</v>
      </c>
      <c r="H4434">
        <v>-0.05</v>
      </c>
      <c r="I4434">
        <v>146.25540000000001</v>
      </c>
      <c r="J4434">
        <v>-264.23250000000002</v>
      </c>
      <c r="K4434">
        <v>1.1107100000000001</v>
      </c>
      <c r="L4434">
        <v>141.57249999999999</v>
      </c>
      <c r="M4434">
        <v>-0.99991019999999997</v>
      </c>
      <c r="N4434">
        <v>-1.1956670000000001E-2</v>
      </c>
      <c r="O4434">
        <v>6.0529989999999999E-3</v>
      </c>
      <c r="P4434">
        <v>-0.98059110000000005</v>
      </c>
      <c r="Q4434">
        <v>0.1813891</v>
      </c>
      <c r="R4434">
        <v>-7.4424850000000001E-2</v>
      </c>
      <c r="S4434">
        <v>-3.064362</v>
      </c>
      <c r="T4434">
        <v>-1.303756E-2</v>
      </c>
      <c r="U4434">
        <v>5.2612300000000001E-2</v>
      </c>
      <c r="V4434">
        <v>-8.0437649999999999E-2</v>
      </c>
      <c r="W4434">
        <v>0.1930625</v>
      </c>
      <c r="X4434">
        <v>0.97788379999999997</v>
      </c>
      <c r="Y4434">
        <v>1.111351E-2</v>
      </c>
      <c r="Z4434">
        <v>1.3671080000000001E-4</v>
      </c>
      <c r="AA4434">
        <v>0.9999382</v>
      </c>
      <c r="AB4434">
        <v>23</v>
      </c>
      <c r="AC4434">
        <v>-272.59199999999902</v>
      </c>
      <c r="AD4434">
        <v>-1.1607099999999999</v>
      </c>
      <c r="AE4434">
        <v>4.6829000000000098</v>
      </c>
      <c r="AF4434">
        <v>3.0326421781606498</v>
      </c>
      <c r="AG4434">
        <v>-1.1607099999999999</v>
      </c>
      <c r="AH4434">
        <v>272.61041189888198</v>
      </c>
      <c r="AI4434">
        <v>90.243935172272202</v>
      </c>
      <c r="AJ4434">
        <v>89.362641987146802</v>
      </c>
      <c r="AK4434">
        <v>272.62975047115299</v>
      </c>
      <c r="AL4434">
        <v>78.868437988187395</v>
      </c>
      <c r="AM4434">
        <v>94.7023841907979</v>
      </c>
      <c r="AN4434">
        <v>1.0000000353731</v>
      </c>
    </row>
    <row r="4435" spans="1:40" x14ac:dyDescent="0.25">
      <c r="A4435" t="str">
        <f>"20190304155149498"</f>
        <v>20190304155149498</v>
      </c>
      <c r="B4435" t="str">
        <f>"1551685909491508"</f>
        <v>1551685909491508</v>
      </c>
      <c r="C4435" t="s">
        <v>40</v>
      </c>
      <c r="D4435">
        <v>4.5574079999999997</v>
      </c>
      <c r="E4435">
        <v>0.53354469999999898</v>
      </c>
      <c r="F4435" t="s">
        <v>52</v>
      </c>
      <c r="G4435">
        <v>-1298.952</v>
      </c>
      <c r="H4435">
        <v>-0.1</v>
      </c>
      <c r="I4435">
        <v>158.94839999999999</v>
      </c>
      <c r="J4435">
        <v>-264.47019999999998</v>
      </c>
      <c r="K4435">
        <v>1.110714</v>
      </c>
      <c r="L4435">
        <v>141.5736</v>
      </c>
      <c r="M4435">
        <v>-0.99991090000000005</v>
      </c>
      <c r="N4435">
        <v>-1.2044320000000001E-2</v>
      </c>
      <c r="O4435">
        <v>5.7645409999999998E-3</v>
      </c>
      <c r="P4435">
        <v>-0.98004849999999999</v>
      </c>
      <c r="Q4435">
        <v>0.1848031</v>
      </c>
      <c r="R4435">
        <v>-7.3164549999999995E-2</v>
      </c>
      <c r="S4435">
        <v>-3.063965</v>
      </c>
      <c r="T4435">
        <v>-3.5850999999999999E-3</v>
      </c>
      <c r="U4435">
        <v>5.1452640000000001E-2</v>
      </c>
      <c r="V4435">
        <v>-7.8885830000000004E-2</v>
      </c>
      <c r="W4435">
        <v>0.19655900000000001</v>
      </c>
      <c r="X4435">
        <v>0.97731349999999995</v>
      </c>
      <c r="Y4435">
        <v>1.1026289999999999E-2</v>
      </c>
      <c r="Z4435">
        <v>1.355444E-4</v>
      </c>
      <c r="AA4435">
        <v>0.99993920000000003</v>
      </c>
      <c r="AB4435">
        <v>23</v>
      </c>
      <c r="AC4435">
        <v>-1034.4818</v>
      </c>
      <c r="AD4435">
        <v>-1.2107139999999901</v>
      </c>
      <c r="AE4435">
        <v>17.374799999999901</v>
      </c>
      <c r="AF4435">
        <v>11.410750624594</v>
      </c>
      <c r="AG4435">
        <v>-1.2107139999999901</v>
      </c>
      <c r="AH4435">
        <v>1034.5633578112499</v>
      </c>
      <c r="AI4435">
        <v>90.067047176201299</v>
      </c>
      <c r="AJ4435">
        <v>89.3680799366835</v>
      </c>
      <c r="AK4435">
        <v>1034.6269919076601</v>
      </c>
      <c r="AL4435">
        <v>78.664190086912697</v>
      </c>
      <c r="AM4435">
        <v>94.614739698394999</v>
      </c>
      <c r="AN4435">
        <v>1.0000000459690099</v>
      </c>
    </row>
    <row r="4436" spans="1:40" x14ac:dyDescent="0.25">
      <c r="A4436" t="str">
        <f>"20190304155149519"</f>
        <v>20190304155149519</v>
      </c>
      <c r="B4436" t="str">
        <f>"1551685909511028"</f>
        <v>1551685909511028</v>
      </c>
      <c r="C4436" t="s">
        <v>40</v>
      </c>
      <c r="D4436">
        <v>4.5085360000000003</v>
      </c>
      <c r="E4436">
        <v>0.53333160000000002</v>
      </c>
      <c r="F4436" t="s">
        <v>53</v>
      </c>
      <c r="G4436">
        <v>0</v>
      </c>
      <c r="H4436">
        <v>0</v>
      </c>
      <c r="I4436">
        <v>0</v>
      </c>
      <c r="J4436">
        <v>-264.69690000000003</v>
      </c>
      <c r="K4436">
        <v>1.110719</v>
      </c>
      <c r="L4436">
        <v>141.5745</v>
      </c>
      <c r="M4436">
        <v>-0.9999112</v>
      </c>
      <c r="N4436">
        <v>-1.213673E-2</v>
      </c>
      <c r="O4436">
        <v>5.5062000000000002E-3</v>
      </c>
      <c r="P4436">
        <v>-0.97998660000000004</v>
      </c>
      <c r="Q4436">
        <v>0.18553500000000001</v>
      </c>
      <c r="R4436">
        <v>-7.213514E-2</v>
      </c>
      <c r="S4436">
        <v>-3.06366</v>
      </c>
      <c r="T4436">
        <v>6.6370960000000003E-3</v>
      </c>
      <c r="U4436">
        <v>5.1971440000000001E-2</v>
      </c>
      <c r="V4436">
        <v>-7.7595280000000003E-2</v>
      </c>
      <c r="W4436">
        <v>0.19738459999999999</v>
      </c>
      <c r="X4436">
        <v>0.97725039999999996</v>
      </c>
      <c r="Y4436">
        <v>1.1456020000000001E-2</v>
      </c>
      <c r="Z4436">
        <v>1.3587119999999999E-4</v>
      </c>
      <c r="AA4436">
        <v>0.9999344</v>
      </c>
      <c r="AB4436">
        <v>23</v>
      </c>
      <c r="AC4436">
        <v>-3.06366</v>
      </c>
      <c r="AD4436">
        <v>6.6370960000000003E-3</v>
      </c>
      <c r="AE4436">
        <v>5.1971440000000001E-2</v>
      </c>
      <c r="AF4436">
        <v>3.5100120330042603E-2</v>
      </c>
      <c r="AG4436">
        <v>6.6370960000000003E-3</v>
      </c>
      <c r="AH4436">
        <v>3.0638853611488002</v>
      </c>
      <c r="AI4436">
        <v>89.875892209468901</v>
      </c>
      <c r="AJ4436">
        <v>89.3436435944691</v>
      </c>
      <c r="AK4436">
        <v>3.0640935977467101</v>
      </c>
      <c r="AL4436">
        <v>78.615941230837393</v>
      </c>
      <c r="AM4436">
        <v>94.539853900694396</v>
      </c>
      <c r="AN4436">
        <v>1.0000000260477899</v>
      </c>
    </row>
    <row r="4437" spans="1:40" x14ac:dyDescent="0.25">
      <c r="A4437" t="str">
        <f>"20190304155149542"</f>
        <v>20190304155149542</v>
      </c>
      <c r="B4437" t="str">
        <f>"1551685909531527"</f>
        <v>1551685909531527</v>
      </c>
      <c r="C4437" t="s">
        <v>40</v>
      </c>
      <c r="D4437">
        <v>4.5794569999999997</v>
      </c>
      <c r="E4437">
        <v>0.53308059999999902</v>
      </c>
      <c r="F4437" t="s">
        <v>53</v>
      </c>
      <c r="G4437">
        <v>0</v>
      </c>
      <c r="H4437">
        <v>0</v>
      </c>
      <c r="I4437">
        <v>0</v>
      </c>
      <c r="J4437">
        <v>-264.92020000000002</v>
      </c>
      <c r="K4437">
        <v>1.110719</v>
      </c>
      <c r="L4437">
        <v>141.57550000000001</v>
      </c>
      <c r="M4437">
        <v>-0.99991140000000001</v>
      </c>
      <c r="N4437">
        <v>-1.223456E-2</v>
      </c>
      <c r="O4437">
        <v>5.2706960000000001E-3</v>
      </c>
      <c r="P4437">
        <v>-0.97972599999999999</v>
      </c>
      <c r="Q4437">
        <v>0.1871073</v>
      </c>
      <c r="R4437">
        <v>-7.1611330000000001E-2</v>
      </c>
      <c r="S4437">
        <v>-3.063507</v>
      </c>
      <c r="T4437">
        <v>9.0079310000000003E-3</v>
      </c>
      <c r="U4437">
        <v>5.3375239999999997E-2</v>
      </c>
      <c r="V4437">
        <v>-7.6830659999999995E-2</v>
      </c>
      <c r="W4437">
        <v>0.19905310000000001</v>
      </c>
      <c r="X4437">
        <v>0.97697230000000002</v>
      </c>
      <c r="Y4437">
        <v>1.215052E-2</v>
      </c>
      <c r="Z4437">
        <v>1.364526E-4</v>
      </c>
      <c r="AA4437">
        <v>0.99992610000000004</v>
      </c>
      <c r="AB4437">
        <v>23</v>
      </c>
      <c r="AC4437">
        <v>-3.063507</v>
      </c>
      <c r="AD4437">
        <v>9.0079310000000003E-3</v>
      </c>
      <c r="AE4437">
        <v>5.3375239999999997E-2</v>
      </c>
      <c r="AF4437">
        <v>3.7226156248873897E-2</v>
      </c>
      <c r="AG4437">
        <v>9.0079310000000003E-3</v>
      </c>
      <c r="AH4437">
        <v>3.0637193058514902</v>
      </c>
      <c r="AI4437">
        <v>89.831552177264101</v>
      </c>
      <c r="AJ4437">
        <v>89.303853757121004</v>
      </c>
      <c r="AK4437">
        <v>3.0639586998811099</v>
      </c>
      <c r="AL4437">
        <v>78.518407411124102</v>
      </c>
      <c r="AM4437">
        <v>94.496577035017907</v>
      </c>
      <c r="AN4437">
        <v>0.99999998095146703</v>
      </c>
    </row>
    <row r="4438" spans="1:40" x14ac:dyDescent="0.25">
      <c r="A4438" t="str">
        <f>"20190304155149563"</f>
        <v>20190304155149563</v>
      </c>
      <c r="B4438" t="str">
        <f>"1551685909561780"</f>
        <v>1551685909561780</v>
      </c>
      <c r="C4438" t="s">
        <v>40</v>
      </c>
      <c r="D4438">
        <v>4.5836430000000004</v>
      </c>
      <c r="E4438">
        <v>0.53272749999999902</v>
      </c>
      <c r="F4438" t="s">
        <v>53</v>
      </c>
      <c r="G4438">
        <v>0</v>
      </c>
      <c r="H4438">
        <v>0</v>
      </c>
      <c r="I4438">
        <v>0</v>
      </c>
      <c r="J4438">
        <v>-265.13900000000001</v>
      </c>
      <c r="K4438">
        <v>1.110716</v>
      </c>
      <c r="L4438">
        <v>141.57640000000001</v>
      </c>
      <c r="M4438">
        <v>-0.99991110000000005</v>
      </c>
      <c r="N4438">
        <v>-1.2341670000000001E-2</v>
      </c>
      <c r="O4438">
        <v>5.0660189999999997E-3</v>
      </c>
      <c r="P4438">
        <v>-0.97983390000000004</v>
      </c>
      <c r="Q4438">
        <v>0.1863167</v>
      </c>
      <c r="R4438">
        <v>-7.2196350000000006E-2</v>
      </c>
      <c r="S4438">
        <v>-3.0632630000000001</v>
      </c>
      <c r="T4438">
        <v>1.400208E-2</v>
      </c>
      <c r="U4438">
        <v>5.2948000000000002E-2</v>
      </c>
      <c r="V4438">
        <v>-7.7205350000000006E-2</v>
      </c>
      <c r="W4438">
        <v>0.19837270000000001</v>
      </c>
      <c r="X4438">
        <v>0.97708119999999998</v>
      </c>
      <c r="Y4438">
        <v>1.221733E-2</v>
      </c>
      <c r="Z4438">
        <v>1.3315350000000001E-4</v>
      </c>
      <c r="AA4438">
        <v>0.99992539999999996</v>
      </c>
      <c r="AB4438">
        <v>23</v>
      </c>
      <c r="AC4438">
        <v>-3.0632630000000001</v>
      </c>
      <c r="AD4438">
        <v>1.400208E-2</v>
      </c>
      <c r="AE4438">
        <v>5.2948000000000002E-2</v>
      </c>
      <c r="AF4438">
        <v>3.74268096018361E-2</v>
      </c>
      <c r="AG4438">
        <v>1.400208E-2</v>
      </c>
      <c r="AH4438">
        <v>3.0634279537133802</v>
      </c>
      <c r="AI4438">
        <v>89.738138239864796</v>
      </c>
      <c r="AJ4438">
        <v>89.300035261106601</v>
      </c>
      <c r="AK4438">
        <v>3.0636885696679101</v>
      </c>
      <c r="AL4438">
        <v>78.558185311267906</v>
      </c>
      <c r="AM4438">
        <v>94.5179139733185</v>
      </c>
      <c r="AN4438">
        <v>1.00000003278367</v>
      </c>
    </row>
    <row r="4439" spans="1:40" x14ac:dyDescent="0.25">
      <c r="A4439" t="str">
        <f>"20190304155149588"</f>
        <v>20190304155149588</v>
      </c>
      <c r="B4439" t="str">
        <f>"1551685909581300"</f>
        <v>1551685909581300</v>
      </c>
      <c r="C4439" t="s">
        <v>40</v>
      </c>
      <c r="D4439">
        <v>4.591043</v>
      </c>
      <c r="E4439">
        <v>0.53249499999999905</v>
      </c>
      <c r="F4439" t="s">
        <v>53</v>
      </c>
      <c r="G4439">
        <v>0</v>
      </c>
      <c r="H4439">
        <v>0</v>
      </c>
      <c r="I4439">
        <v>0</v>
      </c>
      <c r="J4439">
        <v>-265.3784</v>
      </c>
      <c r="K4439">
        <v>1.1107039999999999</v>
      </c>
      <c r="L4439">
        <v>141.57740000000001</v>
      </c>
      <c r="M4439">
        <v>-0.99991039999999998</v>
      </c>
      <c r="N4439">
        <v>-1.247063E-2</v>
      </c>
      <c r="O4439">
        <v>4.8758889999999996E-3</v>
      </c>
      <c r="P4439">
        <v>-0.98009489999999999</v>
      </c>
      <c r="Q4439">
        <v>0.18466060000000001</v>
      </c>
      <c r="R4439">
        <v>-7.2900590000000001E-2</v>
      </c>
      <c r="S4439">
        <v>-3.0630489999999999</v>
      </c>
      <c r="T4439">
        <v>1.1681800000000001E-2</v>
      </c>
      <c r="U4439">
        <v>4.8416140000000003E-2</v>
      </c>
      <c r="V4439">
        <v>-7.7713749999999998E-2</v>
      </c>
      <c r="W4439">
        <v>0.19685069999999999</v>
      </c>
      <c r="X4439">
        <v>0.97734860000000001</v>
      </c>
      <c r="Y4439">
        <v>1.092952E-2</v>
      </c>
      <c r="Z4439">
        <v>1.2671319999999999E-4</v>
      </c>
      <c r="AA4439">
        <v>0.9999403</v>
      </c>
      <c r="AB4439">
        <v>23</v>
      </c>
      <c r="AC4439">
        <v>-3.0630489999999999</v>
      </c>
      <c r="AD4439">
        <v>1.1681800000000001E-2</v>
      </c>
      <c r="AE4439">
        <v>4.8416140000000003E-2</v>
      </c>
      <c r="AF4439">
        <v>3.3478829902610398E-2</v>
      </c>
      <c r="AG4439">
        <v>1.1681800000000001E-2</v>
      </c>
      <c r="AH4439">
        <v>3.06320413032046</v>
      </c>
      <c r="AI4439">
        <v>89.781511583014904</v>
      </c>
      <c r="AJ4439">
        <v>89.373819306932603</v>
      </c>
      <c r="AK4439">
        <v>3.0634093491590799</v>
      </c>
      <c r="AL4439">
        <v>78.647142831572594</v>
      </c>
      <c r="AM4439">
        <v>94.546301240005405</v>
      </c>
      <c r="AN4439">
        <v>0.99999995547575504</v>
      </c>
    </row>
    <row r="4440" spans="1:40" x14ac:dyDescent="0.25">
      <c r="A4440" t="str">
        <f>"20190304155149609"</f>
        <v>20190304155149609</v>
      </c>
      <c r="B4440" t="str">
        <f>"1551685909601799"</f>
        <v>1551685909601799</v>
      </c>
      <c r="C4440" t="s">
        <v>40</v>
      </c>
      <c r="D4440">
        <v>4.6073890000000004</v>
      </c>
      <c r="E4440">
        <v>0.53211119999999901</v>
      </c>
      <c r="F4440" t="s">
        <v>53</v>
      </c>
      <c r="G4440">
        <v>0</v>
      </c>
      <c r="H4440">
        <v>0</v>
      </c>
      <c r="I4440">
        <v>0</v>
      </c>
      <c r="J4440">
        <v>-265.60019999999997</v>
      </c>
      <c r="K4440">
        <v>1.1106990000000001</v>
      </c>
      <c r="L4440">
        <v>141.57830000000001</v>
      </c>
      <c r="M4440">
        <v>-0.99990950000000001</v>
      </c>
      <c r="N4440">
        <v>-1.259413E-2</v>
      </c>
      <c r="O4440">
        <v>4.7376550000000003E-3</v>
      </c>
      <c r="P4440">
        <v>-0.98014800000000002</v>
      </c>
      <c r="Q4440">
        <v>0.1839211</v>
      </c>
      <c r="R4440">
        <v>-7.404993E-2</v>
      </c>
      <c r="S4440">
        <v>-3.0630190000000002</v>
      </c>
      <c r="T4440">
        <v>6.4083339999999999E-3</v>
      </c>
      <c r="U4440">
        <v>4.4464110000000001E-2</v>
      </c>
      <c r="V4440">
        <v>-7.87186E-2</v>
      </c>
      <c r="W4440">
        <v>0.19623589999999999</v>
      </c>
      <c r="X4440">
        <v>0.97739180000000003</v>
      </c>
      <c r="Y4440">
        <v>9.777829E-3</v>
      </c>
      <c r="Z4440">
        <v>1.2092649999999999E-4</v>
      </c>
      <c r="AA4440">
        <v>0.99995219999999996</v>
      </c>
      <c r="AB4440">
        <v>23</v>
      </c>
      <c r="AC4440">
        <v>-3.0630190000000002</v>
      </c>
      <c r="AD4440">
        <v>6.4083339999999999E-3</v>
      </c>
      <c r="AE4440">
        <v>4.4464110000000001E-2</v>
      </c>
      <c r="AF4440">
        <v>2.9950802047178201E-2</v>
      </c>
      <c r="AG4440">
        <v>6.4083339999999999E-3</v>
      </c>
      <c r="AH4440">
        <v>3.0631818862003</v>
      </c>
      <c r="AI4440">
        <v>89.880140187579002</v>
      </c>
      <c r="AJ4440">
        <v>89.439798245552893</v>
      </c>
      <c r="AK4440">
        <v>3.0633350102843102</v>
      </c>
      <c r="AL4440">
        <v>78.6830688202038</v>
      </c>
      <c r="AM4440">
        <v>94.604631709835004</v>
      </c>
      <c r="AN4440">
        <v>0.999999938571003</v>
      </c>
    </row>
    <row r="4441" spans="1:40" x14ac:dyDescent="0.25">
      <c r="A4441" t="str">
        <f>"20190304155149632"</f>
        <v>20190304155149632</v>
      </c>
      <c r="B4441" t="str">
        <f>"1551685909621319"</f>
        <v>1551685909621319</v>
      </c>
      <c r="C4441" t="s">
        <v>40</v>
      </c>
      <c r="D4441">
        <v>4.5804600000000004</v>
      </c>
      <c r="E4441">
        <v>0.53199439999999998</v>
      </c>
      <c r="F4441" t="s">
        <v>53</v>
      </c>
      <c r="G4441">
        <v>0</v>
      </c>
      <c r="H4441">
        <v>0</v>
      </c>
      <c r="I4441">
        <v>0</v>
      </c>
      <c r="J4441">
        <v>-265.82870000000003</v>
      </c>
      <c r="K4441">
        <v>1.110692</v>
      </c>
      <c r="L4441">
        <v>141.57919999999999</v>
      </c>
      <c r="M4441">
        <v>-0.99990849999999998</v>
      </c>
      <c r="N4441">
        <v>-1.2716760000000001E-2</v>
      </c>
      <c r="O4441">
        <v>4.6274769999999996E-3</v>
      </c>
      <c r="P4441">
        <v>-0.9800894</v>
      </c>
      <c r="Q4441">
        <v>0.18396950000000001</v>
      </c>
      <c r="R4441">
        <v>-7.4700589999999997E-2</v>
      </c>
      <c r="S4441">
        <v>-3.0630489999999999</v>
      </c>
      <c r="T4441">
        <v>2.978325E-3</v>
      </c>
      <c r="U4441">
        <v>3.7643429999999999E-2</v>
      </c>
      <c r="V4441">
        <v>-7.9252710000000004E-2</v>
      </c>
      <c r="W4441">
        <v>0.19640659999999999</v>
      </c>
      <c r="X4441">
        <v>0.97731440000000003</v>
      </c>
      <c r="Y4441">
        <v>7.6614459999999997E-3</v>
      </c>
      <c r="Z4441">
        <v>1.083397E-4</v>
      </c>
      <c r="AA4441">
        <v>0.99997069999999999</v>
      </c>
      <c r="AB4441">
        <v>23</v>
      </c>
      <c r="AC4441">
        <v>-3.0630489999999999</v>
      </c>
      <c r="AD4441">
        <v>2.978325E-3</v>
      </c>
      <c r="AE4441">
        <v>3.7643429999999999E-2</v>
      </c>
      <c r="AF4441">
        <v>2.3467670653757801E-2</v>
      </c>
      <c r="AG4441">
        <v>2.978325E-3</v>
      </c>
      <c r="AH4441">
        <v>3.0631875117013001</v>
      </c>
      <c r="AI4441">
        <v>89.944293194459604</v>
      </c>
      <c r="AJ4441">
        <v>89.561054564016302</v>
      </c>
      <c r="AK4441">
        <v>3.06327885342299</v>
      </c>
      <c r="AL4441">
        <v>78.673094918647493</v>
      </c>
      <c r="AM4441">
        <v>94.636104207782495</v>
      </c>
      <c r="AN4441">
        <v>0.99999999050663202</v>
      </c>
    </row>
    <row r="4442" spans="1:40" x14ac:dyDescent="0.25">
      <c r="A4442" t="str">
        <f>"20190304155149653"</f>
        <v>20190304155149653</v>
      </c>
      <c r="B4442" t="str">
        <f>"1551685909651572"</f>
        <v>1551685909651572</v>
      </c>
      <c r="C4442" t="s">
        <v>40</v>
      </c>
      <c r="D4442">
        <v>4.5173740000000002</v>
      </c>
      <c r="E4442">
        <v>0.4789679</v>
      </c>
      <c r="F4442" t="s">
        <v>53</v>
      </c>
      <c r="G4442">
        <v>0</v>
      </c>
      <c r="H4442">
        <v>0</v>
      </c>
      <c r="I4442">
        <v>0</v>
      </c>
      <c r="J4442">
        <v>-266.04829999999998</v>
      </c>
      <c r="K4442">
        <v>1.110695</v>
      </c>
      <c r="L4442">
        <v>141.58009999999999</v>
      </c>
      <c r="M4442">
        <v>-0.99990749999999995</v>
      </c>
      <c r="N4442">
        <v>-1.2825980000000001E-2</v>
      </c>
      <c r="O4442">
        <v>4.5438999999999896E-3</v>
      </c>
      <c r="P4442">
        <v>-0.98003439999999997</v>
      </c>
      <c r="Q4442">
        <v>0.18397540000000001</v>
      </c>
      <c r="R4442">
        <v>-7.5404760000000001E-2</v>
      </c>
      <c r="S4442">
        <v>-3.0630190000000002</v>
      </c>
      <c r="T4442">
        <v>2.9902459999999998E-3</v>
      </c>
      <c r="U4442">
        <v>3.4423830000000002E-2</v>
      </c>
      <c r="V4442">
        <v>-7.9868289999999995E-2</v>
      </c>
      <c r="W4442">
        <v>0.19652159999999999</v>
      </c>
      <c r="X4442">
        <v>0.97724120000000003</v>
      </c>
      <c r="Y4442">
        <v>6.6941910000000004E-3</v>
      </c>
      <c r="Z4442">
        <v>1.023819E-4</v>
      </c>
      <c r="AA4442">
        <v>0.99997760000000002</v>
      </c>
      <c r="AB4442">
        <v>23</v>
      </c>
      <c r="AC4442">
        <v>-3.0630190000000002</v>
      </c>
      <c r="AD4442">
        <v>2.9902459999999998E-3</v>
      </c>
      <c r="AE4442">
        <v>3.4423830000000002E-2</v>
      </c>
      <c r="AF4442">
        <v>2.0504259173655701E-2</v>
      </c>
      <c r="AG4442">
        <v>2.9902459999999998E-3</v>
      </c>
      <c r="AH4442">
        <v>3.0631408858672899</v>
      </c>
      <c r="AI4442">
        <v>89.944068983710807</v>
      </c>
      <c r="AJ4442">
        <v>89.616475372806406</v>
      </c>
      <c r="AK4442">
        <v>3.0632109710053101</v>
      </c>
      <c r="AL4442">
        <v>78.666375311461394</v>
      </c>
      <c r="AM4442">
        <v>94.672303850373595</v>
      </c>
      <c r="AN4442">
        <v>1.00000002299576</v>
      </c>
    </row>
    <row r="4443" spans="1:40" x14ac:dyDescent="0.25">
      <c r="A4443" t="str">
        <f>"20190304155149674"</f>
        <v>20190304155149674</v>
      </c>
      <c r="B4443" t="str">
        <f>"1551685909671092"</f>
        <v>1551685909671092</v>
      </c>
      <c r="C4443" t="s">
        <v>40</v>
      </c>
      <c r="D4443">
        <v>4.9898619999999996</v>
      </c>
      <c r="E4443">
        <v>0.47389750000000003</v>
      </c>
      <c r="F4443" t="s">
        <v>84</v>
      </c>
      <c r="G4443">
        <v>-302.31540000000001</v>
      </c>
      <c r="H4443" s="1">
        <v>-7.5375729999999999E-6</v>
      </c>
      <c r="I4443">
        <v>136.95480000000001</v>
      </c>
      <c r="J4443">
        <v>-266.25490000000002</v>
      </c>
      <c r="K4443">
        <v>1.110703</v>
      </c>
      <c r="L4443">
        <v>141.58099999999999</v>
      </c>
      <c r="M4443">
        <v>-0.99990650000000003</v>
      </c>
      <c r="N4443">
        <v>-1.2919969999999999E-2</v>
      </c>
      <c r="O4443">
        <v>4.4805540000000003E-3</v>
      </c>
      <c r="P4443">
        <v>-0.98000149999999997</v>
      </c>
      <c r="Q4443">
        <v>0.183804</v>
      </c>
      <c r="R4443">
        <v>-7.6244859999999998E-2</v>
      </c>
      <c r="S4443">
        <v>-3.048737</v>
      </c>
      <c r="T4443">
        <v>-9.3369480000000005E-2</v>
      </c>
      <c r="U4443">
        <v>-0.38882450000000002</v>
      </c>
      <c r="V4443">
        <v>-8.0641690000000002E-2</v>
      </c>
      <c r="W4443">
        <v>0.19644310000000001</v>
      </c>
      <c r="X4443">
        <v>0.97719350000000005</v>
      </c>
      <c r="Y4443">
        <v>-0.13086829999999999</v>
      </c>
      <c r="Z4443">
        <v>-2.923546E-3</v>
      </c>
      <c r="AA4443">
        <v>0.99139549999999999</v>
      </c>
      <c r="AB4443">
        <v>23</v>
      </c>
      <c r="AC4443">
        <v>-36.060499999999898</v>
      </c>
      <c r="AD4443">
        <v>-1.110710537573</v>
      </c>
      <c r="AE4443">
        <v>-4.6262000000000096</v>
      </c>
      <c r="AF4443">
        <v>-4.7832735478211799</v>
      </c>
      <c r="AG4443">
        <v>-1.110710537573</v>
      </c>
      <c r="AH4443">
        <v>36.005801965230397</v>
      </c>
      <c r="AI4443">
        <v>91.751527026042297</v>
      </c>
      <c r="AJ4443">
        <v>97.567280348536897</v>
      </c>
      <c r="AK4443">
        <v>36.339113347617001</v>
      </c>
      <c r="AL4443">
        <v>78.670962813604802</v>
      </c>
      <c r="AM4443">
        <v>94.717573849995901</v>
      </c>
      <c r="AN4443">
        <v>1.00000005507295</v>
      </c>
    </row>
    <row r="4444" spans="1:40" x14ac:dyDescent="0.25">
      <c r="A4444" t="str">
        <f>"20190304155149699"</f>
        <v>20190304155149699</v>
      </c>
      <c r="B4444" t="str">
        <f>"1551685909691588"</f>
        <v>1551685909691588</v>
      </c>
      <c r="C4444" t="s">
        <v>40</v>
      </c>
      <c r="D4444">
        <v>4.6188520000000004</v>
      </c>
      <c r="E4444">
        <v>0.47045419999999999</v>
      </c>
      <c r="F4444" t="s">
        <v>84</v>
      </c>
      <c r="G4444">
        <v>-312.46300000000002</v>
      </c>
      <c r="H4444" s="1">
        <v>-7.1273910000000001E-6</v>
      </c>
      <c r="I4444">
        <v>135.0085</v>
      </c>
      <c r="J4444">
        <v>-266.5009</v>
      </c>
      <c r="K4444">
        <v>1.110706</v>
      </c>
      <c r="L4444">
        <v>141.58199999999999</v>
      </c>
      <c r="M4444">
        <v>-0.99990559999999995</v>
      </c>
      <c r="N4444">
        <v>-1.302115E-2</v>
      </c>
      <c r="O4444">
        <v>4.4180679999999998E-3</v>
      </c>
      <c r="P4444">
        <v>-0.97983189999999998</v>
      </c>
      <c r="Q4444">
        <v>0.1844711</v>
      </c>
      <c r="R4444">
        <v>-7.6813119999999999E-2</v>
      </c>
      <c r="S4444">
        <v>-3.04129</v>
      </c>
      <c r="T4444">
        <v>-7.3103790000000002E-2</v>
      </c>
      <c r="U4444">
        <v>-0.43258669999999999</v>
      </c>
      <c r="V4444">
        <v>-8.1145250000000002E-2</v>
      </c>
      <c r="W4444">
        <v>0.1972083</v>
      </c>
      <c r="X4444">
        <v>0.97699760000000002</v>
      </c>
      <c r="Y4444">
        <v>-0.14512949999999999</v>
      </c>
      <c r="Z4444">
        <v>-2.733545E-3</v>
      </c>
      <c r="AA4444">
        <v>0.98940890000000004</v>
      </c>
      <c r="AB4444">
        <v>23</v>
      </c>
      <c r="AC4444">
        <v>-45.9620999999999</v>
      </c>
      <c r="AD4444">
        <v>-1.110713127391</v>
      </c>
      <c r="AE4444">
        <v>-6.5734999999999904</v>
      </c>
      <c r="AF4444">
        <v>-6.77264084282728</v>
      </c>
      <c r="AG4444">
        <v>-1.110713127391</v>
      </c>
      <c r="AH4444">
        <v>45.906335334052002</v>
      </c>
      <c r="AI4444">
        <v>91.371176467416802</v>
      </c>
      <c r="AJ4444">
        <v>98.392406012385194</v>
      </c>
      <c r="AK4444">
        <v>46.416526921342601</v>
      </c>
      <c r="AL4444">
        <v>78.626244567997205</v>
      </c>
      <c r="AM4444">
        <v>94.747845587395105</v>
      </c>
      <c r="AN4444">
        <v>0.99999998779610599</v>
      </c>
    </row>
    <row r="4445" spans="1:40" x14ac:dyDescent="0.25">
      <c r="A4445" t="str">
        <f>"20190304155149721"</f>
        <v>20190304155149721</v>
      </c>
      <c r="B4445" t="str">
        <f>"1551685909711108"</f>
        <v>1551685909711108</v>
      </c>
      <c r="C4445" t="s">
        <v>40</v>
      </c>
      <c r="D4445">
        <v>4.5910679999999999</v>
      </c>
      <c r="E4445">
        <v>0.46886670000000003</v>
      </c>
      <c r="F4445" t="s">
        <v>84</v>
      </c>
      <c r="G4445">
        <v>-310.28859999999997</v>
      </c>
      <c r="H4445" s="1">
        <v>-7.9198739999999906E-6</v>
      </c>
      <c r="I4445">
        <v>134.9237</v>
      </c>
      <c r="J4445">
        <v>-266.73039999999997</v>
      </c>
      <c r="K4445">
        <v>1.1107180000000001</v>
      </c>
      <c r="L4445">
        <v>141.583</v>
      </c>
      <c r="M4445">
        <v>-0.99990480000000004</v>
      </c>
      <c r="N4445">
        <v>-1.310539E-2</v>
      </c>
      <c r="O4445">
        <v>4.3652209999999999E-3</v>
      </c>
      <c r="P4445">
        <v>-0.97966830000000005</v>
      </c>
      <c r="Q4445">
        <v>0.18534429999999999</v>
      </c>
      <c r="R4445">
        <v>-7.6798809999999995E-2</v>
      </c>
      <c r="S4445">
        <v>-3.040009</v>
      </c>
      <c r="T4445">
        <v>-7.7112440000000004E-2</v>
      </c>
      <c r="U4445">
        <v>-0.46226499999999998</v>
      </c>
      <c r="V4445">
        <v>-8.1077170000000004E-2</v>
      </c>
      <c r="W4445">
        <v>0.19816239999999999</v>
      </c>
      <c r="X4445">
        <v>0.97681019999999996</v>
      </c>
      <c r="Y4445">
        <v>-0.1545724</v>
      </c>
      <c r="Z4445">
        <v>-3.0210720000000001E-3</v>
      </c>
      <c r="AA4445">
        <v>0.98797679999999999</v>
      </c>
      <c r="AB4445">
        <v>22</v>
      </c>
      <c r="AC4445">
        <v>-43.558199999999999</v>
      </c>
      <c r="AD4445">
        <v>-1.110725919874</v>
      </c>
      <c r="AE4445">
        <v>-6.6593</v>
      </c>
      <c r="AF4445">
        <v>-6.8450447336241496</v>
      </c>
      <c r="AG4445">
        <v>-1.110725919874</v>
      </c>
      <c r="AH4445">
        <v>43.501072996633198</v>
      </c>
      <c r="AI4445">
        <v>91.444862067138004</v>
      </c>
      <c r="AJ4445">
        <v>98.942366076494196</v>
      </c>
      <c r="AK4445">
        <v>44.050331455425003</v>
      </c>
      <c r="AL4445">
        <v>78.570478346175804</v>
      </c>
      <c r="AM4445">
        <v>94.744786336485802</v>
      </c>
      <c r="AN4445">
        <v>1.0000000055464999</v>
      </c>
    </row>
    <row r="4446" spans="1:40" x14ac:dyDescent="0.25">
      <c r="A4446" t="str">
        <f>"20190304155149754"</f>
        <v>20190304155149754</v>
      </c>
      <c r="B4446" t="str">
        <f>"1551685909751124"</f>
        <v>1551685909751124</v>
      </c>
      <c r="C4446" t="s">
        <v>40</v>
      </c>
      <c r="D4446">
        <v>4.7329850000000002</v>
      </c>
      <c r="E4446">
        <v>0.46650720000000001</v>
      </c>
      <c r="F4446" t="s">
        <v>84</v>
      </c>
      <c r="G4446">
        <v>-312.24189999999999</v>
      </c>
      <c r="H4446" s="1">
        <v>-7.0439420000000003E-6</v>
      </c>
      <c r="I4446">
        <v>134.46600000000001</v>
      </c>
      <c r="J4446">
        <v>-267.05239999999998</v>
      </c>
      <c r="K4446">
        <v>1.1107309999999999</v>
      </c>
      <c r="L4446">
        <v>141.58430000000001</v>
      </c>
      <c r="M4446">
        <v>-0.99990349999999995</v>
      </c>
      <c r="N4446">
        <v>-1.3207160000000001E-2</v>
      </c>
      <c r="O4446">
        <v>4.2910309999999998E-3</v>
      </c>
      <c r="P4446">
        <v>-0.97949339999999996</v>
      </c>
      <c r="Q4446">
        <v>0.18627050000000001</v>
      </c>
      <c r="R4446">
        <v>-7.678488E-2</v>
      </c>
      <c r="S4446">
        <v>-3.0390320000000002</v>
      </c>
      <c r="T4446">
        <v>-7.4168680000000001E-2</v>
      </c>
      <c r="U4446">
        <v>-0.47523500000000002</v>
      </c>
      <c r="V4446">
        <v>-8.0990629999999994E-2</v>
      </c>
      <c r="W4446">
        <v>0.1991849</v>
      </c>
      <c r="X4446">
        <v>0.97660939999999996</v>
      </c>
      <c r="Y4446">
        <v>-0.158666</v>
      </c>
      <c r="Z4446">
        <v>-3.0263120000000002E-3</v>
      </c>
      <c r="AA4446">
        <v>0.98732770000000003</v>
      </c>
      <c r="AB4446">
        <v>22</v>
      </c>
      <c r="AC4446">
        <v>-45.189500000000002</v>
      </c>
      <c r="AD4446">
        <v>-1.11073804394199</v>
      </c>
      <c r="AE4446">
        <v>-7.1182999999999996</v>
      </c>
      <c r="AF4446">
        <v>-7.3078527516487597</v>
      </c>
      <c r="AG4446">
        <v>-1.11073804394199</v>
      </c>
      <c r="AH4446">
        <v>45.131929889479601</v>
      </c>
      <c r="AI4446">
        <v>91.391697936386507</v>
      </c>
      <c r="AJ4446">
        <v>99.197618825428194</v>
      </c>
      <c r="AK4446">
        <v>45.733243339948501</v>
      </c>
      <c r="AL4446">
        <v>78.510701896523997</v>
      </c>
      <c r="AM4446">
        <v>94.7407150354328</v>
      </c>
      <c r="AN4446">
        <v>1.0000000133520801</v>
      </c>
    </row>
    <row r="4447" spans="1:40" x14ac:dyDescent="0.25">
      <c r="A4447" t="str">
        <f>"20190304155149776"</f>
        <v>20190304155149776</v>
      </c>
      <c r="B4447" t="str">
        <f>"1551685909771621"</f>
        <v>1551685909771621</v>
      </c>
      <c r="C4447" t="s">
        <v>40</v>
      </c>
      <c r="D4447">
        <v>4.6280330000000003</v>
      </c>
      <c r="E4447">
        <v>0.46607209999999899</v>
      </c>
      <c r="F4447" t="s">
        <v>84</v>
      </c>
      <c r="G4447">
        <v>-310.14019999999999</v>
      </c>
      <c r="H4447" s="1">
        <v>-7.8705569999999995E-6</v>
      </c>
      <c r="I4447">
        <v>134.5814</v>
      </c>
      <c r="J4447">
        <v>-267.27510000000001</v>
      </c>
      <c r="K4447">
        <v>1.1107389999999999</v>
      </c>
      <c r="L4447">
        <v>141.58519999999999</v>
      </c>
      <c r="M4447">
        <v>-0.99990310000000004</v>
      </c>
      <c r="N4447">
        <v>-1.3266899999999899E-2</v>
      </c>
      <c r="O4447">
        <v>4.2350959999999998E-3</v>
      </c>
      <c r="P4447">
        <v>-0.97940139999999998</v>
      </c>
      <c r="Q4447">
        <v>0.18689890000000001</v>
      </c>
      <c r="R4447">
        <v>-7.6432920000000001E-2</v>
      </c>
      <c r="S4447">
        <v>-3.0389710000000001</v>
      </c>
      <c r="T4447">
        <v>-7.8340049999999994E-2</v>
      </c>
      <c r="U4447">
        <v>-0.49391170000000001</v>
      </c>
      <c r="V4447">
        <v>-8.0585180000000006E-2</v>
      </c>
      <c r="W4447">
        <v>0.19986989999999999</v>
      </c>
      <c r="X4447">
        <v>0.97650300000000001</v>
      </c>
      <c r="Y4447">
        <v>-0.16451859999999999</v>
      </c>
      <c r="Z4447">
        <v>-3.2577539999999999E-3</v>
      </c>
      <c r="AA4447">
        <v>0.98636860000000004</v>
      </c>
      <c r="AB4447">
        <v>22</v>
      </c>
      <c r="AC4447">
        <v>-42.865099999999899</v>
      </c>
      <c r="AD4447">
        <v>-1.1107468705569901</v>
      </c>
      <c r="AE4447">
        <v>-7.0037999999999796</v>
      </c>
      <c r="AF4447">
        <v>-7.1805948197384897</v>
      </c>
      <c r="AG4447">
        <v>-1.1107468705569901</v>
      </c>
      <c r="AH4447">
        <v>42.807055163878097</v>
      </c>
      <c r="AI4447">
        <v>91.465891887584405</v>
      </c>
      <c r="AJ4447">
        <v>99.522328608123203</v>
      </c>
      <c r="AK4447">
        <v>43.419335236493602</v>
      </c>
      <c r="AL4447">
        <v>78.470649089736597</v>
      </c>
      <c r="AM4447">
        <v>94.717601395590407</v>
      </c>
      <c r="AN4447">
        <v>1.0000000285853199</v>
      </c>
    </row>
    <row r="4448" spans="1:40" x14ac:dyDescent="0.25">
      <c r="A4448" t="str">
        <f>"20190304155149799"</f>
        <v>20190304155149799</v>
      </c>
      <c r="B4448" t="str">
        <f>"1551685909791140"</f>
        <v>1551685909791140</v>
      </c>
      <c r="C4448" t="s">
        <v>40</v>
      </c>
      <c r="D4448">
        <v>4.6342239999999997</v>
      </c>
      <c r="E4448">
        <v>0.46582820000000003</v>
      </c>
      <c r="F4448" t="s">
        <v>84</v>
      </c>
      <c r="G4448">
        <v>-312.11309999999997</v>
      </c>
      <c r="H4448" s="1">
        <v>-7.03101099999999E-6</v>
      </c>
      <c r="I4448">
        <v>134.2662</v>
      </c>
      <c r="J4448">
        <v>-267.51029999999997</v>
      </c>
      <c r="K4448">
        <v>1.110741</v>
      </c>
      <c r="L4448">
        <v>141.58609999999999</v>
      </c>
      <c r="M4448">
        <v>-0.99990250000000003</v>
      </c>
      <c r="N4448">
        <v>-1.332173E-2</v>
      </c>
      <c r="O4448">
        <v>4.1717280000000004E-3</v>
      </c>
      <c r="P4448">
        <v>-0.97948590000000002</v>
      </c>
      <c r="Q4448">
        <v>0.1864952</v>
      </c>
      <c r="R4448">
        <v>-7.633334E-2</v>
      </c>
      <c r="S4448">
        <v>-3.0387270000000002</v>
      </c>
      <c r="T4448">
        <v>-7.5276609999999994E-2</v>
      </c>
      <c r="U4448">
        <v>-0.4960175</v>
      </c>
      <c r="V4448">
        <v>-8.0425259999999998E-2</v>
      </c>
      <c r="W4448">
        <v>0.19952039999999999</v>
      </c>
      <c r="X4448">
        <v>0.97658769999999995</v>
      </c>
      <c r="Y4448">
        <v>-0.16513929999999999</v>
      </c>
      <c r="Z4448">
        <v>-3.1866580000000002E-3</v>
      </c>
      <c r="AA4448">
        <v>0.98626510000000001</v>
      </c>
      <c r="AB4448">
        <v>22</v>
      </c>
      <c r="AC4448">
        <v>-44.602800000000002</v>
      </c>
      <c r="AD4448">
        <v>-1.1107480310110001</v>
      </c>
      <c r="AE4448">
        <v>-7.3198999999999899</v>
      </c>
      <c r="AF4448">
        <v>-7.5013934786516696</v>
      </c>
      <c r="AG4448">
        <v>-1.1107480310110001</v>
      </c>
      <c r="AH4448">
        <v>44.544971778605301</v>
      </c>
      <c r="AI4448">
        <v>91.408574020883606</v>
      </c>
      <c r="AJ4448">
        <v>99.558948826151806</v>
      </c>
      <c r="AK4448">
        <v>45.185829372345196</v>
      </c>
      <c r="AL4448">
        <v>78.491086126048998</v>
      </c>
      <c r="AM4448">
        <v>94.707875005568297</v>
      </c>
      <c r="AN4448">
        <v>1.0000000741267501</v>
      </c>
    </row>
    <row r="4449" spans="1:40" x14ac:dyDescent="0.25">
      <c r="A4449" t="str">
        <f>"20190304155149822"</f>
        <v>20190304155149822</v>
      </c>
      <c r="B4449" t="str">
        <f>"1551685909811636"</f>
        <v>1551685909811636</v>
      </c>
      <c r="C4449" t="s">
        <v>40</v>
      </c>
      <c r="D4449">
        <v>4.6315030000000004</v>
      </c>
      <c r="E4449">
        <v>0.46563539999999998</v>
      </c>
      <c r="F4449" t="s">
        <v>84</v>
      </c>
      <c r="G4449">
        <v>-311.67079999999999</v>
      </c>
      <c r="H4449" s="1">
        <v>-7.2239990000000004E-6</v>
      </c>
      <c r="I4449">
        <v>134.35239999999999</v>
      </c>
      <c r="J4449">
        <v>-267.73669999999998</v>
      </c>
      <c r="K4449">
        <v>1.110746</v>
      </c>
      <c r="L4449">
        <v>141.58699999999999</v>
      </c>
      <c r="M4449">
        <v>-0.99990230000000002</v>
      </c>
      <c r="N4449">
        <v>-1.336737E-2</v>
      </c>
      <c r="O4449">
        <v>4.106752E-3</v>
      </c>
      <c r="P4449">
        <v>-0.97953210000000002</v>
      </c>
      <c r="Q4449">
        <v>0.18640590000000001</v>
      </c>
      <c r="R4449">
        <v>-7.5958800000000007E-2</v>
      </c>
      <c r="S4449">
        <v>-3.038605</v>
      </c>
      <c r="T4449">
        <v>-7.6428650000000001E-2</v>
      </c>
      <c r="U4449">
        <v>-0.49774170000000001</v>
      </c>
      <c r="V4449">
        <v>-7.9989199999999996E-2</v>
      </c>
      <c r="W4449">
        <v>0.1994755</v>
      </c>
      <c r="X4449">
        <v>0.97663259999999996</v>
      </c>
      <c r="Y4449">
        <v>-0.1656243</v>
      </c>
      <c r="Z4449">
        <v>-3.2315270000000001E-3</v>
      </c>
      <c r="AA4449">
        <v>0.98618360000000005</v>
      </c>
      <c r="AB4449">
        <v>22</v>
      </c>
      <c r="AC4449">
        <v>-43.934100000000001</v>
      </c>
      <c r="AD4449">
        <v>-1.1107532239989999</v>
      </c>
      <c r="AE4449">
        <v>-7.2346000000000199</v>
      </c>
      <c r="AF4449">
        <v>-7.4103699372104304</v>
      </c>
      <c r="AG4449">
        <v>-1.1107532239989999</v>
      </c>
      <c r="AH4449">
        <v>43.876710831610197</v>
      </c>
      <c r="AI4449">
        <v>91.4299101257335</v>
      </c>
      <c r="AJ4449">
        <v>99.586262990565501</v>
      </c>
      <c r="AK4449">
        <v>44.511943439167801</v>
      </c>
      <c r="AL4449">
        <v>78.493710514535493</v>
      </c>
      <c r="AM4449">
        <v>94.682248739726603</v>
      </c>
      <c r="AN4449">
        <v>0.99999999129982498</v>
      </c>
    </row>
    <row r="4450" spans="1:40" x14ac:dyDescent="0.25">
      <c r="A4450" t="str">
        <f>"20190304155149842"</f>
        <v>20190304155149842</v>
      </c>
      <c r="B4450" t="str">
        <f>"1551685909831156"</f>
        <v>1551685909831156</v>
      </c>
      <c r="C4450" t="s">
        <v>40</v>
      </c>
      <c r="D4450">
        <v>4.5939610000000002</v>
      </c>
      <c r="E4450">
        <v>0.46562999999999999</v>
      </c>
      <c r="F4450" t="s">
        <v>84</v>
      </c>
      <c r="G4450">
        <v>-310.49639999999999</v>
      </c>
      <c r="H4450" s="1">
        <v>-7.7353409999999906E-6</v>
      </c>
      <c r="I4450">
        <v>134.57769999999999</v>
      </c>
      <c r="J4450">
        <v>-267.9427</v>
      </c>
      <c r="K4450">
        <v>1.1107499999999999</v>
      </c>
      <c r="L4450">
        <v>141.58779999999999</v>
      </c>
      <c r="M4450">
        <v>-0.99990199999999996</v>
      </c>
      <c r="N4450">
        <v>-1.3403409999999999E-2</v>
      </c>
      <c r="O4450">
        <v>4.0452459999999997E-3</v>
      </c>
      <c r="P4450">
        <v>-0.97969439999999997</v>
      </c>
      <c r="Q4450">
        <v>0.18562709999999999</v>
      </c>
      <c r="R4450">
        <v>-7.5773989999999999E-2</v>
      </c>
      <c r="S4450">
        <v>-3.0390630000000001</v>
      </c>
      <c r="T4450">
        <v>-7.8944559999999997E-2</v>
      </c>
      <c r="U4450">
        <v>-0.49816890000000003</v>
      </c>
      <c r="V4450">
        <v>-7.9746259999999999E-2</v>
      </c>
      <c r="W4450">
        <v>0.19873399999999999</v>
      </c>
      <c r="X4450">
        <v>0.97680370000000005</v>
      </c>
      <c r="Y4450">
        <v>-0.1656705</v>
      </c>
      <c r="Z4450">
        <v>-3.3056489999999999E-3</v>
      </c>
      <c r="AA4450">
        <v>0.98617560000000004</v>
      </c>
      <c r="AB4450">
        <v>22</v>
      </c>
      <c r="AC4450">
        <v>-42.5536999999999</v>
      </c>
      <c r="AD4450">
        <v>-1.1107577353410001</v>
      </c>
      <c r="AE4450">
        <v>-7.0100999999999898</v>
      </c>
      <c r="AF4450">
        <v>-7.1774372080107502</v>
      </c>
      <c r="AG4450">
        <v>-1.1107577353410001</v>
      </c>
      <c r="AH4450">
        <v>42.496801860959799</v>
      </c>
      <c r="AI4450">
        <v>91.476325657611596</v>
      </c>
      <c r="AJ4450">
        <v>99.586421748378498</v>
      </c>
      <c r="AK4450">
        <v>43.1129627378035</v>
      </c>
      <c r="AL4450">
        <v>78.537064234911597</v>
      </c>
      <c r="AM4450">
        <v>94.6672768788344</v>
      </c>
      <c r="AN4450">
        <v>1.00000006853683</v>
      </c>
    </row>
    <row r="4451" spans="1:40" x14ac:dyDescent="0.25">
      <c r="A4451" t="str">
        <f>"20190304155149866"</f>
        <v>20190304155149866</v>
      </c>
      <c r="B4451" t="str">
        <f>"1551685909861413"</f>
        <v>1551685909861413</v>
      </c>
      <c r="C4451" t="s">
        <v>40</v>
      </c>
      <c r="D4451">
        <v>4.986205</v>
      </c>
      <c r="E4451">
        <v>0.46574520000000003</v>
      </c>
      <c r="F4451" t="s">
        <v>84</v>
      </c>
      <c r="G4451">
        <v>-312.84699999999998</v>
      </c>
      <c r="H4451" s="1">
        <v>-6.7301610000000004E-6</v>
      </c>
      <c r="I4451">
        <v>134.2337</v>
      </c>
      <c r="J4451">
        <v>-268.166</v>
      </c>
      <c r="K4451">
        <v>1.1107469999999999</v>
      </c>
      <c r="L4451">
        <v>141.58860000000001</v>
      </c>
      <c r="M4451">
        <v>-0.99990179999999995</v>
      </c>
      <c r="N4451">
        <v>-1.3437350000000001E-2</v>
      </c>
      <c r="O4451">
        <v>3.9766690000000004E-3</v>
      </c>
      <c r="P4451">
        <v>-0.97990980000000005</v>
      </c>
      <c r="Q4451">
        <v>0.18463489999999999</v>
      </c>
      <c r="R4451">
        <v>-7.5411859999999997E-2</v>
      </c>
      <c r="S4451">
        <v>-3.0379330000000002</v>
      </c>
      <c r="T4451">
        <v>-7.5146679999999993E-2</v>
      </c>
      <c r="U4451">
        <v>-0.49752809999999997</v>
      </c>
      <c r="V4451">
        <v>-7.9318970000000003E-2</v>
      </c>
      <c r="W4451">
        <v>0.1977768</v>
      </c>
      <c r="X4451">
        <v>0.97703269999999998</v>
      </c>
      <c r="Y4451">
        <v>-0.16546529999999901</v>
      </c>
      <c r="Z4451">
        <v>-3.1966439999999998E-3</v>
      </c>
      <c r="AA4451">
        <v>0.98621040000000004</v>
      </c>
      <c r="AB4451">
        <v>22</v>
      </c>
      <c r="AC4451">
        <v>-44.680999999999898</v>
      </c>
      <c r="AD4451">
        <v>-1.110753730161</v>
      </c>
      <c r="AE4451">
        <v>-7.3549000000000104</v>
      </c>
      <c r="AF4451">
        <v>-7.5280098370778603</v>
      </c>
      <c r="AG4451">
        <v>-1.110753730161</v>
      </c>
      <c r="AH4451">
        <v>44.624545493458299</v>
      </c>
      <c r="AI4451">
        <v>91.406002276920105</v>
      </c>
      <c r="AJ4451">
        <v>99.575448931708607</v>
      </c>
      <c r="AK4451">
        <v>45.268695214838502</v>
      </c>
      <c r="AL4451">
        <v>78.593017967900906</v>
      </c>
      <c r="AM4451">
        <v>94.641295309986404</v>
      </c>
      <c r="AN4451">
        <v>1.00000002924469</v>
      </c>
    </row>
    <row r="4452" spans="1:40" x14ac:dyDescent="0.25">
      <c r="A4452" t="str">
        <f>"20190304155149888"</f>
        <v>20190304155149888</v>
      </c>
      <c r="B4452" t="str">
        <f>"1551685909880936"</f>
        <v>1551685909880936</v>
      </c>
      <c r="C4452" t="s">
        <v>40</v>
      </c>
      <c r="D4452">
        <v>4.603383</v>
      </c>
      <c r="E4452">
        <v>0.4654587</v>
      </c>
      <c r="F4452" t="s">
        <v>84</v>
      </c>
      <c r="G4452">
        <v>-318.61989999999997</v>
      </c>
      <c r="H4452" s="1">
        <v>-3.7456819999999999E-6</v>
      </c>
      <c r="I4452">
        <v>133.34280000000001</v>
      </c>
      <c r="J4452">
        <v>-268.39400000000001</v>
      </c>
      <c r="K4452">
        <v>1.1107479999999901</v>
      </c>
      <c r="L4452">
        <v>141.58940000000001</v>
      </c>
      <c r="M4452">
        <v>-0.9999017</v>
      </c>
      <c r="N4452">
        <v>-1.3467160000000001E-2</v>
      </c>
      <c r="O4452">
        <v>3.9056270000000001E-3</v>
      </c>
      <c r="P4452">
        <v>-0.98003850000000003</v>
      </c>
      <c r="Q4452">
        <v>0.18402750000000001</v>
      </c>
      <c r="R4452">
        <v>-7.5223750000000006E-2</v>
      </c>
      <c r="S4452">
        <v>-3.0359189999999998</v>
      </c>
      <c r="T4452">
        <v>-6.6836240000000005E-2</v>
      </c>
      <c r="U4452">
        <v>-0.49617</v>
      </c>
      <c r="V4452">
        <v>-7.9062759999999996E-2</v>
      </c>
      <c r="W4452">
        <v>0.1972004</v>
      </c>
      <c r="X4452">
        <v>0.97716990000000004</v>
      </c>
      <c r="Y4452">
        <v>-0.16508339999999999</v>
      </c>
      <c r="Z4452">
        <v>-2.9573379999999999E-3</v>
      </c>
      <c r="AA4452">
        <v>0.98627520000000002</v>
      </c>
      <c r="AB4452">
        <v>22</v>
      </c>
      <c r="AC4452">
        <v>-50.225899999999903</v>
      </c>
      <c r="AD4452">
        <v>-1.11075174568199</v>
      </c>
      <c r="AE4452">
        <v>-8.2466000000000008</v>
      </c>
      <c r="AF4452">
        <v>-8.4386996665093701</v>
      </c>
      <c r="AG4452">
        <v>-1.11075174568199</v>
      </c>
      <c r="AH4452">
        <v>50.169413122131601</v>
      </c>
      <c r="AI4452">
        <v>91.250757928434098</v>
      </c>
      <c r="AJ4452">
        <v>99.548006993267606</v>
      </c>
      <c r="AK4452">
        <v>50.886299084539402</v>
      </c>
      <c r="AL4452">
        <v>78.626706015853401</v>
      </c>
      <c r="AM4452">
        <v>94.625721791576197</v>
      </c>
      <c r="AN4452">
        <v>0.99999996562249305</v>
      </c>
    </row>
    <row r="4453" spans="1:40" x14ac:dyDescent="0.25">
      <c r="A4453" t="str">
        <f>"20190304155149910"</f>
        <v>20190304155149910</v>
      </c>
      <c r="B4453" t="str">
        <f>"1551685909901432"</f>
        <v>1551685909901432</v>
      </c>
      <c r="C4453" t="s">
        <v>40</v>
      </c>
      <c r="D4453">
        <v>4.5968400000000003</v>
      </c>
      <c r="E4453">
        <v>0.46521309999999999</v>
      </c>
      <c r="F4453" t="s">
        <v>84</v>
      </c>
      <c r="G4453">
        <v>-316.76979999999998</v>
      </c>
      <c r="H4453" s="1">
        <v>-4.8926310000000002E-6</v>
      </c>
      <c r="I4453">
        <v>133.6515</v>
      </c>
      <c r="J4453">
        <v>-268.61250000000001</v>
      </c>
      <c r="K4453">
        <v>1.110746</v>
      </c>
      <c r="L4453">
        <v>141.59020000000001</v>
      </c>
      <c r="M4453">
        <v>-0.99990179999999995</v>
      </c>
      <c r="N4453">
        <v>-1.3491100000000001E-2</v>
      </c>
      <c r="O4453">
        <v>3.8372599999999999E-3</v>
      </c>
      <c r="P4453">
        <v>-0.98008879999999998</v>
      </c>
      <c r="Q4453">
        <v>0.183865</v>
      </c>
      <c r="R4453">
        <v>-7.4964489999999995E-2</v>
      </c>
      <c r="S4453">
        <v>-3.0359500000000001</v>
      </c>
      <c r="T4453">
        <v>-6.9708110000000004E-2</v>
      </c>
      <c r="U4453">
        <v>-0.49816890000000003</v>
      </c>
      <c r="V4453">
        <v>-7.8737429999999997E-2</v>
      </c>
      <c r="W4453">
        <v>0.19706199999999999</v>
      </c>
      <c r="X4453">
        <v>0.97722410000000004</v>
      </c>
      <c r="Y4453">
        <v>-0.16564200000000001</v>
      </c>
      <c r="Z4453">
        <v>-3.0499149999999998E-3</v>
      </c>
      <c r="AA4453">
        <v>0.98618119999999998</v>
      </c>
      <c r="AB4453">
        <v>22</v>
      </c>
      <c r="AC4453">
        <v>-48.1572999999999</v>
      </c>
      <c r="AD4453">
        <v>-1.1107508926309999</v>
      </c>
      <c r="AE4453">
        <v>-7.9387000000000096</v>
      </c>
      <c r="AF4453">
        <v>-8.1192452734863192</v>
      </c>
      <c r="AG4453">
        <v>-1.1107508926309999</v>
      </c>
      <c r="AH4453">
        <v>48.101566894871397</v>
      </c>
      <c r="AI4453">
        <v>91.304381775586904</v>
      </c>
      <c r="AJ4453">
        <v>99.580861827247702</v>
      </c>
      <c r="AK4453">
        <v>48.794637503503402</v>
      </c>
      <c r="AL4453">
        <v>78.634794615391598</v>
      </c>
      <c r="AM4453">
        <v>94.606515410412996</v>
      </c>
      <c r="AN4453">
        <v>0.99999997817390696</v>
      </c>
    </row>
    <row r="4454" spans="1:40" x14ac:dyDescent="0.25">
      <c r="A4454" t="str">
        <f>"20190304155149932"</f>
        <v>20190304155149932</v>
      </c>
      <c r="B4454" t="str">
        <f>"1551685909920952"</f>
        <v>1551685909920952</v>
      </c>
      <c r="C4454" t="s">
        <v>40</v>
      </c>
      <c r="D4454">
        <v>4.5957319999999999</v>
      </c>
      <c r="E4454">
        <v>0.46498669999999998</v>
      </c>
      <c r="F4454" t="s">
        <v>84</v>
      </c>
      <c r="G4454">
        <v>-315.21550000000002</v>
      </c>
      <c r="H4454" s="1">
        <v>-5.6696809999999998E-6</v>
      </c>
      <c r="I4454">
        <v>133.92580000000001</v>
      </c>
      <c r="J4454">
        <v>-268.83589999999998</v>
      </c>
      <c r="K4454">
        <v>1.1107450000000001</v>
      </c>
      <c r="L4454">
        <v>141.59100000000001</v>
      </c>
      <c r="M4454">
        <v>-0.9999017</v>
      </c>
      <c r="N4454">
        <v>-1.351162E-2</v>
      </c>
      <c r="O4454">
        <v>3.7677940000000001E-3</v>
      </c>
      <c r="P4454">
        <v>-0.9801803</v>
      </c>
      <c r="Q4454">
        <v>0.18327070000000001</v>
      </c>
      <c r="R4454">
        <v>-7.5223739999999997E-2</v>
      </c>
      <c r="S4454">
        <v>-3.0363159999999998</v>
      </c>
      <c r="T4454">
        <v>-7.2368619999999995E-2</v>
      </c>
      <c r="U4454">
        <v>-0.4993591</v>
      </c>
      <c r="V4454">
        <v>-7.8929360000000004E-2</v>
      </c>
      <c r="W4454">
        <v>0.19648889999999999</v>
      </c>
      <c r="X4454">
        <v>0.97732410000000003</v>
      </c>
      <c r="Y4454">
        <v>-0.1659265</v>
      </c>
      <c r="Z4454">
        <v>-3.1312850000000001E-3</v>
      </c>
      <c r="AA4454">
        <v>0.98613320000000004</v>
      </c>
      <c r="AB4454">
        <v>22</v>
      </c>
      <c r="AC4454">
        <v>-46.379600000000003</v>
      </c>
      <c r="AD4454">
        <v>-1.1107506696809999</v>
      </c>
      <c r="AE4454">
        <v>-7.6651999999999898</v>
      </c>
      <c r="AF4454">
        <v>-7.8355356371506302</v>
      </c>
      <c r="AG4454">
        <v>-1.1107506696809999</v>
      </c>
      <c r="AH4454">
        <v>46.324523735451699</v>
      </c>
      <c r="AI4454">
        <v>91.354322273703104</v>
      </c>
      <c r="AJ4454">
        <v>99.600395513550097</v>
      </c>
      <c r="AK4454">
        <v>46.995647512165299</v>
      </c>
      <c r="AL4454">
        <v>78.668286610823301</v>
      </c>
      <c r="AM4454">
        <v>94.617225288831705</v>
      </c>
      <c r="AN4454">
        <v>1.0000000640670099</v>
      </c>
    </row>
    <row r="4455" spans="1:40" x14ac:dyDescent="0.25">
      <c r="A4455" t="str">
        <f>"20190304155149955"</f>
        <v>20190304155149955</v>
      </c>
      <c r="B4455" t="str">
        <f>"1551685909951205"</f>
        <v>1551685909951205</v>
      </c>
      <c r="C4455" t="s">
        <v>40</v>
      </c>
      <c r="D4455">
        <v>4.520988</v>
      </c>
      <c r="E4455">
        <v>0.46459060000000002</v>
      </c>
      <c r="F4455" t="s">
        <v>84</v>
      </c>
      <c r="G4455">
        <v>-313.75040000000001</v>
      </c>
      <c r="H4455" s="1">
        <v>-6.3436009999999999E-6</v>
      </c>
      <c r="I4455">
        <v>134.15940000000001</v>
      </c>
      <c r="J4455">
        <v>-269.05</v>
      </c>
      <c r="K4455">
        <v>1.1107450000000001</v>
      </c>
      <c r="L4455">
        <v>141.5917</v>
      </c>
      <c r="M4455">
        <v>-0.99990179999999995</v>
      </c>
      <c r="N4455">
        <v>-1.352476E-2</v>
      </c>
      <c r="O4455">
        <v>3.7019000000000002E-3</v>
      </c>
      <c r="P4455">
        <v>-0.98029529999999998</v>
      </c>
      <c r="Q4455">
        <v>0.18243400000000001</v>
      </c>
      <c r="R4455">
        <v>-7.5757290000000005E-2</v>
      </c>
      <c r="S4455">
        <v>-3.0361630000000002</v>
      </c>
      <c r="T4455">
        <v>-7.5085399999999997E-2</v>
      </c>
      <c r="U4455">
        <v>-0.50236510000000001</v>
      </c>
      <c r="V4455">
        <v>-7.9398430000000006E-2</v>
      </c>
      <c r="W4455">
        <v>0.19566639999999999</v>
      </c>
      <c r="X4455">
        <v>0.97745110000000002</v>
      </c>
      <c r="Y4455">
        <v>-0.16681480000000001</v>
      </c>
      <c r="Z4455">
        <v>-3.2256569999999998E-3</v>
      </c>
      <c r="AA4455">
        <v>0.98598300000000005</v>
      </c>
      <c r="AB4455">
        <v>22</v>
      </c>
      <c r="AC4455">
        <v>-44.700400000000002</v>
      </c>
      <c r="AD4455">
        <v>-1.1107513436009999</v>
      </c>
      <c r="AE4455">
        <v>-7.4322999999999899</v>
      </c>
      <c r="AF4455">
        <v>-7.5931782151697398</v>
      </c>
      <c r="AG4455">
        <v>-1.1107513436009999</v>
      </c>
      <c r="AH4455">
        <v>44.645752016344403</v>
      </c>
      <c r="AI4455">
        <v>91.405012612812101</v>
      </c>
      <c r="AJ4455">
        <v>99.652286531578497</v>
      </c>
      <c r="AK4455">
        <v>45.300477889968903</v>
      </c>
      <c r="AL4455">
        <v>78.716345145134795</v>
      </c>
      <c r="AM4455">
        <v>94.643944516209203</v>
      </c>
      <c r="AN4455">
        <v>1.0000000518333101</v>
      </c>
    </row>
    <row r="4456" spans="1:40" x14ac:dyDescent="0.25">
      <c r="A4456" t="str">
        <f>"20190304155149978"</f>
        <v>20190304155149978</v>
      </c>
      <c r="B4456" t="str">
        <f>"1551685909971701"</f>
        <v>1551685909971701</v>
      </c>
      <c r="C4456" t="s">
        <v>40</v>
      </c>
      <c r="D4456">
        <v>4.5738370000000002</v>
      </c>
      <c r="E4456">
        <v>0.46436179999999999</v>
      </c>
      <c r="F4456" t="s">
        <v>84</v>
      </c>
      <c r="G4456">
        <v>-310.90359999999998</v>
      </c>
      <c r="H4456" s="1">
        <v>-7.5895059999999997E-6</v>
      </c>
      <c r="I4456">
        <v>134.602</v>
      </c>
      <c r="J4456">
        <v>-269.28519999999997</v>
      </c>
      <c r="K4456">
        <v>1.1107359999999999</v>
      </c>
      <c r="L4456">
        <v>141.5925</v>
      </c>
      <c r="M4456">
        <v>-0.99990199999999996</v>
      </c>
      <c r="N4456">
        <v>-1.352327E-2</v>
      </c>
      <c r="O4456">
        <v>3.6300899999999999E-3</v>
      </c>
      <c r="P4456">
        <v>-0.98032909999999995</v>
      </c>
      <c r="Q4456">
        <v>0.1819315</v>
      </c>
      <c r="R4456">
        <v>-7.652465E-2</v>
      </c>
      <c r="S4456">
        <v>-3.036133</v>
      </c>
      <c r="T4456">
        <v>-8.0575939999999999E-2</v>
      </c>
      <c r="U4456">
        <v>-0.50704959999999999</v>
      </c>
      <c r="V4456">
        <v>-8.0095479999999997E-2</v>
      </c>
      <c r="W4456">
        <v>0.19516320000000001</v>
      </c>
      <c r="X4456">
        <v>0.9774948</v>
      </c>
      <c r="Y4456">
        <v>-0.16821549999999999</v>
      </c>
      <c r="Z4456">
        <v>-3.4089060000000002E-3</v>
      </c>
      <c r="AA4456">
        <v>0.98574439999999997</v>
      </c>
      <c r="AB4456">
        <v>22</v>
      </c>
      <c r="AC4456">
        <v>-41.618400000000001</v>
      </c>
      <c r="AD4456">
        <v>-1.1107435895060001</v>
      </c>
      <c r="AE4456">
        <v>-6.9904999999999902</v>
      </c>
      <c r="AF4456">
        <v>-7.13660243058865</v>
      </c>
      <c r="AG4456">
        <v>-1.1107435895060001</v>
      </c>
      <c r="AH4456">
        <v>41.5639540175885</v>
      </c>
      <c r="AI4456">
        <v>91.508724451259795</v>
      </c>
      <c r="AJ4456">
        <v>99.742781372012502</v>
      </c>
      <c r="AK4456">
        <v>42.186812147282801</v>
      </c>
      <c r="AL4456">
        <v>78.745742816900801</v>
      </c>
      <c r="AM4456">
        <v>94.684325198861302</v>
      </c>
      <c r="AN4456">
        <v>1.0000000222888501</v>
      </c>
    </row>
    <row r="4457" spans="1:40" x14ac:dyDescent="0.25">
      <c r="A4457" t="str">
        <f>"20190304155150000"</f>
        <v>20190304155150000</v>
      </c>
      <c r="B4457" t="str">
        <f>"1551685909991220"</f>
        <v>1551685909991220</v>
      </c>
      <c r="C4457" t="s">
        <v>40</v>
      </c>
      <c r="D4457">
        <v>4.5757519999999996</v>
      </c>
      <c r="E4457">
        <v>0.46421109999999999</v>
      </c>
      <c r="F4457" t="s">
        <v>84</v>
      </c>
      <c r="G4457">
        <v>-310.46600000000001</v>
      </c>
      <c r="H4457" s="1">
        <v>-7.7704639999999994E-6</v>
      </c>
      <c r="I4457">
        <v>134.65479999999999</v>
      </c>
      <c r="J4457">
        <v>-269.5104</v>
      </c>
      <c r="K4457">
        <v>1.1107320000000001</v>
      </c>
      <c r="L4457">
        <v>141.5932</v>
      </c>
      <c r="M4457">
        <v>-0.99990270000000003</v>
      </c>
      <c r="N4457">
        <v>-1.349761E-2</v>
      </c>
      <c r="O4457">
        <v>3.5617829999999998E-3</v>
      </c>
      <c r="P4457">
        <v>-0.98031190000000001</v>
      </c>
      <c r="Q4457">
        <v>0.18196899999999999</v>
      </c>
      <c r="R4457">
        <v>-7.6657600000000006E-2</v>
      </c>
      <c r="S4457">
        <v>-3.0354610000000002</v>
      </c>
      <c r="T4457">
        <v>-8.1873660000000001E-2</v>
      </c>
      <c r="U4457">
        <v>-0.51138309999999998</v>
      </c>
      <c r="V4457">
        <v>-8.0161469999999999E-2</v>
      </c>
      <c r="W4457">
        <v>0.1951754</v>
      </c>
      <c r="X4457">
        <v>0.97748699999999999</v>
      </c>
      <c r="Y4457">
        <v>-0.16954910000000001</v>
      </c>
      <c r="Z4457">
        <v>-3.4704419999999998E-3</v>
      </c>
      <c r="AA4457">
        <v>0.98551569999999999</v>
      </c>
      <c r="AB4457">
        <v>22</v>
      </c>
      <c r="AC4457">
        <v>-40.955599999999997</v>
      </c>
      <c r="AD4457">
        <v>-1.1107397704639901</v>
      </c>
      <c r="AE4457">
        <v>-6.9383999999999997</v>
      </c>
      <c r="AF4457">
        <v>-7.0791825594138702</v>
      </c>
      <c r="AG4457">
        <v>-1.1107397704639901</v>
      </c>
      <c r="AH4457">
        <v>40.901380152888102</v>
      </c>
      <c r="AI4457">
        <v>91.532794516820005</v>
      </c>
      <c r="AJ4457">
        <v>99.819433291842898</v>
      </c>
      <c r="AK4457">
        <v>41.524347881192199</v>
      </c>
      <c r="AL4457">
        <v>78.745030607876799</v>
      </c>
      <c r="AM4457">
        <v>94.688204622589893</v>
      </c>
      <c r="AN4457">
        <v>1.0000000666033499</v>
      </c>
    </row>
    <row r="4458" spans="1:40" x14ac:dyDescent="0.25">
      <c r="A4458" t="str">
        <f>"20190304155150023"</f>
        <v>20190304155150023</v>
      </c>
      <c r="B4458" t="str">
        <f>"1551685910011716"</f>
        <v>1551685910011716</v>
      </c>
      <c r="C4458" t="s">
        <v>40</v>
      </c>
      <c r="D4458">
        <v>4.9178319999999998</v>
      </c>
      <c r="E4458">
        <v>0.51094090000000003</v>
      </c>
      <c r="F4458" t="s">
        <v>84</v>
      </c>
      <c r="G4458">
        <v>-310.90339999999998</v>
      </c>
      <c r="H4458" s="1">
        <v>-7.5873490000000001E-6</v>
      </c>
      <c r="I4458">
        <v>134.59469999999999</v>
      </c>
      <c r="J4458">
        <v>-269.7269</v>
      </c>
      <c r="K4458">
        <v>1.1107209999999901</v>
      </c>
      <c r="L4458">
        <v>141.59389999999999</v>
      </c>
      <c r="M4458">
        <v>-0.9999036</v>
      </c>
      <c r="N4458">
        <v>-1.344863E-2</v>
      </c>
      <c r="O4458">
        <v>3.4973230000000001E-3</v>
      </c>
      <c r="P4458">
        <v>-0.98034160000000004</v>
      </c>
      <c r="Q4458">
        <v>0.18190600000000001</v>
      </c>
      <c r="R4458">
        <v>-7.6427289999999995E-2</v>
      </c>
      <c r="S4458">
        <v>-3.0352480000000002</v>
      </c>
      <c r="T4458">
        <v>-8.1447839999999994E-2</v>
      </c>
      <c r="U4458">
        <v>-0.51318359999999996</v>
      </c>
      <c r="V4458">
        <v>-7.9868220000000004E-2</v>
      </c>
      <c r="W4458">
        <v>0.19506499999999999</v>
      </c>
      <c r="X4458">
        <v>0.97753299999999999</v>
      </c>
      <c r="Y4458">
        <v>-0.17006589999999999</v>
      </c>
      <c r="Z4458">
        <v>-3.463767E-3</v>
      </c>
      <c r="AA4458">
        <v>0.98542660000000004</v>
      </c>
      <c r="AB4458">
        <v>22</v>
      </c>
      <c r="AC4458">
        <v>-41.176499999999898</v>
      </c>
      <c r="AD4458">
        <v>-1.11072858734899</v>
      </c>
      <c r="AE4458">
        <v>-6.9992000000000001</v>
      </c>
      <c r="AF4458">
        <v>-7.1381295741182296</v>
      </c>
      <c r="AG4458">
        <v>-1.11072858734899</v>
      </c>
      <c r="AH4458">
        <v>41.122685200512002</v>
      </c>
      <c r="AI4458">
        <v>91.524405502955403</v>
      </c>
      <c r="AJ4458">
        <v>99.847356992392207</v>
      </c>
      <c r="AK4458">
        <v>41.752387355839502</v>
      </c>
      <c r="AL4458">
        <v>78.751479565873296</v>
      </c>
      <c r="AM4458">
        <v>94.670911233602894</v>
      </c>
      <c r="AN4458">
        <v>1.00000002643998</v>
      </c>
    </row>
    <row r="4459" spans="1:40" x14ac:dyDescent="0.25">
      <c r="A4459" t="str">
        <f>"20190304155150043"</f>
        <v>20190304155150043</v>
      </c>
      <c r="B4459" t="str">
        <f>"1551685910040996"</f>
        <v>1551685910040996</v>
      </c>
      <c r="C4459" t="s">
        <v>40</v>
      </c>
      <c r="D4459">
        <v>4.5117589999999996</v>
      </c>
      <c r="E4459">
        <v>0.52345600000000003</v>
      </c>
      <c r="F4459" t="s">
        <v>84</v>
      </c>
      <c r="G4459">
        <v>-405.24059999999997</v>
      </c>
      <c r="H4459" s="1">
        <v>-5.7559049999999997E-6</v>
      </c>
      <c r="I4459">
        <v>135.32929999999999</v>
      </c>
      <c r="J4459">
        <v>-269.93259999999998</v>
      </c>
      <c r="K4459">
        <v>1.110716</v>
      </c>
      <c r="L4459">
        <v>141.59460000000001</v>
      </c>
      <c r="M4459">
        <v>-0.99990449999999997</v>
      </c>
      <c r="N4459">
        <v>-1.3382420000000001E-2</v>
      </c>
      <c r="O4459">
        <v>3.445011E-3</v>
      </c>
      <c r="P4459">
        <v>-0.98025549999999995</v>
      </c>
      <c r="Q4459">
        <v>0.18265229999999999</v>
      </c>
      <c r="R4459">
        <v>-7.5744839999999994E-2</v>
      </c>
      <c r="S4459">
        <v>-3.053833</v>
      </c>
      <c r="T4459">
        <v>-2.5030489999999999E-2</v>
      </c>
      <c r="U4459">
        <v>-0.1411743</v>
      </c>
      <c r="V4459">
        <v>-7.9136620000000005E-2</v>
      </c>
      <c r="W4459">
        <v>0.1957449</v>
      </c>
      <c r="X4459">
        <v>0.97745660000000001</v>
      </c>
      <c r="Y4459">
        <v>-4.9616189999999998E-2</v>
      </c>
      <c r="Z4459">
        <v>-5.1756670000000003E-4</v>
      </c>
      <c r="AA4459">
        <v>0.99876819999999999</v>
      </c>
      <c r="AB4459">
        <v>22</v>
      </c>
      <c r="AC4459">
        <v>-135.30799999999999</v>
      </c>
      <c r="AD4459">
        <v>-1.110721755905</v>
      </c>
      <c r="AE4459">
        <v>-6.2653000000000203</v>
      </c>
      <c r="AF4459">
        <v>-6.7309895188229403</v>
      </c>
      <c r="AG4459">
        <v>-1.110721755905</v>
      </c>
      <c r="AH4459">
        <v>135.27651485528699</v>
      </c>
      <c r="AI4459">
        <v>90.469849559778098</v>
      </c>
      <c r="AJ4459">
        <v>92.848532100985494</v>
      </c>
      <c r="AK4459">
        <v>135.44842337256799</v>
      </c>
      <c r="AL4459">
        <v>78.711758576149606</v>
      </c>
      <c r="AM4459">
        <v>94.628672195380702</v>
      </c>
      <c r="AN4459">
        <v>1.00000003769229</v>
      </c>
    </row>
    <row r="4460" spans="1:40" x14ac:dyDescent="0.25">
      <c r="A4460" t="str">
        <f>"20190304155150066"</f>
        <v>20190304155150066</v>
      </c>
      <c r="B4460" t="str">
        <f>"1551685910061493"</f>
        <v>1551685910061493</v>
      </c>
      <c r="C4460" t="s">
        <v>40</v>
      </c>
      <c r="D4460">
        <v>4.5565860000000002</v>
      </c>
      <c r="E4460">
        <v>0.52516350000000001</v>
      </c>
      <c r="F4460" t="s">
        <v>41</v>
      </c>
      <c r="G4460">
        <v>-380.00380000000001</v>
      </c>
      <c r="H4460" s="1">
        <v>-4.3770419999999997E-6</v>
      </c>
      <c r="I4460">
        <v>140.19299999999899</v>
      </c>
      <c r="J4460">
        <v>-270.15359999999998</v>
      </c>
      <c r="K4460">
        <v>1.110706</v>
      </c>
      <c r="L4460">
        <v>141.59520000000001</v>
      </c>
      <c r="M4460">
        <v>-0.99990610000000002</v>
      </c>
      <c r="N4460">
        <v>-1.329235E-2</v>
      </c>
      <c r="O4460">
        <v>3.3820230000000001E-3</v>
      </c>
      <c r="P4460">
        <v>-0.9801318</v>
      </c>
      <c r="Q4460">
        <v>0.18348990000000001</v>
      </c>
      <c r="R4460">
        <v>-7.5325230000000007E-2</v>
      </c>
      <c r="S4460">
        <v>-3.0631710000000001</v>
      </c>
      <c r="T4460">
        <v>-3.091025E-2</v>
      </c>
      <c r="U4460">
        <v>-3.9001460000000002E-2</v>
      </c>
      <c r="V4460">
        <v>-7.8654340000000003E-2</v>
      </c>
      <c r="W4460">
        <v>0.19649259999999999</v>
      </c>
      <c r="X4460">
        <v>0.97734549999999998</v>
      </c>
      <c r="Y4460">
        <v>-1.611141E-2</v>
      </c>
      <c r="Z4460">
        <v>-1.775491E-4</v>
      </c>
      <c r="AA4460">
        <v>0.99987020000000004</v>
      </c>
      <c r="AB4460">
        <v>22</v>
      </c>
      <c r="AC4460">
        <v>-109.8502</v>
      </c>
      <c r="AD4460">
        <v>-1.1107103770419999</v>
      </c>
      <c r="AE4460">
        <v>-1.4022000000000201</v>
      </c>
      <c r="AF4460">
        <v>-1.7735593551548701</v>
      </c>
      <c r="AG4460">
        <v>-1.1107103770419999</v>
      </c>
      <c r="AH4460">
        <v>109.83360194072</v>
      </c>
      <c r="AI4460">
        <v>90.579317732484398</v>
      </c>
      <c r="AJ4460">
        <v>90.925114292606906</v>
      </c>
      <c r="AK4460">
        <v>109.853535699132</v>
      </c>
      <c r="AL4460">
        <v>78.668070087520505</v>
      </c>
      <c r="AM4460">
        <v>94.601105999048798</v>
      </c>
      <c r="AN4460">
        <v>1.00000003671292</v>
      </c>
    </row>
    <row r="4461" spans="1:40" x14ac:dyDescent="0.25">
      <c r="A4461" t="str">
        <f>"20190304155150090"</f>
        <v>20190304155150090</v>
      </c>
      <c r="B4461" t="str">
        <f>"1551685910081012"</f>
        <v>1551685910081012</v>
      </c>
      <c r="C4461" t="s">
        <v>40</v>
      </c>
      <c r="D4461">
        <v>4.5425550000000001</v>
      </c>
      <c r="E4461">
        <v>0.52614780000000005</v>
      </c>
      <c r="F4461" t="s">
        <v>41</v>
      </c>
      <c r="G4461">
        <v>-382.8562</v>
      </c>
      <c r="H4461" s="1">
        <v>-3.344348E-6</v>
      </c>
      <c r="I4461">
        <v>140.7338</v>
      </c>
      <c r="J4461">
        <v>-270.38389999999998</v>
      </c>
      <c r="K4461">
        <v>1.1106910000000001</v>
      </c>
      <c r="L4461">
        <v>141.5959</v>
      </c>
      <c r="M4461">
        <v>-0.99990780000000001</v>
      </c>
      <c r="N4461">
        <v>-1.3182950000000001E-2</v>
      </c>
      <c r="O4461">
        <v>3.298076E-3</v>
      </c>
      <c r="P4461">
        <v>-0.98006459999999995</v>
      </c>
      <c r="Q4461">
        <v>0.18402879999999999</v>
      </c>
      <c r="R4461">
        <v>-7.4881080000000003E-2</v>
      </c>
      <c r="S4461">
        <v>-3.064667</v>
      </c>
      <c r="T4461">
        <v>-3.0202980000000001E-2</v>
      </c>
      <c r="U4461">
        <v>-2.342224E-2</v>
      </c>
      <c r="V4461">
        <v>-7.8127329999999995E-2</v>
      </c>
      <c r="W4461">
        <v>0.19692409999999999</v>
      </c>
      <c r="X4461">
        <v>0.97730090000000003</v>
      </c>
      <c r="Y4461">
        <v>-1.093941E-2</v>
      </c>
      <c r="Z4461">
        <v>-1.150404E-4</v>
      </c>
      <c r="AA4461">
        <v>0.99994019999999995</v>
      </c>
      <c r="AB4461">
        <v>22</v>
      </c>
      <c r="AC4461">
        <v>-112.4723</v>
      </c>
      <c r="AD4461">
        <v>-1.110694344348</v>
      </c>
      <c r="AE4461">
        <v>-0.86209999999999798</v>
      </c>
      <c r="AF4461">
        <v>-1.2329494585112499</v>
      </c>
      <c r="AG4461">
        <v>-1.110694344348</v>
      </c>
      <c r="AH4461">
        <v>112.45787832041501</v>
      </c>
      <c r="AI4461">
        <v>90.565831457348395</v>
      </c>
      <c r="AJ4461">
        <v>90.628146032293301</v>
      </c>
      <c r="AK4461">
        <v>112.470121377293</v>
      </c>
      <c r="AL4461">
        <v>78.6428540444834</v>
      </c>
      <c r="AM4461">
        <v>94.570615811752305</v>
      </c>
      <c r="AN4461">
        <v>1.0000000149972701</v>
      </c>
    </row>
    <row r="4462" spans="1:40" x14ac:dyDescent="0.25">
      <c r="A4462" t="str">
        <f>"20190304155150112"</f>
        <v>20190304155150112</v>
      </c>
      <c r="B4462" t="str">
        <f>"1551685910101039"</f>
        <v>1551685910101039</v>
      </c>
      <c r="C4462" t="s">
        <v>40</v>
      </c>
      <c r="D4462">
        <v>4.5597580000000004</v>
      </c>
      <c r="E4462">
        <v>0.52687320000000004</v>
      </c>
      <c r="F4462" t="s">
        <v>41</v>
      </c>
      <c r="G4462">
        <v>-386.51740000000001</v>
      </c>
      <c r="H4462" s="1">
        <v>-1.8643230000000001E-6</v>
      </c>
      <c r="I4462">
        <v>141.0744</v>
      </c>
      <c r="J4462">
        <v>-270.60469999999998</v>
      </c>
      <c r="K4462">
        <v>1.110668</v>
      </c>
      <c r="L4462">
        <v>141.59649999999999</v>
      </c>
      <c r="M4462">
        <v>-0.99990950000000001</v>
      </c>
      <c r="N4462">
        <v>-1.306684E-2</v>
      </c>
      <c r="O4462">
        <v>3.2201690000000002E-3</v>
      </c>
      <c r="P4462">
        <v>-0.97996879999999997</v>
      </c>
      <c r="Q4462">
        <v>0.1844855</v>
      </c>
      <c r="R4462">
        <v>-7.5011069999999999E-2</v>
      </c>
      <c r="S4462">
        <v>-3.0654599999999999</v>
      </c>
      <c r="T4462">
        <v>-2.9317860000000001E-2</v>
      </c>
      <c r="U4462">
        <v>-1.376343E-2</v>
      </c>
      <c r="V4462">
        <v>-7.8179170000000006E-2</v>
      </c>
      <c r="W4462">
        <v>0.19726679999999999</v>
      </c>
      <c r="X4462">
        <v>0.97722759999999997</v>
      </c>
      <c r="Y4462">
        <v>-7.7093300000000003E-3</v>
      </c>
      <c r="Z4462" s="1">
        <v>-7.5955440000000004E-5</v>
      </c>
      <c r="AA4462">
        <v>0.99997029999999998</v>
      </c>
      <c r="AB4462">
        <v>22</v>
      </c>
      <c r="AC4462">
        <v>-115.9127</v>
      </c>
      <c r="AD4462">
        <v>-1.110669864323</v>
      </c>
      <c r="AE4462">
        <v>-0.52209999999999401</v>
      </c>
      <c r="AF4462">
        <v>-0.89530542329254903</v>
      </c>
      <c r="AG4462">
        <v>-1.110669864323</v>
      </c>
      <c r="AH4462">
        <v>115.89977654222</v>
      </c>
      <c r="AI4462">
        <v>90.549033408172406</v>
      </c>
      <c r="AJ4462">
        <v>90.442591032918301</v>
      </c>
      <c r="AK4462">
        <v>115.908556033992</v>
      </c>
      <c r="AL4462">
        <v>78.622825484223497</v>
      </c>
      <c r="AM4462">
        <v>94.573977304183899</v>
      </c>
      <c r="AN4462">
        <v>0.99999997760294401</v>
      </c>
    </row>
    <row r="4463" spans="1:40" x14ac:dyDescent="0.25">
      <c r="A4463" t="str">
        <f>"20190304155150134"</f>
        <v>20190304155150134</v>
      </c>
      <c r="B4463" t="str">
        <f>"1551685910131295"</f>
        <v>1551685910131295</v>
      </c>
      <c r="C4463" t="s">
        <v>40</v>
      </c>
      <c r="D4463">
        <v>4.5425519999999997</v>
      </c>
      <c r="E4463">
        <v>0.52715979999999996</v>
      </c>
      <c r="F4463" t="s">
        <v>41</v>
      </c>
      <c r="G4463">
        <v>-394.7013</v>
      </c>
      <c r="H4463" s="1">
        <v>-2.691293E-6</v>
      </c>
      <c r="I4463">
        <v>141.2543</v>
      </c>
      <c r="J4463">
        <v>-270.82170000000002</v>
      </c>
      <c r="K4463">
        <v>1.1106480000000001</v>
      </c>
      <c r="L4463">
        <v>141.59719999999999</v>
      </c>
      <c r="M4463">
        <v>-0.9999112</v>
      </c>
      <c r="N4463">
        <v>-1.294853E-2</v>
      </c>
      <c r="O4463">
        <v>3.149289E-3</v>
      </c>
      <c r="P4463">
        <v>-0.97996709999999998</v>
      </c>
      <c r="Q4463">
        <v>0.18445249999999999</v>
      </c>
      <c r="R4463">
        <v>-7.5111880000000006E-2</v>
      </c>
      <c r="S4463">
        <v>-3.065887</v>
      </c>
      <c r="T4463">
        <v>-2.7439829999999998E-2</v>
      </c>
      <c r="U4463">
        <v>-8.4533690000000005E-3</v>
      </c>
      <c r="V4463">
        <v>-7.8209039999999994E-2</v>
      </c>
      <c r="W4463">
        <v>0.1971186</v>
      </c>
      <c r="X4463">
        <v>0.97725519999999999</v>
      </c>
      <c r="Y4463">
        <v>-5.906148E-3</v>
      </c>
      <c r="Z4463" s="1">
        <v>-5.207609E-5</v>
      </c>
      <c r="AA4463">
        <v>0.9999825</v>
      </c>
      <c r="AB4463">
        <v>22</v>
      </c>
      <c r="AC4463">
        <v>-123.879599999999</v>
      </c>
      <c r="AD4463">
        <v>-1.1106506912930001</v>
      </c>
      <c r="AE4463">
        <v>-0.34289999999998599</v>
      </c>
      <c r="AF4463">
        <v>-0.73300475308070301</v>
      </c>
      <c r="AG4463">
        <v>-1.1106506912930001</v>
      </c>
      <c r="AH4463">
        <v>123.86794899453901</v>
      </c>
      <c r="AI4463">
        <v>90.513714631392503</v>
      </c>
      <c r="AJ4463">
        <v>90.339051294796306</v>
      </c>
      <c r="AK4463">
        <v>123.875096888114</v>
      </c>
      <c r="AL4463">
        <v>78.631487748440193</v>
      </c>
      <c r="AM4463">
        <v>94.575588788635002</v>
      </c>
      <c r="AN4463">
        <v>1.0000000611653499</v>
      </c>
    </row>
    <row r="4464" spans="1:40" x14ac:dyDescent="0.25">
      <c r="A4464" t="str">
        <f>"20190304155150156"</f>
        <v>20190304155150156</v>
      </c>
      <c r="B4464" t="str">
        <f>"1551685910151791"</f>
        <v>1551685910151791</v>
      </c>
      <c r="C4464" t="s">
        <v>40</v>
      </c>
      <c r="D4464">
        <v>4.5590460000000004</v>
      </c>
      <c r="E4464">
        <v>0.52713429999999994</v>
      </c>
      <c r="F4464" t="s">
        <v>41</v>
      </c>
      <c r="G4464">
        <v>-396.1</v>
      </c>
      <c r="H4464" s="1">
        <v>-2.1118030000000001E-6</v>
      </c>
      <c r="I4464">
        <v>141.33150000000001</v>
      </c>
      <c r="J4464">
        <v>-271.03429999999997</v>
      </c>
      <c r="K4464">
        <v>1.110633</v>
      </c>
      <c r="L4464">
        <v>141.59780000000001</v>
      </c>
      <c r="M4464">
        <v>-0.99991300000000005</v>
      </c>
      <c r="N4464">
        <v>-1.282529E-2</v>
      </c>
      <c r="O4464">
        <v>3.0836549999999998E-3</v>
      </c>
      <c r="P4464">
        <v>-0.9799004</v>
      </c>
      <c r="Q4464">
        <v>0.1845359</v>
      </c>
      <c r="R4464">
        <v>-7.5776339999999998E-2</v>
      </c>
      <c r="S4464">
        <v>-3.0659179999999999</v>
      </c>
      <c r="T4464">
        <v>-2.718079E-2</v>
      </c>
      <c r="U4464">
        <v>-6.5002439999999996E-3</v>
      </c>
      <c r="V4464">
        <v>-7.8808429999999999E-2</v>
      </c>
      <c r="W4464">
        <v>0.1970807</v>
      </c>
      <c r="X4464">
        <v>0.97721460000000004</v>
      </c>
      <c r="Y4464">
        <v>-5.203526E-3</v>
      </c>
      <c r="Z4464" s="1">
        <v>-4.4223469999999999E-5</v>
      </c>
      <c r="AA4464">
        <v>0.9999865</v>
      </c>
      <c r="AB4464">
        <v>22</v>
      </c>
      <c r="AC4464">
        <v>-125.06570000000001</v>
      </c>
      <c r="AD4464">
        <v>-1.110635111803</v>
      </c>
      <c r="AE4464">
        <v>-0.26630000000000098</v>
      </c>
      <c r="AF4464">
        <v>-0.65193851325879404</v>
      </c>
      <c r="AG4464">
        <v>-1.110635111803</v>
      </c>
      <c r="AH4464">
        <v>125.05442207075301</v>
      </c>
      <c r="AI4464">
        <v>90.508835799537295</v>
      </c>
      <c r="AJ4464">
        <v>90.298693851079705</v>
      </c>
      <c r="AK4464">
        <v>125.061053144561</v>
      </c>
      <c r="AL4464">
        <v>78.633701689294995</v>
      </c>
      <c r="AM4464">
        <v>94.610695977328106</v>
      </c>
      <c r="AN4464">
        <v>0.99999997270235697</v>
      </c>
    </row>
    <row r="4465" spans="1:40" x14ac:dyDescent="0.25">
      <c r="A4465" t="str">
        <f>"20190304155150169"</f>
        <v>20190304155150169</v>
      </c>
      <c r="B4465" t="str">
        <f>"1551685910161552"</f>
        <v>1551685910161552</v>
      </c>
      <c r="C4465" t="s">
        <v>40</v>
      </c>
      <c r="D4465">
        <v>4.418285</v>
      </c>
      <c r="E4465">
        <v>0.52855839999999998</v>
      </c>
      <c r="F4465" t="s">
        <v>41</v>
      </c>
      <c r="G4465">
        <v>-385.48899999999998</v>
      </c>
      <c r="H4465" s="1">
        <v>-2.3565499999999999E-6</v>
      </c>
      <c r="I4465">
        <v>141.2662</v>
      </c>
      <c r="J4465">
        <v>-271.16759999999999</v>
      </c>
      <c r="K4465">
        <v>1.110617</v>
      </c>
      <c r="L4465">
        <v>141.59809999999999</v>
      </c>
      <c r="M4465">
        <v>-0.99991430000000003</v>
      </c>
      <c r="N4465">
        <v>-1.274307E-2</v>
      </c>
      <c r="O4465">
        <v>3.0434210000000001E-3</v>
      </c>
      <c r="P4465">
        <v>-0.9799002</v>
      </c>
      <c r="Q4465">
        <v>0.18443280000000001</v>
      </c>
      <c r="R4465">
        <v>-7.6029899999999997E-2</v>
      </c>
      <c r="S4465">
        <v>-3.0664370000000001</v>
      </c>
      <c r="T4465">
        <v>-2.975583E-2</v>
      </c>
      <c r="U4465">
        <v>-8.8806149999999997E-3</v>
      </c>
      <c r="V4465">
        <v>-7.9022480000000006E-2</v>
      </c>
      <c r="W4465">
        <v>0.1968975</v>
      </c>
      <c r="X4465">
        <v>0.9772343</v>
      </c>
      <c r="Y4465">
        <v>-5.9390379999999998E-3</v>
      </c>
      <c r="Z4465" s="1">
        <v>-5.7406530000000002E-5</v>
      </c>
      <c r="AA4465">
        <v>0.99998240000000005</v>
      </c>
      <c r="AB4465">
        <v>22</v>
      </c>
      <c r="AC4465">
        <v>-114.3214</v>
      </c>
      <c r="AD4465">
        <v>-1.11061935655</v>
      </c>
      <c r="AE4465">
        <v>-0.33189999999998998</v>
      </c>
      <c r="AF4465">
        <v>-0.67979066299977597</v>
      </c>
      <c r="AG4465">
        <v>-1.11061935655</v>
      </c>
      <c r="AH4465">
        <v>114.30907198779001</v>
      </c>
      <c r="AI4465">
        <v>90.5566546324293</v>
      </c>
      <c r="AJ4465">
        <v>90.340731283292897</v>
      </c>
      <c r="AK4465">
        <v>114.31648844068999</v>
      </c>
      <c r="AL4465">
        <v>78.644408690734707</v>
      </c>
      <c r="AM4465">
        <v>94.623071989628997</v>
      </c>
      <c r="AN4465">
        <v>1.0000000274740399</v>
      </c>
    </row>
    <row r="4466" spans="1:40" x14ac:dyDescent="0.25">
      <c r="A4466" t="str">
        <f>"20190304155150190"</f>
        <v>20190304155150190</v>
      </c>
      <c r="B4466" t="str">
        <f>"1551685910181071"</f>
        <v>1551685910181071</v>
      </c>
      <c r="C4466" t="s">
        <v>40</v>
      </c>
      <c r="D4466">
        <v>4.570411</v>
      </c>
      <c r="E4466">
        <v>0.52844650000000004</v>
      </c>
      <c r="F4466" t="s">
        <v>41</v>
      </c>
      <c r="G4466">
        <v>-398.50990000000002</v>
      </c>
      <c r="H4466" s="1">
        <v>-1.1684680000000001E-6</v>
      </c>
      <c r="I4466">
        <v>141.67150000000001</v>
      </c>
      <c r="J4466">
        <v>-271.37310000000002</v>
      </c>
      <c r="K4466">
        <v>1.1106</v>
      </c>
      <c r="L4466">
        <v>141.59870000000001</v>
      </c>
      <c r="M4466">
        <v>-0.99991609999999997</v>
      </c>
      <c r="N4466">
        <v>-1.260876E-2</v>
      </c>
      <c r="O4466">
        <v>2.982345E-3</v>
      </c>
      <c r="P4466">
        <v>-0.97987740000000001</v>
      </c>
      <c r="Q4466">
        <v>0.1842897</v>
      </c>
      <c r="R4466">
        <v>-7.6666269999999995E-2</v>
      </c>
      <c r="S4466">
        <v>-3.0667110000000002</v>
      </c>
      <c r="T4466">
        <v>-2.6746389999999998E-2</v>
      </c>
      <c r="U4466">
        <v>1.77002E-3</v>
      </c>
      <c r="V4466">
        <v>-7.9599160000000002E-2</v>
      </c>
      <c r="W4466">
        <v>0.19662299999999999</v>
      </c>
      <c r="X4466">
        <v>0.97724270000000002</v>
      </c>
      <c r="Y4466">
        <v>-2.4051659999999998E-3</v>
      </c>
      <c r="Z4466" s="1">
        <v>-1.405706E-5</v>
      </c>
      <c r="AA4466">
        <v>0.99999709999999997</v>
      </c>
      <c r="AB4466">
        <v>22</v>
      </c>
      <c r="AC4466">
        <v>-127.13679999999999</v>
      </c>
      <c r="AD4466">
        <v>-1.1106011684679999</v>
      </c>
      <c r="AE4466">
        <v>7.2800000000000795E-2</v>
      </c>
      <c r="AF4466">
        <v>-0.30637287275875202</v>
      </c>
      <c r="AG4466">
        <v>-1.1106011684679999</v>
      </c>
      <c r="AH4466">
        <v>127.12675077326701</v>
      </c>
      <c r="AI4466">
        <v>90.500531601378995</v>
      </c>
      <c r="AJ4466">
        <v>90.138081391016499</v>
      </c>
      <c r="AK4466">
        <v>127.131971043718</v>
      </c>
      <c r="AL4466">
        <v>78.6604492165457</v>
      </c>
      <c r="AM4466">
        <v>94.656621954652095</v>
      </c>
      <c r="AN4466">
        <v>0.99999996255249701</v>
      </c>
    </row>
    <row r="4467" spans="1:40" x14ac:dyDescent="0.25">
      <c r="A4467" t="str">
        <f>"20190304155150214"</f>
        <v>20190304155150214</v>
      </c>
      <c r="B4467" t="str">
        <f>"1551685910211327"</f>
        <v>1551685910211327</v>
      </c>
      <c r="C4467" t="s">
        <v>40</v>
      </c>
      <c r="D4467">
        <v>4.5928009999999997</v>
      </c>
      <c r="E4467">
        <v>0.52838719999999995</v>
      </c>
      <c r="F4467" t="s">
        <v>41</v>
      </c>
      <c r="G4467">
        <v>-395.1454</v>
      </c>
      <c r="H4467" s="1">
        <v>-2.5863469999999999E-6</v>
      </c>
      <c r="I4467">
        <v>141.57579999999999</v>
      </c>
      <c r="J4467">
        <v>-271.60079999999999</v>
      </c>
      <c r="K4467">
        <v>1.1105799999999999</v>
      </c>
      <c r="L4467">
        <v>141.5993</v>
      </c>
      <c r="M4467">
        <v>-0.99991839999999999</v>
      </c>
      <c r="N4467">
        <v>-1.245339E-2</v>
      </c>
      <c r="O4467">
        <v>2.915127E-3</v>
      </c>
      <c r="P4467">
        <v>-0.97991660000000003</v>
      </c>
      <c r="Q4467">
        <v>0.18379590000000001</v>
      </c>
      <c r="R4467">
        <v>-7.7349070000000006E-2</v>
      </c>
      <c r="S4467">
        <v>-3.0667110000000002</v>
      </c>
      <c r="T4467">
        <v>-2.7517440000000001E-2</v>
      </c>
      <c r="U4467">
        <v>-5.6457519999999995E-4</v>
      </c>
      <c r="V4467">
        <v>-8.0216430000000005E-2</v>
      </c>
      <c r="W4467">
        <v>0.19597780000000001</v>
      </c>
      <c r="X4467">
        <v>0.97732189999999997</v>
      </c>
      <c r="Y4467">
        <v>-3.0991339999999999E-3</v>
      </c>
      <c r="Z4467" s="1">
        <v>-2.3054740000000001E-5</v>
      </c>
      <c r="AA4467">
        <v>0.99999519999999997</v>
      </c>
      <c r="AB4467">
        <v>22</v>
      </c>
      <c r="AC4467">
        <v>-123.5446</v>
      </c>
      <c r="AD4467">
        <v>-1.11058258634699</v>
      </c>
      <c r="AE4467">
        <v>-2.3500000000012702E-2</v>
      </c>
      <c r="AF4467">
        <v>-0.38364495759221201</v>
      </c>
      <c r="AG4467">
        <v>-1.11058258634699</v>
      </c>
      <c r="AH4467">
        <v>123.534023934971</v>
      </c>
      <c r="AI4467">
        <v>90.515078129517207</v>
      </c>
      <c r="AJ4467">
        <v>90.177936130749501</v>
      </c>
      <c r="AK4467">
        <v>123.53961165027501</v>
      </c>
      <c r="AL4467">
        <v>78.698150798191307</v>
      </c>
      <c r="AM4467">
        <v>94.692193574339996</v>
      </c>
      <c r="AN4467">
        <v>1.00000003497719</v>
      </c>
    </row>
    <row r="4468" spans="1:40" x14ac:dyDescent="0.25">
      <c r="A4468" t="str">
        <f>"20190304155150234"</f>
        <v>20190304155150234</v>
      </c>
      <c r="B4468" t="str">
        <f>"1551685910231824"</f>
        <v>1551685910231824</v>
      </c>
      <c r="C4468" t="s">
        <v>40</v>
      </c>
      <c r="D4468">
        <v>4.590954</v>
      </c>
      <c r="E4468">
        <v>0.52843309999999999</v>
      </c>
      <c r="F4468" t="s">
        <v>41</v>
      </c>
      <c r="G4468">
        <v>-385.74250000000001</v>
      </c>
      <c r="H4468" s="1">
        <v>-2.3107090000000002E-6</v>
      </c>
      <c r="I4468">
        <v>141.5026</v>
      </c>
      <c r="J4468">
        <v>-271.80880000000002</v>
      </c>
      <c r="K4468">
        <v>1.1105529999999999</v>
      </c>
      <c r="L4468">
        <v>141.59979999999999</v>
      </c>
      <c r="M4468">
        <v>-0.99992020000000004</v>
      </c>
      <c r="N4468">
        <v>-1.231003E-2</v>
      </c>
      <c r="O4468">
        <v>2.854082E-3</v>
      </c>
      <c r="P4468">
        <v>-0.98025720000000005</v>
      </c>
      <c r="Q4468">
        <v>0.1818264</v>
      </c>
      <c r="R4468">
        <v>-7.76868E-2</v>
      </c>
      <c r="S4468">
        <v>-3.0668329999999999</v>
      </c>
      <c r="T4468">
        <v>-2.9839870000000001E-2</v>
      </c>
      <c r="U4468">
        <v>-2.5939940000000001E-3</v>
      </c>
      <c r="V4468">
        <v>-8.0495419999999998E-2</v>
      </c>
      <c r="W4468">
        <v>0.19387180000000001</v>
      </c>
      <c r="X4468">
        <v>0.97771889999999995</v>
      </c>
      <c r="Y4468">
        <v>-3.6997100000000002E-3</v>
      </c>
      <c r="Z4468" s="1">
        <v>-3.3406009999999999E-5</v>
      </c>
      <c r="AA4468">
        <v>0.99999309999999997</v>
      </c>
      <c r="AB4468">
        <v>22</v>
      </c>
      <c r="AC4468">
        <v>-113.9337</v>
      </c>
      <c r="AD4468">
        <v>-1.1105553107089901</v>
      </c>
      <c r="AE4468">
        <v>-9.7199999999986603E-2</v>
      </c>
      <c r="AF4468">
        <v>-0.42236022379514498</v>
      </c>
      <c r="AG4468">
        <v>-1.1105553107089901</v>
      </c>
      <c r="AH4468">
        <v>113.92213455107201</v>
      </c>
      <c r="AI4468">
        <v>90.558519024609197</v>
      </c>
      <c r="AJ4468">
        <v>90.212420066379494</v>
      </c>
      <c r="AK4468">
        <v>113.92833037453499</v>
      </c>
      <c r="AL4468">
        <v>78.821175370639295</v>
      </c>
      <c r="AM4468">
        <v>94.706536358990604</v>
      </c>
      <c r="AN4468">
        <v>1.0000000174467101</v>
      </c>
    </row>
    <row r="4469" spans="1:40" x14ac:dyDescent="0.25">
      <c r="A4469" t="str">
        <f>"20190304155150257"</f>
        <v>20190304155150257</v>
      </c>
      <c r="B4469" t="str">
        <f>"1551685910251343"</f>
        <v>1551685910251343</v>
      </c>
      <c r="C4469" t="s">
        <v>40</v>
      </c>
      <c r="D4469">
        <v>4.4884089999999999</v>
      </c>
      <c r="E4469">
        <v>0.53020789999999995</v>
      </c>
      <c r="F4469" t="s">
        <v>41</v>
      </c>
      <c r="G4469">
        <v>-362.69850000000002</v>
      </c>
      <c r="H4469" s="1">
        <v>-3.61472E-6</v>
      </c>
      <c r="I4469">
        <v>141.4957</v>
      </c>
      <c r="J4469">
        <v>-272.0326</v>
      </c>
      <c r="K4469">
        <v>1.1105259999999999</v>
      </c>
      <c r="L4469">
        <v>141.60040000000001</v>
      </c>
      <c r="M4469">
        <v>-0.99992239999999999</v>
      </c>
      <c r="N4469">
        <v>-1.2157060000000001E-2</v>
      </c>
      <c r="O4469">
        <v>2.7880219999999998E-3</v>
      </c>
      <c r="P4469">
        <v>-0.9806646</v>
      </c>
      <c r="Q4469">
        <v>0.1795339</v>
      </c>
      <c r="R4469">
        <v>-7.7876230000000005E-2</v>
      </c>
      <c r="S4469">
        <v>-3.0671080000000002</v>
      </c>
      <c r="T4469">
        <v>-3.7476179999999998E-2</v>
      </c>
      <c r="U4469">
        <v>-3.5095209999999998E-3</v>
      </c>
      <c r="V4469">
        <v>-8.0621910000000005E-2</v>
      </c>
      <c r="W4469">
        <v>0.19143540000000001</v>
      </c>
      <c r="X4469">
        <v>0.97818839999999996</v>
      </c>
      <c r="Y4469">
        <v>-3.9318799999999996E-3</v>
      </c>
      <c r="Z4469" s="1">
        <v>-4.8092520000000002E-5</v>
      </c>
      <c r="AA4469">
        <v>0.99999229999999995</v>
      </c>
      <c r="AB4469">
        <v>22</v>
      </c>
      <c r="AC4469">
        <v>-90.665899999999993</v>
      </c>
      <c r="AD4469">
        <v>-1.1105296147199999</v>
      </c>
      <c r="AE4469">
        <v>-0.104700000000008</v>
      </c>
      <c r="AF4469">
        <v>-0.35744312494203001</v>
      </c>
      <c r="AG4469">
        <v>-1.1105296147199999</v>
      </c>
      <c r="AH4469">
        <v>90.651655375002207</v>
      </c>
      <c r="AI4469">
        <v>90.701862336530198</v>
      </c>
      <c r="AJ4469">
        <v>90.225918393364694</v>
      </c>
      <c r="AK4469">
        <v>90.659162051283602</v>
      </c>
      <c r="AL4469">
        <v>78.9634353640988</v>
      </c>
      <c r="AM4469">
        <v>94.711646541638302</v>
      </c>
      <c r="AN4469">
        <v>0.99999997531988305</v>
      </c>
    </row>
    <row r="4470" spans="1:40" x14ac:dyDescent="0.25">
      <c r="A4470" t="str">
        <f>"20190304155150270"</f>
        <v>20190304155150270</v>
      </c>
      <c r="B4470" t="str">
        <f>"1551685910261104"</f>
        <v>1551685910261104</v>
      </c>
      <c r="C4470" t="s">
        <v>40</v>
      </c>
      <c r="D4470">
        <v>4.4374719999999996</v>
      </c>
      <c r="E4470">
        <v>0.53045469999999995</v>
      </c>
      <c r="F4470" t="s">
        <v>41</v>
      </c>
      <c r="G4470">
        <v>-355.11020000000002</v>
      </c>
      <c r="H4470" s="1">
        <v>-2.679302E-6</v>
      </c>
      <c r="I4470">
        <v>141.86850000000001</v>
      </c>
      <c r="J4470">
        <v>-272.17110000000002</v>
      </c>
      <c r="K4470">
        <v>1.110514</v>
      </c>
      <c r="L4470">
        <v>141.60069999999999</v>
      </c>
      <c r="M4470">
        <v>-0.99992360000000002</v>
      </c>
      <c r="N4470">
        <v>-1.2062389999999999E-2</v>
      </c>
      <c r="O4470">
        <v>2.7468129999999999E-3</v>
      </c>
      <c r="P4470">
        <v>-0.98081039999999997</v>
      </c>
      <c r="Q4470">
        <v>0.17876909999999999</v>
      </c>
      <c r="R4470">
        <v>-7.7799889999999997E-2</v>
      </c>
      <c r="S4470">
        <v>-3.0674440000000001</v>
      </c>
      <c r="T4470">
        <v>-4.1003699999999997E-2</v>
      </c>
      <c r="U4470">
        <v>9.9029540000000003E-3</v>
      </c>
      <c r="V4470">
        <v>-8.0505419999999994E-2</v>
      </c>
      <c r="W4470">
        <v>0.19057930000000001</v>
      </c>
      <c r="X4470">
        <v>0.97836520000000005</v>
      </c>
      <c r="Y4470">
        <v>0</v>
      </c>
      <c r="Z4470">
        <v>0</v>
      </c>
      <c r="AA4470">
        <v>1</v>
      </c>
      <c r="AB4470">
        <v>22</v>
      </c>
      <c r="AC4470">
        <v>-82.939099999999996</v>
      </c>
      <c r="AD4470">
        <v>-1.110516679302</v>
      </c>
      <c r="AE4470">
        <v>0.26780000000002202</v>
      </c>
      <c r="AF4470">
        <v>3.9957081058303798E-2</v>
      </c>
      <c r="AG4470">
        <v>-1.110516679302</v>
      </c>
      <c r="AH4470">
        <v>82.924656150119006</v>
      </c>
      <c r="AI4470">
        <v>90.767251997829803</v>
      </c>
      <c r="AJ4470">
        <v>89.972392144442793</v>
      </c>
      <c r="AK4470">
        <v>82.932101393120405</v>
      </c>
      <c r="AL4470">
        <v>79.0134069093166</v>
      </c>
      <c r="AM4470">
        <v>94.704022903058402</v>
      </c>
      <c r="AN4470">
        <v>1.0000000284044499</v>
      </c>
    </row>
    <row r="4471" spans="1:40" x14ac:dyDescent="0.25">
      <c r="A4471" t="str">
        <f>"20190304155150290"</f>
        <v>20190304155150290</v>
      </c>
      <c r="B4471" t="str">
        <f>"1551685910281603"</f>
        <v>1551685910281603</v>
      </c>
      <c r="C4471" t="s">
        <v>40</v>
      </c>
      <c r="D4471">
        <v>4.6141620000000003</v>
      </c>
      <c r="E4471">
        <v>0.53023290000000001</v>
      </c>
      <c r="F4471" t="s">
        <v>41</v>
      </c>
      <c r="G4471">
        <v>-351.76170000000002</v>
      </c>
      <c r="H4471" s="1">
        <v>-4.0854400000000001E-6</v>
      </c>
      <c r="I4471">
        <v>141.92169999999999</v>
      </c>
      <c r="J4471">
        <v>-272.36970000000002</v>
      </c>
      <c r="K4471">
        <v>1.1104959999999999</v>
      </c>
      <c r="L4471">
        <v>141.60120000000001</v>
      </c>
      <c r="M4471">
        <v>-0.99992539999999996</v>
      </c>
      <c r="N4471">
        <v>-1.192445E-2</v>
      </c>
      <c r="O4471">
        <v>2.6868500000000002E-3</v>
      </c>
      <c r="P4471">
        <v>-0.98104250000000004</v>
      </c>
      <c r="Q4471">
        <v>0.17749110000000001</v>
      </c>
      <c r="R4471">
        <v>-7.7799740000000006E-2</v>
      </c>
      <c r="S4471">
        <v>-3.0674739999999998</v>
      </c>
      <c r="T4471">
        <v>-4.2800070000000003E-2</v>
      </c>
      <c r="U4471">
        <v>1.237488E-2</v>
      </c>
      <c r="V4471">
        <v>-8.0447519999999995E-2</v>
      </c>
      <c r="W4471">
        <v>0.1891697</v>
      </c>
      <c r="X4471">
        <v>0.9786435</v>
      </c>
      <c r="Y4471">
        <v>1.3469210000000001E-3</v>
      </c>
      <c r="Z4471" s="1">
        <v>1.198075E-5</v>
      </c>
      <c r="AA4471">
        <v>0.99999910000000003</v>
      </c>
      <c r="AB4471">
        <v>22</v>
      </c>
      <c r="AC4471">
        <v>-79.391999999999996</v>
      </c>
      <c r="AD4471">
        <v>-1.11050008544</v>
      </c>
      <c r="AE4471">
        <v>0.32049999999998102</v>
      </c>
      <c r="AF4471">
        <v>0.10714834004834101</v>
      </c>
      <c r="AG4471">
        <v>-1.11050008544</v>
      </c>
      <c r="AH4471">
        <v>79.377044579918802</v>
      </c>
      <c r="AI4471">
        <v>90.8015259294706</v>
      </c>
      <c r="AJ4471">
        <v>89.922658446528104</v>
      </c>
      <c r="AK4471">
        <v>79.3848845653186</v>
      </c>
      <c r="AL4471">
        <v>79.095667622001599</v>
      </c>
      <c r="AM4471">
        <v>94.699324153866499</v>
      </c>
      <c r="AN4471">
        <v>1.0000000394822399</v>
      </c>
    </row>
    <row r="4472" spans="1:40" x14ac:dyDescent="0.25">
      <c r="A4472" t="str">
        <f>"20190304155150313"</f>
        <v>20190304155150313</v>
      </c>
      <c r="B4472" t="str">
        <f>"1551685910301622"</f>
        <v>1551685910301622</v>
      </c>
      <c r="C4472" t="s">
        <v>40</v>
      </c>
      <c r="D4472">
        <v>4.6599459999999997</v>
      </c>
      <c r="E4472">
        <v>0.53016300000000005</v>
      </c>
      <c r="F4472" t="s">
        <v>41</v>
      </c>
      <c r="G4472">
        <v>-343.9821</v>
      </c>
      <c r="H4472" s="1">
        <v>-3.1588160000000002E-6</v>
      </c>
      <c r="I4472">
        <v>141.8519</v>
      </c>
      <c r="J4472">
        <v>-272.584</v>
      </c>
      <c r="K4472">
        <v>1.110476</v>
      </c>
      <c r="L4472">
        <v>141.60169999999999</v>
      </c>
      <c r="M4472">
        <v>-0.99992729999999996</v>
      </c>
      <c r="N4472">
        <v>-1.177838E-2</v>
      </c>
      <c r="O4472">
        <v>2.621562E-3</v>
      </c>
      <c r="P4472">
        <v>-0.98128870000000001</v>
      </c>
      <c r="Q4472">
        <v>0.17633299999999999</v>
      </c>
      <c r="R4472">
        <v>-7.7326290000000006E-2</v>
      </c>
      <c r="S4472">
        <v>-3.0674440000000001</v>
      </c>
      <c r="T4472">
        <v>-4.7567129999999999E-2</v>
      </c>
      <c r="U4472">
        <v>1.074219E-2</v>
      </c>
      <c r="V4472">
        <v>-7.9910599999999998E-2</v>
      </c>
      <c r="W4472">
        <v>0.18787110000000001</v>
      </c>
      <c r="X4472">
        <v>0.97893759999999996</v>
      </c>
      <c r="Y4472">
        <v>8.800708E-4</v>
      </c>
      <c r="Z4472" s="1">
        <v>2.235091E-6</v>
      </c>
      <c r="AA4472">
        <v>0.99999959999999999</v>
      </c>
      <c r="AB4472">
        <v>22</v>
      </c>
      <c r="AC4472">
        <v>-71.398099999999999</v>
      </c>
      <c r="AD4472">
        <v>-1.1104791588159999</v>
      </c>
      <c r="AE4472">
        <v>0.25020000000000597</v>
      </c>
      <c r="AF4472">
        <v>6.29963899831366E-2</v>
      </c>
      <c r="AG4472">
        <v>-1.1104791588159999</v>
      </c>
      <c r="AH4472">
        <v>71.381243207246399</v>
      </c>
      <c r="AI4472">
        <v>90.891279126465506</v>
      </c>
      <c r="AJ4472">
        <v>89.949434526896198</v>
      </c>
      <c r="AK4472">
        <v>71.389908350686198</v>
      </c>
      <c r="AL4472">
        <v>79.171430405631497</v>
      </c>
      <c r="AM4472">
        <v>94.666702932993502</v>
      </c>
      <c r="AN4472">
        <v>1.0000000394506601</v>
      </c>
    </row>
    <row r="4473" spans="1:40" x14ac:dyDescent="0.25">
      <c r="A4473" t="str">
        <f>"20190304155150333"</f>
        <v>20190304155150333</v>
      </c>
      <c r="B4473" t="str">
        <f>"1551685910330898"</f>
        <v>1551685910330898</v>
      </c>
      <c r="C4473" t="s">
        <v>40</v>
      </c>
      <c r="D4473">
        <v>4.6941699999999997</v>
      </c>
      <c r="E4473">
        <v>0.52988740000000001</v>
      </c>
      <c r="F4473" t="s">
        <v>41</v>
      </c>
      <c r="G4473">
        <v>-337.4676</v>
      </c>
      <c r="H4473" s="1">
        <v>-1.7764630000000001E-6</v>
      </c>
      <c r="I4473">
        <v>141.8673</v>
      </c>
      <c r="J4473">
        <v>-272.79349999999999</v>
      </c>
      <c r="K4473">
        <v>1.110466</v>
      </c>
      <c r="L4473">
        <v>141.60210000000001</v>
      </c>
      <c r="M4473">
        <v>-0.99992899999999996</v>
      </c>
      <c r="N4473">
        <v>-1.1642660000000001E-2</v>
      </c>
      <c r="O4473">
        <v>2.5573950000000001E-3</v>
      </c>
      <c r="P4473">
        <v>-0.98124020000000001</v>
      </c>
      <c r="Q4473">
        <v>0.17669019999999999</v>
      </c>
      <c r="R4473">
        <v>-7.7126189999999997E-2</v>
      </c>
      <c r="S4473">
        <v>-3.0676269999999999</v>
      </c>
      <c r="T4473">
        <v>-5.2502159999999999E-2</v>
      </c>
      <c r="U4473">
        <v>1.255798E-2</v>
      </c>
      <c r="V4473">
        <v>-7.9647109999999993E-2</v>
      </c>
      <c r="W4473">
        <v>0.1880955</v>
      </c>
      <c r="X4473">
        <v>0.97891589999999995</v>
      </c>
      <c r="Y4473">
        <v>1.5357789999999999E-3</v>
      </c>
      <c r="Z4473" s="1">
        <v>8.0920949999999996E-6</v>
      </c>
      <c r="AA4473">
        <v>0.99999879999999997</v>
      </c>
      <c r="AB4473">
        <v>22</v>
      </c>
      <c r="AC4473">
        <v>-64.674099999999996</v>
      </c>
      <c r="AD4473">
        <v>-1.110467776463</v>
      </c>
      <c r="AE4473">
        <v>0.265199999999993</v>
      </c>
      <c r="AF4473">
        <v>9.9761298880915894E-2</v>
      </c>
      <c r="AG4473">
        <v>-1.110467776463</v>
      </c>
      <c r="AH4473">
        <v>64.655505584354401</v>
      </c>
      <c r="AI4473">
        <v>90.983965487979901</v>
      </c>
      <c r="AJ4473">
        <v>89.9115945842983</v>
      </c>
      <c r="AK4473">
        <v>64.665118057325103</v>
      </c>
      <c r="AL4473">
        <v>79.158338977956106</v>
      </c>
      <c r="AM4473">
        <v>94.651485654227898</v>
      </c>
      <c r="AN4473">
        <v>0.99999995926220497</v>
      </c>
    </row>
    <row r="4474" spans="1:40" x14ac:dyDescent="0.25">
      <c r="A4474" t="str">
        <f>"20190304155150358"</f>
        <v>20190304155150358</v>
      </c>
      <c r="B4474" t="str">
        <f>"1551685910351395"</f>
        <v>1551685910351395</v>
      </c>
      <c r="C4474" t="s">
        <v>40</v>
      </c>
      <c r="D4474">
        <v>4.6311179999999998</v>
      </c>
      <c r="E4474">
        <v>0.52972980000000003</v>
      </c>
      <c r="F4474" t="s">
        <v>41</v>
      </c>
      <c r="G4474">
        <v>-338.88959999999997</v>
      </c>
      <c r="H4474" s="1">
        <v>-1.0976909999999901E-6</v>
      </c>
      <c r="I4474">
        <v>141.8425</v>
      </c>
      <c r="J4474">
        <v>-273.02980000000002</v>
      </c>
      <c r="K4474">
        <v>1.1104579999999999</v>
      </c>
      <c r="L4474">
        <v>141.6027</v>
      </c>
      <c r="M4474">
        <v>-0.99993089999999996</v>
      </c>
      <c r="N4474">
        <v>-1.149965E-2</v>
      </c>
      <c r="O4474">
        <v>2.4846759999999999E-3</v>
      </c>
      <c r="P4474">
        <v>-0.9812495</v>
      </c>
      <c r="Q4474">
        <v>0.1766943</v>
      </c>
      <c r="R4474">
        <v>-7.69986E-2</v>
      </c>
      <c r="S4474">
        <v>-3.0675349999999999</v>
      </c>
      <c r="T4474">
        <v>-5.1537039999999999E-2</v>
      </c>
      <c r="U4474">
        <v>1.115417E-2</v>
      </c>
      <c r="V4474">
        <v>-7.9448030000000003E-2</v>
      </c>
      <c r="W4474">
        <v>0.18795970000000001</v>
      </c>
      <c r="X4474">
        <v>0.9789582</v>
      </c>
      <c r="Y4474">
        <v>1.1511029999999999E-3</v>
      </c>
      <c r="Z4474" s="1">
        <v>3.1204639999999999E-6</v>
      </c>
      <c r="AA4474">
        <v>0.99999930000000004</v>
      </c>
      <c r="AB4474">
        <v>22</v>
      </c>
      <c r="AC4474">
        <v>-65.859799999999893</v>
      </c>
      <c r="AD4474">
        <v>-1.110459097691</v>
      </c>
      <c r="AE4474">
        <v>0.23980000000000201</v>
      </c>
      <c r="AF4474">
        <v>7.6126550298261195E-2</v>
      </c>
      <c r="AG4474">
        <v>-1.110459097691</v>
      </c>
      <c r="AH4474">
        <v>65.8414745984457</v>
      </c>
      <c r="AI4474">
        <v>90.966238162891401</v>
      </c>
      <c r="AJ4474">
        <v>89.933754094604197</v>
      </c>
      <c r="AK4474">
        <v>65.850882241296304</v>
      </c>
      <c r="AL4474">
        <v>79.166261467949397</v>
      </c>
      <c r="AM4474">
        <v>94.639710362636393</v>
      </c>
      <c r="AN4474">
        <v>0.99999999782110505</v>
      </c>
    </row>
    <row r="4475" spans="1:40" x14ac:dyDescent="0.25">
      <c r="A4475" t="str">
        <f>"20190304155150382"</f>
        <v>20190304155150382</v>
      </c>
      <c r="B4475" t="str">
        <f>"1551685910370915"</f>
        <v>1551685910370915</v>
      </c>
      <c r="C4475" t="s">
        <v>40</v>
      </c>
      <c r="D4475">
        <v>4.7662519999999997</v>
      </c>
      <c r="E4475">
        <v>0.52984799999999999</v>
      </c>
      <c r="F4475" t="s">
        <v>41</v>
      </c>
      <c r="G4475">
        <v>-338.5437</v>
      </c>
      <c r="H4475" s="1">
        <v>-1.257927E-6</v>
      </c>
      <c r="I4475">
        <v>141.83009999999999</v>
      </c>
      <c r="J4475">
        <v>-273.26740000000001</v>
      </c>
      <c r="K4475">
        <v>1.1104459999999901</v>
      </c>
      <c r="L4475">
        <v>141.60319999999999</v>
      </c>
      <c r="M4475">
        <v>-0.99993270000000001</v>
      </c>
      <c r="N4475">
        <v>-1.136095E-2</v>
      </c>
      <c r="O4475">
        <v>2.411683E-3</v>
      </c>
      <c r="P4475">
        <v>-0.98118839999999996</v>
      </c>
      <c r="Q4475">
        <v>0.17729529999999999</v>
      </c>
      <c r="R4475">
        <v>-7.6394660000000003E-2</v>
      </c>
      <c r="S4475">
        <v>-3.0675659999999998</v>
      </c>
      <c r="T4475">
        <v>-5.1995159999999999E-2</v>
      </c>
      <c r="U4475">
        <v>1.0650629999999999E-2</v>
      </c>
      <c r="V4475">
        <v>-7.8772889999999998E-2</v>
      </c>
      <c r="W4475">
        <v>0.18842419999999999</v>
      </c>
      <c r="X4475">
        <v>0.9789234</v>
      </c>
      <c r="Y4475">
        <v>1.0599439999999999E-3</v>
      </c>
      <c r="Z4475" s="1">
        <v>1.528651E-6</v>
      </c>
      <c r="AA4475">
        <v>0.99999950000000004</v>
      </c>
      <c r="AB4475">
        <v>22</v>
      </c>
      <c r="AC4475">
        <v>-65.276299999999907</v>
      </c>
      <c r="AD4475">
        <v>-1.11044725792699</v>
      </c>
      <c r="AE4475">
        <v>0.22689999999999999</v>
      </c>
      <c r="AF4475">
        <v>6.9443363455455404E-2</v>
      </c>
      <c r="AG4475">
        <v>-1.11044725792699</v>
      </c>
      <c r="AH4475">
        <v>65.257772616032298</v>
      </c>
      <c r="AI4475">
        <v>90.9748687837956</v>
      </c>
      <c r="AJ4475">
        <v>89.939029329690001</v>
      </c>
      <c r="AK4475">
        <v>65.267256739494897</v>
      </c>
      <c r="AL4475">
        <v>79.139162708617704</v>
      </c>
      <c r="AM4475">
        <v>94.600615452644504</v>
      </c>
      <c r="AN4475">
        <v>0.999999935206074</v>
      </c>
    </row>
    <row r="4476" spans="1:40" x14ac:dyDescent="0.25">
      <c r="A4476" t="str">
        <f>"20190304155150404"</f>
        <v>20190304155150404</v>
      </c>
      <c r="B4476" t="str">
        <f>"1551685910401171"</f>
        <v>1551685910401171</v>
      </c>
      <c r="C4476" t="s">
        <v>40</v>
      </c>
      <c r="D4476">
        <v>4.6479350000000004</v>
      </c>
      <c r="E4476">
        <v>0.5311844</v>
      </c>
      <c r="F4476" t="s">
        <v>41</v>
      </c>
      <c r="G4476">
        <v>-345.63159999999999</v>
      </c>
      <c r="H4476" s="1">
        <v>-2.4759779999999999E-6</v>
      </c>
      <c r="I4476">
        <v>141.9451</v>
      </c>
      <c r="J4476">
        <v>-273.48950000000002</v>
      </c>
      <c r="K4476">
        <v>1.1104320000000001</v>
      </c>
      <c r="L4476">
        <v>141.6036</v>
      </c>
      <c r="M4476">
        <v>-0.9999342</v>
      </c>
      <c r="N4476">
        <v>-1.123599E-2</v>
      </c>
      <c r="O4476">
        <v>2.3437279999999998E-3</v>
      </c>
      <c r="P4476">
        <v>-0.98100509999999996</v>
      </c>
      <c r="Q4476">
        <v>0.17877960000000001</v>
      </c>
      <c r="R4476">
        <v>-7.5280600000000003E-2</v>
      </c>
      <c r="S4476">
        <v>-3.0671689999999998</v>
      </c>
      <c r="T4476">
        <v>-4.7066570000000002E-2</v>
      </c>
      <c r="U4476">
        <v>1.4495849999999999E-2</v>
      </c>
      <c r="V4476">
        <v>-7.7591690000000005E-2</v>
      </c>
      <c r="W4476">
        <v>0.18978400000000001</v>
      </c>
      <c r="X4476">
        <v>0.97875509999999999</v>
      </c>
      <c r="Y4476">
        <v>2.381752E-3</v>
      </c>
      <c r="Z4476" s="1">
        <v>2.2027349999999998E-5</v>
      </c>
      <c r="AA4476">
        <v>0.99999709999999997</v>
      </c>
      <c r="AB4476">
        <v>22</v>
      </c>
      <c r="AC4476">
        <v>-72.1420999999999</v>
      </c>
      <c r="AD4476">
        <v>-1.1104344759779901</v>
      </c>
      <c r="AE4476">
        <v>0.34149999999999597</v>
      </c>
      <c r="AF4476">
        <v>0.17236610369459099</v>
      </c>
      <c r="AG4476">
        <v>-1.1104344759779901</v>
      </c>
      <c r="AH4476">
        <v>72.125614390904005</v>
      </c>
      <c r="AI4476">
        <v>90.882044494228793</v>
      </c>
      <c r="AJ4476">
        <v>89.863074560190398</v>
      </c>
      <c r="AK4476">
        <v>72.134367856553098</v>
      </c>
      <c r="AL4476">
        <v>79.059820946754698</v>
      </c>
      <c r="AM4476">
        <v>94.532694770639907</v>
      </c>
      <c r="AN4476">
        <v>0.99999999139453299</v>
      </c>
    </row>
    <row r="4477" spans="1:40" x14ac:dyDescent="0.25">
      <c r="A4477" t="str">
        <f>"20190304155150426"</f>
        <v>20190304155150426</v>
      </c>
      <c r="B4477" t="str">
        <f>"1551685910421666"</f>
        <v>1551685910421666</v>
      </c>
      <c r="C4477" t="s">
        <v>40</v>
      </c>
      <c r="D4477">
        <v>4.8194749999999997</v>
      </c>
      <c r="E4477">
        <v>0.53302479999999997</v>
      </c>
      <c r="F4477" t="s">
        <v>41</v>
      </c>
      <c r="G4477">
        <v>-366.7176</v>
      </c>
      <c r="H4477" s="1">
        <v>-2.1517550000000001E-6</v>
      </c>
      <c r="I4477">
        <v>142.47739999999999</v>
      </c>
      <c r="J4477">
        <v>-273.70249999999999</v>
      </c>
      <c r="K4477">
        <v>1.110422</v>
      </c>
      <c r="L4477">
        <v>141.60399999999899</v>
      </c>
      <c r="M4477">
        <v>-0.99993560000000004</v>
      </c>
      <c r="N4477">
        <v>-1.1122470000000001E-2</v>
      </c>
      <c r="O4477">
        <v>2.2785029999999999E-3</v>
      </c>
      <c r="P4477">
        <v>-0.98092469999999998</v>
      </c>
      <c r="Q4477">
        <v>0.17948819999999999</v>
      </c>
      <c r="R4477">
        <v>-7.4638239999999995E-2</v>
      </c>
      <c r="S4477">
        <v>-3.0669559999999998</v>
      </c>
      <c r="T4477">
        <v>-3.6530380000000001E-2</v>
      </c>
      <c r="U4477">
        <v>2.8747559999999998E-2</v>
      </c>
      <c r="V4477">
        <v>-7.6885369999999995E-2</v>
      </c>
      <c r="W4477">
        <v>0.19038089999999999</v>
      </c>
      <c r="X4477">
        <v>0.97869490000000003</v>
      </c>
      <c r="Y4477">
        <v>7.0933690000000004E-3</v>
      </c>
      <c r="Z4477" s="1">
        <v>7.9900000000000004E-5</v>
      </c>
      <c r="AA4477">
        <v>0.99997480000000005</v>
      </c>
      <c r="AB4477">
        <v>22</v>
      </c>
      <c r="AC4477">
        <v>-93.015100000000004</v>
      </c>
      <c r="AD4477">
        <v>-1.110424151755</v>
      </c>
      <c r="AE4477">
        <v>0.87340000000000295</v>
      </c>
      <c r="AF4477">
        <v>0.66135520193467001</v>
      </c>
      <c r="AG4477">
        <v>-1.110424151755</v>
      </c>
      <c r="AH4477">
        <v>93.003595136532297</v>
      </c>
      <c r="AI4477">
        <v>90.684037923429401</v>
      </c>
      <c r="AJ4477">
        <v>89.592572490558595</v>
      </c>
      <c r="AK4477">
        <v>93.012575175725203</v>
      </c>
      <c r="AL4477">
        <v>79.024985831450394</v>
      </c>
      <c r="AM4477">
        <v>94.491878244305397</v>
      </c>
      <c r="AN4477">
        <v>0.999999977245428</v>
      </c>
    </row>
    <row r="4478" spans="1:40" x14ac:dyDescent="0.25">
      <c r="A4478" t="str">
        <f>"20190304155150447"</f>
        <v>20190304155150447</v>
      </c>
      <c r="B4478" t="str">
        <f>"1551685910441186"</f>
        <v>1551685910441186</v>
      </c>
      <c r="C4478" t="s">
        <v>40</v>
      </c>
      <c r="D4478">
        <v>4.9039630000000001</v>
      </c>
      <c r="E4478">
        <v>0.53495090000000001</v>
      </c>
      <c r="F4478" t="s">
        <v>41</v>
      </c>
      <c r="G4478">
        <v>-368.6825</v>
      </c>
      <c r="H4478" s="1">
        <v>-1.450787E-6</v>
      </c>
      <c r="I4478">
        <v>143.011</v>
      </c>
      <c r="J4478">
        <v>-273.91329999999999</v>
      </c>
      <c r="K4478">
        <v>1.1104210000000001</v>
      </c>
      <c r="L4478">
        <v>141.6045</v>
      </c>
      <c r="M4478">
        <v>-0.99993710000000002</v>
      </c>
      <c r="N4478">
        <v>-1.101312E-2</v>
      </c>
      <c r="O4478">
        <v>2.214143E-3</v>
      </c>
      <c r="P4478">
        <v>-0.98093799999999998</v>
      </c>
      <c r="Q4478">
        <v>0.17962629999999999</v>
      </c>
      <c r="R4478">
        <v>-7.4132219999999999E-2</v>
      </c>
      <c r="S4478">
        <v>-3.0683590000000001</v>
      </c>
      <c r="T4478">
        <v>-3.5872580000000001E-2</v>
      </c>
      <c r="U4478">
        <v>4.5455929999999999E-2</v>
      </c>
      <c r="V4478">
        <v>-7.6316469999999997E-2</v>
      </c>
      <c r="W4478">
        <v>0.19041169999999999</v>
      </c>
      <c r="X4478">
        <v>0.97873339999999998</v>
      </c>
      <c r="Y4478">
        <v>1.259704E-2</v>
      </c>
      <c r="Z4478">
        <v>1.415078E-4</v>
      </c>
      <c r="AA4478">
        <v>0.9999207</v>
      </c>
      <c r="AB4478">
        <v>22</v>
      </c>
      <c r="AC4478">
        <v>-94.769199999999998</v>
      </c>
      <c r="AD4478">
        <v>-1.110422450787</v>
      </c>
      <c r="AE4478">
        <v>1.4064999999999901</v>
      </c>
      <c r="AF4478">
        <v>1.19648707556983</v>
      </c>
      <c r="AG4478">
        <v>-1.110422450787</v>
      </c>
      <c r="AH4478">
        <v>94.759075349962401</v>
      </c>
      <c r="AI4478">
        <v>90.671329234402606</v>
      </c>
      <c r="AJ4478">
        <v>89.276586262994499</v>
      </c>
      <c r="AK4478">
        <v>94.773134276128403</v>
      </c>
      <c r="AL4478">
        <v>79.023187865612101</v>
      </c>
      <c r="AM4478">
        <v>94.458601204594203</v>
      </c>
      <c r="AN4478">
        <v>0.99999994368285305</v>
      </c>
    </row>
    <row r="4479" spans="1:40" x14ac:dyDescent="0.25">
      <c r="A4479" t="str">
        <f>"20190304155150469"</f>
        <v>20190304155150469</v>
      </c>
      <c r="B4479" t="str">
        <f>"1551685910461686"</f>
        <v>1551685910461686</v>
      </c>
      <c r="C4479" t="s">
        <v>40</v>
      </c>
      <c r="D4479">
        <v>4.9930370000000002</v>
      </c>
      <c r="E4479">
        <v>0.53644539999999996</v>
      </c>
      <c r="F4479" t="s">
        <v>41</v>
      </c>
      <c r="G4479">
        <v>-363.69</v>
      </c>
      <c r="H4479" s="1">
        <v>-3.695981E-6</v>
      </c>
      <c r="I4479">
        <v>143.4254</v>
      </c>
      <c r="J4479">
        <v>-274.13869999999997</v>
      </c>
      <c r="K4479">
        <v>1.110414</v>
      </c>
      <c r="L4479">
        <v>141.60489999999999</v>
      </c>
      <c r="M4479">
        <v>-0.99993840000000001</v>
      </c>
      <c r="N4479">
        <v>-1.090206E-2</v>
      </c>
      <c r="O4479">
        <v>2.1450169999999999E-3</v>
      </c>
      <c r="P4479">
        <v>-0.98092599999999996</v>
      </c>
      <c r="Q4479">
        <v>0.1796547</v>
      </c>
      <c r="R4479">
        <v>-7.4220330000000001E-2</v>
      </c>
      <c r="S4479">
        <v>-3.0699160000000001</v>
      </c>
      <c r="T4479">
        <v>-3.7971020000000001E-2</v>
      </c>
      <c r="U4479">
        <v>6.2271119999999999E-2</v>
      </c>
      <c r="V4479">
        <v>-7.6336810000000005E-2</v>
      </c>
      <c r="W4479">
        <v>0.19033169999999999</v>
      </c>
      <c r="X4479">
        <v>0.97874740000000005</v>
      </c>
      <c r="Y4479">
        <v>1.8132780000000001E-2</v>
      </c>
      <c r="Z4479">
        <v>2.0784279999999999E-4</v>
      </c>
      <c r="AA4479">
        <v>0.99983560000000005</v>
      </c>
      <c r="AB4479">
        <v>22</v>
      </c>
      <c r="AC4479">
        <v>-89.551299999999998</v>
      </c>
      <c r="AD4479">
        <v>-1.1104176959809999</v>
      </c>
      <c r="AE4479">
        <v>1.8205</v>
      </c>
      <c r="AF4479">
        <v>1.62814512717893</v>
      </c>
      <c r="AG4479">
        <v>-1.1104176959809999</v>
      </c>
      <c r="AH4479">
        <v>89.541237476742197</v>
      </c>
      <c r="AI4479">
        <v>90.710381882789306</v>
      </c>
      <c r="AJ4479">
        <v>88.958294882791606</v>
      </c>
      <c r="AK4479">
        <v>89.562922534277902</v>
      </c>
      <c r="AL4479">
        <v>79.027857194400397</v>
      </c>
      <c r="AM4479">
        <v>94.459721190097497</v>
      </c>
      <c r="AN4479">
        <v>0.99999996879631203</v>
      </c>
    </row>
    <row r="4480" spans="1:40" x14ac:dyDescent="0.25">
      <c r="A4480" t="str">
        <f>"20190304155150490"</f>
        <v>20190304155150490</v>
      </c>
      <c r="B4480" t="str">
        <f>"1551685910481202"</f>
        <v>1551685910481202</v>
      </c>
      <c r="C4480" t="s">
        <v>40</v>
      </c>
      <c r="D4480">
        <v>4.8828659999999999</v>
      </c>
      <c r="E4480">
        <v>0.53770260000000003</v>
      </c>
      <c r="F4480" t="s">
        <v>41</v>
      </c>
      <c r="G4480">
        <v>-358.084</v>
      </c>
      <c r="H4480" s="1">
        <v>-1.8704389999999999E-6</v>
      </c>
      <c r="I4480">
        <v>143.6233</v>
      </c>
      <c r="J4480">
        <v>-274.3596</v>
      </c>
      <c r="K4480">
        <v>1.110401</v>
      </c>
      <c r="L4480">
        <v>141.6053</v>
      </c>
      <c r="M4480">
        <v>-0.99993960000000004</v>
      </c>
      <c r="N4480">
        <v>-1.080383E-2</v>
      </c>
      <c r="O4480">
        <v>2.0768280000000002E-3</v>
      </c>
      <c r="P4480">
        <v>-0.98091240000000002</v>
      </c>
      <c r="Q4480">
        <v>0.17989669999999999</v>
      </c>
      <c r="R4480">
        <v>-7.3813729999999994E-2</v>
      </c>
      <c r="S4480">
        <v>-3.0713499999999998</v>
      </c>
      <c r="T4480">
        <v>-4.0627360000000001E-2</v>
      </c>
      <c r="U4480">
        <v>7.3852539999999994E-2</v>
      </c>
      <c r="V4480">
        <v>-7.5863239999999998E-2</v>
      </c>
      <c r="W4480">
        <v>0.1904768</v>
      </c>
      <c r="X4480">
        <v>0.97875599999999996</v>
      </c>
      <c r="Y4480">
        <v>2.1958800000000001E-2</v>
      </c>
      <c r="Z4480">
        <v>2.5882450000000001E-4</v>
      </c>
      <c r="AA4480">
        <v>0.99975879999999995</v>
      </c>
      <c r="AB4480">
        <v>22</v>
      </c>
      <c r="AC4480">
        <v>-83.724400000000003</v>
      </c>
      <c r="AD4480">
        <v>-1.1104028704390001</v>
      </c>
      <c r="AE4480">
        <v>2.0179999999999998</v>
      </c>
      <c r="AF4480">
        <v>1.84378021516864</v>
      </c>
      <c r="AG4480">
        <v>-1.1104028704390001</v>
      </c>
      <c r="AH4480">
        <v>83.7136943093345</v>
      </c>
      <c r="AI4480">
        <v>90.759759139863704</v>
      </c>
      <c r="AJ4480">
        <v>88.738273963004303</v>
      </c>
      <c r="AK4480">
        <v>83.741358568709799</v>
      </c>
      <c r="AL4480">
        <v>79.019388720333893</v>
      </c>
      <c r="AM4480">
        <v>94.432126248421795</v>
      </c>
      <c r="AN4480">
        <v>0.99999997502876803</v>
      </c>
    </row>
    <row r="4481" spans="1:40" x14ac:dyDescent="0.25">
      <c r="A4481" t="str">
        <f>"20190304155150513"</f>
        <v>20190304155150513</v>
      </c>
      <c r="B4481" t="str">
        <f>"1551685910501698"</f>
        <v>1551685910501698</v>
      </c>
      <c r="C4481" t="s">
        <v>40</v>
      </c>
      <c r="D4481">
        <v>4.9434319999999996</v>
      </c>
      <c r="E4481">
        <v>0.53887799999999997</v>
      </c>
      <c r="F4481" t="s">
        <v>41</v>
      </c>
      <c r="G4481">
        <v>-354.57580000000002</v>
      </c>
      <c r="H4481" s="1">
        <v>-3.4315059999999998E-6</v>
      </c>
      <c r="I4481">
        <v>143.83410000000001</v>
      </c>
      <c r="J4481">
        <v>-274.5795</v>
      </c>
      <c r="K4481">
        <v>1.1103909999999999</v>
      </c>
      <c r="L4481">
        <v>141.60570000000001</v>
      </c>
      <c r="M4481">
        <v>-0.99994059999999996</v>
      </c>
      <c r="N4481">
        <v>-1.07177E-2</v>
      </c>
      <c r="O4481">
        <v>2.0089249999999999E-3</v>
      </c>
      <c r="P4481">
        <v>-0.9809291</v>
      </c>
      <c r="Q4481">
        <v>0.17968190000000001</v>
      </c>
      <c r="R4481">
        <v>-7.4115440000000005E-2</v>
      </c>
      <c r="S4481">
        <v>-3.07254</v>
      </c>
      <c r="T4481">
        <v>-4.2532090000000002E-2</v>
      </c>
      <c r="U4481">
        <v>8.5372920000000005E-2</v>
      </c>
      <c r="V4481">
        <v>-7.6098760000000001E-2</v>
      </c>
      <c r="W4481">
        <v>0.1901786</v>
      </c>
      <c r="X4481">
        <v>0.97879570000000005</v>
      </c>
      <c r="Y4481">
        <v>2.5762380000000001E-2</v>
      </c>
      <c r="Z4481">
        <v>3.1009130000000002E-4</v>
      </c>
      <c r="AA4481">
        <v>0.99966809999999995</v>
      </c>
      <c r="AB4481">
        <v>22</v>
      </c>
      <c r="AC4481">
        <v>-79.996300000000005</v>
      </c>
      <c r="AD4481">
        <v>-1.1103944315059999</v>
      </c>
      <c r="AE4481">
        <v>2.2283999999999899</v>
      </c>
      <c r="AF4481">
        <v>2.06728171871036</v>
      </c>
      <c r="AG4481">
        <v>-1.1103944315059999</v>
      </c>
      <c r="AH4481">
        <v>79.985216677186699</v>
      </c>
      <c r="AI4481">
        <v>90.795091839812201</v>
      </c>
      <c r="AJ4481">
        <v>88.519474488743896</v>
      </c>
      <c r="AK4481">
        <v>80.019632068602704</v>
      </c>
      <c r="AL4481">
        <v>79.036792415466607</v>
      </c>
      <c r="AM4481">
        <v>94.445651255295004</v>
      </c>
      <c r="AN4481">
        <v>0.999999971754993</v>
      </c>
    </row>
    <row r="4482" spans="1:40" x14ac:dyDescent="0.25">
      <c r="A4482" t="str">
        <f>"20190304155150535"</f>
        <v>20190304155150535</v>
      </c>
      <c r="B4482" t="str">
        <f>"1551685910530979"</f>
        <v>1551685910530979</v>
      </c>
      <c r="C4482" t="s">
        <v>40</v>
      </c>
      <c r="D4482">
        <v>4.945773</v>
      </c>
      <c r="E4482">
        <v>0.54022049999999999</v>
      </c>
      <c r="F4482" t="s">
        <v>41</v>
      </c>
      <c r="G4482">
        <v>-349.25740000000002</v>
      </c>
      <c r="H4482" s="1">
        <v>-1.4383709999999999E-6</v>
      </c>
      <c r="I4482">
        <v>143.8914</v>
      </c>
      <c r="J4482">
        <v>-274.80309999999997</v>
      </c>
      <c r="K4482">
        <v>1.110384</v>
      </c>
      <c r="L4482">
        <v>141.60599999999999</v>
      </c>
      <c r="M4482">
        <v>-0.99994150000000004</v>
      </c>
      <c r="N4482">
        <v>-1.0639880000000001E-2</v>
      </c>
      <c r="O4482">
        <v>1.939425E-3</v>
      </c>
      <c r="P4482">
        <v>-0.98096879999999997</v>
      </c>
      <c r="Q4482">
        <v>0.17933540000000001</v>
      </c>
      <c r="R4482">
        <v>-7.4426039999999999E-2</v>
      </c>
      <c r="S4482">
        <v>-3.0737610000000002</v>
      </c>
      <c r="T4482">
        <v>-4.5704010000000003E-2</v>
      </c>
      <c r="U4482">
        <v>9.408569E-2</v>
      </c>
      <c r="V4482">
        <v>-7.6341290000000006E-2</v>
      </c>
      <c r="W4482">
        <v>0.18975590000000001</v>
      </c>
      <c r="X4482">
        <v>0.97885889999999998</v>
      </c>
      <c r="Y4482">
        <v>2.8650889999999998E-2</v>
      </c>
      <c r="Z4482">
        <v>3.572219E-4</v>
      </c>
      <c r="AA4482">
        <v>0.99958939999999996</v>
      </c>
      <c r="AB4482">
        <v>22</v>
      </c>
      <c r="AC4482">
        <v>-74.454300000000003</v>
      </c>
      <c r="AD4482">
        <v>-1.1103854383709999</v>
      </c>
      <c r="AE4482">
        <v>2.2854000000000099</v>
      </c>
      <c r="AF4482">
        <v>2.1405133560468199</v>
      </c>
      <c r="AG4482">
        <v>-1.1103854383709999</v>
      </c>
      <c r="AH4482">
        <v>74.442050980962193</v>
      </c>
      <c r="AI4482">
        <v>90.8542134758885</v>
      </c>
      <c r="AJ4482">
        <v>88.3529658802874</v>
      </c>
      <c r="AK4482">
        <v>74.481096309743805</v>
      </c>
      <c r="AL4482">
        <v>79.061461073988198</v>
      </c>
      <c r="AM4482">
        <v>94.459475884173003</v>
      </c>
      <c r="AN4482">
        <v>1.0000000201264401</v>
      </c>
    </row>
    <row r="4483" spans="1:40" x14ac:dyDescent="0.25">
      <c r="A4483" t="str">
        <f>"20190304155150558"</f>
        <v>20190304155150558</v>
      </c>
      <c r="B4483" t="str">
        <f>"1551685910551475"</f>
        <v>1551685910551475</v>
      </c>
      <c r="C4483" t="s">
        <v>40</v>
      </c>
      <c r="D4483">
        <v>4.9217490000000002</v>
      </c>
      <c r="E4483">
        <v>0.54086889999999999</v>
      </c>
      <c r="F4483" t="s">
        <v>41</v>
      </c>
      <c r="G4483">
        <v>-342.5865</v>
      </c>
      <c r="H4483" s="1">
        <v>-4.1561029999999998E-6</v>
      </c>
      <c r="I4483">
        <v>143.9023</v>
      </c>
      <c r="J4483">
        <v>-275.03710000000001</v>
      </c>
      <c r="K4483">
        <v>1.1103780000000001</v>
      </c>
      <c r="L4483">
        <v>141.60640000000001</v>
      </c>
      <c r="M4483">
        <v>-0.99994249999999996</v>
      </c>
      <c r="N4483">
        <v>-1.0567440000000001E-2</v>
      </c>
      <c r="O4483">
        <v>1.866557E-3</v>
      </c>
      <c r="P4483">
        <v>-0.98094579999999998</v>
      </c>
      <c r="Q4483">
        <v>0.17941509999999999</v>
      </c>
      <c r="R4483">
        <v>-7.4537870000000006E-2</v>
      </c>
      <c r="S4483">
        <v>-3.0753170000000001</v>
      </c>
      <c r="T4483">
        <v>-5.0378079999999999E-2</v>
      </c>
      <c r="U4483">
        <v>0.104187</v>
      </c>
      <c r="V4483">
        <v>-7.6381770000000002E-2</v>
      </c>
      <c r="W4483">
        <v>0.1897643</v>
      </c>
      <c r="X4483">
        <v>0.97885409999999995</v>
      </c>
      <c r="Y4483">
        <v>3.1986359999999998E-2</v>
      </c>
      <c r="Z4483">
        <v>4.2013080000000001E-4</v>
      </c>
      <c r="AA4483">
        <v>0.99948820000000005</v>
      </c>
      <c r="AB4483">
        <v>22</v>
      </c>
      <c r="AC4483">
        <v>-67.549399999999906</v>
      </c>
      <c r="AD4483">
        <v>-1.1103821561030001</v>
      </c>
      <c r="AE4483">
        <v>2.2958999999999801</v>
      </c>
      <c r="AF4483">
        <v>2.1692186950543801</v>
      </c>
      <c r="AG4483">
        <v>-1.1103821561030001</v>
      </c>
      <c r="AH4483">
        <v>67.535340291670593</v>
      </c>
      <c r="AI4483">
        <v>90.941458140271806</v>
      </c>
      <c r="AJ4483">
        <v>88.160305989088101</v>
      </c>
      <c r="AK4483">
        <v>67.579291551416205</v>
      </c>
      <c r="AL4483">
        <v>79.060970734397898</v>
      </c>
      <c r="AM4483">
        <v>94.461852768346205</v>
      </c>
      <c r="AN4483">
        <v>1.00000000671481</v>
      </c>
    </row>
    <row r="4484" spans="1:40" x14ac:dyDescent="0.25">
      <c r="A4484" t="str">
        <f>"20190304155150580"</f>
        <v>20190304155150580</v>
      </c>
      <c r="B4484" t="str">
        <f>"1551685910570994"</f>
        <v>1551685910570994</v>
      </c>
      <c r="C4484" t="s">
        <v>40</v>
      </c>
      <c r="D4484">
        <v>4.9610099999999999</v>
      </c>
      <c r="E4484">
        <v>0.54157449999999996</v>
      </c>
      <c r="F4484" t="s">
        <v>41</v>
      </c>
      <c r="G4484">
        <v>-340.5403</v>
      </c>
      <c r="H4484" s="1">
        <v>-4.8576459999999999E-6</v>
      </c>
      <c r="I4484">
        <v>143.93180000000001</v>
      </c>
      <c r="J4484">
        <v>-275.26139999999998</v>
      </c>
      <c r="K4484">
        <v>1.110371</v>
      </c>
      <c r="L4484">
        <v>141.60669999999999</v>
      </c>
      <c r="M4484">
        <v>-0.99994329999999998</v>
      </c>
      <c r="N4484">
        <v>-1.0506339999999999E-2</v>
      </c>
      <c r="O4484">
        <v>1.7966670000000001E-3</v>
      </c>
      <c r="P4484">
        <v>-0.98089530000000003</v>
      </c>
      <c r="Q4484">
        <v>0.1796972</v>
      </c>
      <c r="R4484">
        <v>-7.4522519999999995E-2</v>
      </c>
      <c r="S4484">
        <v>-3.076111</v>
      </c>
      <c r="T4484">
        <v>-5.2144999999999997E-2</v>
      </c>
      <c r="U4484">
        <v>0.1092072</v>
      </c>
      <c r="V4484">
        <v>-7.6297680000000007E-2</v>
      </c>
      <c r="W4484">
        <v>0.18998619999999999</v>
      </c>
      <c r="X4484">
        <v>0.97881759999999995</v>
      </c>
      <c r="Y4484">
        <v>3.3675869999999997E-2</v>
      </c>
      <c r="Z4484">
        <v>4.5073200000000002E-4</v>
      </c>
      <c r="AA4484">
        <v>0.99943269999999995</v>
      </c>
      <c r="AB4484">
        <v>23</v>
      </c>
      <c r="AC4484">
        <v>-65.278899999999993</v>
      </c>
      <c r="AD4484">
        <v>-1.1103758576460001</v>
      </c>
      <c r="AE4484">
        <v>2.3251000000000199</v>
      </c>
      <c r="AF4484">
        <v>2.2071675483743798</v>
      </c>
      <c r="AG4484">
        <v>-1.1103758576460001</v>
      </c>
      <c r="AH4484">
        <v>65.264113308558706</v>
      </c>
      <c r="AI4484">
        <v>90.974155160184296</v>
      </c>
      <c r="AJ4484">
        <v>88.063051813798594</v>
      </c>
      <c r="AK4484">
        <v>65.310864403131504</v>
      </c>
      <c r="AL4484">
        <v>79.048021075673105</v>
      </c>
      <c r="AM4484">
        <v>94.457125970659305</v>
      </c>
      <c r="AN4484">
        <v>0.999999993116791</v>
      </c>
    </row>
    <row r="4485" spans="1:40" x14ac:dyDescent="0.25">
      <c r="A4485" t="str">
        <f>"20190304155150604"</f>
        <v>20190304155150604</v>
      </c>
      <c r="B4485" t="str">
        <f>"1551685910601250"</f>
        <v>1551685910601250</v>
      </c>
      <c r="C4485" t="s">
        <v>40</v>
      </c>
      <c r="D4485">
        <v>4.9125399999999999</v>
      </c>
      <c r="E4485">
        <v>0.54274180000000005</v>
      </c>
      <c r="F4485" t="s">
        <v>41</v>
      </c>
      <c r="G4485">
        <v>-338.67529999999999</v>
      </c>
      <c r="H4485" s="1">
        <v>-1.7656540000000001E-6</v>
      </c>
      <c r="I4485">
        <v>143.97210000000001</v>
      </c>
      <c r="J4485">
        <v>-275.48910000000001</v>
      </c>
      <c r="K4485">
        <v>1.1103620000000001</v>
      </c>
      <c r="L4485">
        <v>141.6071</v>
      </c>
      <c r="M4485">
        <v>-0.9999439</v>
      </c>
      <c r="N4485">
        <v>-1.045247E-2</v>
      </c>
      <c r="O4485">
        <v>1.725666E-3</v>
      </c>
      <c r="P4485">
        <v>-0.98089959999999998</v>
      </c>
      <c r="Q4485">
        <v>0.17977109999999999</v>
      </c>
      <c r="R4485">
        <v>-7.4287000000000006E-2</v>
      </c>
      <c r="S4485">
        <v>-3.077026</v>
      </c>
      <c r="T4485">
        <v>-5.3878549999999997E-2</v>
      </c>
      <c r="U4485">
        <v>0.11477660000000001</v>
      </c>
      <c r="V4485">
        <v>-7.5993050000000006E-2</v>
      </c>
      <c r="W4485">
        <v>0.19000729999999999</v>
      </c>
      <c r="X4485">
        <v>0.97883719999999996</v>
      </c>
      <c r="Y4485">
        <v>3.5541959999999997E-2</v>
      </c>
      <c r="Z4485">
        <v>4.8470780000000002E-4</v>
      </c>
      <c r="AA4485">
        <v>0.99936809999999998</v>
      </c>
      <c r="AB4485">
        <v>23</v>
      </c>
      <c r="AC4485">
        <v>-63.1861999999999</v>
      </c>
      <c r="AD4485">
        <v>-1.110363765654</v>
      </c>
      <c r="AE4485">
        <v>2.3650000000000002</v>
      </c>
      <c r="AF4485">
        <v>2.25525678309989</v>
      </c>
      <c r="AG4485">
        <v>-1.110363765654</v>
      </c>
      <c r="AH4485">
        <v>63.170707111922198</v>
      </c>
      <c r="AI4485">
        <v>91.006354332864305</v>
      </c>
      <c r="AJ4485">
        <v>87.955352329171703</v>
      </c>
      <c r="AK4485">
        <v>63.220703316793703</v>
      </c>
      <c r="AL4485">
        <v>79.046789680402398</v>
      </c>
      <c r="AM4485">
        <v>94.439312965085094</v>
      </c>
      <c r="AN4485">
        <v>0.99999999090271596</v>
      </c>
    </row>
    <row r="4486" spans="1:40" x14ac:dyDescent="0.25">
      <c r="A4486" t="str">
        <f>"20190304155150626"</f>
        <v>20190304155150626</v>
      </c>
      <c r="B4486" t="str">
        <f>"1551685910621747"</f>
        <v>1551685910621747</v>
      </c>
      <c r="C4486" t="s">
        <v>40</v>
      </c>
      <c r="D4486">
        <v>4.9274699999999996</v>
      </c>
      <c r="E4486">
        <v>0.543466</v>
      </c>
      <c r="F4486" t="s">
        <v>41</v>
      </c>
      <c r="G4486">
        <v>-336.73140000000001</v>
      </c>
      <c r="H4486" s="1">
        <v>-2.7166680000000001E-6</v>
      </c>
      <c r="I4486">
        <v>144.09280000000001</v>
      </c>
      <c r="J4486">
        <v>-275.7226</v>
      </c>
      <c r="K4486">
        <v>1.1103609999999999</v>
      </c>
      <c r="L4486">
        <v>141.60740000000001</v>
      </c>
      <c r="M4486">
        <v>-0.99994470000000002</v>
      </c>
      <c r="N4486">
        <v>-1.040491E-2</v>
      </c>
      <c r="O4486">
        <v>1.6526620000000001E-3</v>
      </c>
      <c r="P4486">
        <v>-0.98085710000000004</v>
      </c>
      <c r="Q4486">
        <v>0.18019640000000001</v>
      </c>
      <c r="R4486">
        <v>-7.3818930000000005E-2</v>
      </c>
      <c r="S4486">
        <v>-3.0780940000000001</v>
      </c>
      <c r="T4486">
        <v>-5.5807950000000002E-2</v>
      </c>
      <c r="U4486">
        <v>0.12493899999999999</v>
      </c>
      <c r="V4486">
        <v>-7.5453439999999997E-2</v>
      </c>
      <c r="W4486">
        <v>0.190386</v>
      </c>
      <c r="X4486">
        <v>0.97880540000000005</v>
      </c>
      <c r="Y4486">
        <v>3.8894869999999998E-2</v>
      </c>
      <c r="Z4486">
        <v>5.421248E-4</v>
      </c>
      <c r="AA4486">
        <v>0.99924310000000005</v>
      </c>
      <c r="AB4486">
        <v>23</v>
      </c>
      <c r="AC4486">
        <v>-61.008800000000001</v>
      </c>
      <c r="AD4486">
        <v>-1.110363716668</v>
      </c>
      <c r="AE4486">
        <v>2.4853999999999901</v>
      </c>
      <c r="AF4486">
        <v>2.3837759429802401</v>
      </c>
      <c r="AG4486">
        <v>-1.110363716668</v>
      </c>
      <c r="AH4486">
        <v>60.992654560125601</v>
      </c>
      <c r="AI4486">
        <v>91.0421519036218</v>
      </c>
      <c r="AJ4486">
        <v>87.761848140263496</v>
      </c>
      <c r="AK4486">
        <v>61.049317814537702</v>
      </c>
      <c r="AL4486">
        <v>79.024688774323806</v>
      </c>
      <c r="AM4486">
        <v>94.408057693365294</v>
      </c>
      <c r="AN4486">
        <v>1.00000003083649</v>
      </c>
    </row>
    <row r="4487" spans="1:40" x14ac:dyDescent="0.25">
      <c r="A4487" t="str">
        <f>"20190304155150647"</f>
        <v>20190304155150647</v>
      </c>
      <c r="B4487" t="str">
        <f>"1551685910641267"</f>
        <v>1551685910641267</v>
      </c>
      <c r="C4487" t="s">
        <v>40</v>
      </c>
      <c r="D4487">
        <v>4.9760280000000003</v>
      </c>
      <c r="E4487">
        <v>0.54414079999999998</v>
      </c>
      <c r="F4487" t="s">
        <v>41</v>
      </c>
      <c r="G4487">
        <v>-336.45499999999998</v>
      </c>
      <c r="H4487" s="1">
        <v>-2.8790619999999999E-6</v>
      </c>
      <c r="I4487">
        <v>144.2122</v>
      </c>
      <c r="J4487">
        <v>-275.93220000000002</v>
      </c>
      <c r="K4487">
        <v>1.1103620000000001</v>
      </c>
      <c r="L4487">
        <v>141.60759999999999</v>
      </c>
      <c r="M4487">
        <v>-0.99994499999999997</v>
      </c>
      <c r="N4487">
        <v>-1.036784E-2</v>
      </c>
      <c r="O4487">
        <v>1.5873510000000001E-3</v>
      </c>
      <c r="P4487">
        <v>-0.98074360000000005</v>
      </c>
      <c r="Q4487">
        <v>0.18100530000000001</v>
      </c>
      <c r="R4487">
        <v>-7.3341550000000005E-2</v>
      </c>
      <c r="S4487">
        <v>-3.078827</v>
      </c>
      <c r="T4487">
        <v>-5.6289789999999999E-2</v>
      </c>
      <c r="U4487">
        <v>0.13204959999999999</v>
      </c>
      <c r="V4487">
        <v>-7.4911770000000003E-2</v>
      </c>
      <c r="W4487">
        <v>0.19115740000000001</v>
      </c>
      <c r="X4487">
        <v>0.97869660000000003</v>
      </c>
      <c r="Y4487">
        <v>4.1253400000000003E-2</v>
      </c>
      <c r="Z4487">
        <v>5.7834130000000001E-4</v>
      </c>
      <c r="AA4487">
        <v>0.99914849999999999</v>
      </c>
      <c r="AB4487">
        <v>23</v>
      </c>
      <c r="AC4487">
        <v>-60.522799999999897</v>
      </c>
      <c r="AD4487">
        <v>-1.110364879062</v>
      </c>
      <c r="AE4487">
        <v>2.6046</v>
      </c>
      <c r="AF4487">
        <v>2.5076781440845299</v>
      </c>
      <c r="AG4487">
        <v>-1.110364879062</v>
      </c>
      <c r="AH4487">
        <v>60.506530499376098</v>
      </c>
      <c r="AI4487">
        <v>91.050424325132695</v>
      </c>
      <c r="AJ4487">
        <v>87.626748830841095</v>
      </c>
      <c r="AK4487">
        <v>60.568651899401701</v>
      </c>
      <c r="AL4487">
        <v>78.979663333964496</v>
      </c>
      <c r="AM4487">
        <v>94.377020876587196</v>
      </c>
      <c r="AN4487">
        <v>0.99999997985542599</v>
      </c>
    </row>
    <row r="4488" spans="1:40" x14ac:dyDescent="0.25">
      <c r="A4488" t="str">
        <f>"20190304155150670"</f>
        <v>20190304155150670</v>
      </c>
      <c r="B4488" t="str">
        <f>"1551685910661763"</f>
        <v>1551685910661763</v>
      </c>
      <c r="C4488" t="s">
        <v>40</v>
      </c>
      <c r="D4488">
        <v>5.0636359999999998</v>
      </c>
      <c r="E4488">
        <v>0.54493510000000001</v>
      </c>
      <c r="F4488" t="s">
        <v>41</v>
      </c>
      <c r="G4488">
        <v>-337.7482</v>
      </c>
      <c r="H4488" s="1">
        <v>-2.3175080000000001E-6</v>
      </c>
      <c r="I4488">
        <v>144.39920000000001</v>
      </c>
      <c r="J4488">
        <v>-276.16460000000001</v>
      </c>
      <c r="K4488">
        <v>1.110355</v>
      </c>
      <c r="L4488">
        <v>141.6079</v>
      </c>
      <c r="M4488">
        <v>-0.99994559999999999</v>
      </c>
      <c r="N4488">
        <v>-1.032665E-2</v>
      </c>
      <c r="O4488">
        <v>1.5147889999999999E-3</v>
      </c>
      <c r="P4488">
        <v>-0.98069329999999999</v>
      </c>
      <c r="Q4488">
        <v>0.18131079999999999</v>
      </c>
      <c r="R4488">
        <v>-7.3260080000000005E-2</v>
      </c>
      <c r="S4488">
        <v>-3.0794980000000001</v>
      </c>
      <c r="T4488">
        <v>-5.5315139999999999E-2</v>
      </c>
      <c r="U4488">
        <v>0.13906859999999999</v>
      </c>
      <c r="V4488">
        <v>-7.4758980000000003E-2</v>
      </c>
      <c r="W4488">
        <v>0.19142229999999999</v>
      </c>
      <c r="X4488">
        <v>0.97865650000000004</v>
      </c>
      <c r="Y4488">
        <v>4.3589129999999997E-2</v>
      </c>
      <c r="Z4488">
        <v>6.0490730000000001E-4</v>
      </c>
      <c r="AA4488">
        <v>0.99904939999999998</v>
      </c>
      <c r="AB4488">
        <v>23</v>
      </c>
      <c r="AC4488">
        <v>-61.583599999999898</v>
      </c>
      <c r="AD4488">
        <v>-1.1103573175079999</v>
      </c>
      <c r="AE4488">
        <v>2.7913000000000001</v>
      </c>
      <c r="AF4488">
        <v>2.6971306733635401</v>
      </c>
      <c r="AG4488">
        <v>-1.1103573175079999</v>
      </c>
      <c r="AH4488">
        <v>61.567784136128402</v>
      </c>
      <c r="AI4488">
        <v>91.032211165925006</v>
      </c>
      <c r="AJ4488">
        <v>87.491618955574395</v>
      </c>
      <c r="AK4488">
        <v>61.6368351773081</v>
      </c>
      <c r="AL4488">
        <v>78.964200060906407</v>
      </c>
      <c r="AM4488">
        <v>94.368306383837094</v>
      </c>
      <c r="AN4488">
        <v>0.99999997351008996</v>
      </c>
    </row>
    <row r="4489" spans="1:40" x14ac:dyDescent="0.25">
      <c r="A4489" t="str">
        <f>"20190304155150692"</f>
        <v>20190304155150692</v>
      </c>
      <c r="B4489" t="str">
        <f>"1551685910681283"</f>
        <v>1551685910681283</v>
      </c>
      <c r="C4489" t="s">
        <v>40</v>
      </c>
      <c r="D4489">
        <v>4.9382539999999997</v>
      </c>
      <c r="E4489">
        <v>0.54550929999999997</v>
      </c>
      <c r="F4489" t="s">
        <v>41</v>
      </c>
      <c r="G4489">
        <v>-337.81779999999998</v>
      </c>
      <c r="H4489" s="1">
        <v>-2.3182620000000001E-6</v>
      </c>
      <c r="I4489">
        <v>144.5256</v>
      </c>
      <c r="J4489">
        <v>-276.38810000000001</v>
      </c>
      <c r="K4489">
        <v>1.110347</v>
      </c>
      <c r="L4489">
        <v>141.60820000000001</v>
      </c>
      <c r="M4489">
        <v>-0.99994609999999995</v>
      </c>
      <c r="N4489">
        <v>-1.028746E-2</v>
      </c>
      <c r="O4489">
        <v>1.4450769999999999E-3</v>
      </c>
      <c r="P4489">
        <v>-0.98062169999999904</v>
      </c>
      <c r="Q4489">
        <v>0.18189169999999999</v>
      </c>
      <c r="R4489">
        <v>-7.2777040000000001E-2</v>
      </c>
      <c r="S4489">
        <v>-3.0802</v>
      </c>
      <c r="T4489">
        <v>-5.547357E-2</v>
      </c>
      <c r="U4489">
        <v>0.14576720000000001</v>
      </c>
      <c r="V4489">
        <v>-7.4207309999999999E-2</v>
      </c>
      <c r="W4489">
        <v>0.19196379999999999</v>
      </c>
      <c r="X4489">
        <v>0.97859249999999998</v>
      </c>
      <c r="Y4489">
        <v>4.5815830000000002E-2</v>
      </c>
      <c r="Z4489">
        <v>6.3698300000000004E-4</v>
      </c>
      <c r="AA4489">
        <v>0.99894970000000005</v>
      </c>
      <c r="AB4489">
        <v>23</v>
      </c>
      <c r="AC4489">
        <v>-61.429699999999897</v>
      </c>
      <c r="AD4489">
        <v>-1.1103493182619999</v>
      </c>
      <c r="AE4489">
        <v>2.9173999999999798</v>
      </c>
      <c r="AF4489">
        <v>2.8276998557463302</v>
      </c>
      <c r="AG4489">
        <v>-1.1103493182619999</v>
      </c>
      <c r="AH4489">
        <v>61.413832581056603</v>
      </c>
      <c r="AI4489">
        <v>91.034686982013497</v>
      </c>
      <c r="AJ4489">
        <v>87.363771064027205</v>
      </c>
      <c r="AK4489">
        <v>61.488922533874302</v>
      </c>
      <c r="AL4489">
        <v>78.932589043054904</v>
      </c>
      <c r="AM4489">
        <v>94.336477183990397</v>
      </c>
      <c r="AN4489">
        <v>1.0000000532120601</v>
      </c>
    </row>
    <row r="4490" spans="1:40" x14ac:dyDescent="0.25">
      <c r="A4490" t="str">
        <f>"20190304155150714"</f>
        <v>20190304155150714</v>
      </c>
      <c r="B4490" t="str">
        <f>"1551685910711277"</f>
        <v>1551685910711277</v>
      </c>
      <c r="C4490" t="s">
        <v>40</v>
      </c>
      <c r="D4490">
        <v>4.9537079999999998</v>
      </c>
      <c r="E4490">
        <v>0.54620360000000001</v>
      </c>
      <c r="F4490" t="s">
        <v>41</v>
      </c>
      <c r="G4490">
        <v>-339.03359999999998</v>
      </c>
      <c r="H4490" s="1">
        <v>-1.7905489999999999E-6</v>
      </c>
      <c r="I4490">
        <v>144.70230000000001</v>
      </c>
      <c r="J4490">
        <v>-276.61180000000002</v>
      </c>
      <c r="K4490">
        <v>1.1103430000000001</v>
      </c>
      <c r="L4490">
        <v>141.60839999999999</v>
      </c>
      <c r="M4490">
        <v>-0.99994649999999996</v>
      </c>
      <c r="N4490">
        <v>-1.0250520000000001E-2</v>
      </c>
      <c r="O4490">
        <v>1.3755309999999999E-3</v>
      </c>
      <c r="P4490">
        <v>-0.98050760000000003</v>
      </c>
      <c r="Q4490">
        <v>0.18247070000000001</v>
      </c>
      <c r="R4490">
        <v>-7.2865869999999999E-2</v>
      </c>
      <c r="S4490">
        <v>-3.0807190000000002</v>
      </c>
      <c r="T4490">
        <v>-5.4603579999999999E-2</v>
      </c>
      <c r="U4490">
        <v>0.15216060000000001</v>
      </c>
      <c r="V4490">
        <v>-7.4228219999999998E-2</v>
      </c>
      <c r="W4490">
        <v>0.19250519999999999</v>
      </c>
      <c r="X4490">
        <v>0.97848449999999998</v>
      </c>
      <c r="Y4490">
        <v>4.7945340000000003E-2</v>
      </c>
      <c r="Z4490">
        <v>6.6025359999999996E-4</v>
      </c>
      <c r="AA4490">
        <v>0.99884969999999995</v>
      </c>
      <c r="AB4490">
        <v>23</v>
      </c>
      <c r="AC4490">
        <v>-62.421799999999898</v>
      </c>
      <c r="AD4490">
        <v>-1.110344790549</v>
      </c>
      <c r="AE4490">
        <v>3.0939000000000099</v>
      </c>
      <c r="AF4490">
        <v>3.0070803158991501</v>
      </c>
      <c r="AG4490">
        <v>-1.110344790549</v>
      </c>
      <c r="AH4490">
        <v>62.406299651645298</v>
      </c>
      <c r="AI4490">
        <v>91.018128857723497</v>
      </c>
      <c r="AJ4490">
        <v>87.241306546006896</v>
      </c>
      <c r="AK4490">
        <v>62.488572025540101</v>
      </c>
      <c r="AL4490">
        <v>78.900978948811499</v>
      </c>
      <c r="AM4490">
        <v>94.338171389984296</v>
      </c>
      <c r="AN4490">
        <v>0.99999999870582901</v>
      </c>
    </row>
    <row r="4491" spans="1:40" x14ac:dyDescent="0.25">
      <c r="A4491" t="str">
        <f>"20190304155150737"</f>
        <v>20190304155150737</v>
      </c>
      <c r="B4491" t="str">
        <f>"1551685910731773"</f>
        <v>1551685910731773</v>
      </c>
      <c r="C4491" t="s">
        <v>40</v>
      </c>
      <c r="D4491">
        <v>4.9275989999999998</v>
      </c>
      <c r="E4491">
        <v>0.54665319999999995</v>
      </c>
      <c r="F4491" t="s">
        <v>41</v>
      </c>
      <c r="G4491">
        <v>-339.69220000000001</v>
      </c>
      <c r="H4491" s="1">
        <v>-1.5151429999999901E-6</v>
      </c>
      <c r="I4491">
        <v>144.8373</v>
      </c>
      <c r="J4491">
        <v>-276.84739999999999</v>
      </c>
      <c r="K4491">
        <v>1.1103350000000001</v>
      </c>
      <c r="L4491">
        <v>141.6087</v>
      </c>
      <c r="M4491">
        <v>-0.99994709999999998</v>
      </c>
      <c r="N4491">
        <v>-1.0211339999999999E-2</v>
      </c>
      <c r="O4491">
        <v>1.302122E-3</v>
      </c>
      <c r="P4491">
        <v>-0.98052609999999996</v>
      </c>
      <c r="Q4491">
        <v>0.18230089999999999</v>
      </c>
      <c r="R4491">
        <v>-7.3042679999999999E-2</v>
      </c>
      <c r="S4491">
        <v>-3.0814509999999999</v>
      </c>
      <c r="T4491">
        <v>-5.4239870000000003E-2</v>
      </c>
      <c r="U4491">
        <v>0.15773010000000001</v>
      </c>
      <c r="V4491">
        <v>-7.433302E-2</v>
      </c>
      <c r="W4491">
        <v>0.19229789999999999</v>
      </c>
      <c r="X4491">
        <v>0.97851730000000003</v>
      </c>
      <c r="Y4491">
        <v>4.9807360000000002E-2</v>
      </c>
      <c r="Z4491">
        <v>6.8292389999999998E-4</v>
      </c>
      <c r="AA4491">
        <v>0.99875860000000005</v>
      </c>
      <c r="AB4491">
        <v>23</v>
      </c>
      <c r="AC4491">
        <v>-62.844799999999999</v>
      </c>
      <c r="AD4491">
        <v>-1.110336515143</v>
      </c>
      <c r="AE4491">
        <v>3.2286000000000001</v>
      </c>
      <c r="AF4491">
        <v>3.1457820189777999</v>
      </c>
      <c r="AG4491">
        <v>-1.110336515143</v>
      </c>
      <c r="AH4491">
        <v>62.829390074529101</v>
      </c>
      <c r="AI4491">
        <v>91.0111734095765</v>
      </c>
      <c r="AJ4491">
        <v>87.133671898038301</v>
      </c>
      <c r="AK4491">
        <v>62.917891325322799</v>
      </c>
      <c r="AL4491">
        <v>78.913082442696293</v>
      </c>
      <c r="AM4491">
        <v>94.344127794996098</v>
      </c>
      <c r="AN4491">
        <v>0.99999999330301004</v>
      </c>
    </row>
    <row r="4492" spans="1:40" x14ac:dyDescent="0.25">
      <c r="A4492" t="str">
        <f>"20190304155150759"</f>
        <v>20190304155150759</v>
      </c>
      <c r="B4492" t="str">
        <f>"1551685910751293"</f>
        <v>1551685910751293</v>
      </c>
      <c r="C4492" t="s">
        <v>40</v>
      </c>
      <c r="D4492">
        <v>4.9385389999999996</v>
      </c>
      <c r="E4492">
        <v>0.54709940000000001</v>
      </c>
      <c r="F4492" t="s">
        <v>41</v>
      </c>
      <c r="G4492">
        <v>-338.19220000000001</v>
      </c>
      <c r="H4492" s="1">
        <v>-2.2176449999999999E-6</v>
      </c>
      <c r="I4492">
        <v>144.8126</v>
      </c>
      <c r="J4492">
        <v>-277.07400000000001</v>
      </c>
      <c r="K4492">
        <v>1.1103259999999999</v>
      </c>
      <c r="L4492">
        <v>141.60890000000001</v>
      </c>
      <c r="M4492">
        <v>-0.99994749999999999</v>
      </c>
      <c r="N4492">
        <v>-1.017444E-2</v>
      </c>
      <c r="O4492">
        <v>1.2316789999999901E-3</v>
      </c>
      <c r="P4492">
        <v>-0.98062839999999996</v>
      </c>
      <c r="Q4492">
        <v>0.1816574</v>
      </c>
      <c r="R4492">
        <v>-7.3272760000000006E-2</v>
      </c>
      <c r="S4492">
        <v>-3.0819399999999999</v>
      </c>
      <c r="T4492">
        <v>-5.5782909999999998E-2</v>
      </c>
      <c r="U4492">
        <v>0.160965</v>
      </c>
      <c r="V4492">
        <v>-7.4494270000000001E-2</v>
      </c>
      <c r="W4492">
        <v>0.19161929999999999</v>
      </c>
      <c r="X4492">
        <v>0.97863820000000001</v>
      </c>
      <c r="Y4492">
        <v>5.0914300000000003E-2</v>
      </c>
      <c r="Z4492">
        <v>7.0989679999999996E-4</v>
      </c>
      <c r="AA4492">
        <v>0.9987028</v>
      </c>
      <c r="AB4492">
        <v>23</v>
      </c>
      <c r="AC4492">
        <v>-61.118200000000002</v>
      </c>
      <c r="AD4492">
        <v>-1.110328217645</v>
      </c>
      <c r="AE4492">
        <v>3.2036999999999898</v>
      </c>
      <c r="AF4492">
        <v>3.1273863484001798</v>
      </c>
      <c r="AG4492">
        <v>-1.110328217645</v>
      </c>
      <c r="AH4492">
        <v>61.101989155934199</v>
      </c>
      <c r="AI4492">
        <v>91.039687617143599</v>
      </c>
      <c r="AJ4492">
        <v>87.069983888998394</v>
      </c>
      <c r="AK4492">
        <v>61.192045667185802</v>
      </c>
      <c r="AL4492">
        <v>78.952700645142997</v>
      </c>
      <c r="AM4492">
        <v>94.352979522934007</v>
      </c>
      <c r="AN4492">
        <v>1.0000000394472801</v>
      </c>
    </row>
    <row r="4493" spans="1:40" x14ac:dyDescent="0.25">
      <c r="A4493" t="str">
        <f>"20190304155150782"</f>
        <v>20190304155150782</v>
      </c>
      <c r="B4493" t="str">
        <f>"1551685910771793"</f>
        <v>1551685910771793</v>
      </c>
      <c r="C4493" t="s">
        <v>40</v>
      </c>
      <c r="D4493">
        <v>4.9000240000000002</v>
      </c>
      <c r="E4493">
        <v>0.54751619999999901</v>
      </c>
      <c r="F4493" t="s">
        <v>41</v>
      </c>
      <c r="G4493">
        <v>-335.0899</v>
      </c>
      <c r="H4493" s="1">
        <v>-3.6515539999999999E-6</v>
      </c>
      <c r="I4493">
        <v>144.6902</v>
      </c>
      <c r="J4493">
        <v>-277.30220000000003</v>
      </c>
      <c r="K4493">
        <v>1.110317</v>
      </c>
      <c r="L4493">
        <v>141.60910000000001</v>
      </c>
      <c r="M4493">
        <v>-0.99994799999999995</v>
      </c>
      <c r="N4493">
        <v>-1.0140740000000001E-2</v>
      </c>
      <c r="O4493">
        <v>1.1607430000000001E-3</v>
      </c>
      <c r="P4493">
        <v>-0.98067090000000001</v>
      </c>
      <c r="Q4493">
        <v>0.18116009999999999</v>
      </c>
      <c r="R4493">
        <v>-7.3930460000000003E-2</v>
      </c>
      <c r="S4493">
        <v>-3.0824280000000002</v>
      </c>
      <c r="T4493">
        <v>-5.8992620000000003E-2</v>
      </c>
      <c r="U4493">
        <v>0.16371150000000001</v>
      </c>
      <c r="V4493">
        <v>-7.5082659999999996E-2</v>
      </c>
      <c r="W4493">
        <v>0.19108900000000001</v>
      </c>
      <c r="X4493">
        <v>0.97869689999999998</v>
      </c>
      <c r="Y4493">
        <v>5.1862829999999999E-2</v>
      </c>
      <c r="Z4493">
        <v>7.4864799999999998E-4</v>
      </c>
      <c r="AA4493">
        <v>0.99865389999999998</v>
      </c>
      <c r="AB4493">
        <v>23</v>
      </c>
      <c r="AC4493">
        <v>-57.787699999999901</v>
      </c>
      <c r="AD4493">
        <v>-1.1103206515539901</v>
      </c>
      <c r="AE4493">
        <v>3.08109999999999</v>
      </c>
      <c r="AF4493">
        <v>3.01290869138642</v>
      </c>
      <c r="AG4493">
        <v>-1.1103206515539901</v>
      </c>
      <c r="AH4493">
        <v>57.7699711496454</v>
      </c>
      <c r="AI4493">
        <v>91.0995772362444</v>
      </c>
      <c r="AJ4493">
        <v>87.014526943131997</v>
      </c>
      <c r="AK4493">
        <v>57.8591392725709</v>
      </c>
      <c r="AL4493">
        <v>78.9836563786384</v>
      </c>
      <c r="AM4493">
        <v>94.386965536652795</v>
      </c>
      <c r="AN4493">
        <v>1.0000000169116401</v>
      </c>
    </row>
    <row r="4494" spans="1:40" x14ac:dyDescent="0.25">
      <c r="A4494" t="str">
        <f>"20190304155150803"</f>
        <v>20190304155150803</v>
      </c>
      <c r="B4494" t="str">
        <f>"1551685910791310"</f>
        <v>1551685910791310</v>
      </c>
      <c r="C4494" t="s">
        <v>40</v>
      </c>
      <c r="D4494">
        <v>4.919333</v>
      </c>
      <c r="E4494">
        <v>0.54793459999999905</v>
      </c>
      <c r="F4494" t="s">
        <v>41</v>
      </c>
      <c r="G4494">
        <v>-333.38459999999998</v>
      </c>
      <c r="H4494" s="1">
        <v>-4.299252E-6</v>
      </c>
      <c r="I4494">
        <v>144.6208</v>
      </c>
      <c r="J4494">
        <v>-277.5247</v>
      </c>
      <c r="K4494">
        <v>1.1103050000000001</v>
      </c>
      <c r="L4494">
        <v>141.60929999999999</v>
      </c>
      <c r="M4494">
        <v>-0.99994839999999996</v>
      </c>
      <c r="N4494">
        <v>-1.011196E-2</v>
      </c>
      <c r="O4494">
        <v>1.0916890000000001E-3</v>
      </c>
      <c r="P4494">
        <v>-0.98071969999999997</v>
      </c>
      <c r="Q4494">
        <v>0.18085380000000001</v>
      </c>
      <c r="R4494">
        <v>-7.4034790000000003E-2</v>
      </c>
      <c r="S4494">
        <v>-3.0828549999999999</v>
      </c>
      <c r="T4494">
        <v>-6.1034440000000002E-2</v>
      </c>
      <c r="U4494">
        <v>0.16555790000000001</v>
      </c>
      <c r="V4494">
        <v>-7.5119359999999996E-2</v>
      </c>
      <c r="W4494">
        <v>0.19075529999999999</v>
      </c>
      <c r="X4494">
        <v>0.97875919999999905</v>
      </c>
      <c r="Y4494">
        <v>5.2519830000000003E-2</v>
      </c>
      <c r="Z4494">
        <v>7.7468130000000004E-4</v>
      </c>
      <c r="AA4494">
        <v>0.99861960000000005</v>
      </c>
      <c r="AB4494">
        <v>23</v>
      </c>
      <c r="AC4494">
        <v>-55.859899999999897</v>
      </c>
      <c r="AD4494">
        <v>-1.1103092992519901</v>
      </c>
      <c r="AE4494">
        <v>3.0115000000000101</v>
      </c>
      <c r="AF4494">
        <v>2.9493515965433201</v>
      </c>
      <c r="AG4494">
        <v>-1.1103092992519901</v>
      </c>
      <c r="AH4494">
        <v>55.8411565791531</v>
      </c>
      <c r="AI4494">
        <v>91.137496914974193</v>
      </c>
      <c r="AJ4494">
        <v>86.976629123247605</v>
      </c>
      <c r="AK4494">
        <v>55.9300118869782</v>
      </c>
      <c r="AL4494">
        <v>79.003134497730798</v>
      </c>
      <c r="AM4494">
        <v>94.388823201152604</v>
      </c>
      <c r="AN4494">
        <v>1.0000000371547599</v>
      </c>
    </row>
    <row r="4495" spans="1:40" x14ac:dyDescent="0.25">
      <c r="A4495" t="str">
        <f>"20190304155150828"</f>
        <v>20190304155150828</v>
      </c>
      <c r="B4495" t="str">
        <f>"1551685910821782"</f>
        <v>1551685910821782</v>
      </c>
      <c r="C4495" t="s">
        <v>40</v>
      </c>
      <c r="D4495">
        <v>4.9368660000000002</v>
      </c>
      <c r="E4495">
        <v>0.54852469999999998</v>
      </c>
      <c r="F4495" t="s">
        <v>41</v>
      </c>
      <c r="G4495">
        <v>-331.72370000000001</v>
      </c>
      <c r="H4495" s="1">
        <v>-4.9294109999999999E-6</v>
      </c>
      <c r="I4495">
        <v>144.57759999999999</v>
      </c>
      <c r="J4495">
        <v>-277.77569999999997</v>
      </c>
      <c r="K4495">
        <v>1.1102989999999999</v>
      </c>
      <c r="L4495">
        <v>141.6095</v>
      </c>
      <c r="M4495">
        <v>-0.99994879999999997</v>
      </c>
      <c r="N4495">
        <v>-1.008327E-2</v>
      </c>
      <c r="O4495">
        <v>1.013812E-3</v>
      </c>
      <c r="P4495">
        <v>-0.9806473</v>
      </c>
      <c r="Q4495">
        <v>0.1812319</v>
      </c>
      <c r="R4495">
        <v>-7.4069120000000002E-2</v>
      </c>
      <c r="S4495">
        <v>-3.0833740000000001</v>
      </c>
      <c r="T4495">
        <v>-6.3165429999999995E-2</v>
      </c>
      <c r="U4495">
        <v>0.16886899999999999</v>
      </c>
      <c r="V4495">
        <v>-7.50773E-2</v>
      </c>
      <c r="W4495">
        <v>0.19110450000000001</v>
      </c>
      <c r="X4495">
        <v>0.97869430000000002</v>
      </c>
      <c r="Y4495">
        <v>5.3656580000000002E-2</v>
      </c>
      <c r="Z4495">
        <v>8.0936259999999998E-4</v>
      </c>
      <c r="AA4495">
        <v>0.99855910000000003</v>
      </c>
      <c r="AB4495">
        <v>23</v>
      </c>
      <c r="AC4495">
        <v>-53.948</v>
      </c>
      <c r="AD4495">
        <v>-1.110303929411</v>
      </c>
      <c r="AE4495">
        <v>2.96809999999999</v>
      </c>
      <c r="AF4495">
        <v>2.9121727636488699</v>
      </c>
      <c r="AG4495">
        <v>-1.110303929411</v>
      </c>
      <c r="AH4495">
        <v>53.928207671816303</v>
      </c>
      <c r="AI4495">
        <v>91.177755244182094</v>
      </c>
      <c r="AJ4495">
        <v>86.908977506020094</v>
      </c>
      <c r="AK4495">
        <v>54.018192377342203</v>
      </c>
      <c r="AL4495">
        <v>78.982751787375804</v>
      </c>
      <c r="AM4495">
        <v>94.386665190547205</v>
      </c>
      <c r="AN4495">
        <v>1.0000000318740101</v>
      </c>
    </row>
    <row r="4496" spans="1:40" x14ac:dyDescent="0.25">
      <c r="A4496" t="str">
        <f>"20190304155150850"</f>
        <v>20190304155150850</v>
      </c>
      <c r="B4496" t="str">
        <f>"1551685910841302"</f>
        <v>1551685910841302</v>
      </c>
      <c r="C4496" t="s">
        <v>40</v>
      </c>
      <c r="D4496">
        <v>4.6790190000000003</v>
      </c>
      <c r="E4496">
        <v>0.54910619999999999</v>
      </c>
      <c r="F4496" t="s">
        <v>41</v>
      </c>
      <c r="G4496">
        <v>-331.53590000000003</v>
      </c>
      <c r="H4496" s="1">
        <v>-5.0119219999999996E-6</v>
      </c>
      <c r="I4496">
        <v>144.63630000000001</v>
      </c>
      <c r="J4496">
        <v>-278.00119999999998</v>
      </c>
      <c r="K4496">
        <v>1.1102970000000001</v>
      </c>
      <c r="L4496">
        <v>141.6096</v>
      </c>
      <c r="M4496">
        <v>-0.99994899999999998</v>
      </c>
      <c r="N4496">
        <v>-1.0060660000000001E-2</v>
      </c>
      <c r="O4496">
        <v>9.4383240000000005E-4</v>
      </c>
      <c r="P4496">
        <v>-0.98063959999999994</v>
      </c>
      <c r="Q4496">
        <v>0.1814064</v>
      </c>
      <c r="R4496">
        <v>-7.374232E-2</v>
      </c>
      <c r="S4496">
        <v>-3.0841059999999998</v>
      </c>
      <c r="T4496">
        <v>-6.3695669999999996E-2</v>
      </c>
      <c r="U4496">
        <v>0.17364499999999999</v>
      </c>
      <c r="V4496">
        <v>-7.4682090000000007E-2</v>
      </c>
      <c r="W4496">
        <v>0.19125710000000001</v>
      </c>
      <c r="X4496">
        <v>0.97869470000000003</v>
      </c>
      <c r="Y4496">
        <v>5.5254320000000003E-2</v>
      </c>
      <c r="Z4496">
        <v>8.3829899999999895E-4</v>
      </c>
      <c r="AA4496">
        <v>0.99847200000000003</v>
      </c>
      <c r="AB4496">
        <v>23</v>
      </c>
      <c r="AC4496">
        <v>-53.534700000000001</v>
      </c>
      <c r="AD4496">
        <v>-1.110302011922</v>
      </c>
      <c r="AE4496">
        <v>3.0266999999999999</v>
      </c>
      <c r="AF4496">
        <v>2.9748927647317598</v>
      </c>
      <c r="AG4496">
        <v>-1.110302011922</v>
      </c>
      <c r="AH4496">
        <v>53.5145874853403</v>
      </c>
      <c r="AI4496">
        <v>91.1867505803353</v>
      </c>
      <c r="AJ4496">
        <v>86.818184453792199</v>
      </c>
      <c r="AK4496">
        <v>53.608710404611202</v>
      </c>
      <c r="AL4496">
        <v>78.973843841449195</v>
      </c>
      <c r="AM4496">
        <v>94.363661252160199</v>
      </c>
      <c r="AN4496">
        <v>1.00000000433763</v>
      </c>
    </row>
    <row r="4497" spans="1:40" x14ac:dyDescent="0.25">
      <c r="A4497" t="str">
        <f>"20190304155150871"</f>
        <v>20190304155150871</v>
      </c>
      <c r="B4497" t="str">
        <f>"1551685910861801"</f>
        <v>1551685910861801</v>
      </c>
      <c r="C4497" t="s">
        <v>40</v>
      </c>
      <c r="D4497">
        <v>4.620546</v>
      </c>
      <c r="E4497">
        <v>0.54879860000000003</v>
      </c>
      <c r="F4497" t="s">
        <v>41</v>
      </c>
      <c r="G4497">
        <v>-336.7611</v>
      </c>
      <c r="H4497" s="1">
        <v>-2.9463539999999999E-6</v>
      </c>
      <c r="I4497">
        <v>145.00890000000001</v>
      </c>
      <c r="J4497">
        <v>-278.22179999999997</v>
      </c>
      <c r="K4497">
        <v>1.1102879999999999</v>
      </c>
      <c r="L4497">
        <v>141.6097</v>
      </c>
      <c r="M4497">
        <v>-0.99994919999999998</v>
      </c>
      <c r="N4497">
        <v>-1.004119E-2</v>
      </c>
      <c r="O4497">
        <v>8.7532619999999904E-4</v>
      </c>
      <c r="P4497">
        <v>-0.98066540000000002</v>
      </c>
      <c r="Q4497">
        <v>0.18138170000000001</v>
      </c>
      <c r="R4497">
        <v>-7.3459769999999994E-2</v>
      </c>
      <c r="S4497">
        <v>-3.0833740000000001</v>
      </c>
      <c r="T4497">
        <v>-5.826199E-2</v>
      </c>
      <c r="U4497">
        <v>0.17837520000000001</v>
      </c>
      <c r="V4497">
        <v>-7.4332270000000006E-2</v>
      </c>
      <c r="W4497">
        <v>0.19121360000000001</v>
      </c>
      <c r="X4497">
        <v>0.97872979999999998</v>
      </c>
      <c r="Y4497">
        <v>5.68646999999999E-2</v>
      </c>
      <c r="Z4497">
        <v>8.1478469999999995E-4</v>
      </c>
      <c r="AA4497">
        <v>0.99838159999999998</v>
      </c>
      <c r="AB4497">
        <v>23</v>
      </c>
      <c r="AC4497">
        <v>-58.539299999999997</v>
      </c>
      <c r="AD4497">
        <v>-1.1102909463540001</v>
      </c>
      <c r="AE4497">
        <v>3.3992</v>
      </c>
      <c r="AF4497">
        <v>3.3467552433296301</v>
      </c>
      <c r="AG4497">
        <v>-1.1102909463540001</v>
      </c>
      <c r="AH4497">
        <v>58.521271925419398</v>
      </c>
      <c r="AI4497">
        <v>91.085137350365002</v>
      </c>
      <c r="AJ4497">
        <v>86.726894245277094</v>
      </c>
      <c r="AK4497">
        <v>58.627406427482299</v>
      </c>
      <c r="AL4497">
        <v>78.976382736043504</v>
      </c>
      <c r="AM4497">
        <v>94.343144561439502</v>
      </c>
      <c r="AN4497">
        <v>0.999999974298176</v>
      </c>
    </row>
    <row r="4498" spans="1:40" x14ac:dyDescent="0.25">
      <c r="A4498" t="str">
        <f>"20190304155150893"</f>
        <v>20190304155150893</v>
      </c>
      <c r="B4498" t="str">
        <f>"1551685910881318"</f>
        <v>1551685910881318</v>
      </c>
      <c r="C4498" t="s">
        <v>40</v>
      </c>
      <c r="D4498">
        <v>4.5893600000000001</v>
      </c>
      <c r="E4498">
        <v>0.5483751</v>
      </c>
      <c r="F4498" t="s">
        <v>41</v>
      </c>
      <c r="G4498">
        <v>-339.9468</v>
      </c>
      <c r="H4498" s="1">
        <v>-1.4772569999999999E-6</v>
      </c>
      <c r="I4498">
        <v>145.1472</v>
      </c>
      <c r="J4498">
        <v>-278.44439999999997</v>
      </c>
      <c r="K4498">
        <v>1.110287</v>
      </c>
      <c r="L4498">
        <v>141.60980000000001</v>
      </c>
      <c r="M4498">
        <v>-0.99994950000000005</v>
      </c>
      <c r="N4498">
        <v>-1.002304E-2</v>
      </c>
      <c r="O4498">
        <v>8.0597869999999997E-4</v>
      </c>
      <c r="P4498">
        <v>-0.98065349999999996</v>
      </c>
      <c r="Q4498">
        <v>0.18142449999999999</v>
      </c>
      <c r="R4498">
        <v>-7.3512530000000006E-2</v>
      </c>
      <c r="S4498">
        <v>-3.0826419999999999</v>
      </c>
      <c r="T4498">
        <v>-5.5449600000000002E-2</v>
      </c>
      <c r="U4498">
        <v>0.176666299999999</v>
      </c>
      <c r="V4498">
        <v>-7.4316939999999998E-2</v>
      </c>
      <c r="W4498">
        <v>0.1912383</v>
      </c>
      <c r="X4498">
        <v>0.97872610000000004</v>
      </c>
      <c r="Y4498">
        <v>5.6397269999999999E-2</v>
      </c>
      <c r="Z4498">
        <v>7.8326920000000003E-4</v>
      </c>
      <c r="AA4498">
        <v>0.99840810000000002</v>
      </c>
      <c r="AB4498">
        <v>23</v>
      </c>
      <c r="AC4498">
        <v>-61.502400000000002</v>
      </c>
      <c r="AD4498">
        <v>-1.1102884772570001</v>
      </c>
      <c r="AE4498">
        <v>3.5373999999999901</v>
      </c>
      <c r="AF4498">
        <v>3.4866941640229601</v>
      </c>
      <c r="AG4498">
        <v>-1.1102884772570001</v>
      </c>
      <c r="AH4498">
        <v>61.485259112133697</v>
      </c>
      <c r="AI4498">
        <v>91.032864221206395</v>
      </c>
      <c r="AJ4498">
        <v>86.7543581401073</v>
      </c>
      <c r="AK4498">
        <v>61.594048939669399</v>
      </c>
      <c r="AL4498">
        <v>78.974940505499305</v>
      </c>
      <c r="AM4498">
        <v>94.342268627032098</v>
      </c>
      <c r="AN4498">
        <v>0.99999993688952904</v>
      </c>
    </row>
    <row r="4499" spans="1:40" x14ac:dyDescent="0.25">
      <c r="A4499" t="str">
        <f>"20190304155150916"</f>
        <v>20190304155150916</v>
      </c>
      <c r="B4499" t="str">
        <f>"1551685910911574"</f>
        <v>1551685910911574</v>
      </c>
      <c r="C4499" t="s">
        <v>40</v>
      </c>
      <c r="D4499">
        <v>4.5821180000000004</v>
      </c>
      <c r="E4499">
        <v>0.5478113</v>
      </c>
      <c r="F4499" t="s">
        <v>41</v>
      </c>
      <c r="G4499">
        <v>-342.76150000000001</v>
      </c>
      <c r="H4499" s="1">
        <v>-4.3286609999999997E-6</v>
      </c>
      <c r="I4499">
        <v>145.21090000000001</v>
      </c>
      <c r="J4499">
        <v>-278.67860000000002</v>
      </c>
      <c r="K4499">
        <v>1.1102780000000001</v>
      </c>
      <c r="L4499">
        <v>141.60990000000001</v>
      </c>
      <c r="M4499">
        <v>-0.9999498</v>
      </c>
      <c r="N4499">
        <v>-1.000086E-2</v>
      </c>
      <c r="O4499">
        <v>7.3331380000000003E-4</v>
      </c>
      <c r="P4499">
        <v>-0.98069039999999996</v>
      </c>
      <c r="Q4499">
        <v>0.1812725</v>
      </c>
      <c r="R4499">
        <v>-7.3394059999999997E-2</v>
      </c>
      <c r="S4499">
        <v>-3.0819399999999999</v>
      </c>
      <c r="T4499">
        <v>-5.3202869999999999E-2</v>
      </c>
      <c r="U4499">
        <v>0.17256160000000001</v>
      </c>
      <c r="V4499">
        <v>-7.4127699999999894E-2</v>
      </c>
      <c r="W4499">
        <v>0.19106519999999999</v>
      </c>
      <c r="X4499">
        <v>0.97877429999999999</v>
      </c>
      <c r="Y4499">
        <v>5.5158539999999999E-2</v>
      </c>
      <c r="Z4499">
        <v>7.4643859999999997E-4</v>
      </c>
      <c r="AA4499">
        <v>0.99847730000000001</v>
      </c>
      <c r="AB4499">
        <v>23</v>
      </c>
      <c r="AC4499">
        <v>-64.082899999999995</v>
      </c>
      <c r="AD4499">
        <v>-1.110282328661</v>
      </c>
      <c r="AE4499">
        <v>3.6009999999999902</v>
      </c>
      <c r="AF4499">
        <v>3.5529406436828799</v>
      </c>
      <c r="AG4499">
        <v>-1.110282328661</v>
      </c>
      <c r="AH4499">
        <v>64.066352625071104</v>
      </c>
      <c r="AI4499">
        <v>90.991324659188294</v>
      </c>
      <c r="AJ4499">
        <v>86.825787828738001</v>
      </c>
      <c r="AK4499">
        <v>64.174400291290794</v>
      </c>
      <c r="AL4499">
        <v>78.985045185842395</v>
      </c>
      <c r="AM4499">
        <v>94.331041159938295</v>
      </c>
      <c r="AN4499">
        <v>0.99999997844940902</v>
      </c>
    </row>
    <row r="4500" spans="1:40" x14ac:dyDescent="0.25">
      <c r="A4500" t="str">
        <f>"20190304155150937"</f>
        <v>20190304155150937</v>
      </c>
      <c r="B4500" t="str">
        <f>"1551685910931093"</f>
        <v>1551685910931093</v>
      </c>
      <c r="C4500" t="s">
        <v>40</v>
      </c>
      <c r="D4500">
        <v>4.5759489999999996</v>
      </c>
      <c r="E4500">
        <v>0.54748759999999996</v>
      </c>
      <c r="F4500" t="s">
        <v>41</v>
      </c>
      <c r="G4500">
        <v>-346.53050000000002</v>
      </c>
      <c r="H4500" s="1">
        <v>-2.9886270000000002E-6</v>
      </c>
      <c r="I4500">
        <v>145.3211</v>
      </c>
      <c r="J4500">
        <v>-278.91210000000001</v>
      </c>
      <c r="K4500">
        <v>1.110277</v>
      </c>
      <c r="L4500">
        <v>141.61000000000001</v>
      </c>
      <c r="M4500">
        <v>-0.99995009999999995</v>
      </c>
      <c r="N4500">
        <v>-9.9773959999999995E-3</v>
      </c>
      <c r="O4500">
        <v>6.6077460000000003E-4</v>
      </c>
      <c r="P4500">
        <v>-0.98076410000000003</v>
      </c>
      <c r="Q4500">
        <v>0.18088290000000001</v>
      </c>
      <c r="R4500">
        <v>-7.3371720000000001E-2</v>
      </c>
      <c r="S4500">
        <v>-3.080994</v>
      </c>
      <c r="T4500">
        <v>-5.041528E-2</v>
      </c>
      <c r="U4500">
        <v>0.1685181</v>
      </c>
      <c r="V4500">
        <v>-7.4033860000000007E-2</v>
      </c>
      <c r="W4500">
        <v>0.1906533</v>
      </c>
      <c r="X4500">
        <v>0.97886169999999995</v>
      </c>
      <c r="Y4500">
        <v>5.3942959999999998E-2</v>
      </c>
      <c r="Z4500">
        <v>7.0610979999999996E-4</v>
      </c>
      <c r="AA4500">
        <v>0.99854370000000003</v>
      </c>
      <c r="AB4500">
        <v>23</v>
      </c>
      <c r="AC4500">
        <v>-67.618399999999994</v>
      </c>
      <c r="AD4500">
        <v>-1.1102799886270001</v>
      </c>
      <c r="AE4500">
        <v>3.7110999999999801</v>
      </c>
      <c r="AF4500">
        <v>3.6654311811942</v>
      </c>
      <c r="AG4500">
        <v>-1.1102799886270001</v>
      </c>
      <c r="AH4500">
        <v>67.602665971319098</v>
      </c>
      <c r="AI4500">
        <v>90.939539303659899</v>
      </c>
      <c r="AJ4500">
        <v>86.896449358554705</v>
      </c>
      <c r="AK4500">
        <v>67.711066701293007</v>
      </c>
      <c r="AL4500">
        <v>79.009087073914699</v>
      </c>
      <c r="AM4500">
        <v>94.325194461387099</v>
      </c>
      <c r="AN4500">
        <v>0.99999996047713802</v>
      </c>
    </row>
    <row r="4501" spans="1:40" x14ac:dyDescent="0.25">
      <c r="A4501" t="str">
        <f>"20190304155150952"</f>
        <v>20190304155150952</v>
      </c>
      <c r="B4501" t="str">
        <f>"1551685910941830"</f>
        <v>1551685910941830</v>
      </c>
      <c r="C4501" t="s">
        <v>40</v>
      </c>
      <c r="D4501">
        <v>4.5763369999999997</v>
      </c>
      <c r="E4501">
        <v>0.54734550000000004</v>
      </c>
      <c r="F4501" t="s">
        <v>41</v>
      </c>
      <c r="G4501">
        <v>-348.1277</v>
      </c>
      <c r="H4501" s="1">
        <v>-2.309089E-6</v>
      </c>
      <c r="I4501">
        <v>145.34229999999999</v>
      </c>
      <c r="J4501">
        <v>-279.05869999999999</v>
      </c>
      <c r="K4501">
        <v>1.110276</v>
      </c>
      <c r="L4501">
        <v>141.61009999999999</v>
      </c>
      <c r="M4501">
        <v>-0.99995029999999996</v>
      </c>
      <c r="N4501">
        <v>-9.963754E-3</v>
      </c>
      <c r="O4501">
        <v>6.1518650000000005E-4</v>
      </c>
      <c r="P4501">
        <v>-0.98084470000000001</v>
      </c>
      <c r="Q4501">
        <v>0.18050959999999999</v>
      </c>
      <c r="R4501">
        <v>-7.3214609999999999E-2</v>
      </c>
      <c r="S4501">
        <v>-3.0803829999999999</v>
      </c>
      <c r="T4501">
        <v>-4.9412129999999999E-2</v>
      </c>
      <c r="U4501">
        <v>0.16610720000000001</v>
      </c>
      <c r="V4501">
        <v>-7.3832239999999993E-2</v>
      </c>
      <c r="W4501">
        <v>0.19026760000000001</v>
      </c>
      <c r="X4501">
        <v>0.97895200000000004</v>
      </c>
      <c r="Y4501">
        <v>5.322056E-2</v>
      </c>
      <c r="Z4501">
        <v>6.8814549999999999E-4</v>
      </c>
      <c r="AA4501">
        <v>0.99858250000000004</v>
      </c>
      <c r="AB4501">
        <v>23</v>
      </c>
      <c r="AC4501">
        <v>-69.069000000000003</v>
      </c>
      <c r="AD4501">
        <v>-1.1102783090889901</v>
      </c>
      <c r="AE4501">
        <v>3.7322000000000002</v>
      </c>
      <c r="AF4501">
        <v>3.68875646322231</v>
      </c>
      <c r="AG4501">
        <v>-1.1102783090889901</v>
      </c>
      <c r="AH4501">
        <v>69.053491369025195</v>
      </c>
      <c r="AI4501">
        <v>90.919841013315306</v>
      </c>
      <c r="AJ4501">
        <v>86.942233012964707</v>
      </c>
      <c r="AK4501">
        <v>69.160858239474095</v>
      </c>
      <c r="AL4501">
        <v>79.031598439241705</v>
      </c>
      <c r="AM4501">
        <v>94.313063587536107</v>
      </c>
      <c r="AN4501">
        <v>0.99999998878858798</v>
      </c>
    </row>
    <row r="4502" spans="1:40" x14ac:dyDescent="0.25">
      <c r="A4502" t="str">
        <f>"20190304155150971"</f>
        <v>20190304155150971</v>
      </c>
      <c r="B4502" t="str">
        <f>"1551685910961349"</f>
        <v>1551685910961349</v>
      </c>
      <c r="C4502" t="s">
        <v>40</v>
      </c>
      <c r="D4502">
        <v>4.5779209999999999</v>
      </c>
      <c r="E4502">
        <v>0.54700700000000002</v>
      </c>
      <c r="F4502" t="s">
        <v>41</v>
      </c>
      <c r="G4502">
        <v>-348.22489999999999</v>
      </c>
      <c r="H4502" s="1">
        <v>-2.2624059999999999E-6</v>
      </c>
      <c r="I4502">
        <v>145.3237</v>
      </c>
      <c r="J4502">
        <v>-279.24990000000003</v>
      </c>
      <c r="K4502">
        <v>1.1102719999999999</v>
      </c>
      <c r="L4502">
        <v>141.61009999999999</v>
      </c>
      <c r="M4502">
        <v>-0.99995049999999996</v>
      </c>
      <c r="N4502">
        <v>-9.9473930000000006E-3</v>
      </c>
      <c r="O4502">
        <v>5.5614149999999997E-4</v>
      </c>
      <c r="P4502">
        <v>-0.98089579999999998</v>
      </c>
      <c r="Q4502">
        <v>0.18016509999999999</v>
      </c>
      <c r="R4502">
        <v>-7.3377070000000003E-2</v>
      </c>
      <c r="S4502">
        <v>-3.0800480000000001</v>
      </c>
      <c r="T4502">
        <v>-4.9441930000000002E-2</v>
      </c>
      <c r="U4502">
        <v>0.16537479999999999</v>
      </c>
      <c r="V4502">
        <v>-7.3936920000000003E-2</v>
      </c>
      <c r="W4502">
        <v>0.18990760000000001</v>
      </c>
      <c r="X4502">
        <v>0.97901400000000005</v>
      </c>
      <c r="Y4502">
        <v>5.3048640000000001E-2</v>
      </c>
      <c r="Z4502">
        <v>6.861228E-4</v>
      </c>
      <c r="AA4502">
        <v>0.99859169999999997</v>
      </c>
      <c r="AB4502">
        <v>23</v>
      </c>
      <c r="AC4502">
        <v>-68.974999999999895</v>
      </c>
      <c r="AD4502">
        <v>-1.110274262406</v>
      </c>
      <c r="AE4502">
        <v>3.7136000000000098</v>
      </c>
      <c r="AF4502">
        <v>3.6742883949884999</v>
      </c>
      <c r="AG4502">
        <v>-1.110274262406</v>
      </c>
      <c r="AH4502">
        <v>68.959238626760097</v>
      </c>
      <c r="AI4502">
        <v>90.921101370974398</v>
      </c>
      <c r="AJ4502">
        <v>86.950048476336406</v>
      </c>
      <c r="AK4502">
        <v>69.065980743994004</v>
      </c>
      <c r="AL4502">
        <v>79.052607980566293</v>
      </c>
      <c r="AM4502">
        <v>94.318883070008297</v>
      </c>
      <c r="AN4502">
        <v>0.99999998843642302</v>
      </c>
    </row>
    <row r="4503" spans="1:40" x14ac:dyDescent="0.25">
      <c r="A4503" t="str">
        <f>"20190304155150993"</f>
        <v>20190304155150993</v>
      </c>
      <c r="B4503" t="str">
        <f>"1551685910981847"</f>
        <v>1551685910981847</v>
      </c>
      <c r="C4503" t="s">
        <v>40</v>
      </c>
      <c r="D4503">
        <v>4.5762019999999897</v>
      </c>
      <c r="E4503">
        <v>0.54668070000000002</v>
      </c>
      <c r="F4503" t="s">
        <v>41</v>
      </c>
      <c r="G4503">
        <v>-349.85660000000001</v>
      </c>
      <c r="H4503" s="1">
        <v>-1.565319E-6</v>
      </c>
      <c r="I4503">
        <v>145.33459999999999</v>
      </c>
      <c r="J4503">
        <v>-279.48390000000001</v>
      </c>
      <c r="K4503">
        <v>1.11026</v>
      </c>
      <c r="L4503">
        <v>141.61019999999999</v>
      </c>
      <c r="M4503">
        <v>-0.99995060000000002</v>
      </c>
      <c r="N4503">
        <v>-9.9243709999999995E-3</v>
      </c>
      <c r="O4503">
        <v>4.8342019999999999E-4</v>
      </c>
      <c r="P4503">
        <v>-0.98099510000000001</v>
      </c>
      <c r="Q4503">
        <v>0.17944649999999901</v>
      </c>
      <c r="R4503">
        <v>-7.3809330000000006E-2</v>
      </c>
      <c r="S4503">
        <v>-3.0794679999999999</v>
      </c>
      <c r="T4503">
        <v>-4.8423889999999997E-2</v>
      </c>
      <c r="U4503">
        <v>0.16244510000000001</v>
      </c>
      <c r="V4503">
        <v>-7.4297370000000001E-2</v>
      </c>
      <c r="W4503">
        <v>0.18916730000000001</v>
      </c>
      <c r="X4503">
        <v>0.97912999999999994</v>
      </c>
      <c r="Y4503">
        <v>5.2184500000000002E-2</v>
      </c>
      <c r="Z4503">
        <v>6.6634399999999905E-4</v>
      </c>
      <c r="AA4503">
        <v>0.99863729999999995</v>
      </c>
      <c r="AB4503">
        <v>23</v>
      </c>
      <c r="AC4503">
        <v>-70.372699999999995</v>
      </c>
      <c r="AD4503">
        <v>-1.110261565319</v>
      </c>
      <c r="AE4503">
        <v>3.7244000000000002</v>
      </c>
      <c r="AF4503">
        <v>3.6894625246541901</v>
      </c>
      <c r="AG4503">
        <v>-1.110261565319</v>
      </c>
      <c r="AH4503">
        <v>70.3570286684065</v>
      </c>
      <c r="AI4503">
        <v>90.9028346023278</v>
      </c>
      <c r="AJ4503">
        <v>86.998207723745395</v>
      </c>
      <c r="AK4503">
        <v>70.462446008574105</v>
      </c>
      <c r="AL4503">
        <v>79.095806802197302</v>
      </c>
      <c r="AM4503">
        <v>94.339345628098201</v>
      </c>
      <c r="AN4503">
        <v>0.99999996173910199</v>
      </c>
    </row>
    <row r="4504" spans="1:40" x14ac:dyDescent="0.25">
      <c r="A4504" t="str">
        <f>"20190304155151016"</f>
        <v>20190304155151016</v>
      </c>
      <c r="B4504" t="str">
        <f>"1551685911011126"</f>
        <v>1551685911011126</v>
      </c>
      <c r="C4504" t="s">
        <v>40</v>
      </c>
      <c r="D4504">
        <v>4.605029</v>
      </c>
      <c r="E4504">
        <v>0.54620639999999998</v>
      </c>
      <c r="F4504" t="s">
        <v>41</v>
      </c>
      <c r="G4504">
        <v>-349.8186</v>
      </c>
      <c r="H4504" s="1">
        <v>-1.555538E-6</v>
      </c>
      <c r="I4504">
        <v>145.23660000000001</v>
      </c>
      <c r="J4504">
        <v>-279.71600000000001</v>
      </c>
      <c r="K4504">
        <v>1.110249</v>
      </c>
      <c r="L4504">
        <v>141.61019999999999</v>
      </c>
      <c r="M4504">
        <v>-0.99995100000000003</v>
      </c>
      <c r="N4504">
        <v>-9.8993420000000002E-3</v>
      </c>
      <c r="O4504">
        <v>4.114236E-4</v>
      </c>
      <c r="P4504">
        <v>-0.98115589999999997</v>
      </c>
      <c r="Q4504">
        <v>0.17827750000000001</v>
      </c>
      <c r="R4504">
        <v>-7.4500949999999996E-2</v>
      </c>
      <c r="S4504">
        <v>-3.0789490000000002</v>
      </c>
      <c r="T4504">
        <v>-4.860246E-2</v>
      </c>
      <c r="U4504">
        <v>0.15875239999999999</v>
      </c>
      <c r="V4504">
        <v>-7.4918960000000007E-2</v>
      </c>
      <c r="W4504">
        <v>0.18797559999999999</v>
      </c>
      <c r="X4504">
        <v>0.97931219999999997</v>
      </c>
      <c r="Y4504">
        <v>5.107097E-2</v>
      </c>
      <c r="Z4504">
        <v>6.5335969999999997E-4</v>
      </c>
      <c r="AA4504">
        <v>0.99869479999999999</v>
      </c>
      <c r="AB4504">
        <v>23</v>
      </c>
      <c r="AC4504">
        <v>-70.102599999999995</v>
      </c>
      <c r="AD4504">
        <v>-1.110250555538</v>
      </c>
      <c r="AE4504">
        <v>3.6264000000000101</v>
      </c>
      <c r="AF4504">
        <v>3.5966566882785802</v>
      </c>
      <c r="AG4504">
        <v>-1.110250555538</v>
      </c>
      <c r="AH4504">
        <v>70.086553464697303</v>
      </c>
      <c r="AI4504">
        <v>90.906361814458904</v>
      </c>
      <c r="AJ4504">
        <v>87.062308991842201</v>
      </c>
      <c r="AK4504">
        <v>70.187559953237297</v>
      </c>
      <c r="AL4504">
        <v>79.165334294833897</v>
      </c>
      <c r="AM4504">
        <v>94.374698355872098</v>
      </c>
      <c r="AN4504">
        <v>1.0000000309158401</v>
      </c>
    </row>
    <row r="4505" spans="1:40" x14ac:dyDescent="0.25">
      <c r="A4505" t="str">
        <f>"20190304155151040"</f>
        <v>20190304155151040</v>
      </c>
      <c r="B4505" t="str">
        <f>"1551685911031621"</f>
        <v>1551685911031621</v>
      </c>
      <c r="C4505" t="s">
        <v>40</v>
      </c>
      <c r="D4505">
        <v>4.5858470000000002</v>
      </c>
      <c r="E4505">
        <v>0.54590859999999997</v>
      </c>
      <c r="F4505" t="s">
        <v>41</v>
      </c>
      <c r="G4505">
        <v>-349.13299999999998</v>
      </c>
      <c r="H4505" s="1">
        <v>-1.805734E-6</v>
      </c>
      <c r="I4505">
        <v>145.07140000000001</v>
      </c>
      <c r="J4505">
        <v>-279.96469999999999</v>
      </c>
      <c r="K4505">
        <v>1.1102339999999999</v>
      </c>
      <c r="L4505">
        <v>141.61019999999999</v>
      </c>
      <c r="M4505">
        <v>-0.99995129999999999</v>
      </c>
      <c r="N4505">
        <v>-9.8718160000000003E-3</v>
      </c>
      <c r="O4505">
        <v>3.3419379999999999E-4</v>
      </c>
      <c r="P4505">
        <v>-0.98132900000000001</v>
      </c>
      <c r="Q4505">
        <v>0.1770535</v>
      </c>
      <c r="R4505">
        <v>-7.5137990000000002E-2</v>
      </c>
      <c r="S4505">
        <v>-3.0781860000000001</v>
      </c>
      <c r="T4505">
        <v>-4.9232360000000003E-2</v>
      </c>
      <c r="U4505">
        <v>0.15348819999999999</v>
      </c>
      <c r="V4505">
        <v>-7.5479889999999994E-2</v>
      </c>
      <c r="W4505">
        <v>0.18672639999999999</v>
      </c>
      <c r="X4505">
        <v>0.97950800000000005</v>
      </c>
      <c r="Y4505">
        <v>4.9457300000000003E-2</v>
      </c>
      <c r="Z4505">
        <v>6.374932E-4</v>
      </c>
      <c r="AA4505">
        <v>0.998776</v>
      </c>
      <c r="AB4505">
        <v>23</v>
      </c>
      <c r="AC4505">
        <v>-69.168300000000002</v>
      </c>
      <c r="AD4505">
        <v>-1.110235805734</v>
      </c>
      <c r="AE4505">
        <v>3.4612000000000198</v>
      </c>
      <c r="AF4505">
        <v>3.4371997109522101</v>
      </c>
      <c r="AG4505">
        <v>-1.110235805734</v>
      </c>
      <c r="AH4505">
        <v>69.151681045431005</v>
      </c>
      <c r="AI4505">
        <v>90.918675376855106</v>
      </c>
      <c r="AJ4505">
        <v>87.154442394115407</v>
      </c>
      <c r="AK4505">
        <v>69.245952638448998</v>
      </c>
      <c r="AL4505">
        <v>79.238197421150502</v>
      </c>
      <c r="AM4505">
        <v>94.406446295518606</v>
      </c>
      <c r="AN4505">
        <v>0.99999994215768395</v>
      </c>
    </row>
    <row r="4506" spans="1:40" x14ac:dyDescent="0.25">
      <c r="A4506" t="str">
        <f>"20190304155151061"</f>
        <v>20190304155151061</v>
      </c>
      <c r="B4506" t="str">
        <f>"1551685911051141"</f>
        <v>1551685911051141</v>
      </c>
      <c r="C4506" t="s">
        <v>40</v>
      </c>
      <c r="D4506">
        <v>4.5261079999999998</v>
      </c>
      <c r="E4506">
        <v>0.54561879999999996</v>
      </c>
      <c r="F4506" t="s">
        <v>41</v>
      </c>
      <c r="G4506">
        <v>-347.18360000000001</v>
      </c>
      <c r="H4506" s="1">
        <v>-2.5922610000000001E-6</v>
      </c>
      <c r="I4506">
        <v>144.8844</v>
      </c>
      <c r="J4506">
        <v>-280.19740000000002</v>
      </c>
      <c r="K4506">
        <v>1.110223</v>
      </c>
      <c r="L4506">
        <v>141.61019999999999</v>
      </c>
      <c r="M4506">
        <v>-0.9999517</v>
      </c>
      <c r="N4506">
        <v>-9.8437460000000004E-3</v>
      </c>
      <c r="O4506">
        <v>2.6203279999999999E-4</v>
      </c>
      <c r="P4506">
        <v>-0.98141679999999998</v>
      </c>
      <c r="Q4506">
        <v>0.17639669999999999</v>
      </c>
      <c r="R4506">
        <v>-7.5535710000000006E-2</v>
      </c>
      <c r="S4506">
        <v>-3.077728</v>
      </c>
      <c r="T4506">
        <v>-5.083406E-2</v>
      </c>
      <c r="U4506">
        <v>0.14991760000000001</v>
      </c>
      <c r="V4506">
        <v>-7.5807009999999994E-2</v>
      </c>
      <c r="W4506">
        <v>0.1860434</v>
      </c>
      <c r="X4506">
        <v>0.97961279999999995</v>
      </c>
      <c r="Y4506">
        <v>4.8380550000000001E-2</v>
      </c>
      <c r="Z4506">
        <v>6.3582910000000001E-4</v>
      </c>
      <c r="AA4506">
        <v>0.99882879999999996</v>
      </c>
      <c r="AB4506">
        <v>23</v>
      </c>
      <c r="AC4506">
        <v>-66.986199999999997</v>
      </c>
      <c r="AD4506">
        <v>-1.110225592261</v>
      </c>
      <c r="AE4506">
        <v>3.2742</v>
      </c>
      <c r="AF4506">
        <v>3.2557542488785698</v>
      </c>
      <c r="AG4506">
        <v>-1.110225592261</v>
      </c>
      <c r="AH4506">
        <v>66.968703523351905</v>
      </c>
      <c r="AI4506">
        <v>90.948657971257006</v>
      </c>
      <c r="AJ4506">
        <v>87.216696585921099</v>
      </c>
      <c r="AK4506">
        <v>67.056989107723993</v>
      </c>
      <c r="AL4506">
        <v>79.278029509466805</v>
      </c>
      <c r="AM4506">
        <v>94.424995998438206</v>
      </c>
      <c r="AN4506">
        <v>1.0000000436862599</v>
      </c>
    </row>
    <row r="4507" spans="1:40" x14ac:dyDescent="0.25">
      <c r="A4507" t="str">
        <f>"20190304155151083"</f>
        <v>20190304155151083</v>
      </c>
      <c r="B4507" t="str">
        <f>"1551685911081397"</f>
        <v>1551685911081397</v>
      </c>
      <c r="C4507" t="s">
        <v>40</v>
      </c>
      <c r="D4507">
        <v>4.5742209999999996</v>
      </c>
      <c r="E4507">
        <v>0.54524050000000002</v>
      </c>
      <c r="F4507" t="s">
        <v>41</v>
      </c>
      <c r="G4507">
        <v>-346.74</v>
      </c>
      <c r="H4507" s="1">
        <v>-2.7552089999999999E-6</v>
      </c>
      <c r="I4507">
        <v>144.78149999999999</v>
      </c>
      <c r="J4507">
        <v>-280.42669999999998</v>
      </c>
      <c r="K4507">
        <v>1.1102240000000001</v>
      </c>
      <c r="L4507">
        <v>141.61019999999999</v>
      </c>
      <c r="M4507">
        <v>-0.99995179999999995</v>
      </c>
      <c r="N4507">
        <v>-9.816132E-3</v>
      </c>
      <c r="O4507">
        <v>1.908225E-4</v>
      </c>
      <c r="P4507">
        <v>-0.98154490000000005</v>
      </c>
      <c r="Q4507">
        <v>0.17558379999999901</v>
      </c>
      <c r="R4507">
        <v>-7.576244E-2</v>
      </c>
      <c r="S4507">
        <v>-3.0773320000000002</v>
      </c>
      <c r="T4507">
        <v>-5.1343680000000003E-2</v>
      </c>
      <c r="U4507">
        <v>0.14666750000000001</v>
      </c>
      <c r="V4507">
        <v>-7.5963589999999998E-2</v>
      </c>
      <c r="W4507">
        <v>0.18520420000000001</v>
      </c>
      <c r="X4507">
        <v>0.97975959999999995</v>
      </c>
      <c r="Y4507">
        <v>4.7405500000000003E-2</v>
      </c>
      <c r="Z4507">
        <v>6.2673920000000003E-4</v>
      </c>
      <c r="AA4507">
        <v>0.99887559999999997</v>
      </c>
      <c r="AB4507">
        <v>23</v>
      </c>
      <c r="AC4507">
        <v>-66.313299999999998</v>
      </c>
      <c r="AD4507">
        <v>-1.1102267552089999</v>
      </c>
      <c r="AE4507">
        <v>3.1713</v>
      </c>
      <c r="AF4507">
        <v>3.1577621638272899</v>
      </c>
      <c r="AG4507">
        <v>-1.1102267552089999</v>
      </c>
      <c r="AH4507">
        <v>66.295363831447702</v>
      </c>
      <c r="AI4507">
        <v>90.958337668908399</v>
      </c>
      <c r="AJ4507">
        <v>87.272964612787604</v>
      </c>
      <c r="AK4507">
        <v>66.379811169325507</v>
      </c>
      <c r="AL4507">
        <v>79.326961725204796</v>
      </c>
      <c r="AM4507">
        <v>94.433437727489903</v>
      </c>
      <c r="AN4507">
        <v>0.99999996824774295</v>
      </c>
    </row>
    <row r="4508" spans="1:40" x14ac:dyDescent="0.25">
      <c r="A4508" t="str">
        <f>"20190304155151104"</f>
        <v>20190304155151104</v>
      </c>
      <c r="B4508" t="str">
        <f>"1551685911100918"</f>
        <v>1551685911100918</v>
      </c>
      <c r="C4508" t="s">
        <v>40</v>
      </c>
      <c r="D4508">
        <v>4.6258089999999896</v>
      </c>
      <c r="E4508">
        <v>0.54497810000000002</v>
      </c>
      <c r="F4508" t="s">
        <v>41</v>
      </c>
      <c r="G4508">
        <v>-347.21609999999998</v>
      </c>
      <c r="H4508" s="1">
        <v>-2.5324239999999999E-6</v>
      </c>
      <c r="I4508">
        <v>144.71190000000001</v>
      </c>
      <c r="J4508">
        <v>-280.6481</v>
      </c>
      <c r="K4508">
        <v>1.110223</v>
      </c>
      <c r="L4508">
        <v>141.61009999999999</v>
      </c>
      <c r="M4508">
        <v>-0.99995210000000001</v>
      </c>
      <c r="N4508">
        <v>-9.792093E-3</v>
      </c>
      <c r="O4508">
        <v>1.221572E-4</v>
      </c>
      <c r="P4508">
        <v>-0.98157799999999995</v>
      </c>
      <c r="Q4508">
        <v>0.17511940000000001</v>
      </c>
      <c r="R4508">
        <v>-7.640827E-2</v>
      </c>
      <c r="S4508">
        <v>-3.0765690000000001</v>
      </c>
      <c r="T4508">
        <v>-5.1141260000000001E-2</v>
      </c>
      <c r="U4508">
        <v>0.14288329999999999</v>
      </c>
      <c r="V4508">
        <v>-7.6542120000000005E-2</v>
      </c>
      <c r="W4508">
        <v>0.18471679999999999</v>
      </c>
      <c r="X4508">
        <v>0.97980659999999997</v>
      </c>
      <c r="Y4508">
        <v>4.6260250000000003E-2</v>
      </c>
      <c r="Z4508">
        <v>6.1006519999999998E-4</v>
      </c>
      <c r="AA4508">
        <v>0.99892930000000002</v>
      </c>
      <c r="AB4508">
        <v>23</v>
      </c>
      <c r="AC4508">
        <v>-66.567999999999898</v>
      </c>
      <c r="AD4508">
        <v>-1.110225532424</v>
      </c>
      <c r="AE4508">
        <v>3.1018000000000199</v>
      </c>
      <c r="AF4508">
        <v>3.0928094013179099</v>
      </c>
      <c r="AG4508">
        <v>-1.110225532424</v>
      </c>
      <c r="AH4508">
        <v>66.549907150545593</v>
      </c>
      <c r="AI4508">
        <v>90.954723703159004</v>
      </c>
      <c r="AJ4508">
        <v>87.339177121717299</v>
      </c>
      <c r="AK4508">
        <v>66.630985378215499</v>
      </c>
      <c r="AL4508">
        <v>79.355378142239502</v>
      </c>
      <c r="AM4508">
        <v>94.4668527226615</v>
      </c>
      <c r="AN4508">
        <v>0.99999998286994696</v>
      </c>
    </row>
    <row r="4509" spans="1:40" x14ac:dyDescent="0.25">
      <c r="A4509" t="str">
        <f>"20190304155151129"</f>
        <v>20190304155151129</v>
      </c>
      <c r="B4509" t="str">
        <f>"1551685911121414"</f>
        <v>1551685911121414</v>
      </c>
      <c r="C4509" t="s">
        <v>40</v>
      </c>
      <c r="D4509">
        <v>4.531123</v>
      </c>
      <c r="E4509">
        <v>0.54477330000000002</v>
      </c>
      <c r="F4509" t="s">
        <v>41</v>
      </c>
      <c r="G4509">
        <v>-347.93520000000001</v>
      </c>
      <c r="H4509" s="1">
        <v>-2.2081460000000001E-6</v>
      </c>
      <c r="I4509">
        <v>144.65260000000001</v>
      </c>
      <c r="J4509">
        <v>-280.89510000000001</v>
      </c>
      <c r="K4509">
        <v>1.1102179999999999</v>
      </c>
      <c r="L4509">
        <v>141.61000000000001</v>
      </c>
      <c r="M4509">
        <v>-0.99995239999999996</v>
      </c>
      <c r="N4509">
        <v>-9.7681690000000002E-3</v>
      </c>
      <c r="O4509" s="1">
        <v>4.5623639999999997E-5</v>
      </c>
      <c r="P4509">
        <v>-0.98155420000000004</v>
      </c>
      <c r="Q4509">
        <v>0.175074799999999</v>
      </c>
      <c r="R4509">
        <v>-7.6811920000000006E-2</v>
      </c>
      <c r="S4509">
        <v>-3.0761720000000001</v>
      </c>
      <c r="T4509">
        <v>-5.0756339999999997E-2</v>
      </c>
      <c r="U4509">
        <v>0.1390991</v>
      </c>
      <c r="V4509">
        <v>-7.6871090000000003E-2</v>
      </c>
      <c r="W4509">
        <v>0.18464839999999999</v>
      </c>
      <c r="X4509">
        <v>0.97979369999999999</v>
      </c>
      <c r="Y4509">
        <v>4.5116759999999999E-2</v>
      </c>
      <c r="Z4509">
        <v>5.9218300000000003E-4</v>
      </c>
      <c r="AA4509">
        <v>0.99898149999999997</v>
      </c>
      <c r="AB4509">
        <v>23</v>
      </c>
      <c r="AC4509">
        <v>-67.040099999999995</v>
      </c>
      <c r="AD4509">
        <v>-1.110220208146</v>
      </c>
      <c r="AE4509">
        <v>3.04259999999999</v>
      </c>
      <c r="AF4509">
        <v>3.0387095803403699</v>
      </c>
      <c r="AG4509">
        <v>-1.110220208146</v>
      </c>
      <c r="AH4509">
        <v>67.021895681182997</v>
      </c>
      <c r="AI4509">
        <v>90.948046194753005</v>
      </c>
      <c r="AJ4509">
        <v>87.404041162658501</v>
      </c>
      <c r="AK4509">
        <v>67.099931784790996</v>
      </c>
      <c r="AL4509">
        <v>79.359365363790602</v>
      </c>
      <c r="AM4509">
        <v>94.486031413619898</v>
      </c>
      <c r="AN4509">
        <v>0.99999994533001701</v>
      </c>
    </row>
    <row r="4510" spans="1:40" x14ac:dyDescent="0.25">
      <c r="A4510" t="str">
        <f>"20190304155151150"</f>
        <v>20190304155151150</v>
      </c>
      <c r="B4510" t="str">
        <f>"1551685911141910"</f>
        <v>1551685911141910</v>
      </c>
      <c r="C4510" t="s">
        <v>40</v>
      </c>
      <c r="D4510">
        <v>4.5285919999999997</v>
      </c>
      <c r="E4510">
        <v>0.54453269999999998</v>
      </c>
      <c r="F4510" t="s">
        <v>41</v>
      </c>
      <c r="G4510">
        <v>-349.90120000000002</v>
      </c>
      <c r="H4510" s="1">
        <v>-1.3681840000000001E-6</v>
      </c>
      <c r="I4510">
        <v>144.66550000000001</v>
      </c>
      <c r="J4510">
        <v>-281.1345</v>
      </c>
      <c r="K4510">
        <v>1.1102160000000001</v>
      </c>
      <c r="L4510">
        <v>141.61000000000001</v>
      </c>
      <c r="M4510">
        <v>-0.99995259999999997</v>
      </c>
      <c r="N4510">
        <v>-9.7478240000000004E-3</v>
      </c>
      <c r="O4510" s="1">
        <v>-2.8782329999999999E-5</v>
      </c>
      <c r="P4510">
        <v>-0.98151029999999995</v>
      </c>
      <c r="Q4510">
        <v>0.17533270000000001</v>
      </c>
      <c r="R4510">
        <v>-7.6787579999999994E-2</v>
      </c>
      <c r="S4510">
        <v>-3.0758969999999999</v>
      </c>
      <c r="T4510">
        <v>-4.948723E-2</v>
      </c>
      <c r="U4510">
        <v>0.13619999999999999</v>
      </c>
      <c r="V4510">
        <v>-7.6773690000000006E-2</v>
      </c>
      <c r="W4510">
        <v>0.18488599999999999</v>
      </c>
      <c r="X4510">
        <v>0.97975659999999998</v>
      </c>
      <c r="Y4510">
        <v>4.425598E-2</v>
      </c>
      <c r="Z4510">
        <v>5.7182879999999998E-4</v>
      </c>
      <c r="AA4510">
        <v>0.99902000000000002</v>
      </c>
      <c r="AB4510">
        <v>23</v>
      </c>
      <c r="AC4510">
        <v>-68.7667</v>
      </c>
      <c r="AD4510">
        <v>-1.110217368184</v>
      </c>
      <c r="AE4510">
        <v>3.0554999999999901</v>
      </c>
      <c r="AF4510">
        <v>3.0566841999798702</v>
      </c>
      <c r="AG4510">
        <v>-1.110217368184</v>
      </c>
      <c r="AH4510">
        <v>68.748727895299893</v>
      </c>
      <c r="AI4510">
        <v>90.924271298367998</v>
      </c>
      <c r="AJ4510">
        <v>87.454209827000994</v>
      </c>
      <c r="AK4510">
        <v>68.825601981566393</v>
      </c>
      <c r="AL4510">
        <v>79.345514125480193</v>
      </c>
      <c r="AM4510">
        <v>94.480539482069105</v>
      </c>
      <c r="AN4510">
        <v>1.00000001385788</v>
      </c>
    </row>
    <row r="4511" spans="1:40" x14ac:dyDescent="0.25">
      <c r="A4511" t="str">
        <f>"20190304155151172"</f>
        <v>20190304155151172</v>
      </c>
      <c r="B4511" t="str">
        <f>"1551685911161433"</f>
        <v>1551685911161433</v>
      </c>
      <c r="C4511" t="s">
        <v>40</v>
      </c>
      <c r="D4511">
        <v>4.6044530000000004</v>
      </c>
      <c r="E4511">
        <v>0.54430959999999995</v>
      </c>
      <c r="F4511" t="s">
        <v>41</v>
      </c>
      <c r="G4511">
        <v>-353.06689999999998</v>
      </c>
      <c r="H4511" s="1">
        <v>-4.1425160000000002E-6</v>
      </c>
      <c r="I4511">
        <v>144.7473</v>
      </c>
      <c r="J4511">
        <v>-281.3605</v>
      </c>
      <c r="K4511">
        <v>1.110217</v>
      </c>
      <c r="L4511">
        <v>141.60990000000001</v>
      </c>
      <c r="M4511">
        <v>-0.99995270000000003</v>
      </c>
      <c r="N4511">
        <v>-9.7305919999999997E-3</v>
      </c>
      <c r="O4511" s="1">
        <v>-9.8674080000000003E-5</v>
      </c>
      <c r="P4511">
        <v>-0.98131539999999995</v>
      </c>
      <c r="Q4511">
        <v>0.1764037</v>
      </c>
      <c r="R4511">
        <v>-7.6822249999999995E-2</v>
      </c>
      <c r="S4511">
        <v>-3.0754700000000001</v>
      </c>
      <c r="T4511">
        <v>-4.7467469999999998E-2</v>
      </c>
      <c r="U4511">
        <v>0.13414000000000001</v>
      </c>
      <c r="V4511">
        <v>-7.6739970000000005E-2</v>
      </c>
      <c r="W4511">
        <v>0.1859384</v>
      </c>
      <c r="X4511">
        <v>0.97956010000000004</v>
      </c>
      <c r="Y4511">
        <v>4.3664790000000002E-2</v>
      </c>
      <c r="Z4511">
        <v>5.4991689999999999E-4</v>
      </c>
      <c r="AA4511">
        <v>0.99904610000000005</v>
      </c>
      <c r="AB4511">
        <v>24</v>
      </c>
      <c r="AC4511">
        <v>-71.706399999999903</v>
      </c>
      <c r="AD4511">
        <v>-1.110221142516</v>
      </c>
      <c r="AE4511">
        <v>3.13739999999998</v>
      </c>
      <c r="AF4511">
        <v>3.1437237108554399</v>
      </c>
      <c r="AG4511">
        <v>-1.110221142516</v>
      </c>
      <c r="AH4511">
        <v>71.6889376642673</v>
      </c>
      <c r="AI4511">
        <v>90.886396746844099</v>
      </c>
      <c r="AJ4511">
        <v>87.489057867949697</v>
      </c>
      <c r="AK4511">
        <v>71.766422323999706</v>
      </c>
      <c r="AL4511">
        <v>79.284152475963594</v>
      </c>
      <c r="AM4511">
        <v>94.479474326949799</v>
      </c>
      <c r="AN4511">
        <v>1.00000005055108</v>
      </c>
    </row>
    <row r="4512" spans="1:40" x14ac:dyDescent="0.25">
      <c r="A4512" t="str">
        <f>"20190304155151185"</f>
        <v>20190304155151185</v>
      </c>
      <c r="B4512" t="str">
        <f>"1551685911180951"</f>
        <v>1551685911180951</v>
      </c>
      <c r="C4512" t="s">
        <v>40</v>
      </c>
      <c r="D4512">
        <v>4.6322929999999998</v>
      </c>
      <c r="E4512">
        <v>0.54412039999999995</v>
      </c>
      <c r="F4512" t="s">
        <v>41</v>
      </c>
      <c r="G4512">
        <v>-361.5616</v>
      </c>
      <c r="H4512" s="1">
        <v>-4.7104709999999999E-6</v>
      </c>
      <c r="I4512">
        <v>145.06129999999999</v>
      </c>
      <c r="J4512">
        <v>-281.50400000000002</v>
      </c>
      <c r="K4512">
        <v>1.1102179999999999</v>
      </c>
      <c r="L4512">
        <v>141.60980000000001</v>
      </c>
      <c r="M4512">
        <v>-0.99995270000000003</v>
      </c>
      <c r="N4512">
        <v>-9.720556E-3</v>
      </c>
      <c r="O4512">
        <v>-1.432095E-4</v>
      </c>
      <c r="P4512">
        <v>-0.98124</v>
      </c>
      <c r="Q4512">
        <v>0.17682020000000001</v>
      </c>
      <c r="R4512">
        <v>-7.6830410000000002E-2</v>
      </c>
      <c r="S4512">
        <v>-3.0751339999999998</v>
      </c>
      <c r="T4512">
        <v>-4.2569040000000002E-2</v>
      </c>
      <c r="U4512">
        <v>0.1323395</v>
      </c>
      <c r="V4512">
        <v>-7.6704519999999998E-2</v>
      </c>
      <c r="W4512">
        <v>0.18634410000000001</v>
      </c>
      <c r="X4512">
        <v>0.97948579999999996</v>
      </c>
      <c r="Y4512">
        <v>4.3131610000000001E-2</v>
      </c>
      <c r="Z4512">
        <v>5.0872340000000002E-4</v>
      </c>
      <c r="AA4512">
        <v>0.99906930000000005</v>
      </c>
      <c r="AB4512">
        <v>24</v>
      </c>
      <c r="AC4512">
        <v>-80.057599999999894</v>
      </c>
      <c r="AD4512">
        <v>-1.1102227104710001</v>
      </c>
      <c r="AE4512">
        <v>3.4514999999999798</v>
      </c>
      <c r="AF4512">
        <v>3.4623008956635499</v>
      </c>
      <c r="AG4512">
        <v>-1.1102227104710001</v>
      </c>
      <c r="AH4512">
        <v>80.041740131168893</v>
      </c>
      <c r="AI4512">
        <v>90.793930517937497</v>
      </c>
      <c r="AJ4512">
        <v>87.523146790542896</v>
      </c>
      <c r="AK4512">
        <v>80.124280247528802</v>
      </c>
      <c r="AL4512">
        <v>79.260494309781294</v>
      </c>
      <c r="AM4512">
        <v>94.477751709598607</v>
      </c>
      <c r="AN4512">
        <v>1.00000006969743</v>
      </c>
    </row>
    <row r="4513" spans="1:40" x14ac:dyDescent="0.25">
      <c r="A4513" t="str">
        <f>"20190304155151205"</f>
        <v>20190304155151205</v>
      </c>
      <c r="B4513" t="str">
        <f>"1551685911201446"</f>
        <v>1551685911201446</v>
      </c>
      <c r="C4513" t="s">
        <v>40</v>
      </c>
      <c r="D4513">
        <v>4.5789989999999996</v>
      </c>
      <c r="E4513">
        <v>0.54388369999999997</v>
      </c>
      <c r="F4513" t="s">
        <v>41</v>
      </c>
      <c r="G4513">
        <v>-367.97620000000001</v>
      </c>
      <c r="H4513" s="1">
        <v>-2.3605160000000001E-6</v>
      </c>
      <c r="I4513">
        <v>145.29130000000001</v>
      </c>
      <c r="J4513">
        <v>-281.7097</v>
      </c>
      <c r="K4513">
        <v>1.1102160000000001</v>
      </c>
      <c r="L4513">
        <v>141.6097</v>
      </c>
      <c r="M4513">
        <v>-0.99995279999999998</v>
      </c>
      <c r="N4513">
        <v>-9.7078790000000009E-3</v>
      </c>
      <c r="O4513">
        <v>-2.068057E-4</v>
      </c>
      <c r="P4513">
        <v>-0.98119840000000003</v>
      </c>
      <c r="Q4513">
        <v>0.1769568</v>
      </c>
      <c r="R4513">
        <v>-7.7046600000000007E-2</v>
      </c>
      <c r="S4513">
        <v>-3.0746769999999999</v>
      </c>
      <c r="T4513">
        <v>-3.9475919999999998E-2</v>
      </c>
      <c r="U4513">
        <v>0.1309052</v>
      </c>
      <c r="V4513">
        <v>-7.6858220000000005E-2</v>
      </c>
      <c r="W4513">
        <v>0.1864682</v>
      </c>
      <c r="X4513">
        <v>0.97945000000000004</v>
      </c>
      <c r="Y4513">
        <v>4.2737169999999998E-2</v>
      </c>
      <c r="Z4513">
        <v>4.824214E-4</v>
      </c>
      <c r="AA4513">
        <v>0.99908629999999998</v>
      </c>
      <c r="AB4513">
        <v>24</v>
      </c>
      <c r="AC4513">
        <v>-86.266499999999994</v>
      </c>
      <c r="AD4513">
        <v>-1.1102183605159901</v>
      </c>
      <c r="AE4513">
        <v>3.6816</v>
      </c>
      <c r="AF4513">
        <v>3.6988296527590601</v>
      </c>
      <c r="AG4513">
        <v>-1.1102183605159901</v>
      </c>
      <c r="AH4513">
        <v>86.251477098050103</v>
      </c>
      <c r="AI4513">
        <v>90.736786359609397</v>
      </c>
      <c r="AJ4513">
        <v>87.544418218247003</v>
      </c>
      <c r="AK4513">
        <v>86.337889869996403</v>
      </c>
      <c r="AL4513">
        <v>79.253255634262402</v>
      </c>
      <c r="AM4513">
        <v>94.486850923596606</v>
      </c>
      <c r="AN4513">
        <v>0.99999993904640205</v>
      </c>
    </row>
    <row r="4514" spans="1:40" x14ac:dyDescent="0.25">
      <c r="A4514" t="str">
        <f>"20190304155151230"</f>
        <v>20190304155151230</v>
      </c>
      <c r="B4514" t="str">
        <f>"1551685911220966"</f>
        <v>1551685911220966</v>
      </c>
      <c r="C4514" t="s">
        <v>40</v>
      </c>
      <c r="D4514">
        <v>4.5329040000000003</v>
      </c>
      <c r="E4514">
        <v>0.54364809999999997</v>
      </c>
      <c r="F4514" t="s">
        <v>41</v>
      </c>
      <c r="G4514">
        <v>-371.96260000000001</v>
      </c>
      <c r="H4514" s="1">
        <v>-4.6307130000000001E-6</v>
      </c>
      <c r="I4514">
        <v>145.3809</v>
      </c>
      <c r="J4514">
        <v>-281.96480000000003</v>
      </c>
      <c r="K4514">
        <v>1.110212</v>
      </c>
      <c r="L4514">
        <v>141.6096</v>
      </c>
      <c r="M4514">
        <v>-0.99995299999999998</v>
      </c>
      <c r="N4514">
        <v>-9.6944900000000001E-3</v>
      </c>
      <c r="O4514">
        <v>-2.8601469999999998E-4</v>
      </c>
      <c r="P4514">
        <v>-0.9812379</v>
      </c>
      <c r="Q4514">
        <v>0.17685899999999999</v>
      </c>
      <c r="R4514">
        <v>-7.6765310000000003E-2</v>
      </c>
      <c r="S4514">
        <v>-3.0744020000000001</v>
      </c>
      <c r="T4514">
        <v>-3.7818909999999997E-2</v>
      </c>
      <c r="U4514">
        <v>0.12846369999999999</v>
      </c>
      <c r="V4514">
        <v>-7.6499310000000001E-2</v>
      </c>
      <c r="W4514">
        <v>0.18635769999999999</v>
      </c>
      <c r="X4514">
        <v>0.97949920000000001</v>
      </c>
      <c r="Y4514">
        <v>4.2028620000000003E-2</v>
      </c>
      <c r="Z4514">
        <v>4.6295469999999998E-4</v>
      </c>
      <c r="AA4514">
        <v>0.99911629999999996</v>
      </c>
      <c r="AB4514">
        <v>24</v>
      </c>
      <c r="AC4514">
        <v>-89.997799999999899</v>
      </c>
      <c r="AD4514">
        <v>-1.1102166307129999</v>
      </c>
      <c r="AE4514">
        <v>3.7712999999999899</v>
      </c>
      <c r="AF4514">
        <v>3.79646502284423</v>
      </c>
      <c r="AG4514">
        <v>-1.1102166307129999</v>
      </c>
      <c r="AH4514">
        <v>89.983048189871894</v>
      </c>
      <c r="AI4514">
        <v>90.706254892887003</v>
      </c>
      <c r="AJ4514">
        <v>87.584072811005697</v>
      </c>
      <c r="AK4514">
        <v>90.069943317277605</v>
      </c>
      <c r="AL4514">
        <v>79.259700543369803</v>
      </c>
      <c r="AM4514">
        <v>94.465759916872798</v>
      </c>
      <c r="AN4514">
        <v>1.0000000097902</v>
      </c>
    </row>
    <row r="4515" spans="1:40" x14ac:dyDescent="0.25">
      <c r="A4515" t="str">
        <f>"20190304155151252"</f>
        <v>20190304155151252</v>
      </c>
      <c r="B4515" t="str">
        <f>"1551685911241461"</f>
        <v>1551685911241461</v>
      </c>
      <c r="C4515" t="s">
        <v>40</v>
      </c>
      <c r="D4515">
        <v>4.5865340000000003</v>
      </c>
      <c r="E4515">
        <v>0.51562889999999995</v>
      </c>
      <c r="F4515" t="s">
        <v>41</v>
      </c>
      <c r="G4515">
        <v>-373.73390000000001</v>
      </c>
      <c r="H4515" s="1">
        <v>-4.034344E-6</v>
      </c>
      <c r="I4515">
        <v>145.41720000000001</v>
      </c>
      <c r="J4515">
        <v>-282.20339999999999</v>
      </c>
      <c r="K4515">
        <v>1.1102050000000001</v>
      </c>
      <c r="L4515">
        <v>141.60939999999999</v>
      </c>
      <c r="M4515">
        <v>-0.99995310000000004</v>
      </c>
      <c r="N4515">
        <v>-9.684069E-3</v>
      </c>
      <c r="O4515">
        <v>-3.5975589999999902E-4</v>
      </c>
      <c r="P4515">
        <v>-0.98127229999999999</v>
      </c>
      <c r="Q4515">
        <v>0.1766083</v>
      </c>
      <c r="R4515">
        <v>-7.6905539999999994E-2</v>
      </c>
      <c r="S4515">
        <v>-3.074036</v>
      </c>
      <c r="T4515">
        <v>-3.7189479999999997E-2</v>
      </c>
      <c r="U4515">
        <v>0.1275482</v>
      </c>
      <c r="V4515">
        <v>-7.6567590000000005E-2</v>
      </c>
      <c r="W4515">
        <v>0.18609719999999999</v>
      </c>
      <c r="X4515">
        <v>0.97954339999999995</v>
      </c>
      <c r="Y4515">
        <v>4.1810390000000003E-2</v>
      </c>
      <c r="Z4515">
        <v>4.56212E-4</v>
      </c>
      <c r="AA4515">
        <v>0.9991255</v>
      </c>
      <c r="AB4515">
        <v>24</v>
      </c>
      <c r="AC4515">
        <v>-91.530500000000004</v>
      </c>
      <c r="AD4515">
        <v>-1.1102090343440001</v>
      </c>
      <c r="AE4515">
        <v>3.8078000000000101</v>
      </c>
      <c r="AF4515">
        <v>3.8401659361784302</v>
      </c>
      <c r="AG4515">
        <v>-1.1102090343440001</v>
      </c>
      <c r="AH4515">
        <v>91.515683417863897</v>
      </c>
      <c r="AI4515">
        <v>90.694430169300503</v>
      </c>
      <c r="AJ4515">
        <v>87.597173632246196</v>
      </c>
      <c r="AK4515">
        <v>91.602946186004402</v>
      </c>
      <c r="AL4515">
        <v>79.274891930369193</v>
      </c>
      <c r="AM4515">
        <v>94.469528846859305</v>
      </c>
      <c r="AN4515">
        <v>1.0000000180849</v>
      </c>
    </row>
    <row r="4516" spans="1:40" x14ac:dyDescent="0.25">
      <c r="A4516" t="str">
        <f>"20190304155151272"</f>
        <v>20190304155151272</v>
      </c>
      <c r="B4516" t="str">
        <f>"1551685911260982"</f>
        <v>1551685911260982</v>
      </c>
      <c r="C4516" t="s">
        <v>40</v>
      </c>
      <c r="D4516">
        <v>4.6107589999999998</v>
      </c>
      <c r="E4516">
        <v>0.51489529999999994</v>
      </c>
      <c r="F4516" t="s">
        <v>52</v>
      </c>
      <c r="G4516">
        <v>-727.1028</v>
      </c>
      <c r="H4516">
        <v>-0.1</v>
      </c>
      <c r="I4516">
        <v>127.5526</v>
      </c>
      <c r="J4516">
        <v>-282.42419999999998</v>
      </c>
      <c r="K4516">
        <v>1.1101989999999999</v>
      </c>
      <c r="L4516">
        <v>141.60929999999999</v>
      </c>
      <c r="M4516">
        <v>-0.99995319999999999</v>
      </c>
      <c r="N4516">
        <v>-9.6758869999999993E-3</v>
      </c>
      <c r="O4516">
        <v>-4.280256E-4</v>
      </c>
      <c r="P4516">
        <v>-0.98128059999999995</v>
      </c>
      <c r="Q4516">
        <v>0.17636879999999999</v>
      </c>
      <c r="R4516">
        <v>-7.7348470000000002E-2</v>
      </c>
      <c r="S4516">
        <v>-3.0512079999999999</v>
      </c>
      <c r="T4516">
        <v>-8.2998280000000004E-3</v>
      </c>
      <c r="U4516">
        <v>-9.6405030000000003E-2</v>
      </c>
      <c r="V4516">
        <v>-7.6943529999999996E-2</v>
      </c>
      <c r="W4516">
        <v>0.1858494</v>
      </c>
      <c r="X4516">
        <v>0.97956100000000002</v>
      </c>
      <c r="Y4516">
        <v>-3.115159E-2</v>
      </c>
      <c r="Z4516">
        <v>-1.960869E-4</v>
      </c>
      <c r="AA4516">
        <v>0.99951460000000003</v>
      </c>
      <c r="AB4516">
        <v>24</v>
      </c>
      <c r="AC4516">
        <v>-444.67860000000002</v>
      </c>
      <c r="AD4516">
        <v>-1.210199</v>
      </c>
      <c r="AE4516">
        <v>-14.0566999999999</v>
      </c>
      <c r="AF4516">
        <v>-13.8662533972731</v>
      </c>
      <c r="AG4516">
        <v>-1.210199</v>
      </c>
      <c r="AH4516">
        <v>444.68128586532998</v>
      </c>
      <c r="AI4516">
        <v>90.155854181473003</v>
      </c>
      <c r="AJ4516">
        <v>91.786044230818504</v>
      </c>
      <c r="AK4516">
        <v>444.89907121024697</v>
      </c>
      <c r="AL4516">
        <v>79.289342030829005</v>
      </c>
      <c r="AM4516">
        <v>94.491303893524901</v>
      </c>
      <c r="AN4516">
        <v>1.0000000295051099</v>
      </c>
    </row>
    <row r="4517" spans="1:40" x14ac:dyDescent="0.25">
      <c r="A4517" t="str">
        <f>"20190304155151295"</f>
        <v>20190304155151295</v>
      </c>
      <c r="B4517" t="str">
        <f>"1551685911291238"</f>
        <v>1551685911291238</v>
      </c>
      <c r="C4517" t="s">
        <v>40</v>
      </c>
      <c r="D4517">
        <v>4.8527870000000002</v>
      </c>
      <c r="E4517">
        <v>0.51654199999999995</v>
      </c>
      <c r="F4517" t="s">
        <v>53</v>
      </c>
      <c r="G4517">
        <v>0</v>
      </c>
      <c r="H4517">
        <v>0</v>
      </c>
      <c r="I4517">
        <v>0</v>
      </c>
      <c r="J4517">
        <v>-282.65640000000002</v>
      </c>
      <c r="K4517">
        <v>1.1101970000000001</v>
      </c>
      <c r="L4517">
        <v>141.60910000000001</v>
      </c>
      <c r="M4517">
        <v>-0.99995330000000004</v>
      </c>
      <c r="N4517">
        <v>-9.6686759999999993E-3</v>
      </c>
      <c r="O4517">
        <v>-4.9987440000000001E-4</v>
      </c>
      <c r="P4517">
        <v>-0.98130110000000004</v>
      </c>
      <c r="Q4517">
        <v>0.176167299999999</v>
      </c>
      <c r="R4517">
        <v>-7.7545149999999993E-2</v>
      </c>
      <c r="S4517">
        <v>-3.0495000000000001</v>
      </c>
      <c r="T4517">
        <v>-2.395749E-3</v>
      </c>
      <c r="U4517">
        <v>-0.1036682</v>
      </c>
      <c r="V4517">
        <v>-7.7069929999999995E-2</v>
      </c>
      <c r="W4517">
        <v>0.18564130000000001</v>
      </c>
      <c r="X4517">
        <v>0.97959050000000003</v>
      </c>
      <c r="Y4517">
        <v>-3.34758E-2</v>
      </c>
      <c r="Z4517">
        <v>-1.7946920000000001E-4</v>
      </c>
      <c r="AA4517">
        <v>0.99943950000000004</v>
      </c>
      <c r="AB4517">
        <v>24</v>
      </c>
      <c r="AC4517">
        <v>-3.0495000000000001</v>
      </c>
      <c r="AD4517">
        <v>-2.395749E-3</v>
      </c>
      <c r="AE4517">
        <v>-0.1036682</v>
      </c>
      <c r="AF4517">
        <v>-0.102143686092962</v>
      </c>
      <c r="AG4517">
        <v>-2.395749E-3</v>
      </c>
      <c r="AH4517">
        <v>3.0495495624545299</v>
      </c>
      <c r="AI4517">
        <v>90.044986756603095</v>
      </c>
      <c r="AJ4517">
        <v>91.918386593983101</v>
      </c>
      <c r="AK4517">
        <v>3.0512606584965098</v>
      </c>
      <c r="AL4517">
        <v>79.301476203069797</v>
      </c>
      <c r="AM4517">
        <v>94.498516861968199</v>
      </c>
      <c r="AN4517">
        <v>1.0000000070330699</v>
      </c>
    </row>
    <row r="4518" spans="1:40" x14ac:dyDescent="0.25">
      <c r="A4518" t="str">
        <f>"20190304155151318"</f>
        <v>20190304155151318</v>
      </c>
      <c r="B4518" t="str">
        <f>"1551685911311735"</f>
        <v>1551685911311735</v>
      </c>
      <c r="C4518" t="s">
        <v>40</v>
      </c>
      <c r="D4518">
        <v>4.8626170000000002</v>
      </c>
      <c r="E4518">
        <v>0.51705579999999995</v>
      </c>
      <c r="F4518" t="s">
        <v>53</v>
      </c>
      <c r="G4518">
        <v>0</v>
      </c>
      <c r="H4518">
        <v>0</v>
      </c>
      <c r="I4518">
        <v>0</v>
      </c>
      <c r="J4518">
        <v>-282.90620000000001</v>
      </c>
      <c r="K4518">
        <v>1.110196</v>
      </c>
      <c r="L4518">
        <v>141.60890000000001</v>
      </c>
      <c r="M4518">
        <v>-0.99995310000000004</v>
      </c>
      <c r="N4518">
        <v>-9.6623190000000008E-3</v>
      </c>
      <c r="O4518">
        <v>-5.7685359999999999E-4</v>
      </c>
      <c r="P4518">
        <v>-0.98122960000000004</v>
      </c>
      <c r="Q4518">
        <v>0.17643259999999999</v>
      </c>
      <c r="R4518">
        <v>-7.7847559999999996E-2</v>
      </c>
      <c r="S4518">
        <v>-3.048584</v>
      </c>
      <c r="T4518">
        <v>7.3539019999999998E-3</v>
      </c>
      <c r="U4518">
        <v>-9.1552729999999999E-2</v>
      </c>
      <c r="V4518">
        <v>-7.7296379999999998E-2</v>
      </c>
      <c r="W4518">
        <v>0.18589900000000001</v>
      </c>
      <c r="X4518">
        <v>0.97952379999999994</v>
      </c>
      <c r="Y4518">
        <v>-2.944138E-2</v>
      </c>
      <c r="Z4518">
        <v>-1.137329E-4</v>
      </c>
      <c r="AA4518">
        <v>0.99956650000000002</v>
      </c>
      <c r="AB4518">
        <v>24</v>
      </c>
      <c r="AC4518">
        <v>-3.048584</v>
      </c>
      <c r="AD4518">
        <v>7.3539019999999998E-3</v>
      </c>
      <c r="AE4518">
        <v>-9.1552729999999999E-2</v>
      </c>
      <c r="AF4518">
        <v>-8.9793523894908994E-2</v>
      </c>
      <c r="AG4518">
        <v>7.3539019999999998E-3</v>
      </c>
      <c r="AH4518">
        <v>3.0486185841601898</v>
      </c>
      <c r="AI4518">
        <v>89.861850843901806</v>
      </c>
      <c r="AJ4518">
        <v>91.687092966129001</v>
      </c>
      <c r="AK4518">
        <v>3.04994954523759</v>
      </c>
      <c r="AL4518">
        <v>79.286449673212203</v>
      </c>
      <c r="AM4518">
        <v>94.511986047125504</v>
      </c>
      <c r="AN4518">
        <v>1.0000000216642699</v>
      </c>
    </row>
    <row r="4519" spans="1:40" x14ac:dyDescent="0.25">
      <c r="A4519" t="str">
        <f>"20190304155151352"</f>
        <v>20190304155151352</v>
      </c>
      <c r="B4519" t="str">
        <f>"1551685911341019"</f>
        <v>1551685911341019</v>
      </c>
      <c r="C4519" t="s">
        <v>40</v>
      </c>
      <c r="D4519">
        <v>4.5697130000000001</v>
      </c>
      <c r="E4519">
        <v>0.51625869999999996</v>
      </c>
      <c r="F4519" t="s">
        <v>53</v>
      </c>
      <c r="G4519">
        <v>0</v>
      </c>
      <c r="H4519">
        <v>0</v>
      </c>
      <c r="I4519">
        <v>0</v>
      </c>
      <c r="J4519">
        <v>-283.26609999999999</v>
      </c>
      <c r="K4519">
        <v>1.1101989999999999</v>
      </c>
      <c r="L4519">
        <v>141.60849999999999</v>
      </c>
      <c r="M4519">
        <v>-0.99995330000000004</v>
      </c>
      <c r="N4519">
        <v>-9.6553449999999992E-3</v>
      </c>
      <c r="O4519">
        <v>-6.8803919999999995E-4</v>
      </c>
      <c r="P4519">
        <v>-0.98094340000000002</v>
      </c>
      <c r="Q4519">
        <v>0.17780009999999999</v>
      </c>
      <c r="R4519">
        <v>-7.8341519999999998E-2</v>
      </c>
      <c r="S4519">
        <v>-3.048737</v>
      </c>
      <c r="T4519">
        <v>9.1890099999999992E-3</v>
      </c>
      <c r="U4519">
        <v>-8.8729859999999994E-2</v>
      </c>
      <c r="V4519">
        <v>-7.7681849999999997E-2</v>
      </c>
      <c r="W4519">
        <v>0.18725710000000001</v>
      </c>
      <c r="X4519">
        <v>0.97923459999999996</v>
      </c>
      <c r="Y4519">
        <v>-2.840405E-2</v>
      </c>
      <c r="Z4519">
        <v>-1.03076E-4</v>
      </c>
      <c r="AA4519">
        <v>0.9995965</v>
      </c>
      <c r="AB4519">
        <v>24</v>
      </c>
      <c r="AC4519">
        <v>-3.048737</v>
      </c>
      <c r="AD4519">
        <v>9.1890099999999992E-3</v>
      </c>
      <c r="AE4519">
        <v>-8.8729859999999994E-2</v>
      </c>
      <c r="AF4519">
        <v>-8.6631304631322195E-2</v>
      </c>
      <c r="AG4519">
        <v>9.1890099999999992E-3</v>
      </c>
      <c r="AH4519">
        <v>3.0487696578738399</v>
      </c>
      <c r="AI4519">
        <v>89.827380374410197</v>
      </c>
      <c r="AJ4519">
        <v>91.6276312822053</v>
      </c>
      <c r="AK4519">
        <v>3.0500140733476999</v>
      </c>
      <c r="AL4519">
        <v>79.207245727176797</v>
      </c>
      <c r="AM4519">
        <v>94.535726875759096</v>
      </c>
      <c r="AN4519">
        <v>1.00000004657849</v>
      </c>
    </row>
    <row r="4520" spans="1:40" x14ac:dyDescent="0.25">
      <c r="A4520" t="str">
        <f>"20190304155151374"</f>
        <v>20190304155151374</v>
      </c>
      <c r="B4520" t="str">
        <f>"1551685911371270"</f>
        <v>1551685911371270</v>
      </c>
      <c r="C4520" t="s">
        <v>40</v>
      </c>
      <c r="D4520">
        <v>4.6249159999999998</v>
      </c>
      <c r="E4520">
        <v>0.51665620000000001</v>
      </c>
      <c r="F4520" t="s">
        <v>53</v>
      </c>
      <c r="G4520">
        <v>0</v>
      </c>
      <c r="H4520">
        <v>0</v>
      </c>
      <c r="I4520">
        <v>0</v>
      </c>
      <c r="J4520">
        <v>-283.49669999999998</v>
      </c>
      <c r="K4520">
        <v>1.110204</v>
      </c>
      <c r="L4520">
        <v>141.60830000000001</v>
      </c>
      <c r="M4520">
        <v>-0.99995330000000004</v>
      </c>
      <c r="N4520">
        <v>-9.6521279999999994E-3</v>
      </c>
      <c r="O4520">
        <v>-7.5763190000000002E-4</v>
      </c>
      <c r="P4520">
        <v>-0.980792</v>
      </c>
      <c r="Q4520">
        <v>0.1785206</v>
      </c>
      <c r="R4520">
        <v>-7.859824E-2</v>
      </c>
      <c r="S4520">
        <v>-3.0493160000000001</v>
      </c>
      <c r="T4520">
        <v>7.0301290000000004E-3</v>
      </c>
      <c r="U4520">
        <v>-9.661865E-2</v>
      </c>
      <c r="V4520">
        <v>-7.7869919999999995E-2</v>
      </c>
      <c r="W4520">
        <v>0.18797320000000001</v>
      </c>
      <c r="X4520">
        <v>0.97908240000000002</v>
      </c>
      <c r="Y4520">
        <v>-3.0912479999999999E-2</v>
      </c>
      <c r="Z4520">
        <v>-1.226582E-4</v>
      </c>
      <c r="AA4520">
        <v>0.99952209999999997</v>
      </c>
      <c r="AB4520">
        <v>24</v>
      </c>
      <c r="AC4520">
        <v>-3.0493160000000001</v>
      </c>
      <c r="AD4520">
        <v>7.0301290000000004E-3</v>
      </c>
      <c r="AE4520">
        <v>-9.661865E-2</v>
      </c>
      <c r="AF4520">
        <v>-9.4307755197530097E-2</v>
      </c>
      <c r="AG4520">
        <v>7.0301290000000004E-3</v>
      </c>
      <c r="AH4520">
        <v>3.0493721376790299</v>
      </c>
      <c r="AI4520">
        <v>89.867971668991302</v>
      </c>
      <c r="AJ4520">
        <v>91.771418620077696</v>
      </c>
      <c r="AK4520">
        <v>3.0508382142384001</v>
      </c>
      <c r="AL4520">
        <v>79.165473930457395</v>
      </c>
      <c r="AM4520">
        <v>94.547365837336002</v>
      </c>
      <c r="AN4520">
        <v>0.99999999717440302</v>
      </c>
    </row>
    <row r="4521" spans="1:40" x14ac:dyDescent="0.25">
      <c r="A4521" t="str">
        <f>"20190304155151396"</f>
        <v>20190304155151396</v>
      </c>
      <c r="B4521" t="str">
        <f>"1551685911391766"</f>
        <v>1551685911391766</v>
      </c>
      <c r="C4521" t="s">
        <v>40</v>
      </c>
      <c r="D4521">
        <v>4.641248</v>
      </c>
      <c r="E4521">
        <v>0.51666020000000001</v>
      </c>
      <c r="F4521" t="s">
        <v>53</v>
      </c>
      <c r="G4521">
        <v>0</v>
      </c>
      <c r="H4521">
        <v>0</v>
      </c>
      <c r="I4521">
        <v>0</v>
      </c>
      <c r="J4521">
        <v>-283.73869999999999</v>
      </c>
      <c r="K4521">
        <v>1.110201</v>
      </c>
      <c r="L4521">
        <v>141.608</v>
      </c>
      <c r="M4521">
        <v>-0.99995319999999999</v>
      </c>
      <c r="N4521">
        <v>-9.6495959999999999E-3</v>
      </c>
      <c r="O4521">
        <v>-8.2805619999999896E-4</v>
      </c>
      <c r="P4521">
        <v>-0.98062309999999997</v>
      </c>
      <c r="Q4521">
        <v>0.17944740000000001</v>
      </c>
      <c r="R4521">
        <v>-7.8593899999999994E-2</v>
      </c>
      <c r="S4521">
        <v>-3.0489809999999999</v>
      </c>
      <c r="T4521">
        <v>1.1954670000000001E-2</v>
      </c>
      <c r="U4521">
        <v>-9.4802860000000003E-2</v>
      </c>
      <c r="V4521">
        <v>-7.7796610000000002E-2</v>
      </c>
      <c r="W4521">
        <v>0.18889629999999999</v>
      </c>
      <c r="X4521">
        <v>0.97891059999999996</v>
      </c>
      <c r="Y4521">
        <v>-3.0250989999999998E-2</v>
      </c>
      <c r="Z4521" s="1">
        <v>-9.7936649999999997E-5</v>
      </c>
      <c r="AA4521">
        <v>0.99954240000000005</v>
      </c>
      <c r="AB4521">
        <v>24</v>
      </c>
      <c r="AC4521">
        <v>-3.0489809999999999</v>
      </c>
      <c r="AD4521">
        <v>1.1954670000000001E-2</v>
      </c>
      <c r="AE4521">
        <v>-9.4802860000000003E-2</v>
      </c>
      <c r="AF4521">
        <v>-9.2276565356339699E-2</v>
      </c>
      <c r="AG4521">
        <v>1.1954670000000001E-2</v>
      </c>
      <c r="AH4521">
        <v>3.04901163238618</v>
      </c>
      <c r="AI4521">
        <v>89.775456691071497</v>
      </c>
      <c r="AJ4521">
        <v>91.733494347071996</v>
      </c>
      <c r="AK4521">
        <v>3.0504310864326998</v>
      </c>
      <c r="AL4521">
        <v>79.111619942184404</v>
      </c>
      <c r="AM4521">
        <v>94.543896668277</v>
      </c>
      <c r="AN4521">
        <v>1.00000004373677</v>
      </c>
    </row>
    <row r="4522" spans="1:40" x14ac:dyDescent="0.25">
      <c r="A4522" t="str">
        <f>"20190304155151419"</f>
        <v>20190304155151419</v>
      </c>
      <c r="B4522" t="str">
        <f>"1551685911411286"</f>
        <v>1551685911411286</v>
      </c>
      <c r="C4522" t="s">
        <v>40</v>
      </c>
      <c r="D4522">
        <v>4.616549</v>
      </c>
      <c r="E4522">
        <v>0.51629519999999995</v>
      </c>
      <c r="F4522" t="s">
        <v>53</v>
      </c>
      <c r="G4522">
        <v>0</v>
      </c>
      <c r="H4522">
        <v>0</v>
      </c>
      <c r="I4522">
        <v>0</v>
      </c>
      <c r="J4522">
        <v>-283.98860000000002</v>
      </c>
      <c r="K4522">
        <v>1.110201</v>
      </c>
      <c r="L4522">
        <v>141.6078</v>
      </c>
      <c r="M4522">
        <v>-0.99995319999999999</v>
      </c>
      <c r="N4522">
        <v>-9.6477839999999995E-3</v>
      </c>
      <c r="O4522">
        <v>-8.9655919999999997E-4</v>
      </c>
      <c r="P4522">
        <v>-0.98029169999999999</v>
      </c>
      <c r="Q4522">
        <v>0.18099860000000001</v>
      </c>
      <c r="R4522">
        <v>-7.9171580000000005E-2</v>
      </c>
      <c r="S4522">
        <v>-3.0487980000000001</v>
      </c>
      <c r="T4522">
        <v>1.5845660000000001E-2</v>
      </c>
      <c r="U4522">
        <v>-9.4665529999999998E-2</v>
      </c>
      <c r="V4522">
        <v>-7.8305799999999995E-2</v>
      </c>
      <c r="W4522">
        <v>0.1904431</v>
      </c>
      <c r="X4522">
        <v>0.97857019999999995</v>
      </c>
      <c r="Y4522">
        <v>-3.0139429999999998E-2</v>
      </c>
      <c r="Z4522" s="1">
        <v>-8.0430119999999996E-5</v>
      </c>
      <c r="AA4522">
        <v>0.99954569999999998</v>
      </c>
      <c r="AB4522">
        <v>24</v>
      </c>
      <c r="AC4522">
        <v>-3.0487980000000001</v>
      </c>
      <c r="AD4522">
        <v>1.5845660000000001E-2</v>
      </c>
      <c r="AE4522">
        <v>-9.4665529999999998E-2</v>
      </c>
      <c r="AF4522">
        <v>-9.1929456377462901E-2</v>
      </c>
      <c r="AG4522">
        <v>1.5845660000000001E-2</v>
      </c>
      <c r="AH4522">
        <v>3.04879937563453</v>
      </c>
      <c r="AI4522">
        <v>89.702352064424602</v>
      </c>
      <c r="AJ4522">
        <v>91.727097722626695</v>
      </c>
      <c r="AK4522">
        <v>3.0502261789513598</v>
      </c>
      <c r="AL4522">
        <v>79.021355919259506</v>
      </c>
      <c r="AM4522">
        <v>94.575095526055094</v>
      </c>
      <c r="AN4522">
        <v>1.00000000448964</v>
      </c>
    </row>
    <row r="4523" spans="1:40" x14ac:dyDescent="0.25">
      <c r="A4523" t="str">
        <f>"20190304155151442"</f>
        <v>20190304155151442</v>
      </c>
      <c r="B4523" t="str">
        <f>"1551685911431782"</f>
        <v>1551685911431782</v>
      </c>
      <c r="C4523" t="s">
        <v>40</v>
      </c>
      <c r="D4523">
        <v>4.6192989999999998</v>
      </c>
      <c r="E4523">
        <v>0.51594609999999996</v>
      </c>
      <c r="F4523" t="s">
        <v>53</v>
      </c>
      <c r="G4523">
        <v>0</v>
      </c>
      <c r="H4523">
        <v>0</v>
      </c>
      <c r="I4523">
        <v>0</v>
      </c>
      <c r="J4523">
        <v>-284.23520000000002</v>
      </c>
      <c r="K4523">
        <v>1.1102050000000001</v>
      </c>
      <c r="L4523">
        <v>141.60749999999999</v>
      </c>
      <c r="M4523">
        <v>-0.99995319999999999</v>
      </c>
      <c r="N4523">
        <v>-9.6466920000000001E-3</v>
      </c>
      <c r="O4523">
        <v>-9.5729799999999998E-4</v>
      </c>
      <c r="P4523">
        <v>-0.97998459999999998</v>
      </c>
      <c r="Q4523">
        <v>0.18239320000000001</v>
      </c>
      <c r="R4523">
        <v>-7.9771209999999995E-2</v>
      </c>
      <c r="S4523">
        <v>-3.0487669999999998</v>
      </c>
      <c r="T4523">
        <v>1.8994090000000002E-2</v>
      </c>
      <c r="U4523">
        <v>-9.9517820000000007E-2</v>
      </c>
      <c r="V4523">
        <v>-7.8844460000000005E-2</v>
      </c>
      <c r="W4523">
        <v>0.19183420000000001</v>
      </c>
      <c r="X4523">
        <v>0.97825519999999999</v>
      </c>
      <c r="Y4523">
        <v>-3.1668229999999999E-2</v>
      </c>
      <c r="Z4523" s="1">
        <v>-6.9364179999999994E-5</v>
      </c>
      <c r="AA4523">
        <v>0.99949840000000001</v>
      </c>
      <c r="AB4523">
        <v>24</v>
      </c>
      <c r="AC4523">
        <v>-3.0487669999999998</v>
      </c>
      <c r="AD4523">
        <v>1.8994090000000002E-2</v>
      </c>
      <c r="AE4523">
        <v>-9.9517820000000007E-2</v>
      </c>
      <c r="AF4523">
        <v>-9.6595315324844097E-2</v>
      </c>
      <c r="AG4523">
        <v>1.8994090000000002E-2</v>
      </c>
      <c r="AH4523">
        <v>3.0487426675428901</v>
      </c>
      <c r="AI4523">
        <v>89.6432229854898</v>
      </c>
      <c r="AJ4523">
        <v>91.814732715101698</v>
      </c>
      <c r="AK4523">
        <v>3.0503316677525598</v>
      </c>
      <c r="AL4523">
        <v>78.940154853819493</v>
      </c>
      <c r="AM4523">
        <v>94.607909192202499</v>
      </c>
      <c r="AN4523">
        <v>1.0000000227446799</v>
      </c>
    </row>
    <row r="4524" spans="1:40" x14ac:dyDescent="0.25">
      <c r="A4524" t="str">
        <f>"20190304155151463"</f>
        <v>20190304155151463</v>
      </c>
      <c r="B4524" t="str">
        <f>"1551685911451302"</f>
        <v>1551685911451302</v>
      </c>
      <c r="C4524" t="s">
        <v>40</v>
      </c>
      <c r="D4524">
        <v>4.651554</v>
      </c>
      <c r="E4524">
        <v>0.51584750000000001</v>
      </c>
      <c r="F4524" t="s">
        <v>53</v>
      </c>
      <c r="G4524">
        <v>0</v>
      </c>
      <c r="H4524">
        <v>0</v>
      </c>
      <c r="I4524">
        <v>0</v>
      </c>
      <c r="J4524">
        <v>-284.4624</v>
      </c>
      <c r="K4524">
        <v>1.1102050000000001</v>
      </c>
      <c r="L4524">
        <v>141.60720000000001</v>
      </c>
      <c r="M4524">
        <v>-0.99995299999999998</v>
      </c>
      <c r="N4524">
        <v>-9.646244E-3</v>
      </c>
      <c r="O4524">
        <v>-1.0050269999999999E-3</v>
      </c>
      <c r="P4524">
        <v>-0.97977219999999998</v>
      </c>
      <c r="Q4524">
        <v>0.18337300000000001</v>
      </c>
      <c r="R4524">
        <v>-8.0130480000000004E-2</v>
      </c>
      <c r="S4524">
        <v>-3.0491329999999999</v>
      </c>
      <c r="T4524">
        <v>1.9944190000000001E-2</v>
      </c>
      <c r="U4524">
        <v>-0.1040649</v>
      </c>
      <c r="V4524">
        <v>-7.9154119999999994E-2</v>
      </c>
      <c r="W4524">
        <v>0.1928126</v>
      </c>
      <c r="X4524">
        <v>0.97803779999999996</v>
      </c>
      <c r="Y4524">
        <v>-3.3105450000000002E-2</v>
      </c>
      <c r="Z4524" s="1">
        <v>-6.774699E-5</v>
      </c>
      <c r="AA4524">
        <v>0.99945189999999995</v>
      </c>
      <c r="AB4524">
        <v>24</v>
      </c>
      <c r="AC4524">
        <v>-3.0491329999999999</v>
      </c>
      <c r="AD4524">
        <v>1.9944190000000001E-2</v>
      </c>
      <c r="AE4524">
        <v>-0.1040649</v>
      </c>
      <c r="AF4524">
        <v>-0.10099592798867001</v>
      </c>
      <c r="AG4524">
        <v>1.9944190000000001E-2</v>
      </c>
      <c r="AH4524">
        <v>3.0491057520514802</v>
      </c>
      <c r="AI4524">
        <v>89.625439263338095</v>
      </c>
      <c r="AJ4524">
        <v>91.897121985645796</v>
      </c>
      <c r="AK4524">
        <v>3.05084313516419</v>
      </c>
      <c r="AL4524">
        <v>78.883030046262604</v>
      </c>
      <c r="AM4524">
        <v>94.626952065138596</v>
      </c>
      <c r="AN4524">
        <v>1.00000000583028</v>
      </c>
    </row>
    <row r="4525" spans="1:40" x14ac:dyDescent="0.25">
      <c r="A4525" t="str">
        <f>"20190304155151485"</f>
        <v>20190304155151485</v>
      </c>
      <c r="B4525" t="str">
        <f>"1551685911481559"</f>
        <v>1551685911481559</v>
      </c>
      <c r="C4525" t="s">
        <v>40</v>
      </c>
      <c r="D4525">
        <v>4.6265970000000003</v>
      </c>
      <c r="E4525">
        <v>0.51560459999999997</v>
      </c>
      <c r="F4525" t="s">
        <v>53</v>
      </c>
      <c r="G4525">
        <v>0</v>
      </c>
      <c r="H4525">
        <v>0</v>
      </c>
      <c r="I4525">
        <v>0</v>
      </c>
      <c r="J4525">
        <v>-284.69889999999998</v>
      </c>
      <c r="K4525">
        <v>1.110201</v>
      </c>
      <c r="L4525">
        <v>141.6069</v>
      </c>
      <c r="M4525">
        <v>-0.99995299999999998</v>
      </c>
      <c r="N4525">
        <v>-9.6462519999999993E-3</v>
      </c>
      <c r="O4525">
        <v>-1.0422350000000001E-3</v>
      </c>
      <c r="P4525">
        <v>-0.97967309999999996</v>
      </c>
      <c r="Q4525">
        <v>0.1836506</v>
      </c>
      <c r="R4525">
        <v>-8.0704410000000004E-2</v>
      </c>
      <c r="S4525">
        <v>-3.049194</v>
      </c>
      <c r="T4525">
        <v>2.1516560000000001E-2</v>
      </c>
      <c r="U4525">
        <v>-0.1060181</v>
      </c>
      <c r="V4525">
        <v>-7.9687830000000001E-2</v>
      </c>
      <c r="W4525">
        <v>0.1930915</v>
      </c>
      <c r="X4525">
        <v>0.97793940000000001</v>
      </c>
      <c r="Y4525">
        <v>-3.3706989999999999E-2</v>
      </c>
      <c r="Z4525" s="1">
        <v>-6.1139119999999993E-5</v>
      </c>
      <c r="AA4525">
        <v>0.99943170000000003</v>
      </c>
      <c r="AB4525">
        <v>24</v>
      </c>
      <c r="AC4525">
        <v>-3.049194</v>
      </c>
      <c r="AD4525">
        <v>2.1516560000000001E-2</v>
      </c>
      <c r="AE4525">
        <v>-0.1060181</v>
      </c>
      <c r="AF4525">
        <v>-0.102834803702744</v>
      </c>
      <c r="AG4525">
        <v>2.1516560000000001E-2</v>
      </c>
      <c r="AH4525">
        <v>3.0491511990507201</v>
      </c>
      <c r="AI4525">
        <v>89.595924552471004</v>
      </c>
      <c r="AJ4525">
        <v>91.931608988050598</v>
      </c>
      <c r="AK4525">
        <v>3.0509606673766299</v>
      </c>
      <c r="AL4525">
        <v>78.866743852438205</v>
      </c>
      <c r="AM4525">
        <v>94.658479868136894</v>
      </c>
      <c r="AN4525">
        <v>0.99999997384735895</v>
      </c>
    </row>
    <row r="4526" spans="1:40" x14ac:dyDescent="0.25">
      <c r="A4526" t="str">
        <f>"20190304155151507"</f>
        <v>20190304155151507</v>
      </c>
      <c r="B4526" t="str">
        <f>"1551685911501078"</f>
        <v>1551685911501078</v>
      </c>
      <c r="C4526" t="s">
        <v>40</v>
      </c>
      <c r="D4526">
        <v>4.6356950000000001</v>
      </c>
      <c r="E4526">
        <v>0.5154493</v>
      </c>
      <c r="F4526" t="s">
        <v>53</v>
      </c>
      <c r="G4526">
        <v>0</v>
      </c>
      <c r="H4526">
        <v>0</v>
      </c>
      <c r="I4526">
        <v>0</v>
      </c>
      <c r="J4526">
        <v>-284.94439999999997</v>
      </c>
      <c r="K4526">
        <v>1.110196</v>
      </c>
      <c r="L4526">
        <v>141.60659999999999</v>
      </c>
      <c r="M4526">
        <v>-0.99995310000000004</v>
      </c>
      <c r="N4526">
        <v>-9.6420529999999994E-3</v>
      </c>
      <c r="O4526">
        <v>-1.066525E-3</v>
      </c>
      <c r="P4526">
        <v>-0.97944509999999996</v>
      </c>
      <c r="Q4526">
        <v>0.18443899999999999</v>
      </c>
      <c r="R4526">
        <v>-8.1666950000000002E-2</v>
      </c>
      <c r="S4526">
        <v>-3.049652</v>
      </c>
      <c r="T4526">
        <v>1.8987540000000001E-2</v>
      </c>
      <c r="U4526">
        <v>-0.1095734</v>
      </c>
      <c r="V4526">
        <v>-8.0622180000000002E-2</v>
      </c>
      <c r="W4526">
        <v>0.19387560000000001</v>
      </c>
      <c r="X4526">
        <v>0.97770769999999996</v>
      </c>
      <c r="Y4526">
        <v>-3.4841230000000001E-2</v>
      </c>
      <c r="Z4526" s="1">
        <v>-7.6518859999999994E-5</v>
      </c>
      <c r="AA4526">
        <v>0.99939290000000003</v>
      </c>
      <c r="AB4526">
        <v>24</v>
      </c>
      <c r="AC4526">
        <v>-3.049652</v>
      </c>
      <c r="AD4526">
        <v>1.8987540000000001E-2</v>
      </c>
      <c r="AE4526">
        <v>-0.1095734</v>
      </c>
      <c r="AF4526">
        <v>-0.10631654085655</v>
      </c>
      <c r="AG4526">
        <v>1.8987540000000001E-2</v>
      </c>
      <c r="AH4526">
        <v>3.0496490671472798</v>
      </c>
      <c r="AI4526">
        <v>89.643489674480705</v>
      </c>
      <c r="AJ4526">
        <v>91.996630753365906</v>
      </c>
      <c r="AK4526">
        <v>3.0515607754536398</v>
      </c>
      <c r="AL4526">
        <v>78.820953412752601</v>
      </c>
      <c r="AM4526">
        <v>94.713968349565903</v>
      </c>
      <c r="AN4526">
        <v>1.0000000154113</v>
      </c>
    </row>
    <row r="4527" spans="1:40" x14ac:dyDescent="0.25">
      <c r="A4527" t="str">
        <f>"20190304155151531"</f>
        <v>20190304155151531</v>
      </c>
      <c r="B4527" t="str">
        <f>"1551685911521574"</f>
        <v>1551685911521574</v>
      </c>
      <c r="C4527" t="s">
        <v>40</v>
      </c>
      <c r="D4527">
        <v>4.6586379999999998</v>
      </c>
      <c r="E4527">
        <v>0.51482139999999998</v>
      </c>
      <c r="F4527" t="s">
        <v>53</v>
      </c>
      <c r="G4527">
        <v>0</v>
      </c>
      <c r="H4527">
        <v>0</v>
      </c>
      <c r="I4527">
        <v>0</v>
      </c>
      <c r="J4527">
        <v>-285.19099999999997</v>
      </c>
      <c r="K4527">
        <v>1.110182</v>
      </c>
      <c r="L4527">
        <v>141.60640000000001</v>
      </c>
      <c r="M4527">
        <v>-0.99995319999999999</v>
      </c>
      <c r="N4527">
        <v>-9.6328820000000006E-3</v>
      </c>
      <c r="O4527">
        <v>-1.0774529999999999E-3</v>
      </c>
      <c r="P4527">
        <v>-0.97910269999999999</v>
      </c>
      <c r="Q4527">
        <v>0.1858804</v>
      </c>
      <c r="R4527">
        <v>-8.2503469999999995E-2</v>
      </c>
      <c r="S4527">
        <v>-3.0501710000000002</v>
      </c>
      <c r="T4527">
        <v>1.7392990000000001E-2</v>
      </c>
      <c r="U4527">
        <v>-0.11405940000000001</v>
      </c>
      <c r="V4527">
        <v>-8.1443340000000003E-2</v>
      </c>
      <c r="W4527">
        <v>0.19530629999999999</v>
      </c>
      <c r="X4527">
        <v>0.97735479999999997</v>
      </c>
      <c r="Y4527">
        <v>-3.6292089999999999E-2</v>
      </c>
      <c r="Z4527" s="1">
        <v>-8.7942749999999896E-5</v>
      </c>
      <c r="AA4527">
        <v>0.99934120000000004</v>
      </c>
      <c r="AB4527">
        <v>24</v>
      </c>
      <c r="AC4527">
        <v>-3.0501710000000002</v>
      </c>
      <c r="AD4527">
        <v>1.7392990000000001E-2</v>
      </c>
      <c r="AE4527">
        <v>-0.11405940000000001</v>
      </c>
      <c r="AF4527">
        <v>-0.110769169224037</v>
      </c>
      <c r="AG4527">
        <v>1.7392990000000001E-2</v>
      </c>
      <c r="AH4527">
        <v>3.0501930864101099</v>
      </c>
      <c r="AI4527">
        <v>89.673503403391706</v>
      </c>
      <c r="AJ4527">
        <v>92.079808696599997</v>
      </c>
      <c r="AK4527">
        <v>3.05225329704724</v>
      </c>
      <c r="AL4527">
        <v>78.7373825123465</v>
      </c>
      <c r="AM4527">
        <v>94.763473243660897</v>
      </c>
      <c r="AN4527">
        <v>0.999999986766542</v>
      </c>
    </row>
    <row r="4528" spans="1:40" x14ac:dyDescent="0.25">
      <c r="A4528" t="str">
        <f>"20190304155151552"</f>
        <v>20190304155151552</v>
      </c>
      <c r="B4528" t="str">
        <f>"1551685911541094"</f>
        <v>1551685911541094</v>
      </c>
      <c r="C4528" t="s">
        <v>40</v>
      </c>
      <c r="D4528">
        <v>5.7238049999999996</v>
      </c>
      <c r="E4528">
        <v>0.51431899999999997</v>
      </c>
      <c r="F4528" t="s">
        <v>53</v>
      </c>
      <c r="G4528">
        <v>0</v>
      </c>
      <c r="H4528">
        <v>0</v>
      </c>
      <c r="I4528">
        <v>0</v>
      </c>
      <c r="J4528">
        <v>-285.43459999999999</v>
      </c>
      <c r="K4528">
        <v>1.110174</v>
      </c>
      <c r="L4528">
        <v>141.6061</v>
      </c>
      <c r="M4528">
        <v>-0.99995310000000004</v>
      </c>
      <c r="N4528">
        <v>-9.6237509999999998E-3</v>
      </c>
      <c r="O4528">
        <v>-1.079715E-3</v>
      </c>
      <c r="P4528">
        <v>-0.97893699999999995</v>
      </c>
      <c r="Q4528">
        <v>0.18648410000000001</v>
      </c>
      <c r="R4528">
        <v>-8.310352E-2</v>
      </c>
      <c r="S4528">
        <v>-3.050751</v>
      </c>
      <c r="T4528">
        <v>1.5724660000000001E-2</v>
      </c>
      <c r="U4528">
        <v>-0.12219240000000001</v>
      </c>
      <c r="V4528">
        <v>-8.2038319999999998E-2</v>
      </c>
      <c r="W4528">
        <v>0.19590109999999999</v>
      </c>
      <c r="X4528">
        <v>0.977186</v>
      </c>
      <c r="Y4528">
        <v>-3.8942770000000002E-2</v>
      </c>
      <c r="Z4528">
        <v>-1.030944E-4</v>
      </c>
      <c r="AA4528">
        <v>0.99924139999999995</v>
      </c>
      <c r="AB4528">
        <v>24</v>
      </c>
      <c r="AC4528">
        <v>-3.050751</v>
      </c>
      <c r="AD4528">
        <v>1.5724660000000001E-2</v>
      </c>
      <c r="AE4528">
        <v>-0.12219240000000001</v>
      </c>
      <c r="AF4528">
        <v>-0.118895080906103</v>
      </c>
      <c r="AG4528">
        <v>1.5724660000000001E-2</v>
      </c>
      <c r="AH4528">
        <v>3.0508002386531499</v>
      </c>
      <c r="AI4528">
        <v>89.704908478385207</v>
      </c>
      <c r="AJ4528">
        <v>92.2317884382893</v>
      </c>
      <c r="AK4528">
        <v>3.0531566290254299</v>
      </c>
      <c r="AL4528">
        <v>78.702631884127101</v>
      </c>
      <c r="AM4528">
        <v>94.798935621915604</v>
      </c>
      <c r="AN4528">
        <v>1.00000000276281</v>
      </c>
    </row>
    <row r="4529" spans="1:40" x14ac:dyDescent="0.25">
      <c r="A4529" t="str">
        <f>"20190304155151573"</f>
        <v>20190304155151573</v>
      </c>
      <c r="B4529" t="str">
        <f>"1551685911561591"</f>
        <v>1551685911561591</v>
      </c>
      <c r="C4529" t="s">
        <v>40</v>
      </c>
      <c r="D4529">
        <v>4.6590699999999998</v>
      </c>
      <c r="E4529">
        <v>0.45513019999999998</v>
      </c>
      <c r="F4529" t="s">
        <v>53</v>
      </c>
      <c r="G4529">
        <v>0</v>
      </c>
      <c r="H4529">
        <v>0</v>
      </c>
      <c r="I4529">
        <v>0</v>
      </c>
      <c r="J4529">
        <v>-285.66149999999999</v>
      </c>
      <c r="K4529">
        <v>1.110166</v>
      </c>
      <c r="L4529">
        <v>141.60589999999999</v>
      </c>
      <c r="M4529">
        <v>-0.99995330000000004</v>
      </c>
      <c r="N4529">
        <v>-9.6166120000000001E-3</v>
      </c>
      <c r="O4529">
        <v>-1.076542E-3</v>
      </c>
      <c r="P4529">
        <v>-0.97869819999999996</v>
      </c>
      <c r="Q4529">
        <v>0.18733669999999999</v>
      </c>
      <c r="R4529">
        <v>-8.3996169999999995E-2</v>
      </c>
      <c r="S4529">
        <v>-3.0507200000000001</v>
      </c>
      <c r="T4529">
        <v>1.53271E-2</v>
      </c>
      <c r="U4529">
        <v>-0.12840270000000001</v>
      </c>
      <c r="V4529">
        <v>-8.2932140000000001E-2</v>
      </c>
      <c r="W4529">
        <v>0.19674510000000001</v>
      </c>
      <c r="X4529">
        <v>0.97694099999999995</v>
      </c>
      <c r="Y4529">
        <v>-4.0977E-2</v>
      </c>
      <c r="Z4529">
        <v>-1.0998510000000001E-4</v>
      </c>
      <c r="AA4529">
        <v>0.9991601</v>
      </c>
      <c r="AB4529">
        <v>24</v>
      </c>
      <c r="AC4529">
        <v>-3.0507200000000001</v>
      </c>
      <c r="AD4529">
        <v>1.53271E-2</v>
      </c>
      <c r="AE4529">
        <v>-0.12840270000000001</v>
      </c>
      <c r="AF4529">
        <v>-0.12511509339112201</v>
      </c>
      <c r="AG4529">
        <v>1.53271E-2</v>
      </c>
      <c r="AH4529">
        <v>3.0507795992076101</v>
      </c>
      <c r="AI4529">
        <v>89.712390497487206</v>
      </c>
      <c r="AJ4529">
        <v>92.348433148789297</v>
      </c>
      <c r="AK4529">
        <v>3.0533825291846401</v>
      </c>
      <c r="AL4529">
        <v>78.653314987123807</v>
      </c>
      <c r="AM4529">
        <v>94.852183320806006</v>
      </c>
      <c r="AN4529">
        <v>1.00000004584999</v>
      </c>
    </row>
    <row r="4530" spans="1:40" x14ac:dyDescent="0.25">
      <c r="A4530" t="str">
        <f>"20190304155151596"</f>
        <v>20190304155151596</v>
      </c>
      <c r="B4530" t="str">
        <f>"1551685911591846"</f>
        <v>1551685911591846</v>
      </c>
      <c r="C4530" t="s">
        <v>40</v>
      </c>
      <c r="D4530">
        <v>4.7012</v>
      </c>
      <c r="E4530">
        <v>0.4564376</v>
      </c>
      <c r="F4530" t="s">
        <v>41</v>
      </c>
      <c r="G4530">
        <v>-345.0804</v>
      </c>
      <c r="H4530" s="1">
        <v>-4.2718539999999997E-6</v>
      </c>
      <c r="I4530">
        <v>129.80090000000001</v>
      </c>
      <c r="J4530">
        <v>-285.91140000000001</v>
      </c>
      <c r="K4530">
        <v>1.1101650000000001</v>
      </c>
      <c r="L4530">
        <v>141.60560000000001</v>
      </c>
      <c r="M4530">
        <v>-0.99995330000000004</v>
      </c>
      <c r="N4530">
        <v>-9.6098199999999998E-3</v>
      </c>
      <c r="O4530">
        <v>-1.068507E-3</v>
      </c>
      <c r="P4530">
        <v>-0.9784678</v>
      </c>
      <c r="Q4530">
        <v>0.1879951</v>
      </c>
      <c r="R4530">
        <v>-8.5198659999999996E-2</v>
      </c>
      <c r="S4530">
        <v>-3.0245359999999999</v>
      </c>
      <c r="T4530">
        <v>-5.650985E-2</v>
      </c>
      <c r="U4530">
        <v>-0.60089110000000001</v>
      </c>
      <c r="V4530">
        <v>-8.4142300000000003E-2</v>
      </c>
      <c r="W4530">
        <v>0.19739480000000001</v>
      </c>
      <c r="X4530">
        <v>0.97670639999999997</v>
      </c>
      <c r="Y4530">
        <v>-0.19376579999999999</v>
      </c>
      <c r="Z4530">
        <v>-2.7230510000000002E-3</v>
      </c>
      <c r="AA4530">
        <v>0.98104409999999997</v>
      </c>
      <c r="AB4530">
        <v>24</v>
      </c>
      <c r="AC4530">
        <v>-59.168999999999897</v>
      </c>
      <c r="AD4530">
        <v>-1.1101692718539999</v>
      </c>
      <c r="AE4530">
        <v>-11.804699999999899</v>
      </c>
      <c r="AF4530">
        <v>-11.737493979830299</v>
      </c>
      <c r="AG4530">
        <v>-1.1101692718539999</v>
      </c>
      <c r="AH4530">
        <v>59.161550332830103</v>
      </c>
      <c r="AI4530">
        <v>91.054483861182803</v>
      </c>
      <c r="AJ4530">
        <v>101.221611204648</v>
      </c>
      <c r="AK4530">
        <v>60.324872801546</v>
      </c>
      <c r="AL4530">
        <v>78.615344931474297</v>
      </c>
      <c r="AM4530">
        <v>94.923818358601693</v>
      </c>
      <c r="AN4530">
        <v>1.0000000127586399</v>
      </c>
    </row>
    <row r="4531" spans="1:40" x14ac:dyDescent="0.25">
      <c r="A4531" t="str">
        <f>"20190304155151620"</f>
        <v>20190304155151620</v>
      </c>
      <c r="B4531" t="str">
        <f>"1551685911611366"</f>
        <v>1551685911611366</v>
      </c>
      <c r="C4531" t="s">
        <v>40</v>
      </c>
      <c r="D4531">
        <v>4.6972959999999997</v>
      </c>
      <c r="E4531">
        <v>0.45549149999999999</v>
      </c>
      <c r="F4531" t="s">
        <v>41</v>
      </c>
      <c r="G4531">
        <v>-355.65159999999997</v>
      </c>
      <c r="H4531">
        <v>7.9986719999999997E-2</v>
      </c>
      <c r="I4531">
        <v>127.8887</v>
      </c>
      <c r="J4531">
        <v>-286.1662</v>
      </c>
      <c r="K4531">
        <v>1.110168</v>
      </c>
      <c r="L4531">
        <v>141.6053</v>
      </c>
      <c r="M4531">
        <v>-0.99995339999999999</v>
      </c>
      <c r="N4531">
        <v>-9.6035180000000001E-3</v>
      </c>
      <c r="O4531">
        <v>-1.054866E-3</v>
      </c>
      <c r="P4531">
        <v>-0.97824690000000003</v>
      </c>
      <c r="Q4531">
        <v>0.1883708</v>
      </c>
      <c r="R4531">
        <v>-8.6891079999999996E-2</v>
      </c>
      <c r="S4531">
        <v>-3.0228269999999999</v>
      </c>
      <c r="T4531">
        <v>-4.4652219999999999E-2</v>
      </c>
      <c r="U4531">
        <v>-0.5945435</v>
      </c>
      <c r="V4531">
        <v>-8.584725E-2</v>
      </c>
      <c r="W4531">
        <v>0.19776279999999999</v>
      </c>
      <c r="X4531">
        <v>0.97648360000000001</v>
      </c>
      <c r="Y4531">
        <v>-0.19191820000000001</v>
      </c>
      <c r="Z4531">
        <v>-2.3289460000000001E-3</v>
      </c>
      <c r="AA4531">
        <v>0.98140819999999995</v>
      </c>
      <c r="AB4531">
        <v>24</v>
      </c>
      <c r="AC4531">
        <v>-69.485399999999899</v>
      </c>
      <c r="AD4531">
        <v>-1.0301812800000001</v>
      </c>
      <c r="AE4531">
        <v>-13.7166</v>
      </c>
      <c r="AF4531">
        <v>-13.6404054124336</v>
      </c>
      <c r="AG4531">
        <v>-1.0301812800000001</v>
      </c>
      <c r="AH4531">
        <v>69.485130750047901</v>
      </c>
      <c r="AI4531">
        <v>90.833494839266393</v>
      </c>
      <c r="AJ4531">
        <v>101.106323980051</v>
      </c>
      <c r="AK4531">
        <v>70.818820440872003</v>
      </c>
      <c r="AL4531">
        <v>78.593836491007394</v>
      </c>
      <c r="AM4531">
        <v>95.024223030011001</v>
      </c>
      <c r="AN4531">
        <v>1.0000000482326801</v>
      </c>
    </row>
    <row r="4532" spans="1:40" x14ac:dyDescent="0.25">
      <c r="A4532" t="str">
        <f>"20190304155151642"</f>
        <v>20190304155151642</v>
      </c>
      <c r="B4532" t="str">
        <f>"1551685911630886"</f>
        <v>1551685911630886</v>
      </c>
      <c r="C4532" t="s">
        <v>40</v>
      </c>
      <c r="D4532">
        <v>4.987304</v>
      </c>
      <c r="E4532">
        <v>0.45524399999999998</v>
      </c>
      <c r="F4532" t="s">
        <v>41</v>
      </c>
      <c r="G4532">
        <v>-349.1026</v>
      </c>
      <c r="H4532">
        <v>7.9985639999999997E-2</v>
      </c>
      <c r="I4532">
        <v>128.94739999999999</v>
      </c>
      <c r="J4532">
        <v>-286.41489999999999</v>
      </c>
      <c r="K4532">
        <v>1.110171</v>
      </c>
      <c r="L4532">
        <v>141.60509999999999</v>
      </c>
      <c r="M4532">
        <v>-0.99995350000000005</v>
      </c>
      <c r="N4532">
        <v>-9.5980600000000003E-3</v>
      </c>
      <c r="O4532">
        <v>-1.033087E-3</v>
      </c>
      <c r="P4532">
        <v>-0.97805819999999999</v>
      </c>
      <c r="Q4532">
        <v>0.18884980000000001</v>
      </c>
      <c r="R4532">
        <v>-8.796909E-2</v>
      </c>
      <c r="S4532">
        <v>-3.0222169999999999</v>
      </c>
      <c r="T4532">
        <v>-4.9469590000000001E-2</v>
      </c>
      <c r="U4532">
        <v>-0.60783390000000004</v>
      </c>
      <c r="V4532">
        <v>-8.6944569999999999E-2</v>
      </c>
      <c r="W4532">
        <v>0.19823579999999999</v>
      </c>
      <c r="X4532">
        <v>0.97629049999999995</v>
      </c>
      <c r="Y4532">
        <v>-0.19611999999999999</v>
      </c>
      <c r="Z4532">
        <v>-2.5328059999999999E-3</v>
      </c>
      <c r="AA4532">
        <v>0.98057660000000002</v>
      </c>
      <c r="AB4532">
        <v>24</v>
      </c>
      <c r="AC4532">
        <v>-62.6877</v>
      </c>
      <c r="AD4532">
        <v>-1.0301853599999999</v>
      </c>
      <c r="AE4532">
        <v>-12.6577</v>
      </c>
      <c r="AF4532">
        <v>-12.589661599888201</v>
      </c>
      <c r="AG4532">
        <v>-1.0301853599999999</v>
      </c>
      <c r="AH4532">
        <v>62.684478010913601</v>
      </c>
      <c r="AI4532">
        <v>90.923109676826797</v>
      </c>
      <c r="AJ4532">
        <v>101.35629990576</v>
      </c>
      <c r="AK4532">
        <v>63.944543509015404</v>
      </c>
      <c r="AL4532">
        <v>78.566187253748396</v>
      </c>
      <c r="AM4532">
        <v>95.089109939128903</v>
      </c>
      <c r="AN4532">
        <v>0.99999996552218595</v>
      </c>
    </row>
    <row r="4533" spans="1:40" x14ac:dyDescent="0.25">
      <c r="A4533" t="str">
        <f>"20190304155151664"</f>
        <v>20190304155151664</v>
      </c>
      <c r="B4533" t="str">
        <f>"1551685911661142"</f>
        <v>1551685911661142</v>
      </c>
      <c r="C4533" t="s">
        <v>40</v>
      </c>
      <c r="D4533">
        <v>4.7944870000000002</v>
      </c>
      <c r="E4533">
        <v>0.45608979999999999</v>
      </c>
      <c r="F4533" t="s">
        <v>41</v>
      </c>
      <c r="G4533">
        <v>-345.64449999999999</v>
      </c>
      <c r="H4533">
        <v>7.7731880000000003E-2</v>
      </c>
      <c r="I4533">
        <v>129.58860000000001</v>
      </c>
      <c r="J4533">
        <v>-286.64940000000001</v>
      </c>
      <c r="K4533">
        <v>1.11016</v>
      </c>
      <c r="L4533">
        <v>141.60489999999999</v>
      </c>
      <c r="M4533">
        <v>-0.99995350000000005</v>
      </c>
      <c r="N4533">
        <v>-9.5938180000000005E-3</v>
      </c>
      <c r="O4533">
        <v>-1.003653E-3</v>
      </c>
      <c r="P4533">
        <v>-0.97783640000000005</v>
      </c>
      <c r="Q4533">
        <v>0.18921859999999999</v>
      </c>
      <c r="R4533">
        <v>-8.9623330000000001E-2</v>
      </c>
      <c r="S4533">
        <v>-3.0223689999999999</v>
      </c>
      <c r="T4533">
        <v>-5.2683349999999997E-2</v>
      </c>
      <c r="U4533">
        <v>-0.61317440000000001</v>
      </c>
      <c r="V4533">
        <v>-8.8624399999999895E-2</v>
      </c>
      <c r="W4533">
        <v>0.19859979999999999</v>
      </c>
      <c r="X4533">
        <v>0.97606550000000003</v>
      </c>
      <c r="Y4533">
        <v>-0.19779910000000001</v>
      </c>
      <c r="Z4533">
        <v>-2.6571609999999999E-3</v>
      </c>
      <c r="AA4533">
        <v>0.98023899999999997</v>
      </c>
      <c r="AB4533">
        <v>24</v>
      </c>
      <c r="AC4533">
        <v>-58.995099999999901</v>
      </c>
      <c r="AD4533">
        <v>-1.0324281200000001</v>
      </c>
      <c r="AE4533">
        <v>-12.0162999999999</v>
      </c>
      <c r="AF4533">
        <v>-11.953565564870299</v>
      </c>
      <c r="AG4533">
        <v>-1.0324281200000001</v>
      </c>
      <c r="AH4533">
        <v>58.9897845757231</v>
      </c>
      <c r="AI4533">
        <v>90.982708554988093</v>
      </c>
      <c r="AJ4533">
        <v>101.455185447202</v>
      </c>
      <c r="AK4533">
        <v>60.197577375064199</v>
      </c>
      <c r="AL4533">
        <v>78.544909061438304</v>
      </c>
      <c r="AM4533">
        <v>95.188092963890995</v>
      </c>
      <c r="AN4533">
        <v>1.0000000125628199</v>
      </c>
    </row>
    <row r="4534" spans="1:40" x14ac:dyDescent="0.25">
      <c r="A4534" t="str">
        <f>"20190304155151685"</f>
        <v>20190304155151685</v>
      </c>
      <c r="B4534" t="str">
        <f>"1551685911681639"</f>
        <v>1551685911681639</v>
      </c>
      <c r="C4534" t="s">
        <v>40</v>
      </c>
      <c r="D4534">
        <v>4.6441819999999998</v>
      </c>
      <c r="E4534">
        <v>0.45611370000000001</v>
      </c>
      <c r="F4534" t="s">
        <v>41</v>
      </c>
      <c r="G4534">
        <v>-345.94940000000003</v>
      </c>
      <c r="H4534">
        <v>2.7595149999999999E-2</v>
      </c>
      <c r="I4534">
        <v>129.6163</v>
      </c>
      <c r="J4534">
        <v>-286.88810000000001</v>
      </c>
      <c r="K4534">
        <v>1.1101479999999999</v>
      </c>
      <c r="L4534">
        <v>141.60470000000001</v>
      </c>
      <c r="M4534">
        <v>-0.9999536</v>
      </c>
      <c r="N4534">
        <v>-9.5903929999999991E-3</v>
      </c>
      <c r="O4534">
        <v>-9.6419259999999999E-4</v>
      </c>
      <c r="P4534">
        <v>-0.97777199999999997</v>
      </c>
      <c r="Q4534">
        <v>0.1891727</v>
      </c>
      <c r="R4534">
        <v>-9.0419250000000007E-2</v>
      </c>
      <c r="S4534">
        <v>-3.022675</v>
      </c>
      <c r="T4534">
        <v>-5.5181149999999998E-2</v>
      </c>
      <c r="U4534">
        <v>-0.61108399999999996</v>
      </c>
      <c r="V4534">
        <v>-8.9454160000000005E-2</v>
      </c>
      <c r="W4534">
        <v>0.19855210000000001</v>
      </c>
      <c r="X4534">
        <v>0.97599950000000002</v>
      </c>
      <c r="Y4534">
        <v>-0.1971638</v>
      </c>
      <c r="Z4534">
        <v>-2.7282959999999998E-3</v>
      </c>
      <c r="AA4534">
        <v>0.98036679999999998</v>
      </c>
      <c r="AB4534">
        <v>25</v>
      </c>
      <c r="AC4534">
        <v>-59.061300000000003</v>
      </c>
      <c r="AD4534">
        <v>-1.0825528499999999</v>
      </c>
      <c r="AE4534">
        <v>-11.9884</v>
      </c>
      <c r="AF4534">
        <v>-11.927596676387299</v>
      </c>
      <c r="AG4534">
        <v>-1.0825528499999999</v>
      </c>
      <c r="AH4534">
        <v>59.0537773759564</v>
      </c>
      <c r="AI4534">
        <v>91.029424864668499</v>
      </c>
      <c r="AJ4534">
        <v>101.41889367621</v>
      </c>
      <c r="AK4534">
        <v>60.256021321662402</v>
      </c>
      <c r="AL4534">
        <v>78.547697498189706</v>
      </c>
      <c r="AM4534">
        <v>95.236750651706302</v>
      </c>
      <c r="AN4534">
        <v>1.0000000035779799</v>
      </c>
    </row>
    <row r="4535" spans="1:40" x14ac:dyDescent="0.25">
      <c r="A4535" t="str">
        <f>"20190304155151708"</f>
        <v>20190304155151708</v>
      </c>
      <c r="B4535" t="str">
        <f>"1551685911701158"</f>
        <v>1551685911701158</v>
      </c>
      <c r="C4535" t="s">
        <v>40</v>
      </c>
      <c r="D4535">
        <v>5.0919059999999998</v>
      </c>
      <c r="E4535">
        <v>0.45623989999999998</v>
      </c>
      <c r="F4535" t="s">
        <v>41</v>
      </c>
      <c r="G4535">
        <v>-341.63069999999999</v>
      </c>
      <c r="H4535" s="1">
        <v>-5.26147799999999E-6</v>
      </c>
      <c r="I4535">
        <v>130.49369999999999</v>
      </c>
      <c r="J4535">
        <v>-287.1404</v>
      </c>
      <c r="K4535">
        <v>1.110142</v>
      </c>
      <c r="L4535">
        <v>141.6045</v>
      </c>
      <c r="M4535">
        <v>-0.9999538</v>
      </c>
      <c r="N4535">
        <v>-9.5875999999999999E-3</v>
      </c>
      <c r="O4535">
        <v>-9.1293699999999995E-4</v>
      </c>
      <c r="P4535">
        <v>-0.97768500000000003</v>
      </c>
      <c r="Q4535">
        <v>0.18943160000000001</v>
      </c>
      <c r="R4535">
        <v>-9.0820479999999995E-2</v>
      </c>
      <c r="S4535">
        <v>-3.0233150000000002</v>
      </c>
      <c r="T4535">
        <v>-6.1311480000000002E-2</v>
      </c>
      <c r="U4535">
        <v>-0.61363219999999996</v>
      </c>
      <c r="V4535">
        <v>-8.9901259999999997E-2</v>
      </c>
      <c r="W4535">
        <v>0.19880970000000001</v>
      </c>
      <c r="X4535">
        <v>0.97590600000000005</v>
      </c>
      <c r="Y4535">
        <v>-0.19795789999999999</v>
      </c>
      <c r="Z4535">
        <v>-2.9358420000000001E-3</v>
      </c>
      <c r="AA4535">
        <v>0.98020609999999997</v>
      </c>
      <c r="AB4535">
        <v>25</v>
      </c>
      <c r="AC4535">
        <v>-54.490299999999898</v>
      </c>
      <c r="AD4535">
        <v>-1.1101472614779999</v>
      </c>
      <c r="AE4535">
        <v>-11.110799999999999</v>
      </c>
      <c r="AF4535">
        <v>-11.0566407777994</v>
      </c>
      <c r="AG4535">
        <v>-1.1101472614779999</v>
      </c>
      <c r="AH4535">
        <v>54.478711293044199</v>
      </c>
      <c r="AI4535">
        <v>91.144072799678796</v>
      </c>
      <c r="AJ4535">
        <v>101.472549777084</v>
      </c>
      <c r="AK4535">
        <v>55.600465073435601</v>
      </c>
      <c r="AL4535">
        <v>78.532638153749602</v>
      </c>
      <c r="AM4535">
        <v>95.263279185697698</v>
      </c>
      <c r="AN4535">
        <v>1.0000000270998299</v>
      </c>
    </row>
    <row r="4536" spans="1:40" x14ac:dyDescent="0.25">
      <c r="A4536" t="str">
        <f>"20190304155151731"</f>
        <v>20190304155151731</v>
      </c>
      <c r="B4536" t="str">
        <f>"1551685911721657"</f>
        <v>1551685911721657</v>
      </c>
      <c r="C4536" t="s">
        <v>40</v>
      </c>
      <c r="D4536">
        <v>5.0111460000000001</v>
      </c>
      <c r="E4536">
        <v>0.45638519999999999</v>
      </c>
      <c r="F4536" t="s">
        <v>41</v>
      </c>
      <c r="G4536">
        <v>-342.6277</v>
      </c>
      <c r="H4536" s="1">
        <v>-4.9648469999999997E-6</v>
      </c>
      <c r="I4536">
        <v>130.33330000000001</v>
      </c>
      <c r="J4536">
        <v>-287.38819999999998</v>
      </c>
      <c r="K4536">
        <v>1.1101270000000001</v>
      </c>
      <c r="L4536">
        <v>141.60429999999999</v>
      </c>
      <c r="M4536">
        <v>-0.99995369999999995</v>
      </c>
      <c r="N4536">
        <v>-9.5856510000000006E-3</v>
      </c>
      <c r="O4536">
        <v>-8.5313879999999998E-4</v>
      </c>
      <c r="P4536">
        <v>-0.97761750000000003</v>
      </c>
      <c r="Q4536">
        <v>0.189494</v>
      </c>
      <c r="R4536">
        <v>-9.1412679999999996E-2</v>
      </c>
      <c r="S4536">
        <v>-3.0232239999999999</v>
      </c>
      <c r="T4536">
        <v>-6.0486320000000003E-2</v>
      </c>
      <c r="U4536">
        <v>-0.61410520000000002</v>
      </c>
      <c r="V4536">
        <v>-9.0549260000000006E-2</v>
      </c>
      <c r="W4536">
        <v>0.1988704</v>
      </c>
      <c r="X4536">
        <v>0.97583370000000003</v>
      </c>
      <c r="Y4536">
        <v>-0.19817080000000001</v>
      </c>
      <c r="Z4536">
        <v>-2.9129529999999998E-3</v>
      </c>
      <c r="AA4536">
        <v>0.98016320000000001</v>
      </c>
      <c r="AB4536">
        <v>25</v>
      </c>
      <c r="AC4536">
        <v>-55.2395</v>
      </c>
      <c r="AD4536">
        <v>-1.1101319648470001</v>
      </c>
      <c r="AE4536">
        <v>-11.2709999999999</v>
      </c>
      <c r="AF4536">
        <v>-11.219516567985201</v>
      </c>
      <c r="AG4536">
        <v>-1.1101319648470001</v>
      </c>
      <c r="AH4536">
        <v>55.227682334663498</v>
      </c>
      <c r="AI4536">
        <v>91.128502630666603</v>
      </c>
      <c r="AJ4536">
        <v>101.483379838432</v>
      </c>
      <c r="AK4536">
        <v>56.366717494077797</v>
      </c>
      <c r="AL4536">
        <v>78.529089208576494</v>
      </c>
      <c r="AM4536">
        <v>95.301391576415895</v>
      </c>
      <c r="AN4536">
        <v>1.0000000072691899</v>
      </c>
    </row>
    <row r="4537" spans="1:40" x14ac:dyDescent="0.25">
      <c r="A4537" t="str">
        <f>"20190304155151753"</f>
        <v>20190304155151753</v>
      </c>
      <c r="B4537" t="str">
        <f>"1551685911741175"</f>
        <v>1551685911741175</v>
      </c>
      <c r="C4537" t="s">
        <v>40</v>
      </c>
      <c r="D4537">
        <v>4.7356600000000002</v>
      </c>
      <c r="E4537">
        <v>0.456926</v>
      </c>
      <c r="F4537" t="s">
        <v>41</v>
      </c>
      <c r="G4537">
        <v>-341.61239999999998</v>
      </c>
      <c r="H4537" s="1">
        <v>-5.2482050000000003E-6</v>
      </c>
      <c r="I4537">
        <v>130.56700000000001</v>
      </c>
      <c r="J4537">
        <v>-287.63240000000002</v>
      </c>
      <c r="K4537">
        <v>1.1101259999999999</v>
      </c>
      <c r="L4537">
        <v>141.60419999999999</v>
      </c>
      <c r="M4537">
        <v>-0.99995369999999995</v>
      </c>
      <c r="N4537">
        <v>-9.5843969999999997E-3</v>
      </c>
      <c r="O4537">
        <v>-7.8801390000000004E-4</v>
      </c>
      <c r="P4537">
        <v>-0.97766869999999995</v>
      </c>
      <c r="Q4537">
        <v>0.18933449999999999</v>
      </c>
      <c r="R4537">
        <v>-9.1195230000000002E-2</v>
      </c>
      <c r="S4537">
        <v>-3.0231319999999999</v>
      </c>
      <c r="T4537">
        <v>-6.1892629999999997E-2</v>
      </c>
      <c r="U4537">
        <v>-0.61535640000000003</v>
      </c>
      <c r="V4537">
        <v>-9.0393570000000006E-2</v>
      </c>
      <c r="W4537">
        <v>0.1987111</v>
      </c>
      <c r="X4537">
        <v>0.97588059999999999</v>
      </c>
      <c r="Y4537">
        <v>-0.19862769999999999</v>
      </c>
      <c r="Z4537">
        <v>-2.96561E-3</v>
      </c>
      <c r="AA4537">
        <v>0.98007049999999996</v>
      </c>
      <c r="AB4537">
        <v>25</v>
      </c>
      <c r="AC4537">
        <v>-53.979999999999897</v>
      </c>
      <c r="AD4537">
        <v>-1.1101312482050001</v>
      </c>
      <c r="AE4537">
        <v>-11.037199999999901</v>
      </c>
      <c r="AF4537">
        <v>-10.9901959203026</v>
      </c>
      <c r="AG4537">
        <v>-1.1101312482050001</v>
      </c>
      <c r="AH4537">
        <v>53.966772136491599</v>
      </c>
      <c r="AI4537">
        <v>91.154749679205693</v>
      </c>
      <c r="AJ4537">
        <v>101.510736862759</v>
      </c>
      <c r="AK4537">
        <v>55.0856541450393</v>
      </c>
      <c r="AL4537">
        <v>78.538402469604804</v>
      </c>
      <c r="AM4537">
        <v>95.292075288977003</v>
      </c>
      <c r="AN4537">
        <v>1.00000002210845</v>
      </c>
    </row>
    <row r="4538" spans="1:40" x14ac:dyDescent="0.25">
      <c r="A4538" t="str">
        <f>"20190304155151775"</f>
        <v>20190304155151775</v>
      </c>
      <c r="B4538" t="str">
        <f>"1551685911771430"</f>
        <v>1551685911771430</v>
      </c>
      <c r="C4538" t="s">
        <v>40</v>
      </c>
      <c r="D4538">
        <v>4.6577400000000004</v>
      </c>
      <c r="E4538">
        <v>0.45756229999999998</v>
      </c>
      <c r="F4538" t="s">
        <v>41</v>
      </c>
      <c r="G4538">
        <v>-341.86900000000003</v>
      </c>
      <c r="H4538" s="1">
        <v>-5.1383100000000003E-6</v>
      </c>
      <c r="I4538">
        <v>130.65180000000001</v>
      </c>
      <c r="J4538">
        <v>-287.87479999999999</v>
      </c>
      <c r="K4538">
        <v>1.1101319999999999</v>
      </c>
      <c r="L4538">
        <v>141.60409999999999</v>
      </c>
      <c r="M4538">
        <v>-0.99995389999999995</v>
      </c>
      <c r="N4538">
        <v>-9.5837349999999995E-3</v>
      </c>
      <c r="O4538">
        <v>-7.2029310000000003E-4</v>
      </c>
      <c r="P4538">
        <v>-0.97763169999999999</v>
      </c>
      <c r="Q4538">
        <v>0.18973899999999999</v>
      </c>
      <c r="R4538">
        <v>-9.0749499999999997E-2</v>
      </c>
      <c r="S4538">
        <v>-3.0235599999999998</v>
      </c>
      <c r="T4538">
        <v>-6.1887150000000002E-2</v>
      </c>
      <c r="U4538">
        <v>-0.61056519999999903</v>
      </c>
      <c r="V4538">
        <v>-9.0014239999999995E-2</v>
      </c>
      <c r="W4538">
        <v>0.19911429999999999</v>
      </c>
      <c r="X4538">
        <v>0.97583350000000002</v>
      </c>
      <c r="Y4538">
        <v>-0.1971754</v>
      </c>
      <c r="Z4538">
        <v>-2.9442399999999999E-3</v>
      </c>
      <c r="AA4538">
        <v>0.98036380000000001</v>
      </c>
      <c r="AB4538">
        <v>25</v>
      </c>
      <c r="AC4538">
        <v>-53.994199999999999</v>
      </c>
      <c r="AD4538">
        <v>-1.1101371383099901</v>
      </c>
      <c r="AE4538">
        <v>-10.9522999999999</v>
      </c>
      <c r="AF4538">
        <v>-10.9089744598826</v>
      </c>
      <c r="AG4538">
        <v>-1.1101371383099901</v>
      </c>
      <c r="AH4538">
        <v>53.980158174682202</v>
      </c>
      <c r="AI4538">
        <v>91.154819313362395</v>
      </c>
      <c r="AJ4538">
        <v>101.425155291583</v>
      </c>
      <c r="AK4538">
        <v>55.082625253304101</v>
      </c>
      <c r="AL4538">
        <v>78.5148300157459</v>
      </c>
      <c r="AM4538">
        <v>95.270245716458206</v>
      </c>
      <c r="AN4538">
        <v>1.00000004379475</v>
      </c>
    </row>
    <row r="4539" spans="1:40" x14ac:dyDescent="0.25">
      <c r="A4539" t="str">
        <f>"20190304155151797"</f>
        <v>20190304155151797</v>
      </c>
      <c r="B4539" t="str">
        <f>"1551685911791927"</f>
        <v>1551685911791927</v>
      </c>
      <c r="C4539" t="s">
        <v>40</v>
      </c>
      <c r="D4539">
        <v>4.7068539999999999</v>
      </c>
      <c r="E4539">
        <v>0.4575475</v>
      </c>
      <c r="F4539" t="s">
        <v>41</v>
      </c>
      <c r="G4539">
        <v>-338.91</v>
      </c>
      <c r="H4539" s="1">
        <v>-2.5848709999999999E-6</v>
      </c>
      <c r="I4539">
        <v>131.4153</v>
      </c>
      <c r="J4539">
        <v>-288.12900000000002</v>
      </c>
      <c r="K4539">
        <v>1.110133</v>
      </c>
      <c r="L4539">
        <v>141.60399999999899</v>
      </c>
      <c r="M4539">
        <v>-0.99995389999999995</v>
      </c>
      <c r="N4539">
        <v>-9.5835639999999993E-3</v>
      </c>
      <c r="O4539">
        <v>-6.4805850000000003E-4</v>
      </c>
      <c r="P4539">
        <v>-0.97764119999999999</v>
      </c>
      <c r="Q4539">
        <v>0.1901719</v>
      </c>
      <c r="R4539">
        <v>-8.9734030000000006E-2</v>
      </c>
      <c r="S4539">
        <v>-3.02536</v>
      </c>
      <c r="T4539">
        <v>-6.5808649999999996E-2</v>
      </c>
      <c r="U4539">
        <v>-0.60398859999999999</v>
      </c>
      <c r="V4539">
        <v>-8.9069519999999999E-2</v>
      </c>
      <c r="W4539">
        <v>0.199547</v>
      </c>
      <c r="X4539">
        <v>0.97583169999999997</v>
      </c>
      <c r="Y4539">
        <v>-0.19507830000000001</v>
      </c>
      <c r="Z4539">
        <v>-3.0370089999999998E-3</v>
      </c>
      <c r="AA4539">
        <v>0.98078299999999996</v>
      </c>
      <c r="AB4539">
        <v>25</v>
      </c>
      <c r="AC4539">
        <v>-50.780999999999999</v>
      </c>
      <c r="AD4539">
        <v>-1.1101355848709999</v>
      </c>
      <c r="AE4539">
        <v>-10.1886999999999</v>
      </c>
      <c r="AF4539">
        <v>-10.151123670123599</v>
      </c>
      <c r="AG4539">
        <v>-1.1101355848709999</v>
      </c>
      <c r="AH4539">
        <v>50.7642704312441</v>
      </c>
      <c r="AI4539">
        <v>91.228457479292601</v>
      </c>
      <c r="AJ4539">
        <v>101.308054521774</v>
      </c>
      <c r="AK4539">
        <v>51.781163227561997</v>
      </c>
      <c r="AL4539">
        <v>78.489529283070297</v>
      </c>
      <c r="AM4539">
        <v>95.215249465192002</v>
      </c>
      <c r="AN4539">
        <v>0.99999994566345796</v>
      </c>
    </row>
    <row r="4540" spans="1:40" x14ac:dyDescent="0.25">
      <c r="A4540" t="str">
        <f>"20190304155151821"</f>
        <v>20190304155151821</v>
      </c>
      <c r="B4540" t="str">
        <f>"1551685911811446"</f>
        <v>1551685911811446</v>
      </c>
      <c r="C4540" t="s">
        <v>40</v>
      </c>
      <c r="D4540">
        <v>5.0480309999999999</v>
      </c>
      <c r="E4540">
        <v>0.45743440000000002</v>
      </c>
      <c r="F4540" t="s">
        <v>41</v>
      </c>
      <c r="G4540">
        <v>-338.02249999999998</v>
      </c>
      <c r="H4540" s="1">
        <v>-2.851993E-6</v>
      </c>
      <c r="I4540">
        <v>131.69220000000001</v>
      </c>
      <c r="J4540">
        <v>-288.38209999999998</v>
      </c>
      <c r="K4540">
        <v>1.110133</v>
      </c>
      <c r="L4540">
        <v>141.60390000000001</v>
      </c>
      <c r="M4540">
        <v>-0.99995409999999996</v>
      </c>
      <c r="N4540">
        <v>-9.5838959999999997E-3</v>
      </c>
      <c r="O4540">
        <v>-5.7738039999999998E-4</v>
      </c>
      <c r="P4540">
        <v>-0.97761500000000001</v>
      </c>
      <c r="Q4540">
        <v>0.1908396</v>
      </c>
      <c r="R4540">
        <v>-8.8597490000000001E-2</v>
      </c>
      <c r="S4540">
        <v>-3.0265200000000001</v>
      </c>
      <c r="T4540">
        <v>-6.7340369999999997E-2</v>
      </c>
      <c r="U4540">
        <v>-0.601242099999999</v>
      </c>
      <c r="V4540">
        <v>-8.8002380000000005E-2</v>
      </c>
      <c r="W4540">
        <v>0.20021420000000001</v>
      </c>
      <c r="X4540">
        <v>0.97579190000000005</v>
      </c>
      <c r="Y4540">
        <v>-0.194217</v>
      </c>
      <c r="Z4540">
        <v>-3.0721350000000001E-3</v>
      </c>
      <c r="AA4540">
        <v>0.98095379999999999</v>
      </c>
      <c r="AB4540">
        <v>25</v>
      </c>
      <c r="AC4540">
        <v>-49.6404</v>
      </c>
      <c r="AD4540">
        <v>-1.110135851993</v>
      </c>
      <c r="AE4540">
        <v>-9.9116999999999909</v>
      </c>
      <c r="AF4540">
        <v>-9.8782846433780307</v>
      </c>
      <c r="AG4540">
        <v>-1.110135851993</v>
      </c>
      <c r="AH4540">
        <v>49.622248794065101</v>
      </c>
      <c r="AI4540">
        <v>91.256936982051997</v>
      </c>
      <c r="AJ4540">
        <v>101.258669432772</v>
      </c>
      <c r="AK4540">
        <v>50.608106904779298</v>
      </c>
      <c r="AL4540">
        <v>78.450514723086101</v>
      </c>
      <c r="AM4540">
        <v>95.153313153418196</v>
      </c>
      <c r="AN4540">
        <v>0.99999998843645699</v>
      </c>
    </row>
    <row r="4541" spans="1:40" x14ac:dyDescent="0.25">
      <c r="A4541" t="str">
        <f>"20190304155151843"</f>
        <v>20190304155151843</v>
      </c>
      <c r="B4541" t="str">
        <f>"1551685911831942"</f>
        <v>1551685911831942</v>
      </c>
      <c r="C4541" t="s">
        <v>40</v>
      </c>
      <c r="D4541">
        <v>4.7265079999999999</v>
      </c>
      <c r="E4541">
        <v>0.457561</v>
      </c>
      <c r="F4541" t="s">
        <v>41</v>
      </c>
      <c r="G4541">
        <v>-339.80829999999997</v>
      </c>
      <c r="H4541" s="1">
        <v>-2.2351270000000001E-6</v>
      </c>
      <c r="I4541">
        <v>131.4332</v>
      </c>
      <c r="J4541">
        <v>-288.63189999999997</v>
      </c>
      <c r="K4541">
        <v>1.110134</v>
      </c>
      <c r="L4541">
        <v>141.60380000000001</v>
      </c>
      <c r="M4541">
        <v>-0.99995389999999995</v>
      </c>
      <c r="N4541">
        <v>-9.5846239999999999E-3</v>
      </c>
      <c r="O4541">
        <v>-5.0944320000000001E-4</v>
      </c>
      <c r="P4541">
        <v>-0.97765340000000001</v>
      </c>
      <c r="Q4541">
        <v>0.19083079999999999</v>
      </c>
      <c r="R4541">
        <v>-8.819043E-2</v>
      </c>
      <c r="S4541">
        <v>-3.0271910000000002</v>
      </c>
      <c r="T4541">
        <v>-6.5347790000000003E-2</v>
      </c>
      <c r="U4541">
        <v>-0.59869380000000005</v>
      </c>
      <c r="V4541">
        <v>-8.7661939999999994E-2</v>
      </c>
      <c r="W4541">
        <v>0.2002063</v>
      </c>
      <c r="X4541">
        <v>0.97582420000000003</v>
      </c>
      <c r="Y4541">
        <v>-0.19345109999999999</v>
      </c>
      <c r="Z4541">
        <v>-2.9978359999999998E-3</v>
      </c>
      <c r="AA4541">
        <v>0.98110529999999996</v>
      </c>
      <c r="AB4541">
        <v>25</v>
      </c>
      <c r="AC4541">
        <v>-51.176400000000001</v>
      </c>
      <c r="AD4541">
        <v>-1.1101362351270001</v>
      </c>
      <c r="AE4541">
        <v>-10.1706</v>
      </c>
      <c r="AF4541">
        <v>-10.139935877551901</v>
      </c>
      <c r="AG4541">
        <v>-1.1101362351270001</v>
      </c>
      <c r="AH4541">
        <v>51.158416604076102</v>
      </c>
      <c r="AI4541">
        <v>91.219407128429296</v>
      </c>
      <c r="AJ4541">
        <v>101.211096386365</v>
      </c>
      <c r="AK4541">
        <v>52.165451129052997</v>
      </c>
      <c r="AL4541">
        <v>78.450977127671507</v>
      </c>
      <c r="AM4541">
        <v>95.133315109444595</v>
      </c>
      <c r="AN4541">
        <v>1.00000002379494</v>
      </c>
    </row>
    <row r="4542" spans="1:40" x14ac:dyDescent="0.25">
      <c r="A4542" t="str">
        <f>"20190304155151866"</f>
        <v>20190304155151866</v>
      </c>
      <c r="B4542" t="str">
        <f>"1551685911861223"</f>
        <v>1551685911861223</v>
      </c>
      <c r="C4542" t="s">
        <v>40</v>
      </c>
      <c r="D4542">
        <v>4.6411490000000004</v>
      </c>
      <c r="E4542">
        <v>0.52142699999999997</v>
      </c>
      <c r="F4542" t="s">
        <v>41</v>
      </c>
      <c r="G4542">
        <v>-338.91789999999997</v>
      </c>
      <c r="H4542" s="1">
        <v>-2.5057439999999999E-6</v>
      </c>
      <c r="I4542">
        <v>131.7013</v>
      </c>
      <c r="J4542">
        <v>-288.88249999999999</v>
      </c>
      <c r="K4542">
        <v>1.1101299999999901</v>
      </c>
      <c r="L4542">
        <v>141.60380000000001</v>
      </c>
      <c r="M4542">
        <v>-0.99995400000000001</v>
      </c>
      <c r="N4542">
        <v>-9.5856729999999994E-3</v>
      </c>
      <c r="O4542">
        <v>-4.4376890000000002E-4</v>
      </c>
      <c r="P4542">
        <v>-0.97761430000000005</v>
      </c>
      <c r="Q4542">
        <v>0.19144</v>
      </c>
      <c r="R4542">
        <v>-8.7298920000000002E-2</v>
      </c>
      <c r="S4542">
        <v>-3.0278320000000001</v>
      </c>
      <c r="T4542">
        <v>-6.6843749999999993E-2</v>
      </c>
      <c r="U4542">
        <v>-0.59625240000000002</v>
      </c>
      <c r="V4542">
        <v>-8.6834700000000001E-2</v>
      </c>
      <c r="W4542">
        <v>0.20081540000000001</v>
      </c>
      <c r="X4542">
        <v>0.975773</v>
      </c>
      <c r="Y4542">
        <v>-0.1927123</v>
      </c>
      <c r="Z4542">
        <v>-3.0338320000000002E-3</v>
      </c>
      <c r="AA4542">
        <v>0.98125059999999997</v>
      </c>
      <c r="AB4542">
        <v>25</v>
      </c>
      <c r="AC4542">
        <v>-50.035399999999903</v>
      </c>
      <c r="AD4542">
        <v>-1.1101325057439999</v>
      </c>
      <c r="AE4542">
        <v>-9.9024999999999999</v>
      </c>
      <c r="AF4542">
        <v>-9.8756157116652901</v>
      </c>
      <c r="AG4542">
        <v>-1.1101325057439999</v>
      </c>
      <c r="AH4542">
        <v>50.0160967653147</v>
      </c>
      <c r="AI4542">
        <v>91.247424239450197</v>
      </c>
      <c r="AJ4542">
        <v>101.169309972077</v>
      </c>
      <c r="AK4542">
        <v>50.9938242878696</v>
      </c>
      <c r="AL4542">
        <v>78.415354773489398</v>
      </c>
      <c r="AM4542">
        <v>95.085394125900706</v>
      </c>
      <c r="AN4542">
        <v>1.0000000187651199</v>
      </c>
    </row>
    <row r="4543" spans="1:40" x14ac:dyDescent="0.25">
      <c r="A4543" t="str">
        <f>"20190304155151887"</f>
        <v>20190304155151887</v>
      </c>
      <c r="B4543" t="str">
        <f>"1551685911881719"</f>
        <v>1551685911881719</v>
      </c>
      <c r="C4543" t="s">
        <v>40</v>
      </c>
      <c r="D4543">
        <v>4.7274159999999998</v>
      </c>
      <c r="E4543">
        <v>0.52878559999999997</v>
      </c>
      <c r="F4543" t="s">
        <v>53</v>
      </c>
      <c r="G4543">
        <v>0</v>
      </c>
      <c r="H4543">
        <v>0</v>
      </c>
      <c r="I4543">
        <v>0</v>
      </c>
      <c r="J4543">
        <v>-289.12630000000001</v>
      </c>
      <c r="K4543">
        <v>1.110128</v>
      </c>
      <c r="L4543">
        <v>141.6037</v>
      </c>
      <c r="M4543">
        <v>-0.99995420000000002</v>
      </c>
      <c r="N4543">
        <v>-9.5869969999999999E-3</v>
      </c>
      <c r="O4543">
        <v>-3.8155109999999997E-4</v>
      </c>
      <c r="P4543">
        <v>-0.97765000000000002</v>
      </c>
      <c r="Q4543">
        <v>0.1917365</v>
      </c>
      <c r="R4543">
        <v>-8.6242269999999996E-2</v>
      </c>
      <c r="S4543">
        <v>-3.0595089999999998</v>
      </c>
      <c r="T4543">
        <v>7.2232479999999998E-3</v>
      </c>
      <c r="U4543">
        <v>-8.7280269999999993E-2</v>
      </c>
      <c r="V4543">
        <v>-8.5839150000000003E-2</v>
      </c>
      <c r="W4543">
        <v>0.2011134</v>
      </c>
      <c r="X4543">
        <v>0.97579970000000005</v>
      </c>
      <c r="Y4543">
        <v>-2.813479E-2</v>
      </c>
      <c r="Z4543">
        <v>-1.0624669999999999E-4</v>
      </c>
      <c r="AA4543">
        <v>0.9996041</v>
      </c>
      <c r="AB4543">
        <v>25</v>
      </c>
      <c r="AC4543">
        <v>-3.0595089999999998</v>
      </c>
      <c r="AD4543">
        <v>7.2232479999999998E-3</v>
      </c>
      <c r="AE4543">
        <v>-8.7280269999999993E-2</v>
      </c>
      <c r="AF4543">
        <v>-8.6112371645208893E-2</v>
      </c>
      <c r="AG4543">
        <v>7.2232479999999998E-3</v>
      </c>
      <c r="AH4543">
        <v>3.0595250409680101</v>
      </c>
      <c r="AI4543">
        <v>89.864783905215802</v>
      </c>
      <c r="AJ4543">
        <v>91.612202278202702</v>
      </c>
      <c r="AK4543">
        <v>3.06074516942726</v>
      </c>
      <c r="AL4543">
        <v>78.397924900261202</v>
      </c>
      <c r="AM4543">
        <v>95.027254316975402</v>
      </c>
      <c r="AN4543">
        <v>1.0000000069261801</v>
      </c>
    </row>
    <row r="4544" spans="1:40" x14ac:dyDescent="0.25">
      <c r="A4544" t="str">
        <f>"20190304155151910"</f>
        <v>20190304155151910</v>
      </c>
      <c r="B4544" t="str">
        <f>"1551685911901238"</f>
        <v>1551685911901238</v>
      </c>
      <c r="C4544" t="s">
        <v>40</v>
      </c>
      <c r="D4544">
        <v>4.6316160000000002</v>
      </c>
      <c r="E4544">
        <v>0.53108299999999997</v>
      </c>
      <c r="F4544" t="s">
        <v>52</v>
      </c>
      <c r="G4544">
        <v>-952.09259999999995</v>
      </c>
      <c r="H4544">
        <v>-0.1</v>
      </c>
      <c r="I4544">
        <v>136.11600000000001</v>
      </c>
      <c r="J4544">
        <v>-289.37220000000002</v>
      </c>
      <c r="K4544">
        <v>1.1101289999999999</v>
      </c>
      <c r="L4544">
        <v>141.6037</v>
      </c>
      <c r="M4544">
        <v>-0.99995389999999995</v>
      </c>
      <c r="N4544">
        <v>-9.588582E-3</v>
      </c>
      <c r="O4544">
        <v>-3.1909609999999998E-4</v>
      </c>
      <c r="P4544">
        <v>-0.97768469999999996</v>
      </c>
      <c r="Q4544">
        <v>0.19158040000000001</v>
      </c>
      <c r="R4544">
        <v>-8.6195460000000002E-2</v>
      </c>
      <c r="S4544">
        <v>-3.0674130000000002</v>
      </c>
      <c r="T4544">
        <v>-5.5990220000000004E-3</v>
      </c>
      <c r="U4544">
        <v>-2.5390630000000001E-2</v>
      </c>
      <c r="V4544">
        <v>-8.5853579999999999E-2</v>
      </c>
      <c r="W4544">
        <v>0.20095979999999999</v>
      </c>
      <c r="X4544">
        <v>0.97583010000000003</v>
      </c>
      <c r="Y4544">
        <v>-7.9580789999999998E-3</v>
      </c>
      <c r="Z4544" s="1">
        <v>-4.7895259999999999E-5</v>
      </c>
      <c r="AA4544">
        <v>0.99996830000000003</v>
      </c>
      <c r="AB4544">
        <v>25</v>
      </c>
      <c r="AC4544">
        <v>-662.72039999999902</v>
      </c>
      <c r="AD4544">
        <v>-1.210129</v>
      </c>
      <c r="AE4544">
        <v>-5.4876999999999896</v>
      </c>
      <c r="AF4544">
        <v>-5.2762008958921296</v>
      </c>
      <c r="AG4544">
        <v>-1.210129</v>
      </c>
      <c r="AH4544">
        <v>662.71990789609595</v>
      </c>
      <c r="AI4544">
        <v>90.104618873225405</v>
      </c>
      <c r="AJ4544">
        <v>90.456146937364295</v>
      </c>
      <c r="AK4544">
        <v>662.74201544032201</v>
      </c>
      <c r="AL4544">
        <v>78.406909238564694</v>
      </c>
      <c r="AM4544">
        <v>95.027939255119705</v>
      </c>
      <c r="AN4544">
        <v>1.00000003124043</v>
      </c>
    </row>
    <row r="4545" spans="1:40" x14ac:dyDescent="0.25">
      <c r="A4545" t="str">
        <f>"20190304155151932"</f>
        <v>20190304155151932</v>
      </c>
      <c r="B4545" t="str">
        <f>"1551685911921738"</f>
        <v>1551685911921738</v>
      </c>
      <c r="C4545" t="s">
        <v>40</v>
      </c>
      <c r="D4545">
        <v>4.5784739999999999</v>
      </c>
      <c r="E4545">
        <v>0.53227950000000002</v>
      </c>
      <c r="F4545" t="s">
        <v>53</v>
      </c>
      <c r="G4545">
        <v>0</v>
      </c>
      <c r="H4545">
        <v>0</v>
      </c>
      <c r="I4545">
        <v>0</v>
      </c>
      <c r="J4545">
        <v>-289.62509999999997</v>
      </c>
      <c r="K4545">
        <v>1.1101289999999999</v>
      </c>
      <c r="L4545">
        <v>141.6037</v>
      </c>
      <c r="M4545">
        <v>-0.99995409999999996</v>
      </c>
      <c r="N4545">
        <v>-9.5904579999999996E-3</v>
      </c>
      <c r="O4545">
        <v>-2.555705E-4</v>
      </c>
      <c r="P4545">
        <v>-0.9777709</v>
      </c>
      <c r="Q4545">
        <v>0.19115689999999999</v>
      </c>
      <c r="R4545">
        <v>-8.6161810000000005E-2</v>
      </c>
      <c r="S4545">
        <v>-3.0684200000000001</v>
      </c>
      <c r="T4545">
        <v>-2.8727050000000001E-3</v>
      </c>
      <c r="U4545">
        <v>-6.8817139999999997E-3</v>
      </c>
      <c r="V4545">
        <v>-8.5881609999999997E-2</v>
      </c>
      <c r="W4545">
        <v>0.20053840000000001</v>
      </c>
      <c r="X4545">
        <v>0.97591430000000001</v>
      </c>
      <c r="Y4545">
        <v>-1.9871670000000002E-3</v>
      </c>
      <c r="Z4545" s="1">
        <v>-1.2671210000000001E-5</v>
      </c>
      <c r="AA4545">
        <v>0.99999800000000005</v>
      </c>
      <c r="AB4545">
        <v>25</v>
      </c>
      <c r="AC4545">
        <v>-3.0684200000000001</v>
      </c>
      <c r="AD4545">
        <v>-2.8727050000000001E-3</v>
      </c>
      <c r="AE4545">
        <v>-6.8817139999999997E-3</v>
      </c>
      <c r="AF4545">
        <v>-6.09747482649941E-3</v>
      </c>
      <c r="AG4545">
        <v>-2.8727050000000001E-3</v>
      </c>
      <c r="AH4545">
        <v>3.0684189691666899</v>
      </c>
      <c r="AI4545">
        <v>90.053641142514806</v>
      </c>
      <c r="AJ4545">
        <v>90.113856392135801</v>
      </c>
      <c r="AK4545">
        <v>3.0684263722591201</v>
      </c>
      <c r="AL4545">
        <v>78.431555170406696</v>
      </c>
      <c r="AM4545">
        <v>95.029140672488197</v>
      </c>
      <c r="AN4545">
        <v>1.0000000108776199</v>
      </c>
    </row>
    <row r="4546" spans="1:40" x14ac:dyDescent="0.25">
      <c r="A4546" t="str">
        <f>"20190304155151953"</f>
        <v>20190304155151953</v>
      </c>
      <c r="B4546" t="str">
        <f>"1551685911941254"</f>
        <v>1551685911941254</v>
      </c>
      <c r="C4546" t="s">
        <v>40</v>
      </c>
      <c r="D4546">
        <v>4.5744089999999904</v>
      </c>
      <c r="E4546">
        <v>0.53318019999999999</v>
      </c>
      <c r="F4546" t="s">
        <v>52</v>
      </c>
      <c r="G4546">
        <v>-1211.479</v>
      </c>
      <c r="H4546">
        <v>-0.1</v>
      </c>
      <c r="I4546">
        <v>142.47909999999999</v>
      </c>
      <c r="J4546">
        <v>-289.87029999999999</v>
      </c>
      <c r="K4546">
        <v>1.1101270000000001</v>
      </c>
      <c r="L4546">
        <v>141.6037</v>
      </c>
      <c r="M4546">
        <v>-0.99995400000000001</v>
      </c>
      <c r="N4546">
        <v>-9.5924800000000005E-3</v>
      </c>
      <c r="O4546">
        <v>-1.937144E-4</v>
      </c>
      <c r="P4546">
        <v>-0.97779050000000001</v>
      </c>
      <c r="Q4546">
        <v>0.1909623</v>
      </c>
      <c r="R4546">
        <v>-8.6366280000000004E-2</v>
      </c>
      <c r="S4546">
        <v>-3.0692439999999999</v>
      </c>
      <c r="T4546">
        <v>-4.0290359999999997E-3</v>
      </c>
      <c r="U4546">
        <v>2.9144290000000001E-3</v>
      </c>
      <c r="V4546">
        <v>-8.6147039999999994E-2</v>
      </c>
      <c r="W4546">
        <v>0.20034589999999999</v>
      </c>
      <c r="X4546">
        <v>0.97593039999999998</v>
      </c>
      <c r="Y4546">
        <v>1.1432669999999999E-3</v>
      </c>
      <c r="Z4546" s="1">
        <v>4.6299619999999999E-6</v>
      </c>
      <c r="AA4546">
        <v>0.99999930000000004</v>
      </c>
      <c r="AB4546">
        <v>25</v>
      </c>
      <c r="AC4546">
        <v>-921.6087</v>
      </c>
      <c r="AD4546">
        <v>-1.210127</v>
      </c>
      <c r="AE4546">
        <v>0.87539999999998397</v>
      </c>
      <c r="AF4546">
        <v>1.05393525217034</v>
      </c>
      <c r="AG4546">
        <v>-1.210127</v>
      </c>
      <c r="AH4546">
        <v>921.60692415703795</v>
      </c>
      <c r="AI4546">
        <v>90.075232816477495</v>
      </c>
      <c r="AJ4546">
        <v>89.934477471986497</v>
      </c>
      <c r="AK4546">
        <v>921.60832127377603</v>
      </c>
      <c r="AL4546">
        <v>78.442812589198994</v>
      </c>
      <c r="AM4546">
        <v>95.044521114454099</v>
      </c>
      <c r="AN4546">
        <v>0.99999996889586495</v>
      </c>
    </row>
    <row r="4547" spans="1:40" x14ac:dyDescent="0.25">
      <c r="A4547" t="str">
        <f>"20190304155151975"</f>
        <v>20190304155151975</v>
      </c>
      <c r="B4547" t="str">
        <f>"1551685911971511"</f>
        <v>1551685911971511</v>
      </c>
      <c r="C4547" t="s">
        <v>40</v>
      </c>
      <c r="D4547">
        <v>4.5581300000000002</v>
      </c>
      <c r="E4547">
        <v>0.53412669999999995</v>
      </c>
      <c r="F4547" t="s">
        <v>52</v>
      </c>
      <c r="G4547">
        <v>-881.15610000000004</v>
      </c>
      <c r="H4547">
        <v>-0.1</v>
      </c>
      <c r="I4547">
        <v>143.44919999999999</v>
      </c>
      <c r="J4547">
        <v>-290.11720000000003</v>
      </c>
      <c r="K4547">
        <v>1.1101299999999901</v>
      </c>
      <c r="L4547">
        <v>141.6037</v>
      </c>
      <c r="M4547">
        <v>-0.99995409999999996</v>
      </c>
      <c r="N4547">
        <v>-9.594712E-3</v>
      </c>
      <c r="O4547">
        <v>-1.31383E-4</v>
      </c>
      <c r="P4547">
        <v>-0.97779780000000005</v>
      </c>
      <c r="Q4547">
        <v>0.1907702</v>
      </c>
      <c r="R4547">
        <v>-8.6709069999999999E-2</v>
      </c>
      <c r="S4547">
        <v>-3.0702210000000001</v>
      </c>
      <c r="T4547">
        <v>-6.2835219999999997E-3</v>
      </c>
      <c r="U4547">
        <v>9.5825200000000006E-3</v>
      </c>
      <c r="V4547">
        <v>-8.6550680000000005E-2</v>
      </c>
      <c r="W4547">
        <v>0.20015630000000001</v>
      </c>
      <c r="X4547">
        <v>0.97593359999999996</v>
      </c>
      <c r="Y4547">
        <v>3.2524490000000001E-3</v>
      </c>
      <c r="Z4547" s="1">
        <v>1.7940139999999899E-5</v>
      </c>
      <c r="AA4547">
        <v>0.99999470000000001</v>
      </c>
      <c r="AB4547">
        <v>25</v>
      </c>
      <c r="AC4547">
        <v>-591.03890000000001</v>
      </c>
      <c r="AD4547">
        <v>-1.2101299999999999</v>
      </c>
      <c r="AE4547">
        <v>1.8454999999999799</v>
      </c>
      <c r="AF4547">
        <v>1.9231479496552799</v>
      </c>
      <c r="AG4547">
        <v>-1.2101299999999999</v>
      </c>
      <c r="AH4547">
        <v>591.03617475972305</v>
      </c>
      <c r="AI4547">
        <v>90.117310717503798</v>
      </c>
      <c r="AJ4547">
        <v>89.813568311507197</v>
      </c>
      <c r="AK4547">
        <v>591.04054242264897</v>
      </c>
      <c r="AL4547">
        <v>78.453900566514605</v>
      </c>
      <c r="AM4547">
        <v>95.068017763207294</v>
      </c>
      <c r="AN4547">
        <v>0.99999997812355601</v>
      </c>
    </row>
    <row r="4548" spans="1:40" x14ac:dyDescent="0.25">
      <c r="A4548" t="str">
        <f>"20190304155151998"</f>
        <v>20190304155151998</v>
      </c>
      <c r="B4548" t="str">
        <f>"1551685911991030"</f>
        <v>1551685911991030</v>
      </c>
      <c r="C4548" t="s">
        <v>40</v>
      </c>
      <c r="D4548">
        <v>4.5069210000000002</v>
      </c>
      <c r="E4548">
        <v>0.53457149999999998</v>
      </c>
      <c r="F4548" t="s">
        <v>52</v>
      </c>
      <c r="G4548">
        <v>-610.08900000000006</v>
      </c>
      <c r="H4548">
        <v>-0.1</v>
      </c>
      <c r="I4548">
        <v>143.26310000000001</v>
      </c>
      <c r="J4548">
        <v>-290.3784</v>
      </c>
      <c r="K4548">
        <v>1.1101240000000001</v>
      </c>
      <c r="L4548">
        <v>141.60380000000001</v>
      </c>
      <c r="M4548">
        <v>-0.99995400000000001</v>
      </c>
      <c r="N4548">
        <v>-9.5972149999999992E-3</v>
      </c>
      <c r="O4548" s="1">
        <v>-6.5118669999999893E-5</v>
      </c>
      <c r="P4548">
        <v>-0.97780699999999998</v>
      </c>
      <c r="Q4548">
        <v>0.19054019999999999</v>
      </c>
      <c r="R4548">
        <v>-8.7110209999999993E-2</v>
      </c>
      <c r="S4548">
        <v>-3.0718079999999999</v>
      </c>
      <c r="T4548">
        <v>-1.1617540000000001E-2</v>
      </c>
      <c r="U4548">
        <v>1.5930179999999999E-2</v>
      </c>
      <c r="V4548">
        <v>-8.701689E-2</v>
      </c>
      <c r="W4548">
        <v>0.19992869999999999</v>
      </c>
      <c r="X4548">
        <v>0.9759388</v>
      </c>
      <c r="Y4548">
        <v>5.250846E-3</v>
      </c>
      <c r="Z4548" s="1">
        <v>3.4748339999999997E-5</v>
      </c>
      <c r="AA4548">
        <v>0.99998620000000005</v>
      </c>
      <c r="AB4548">
        <v>25</v>
      </c>
      <c r="AC4548">
        <v>-319.7106</v>
      </c>
      <c r="AD4548">
        <v>-1.210124</v>
      </c>
      <c r="AE4548">
        <v>1.6593</v>
      </c>
      <c r="AF4548">
        <v>1.68009601366225</v>
      </c>
      <c r="AG4548">
        <v>-1.210124</v>
      </c>
      <c r="AH4548">
        <v>319.70591106356</v>
      </c>
      <c r="AI4548">
        <v>90.216867148870904</v>
      </c>
      <c r="AJ4548">
        <v>89.698906021743397</v>
      </c>
      <c r="AK4548">
        <v>319.712615784381</v>
      </c>
      <c r="AL4548">
        <v>78.467210163629801</v>
      </c>
      <c r="AM4548">
        <v>95.095146600543103</v>
      </c>
      <c r="AN4548">
        <v>0.99999998278720004</v>
      </c>
    </row>
    <row r="4549" spans="1:40" x14ac:dyDescent="0.25">
      <c r="A4549" t="str">
        <f>"20190304155152021"</f>
        <v>20190304155152021</v>
      </c>
      <c r="B4549" t="str">
        <f>"1551685912011530"</f>
        <v>1551685912011530</v>
      </c>
      <c r="C4549" t="s">
        <v>40</v>
      </c>
      <c r="D4549">
        <v>4.4955669999999897</v>
      </c>
      <c r="E4549">
        <v>0.5350743</v>
      </c>
      <c r="F4549" t="s">
        <v>52</v>
      </c>
      <c r="G4549">
        <v>-575.78060000000005</v>
      </c>
      <c r="H4549">
        <v>-0.1</v>
      </c>
      <c r="I4549">
        <v>143.3133</v>
      </c>
      <c r="J4549">
        <v>-290.63159999999999</v>
      </c>
      <c r="K4549">
        <v>1.11012</v>
      </c>
      <c r="L4549">
        <v>141.60380000000001</v>
      </c>
      <c r="M4549">
        <v>-0.99995400000000001</v>
      </c>
      <c r="N4549">
        <v>-9.5997449999999998E-3</v>
      </c>
      <c r="O4549" s="1">
        <v>-6.999489E-7</v>
      </c>
      <c r="P4549">
        <v>-0.97783160000000002</v>
      </c>
      <c r="Q4549">
        <v>0.19027959999999999</v>
      </c>
      <c r="R4549">
        <v>-8.7402779999999999E-2</v>
      </c>
      <c r="S4549">
        <v>-3.072235</v>
      </c>
      <c r="T4549">
        <v>-1.302648E-2</v>
      </c>
      <c r="U4549">
        <v>1.8402100000000001E-2</v>
      </c>
      <c r="V4549">
        <v>-8.7372469999999994E-2</v>
      </c>
      <c r="W4549">
        <v>0.19967080000000001</v>
      </c>
      <c r="X4549">
        <v>0.97595980000000004</v>
      </c>
      <c r="Y4549">
        <v>5.9902250000000001E-3</v>
      </c>
      <c r="Z4549" s="1">
        <v>4.1449219999999998E-5</v>
      </c>
      <c r="AA4549">
        <v>0.99998209999999998</v>
      </c>
      <c r="AB4549">
        <v>25</v>
      </c>
      <c r="AC4549">
        <v>-285.149</v>
      </c>
      <c r="AD4549">
        <v>-1.2101200000000001</v>
      </c>
      <c r="AE4549">
        <v>1.70949999999999</v>
      </c>
      <c r="AF4549">
        <v>1.70966880891976</v>
      </c>
      <c r="AG4549">
        <v>-1.2101200000000001</v>
      </c>
      <c r="AH4549">
        <v>285.143863553296</v>
      </c>
      <c r="AI4549">
        <v>90.243151317944495</v>
      </c>
      <c r="AJ4549">
        <v>89.656469432377406</v>
      </c>
      <c r="AK4549">
        <v>285.15155668512801</v>
      </c>
      <c r="AL4549">
        <v>78.482290485005606</v>
      </c>
      <c r="AM4549">
        <v>95.115747310891805</v>
      </c>
      <c r="AN4549">
        <v>0.99999995405128905</v>
      </c>
    </row>
    <row r="4550" spans="1:40" x14ac:dyDescent="0.25">
      <c r="A4550" t="str">
        <f>"20190304155152044"</f>
        <v>20190304155152044</v>
      </c>
      <c r="B4550" t="str">
        <f>"1551685912041782"</f>
        <v>1551685912041782</v>
      </c>
      <c r="C4550" t="s">
        <v>40</v>
      </c>
      <c r="D4550">
        <v>4.4837759999999998</v>
      </c>
      <c r="E4550">
        <v>0.53529009999999999</v>
      </c>
      <c r="F4550" t="s">
        <v>42</v>
      </c>
      <c r="G4550">
        <v>-541.74469999999997</v>
      </c>
      <c r="H4550">
        <v>-0.05</v>
      </c>
      <c r="I4550">
        <v>143.3596</v>
      </c>
      <c r="J4550">
        <v>-290.89179999999999</v>
      </c>
      <c r="K4550">
        <v>1.110114</v>
      </c>
      <c r="L4550">
        <v>141.60390000000001</v>
      </c>
      <c r="M4550">
        <v>-0.99995400000000001</v>
      </c>
      <c r="N4550">
        <v>-9.6024690000000006E-3</v>
      </c>
      <c r="O4550" s="1">
        <v>6.5149860000000002E-5</v>
      </c>
      <c r="P4550">
        <v>-0.97791269999999997</v>
      </c>
      <c r="Q4550">
        <v>0.1898077</v>
      </c>
      <c r="R4550">
        <v>-8.7522649999999994E-2</v>
      </c>
      <c r="S4550">
        <v>-3.0726930000000001</v>
      </c>
      <c r="T4550">
        <v>-1.4195559999999999E-2</v>
      </c>
      <c r="U4550">
        <v>2.1484380000000001E-2</v>
      </c>
      <c r="V4550">
        <v>-8.7556910000000002E-2</v>
      </c>
      <c r="W4550">
        <v>0.1992022</v>
      </c>
      <c r="X4550">
        <v>0.97603910000000005</v>
      </c>
      <c r="Y4550">
        <v>6.9264859999999999E-3</v>
      </c>
      <c r="Z4550" s="1">
        <v>4.958161E-5</v>
      </c>
      <c r="AA4550">
        <v>0.99997599999999998</v>
      </c>
      <c r="AB4550">
        <v>25</v>
      </c>
      <c r="AC4550">
        <v>-250.85290000000001</v>
      </c>
      <c r="AD4550">
        <v>-1.1601139999999901</v>
      </c>
      <c r="AE4550">
        <v>1.75569999999999</v>
      </c>
      <c r="AF4550">
        <v>1.7393190150532101</v>
      </c>
      <c r="AG4550">
        <v>-1.1601139999999901</v>
      </c>
      <c r="AH4550">
        <v>250.84764907733501</v>
      </c>
      <c r="AI4550">
        <v>90.264971844726702</v>
      </c>
      <c r="AJ4550">
        <v>89.602730812307499</v>
      </c>
      <c r="AK4550">
        <v>250.85636157521401</v>
      </c>
      <c r="AL4550">
        <v>78.509690566744396</v>
      </c>
      <c r="AM4550">
        <v>95.126074686154396</v>
      </c>
      <c r="AN4550">
        <v>1.0000000268511899</v>
      </c>
    </row>
    <row r="4551" spans="1:40" x14ac:dyDescent="0.25">
      <c r="A4551" t="str">
        <f>"20190304155152067"</f>
        <v>20190304155152067</v>
      </c>
      <c r="B4551" t="str">
        <f>"1551685912061303"</f>
        <v>1551685912061303</v>
      </c>
      <c r="C4551" t="s">
        <v>40</v>
      </c>
      <c r="D4551">
        <v>4.5150990000000002</v>
      </c>
      <c r="E4551">
        <v>0.53524229999999995</v>
      </c>
      <c r="F4551" t="s">
        <v>52</v>
      </c>
      <c r="G4551">
        <v>-594.04390000000001</v>
      </c>
      <c r="H4551">
        <v>-0.1</v>
      </c>
      <c r="I4551">
        <v>143.85640000000001</v>
      </c>
      <c r="J4551">
        <v>-291.14049999999997</v>
      </c>
      <c r="K4551">
        <v>1.1101110000000001</v>
      </c>
      <c r="L4551">
        <v>141.60399999999899</v>
      </c>
      <c r="M4551">
        <v>-0.99995389999999995</v>
      </c>
      <c r="N4551">
        <v>-9.6051769999999995E-3</v>
      </c>
      <c r="O4551">
        <v>1.2837809999999999E-4</v>
      </c>
      <c r="P4551">
        <v>-0.97796209999999995</v>
      </c>
      <c r="Q4551">
        <v>0.18955449999999999</v>
      </c>
      <c r="R4551">
        <v>-8.7518540000000006E-2</v>
      </c>
      <c r="S4551">
        <v>-3.0722049999999999</v>
      </c>
      <c r="T4551">
        <v>-1.226354E-2</v>
      </c>
      <c r="U4551">
        <v>2.2827150000000001E-2</v>
      </c>
      <c r="V4551">
        <v>-8.7614510000000007E-2</v>
      </c>
      <c r="W4551">
        <v>0.1989522</v>
      </c>
      <c r="X4551">
        <v>0.97608490000000003</v>
      </c>
      <c r="Y4551">
        <v>7.3014359999999997E-3</v>
      </c>
      <c r="Z4551" s="1">
        <v>5.0360800000000001E-5</v>
      </c>
      <c r="AA4551">
        <v>0.99997340000000001</v>
      </c>
      <c r="AB4551">
        <v>25</v>
      </c>
      <c r="AC4551">
        <v>-302.90339999999998</v>
      </c>
      <c r="AD4551">
        <v>-1.2101109999999999</v>
      </c>
      <c r="AE4551">
        <v>2.2524000000000202</v>
      </c>
      <c r="AF4551">
        <v>2.2134767001617202</v>
      </c>
      <c r="AG4551">
        <v>-1.2101109999999999</v>
      </c>
      <c r="AH4551">
        <v>302.89885257468899</v>
      </c>
      <c r="AI4551">
        <v>90.228895000431393</v>
      </c>
      <c r="AJ4551">
        <v>89.581310346845498</v>
      </c>
      <c r="AK4551">
        <v>302.90935729818199</v>
      </c>
      <c r="AL4551">
        <v>78.524306837081994</v>
      </c>
      <c r="AM4551">
        <v>95.129189530872594</v>
      </c>
      <c r="AN4551">
        <v>1.0000000061276899</v>
      </c>
    </row>
    <row r="4552" spans="1:40" x14ac:dyDescent="0.25">
      <c r="A4552" t="str">
        <f>"20190304155152088"</f>
        <v>20190304155152088</v>
      </c>
      <c r="B4552" t="str">
        <f>"1551685912081799"</f>
        <v>1551685912081799</v>
      </c>
      <c r="C4552" t="s">
        <v>40</v>
      </c>
      <c r="D4552">
        <v>4.4942310000000001</v>
      </c>
      <c r="E4552">
        <v>0.53558099999999997</v>
      </c>
      <c r="F4552" t="s">
        <v>42</v>
      </c>
      <c r="G4552">
        <v>-541.029</v>
      </c>
      <c r="H4552">
        <v>-0.05</v>
      </c>
      <c r="I4552">
        <v>143.4581</v>
      </c>
      <c r="J4552">
        <v>-291.38760000000002</v>
      </c>
      <c r="K4552">
        <v>1.1101080000000001</v>
      </c>
      <c r="L4552">
        <v>141.60409999999999</v>
      </c>
      <c r="M4552">
        <v>-0.99995389999999995</v>
      </c>
      <c r="N4552">
        <v>-9.6080060000000005E-3</v>
      </c>
      <c r="O4552">
        <v>1.9089230000000001E-4</v>
      </c>
      <c r="P4552">
        <v>-0.97807690000000003</v>
      </c>
      <c r="Q4552">
        <v>0.18913150000000001</v>
      </c>
      <c r="R4552">
        <v>-8.7149229999999994E-2</v>
      </c>
      <c r="S4552">
        <v>-3.0724179999999999</v>
      </c>
      <c r="T4552">
        <v>-1.426375E-2</v>
      </c>
      <c r="U4552">
        <v>2.2796629999999998E-2</v>
      </c>
      <c r="V4552">
        <v>-8.7306510000000004E-2</v>
      </c>
      <c r="W4552">
        <v>0.1985335</v>
      </c>
      <c r="X4552">
        <v>0.97619769999999995</v>
      </c>
      <c r="Y4552">
        <v>7.2284319999999999E-3</v>
      </c>
      <c r="Z4552" s="1">
        <v>5.2453909999999997E-5</v>
      </c>
      <c r="AA4552">
        <v>0.99997389999999997</v>
      </c>
      <c r="AB4552">
        <v>25</v>
      </c>
      <c r="AC4552">
        <v>-249.6414</v>
      </c>
      <c r="AD4552">
        <v>-1.1601079999999999</v>
      </c>
      <c r="AE4552">
        <v>1.8540000000000101</v>
      </c>
      <c r="AF4552">
        <v>1.8063041431628499</v>
      </c>
      <c r="AG4552">
        <v>-1.1601079999999999</v>
      </c>
      <c r="AH4552">
        <v>249.63635865263001</v>
      </c>
      <c r="AI4552">
        <v>90.266255581196901</v>
      </c>
      <c r="AJ4552">
        <v>89.585429789287303</v>
      </c>
      <c r="AK4552">
        <v>249.64558907894599</v>
      </c>
      <c r="AL4552">
        <v>78.548784380038995</v>
      </c>
      <c r="AM4552">
        <v>95.110666578872696</v>
      </c>
      <c r="AN4552">
        <v>0.99999996339795905</v>
      </c>
    </row>
    <row r="4553" spans="1:40" x14ac:dyDescent="0.25">
      <c r="A4553" t="str">
        <f>"20190304155152111"</f>
        <v>20190304155152111</v>
      </c>
      <c r="B4553" t="str">
        <f>"1551685912101318"</f>
        <v>1551685912101318</v>
      </c>
      <c r="C4553" t="s">
        <v>40</v>
      </c>
      <c r="D4553">
        <v>4.44693</v>
      </c>
      <c r="E4553">
        <v>0.53649969999999902</v>
      </c>
      <c r="F4553" t="s">
        <v>42</v>
      </c>
      <c r="G4553">
        <v>-551.82190000000003</v>
      </c>
      <c r="H4553">
        <v>-0.05</v>
      </c>
      <c r="I4553">
        <v>143.8741</v>
      </c>
      <c r="J4553">
        <v>-291.64760000000001</v>
      </c>
      <c r="K4553">
        <v>1.1101099999999999</v>
      </c>
      <c r="L4553">
        <v>141.60419999999999</v>
      </c>
      <c r="M4553">
        <v>-0.9999538</v>
      </c>
      <c r="N4553">
        <v>-9.6110659999999997E-3</v>
      </c>
      <c r="O4553">
        <v>2.5680119999999998E-4</v>
      </c>
      <c r="P4553">
        <v>-0.97830539999999999</v>
      </c>
      <c r="Q4553">
        <v>0.18813930000000001</v>
      </c>
      <c r="R4553">
        <v>-8.6730210000000002E-2</v>
      </c>
      <c r="S4553">
        <v>-3.0722960000000001</v>
      </c>
      <c r="T4553">
        <v>-1.3685579999999999E-2</v>
      </c>
      <c r="U4553">
        <v>2.6779170000000001E-2</v>
      </c>
      <c r="V4553">
        <v>-8.6951810000000004E-2</v>
      </c>
      <c r="W4553">
        <v>0.1975459</v>
      </c>
      <c r="X4553">
        <v>0.97642980000000001</v>
      </c>
      <c r="Y4553">
        <v>8.4589439999999995E-3</v>
      </c>
      <c r="Z4553" s="1">
        <v>6.0816129999999997E-5</v>
      </c>
      <c r="AA4553">
        <v>0.99996419999999997</v>
      </c>
      <c r="AB4553">
        <v>25</v>
      </c>
      <c r="AC4553">
        <v>-260.17430000000002</v>
      </c>
      <c r="AD4553">
        <v>-1.16011</v>
      </c>
      <c r="AE4553">
        <v>2.2698999999999998</v>
      </c>
      <c r="AF4553">
        <v>2.20303996953121</v>
      </c>
      <c r="AG4553">
        <v>-1.16011</v>
      </c>
      <c r="AH4553">
        <v>260.16970194708802</v>
      </c>
      <c r="AI4553">
        <v>90.255473957648405</v>
      </c>
      <c r="AJ4553">
        <v>89.514847906276003</v>
      </c>
      <c r="AK4553">
        <v>260.18161551415602</v>
      </c>
      <c r="AL4553">
        <v>78.606514383993499</v>
      </c>
      <c r="AM4553">
        <v>95.088809217982501</v>
      </c>
      <c r="AN4553">
        <v>1.00000007709856</v>
      </c>
    </row>
    <row r="4554" spans="1:40" x14ac:dyDescent="0.25">
      <c r="A4554" t="str">
        <f>"20190304155152199"</f>
        <v>20190304155152199</v>
      </c>
      <c r="B4554" t="str">
        <f>"1551685912191113"</f>
        <v>1551685912191113</v>
      </c>
      <c r="C4554" t="s">
        <v>40</v>
      </c>
      <c r="D4554">
        <v>4.4574959999999999</v>
      </c>
      <c r="E4554">
        <v>0.53938790000000003</v>
      </c>
      <c r="F4554" t="s">
        <v>52</v>
      </c>
      <c r="G4554">
        <v>-587.4402</v>
      </c>
      <c r="H4554">
        <v>-0.1</v>
      </c>
      <c r="I4554">
        <v>145.00389999999999</v>
      </c>
      <c r="J4554">
        <v>-292.65730000000002</v>
      </c>
      <c r="K4554">
        <v>1.1101160000000001</v>
      </c>
      <c r="L4554">
        <v>141.60489999999999</v>
      </c>
      <c r="M4554">
        <v>-0.99995310000000004</v>
      </c>
      <c r="N4554">
        <v>-9.673091E-3</v>
      </c>
      <c r="O4554">
        <v>5.1358049999999998E-4</v>
      </c>
      <c r="P4554">
        <v>-0.97867440000000006</v>
      </c>
      <c r="Q4554">
        <v>0.18727969999999999</v>
      </c>
      <c r="R4554">
        <v>-8.4398639999999997E-2</v>
      </c>
      <c r="S4554">
        <v>-3.0720830000000001</v>
      </c>
      <c r="T4554">
        <v>-1.256812E-2</v>
      </c>
      <c r="U4554">
        <v>3.5308840000000001E-2</v>
      </c>
      <c r="V4554">
        <v>-8.4871669999999996E-2</v>
      </c>
      <c r="W4554">
        <v>0.19675029999999999</v>
      </c>
      <c r="X4554">
        <v>0.97677329999999996</v>
      </c>
      <c r="Y4554">
        <v>1.097882E-2</v>
      </c>
      <c r="Z4554" s="1">
        <v>7.8426939999999996E-5</v>
      </c>
      <c r="AA4554">
        <v>0.99993969999999999</v>
      </c>
      <c r="AB4554">
        <v>26</v>
      </c>
      <c r="AC4554">
        <v>-294.78289999999998</v>
      </c>
      <c r="AD4554">
        <v>-1.210116</v>
      </c>
      <c r="AE4554">
        <v>3.399</v>
      </c>
      <c r="AF4554">
        <v>3.2475430016732898</v>
      </c>
      <c r="AG4554">
        <v>-1.210116</v>
      </c>
      <c r="AH4554">
        <v>294.77963991839101</v>
      </c>
      <c r="AI4554">
        <v>90.2351924404134</v>
      </c>
      <c r="AJ4554">
        <v>89.368806541287597</v>
      </c>
      <c r="AK4554">
        <v>294.80001191773698</v>
      </c>
      <c r="AL4554">
        <v>78.653010355356699</v>
      </c>
      <c r="AM4554">
        <v>94.965948461409795</v>
      </c>
      <c r="AN4554">
        <v>0.99999998025578396</v>
      </c>
    </row>
    <row r="4555" spans="1:40" x14ac:dyDescent="0.25">
      <c r="A4555" t="str">
        <f>"20190304155152222"</f>
        <v>20190304155152222</v>
      </c>
      <c r="B4555" t="str">
        <f>"1551685912211607"</f>
        <v>1551685912211607</v>
      </c>
      <c r="C4555" t="s">
        <v>40</v>
      </c>
      <c r="D4555">
        <v>4.4136480000000002</v>
      </c>
      <c r="E4555">
        <v>0.54080609999999996</v>
      </c>
      <c r="F4555" t="s">
        <v>41</v>
      </c>
      <c r="G4555">
        <v>-389.51299999999998</v>
      </c>
      <c r="H4555" s="1">
        <v>-1.2678449999999999E-6</v>
      </c>
      <c r="I4555">
        <v>143.66239999999999</v>
      </c>
      <c r="J4555">
        <v>-292.92149999999998</v>
      </c>
      <c r="K4555">
        <v>1.110123</v>
      </c>
      <c r="L4555">
        <v>141.60509999999999</v>
      </c>
      <c r="M4555">
        <v>-0.99995270000000003</v>
      </c>
      <c r="N4555">
        <v>-9.7185759999999996E-3</v>
      </c>
      <c r="O4555">
        <v>5.8059819999999995E-4</v>
      </c>
      <c r="P4555">
        <v>-0.97879059999999996</v>
      </c>
      <c r="Q4555">
        <v>0.18681929999999999</v>
      </c>
      <c r="R4555">
        <v>-8.4070199999999998E-2</v>
      </c>
      <c r="S4555">
        <v>-3.0777589999999999</v>
      </c>
      <c r="T4555">
        <v>-3.5275939999999999E-2</v>
      </c>
      <c r="U4555">
        <v>6.5383910000000003E-2</v>
      </c>
      <c r="V4555">
        <v>-8.460869E-2</v>
      </c>
      <c r="W4555">
        <v>0.19633500000000001</v>
      </c>
      <c r="X4555">
        <v>0.97687970000000002</v>
      </c>
      <c r="Y4555">
        <v>2.0656210000000001E-2</v>
      </c>
      <c r="Z4555">
        <v>2.177417E-4</v>
      </c>
      <c r="AA4555">
        <v>0.99978659999999997</v>
      </c>
      <c r="AB4555">
        <v>26</v>
      </c>
      <c r="AC4555">
        <v>-96.591499999999996</v>
      </c>
      <c r="AD4555">
        <v>-1.1101242678450001</v>
      </c>
      <c r="AE4555">
        <v>2.0572999999999899</v>
      </c>
      <c r="AF4555">
        <v>2.0009519757629102</v>
      </c>
      <c r="AG4555">
        <v>-1.1101242678450001</v>
      </c>
      <c r="AH4555">
        <v>96.5799269154397</v>
      </c>
      <c r="AI4555">
        <v>90.658407927632894</v>
      </c>
      <c r="AJ4555">
        <v>88.813110471687295</v>
      </c>
      <c r="AK4555">
        <v>96.607031150382895</v>
      </c>
      <c r="AL4555">
        <v>78.677278928611599</v>
      </c>
      <c r="AM4555">
        <v>94.950101223962704</v>
      </c>
      <c r="AN4555">
        <v>1.0000000054603</v>
      </c>
    </row>
    <row r="4556" spans="1:40" x14ac:dyDescent="0.25">
      <c r="A4556" t="str">
        <f>"20190304155152245"</f>
        <v>20190304155152245</v>
      </c>
      <c r="B4556" t="str">
        <f>"1551685912241863"</f>
        <v>1551685912241863</v>
      </c>
      <c r="C4556" t="s">
        <v>40</v>
      </c>
      <c r="D4556">
        <v>4.5392219999999996</v>
      </c>
      <c r="E4556">
        <v>0.54173739999999904</v>
      </c>
      <c r="F4556" t="s">
        <v>84</v>
      </c>
      <c r="G4556">
        <v>-400.86599999999999</v>
      </c>
      <c r="H4556" s="1">
        <v>-7.6872550000000003E-6</v>
      </c>
      <c r="I4556">
        <v>144.3296</v>
      </c>
      <c r="J4556">
        <v>-293.18009999999998</v>
      </c>
      <c r="K4556">
        <v>1.1101299999999901</v>
      </c>
      <c r="L4556">
        <v>141.6053</v>
      </c>
      <c r="M4556">
        <v>-0.99995210000000001</v>
      </c>
      <c r="N4556">
        <v>-9.7721679999999995E-3</v>
      </c>
      <c r="O4556">
        <v>6.460859E-4</v>
      </c>
      <c r="P4556">
        <v>-0.97890520000000003</v>
      </c>
      <c r="Q4556">
        <v>0.1863773</v>
      </c>
      <c r="R4556">
        <v>-8.3717559999999996E-2</v>
      </c>
      <c r="S4556">
        <v>-3.077728</v>
      </c>
      <c r="T4556">
        <v>-3.165221E-2</v>
      </c>
      <c r="U4556">
        <v>7.7682500000000002E-2</v>
      </c>
      <c r="V4556">
        <v>-8.4320519999999996E-2</v>
      </c>
      <c r="W4556">
        <v>0.1959465</v>
      </c>
      <c r="X4556">
        <v>0.97698260000000003</v>
      </c>
      <c r="Y4556">
        <v>2.458372E-2</v>
      </c>
      <c r="Z4556">
        <v>2.4620529999999999E-4</v>
      </c>
      <c r="AA4556">
        <v>0.99969770000000002</v>
      </c>
      <c r="AB4556">
        <v>26</v>
      </c>
      <c r="AC4556">
        <v>-107.6859</v>
      </c>
      <c r="AD4556">
        <v>-1.1101376872549999</v>
      </c>
      <c r="AE4556">
        <v>2.7242999999999902</v>
      </c>
      <c r="AF4556">
        <v>2.65443984814276</v>
      </c>
      <c r="AG4556">
        <v>-1.1101376872549999</v>
      </c>
      <c r="AH4556">
        <v>107.676201640114</v>
      </c>
      <c r="AI4556">
        <v>90.590517059519698</v>
      </c>
      <c r="AJ4556">
        <v>88.587827208137099</v>
      </c>
      <c r="AK4556">
        <v>107.714636221056</v>
      </c>
      <c r="AL4556">
        <v>78.699979108649501</v>
      </c>
      <c r="AM4556">
        <v>94.932807910816393</v>
      </c>
      <c r="AN4556">
        <v>0.99999999082904001</v>
      </c>
    </row>
    <row r="4557" spans="1:40" x14ac:dyDescent="0.25">
      <c r="A4557" t="str">
        <f>"20190304155152268"</f>
        <v>20190304155152268</v>
      </c>
      <c r="B4557" t="str">
        <f>"1551685912261383"</f>
        <v>1551685912261383</v>
      </c>
      <c r="C4557" t="s">
        <v>40</v>
      </c>
      <c r="D4557">
        <v>4.6496329999999997</v>
      </c>
      <c r="E4557">
        <v>0.54170790000000002</v>
      </c>
      <c r="F4557" t="s">
        <v>84</v>
      </c>
      <c r="G4557">
        <v>-428.42110000000002</v>
      </c>
      <c r="H4557" s="1">
        <v>-1.323585E-5</v>
      </c>
      <c r="I4557">
        <v>145.38800000000001</v>
      </c>
      <c r="J4557">
        <v>-293.43920000000003</v>
      </c>
      <c r="K4557">
        <v>1.110133</v>
      </c>
      <c r="L4557">
        <v>141.60550000000001</v>
      </c>
      <c r="M4557">
        <v>-0.99995140000000005</v>
      </c>
      <c r="N4557">
        <v>-9.8351670000000006E-3</v>
      </c>
      <c r="O4557">
        <v>7.1200319999999997E-4</v>
      </c>
      <c r="P4557">
        <v>-0.97900759999999998</v>
      </c>
      <c r="Q4557">
        <v>0.1860068</v>
      </c>
      <c r="R4557">
        <v>-8.3340940000000002E-2</v>
      </c>
      <c r="S4557">
        <v>-3.076813</v>
      </c>
      <c r="T4557">
        <v>-2.5256399999999998E-2</v>
      </c>
      <c r="U4557">
        <v>8.6059570000000002E-2</v>
      </c>
      <c r="V4557">
        <v>-8.4008050000000001E-2</v>
      </c>
      <c r="W4557">
        <v>0.1956388</v>
      </c>
      <c r="X4557">
        <v>0.97707120000000003</v>
      </c>
      <c r="Y4557">
        <v>2.724565E-2</v>
      </c>
      <c r="Z4557">
        <v>2.469762E-4</v>
      </c>
      <c r="AA4557">
        <v>0.99962870000000004</v>
      </c>
      <c r="AB4557">
        <v>26</v>
      </c>
      <c r="AC4557">
        <v>-134.9819</v>
      </c>
      <c r="AD4557">
        <v>-1.1101462358499901</v>
      </c>
      <c r="AE4557">
        <v>3.78249999999999</v>
      </c>
      <c r="AF4557">
        <v>3.6861377117121998</v>
      </c>
      <c r="AG4557">
        <v>-1.1101462358499901</v>
      </c>
      <c r="AH4557">
        <v>134.97543636961601</v>
      </c>
      <c r="AI4557">
        <v>90.471060192591906</v>
      </c>
      <c r="AJ4557">
        <v>88.435658686987907</v>
      </c>
      <c r="AK4557">
        <v>135.030324220388</v>
      </c>
      <c r="AL4557">
        <v>78.717957209019005</v>
      </c>
      <c r="AM4557">
        <v>94.9141744279069</v>
      </c>
      <c r="AN4557">
        <v>1.0000000111998399</v>
      </c>
    </row>
    <row r="4558" spans="1:40" x14ac:dyDescent="0.25">
      <c r="A4558" t="str">
        <f>"20190304155152289"</f>
        <v>20190304155152289</v>
      </c>
      <c r="B4558" t="str">
        <f>"1551685912281882"</f>
        <v>1551685912281882</v>
      </c>
      <c r="C4558" t="s">
        <v>40</v>
      </c>
      <c r="D4558">
        <v>4.6307850000000004</v>
      </c>
      <c r="E4558">
        <v>0.54130180000000006</v>
      </c>
      <c r="F4558" t="s">
        <v>84</v>
      </c>
      <c r="G4558">
        <v>-417.56729999999999</v>
      </c>
      <c r="H4558" s="1">
        <v>-1.194171E-5</v>
      </c>
      <c r="I4558">
        <v>145.12100000000001</v>
      </c>
      <c r="J4558">
        <v>-293.69189999999998</v>
      </c>
      <c r="K4558">
        <v>1.110141</v>
      </c>
      <c r="L4558">
        <v>141.60579999999999</v>
      </c>
      <c r="M4558">
        <v>-0.99995060000000002</v>
      </c>
      <c r="N4558">
        <v>-9.9050040000000002E-3</v>
      </c>
      <c r="O4558">
        <v>7.760369E-4</v>
      </c>
      <c r="P4558">
        <v>-0.97911329999999996</v>
      </c>
      <c r="Q4558">
        <v>0.1857221</v>
      </c>
      <c r="R4558">
        <v>-8.2731170000000007E-2</v>
      </c>
      <c r="S4558">
        <v>-3.0769959999999998</v>
      </c>
      <c r="T4558">
        <v>-2.7519229999999999E-2</v>
      </c>
      <c r="U4558">
        <v>8.7142940000000002E-2</v>
      </c>
      <c r="V4558">
        <v>-8.3461460000000001E-2</v>
      </c>
      <c r="W4558">
        <v>0.19542319999999999</v>
      </c>
      <c r="X4558">
        <v>0.97716119999999995</v>
      </c>
      <c r="Y4558">
        <v>2.753135E-2</v>
      </c>
      <c r="Z4558">
        <v>2.602185E-4</v>
      </c>
      <c r="AA4558">
        <v>0.99962090000000003</v>
      </c>
      <c r="AB4558">
        <v>26</v>
      </c>
      <c r="AC4558">
        <v>-123.8754</v>
      </c>
      <c r="AD4558">
        <v>-1.11015294171</v>
      </c>
      <c r="AE4558">
        <v>3.5152000000000201</v>
      </c>
      <c r="AF4558">
        <v>3.41878798152301</v>
      </c>
      <c r="AG4558">
        <v>-1.11015294171</v>
      </c>
      <c r="AH4558">
        <v>123.868150315196</v>
      </c>
      <c r="AI4558">
        <v>90.513297112791705</v>
      </c>
      <c r="AJ4558">
        <v>88.419025347197902</v>
      </c>
      <c r="AK4558">
        <v>123.92029379131</v>
      </c>
      <c r="AL4558">
        <v>78.730553490797405</v>
      </c>
      <c r="AM4558">
        <v>94.881908390313399</v>
      </c>
      <c r="AN4558">
        <v>1.0000000265944999</v>
      </c>
    </row>
    <row r="4559" spans="1:40" x14ac:dyDescent="0.25">
      <c r="A4559" t="str">
        <f>"20190304155152312"</f>
        <v>20190304155152312</v>
      </c>
      <c r="B4559" t="str">
        <f>"1551685912301409"</f>
        <v>1551685912301409</v>
      </c>
      <c r="C4559" t="s">
        <v>40</v>
      </c>
      <c r="D4559">
        <v>4.6345489999999998</v>
      </c>
      <c r="E4559">
        <v>0.54073959999999999</v>
      </c>
      <c r="F4559" t="s">
        <v>84</v>
      </c>
      <c r="G4559">
        <v>-405.892</v>
      </c>
      <c r="H4559" s="1">
        <v>-1.0256400000000001E-5</v>
      </c>
      <c r="I4559">
        <v>144.75049999999999</v>
      </c>
      <c r="J4559">
        <v>-293.94830000000002</v>
      </c>
      <c r="K4559">
        <v>1.1101570000000001</v>
      </c>
      <c r="L4559">
        <v>141.6061</v>
      </c>
      <c r="M4559">
        <v>-0.99995000000000001</v>
      </c>
      <c r="N4559">
        <v>-9.9764620000000002E-3</v>
      </c>
      <c r="O4559">
        <v>8.4089419999999998E-4</v>
      </c>
      <c r="P4559">
        <v>-0.97902500000000003</v>
      </c>
      <c r="Q4559">
        <v>0.18653739999999999</v>
      </c>
      <c r="R4559">
        <v>-8.1940369999999998E-2</v>
      </c>
      <c r="S4559">
        <v>-3.0770569999999999</v>
      </c>
      <c r="T4559">
        <v>-3.044558E-2</v>
      </c>
      <c r="U4559">
        <v>8.6242680000000002E-2</v>
      </c>
      <c r="V4559">
        <v>-8.2733650000000006E-2</v>
      </c>
      <c r="W4559">
        <v>0.1963075</v>
      </c>
      <c r="X4559">
        <v>0.97704579999999996</v>
      </c>
      <c r="Y4559">
        <v>2.7173360000000001E-2</v>
      </c>
      <c r="Z4559">
        <v>2.700553E-4</v>
      </c>
      <c r="AA4559">
        <v>0.99963069999999998</v>
      </c>
      <c r="AB4559">
        <v>26</v>
      </c>
      <c r="AC4559">
        <v>-111.943699999999</v>
      </c>
      <c r="AD4559">
        <v>-1.1101672564</v>
      </c>
      <c r="AE4559">
        <v>3.1443999999999899</v>
      </c>
      <c r="AF4559">
        <v>3.04996167711549</v>
      </c>
      <c r="AG4559">
        <v>-1.1101672564</v>
      </c>
      <c r="AH4559">
        <v>111.93530441935</v>
      </c>
      <c r="AI4559">
        <v>90.568026472926405</v>
      </c>
      <c r="AJ4559">
        <v>88.439217139788497</v>
      </c>
      <c r="AK4559">
        <v>111.98235179269</v>
      </c>
      <c r="AL4559">
        <v>78.678885694566006</v>
      </c>
      <c r="AM4559">
        <v>94.840108591570498</v>
      </c>
      <c r="AN4559">
        <v>0.99999999334810596</v>
      </c>
    </row>
    <row r="4560" spans="1:40" x14ac:dyDescent="0.25">
      <c r="A4560" t="str">
        <f>"20190304155152334"</f>
        <v>20190304155152334</v>
      </c>
      <c r="B4560" t="str">
        <f>"1551685912331655"</f>
        <v>1551685912331655</v>
      </c>
      <c r="C4560" t="s">
        <v>40</v>
      </c>
      <c r="D4560">
        <v>4.6076860000000002</v>
      </c>
      <c r="E4560">
        <v>0.54003570000000001</v>
      </c>
      <c r="F4560" t="s">
        <v>84</v>
      </c>
      <c r="G4560">
        <v>-408.69690000000003</v>
      </c>
      <c r="H4560" s="1">
        <v>-1.186853E-5</v>
      </c>
      <c r="I4560">
        <v>144.7398</v>
      </c>
      <c r="J4560">
        <v>-294.20400000000001</v>
      </c>
      <c r="K4560">
        <v>1.1101620000000001</v>
      </c>
      <c r="L4560">
        <v>141.60640000000001</v>
      </c>
      <c r="M4560">
        <v>-0.99994919999999998</v>
      </c>
      <c r="N4560">
        <v>-1.0044579999999999E-2</v>
      </c>
      <c r="O4560">
        <v>9.0576480000000004E-4</v>
      </c>
      <c r="P4560">
        <v>-0.97916959999999997</v>
      </c>
      <c r="Q4560">
        <v>0.18632670000000001</v>
      </c>
      <c r="R4560">
        <v>-8.0680299999999996E-2</v>
      </c>
      <c r="S4560">
        <v>-3.0769959999999998</v>
      </c>
      <c r="T4560">
        <v>-2.9769299999999999E-2</v>
      </c>
      <c r="U4560">
        <v>8.4030149999999998E-2</v>
      </c>
      <c r="V4560">
        <v>-8.1537219999999994E-2</v>
      </c>
      <c r="W4560">
        <v>0.19616439999999999</v>
      </c>
      <c r="X4560">
        <v>0.97717509999999996</v>
      </c>
      <c r="Y4560">
        <v>2.6390980000000001E-2</v>
      </c>
      <c r="Z4560">
        <v>2.605498E-4</v>
      </c>
      <c r="AA4560">
        <v>0.99965170000000003</v>
      </c>
      <c r="AB4560">
        <v>26</v>
      </c>
      <c r="AC4560">
        <v>-114.49290000000001</v>
      </c>
      <c r="AD4560">
        <v>-1.11017386852999</v>
      </c>
      <c r="AE4560">
        <v>3.1333999999999902</v>
      </c>
      <c r="AF4560">
        <v>3.0294052354454202</v>
      </c>
      <c r="AG4560">
        <v>-1.11017386852999</v>
      </c>
      <c r="AH4560">
        <v>114.484935363513</v>
      </c>
      <c r="AI4560">
        <v>90.555392096352804</v>
      </c>
      <c r="AJ4560">
        <v>88.484240397853</v>
      </c>
      <c r="AK4560">
        <v>114.530389885334</v>
      </c>
      <c r="AL4560">
        <v>78.687247179946198</v>
      </c>
      <c r="AM4560">
        <v>94.769811753918205</v>
      </c>
      <c r="AN4560">
        <v>0.99999998306634896</v>
      </c>
    </row>
    <row r="4561" spans="1:40" x14ac:dyDescent="0.25">
      <c r="A4561" t="str">
        <f>"20190304155152350"</f>
        <v>20190304155152350</v>
      </c>
      <c r="B4561" t="str">
        <f>"1551685912341415"</f>
        <v>1551685912341415</v>
      </c>
      <c r="C4561" t="s">
        <v>40</v>
      </c>
      <c r="D4561">
        <v>4.6638129999999904</v>
      </c>
      <c r="E4561">
        <v>0.53980869999999903</v>
      </c>
      <c r="F4561" t="s">
        <v>41</v>
      </c>
      <c r="G4561">
        <v>-399.3723</v>
      </c>
      <c r="H4561" s="1">
        <v>-1.533393E-6</v>
      </c>
      <c r="I4561">
        <v>144.43360000000001</v>
      </c>
      <c r="J4561">
        <v>-294.3827</v>
      </c>
      <c r="K4561">
        <v>1.1101669999999999</v>
      </c>
      <c r="L4561">
        <v>141.60659999999999</v>
      </c>
      <c r="M4561">
        <v>-0.99994870000000002</v>
      </c>
      <c r="N4561">
        <v>-1.00927E-2</v>
      </c>
      <c r="O4561">
        <v>9.5118259999999995E-4</v>
      </c>
      <c r="P4561">
        <v>-0.97931380000000001</v>
      </c>
      <c r="Q4561">
        <v>0.18582889999999999</v>
      </c>
      <c r="R4561">
        <v>-8.007802E-2</v>
      </c>
      <c r="S4561">
        <v>-3.076813</v>
      </c>
      <c r="T4561">
        <v>-3.2479050000000002E-2</v>
      </c>
      <c r="U4561">
        <v>8.2717899999999997E-2</v>
      </c>
      <c r="V4561">
        <v>-8.0979880000000004E-2</v>
      </c>
      <c r="W4561">
        <v>0.195715</v>
      </c>
      <c r="X4561">
        <v>0.97731159999999995</v>
      </c>
      <c r="Y4561">
        <v>2.5920849999999999E-2</v>
      </c>
      <c r="Z4561">
        <v>2.6718230000000003E-4</v>
      </c>
      <c r="AA4561">
        <v>0.99966390000000005</v>
      </c>
      <c r="AB4561">
        <v>26</v>
      </c>
      <c r="AC4561">
        <v>-104.9896</v>
      </c>
      <c r="AD4561">
        <v>-1.11016853339299</v>
      </c>
      <c r="AE4561">
        <v>2.8270000000000199</v>
      </c>
      <c r="AF4561">
        <v>2.7268246935743701</v>
      </c>
      <c r="AG4561">
        <v>-1.11016853339299</v>
      </c>
      <c r="AH4561">
        <v>104.980512138956</v>
      </c>
      <c r="AI4561">
        <v>90.605675806342205</v>
      </c>
      <c r="AJ4561">
        <v>88.512100758724699</v>
      </c>
      <c r="AK4561">
        <v>105.021788101515</v>
      </c>
      <c r="AL4561">
        <v>78.713505453902798</v>
      </c>
      <c r="AM4561">
        <v>94.736698401631102</v>
      </c>
      <c r="AN4561">
        <v>1.0000000328421801</v>
      </c>
    </row>
    <row r="4562" spans="1:40" x14ac:dyDescent="0.25">
      <c r="A4562" t="str">
        <f>"20190304155152368"</f>
        <v>20190304155152368</v>
      </c>
      <c r="B4562" t="str">
        <f>"1551685912361911"</f>
        <v>1551685912361911</v>
      </c>
      <c r="C4562" t="s">
        <v>40</v>
      </c>
      <c r="D4562">
        <v>4.6451890000000002</v>
      </c>
      <c r="E4562">
        <v>0.53938759999999997</v>
      </c>
      <c r="F4562" t="s">
        <v>41</v>
      </c>
      <c r="G4562">
        <v>-394.38760000000002</v>
      </c>
      <c r="H4562" s="1">
        <v>-3.6161450000000002E-6</v>
      </c>
      <c r="I4562">
        <v>144.3135</v>
      </c>
      <c r="J4562">
        <v>-294.60050000000001</v>
      </c>
      <c r="K4562">
        <v>1.1101730000000001</v>
      </c>
      <c r="L4562">
        <v>141.6069</v>
      </c>
      <c r="M4562">
        <v>-0.99994799999999995</v>
      </c>
      <c r="N4562">
        <v>-1.0154949999999999E-2</v>
      </c>
      <c r="O4562">
        <v>1.0064819999999999E-3</v>
      </c>
      <c r="P4562">
        <v>-0.97939639999999994</v>
      </c>
      <c r="Q4562">
        <v>0.1857473</v>
      </c>
      <c r="R4562">
        <v>-7.9249710000000001E-2</v>
      </c>
      <c r="S4562">
        <v>-3.07666</v>
      </c>
      <c r="T4562">
        <v>-3.4154530000000002E-2</v>
      </c>
      <c r="U4562">
        <v>8.3282469999999997E-2</v>
      </c>
      <c r="V4562">
        <v>-8.0205670000000007E-2</v>
      </c>
      <c r="W4562">
        <v>0.1956949</v>
      </c>
      <c r="X4562">
        <v>0.97737940000000001</v>
      </c>
      <c r="Y4562">
        <v>2.604996E-2</v>
      </c>
      <c r="Z4562">
        <v>2.7591349999999998E-4</v>
      </c>
      <c r="AA4562">
        <v>0.99966060000000001</v>
      </c>
      <c r="AB4562">
        <v>26</v>
      </c>
      <c r="AC4562">
        <v>-99.787099999999995</v>
      </c>
      <c r="AD4562">
        <v>-1.110176616145</v>
      </c>
      <c r="AE4562">
        <v>2.7065999999999999</v>
      </c>
      <c r="AF4562">
        <v>2.6058372348388099</v>
      </c>
      <c r="AG4562">
        <v>-1.110176616145</v>
      </c>
      <c r="AH4562">
        <v>99.777432795614004</v>
      </c>
      <c r="AI4562">
        <v>90.637259640322597</v>
      </c>
      <c r="AJ4562">
        <v>88.503974895518994</v>
      </c>
      <c r="AK4562">
        <v>99.8176285788076</v>
      </c>
      <c r="AL4562">
        <v>78.714679060228093</v>
      </c>
      <c r="AM4562">
        <v>94.691292210221604</v>
      </c>
      <c r="AN4562">
        <v>0.99999996746525899</v>
      </c>
    </row>
    <row r="4563" spans="1:40" x14ac:dyDescent="0.25">
      <c r="A4563" t="str">
        <f>"20190304155152391"</f>
        <v>20190304155152391</v>
      </c>
      <c r="B4563" t="str">
        <f>"1551685912381431"</f>
        <v>1551685912381431</v>
      </c>
      <c r="C4563" t="s">
        <v>40</v>
      </c>
      <c r="D4563">
        <v>4.6387260000000001</v>
      </c>
      <c r="E4563">
        <v>0.53904779999999997</v>
      </c>
      <c r="F4563" t="s">
        <v>41</v>
      </c>
      <c r="G4563">
        <v>-391.92880000000002</v>
      </c>
      <c r="H4563" s="1">
        <v>-4.4380300000000001E-6</v>
      </c>
      <c r="I4563">
        <v>144.22989999999999</v>
      </c>
      <c r="J4563">
        <v>-294.8535</v>
      </c>
      <c r="K4563">
        <v>1.1101810000000001</v>
      </c>
      <c r="L4563">
        <v>141.60720000000001</v>
      </c>
      <c r="M4563">
        <v>-0.99994720000000004</v>
      </c>
      <c r="N4563">
        <v>-1.022811E-2</v>
      </c>
      <c r="O4563">
        <v>1.070664E-3</v>
      </c>
      <c r="P4563">
        <v>-0.97951149999999998</v>
      </c>
      <c r="Q4563">
        <v>0.18543899999999999</v>
      </c>
      <c r="R4563">
        <v>-7.8548129999999994E-2</v>
      </c>
      <c r="S4563">
        <v>-3.076508</v>
      </c>
      <c r="T4563">
        <v>-3.5092230000000002E-2</v>
      </c>
      <c r="U4563">
        <v>8.2916260000000006E-2</v>
      </c>
      <c r="V4563">
        <v>-7.9566780000000004E-2</v>
      </c>
      <c r="W4563">
        <v>0.1954592</v>
      </c>
      <c r="X4563">
        <v>0.97747879999999998</v>
      </c>
      <c r="Y4563">
        <v>2.5868100000000002E-2</v>
      </c>
      <c r="Z4563">
        <v>2.7856670000000002E-4</v>
      </c>
      <c r="AA4563">
        <v>0.99966529999999998</v>
      </c>
      <c r="AB4563">
        <v>26</v>
      </c>
      <c r="AC4563">
        <v>-97.075299999999999</v>
      </c>
      <c r="AD4563">
        <v>-1.11018543802999</v>
      </c>
      <c r="AE4563">
        <v>2.62269999999998</v>
      </c>
      <c r="AF4563">
        <v>2.5184288948079301</v>
      </c>
      <c r="AG4563">
        <v>-1.11018543802999</v>
      </c>
      <c r="AH4563">
        <v>97.065366640376794</v>
      </c>
      <c r="AI4563">
        <v>90.655071652066297</v>
      </c>
      <c r="AJ4563">
        <v>88.513754330112505</v>
      </c>
      <c r="AK4563">
        <v>97.104378875701499</v>
      </c>
      <c r="AL4563">
        <v>78.728449841423298</v>
      </c>
      <c r="AM4563">
        <v>94.653616655969898</v>
      </c>
      <c r="AN4563">
        <v>0.99999998789682398</v>
      </c>
    </row>
    <row r="4564" spans="1:40" x14ac:dyDescent="0.25">
      <c r="A4564" t="str">
        <f>"20190304155152413"</f>
        <v>20190304155152413</v>
      </c>
      <c r="B4564" t="str">
        <f>"1551685912401569"</f>
        <v>1551685912401569</v>
      </c>
      <c r="C4564" t="s">
        <v>40</v>
      </c>
      <c r="D4564">
        <v>4.6551539999999996</v>
      </c>
      <c r="E4564">
        <v>0.5387459</v>
      </c>
      <c r="F4564" t="s">
        <v>41</v>
      </c>
      <c r="G4564">
        <v>-387.47109999999998</v>
      </c>
      <c r="H4564" s="1">
        <v>-2.259931E-6</v>
      </c>
      <c r="I4564">
        <v>144.09880000000001</v>
      </c>
      <c r="J4564">
        <v>-295.11130000000003</v>
      </c>
      <c r="K4564">
        <v>1.1101840000000001</v>
      </c>
      <c r="L4564">
        <v>141.60749999999999</v>
      </c>
      <c r="M4564">
        <v>-0.99994640000000001</v>
      </c>
      <c r="N4564">
        <v>-1.030356E-2</v>
      </c>
      <c r="O4564">
        <v>1.135966E-3</v>
      </c>
      <c r="P4564">
        <v>-0.97968739999999999</v>
      </c>
      <c r="Q4564">
        <v>0.18487980000000001</v>
      </c>
      <c r="R4564">
        <v>-7.7668349999999997E-2</v>
      </c>
      <c r="S4564">
        <v>-3.076355</v>
      </c>
      <c r="T4564">
        <v>-3.6875489999999997E-2</v>
      </c>
      <c r="U4564">
        <v>8.2763669999999998E-2</v>
      </c>
      <c r="V4564">
        <v>-7.8751349999999998E-2</v>
      </c>
      <c r="W4564">
        <v>0.1949757</v>
      </c>
      <c r="X4564">
        <v>0.97764139999999999</v>
      </c>
      <c r="Y4564">
        <v>2.575436E-2</v>
      </c>
      <c r="Z4564">
        <v>2.8512829999999999E-4</v>
      </c>
      <c r="AA4564">
        <v>0.99966820000000001</v>
      </c>
      <c r="AB4564">
        <v>26</v>
      </c>
      <c r="AC4564">
        <v>-92.359799999999893</v>
      </c>
      <c r="AD4564">
        <v>-1.110186259931</v>
      </c>
      <c r="AE4564">
        <v>2.4913000000000198</v>
      </c>
      <c r="AF4564">
        <v>2.3860307463180499</v>
      </c>
      <c r="AG4564">
        <v>-1.110186259931</v>
      </c>
      <c r="AH4564">
        <v>92.3492371148552</v>
      </c>
      <c r="AI4564">
        <v>90.688524428591904</v>
      </c>
      <c r="AJ4564">
        <v>88.519976041542805</v>
      </c>
      <c r="AK4564">
        <v>92.386726600469302</v>
      </c>
      <c r="AL4564">
        <v>78.756695974621493</v>
      </c>
      <c r="AM4564">
        <v>94.605368144515595</v>
      </c>
      <c r="AN4564">
        <v>1.00000000285563</v>
      </c>
    </row>
    <row r="4565" spans="1:40" x14ac:dyDescent="0.25">
      <c r="A4565" t="str">
        <f>"20190304155152434"</f>
        <v>20190304155152434</v>
      </c>
      <c r="B4565" t="str">
        <f>"1551685912431803"</f>
        <v>1551685912431803</v>
      </c>
      <c r="C4565" t="s">
        <v>40</v>
      </c>
      <c r="D4565">
        <v>4.6817399999999996</v>
      </c>
      <c r="E4565">
        <v>0.5382169</v>
      </c>
      <c r="F4565" t="s">
        <v>41</v>
      </c>
      <c r="G4565">
        <v>-381.56509999999997</v>
      </c>
      <c r="H4565" s="1">
        <v>-4.5113289999999996E-6</v>
      </c>
      <c r="I4565">
        <v>143.94540000000001</v>
      </c>
      <c r="J4565">
        <v>-295.3587</v>
      </c>
      <c r="K4565">
        <v>1.110193</v>
      </c>
      <c r="L4565">
        <v>141.6079</v>
      </c>
      <c r="M4565">
        <v>-0.99994530000000004</v>
      </c>
      <c r="N4565">
        <v>-1.037953E-2</v>
      </c>
      <c r="O4565">
        <v>1.1981030000000001E-3</v>
      </c>
      <c r="P4565">
        <v>-0.97981669999999998</v>
      </c>
      <c r="Q4565">
        <v>0.18443480000000001</v>
      </c>
      <c r="R4565">
        <v>-7.7092659999999993E-2</v>
      </c>
      <c r="S4565">
        <v>-3.076263</v>
      </c>
      <c r="T4565">
        <v>-3.9503570000000002E-2</v>
      </c>
      <c r="U4565">
        <v>8.3190920000000002E-2</v>
      </c>
      <c r="V4565">
        <v>-7.8236479999999997E-2</v>
      </c>
      <c r="W4565">
        <v>0.19460620000000001</v>
      </c>
      <c r="X4565">
        <v>0.97775639999999997</v>
      </c>
      <c r="Y4565">
        <v>2.5831369999999999E-2</v>
      </c>
      <c r="Z4565">
        <v>2.9696730000000003E-4</v>
      </c>
      <c r="AA4565">
        <v>0.99966630000000001</v>
      </c>
      <c r="AB4565">
        <v>26</v>
      </c>
      <c r="AC4565">
        <v>-86.206399999999903</v>
      </c>
      <c r="AD4565">
        <v>-1.1101975113289999</v>
      </c>
      <c r="AE4565">
        <v>2.3374999999999999</v>
      </c>
      <c r="AF4565">
        <v>2.2338383848411398</v>
      </c>
      <c r="AG4565">
        <v>-1.1101975113289999</v>
      </c>
      <c r="AH4565">
        <v>86.194853726450205</v>
      </c>
      <c r="AI4565">
        <v>90.7376863534314</v>
      </c>
      <c r="AJ4565">
        <v>88.515446537678002</v>
      </c>
      <c r="AK4565">
        <v>86.230942134293699</v>
      </c>
      <c r="AL4565">
        <v>78.778280738481797</v>
      </c>
      <c r="AM4565">
        <v>94.574851020840597</v>
      </c>
      <c r="AN4565">
        <v>1.0000000488110901</v>
      </c>
    </row>
    <row r="4566" spans="1:40" x14ac:dyDescent="0.25">
      <c r="A4566" t="str">
        <f>"20190304155152458"</f>
        <v>20190304155152458</v>
      </c>
      <c r="B4566" t="str">
        <f>"1551685912451323"</f>
        <v>1551685912451323</v>
      </c>
      <c r="C4566" t="s">
        <v>40</v>
      </c>
      <c r="D4566">
        <v>4.7243230000000001</v>
      </c>
      <c r="E4566">
        <v>0.53795539999999997</v>
      </c>
      <c r="F4566" t="s">
        <v>41</v>
      </c>
      <c r="G4566">
        <v>-376.26400000000001</v>
      </c>
      <c r="H4566" s="1">
        <v>-2.6829190000000001E-6</v>
      </c>
      <c r="I4566">
        <v>143.7424</v>
      </c>
      <c r="J4566">
        <v>-295.62950000000001</v>
      </c>
      <c r="K4566">
        <v>1.110204</v>
      </c>
      <c r="L4566">
        <v>141.60830000000001</v>
      </c>
      <c r="M4566">
        <v>-0.99994450000000001</v>
      </c>
      <c r="N4566">
        <v>-1.0468460000000001E-2</v>
      </c>
      <c r="O4566">
        <v>1.2653530000000001E-3</v>
      </c>
      <c r="P4566">
        <v>-0.97997659999999998</v>
      </c>
      <c r="Q4566">
        <v>0.1839981</v>
      </c>
      <c r="R4566">
        <v>-7.609908E-2</v>
      </c>
      <c r="S4566">
        <v>-3.0761409999999998</v>
      </c>
      <c r="T4566">
        <v>-4.2211289999999999E-2</v>
      </c>
      <c r="U4566">
        <v>8.1161499999999998E-2</v>
      </c>
      <c r="V4566">
        <v>-7.7309439999999993E-2</v>
      </c>
      <c r="W4566">
        <v>0.19425770000000001</v>
      </c>
      <c r="X4566">
        <v>0.97789939999999997</v>
      </c>
      <c r="Y4566">
        <v>2.5105849999999999E-2</v>
      </c>
      <c r="Z4566">
        <v>2.9954720000000001E-4</v>
      </c>
      <c r="AA4566">
        <v>0.99968480000000004</v>
      </c>
      <c r="AB4566">
        <v>26</v>
      </c>
      <c r="AC4566">
        <v>-80.634500000000003</v>
      </c>
      <c r="AD4566">
        <v>-1.110206682919</v>
      </c>
      <c r="AE4566">
        <v>2.1340999999999801</v>
      </c>
      <c r="AF4566">
        <v>2.0316767314556898</v>
      </c>
      <c r="AG4566">
        <v>-1.110206682919</v>
      </c>
      <c r="AH4566">
        <v>80.621863320418598</v>
      </c>
      <c r="AI4566">
        <v>90.7886936649018</v>
      </c>
      <c r="AJ4566">
        <v>88.556447772721597</v>
      </c>
      <c r="AK4566">
        <v>80.655099742522097</v>
      </c>
      <c r="AL4566">
        <v>78.7986364648213</v>
      </c>
      <c r="AM4566">
        <v>94.520210377159799</v>
      </c>
      <c r="AN4566">
        <v>1.0000000200213801</v>
      </c>
    </row>
    <row r="4567" spans="1:40" x14ac:dyDescent="0.25">
      <c r="A4567" t="str">
        <f>"20190304155152480"</f>
        <v>20190304155152480</v>
      </c>
      <c r="B4567" t="str">
        <f>"1551685912471820"</f>
        <v>1551685912471820</v>
      </c>
      <c r="C4567" t="s">
        <v>40</v>
      </c>
      <c r="D4567">
        <v>4.6684850000000004</v>
      </c>
      <c r="E4567">
        <v>0.5378212</v>
      </c>
      <c r="F4567" t="s">
        <v>41</v>
      </c>
      <c r="G4567">
        <v>-372.64299999999997</v>
      </c>
      <c r="H4567" s="1">
        <v>-4.0967430000000002E-6</v>
      </c>
      <c r="I4567">
        <v>143.67609999999999</v>
      </c>
      <c r="J4567">
        <v>-295.88060000000002</v>
      </c>
      <c r="K4567">
        <v>1.1102160000000001</v>
      </c>
      <c r="L4567">
        <v>141.6087</v>
      </c>
      <c r="M4567">
        <v>-0.99994340000000004</v>
      </c>
      <c r="N4567">
        <v>-1.055264E-2</v>
      </c>
      <c r="O4567">
        <v>1.327616E-3</v>
      </c>
      <c r="P4567">
        <v>-0.98000449999999995</v>
      </c>
      <c r="Q4567">
        <v>0.18402760000000001</v>
      </c>
      <c r="R4567">
        <v>-7.5664410000000001E-2</v>
      </c>
      <c r="S4567">
        <v>-3.07605</v>
      </c>
      <c r="T4567">
        <v>-4.4343590000000002E-2</v>
      </c>
      <c r="U4567">
        <v>8.2595829999999995E-2</v>
      </c>
      <c r="V4567">
        <v>-7.6935569999999995E-2</v>
      </c>
      <c r="W4567">
        <v>0.19436999999999999</v>
      </c>
      <c r="X4567">
        <v>0.97790659999999896</v>
      </c>
      <c r="Y4567">
        <v>2.5509779999999999E-2</v>
      </c>
      <c r="Z4567">
        <v>3.1334020000000002E-4</v>
      </c>
      <c r="AA4567">
        <v>0.99967450000000002</v>
      </c>
      <c r="AB4567">
        <v>26</v>
      </c>
      <c r="AC4567">
        <v>-76.7624</v>
      </c>
      <c r="AD4567">
        <v>-1.110220096743</v>
      </c>
      <c r="AE4567">
        <v>2.0673999999999899</v>
      </c>
      <c r="AF4567">
        <v>1.96507075230739</v>
      </c>
      <c r="AG4567">
        <v>-1.110220096743</v>
      </c>
      <c r="AH4567">
        <v>76.749034449016406</v>
      </c>
      <c r="AI4567">
        <v>90.828487996777099</v>
      </c>
      <c r="AJ4567">
        <v>88.5333279054678</v>
      </c>
      <c r="AK4567">
        <v>76.782213959882</v>
      </c>
      <c r="AL4567">
        <v>78.792077448210804</v>
      </c>
      <c r="AM4567">
        <v>94.498407503202301</v>
      </c>
      <c r="AN4567">
        <v>1.0000000485773901</v>
      </c>
    </row>
    <row r="4568" spans="1:40" x14ac:dyDescent="0.25">
      <c r="A4568" t="str">
        <f>"20190304155152502"</f>
        <v>20190304155152502</v>
      </c>
      <c r="B4568" t="str">
        <f>"1551685912491338"</f>
        <v>1551685912491338</v>
      </c>
      <c r="C4568" t="s">
        <v>40</v>
      </c>
      <c r="D4568">
        <v>4.6142979999999998</v>
      </c>
      <c r="E4568">
        <v>0.53769489999999998</v>
      </c>
      <c r="F4568" t="s">
        <v>41</v>
      </c>
      <c r="G4568">
        <v>-371.87299999999999</v>
      </c>
      <c r="H4568" s="1">
        <v>-4.3574510000000003E-6</v>
      </c>
      <c r="I4568">
        <v>143.6687</v>
      </c>
      <c r="J4568">
        <v>-296.13850000000002</v>
      </c>
      <c r="K4568">
        <v>1.1102289999999999</v>
      </c>
      <c r="L4568">
        <v>141.60910000000001</v>
      </c>
      <c r="M4568">
        <v>-0.99994260000000001</v>
      </c>
      <c r="N4568">
        <v>-1.0637789999999999E-2</v>
      </c>
      <c r="O4568">
        <v>1.391361E-3</v>
      </c>
      <c r="P4568">
        <v>-0.97995759999999998</v>
      </c>
      <c r="Q4568">
        <v>0.1844826</v>
      </c>
      <c r="R4568">
        <v>-7.5165880000000004E-2</v>
      </c>
      <c r="S4568">
        <v>-3.07605</v>
      </c>
      <c r="T4568">
        <v>-4.4939880000000001E-2</v>
      </c>
      <c r="U4568">
        <v>8.3389279999999996E-2</v>
      </c>
      <c r="V4568">
        <v>-7.6499639999999994E-2</v>
      </c>
      <c r="W4568">
        <v>0.19490740000000001</v>
      </c>
      <c r="X4568">
        <v>0.97783379999999998</v>
      </c>
      <c r="Y4568">
        <v>2.5703569999999999E-2</v>
      </c>
      <c r="Z4568">
        <v>3.1894740000000001E-4</v>
      </c>
      <c r="AA4568">
        <v>0.99966960000000005</v>
      </c>
      <c r="AB4568">
        <v>26</v>
      </c>
      <c r="AC4568">
        <v>-75.734499999999997</v>
      </c>
      <c r="AD4568">
        <v>-1.1102333574509999</v>
      </c>
      <c r="AE4568">
        <v>2.0595999999999801</v>
      </c>
      <c r="AF4568">
        <v>1.95379846429881</v>
      </c>
      <c r="AG4568">
        <v>-1.1102333574509999</v>
      </c>
      <c r="AH4568">
        <v>75.7210318974698</v>
      </c>
      <c r="AI4568">
        <v>90.839739843656204</v>
      </c>
      <c r="AJ4568">
        <v>88.521948659002405</v>
      </c>
      <c r="AK4568">
        <v>75.754370290859995</v>
      </c>
      <c r="AL4568">
        <v>78.760685959931294</v>
      </c>
      <c r="AM4568">
        <v>94.473354160687506</v>
      </c>
      <c r="AN4568">
        <v>1.0000000149586601</v>
      </c>
    </row>
    <row r="4569" spans="1:40" x14ac:dyDescent="0.25">
      <c r="A4569" t="str">
        <f>"20190304155152523"</f>
        <v>20190304155152523</v>
      </c>
      <c r="B4569" t="str">
        <f>"1551685912521654"</f>
        <v>1551685912521654</v>
      </c>
      <c r="C4569" t="s">
        <v>40</v>
      </c>
      <c r="D4569">
        <v>4.7039679999999997</v>
      </c>
      <c r="E4569">
        <v>0.53717910000000002</v>
      </c>
      <c r="F4569" t="s">
        <v>41</v>
      </c>
      <c r="G4569">
        <v>-371.99329999999998</v>
      </c>
      <c r="H4569" s="1">
        <v>-4.3185119999999997E-6</v>
      </c>
      <c r="I4569">
        <v>143.6799</v>
      </c>
      <c r="J4569">
        <v>-296.38959999999997</v>
      </c>
      <c r="K4569">
        <v>1.110241</v>
      </c>
      <c r="L4569">
        <v>141.6095</v>
      </c>
      <c r="M4569">
        <v>-0.99994150000000004</v>
      </c>
      <c r="N4569">
        <v>-1.0722280000000001E-2</v>
      </c>
      <c r="O4569">
        <v>1.4525370000000001E-3</v>
      </c>
      <c r="P4569">
        <v>-0.97993750000000002</v>
      </c>
      <c r="Q4569">
        <v>0.18485560000000001</v>
      </c>
      <c r="R4569">
        <v>-7.4503189999999997E-2</v>
      </c>
      <c r="S4569">
        <v>-3.076263</v>
      </c>
      <c r="T4569">
        <v>-4.502511E-2</v>
      </c>
      <c r="U4569">
        <v>8.3984379999999997E-2</v>
      </c>
      <c r="V4569">
        <v>-7.5897649999999997E-2</v>
      </c>
      <c r="W4569">
        <v>0.19536239999999999</v>
      </c>
      <c r="X4569">
        <v>0.97778989999999999</v>
      </c>
      <c r="Y4569">
        <v>2.5833720000000001E-2</v>
      </c>
      <c r="Z4569">
        <v>3.2186790000000002E-4</v>
      </c>
      <c r="AA4569">
        <v>0.99966619999999995</v>
      </c>
      <c r="AB4569">
        <v>26</v>
      </c>
      <c r="AC4569">
        <v>-75.603700000000003</v>
      </c>
      <c r="AD4569">
        <v>-1.110245318512</v>
      </c>
      <c r="AE4569">
        <v>2.0703999999999998</v>
      </c>
      <c r="AF4569">
        <v>1.9601519429427801</v>
      </c>
      <c r="AG4569">
        <v>-1.110245318512</v>
      </c>
      <c r="AH4569">
        <v>75.590338810679299</v>
      </c>
      <c r="AI4569">
        <v>90.841197780323995</v>
      </c>
      <c r="AJ4569">
        <v>88.514581727275797</v>
      </c>
      <c r="AK4569">
        <v>75.623899408982993</v>
      </c>
      <c r="AL4569">
        <v>78.734105288295694</v>
      </c>
      <c r="AM4569">
        <v>94.438492172752802</v>
      </c>
      <c r="AN4569">
        <v>1.0000000045756401</v>
      </c>
    </row>
    <row r="4570" spans="1:40" x14ac:dyDescent="0.25">
      <c r="A4570" t="str">
        <f>"20190304155152546"</f>
        <v>20190304155152546</v>
      </c>
      <c r="B4570" t="str">
        <f>"1551685912541174"</f>
        <v>1551685912541174</v>
      </c>
      <c r="C4570" t="s">
        <v>40</v>
      </c>
      <c r="D4570">
        <v>4.7411789999999998</v>
      </c>
      <c r="E4570">
        <v>0.53689069999999905</v>
      </c>
      <c r="F4570" t="s">
        <v>41</v>
      </c>
      <c r="G4570">
        <v>-371.42250000000001</v>
      </c>
      <c r="H4570" s="1">
        <v>-4.5003610000000001E-6</v>
      </c>
      <c r="I4570">
        <v>143.60990000000001</v>
      </c>
      <c r="J4570">
        <v>-296.64339999999999</v>
      </c>
      <c r="K4570">
        <v>1.110255</v>
      </c>
      <c r="L4570">
        <v>141.60990000000001</v>
      </c>
      <c r="M4570">
        <v>-0.99994050000000001</v>
      </c>
      <c r="N4570">
        <v>-1.0807539999999999E-2</v>
      </c>
      <c r="O4570">
        <v>1.5117290000000001E-3</v>
      </c>
      <c r="P4570">
        <v>-0.97986709999999999</v>
      </c>
      <c r="Q4570">
        <v>0.1853118</v>
      </c>
      <c r="R4570">
        <v>-7.4298470000000005E-2</v>
      </c>
      <c r="S4570">
        <v>-3.0762330000000002</v>
      </c>
      <c r="T4570">
        <v>-4.5518400000000001E-2</v>
      </c>
      <c r="U4570">
        <v>8.2015989999999997E-2</v>
      </c>
      <c r="V4570">
        <v>-7.5750890000000001E-2</v>
      </c>
      <c r="W4570">
        <v>0.19590109999999999</v>
      </c>
      <c r="X4570">
        <v>0.97769349999999999</v>
      </c>
      <c r="Y4570">
        <v>2.5135660000000001E-2</v>
      </c>
      <c r="Z4570">
        <v>3.1576070000000002E-4</v>
      </c>
      <c r="AA4570">
        <v>0.99968400000000002</v>
      </c>
      <c r="AB4570">
        <v>26</v>
      </c>
      <c r="AC4570">
        <v>-74.7791</v>
      </c>
      <c r="AD4570">
        <v>-1.1102595003610001</v>
      </c>
      <c r="AE4570">
        <v>2</v>
      </c>
      <c r="AF4570">
        <v>1.8865298153432499</v>
      </c>
      <c r="AG4570">
        <v>-1.1102595003610001</v>
      </c>
      <c r="AH4570">
        <v>74.765568707243304</v>
      </c>
      <c r="AI4570">
        <v>90.850502078114104</v>
      </c>
      <c r="AJ4570">
        <v>88.554585122542093</v>
      </c>
      <c r="AK4570">
        <v>74.797606479217293</v>
      </c>
      <c r="AL4570">
        <v>78.702631957002197</v>
      </c>
      <c r="AM4570">
        <v>94.430378899364896</v>
      </c>
      <c r="AN4570">
        <v>1.0000000091296199</v>
      </c>
    </row>
    <row r="4571" spans="1:40" x14ac:dyDescent="0.25">
      <c r="A4571" t="str">
        <f>"20190304155152569"</f>
        <v>20190304155152569</v>
      </c>
      <c r="B4571" t="str">
        <f>"1551685912561673"</f>
        <v>1551685912561673</v>
      </c>
      <c r="C4571" t="s">
        <v>40</v>
      </c>
      <c r="D4571">
        <v>4.7437719999999999</v>
      </c>
      <c r="E4571">
        <v>0.53685799999999995</v>
      </c>
      <c r="F4571" t="s">
        <v>41</v>
      </c>
      <c r="G4571">
        <v>-372.93759999999997</v>
      </c>
      <c r="H4571" s="1">
        <v>-3.9850900000000003E-6</v>
      </c>
      <c r="I4571">
        <v>143.61179999999999</v>
      </c>
      <c r="J4571">
        <v>-296.91269999999997</v>
      </c>
      <c r="K4571">
        <v>1.1102719999999999</v>
      </c>
      <c r="L4571">
        <v>141.6104</v>
      </c>
      <c r="M4571">
        <v>-0.99993940000000003</v>
      </c>
      <c r="N4571">
        <v>-1.0897489999999999E-2</v>
      </c>
      <c r="O4571">
        <v>1.5704530000000001E-3</v>
      </c>
      <c r="P4571">
        <v>-0.9799213</v>
      </c>
      <c r="Q4571">
        <v>0.18530369999999999</v>
      </c>
      <c r="R4571">
        <v>-7.3600429999999994E-2</v>
      </c>
      <c r="S4571">
        <v>-3.0762019999999999</v>
      </c>
      <c r="T4571">
        <v>-4.4765949999999999E-2</v>
      </c>
      <c r="U4571">
        <v>8.0718990000000004E-2</v>
      </c>
      <c r="V4571">
        <v>-7.5111890000000001E-2</v>
      </c>
      <c r="W4571">
        <v>0.1959806</v>
      </c>
      <c r="X4571">
        <v>0.97772689999999995</v>
      </c>
      <c r="Y4571">
        <v>2.46562E-2</v>
      </c>
      <c r="Z4571">
        <v>3.0801020000000001E-4</v>
      </c>
      <c r="AA4571">
        <v>0.99969600000000003</v>
      </c>
      <c r="AB4571">
        <v>26</v>
      </c>
      <c r="AC4571">
        <v>-76.024900000000002</v>
      </c>
      <c r="AD4571">
        <v>-1.1102759850899999</v>
      </c>
      <c r="AE4571">
        <v>2.0013999999999799</v>
      </c>
      <c r="AF4571">
        <v>1.8815958820640999</v>
      </c>
      <c r="AG4571">
        <v>-1.1102759850899999</v>
      </c>
      <c r="AH4571">
        <v>76.011748969151498</v>
      </c>
      <c r="AI4571">
        <v>90.836582874989404</v>
      </c>
      <c r="AJ4571">
        <v>88.581989070628694</v>
      </c>
      <c r="AK4571">
        <v>76.043139711454401</v>
      </c>
      <c r="AL4571">
        <v>78.697987269761796</v>
      </c>
      <c r="AM4571">
        <v>94.393003678272606</v>
      </c>
      <c r="AN4571">
        <v>1.0000000412896699</v>
      </c>
    </row>
    <row r="4572" spans="1:40" x14ac:dyDescent="0.25">
      <c r="A4572" t="str">
        <f>"20190304155152590"</f>
        <v>20190304155152590</v>
      </c>
      <c r="B4572" t="str">
        <f>"1551685912581189"</f>
        <v>1551685912581189</v>
      </c>
      <c r="C4572" t="s">
        <v>40</v>
      </c>
      <c r="D4572">
        <v>4.7830269999999997</v>
      </c>
      <c r="E4572">
        <v>0.53716609999999998</v>
      </c>
      <c r="F4572" t="s">
        <v>41</v>
      </c>
      <c r="G4572">
        <v>-371.92270000000002</v>
      </c>
      <c r="H4572" s="1">
        <v>-4.3298399999999999E-6</v>
      </c>
      <c r="I4572">
        <v>143.60830000000001</v>
      </c>
      <c r="J4572">
        <v>-297.16579999999999</v>
      </c>
      <c r="K4572">
        <v>1.11029</v>
      </c>
      <c r="L4572">
        <v>141.61089999999999</v>
      </c>
      <c r="M4572">
        <v>-0.99993840000000001</v>
      </c>
      <c r="N4572">
        <v>-1.098346E-2</v>
      </c>
      <c r="O4572">
        <v>1.618321E-3</v>
      </c>
      <c r="P4572">
        <v>-0.97988249999999999</v>
      </c>
      <c r="Q4572">
        <v>0.1858156</v>
      </c>
      <c r="R4572">
        <v>-7.2820659999999995E-2</v>
      </c>
      <c r="S4572">
        <v>-3.0762019999999999</v>
      </c>
      <c r="T4572">
        <v>-4.553306E-2</v>
      </c>
      <c r="U4572">
        <v>8.1939699999999893E-2</v>
      </c>
      <c r="V4572">
        <v>-7.4381139999999998E-2</v>
      </c>
      <c r="W4572">
        <v>0.19657530000000001</v>
      </c>
      <c r="X4572">
        <v>0.97766330000000001</v>
      </c>
      <c r="Y4572">
        <v>2.5004559999999999E-2</v>
      </c>
      <c r="Z4572">
        <v>3.161959E-4</v>
      </c>
      <c r="AA4572">
        <v>0.99968729999999995</v>
      </c>
      <c r="AB4572">
        <v>26</v>
      </c>
      <c r="AC4572">
        <v>-74.756900000000002</v>
      </c>
      <c r="AD4572">
        <v>-1.1102943298399901</v>
      </c>
      <c r="AE4572">
        <v>1.99740000000002</v>
      </c>
      <c r="AF4572">
        <v>1.8759959093818801</v>
      </c>
      <c r="AG4572">
        <v>-1.1102943298399901</v>
      </c>
      <c r="AH4572">
        <v>74.7435592654994</v>
      </c>
      <c r="AI4572">
        <v>90.850782026151606</v>
      </c>
      <c r="AJ4572">
        <v>88.562229486485407</v>
      </c>
      <c r="AK4572">
        <v>74.775341963953096</v>
      </c>
      <c r="AL4572">
        <v>78.663236656808493</v>
      </c>
      <c r="AM4572">
        <v>94.350711740195194</v>
      </c>
      <c r="AN4572">
        <v>0.99999996536233904</v>
      </c>
    </row>
    <row r="4573" spans="1:40" x14ac:dyDescent="0.25">
      <c r="A4573" t="str">
        <f>"20190304155152613"</f>
        <v>20190304155152613</v>
      </c>
      <c r="B4573" t="str">
        <f>"1551685912601686"</f>
        <v>1551685912601686</v>
      </c>
      <c r="C4573" t="s">
        <v>40</v>
      </c>
      <c r="D4573">
        <v>4.7415929999999999</v>
      </c>
      <c r="E4573">
        <v>0.53745379999999998</v>
      </c>
      <c r="F4573" t="s">
        <v>41</v>
      </c>
      <c r="G4573">
        <v>-375.18279999999999</v>
      </c>
      <c r="H4573" s="1">
        <v>-3.1665620000000001E-6</v>
      </c>
      <c r="I4573">
        <v>143.8169</v>
      </c>
      <c r="J4573">
        <v>-297.42649999999998</v>
      </c>
      <c r="K4573">
        <v>1.110304</v>
      </c>
      <c r="L4573">
        <v>141.6113</v>
      </c>
      <c r="M4573">
        <v>-0.99993750000000003</v>
      </c>
      <c r="N4573">
        <v>-1.107056E-2</v>
      </c>
      <c r="O4573">
        <v>1.659666E-3</v>
      </c>
      <c r="P4573">
        <v>-0.97989389999999998</v>
      </c>
      <c r="Q4573">
        <v>0.18579889999999999</v>
      </c>
      <c r="R4573">
        <v>-7.2713029999999998E-2</v>
      </c>
      <c r="S4573">
        <v>-3.076355</v>
      </c>
      <c r="T4573">
        <v>-4.3780920000000001E-2</v>
      </c>
      <c r="U4573">
        <v>8.6990360000000003E-2</v>
      </c>
      <c r="V4573">
        <v>-7.4317170000000002E-2</v>
      </c>
      <c r="W4573">
        <v>0.1966427</v>
      </c>
      <c r="X4573">
        <v>0.97765460000000004</v>
      </c>
      <c r="Y4573">
        <v>2.660187E-2</v>
      </c>
      <c r="Z4573">
        <v>3.3129669999999999E-4</v>
      </c>
      <c r="AA4573">
        <v>0.99964609999999998</v>
      </c>
      <c r="AB4573">
        <v>26</v>
      </c>
      <c r="AC4573">
        <v>-77.756299999999996</v>
      </c>
      <c r="AD4573">
        <v>-1.1103071665619999</v>
      </c>
      <c r="AE4573">
        <v>2.2056</v>
      </c>
      <c r="AF4573">
        <v>2.07611660845952</v>
      </c>
      <c r="AG4573">
        <v>-1.1103071665619999</v>
      </c>
      <c r="AH4573">
        <v>77.744014497246297</v>
      </c>
      <c r="AI4573">
        <v>90.817926935385898</v>
      </c>
      <c r="AJ4573">
        <v>88.470307251342902</v>
      </c>
      <c r="AK4573">
        <v>77.779655645445501</v>
      </c>
      <c r="AL4573">
        <v>78.659297928866394</v>
      </c>
      <c r="AM4573">
        <v>94.347022881407895</v>
      </c>
      <c r="AN4573">
        <v>0.999999955060628</v>
      </c>
    </row>
    <row r="4574" spans="1:40" x14ac:dyDescent="0.25">
      <c r="A4574" t="str">
        <f>"20190304155152635"</f>
        <v>20190304155152635</v>
      </c>
      <c r="B4574" t="str">
        <f>"1551685912631568"</f>
        <v>1551685912631568</v>
      </c>
      <c r="C4574" t="s">
        <v>40</v>
      </c>
      <c r="D4574">
        <v>4.7926979999999997</v>
      </c>
      <c r="E4574">
        <v>0.53778019999999904</v>
      </c>
      <c r="F4574" t="s">
        <v>41</v>
      </c>
      <c r="G4574">
        <v>-375.94349999999997</v>
      </c>
      <c r="H4574" s="1">
        <v>-2.865642E-6</v>
      </c>
      <c r="I4574">
        <v>143.91239999999999</v>
      </c>
      <c r="J4574">
        <v>-297.68</v>
      </c>
      <c r="K4574">
        <v>1.1103259999999999</v>
      </c>
      <c r="L4574">
        <v>141.61179999999999</v>
      </c>
      <c r="M4574">
        <v>-0.9999363</v>
      </c>
      <c r="N4574">
        <v>-1.115526E-2</v>
      </c>
      <c r="O4574">
        <v>1.6908139999999999E-3</v>
      </c>
      <c r="P4574">
        <v>-0.97997140000000005</v>
      </c>
      <c r="Q4574">
        <v>0.18534690000000001</v>
      </c>
      <c r="R4574">
        <v>-7.2818649999999999E-2</v>
      </c>
      <c r="S4574">
        <v>-3.076508</v>
      </c>
      <c r="T4574">
        <v>-4.3504830000000001E-2</v>
      </c>
      <c r="U4574">
        <v>9.0164179999999997E-2</v>
      </c>
      <c r="V4574">
        <v>-7.4456599999999998E-2</v>
      </c>
      <c r="W4574">
        <v>0.1962728</v>
      </c>
      <c r="X4574">
        <v>0.97771839999999999</v>
      </c>
      <c r="Y4574">
        <v>2.7599579999999999E-2</v>
      </c>
      <c r="Z4574">
        <v>3.4403759999999999E-4</v>
      </c>
      <c r="AA4574">
        <v>0.99961900000000004</v>
      </c>
      <c r="AB4574">
        <v>26</v>
      </c>
      <c r="AC4574">
        <v>-78.263499999999894</v>
      </c>
      <c r="AD4574">
        <v>-1.1103288656419901</v>
      </c>
      <c r="AE4574">
        <v>2.3006000000000002</v>
      </c>
      <c r="AF4574">
        <v>2.1678235020124501</v>
      </c>
      <c r="AG4574">
        <v>-1.1103288656419901</v>
      </c>
      <c r="AH4574">
        <v>78.251541946834706</v>
      </c>
      <c r="AI4574">
        <v>90.812616520490394</v>
      </c>
      <c r="AJ4574">
        <v>88.413125495044596</v>
      </c>
      <c r="AK4574">
        <v>78.289438023164905</v>
      </c>
      <c r="AL4574">
        <v>78.680913764024595</v>
      </c>
      <c r="AM4574">
        <v>94.354864092918007</v>
      </c>
      <c r="AN4574">
        <v>1.00000003350097</v>
      </c>
    </row>
    <row r="4575" spans="1:40" x14ac:dyDescent="0.25">
      <c r="A4575" t="str">
        <f>"20190304155152658"</f>
        <v>20190304155152658</v>
      </c>
      <c r="B4575" t="str">
        <f>"1551685912651087"</f>
        <v>1551685912651087</v>
      </c>
      <c r="C4575" t="s">
        <v>40</v>
      </c>
      <c r="D4575">
        <v>4.7575120000000002</v>
      </c>
      <c r="E4575">
        <v>0.53800649999999905</v>
      </c>
      <c r="F4575" t="s">
        <v>41</v>
      </c>
      <c r="G4575">
        <v>-374.94349999999997</v>
      </c>
      <c r="H4575" s="1">
        <v>-3.3011960000000001E-6</v>
      </c>
      <c r="I4575">
        <v>143.93700000000001</v>
      </c>
      <c r="J4575">
        <v>-297.95370000000003</v>
      </c>
      <c r="K4575">
        <v>1.110344</v>
      </c>
      <c r="L4575">
        <v>141.6123</v>
      </c>
      <c r="M4575">
        <v>-0.99993540000000003</v>
      </c>
      <c r="N4575">
        <v>-1.124996E-2</v>
      </c>
      <c r="O4575">
        <v>1.7096489999999999E-3</v>
      </c>
      <c r="P4575">
        <v>-0.98005560000000003</v>
      </c>
      <c r="Q4575">
        <v>0.1850649</v>
      </c>
      <c r="R4575">
        <v>-7.2404490000000002E-2</v>
      </c>
      <c r="S4575">
        <v>-3.0765989999999999</v>
      </c>
      <c r="T4575">
        <v>-4.421282E-2</v>
      </c>
      <c r="U4575">
        <v>9.2590329999999998E-2</v>
      </c>
      <c r="V4575">
        <v>-7.4065519999999996E-2</v>
      </c>
      <c r="W4575">
        <v>0.19608300000000001</v>
      </c>
      <c r="X4575">
        <v>0.97778609999999999</v>
      </c>
      <c r="Y4575">
        <v>2.8367170000000001E-2</v>
      </c>
      <c r="Z4575">
        <v>3.5805960000000002E-4</v>
      </c>
      <c r="AA4575">
        <v>0.99959750000000003</v>
      </c>
      <c r="AB4575">
        <v>26</v>
      </c>
      <c r="AC4575">
        <v>-76.989799999999903</v>
      </c>
      <c r="AD4575">
        <v>-1.1103473011959999</v>
      </c>
      <c r="AE4575">
        <v>2.3247</v>
      </c>
      <c r="AF4575">
        <v>2.1926071221713301</v>
      </c>
      <c r="AG4575">
        <v>-1.1103473011959999</v>
      </c>
      <c r="AH4575">
        <v>76.977665814545603</v>
      </c>
      <c r="AI4575">
        <v>90.826057994756198</v>
      </c>
      <c r="AJ4575">
        <v>88.368446550958794</v>
      </c>
      <c r="AK4575">
        <v>77.016890559002206</v>
      </c>
      <c r="AL4575">
        <v>78.692003056496901</v>
      </c>
      <c r="AM4575">
        <v>94.331778862962594</v>
      </c>
      <c r="AN4575">
        <v>0.999999950747539</v>
      </c>
    </row>
    <row r="4576" spans="1:40" x14ac:dyDescent="0.25">
      <c r="A4576" t="str">
        <f>"20190304155152681"</f>
        <v>20190304155152681</v>
      </c>
      <c r="B4576" t="str">
        <f>"1551685912671584"</f>
        <v>1551685912671584</v>
      </c>
      <c r="C4576" t="s">
        <v>40</v>
      </c>
      <c r="D4576">
        <v>4.7890860000000002</v>
      </c>
      <c r="E4576">
        <v>0.5381996</v>
      </c>
      <c r="F4576" t="s">
        <v>41</v>
      </c>
      <c r="G4576">
        <v>-373.37220000000002</v>
      </c>
      <c r="H4576" s="1">
        <v>-3.8981029999999999E-6</v>
      </c>
      <c r="I4576">
        <v>143.95519999999999</v>
      </c>
      <c r="J4576">
        <v>-298.21510000000001</v>
      </c>
      <c r="K4576">
        <v>1.1103620000000001</v>
      </c>
      <c r="L4576">
        <v>141.61279999999999</v>
      </c>
      <c r="M4576">
        <v>-0.99993430000000005</v>
      </c>
      <c r="N4576">
        <v>-1.1347940000000001E-2</v>
      </c>
      <c r="O4576">
        <v>1.7138489999999999E-3</v>
      </c>
      <c r="P4576">
        <v>-0.98019500000000004</v>
      </c>
      <c r="Q4576">
        <v>0.18443100000000001</v>
      </c>
      <c r="R4576">
        <v>-7.2130949999999999E-2</v>
      </c>
      <c r="S4576">
        <v>-3.0766909999999998</v>
      </c>
      <c r="T4576">
        <v>-4.5296549999999998E-2</v>
      </c>
      <c r="U4576">
        <v>9.5581050000000001E-2</v>
      </c>
      <c r="V4576">
        <v>-7.3801309999999995E-2</v>
      </c>
      <c r="W4576">
        <v>0.19554479999999999</v>
      </c>
      <c r="X4576">
        <v>0.9779139</v>
      </c>
      <c r="Y4576">
        <v>2.9332420000000001E-2</v>
      </c>
      <c r="Z4576">
        <v>3.7657199999999999E-4</v>
      </c>
      <c r="AA4576">
        <v>0.99956970000000001</v>
      </c>
      <c r="AB4576">
        <v>26</v>
      </c>
      <c r="AC4576">
        <v>-75.1571</v>
      </c>
      <c r="AD4576">
        <v>-1.110365898103</v>
      </c>
      <c r="AE4576">
        <v>2.3423999999999898</v>
      </c>
      <c r="AF4576">
        <v>2.21309778267358</v>
      </c>
      <c r="AG4576">
        <v>-1.110365898103</v>
      </c>
      <c r="AH4576">
        <v>75.144618555296802</v>
      </c>
      <c r="AI4576">
        <v>90.846196100523699</v>
      </c>
      <c r="AJ4576">
        <v>88.313059233794704</v>
      </c>
      <c r="AK4576">
        <v>75.185400258590207</v>
      </c>
      <c r="AL4576">
        <v>78.723448946147798</v>
      </c>
      <c r="AM4576">
        <v>94.315822880469</v>
      </c>
      <c r="AN4576">
        <v>0.99999999898898295</v>
      </c>
    </row>
    <row r="4577" spans="1:40" x14ac:dyDescent="0.25">
      <c r="A4577" t="str">
        <f>"20190304155152702"</f>
        <v>20190304155152702</v>
      </c>
      <c r="B4577" t="str">
        <f>"1551685912691104"</f>
        <v>1551685912691104</v>
      </c>
      <c r="C4577" t="s">
        <v>40</v>
      </c>
      <c r="D4577">
        <v>4.8049619999999997</v>
      </c>
      <c r="E4577">
        <v>0.53840659999999996</v>
      </c>
      <c r="F4577" t="s">
        <v>41</v>
      </c>
      <c r="G4577">
        <v>-370.50029999999998</v>
      </c>
      <c r="H4577" s="1">
        <v>-4.8677169999999998E-6</v>
      </c>
      <c r="I4577">
        <v>143.9117</v>
      </c>
      <c r="J4577">
        <v>-298.459</v>
      </c>
      <c r="K4577">
        <v>1.1103799999999999</v>
      </c>
      <c r="L4577">
        <v>141.61320000000001</v>
      </c>
      <c r="M4577">
        <v>-0.99993310000000002</v>
      </c>
      <c r="N4577">
        <v>-1.144392E-2</v>
      </c>
      <c r="O4577">
        <v>1.7103489999999999E-3</v>
      </c>
      <c r="P4577">
        <v>-0.98021080000000005</v>
      </c>
      <c r="Q4577">
        <v>0.1843409</v>
      </c>
      <c r="R4577">
        <v>-7.2150420000000007E-2</v>
      </c>
      <c r="S4577">
        <v>-3.0767519999999999</v>
      </c>
      <c r="T4577">
        <v>-4.7261709999999998E-2</v>
      </c>
      <c r="U4577">
        <v>9.7854609999999995E-2</v>
      </c>
      <c r="V4577">
        <v>-7.3820860000000002E-2</v>
      </c>
      <c r="W4577">
        <v>0.19554759999999999</v>
      </c>
      <c r="X4577">
        <v>0.97791189999999995</v>
      </c>
      <c r="Y4577">
        <v>3.007263E-2</v>
      </c>
      <c r="Z4577">
        <v>3.9634540000000002E-4</v>
      </c>
      <c r="AA4577">
        <v>0.99954770000000004</v>
      </c>
      <c r="AB4577">
        <v>26</v>
      </c>
      <c r="AC4577">
        <v>-72.041299999999893</v>
      </c>
      <c r="AD4577">
        <v>-1.1103848677169901</v>
      </c>
      <c r="AE4577">
        <v>2.29849999999999</v>
      </c>
      <c r="AF4577">
        <v>2.17475668631511</v>
      </c>
      <c r="AG4577">
        <v>-1.1103848677169901</v>
      </c>
      <c r="AH4577">
        <v>72.028032110691299</v>
      </c>
      <c r="AI4577">
        <v>90.882800114717298</v>
      </c>
      <c r="AJ4577">
        <v>88.270582545314596</v>
      </c>
      <c r="AK4577">
        <v>72.069410507773</v>
      </c>
      <c r="AL4577">
        <v>78.723285756399505</v>
      </c>
      <c r="AM4577">
        <v>94.316970618125694</v>
      </c>
      <c r="AN4577">
        <v>1.0000000336992501</v>
      </c>
    </row>
    <row r="4578" spans="1:40" x14ac:dyDescent="0.25">
      <c r="A4578" t="str">
        <f>"20190304155152724"</f>
        <v>20190304155152724</v>
      </c>
      <c r="B4578" t="str">
        <f>"1551685912721360"</f>
        <v>1551685912721360</v>
      </c>
      <c r="C4578" t="s">
        <v>40</v>
      </c>
      <c r="D4578">
        <v>4.8094060000000001</v>
      </c>
      <c r="E4578">
        <v>0.53869089999999997</v>
      </c>
      <c r="F4578" t="s">
        <v>41</v>
      </c>
      <c r="G4578">
        <v>-370.33240000000001</v>
      </c>
      <c r="H4578" s="1">
        <v>-4.9284159999999997E-6</v>
      </c>
      <c r="I4578">
        <v>143.93180000000001</v>
      </c>
      <c r="J4578">
        <v>-298.7106</v>
      </c>
      <c r="K4578">
        <v>1.1103970000000001</v>
      </c>
      <c r="L4578">
        <v>141.61359999999999</v>
      </c>
      <c r="M4578">
        <v>-0.99993209999999999</v>
      </c>
      <c r="N4578">
        <v>-1.1542770000000001E-2</v>
      </c>
      <c r="O4578">
        <v>1.7033650000000001E-3</v>
      </c>
      <c r="P4578">
        <v>-0.98013450000000002</v>
      </c>
      <c r="Q4578">
        <v>0.18464230000000001</v>
      </c>
      <c r="R4578">
        <v>-7.2413889999999995E-2</v>
      </c>
      <c r="S4578">
        <v>-3.076813</v>
      </c>
      <c r="T4578">
        <v>-4.7534229999999997E-2</v>
      </c>
      <c r="U4578">
        <v>9.925842E-2</v>
      </c>
      <c r="V4578">
        <v>-7.4078350000000001E-2</v>
      </c>
      <c r="W4578">
        <v>0.1959437</v>
      </c>
      <c r="X4578">
        <v>0.97781309999999999</v>
      </c>
      <c r="Y4578">
        <v>3.053438E-2</v>
      </c>
      <c r="Z4578">
        <v>4.054358E-4</v>
      </c>
      <c r="AA4578">
        <v>0.99953369999999997</v>
      </c>
      <c r="AB4578">
        <v>26</v>
      </c>
      <c r="AC4578">
        <v>-71.621799999999993</v>
      </c>
      <c r="AD4578">
        <v>-1.1104019284159901</v>
      </c>
      <c r="AE4578">
        <v>2.3182000000000098</v>
      </c>
      <c r="AF4578">
        <v>2.1956632551867998</v>
      </c>
      <c r="AG4578">
        <v>-1.1104019284159901</v>
      </c>
      <c r="AH4578">
        <v>71.608450984167305</v>
      </c>
      <c r="AI4578">
        <v>90.887972936744703</v>
      </c>
      <c r="AJ4578">
        <v>88.243743114075997</v>
      </c>
      <c r="AK4578">
        <v>71.650709570280597</v>
      </c>
      <c r="AL4578">
        <v>78.700142779111701</v>
      </c>
      <c r="AM4578">
        <v>94.332407201520596</v>
      </c>
      <c r="AN4578">
        <v>0.99999999702001097</v>
      </c>
    </row>
    <row r="4579" spans="1:40" x14ac:dyDescent="0.25">
      <c r="A4579" t="str">
        <f>"20190304155152747"</f>
        <v>20190304155152747</v>
      </c>
      <c r="B4579" t="str">
        <f>"1551685912741856"</f>
        <v>1551685912741856</v>
      </c>
      <c r="C4579" t="s">
        <v>40</v>
      </c>
      <c r="D4579">
        <v>4.8461650000000001</v>
      </c>
      <c r="E4579">
        <v>0.53889109999999996</v>
      </c>
      <c r="F4579" t="s">
        <v>41</v>
      </c>
      <c r="G4579">
        <v>-370.35539999999997</v>
      </c>
      <c r="H4579" s="1">
        <v>-4.9259679999999999E-6</v>
      </c>
      <c r="I4579">
        <v>143.9622</v>
      </c>
      <c r="J4579">
        <v>-298.98039999999997</v>
      </c>
      <c r="K4579">
        <v>1.1104160000000001</v>
      </c>
      <c r="L4579">
        <v>141.61410000000001</v>
      </c>
      <c r="M4579">
        <v>-0.99993089999999996</v>
      </c>
      <c r="N4579">
        <v>-1.1644359999999999E-2</v>
      </c>
      <c r="O4579">
        <v>1.6956720000000001E-3</v>
      </c>
      <c r="P4579">
        <v>-0.98014380000000001</v>
      </c>
      <c r="Q4579">
        <v>0.184479</v>
      </c>
      <c r="R4579">
        <v>-7.2703530000000002E-2</v>
      </c>
      <c r="S4579">
        <v>-3.0772400000000002</v>
      </c>
      <c r="T4579">
        <v>-4.769325E-2</v>
      </c>
      <c r="U4579">
        <v>0.1008759</v>
      </c>
      <c r="V4579">
        <v>-7.4360919999999997E-2</v>
      </c>
      <c r="W4579">
        <v>0.1958801</v>
      </c>
      <c r="X4579">
        <v>0.97780440000000002</v>
      </c>
      <c r="Y4579">
        <v>3.1062240000000001E-2</v>
      </c>
      <c r="Z4579">
        <v>4.1502519999999998E-4</v>
      </c>
      <c r="AA4579">
        <v>0.9995174</v>
      </c>
      <c r="AB4579">
        <v>26</v>
      </c>
      <c r="AC4579">
        <v>-71.375</v>
      </c>
      <c r="AD4579">
        <v>-1.110420925968</v>
      </c>
      <c r="AE4579">
        <v>2.3480999999999801</v>
      </c>
      <c r="AF4579">
        <v>2.2265215256161701</v>
      </c>
      <c r="AG4579">
        <v>-1.110420925968</v>
      </c>
      <c r="AH4579">
        <v>71.361625719337198</v>
      </c>
      <c r="AI4579">
        <v>90.891044176768304</v>
      </c>
      <c r="AJ4579">
        <v>88.212920265764893</v>
      </c>
      <c r="AK4579">
        <v>71.404986226758894</v>
      </c>
      <c r="AL4579">
        <v>78.703858862404999</v>
      </c>
      <c r="AM4579">
        <v>94.348908326303004</v>
      </c>
      <c r="AN4579">
        <v>1.0000000023293001</v>
      </c>
    </row>
    <row r="4580" spans="1:40" x14ac:dyDescent="0.25">
      <c r="A4580" t="str">
        <f>"20190304155152770"</f>
        <v>20190304155152770</v>
      </c>
      <c r="B4580" t="str">
        <f>"1551685912761390"</f>
        <v>1551685912761390</v>
      </c>
      <c r="C4580" t="s">
        <v>40</v>
      </c>
      <c r="D4580">
        <v>4.8781100000000004</v>
      </c>
      <c r="E4580">
        <v>0.53910230000000003</v>
      </c>
      <c r="F4580" t="s">
        <v>41</v>
      </c>
      <c r="G4580">
        <v>-369.59350000000001</v>
      </c>
      <c r="H4580" s="1">
        <v>-1.309433E-6</v>
      </c>
      <c r="I4580">
        <v>143.9487</v>
      </c>
      <c r="J4580">
        <v>-299.2414</v>
      </c>
      <c r="K4580">
        <v>1.1104290000000001</v>
      </c>
      <c r="L4580">
        <v>141.61449999999999</v>
      </c>
      <c r="M4580">
        <v>-0.99992970000000003</v>
      </c>
      <c r="N4580">
        <v>-1.1740789999999999E-2</v>
      </c>
      <c r="O4580">
        <v>1.6910510000000001E-3</v>
      </c>
      <c r="P4580">
        <v>-0.98000339999999997</v>
      </c>
      <c r="Q4580">
        <v>0.18506739999999999</v>
      </c>
      <c r="R4580">
        <v>-7.3100680000000001E-2</v>
      </c>
      <c r="S4580">
        <v>-3.077423</v>
      </c>
      <c r="T4580">
        <v>-4.8393609999999997E-2</v>
      </c>
      <c r="U4580">
        <v>0.10174560000000001</v>
      </c>
      <c r="V4580">
        <v>-7.4753360000000005E-2</v>
      </c>
      <c r="W4580">
        <v>0.19656129999999999</v>
      </c>
      <c r="X4580">
        <v>0.9776378</v>
      </c>
      <c r="Y4580">
        <v>3.1346850000000002E-2</v>
      </c>
      <c r="Z4580">
        <v>4.2374889999999998E-4</v>
      </c>
      <c r="AA4580">
        <v>0.99950850000000002</v>
      </c>
      <c r="AB4580">
        <v>26</v>
      </c>
      <c r="AC4580">
        <v>-70.352099999999993</v>
      </c>
      <c r="AD4580">
        <v>-1.1104303094329999</v>
      </c>
      <c r="AE4580">
        <v>2.3342000000000098</v>
      </c>
      <c r="AF4580">
        <v>2.2146683422782201</v>
      </c>
      <c r="AG4580">
        <v>-1.1104303094329999</v>
      </c>
      <c r="AH4580">
        <v>70.338442671836901</v>
      </c>
      <c r="AI4580">
        <v>90.904003239335395</v>
      </c>
      <c r="AJ4580">
        <v>88.196587278772498</v>
      </c>
      <c r="AK4580">
        <v>70.382059708690505</v>
      </c>
      <c r="AL4580">
        <v>78.664055601629599</v>
      </c>
      <c r="AM4580">
        <v>94.372513066566498</v>
      </c>
      <c r="AN4580">
        <v>1.0000000387389001</v>
      </c>
    </row>
    <row r="4581" spans="1:40" x14ac:dyDescent="0.25">
      <c r="A4581" t="str">
        <f>"20190304155152791"</f>
        <v>20190304155152791</v>
      </c>
      <c r="B4581" t="str">
        <f>"1551685912781875"</f>
        <v>1551685912781875</v>
      </c>
      <c r="C4581" t="s">
        <v>40</v>
      </c>
      <c r="D4581">
        <v>4.7784019999999998</v>
      </c>
      <c r="E4581">
        <v>0.53924659999999902</v>
      </c>
      <c r="F4581" t="s">
        <v>41</v>
      </c>
      <c r="G4581">
        <v>-372.6764</v>
      </c>
      <c r="H4581" s="1">
        <v>-4.1538139999999999E-6</v>
      </c>
      <c r="I4581">
        <v>144.06190000000001</v>
      </c>
      <c r="J4581">
        <v>-299.49079999999998</v>
      </c>
      <c r="K4581">
        <v>1.110444</v>
      </c>
      <c r="L4581">
        <v>141.61500000000001</v>
      </c>
      <c r="M4581">
        <v>-0.99992859999999995</v>
      </c>
      <c r="N4581">
        <v>-1.1834300000000001E-2</v>
      </c>
      <c r="O4581">
        <v>1.6900229999999999E-3</v>
      </c>
      <c r="P4581">
        <v>-0.98000520000000002</v>
      </c>
      <c r="Q4581">
        <v>0.1851342</v>
      </c>
      <c r="R4581">
        <v>-7.2906670000000007E-2</v>
      </c>
      <c r="S4581">
        <v>-3.0776370000000002</v>
      </c>
      <c r="T4581">
        <v>-4.6537879999999997E-2</v>
      </c>
      <c r="U4581">
        <v>0.1025696</v>
      </c>
      <c r="V4581">
        <v>-7.4557960000000006E-2</v>
      </c>
      <c r="W4581">
        <v>0.1967189</v>
      </c>
      <c r="X4581">
        <v>0.97762099999999996</v>
      </c>
      <c r="Y4581">
        <v>3.1613219999999997E-2</v>
      </c>
      <c r="Z4581">
        <v>4.205228E-4</v>
      </c>
      <c r="AA4581">
        <v>0.9995001</v>
      </c>
      <c r="AB4581">
        <v>26</v>
      </c>
      <c r="AC4581">
        <v>-73.185599999999994</v>
      </c>
      <c r="AD4581">
        <v>-1.1104481538140001</v>
      </c>
      <c r="AE4581">
        <v>2.4468999999999901</v>
      </c>
      <c r="AF4581">
        <v>2.3226683723497699</v>
      </c>
      <c r="AG4581">
        <v>-1.1104481538140001</v>
      </c>
      <c r="AH4581">
        <v>73.172803956385494</v>
      </c>
      <c r="AI4581">
        <v>90.868998922476294</v>
      </c>
      <c r="AJ4581">
        <v>88.181914327832402</v>
      </c>
      <c r="AK4581">
        <v>73.218079203908701</v>
      </c>
      <c r="AL4581">
        <v>78.654845729852696</v>
      </c>
      <c r="AM4581">
        <v>94.361202433171101</v>
      </c>
      <c r="AN4581">
        <v>1.00000001732878</v>
      </c>
    </row>
    <row r="4582" spans="1:40" x14ac:dyDescent="0.25">
      <c r="A4582" t="str">
        <f>"20190304155152814"</f>
        <v>20190304155152814</v>
      </c>
      <c r="B4582" t="str">
        <f>"1551685912811152"</f>
        <v>1551685912811152</v>
      </c>
      <c r="C4582" t="s">
        <v>40</v>
      </c>
      <c r="D4582">
        <v>4.7825699999999998</v>
      </c>
      <c r="E4582">
        <v>0.53944269999999905</v>
      </c>
      <c r="F4582" t="s">
        <v>41</v>
      </c>
      <c r="G4582">
        <v>-373.3655</v>
      </c>
      <c r="H4582" s="1">
        <v>-3.9303409999999999E-6</v>
      </c>
      <c r="I4582">
        <v>144.1241</v>
      </c>
      <c r="J4582">
        <v>-299.7552</v>
      </c>
      <c r="K4582">
        <v>1.110455</v>
      </c>
      <c r="L4582">
        <v>141.61539999999999</v>
      </c>
      <c r="M4582">
        <v>-0.99992740000000002</v>
      </c>
      <c r="N4582">
        <v>-1.193112E-2</v>
      </c>
      <c r="O4582">
        <v>1.688815E-3</v>
      </c>
      <c r="P4582">
        <v>-0.98005339999999996</v>
      </c>
      <c r="Q4582">
        <v>0.1848216</v>
      </c>
      <c r="R4582">
        <v>-7.3050950000000003E-2</v>
      </c>
      <c r="S4582">
        <v>-3.0777589999999999</v>
      </c>
      <c r="T4582">
        <v>-4.626334E-2</v>
      </c>
      <c r="U4582">
        <v>0.10453800000000001</v>
      </c>
      <c r="V4582">
        <v>-7.4701119999999996E-2</v>
      </c>
      <c r="W4582">
        <v>0.19650239999999999</v>
      </c>
      <c r="X4582">
        <v>0.97765360000000001</v>
      </c>
      <c r="Y4582">
        <v>3.2251499999999898E-2</v>
      </c>
      <c r="Z4582">
        <v>4.2955860000000001E-4</v>
      </c>
      <c r="AA4582">
        <v>0.99947969999999997</v>
      </c>
      <c r="AB4582">
        <v>26</v>
      </c>
      <c r="AC4582">
        <v>-73.610299999999995</v>
      </c>
      <c r="AD4582">
        <v>-1.110458930341</v>
      </c>
      <c r="AE4582">
        <v>2.5087000000000002</v>
      </c>
      <c r="AF4582">
        <v>2.3838315194586102</v>
      </c>
      <c r="AG4582">
        <v>-1.110458930341</v>
      </c>
      <c r="AH4582">
        <v>73.597702353068797</v>
      </c>
      <c r="AI4582">
        <v>90.863973189475999</v>
      </c>
      <c r="AJ4582">
        <v>88.144836768814002</v>
      </c>
      <c r="AK4582">
        <v>73.644670977607404</v>
      </c>
      <c r="AL4582">
        <v>78.667497072519495</v>
      </c>
      <c r="AM4582">
        <v>94.3693989124843</v>
      </c>
      <c r="AN4582">
        <v>1.00000000606398</v>
      </c>
    </row>
    <row r="4583" spans="1:40" x14ac:dyDescent="0.25">
      <c r="A4583" t="str">
        <f>"20190304155152837"</f>
        <v>20190304155152837</v>
      </c>
      <c r="B4583" t="str">
        <f>"1551685912831649"</f>
        <v>1551685912831649</v>
      </c>
      <c r="C4583" t="s">
        <v>40</v>
      </c>
      <c r="D4583">
        <v>4.736764</v>
      </c>
      <c r="E4583">
        <v>0.53959190000000001</v>
      </c>
      <c r="F4583" t="s">
        <v>41</v>
      </c>
      <c r="G4583">
        <v>-372.9547</v>
      </c>
      <c r="H4583" s="1">
        <v>-4.0724670000000001E-6</v>
      </c>
      <c r="I4583">
        <v>144.1371</v>
      </c>
      <c r="J4583">
        <v>-300.01569999999998</v>
      </c>
      <c r="K4583">
        <v>1.110463</v>
      </c>
      <c r="L4583">
        <v>141.61580000000001</v>
      </c>
      <c r="M4583">
        <v>-0.99992630000000005</v>
      </c>
      <c r="N4583">
        <v>-1.202553E-2</v>
      </c>
      <c r="O4583">
        <v>1.6870889999999999E-3</v>
      </c>
      <c r="P4583">
        <v>-0.9800103</v>
      </c>
      <c r="Q4583">
        <v>0.18496389999999999</v>
      </c>
      <c r="R4583">
        <v>-7.3268769999999997E-2</v>
      </c>
      <c r="S4583">
        <v>-3.0777890000000001</v>
      </c>
      <c r="T4583">
        <v>-4.669106E-2</v>
      </c>
      <c r="U4583">
        <v>0.1060333</v>
      </c>
      <c r="V4583">
        <v>-7.4916170000000004E-2</v>
      </c>
      <c r="W4583">
        <v>0.19673660000000001</v>
      </c>
      <c r="X4583">
        <v>0.97758999999999996</v>
      </c>
      <c r="Y4583">
        <v>3.2737710000000003E-2</v>
      </c>
      <c r="Z4583">
        <v>4.3986109999999998E-4</v>
      </c>
      <c r="AA4583">
        <v>0.99946389999999996</v>
      </c>
      <c r="AB4583">
        <v>26</v>
      </c>
      <c r="AC4583">
        <v>-72.938999999999993</v>
      </c>
      <c r="AD4583">
        <v>-1.110467072467</v>
      </c>
      <c r="AE4583">
        <v>2.5212999999999899</v>
      </c>
      <c r="AF4583">
        <v>2.39767784141134</v>
      </c>
      <c r="AG4583">
        <v>-1.110467072467</v>
      </c>
      <c r="AH4583">
        <v>72.926266856420298</v>
      </c>
      <c r="AI4583">
        <v>90.871919128845093</v>
      </c>
      <c r="AJ4583">
        <v>88.116901373612905</v>
      </c>
      <c r="AK4583">
        <v>72.974121397684897</v>
      </c>
      <c r="AL4583">
        <v>78.653810782220305</v>
      </c>
      <c r="AM4583">
        <v>94.382212609699494</v>
      </c>
      <c r="AN4583">
        <v>0.99999996520351297</v>
      </c>
    </row>
    <row r="4584" spans="1:40" x14ac:dyDescent="0.25">
      <c r="A4584" t="str">
        <f>"20190304155152859"</f>
        <v>20190304155152859</v>
      </c>
      <c r="B4584" t="str">
        <f>"1551685912851168"</f>
        <v>1551685912851168</v>
      </c>
      <c r="C4584" t="s">
        <v>40</v>
      </c>
      <c r="D4584">
        <v>4.7193050000000003</v>
      </c>
      <c r="E4584">
        <v>0.53970039999999997</v>
      </c>
      <c r="F4584" t="s">
        <v>41</v>
      </c>
      <c r="G4584">
        <v>-374.45</v>
      </c>
      <c r="H4584" s="1">
        <v>-3.5726739999999998E-6</v>
      </c>
      <c r="I4584">
        <v>144.18819999999999</v>
      </c>
      <c r="J4584">
        <v>-300.27980000000002</v>
      </c>
      <c r="K4584">
        <v>1.110471</v>
      </c>
      <c r="L4584">
        <v>141.6163</v>
      </c>
      <c r="M4584">
        <v>-0.99992519999999996</v>
      </c>
      <c r="N4584">
        <v>-1.2123500000000001E-2</v>
      </c>
      <c r="O4584">
        <v>1.6859850000000001E-3</v>
      </c>
      <c r="P4584">
        <v>-0.97996919999999998</v>
      </c>
      <c r="Q4584">
        <v>0.1851517</v>
      </c>
      <c r="R4584">
        <v>-7.3344580000000006E-2</v>
      </c>
      <c r="S4584">
        <v>-3.07782</v>
      </c>
      <c r="T4584">
        <v>-4.5917270000000003E-2</v>
      </c>
      <c r="U4584">
        <v>0.10636900000000001</v>
      </c>
      <c r="V4584">
        <v>-7.498966E-2</v>
      </c>
      <c r="W4584">
        <v>0.19702040000000001</v>
      </c>
      <c r="X4584">
        <v>0.97752729999999999</v>
      </c>
      <c r="Y4584">
        <v>3.2847479999999998E-2</v>
      </c>
      <c r="Z4584">
        <v>4.3942599999999998E-4</v>
      </c>
      <c r="AA4584">
        <v>0.99946029999999997</v>
      </c>
      <c r="AB4584">
        <v>26</v>
      </c>
      <c r="AC4584">
        <v>-74.170199999999895</v>
      </c>
      <c r="AD4584">
        <v>-1.110474572674</v>
      </c>
      <c r="AE4584">
        <v>2.5718999999999901</v>
      </c>
      <c r="AF4584">
        <v>2.4462896207831402</v>
      </c>
      <c r="AG4584">
        <v>-1.110474572674</v>
      </c>
      <c r="AH4584">
        <v>74.157827808105907</v>
      </c>
      <c r="AI4584">
        <v>90.857443792506501</v>
      </c>
      <c r="AJ4584">
        <v>88.110634205329603</v>
      </c>
      <c r="AK4584">
        <v>74.206474865081603</v>
      </c>
      <c r="AL4584">
        <v>78.637226663343597</v>
      </c>
      <c r="AM4584">
        <v>94.386774886833607</v>
      </c>
      <c r="AN4584">
        <v>1.0000000546841801</v>
      </c>
    </row>
    <row r="4585" spans="1:40" x14ac:dyDescent="0.25">
      <c r="A4585" t="str">
        <f>"20190304155152881"</f>
        <v>20190304155152881</v>
      </c>
      <c r="B4585" t="str">
        <f>"1551685912871664"</f>
        <v>1551685912871664</v>
      </c>
      <c r="C4585" t="s">
        <v>40</v>
      </c>
      <c r="D4585">
        <v>4.8318199999999996</v>
      </c>
      <c r="E4585">
        <v>0.53978539999999997</v>
      </c>
      <c r="F4585" t="s">
        <v>41</v>
      </c>
      <c r="G4585">
        <v>-376.01929999999999</v>
      </c>
      <c r="H4585" s="1">
        <v>-2.9222959999999998E-6</v>
      </c>
      <c r="I4585">
        <v>144.24760000000001</v>
      </c>
      <c r="J4585">
        <v>-300.52929999999998</v>
      </c>
      <c r="K4585">
        <v>1.110482</v>
      </c>
      <c r="L4585">
        <v>141.61670000000001</v>
      </c>
      <c r="M4585">
        <v>-0.99992400000000004</v>
      </c>
      <c r="N4585">
        <v>-1.221904E-2</v>
      </c>
      <c r="O4585">
        <v>1.68624799999999E-3</v>
      </c>
      <c r="P4585">
        <v>-0.98003830000000003</v>
      </c>
      <c r="Q4585">
        <v>0.18476629999999999</v>
      </c>
      <c r="R4585">
        <v>-7.3390479999999994E-2</v>
      </c>
      <c r="S4585">
        <v>-3.0778500000000002</v>
      </c>
      <c r="T4585">
        <v>-4.5126680000000002E-2</v>
      </c>
      <c r="U4585">
        <v>0.1069336</v>
      </c>
      <c r="V4585">
        <v>-7.5036099999999994E-2</v>
      </c>
      <c r="W4585">
        <v>0.19672870000000001</v>
      </c>
      <c r="X4585">
        <v>0.97758250000000002</v>
      </c>
      <c r="Y4585">
        <v>3.30301E-2</v>
      </c>
      <c r="Z4585">
        <v>4.398243E-4</v>
      </c>
      <c r="AA4585">
        <v>0.99945430000000002</v>
      </c>
      <c r="AB4585">
        <v>26</v>
      </c>
      <c r="AC4585">
        <v>-75.489999999999995</v>
      </c>
      <c r="AD4585">
        <v>-1.110484922296</v>
      </c>
      <c r="AE4585">
        <v>2.6308999999999898</v>
      </c>
      <c r="AF4585">
        <v>2.5030509137009398</v>
      </c>
      <c r="AG4585">
        <v>-1.110484922296</v>
      </c>
      <c r="AH4585">
        <v>75.478016115721303</v>
      </c>
      <c r="AI4585">
        <v>90.842451376654196</v>
      </c>
      <c r="AJ4585">
        <v>88.100616292130795</v>
      </c>
      <c r="AK4585">
        <v>75.527672792191296</v>
      </c>
      <c r="AL4585">
        <v>78.654273657366502</v>
      </c>
      <c r="AM4585">
        <v>94.389234051238304</v>
      </c>
      <c r="AN4585">
        <v>1.00000007100657</v>
      </c>
    </row>
    <row r="4586" spans="1:40" x14ac:dyDescent="0.25">
      <c r="A4586" t="str">
        <f>"20190304155152903"</f>
        <v>20190304155152903</v>
      </c>
      <c r="B4586" t="str">
        <f>"1551685912891184"</f>
        <v>1551685912891184</v>
      </c>
      <c r="C4586" t="s">
        <v>40</v>
      </c>
      <c r="D4586">
        <v>4.7898529999999999</v>
      </c>
      <c r="E4586">
        <v>0.53989809999999905</v>
      </c>
      <c r="F4586" t="s">
        <v>41</v>
      </c>
      <c r="G4586">
        <v>-374.51909999999998</v>
      </c>
      <c r="H4586" s="1">
        <v>-3.550517E-6</v>
      </c>
      <c r="I4586">
        <v>144.196</v>
      </c>
      <c r="J4586">
        <v>-300.78219999999999</v>
      </c>
      <c r="K4586">
        <v>1.110493</v>
      </c>
      <c r="L4586">
        <v>141.61709999999999</v>
      </c>
      <c r="M4586">
        <v>-0.99992270000000005</v>
      </c>
      <c r="N4586">
        <v>-1.231866E-2</v>
      </c>
      <c r="O4586">
        <v>1.687191E-3</v>
      </c>
      <c r="P4586">
        <v>-0.98006530000000003</v>
      </c>
      <c r="Q4586">
        <v>0.18454319999999999</v>
      </c>
      <c r="R4586">
        <v>-7.359396E-2</v>
      </c>
      <c r="S4586">
        <v>-3.0778500000000002</v>
      </c>
      <c r="T4586">
        <v>-4.6194310000000002E-2</v>
      </c>
      <c r="U4586">
        <v>0.1072998</v>
      </c>
      <c r="V4586">
        <v>-7.5239849999999997E-2</v>
      </c>
      <c r="W4586">
        <v>0.19660340000000001</v>
      </c>
      <c r="X4586">
        <v>0.97759200000000002</v>
      </c>
      <c r="Y4586">
        <v>3.3147639999999999E-2</v>
      </c>
      <c r="Z4586">
        <v>4.4838389999999999E-4</v>
      </c>
      <c r="AA4586">
        <v>0.99945039999999996</v>
      </c>
      <c r="AB4586">
        <v>26</v>
      </c>
      <c r="AC4586">
        <v>-73.736899999999906</v>
      </c>
      <c r="AD4586">
        <v>-1.1104965505169999</v>
      </c>
      <c r="AE4586">
        <v>2.5789</v>
      </c>
      <c r="AF4586">
        <v>2.4539227570181601</v>
      </c>
      <c r="AG4586">
        <v>-1.1104965505169999</v>
      </c>
      <c r="AH4586">
        <v>73.724445352811998</v>
      </c>
      <c r="AI4586">
        <v>90.862492015432593</v>
      </c>
      <c r="AJ4586">
        <v>88.093610227982097</v>
      </c>
      <c r="AK4586">
        <v>73.773632024361405</v>
      </c>
      <c r="AL4586">
        <v>78.661595289517095</v>
      </c>
      <c r="AM4586">
        <v>94.401063036162697</v>
      </c>
      <c r="AN4586">
        <v>1.00000002519179</v>
      </c>
    </row>
    <row r="4587" spans="1:40" x14ac:dyDescent="0.25">
      <c r="A4587" t="str">
        <f>"20190304155152925"</f>
        <v>20190304155152925</v>
      </c>
      <c r="B4587" t="str">
        <f>"1551685912921440"</f>
        <v>1551685912921440</v>
      </c>
      <c r="C4587" t="s">
        <v>40</v>
      </c>
      <c r="D4587">
        <v>4.7725439999999999</v>
      </c>
      <c r="E4587">
        <v>0.54007249999999996</v>
      </c>
      <c r="F4587" t="s">
        <v>41</v>
      </c>
      <c r="G4587">
        <v>-374.1044</v>
      </c>
      <c r="H4587" s="1">
        <v>-3.6891980000000001E-6</v>
      </c>
      <c r="I4587">
        <v>144.18219999999999</v>
      </c>
      <c r="J4587">
        <v>-301.0342</v>
      </c>
      <c r="K4587">
        <v>1.110509</v>
      </c>
      <c r="L4587">
        <v>141.61750000000001</v>
      </c>
      <c r="M4587">
        <v>-0.99992139999999996</v>
      </c>
      <c r="N4587">
        <v>-1.242035E-2</v>
      </c>
      <c r="O4587">
        <v>1.6880549999999999E-3</v>
      </c>
      <c r="P4587">
        <v>-0.98011210000000004</v>
      </c>
      <c r="Q4587">
        <v>0.18427009999999999</v>
      </c>
      <c r="R4587">
        <v>-7.3653330000000003E-2</v>
      </c>
      <c r="S4587">
        <v>-3.0779109999999998</v>
      </c>
      <c r="T4587">
        <v>-4.6616320000000003E-2</v>
      </c>
      <c r="U4587">
        <v>0.10768129999999999</v>
      </c>
      <c r="V4587">
        <v>-7.5300309999999995E-2</v>
      </c>
      <c r="W4587">
        <v>0.19643089999999999</v>
      </c>
      <c r="X4587">
        <v>0.97762199999999999</v>
      </c>
      <c r="Y4587">
        <v>3.3269649999999998E-2</v>
      </c>
      <c r="Z4587">
        <v>4.5395690000000002E-4</v>
      </c>
      <c r="AA4587">
        <v>0.99944630000000001</v>
      </c>
      <c r="AB4587">
        <v>26</v>
      </c>
      <c r="AC4587">
        <v>-73.0702</v>
      </c>
      <c r="AD4587">
        <v>-1.1105126891979999</v>
      </c>
      <c r="AE4587">
        <v>2.5646999999999802</v>
      </c>
      <c r="AF4587">
        <v>2.44077724208142</v>
      </c>
      <c r="AG4587">
        <v>-1.1105126891979999</v>
      </c>
      <c r="AH4587">
        <v>73.057571797518307</v>
      </c>
      <c r="AI4587">
        <v>90.870372740136503</v>
      </c>
      <c r="AJ4587">
        <v>88.086519495546199</v>
      </c>
      <c r="AK4587">
        <v>73.106767326478604</v>
      </c>
      <c r="AL4587">
        <v>78.671675137371196</v>
      </c>
      <c r="AM4587">
        <v>94.404451028364704</v>
      </c>
      <c r="AN4587">
        <v>1.00000000502245</v>
      </c>
    </row>
    <row r="4588" spans="1:40" x14ac:dyDescent="0.25">
      <c r="A4588" t="str">
        <f>"20190304155152948"</f>
        <v>20190304155152948</v>
      </c>
      <c r="B4588" t="str">
        <f>"1551685912940963"</f>
        <v>1551685912940963</v>
      </c>
      <c r="C4588" t="s">
        <v>40</v>
      </c>
      <c r="D4588">
        <v>4.7776329999999998</v>
      </c>
      <c r="E4588">
        <v>0.54018880000000002</v>
      </c>
      <c r="F4588" t="s">
        <v>41</v>
      </c>
      <c r="G4588">
        <v>-373.06920000000002</v>
      </c>
      <c r="H4588" s="1">
        <v>-4.0396329999999997E-6</v>
      </c>
      <c r="I4588">
        <v>144.17179999999999</v>
      </c>
      <c r="J4588">
        <v>-301.30189999999999</v>
      </c>
      <c r="K4588">
        <v>1.1105229999999999</v>
      </c>
      <c r="L4588">
        <v>141.61799999999999</v>
      </c>
      <c r="M4588">
        <v>-0.99992009999999998</v>
      </c>
      <c r="N4588">
        <v>-1.253073E-2</v>
      </c>
      <c r="O4588">
        <v>1.6885610000000001E-3</v>
      </c>
      <c r="P4588">
        <v>-0.98007200000000005</v>
      </c>
      <c r="Q4588">
        <v>0.18443200000000001</v>
      </c>
      <c r="R4588">
        <v>-7.3783210000000002E-2</v>
      </c>
      <c r="S4588">
        <v>-3.0780029999999998</v>
      </c>
      <c r="T4588">
        <v>-4.7451380000000001E-2</v>
      </c>
      <c r="U4588">
        <v>0.1091461</v>
      </c>
      <c r="V4588">
        <v>-7.5430440000000001E-2</v>
      </c>
      <c r="W4588">
        <v>0.19669970000000001</v>
      </c>
      <c r="X4588">
        <v>0.97755789999999998</v>
      </c>
      <c r="Y4588">
        <v>3.3742830000000001E-2</v>
      </c>
      <c r="Z4588">
        <v>4.6663759999999999E-4</v>
      </c>
      <c r="AA4588">
        <v>0.99943040000000005</v>
      </c>
      <c r="AB4588">
        <v>26</v>
      </c>
      <c r="AC4588">
        <v>-71.767300000000006</v>
      </c>
      <c r="AD4588">
        <v>-1.110527039633</v>
      </c>
      <c r="AE4588">
        <v>2.5537999999999901</v>
      </c>
      <c r="AF4588">
        <v>2.43202178624469</v>
      </c>
      <c r="AG4588">
        <v>-1.110527039633</v>
      </c>
      <c r="AH4588">
        <v>71.754350792457899</v>
      </c>
      <c r="AI4588">
        <v>90.886175187762205</v>
      </c>
      <c r="AJ4588">
        <v>88.058776084027201</v>
      </c>
      <c r="AK4588">
        <v>71.804142345143404</v>
      </c>
      <c r="AL4588">
        <v>78.655967365390396</v>
      </c>
      <c r="AM4588">
        <v>94.412320700411797</v>
      </c>
      <c r="AN4588">
        <v>0.99999998555554603</v>
      </c>
    </row>
    <row r="4589" spans="1:40" x14ac:dyDescent="0.25">
      <c r="A4589" t="str">
        <f>"20190304155152971"</f>
        <v>20190304155152971</v>
      </c>
      <c r="B4589" t="str">
        <f>"1551685912961459"</f>
        <v>1551685912961459</v>
      </c>
      <c r="C4589" t="s">
        <v>40</v>
      </c>
      <c r="D4589">
        <v>4.7657499999999997</v>
      </c>
      <c r="E4589">
        <v>0.54030639999999996</v>
      </c>
      <c r="F4589" t="s">
        <v>41</v>
      </c>
      <c r="G4589">
        <v>-374.17680000000001</v>
      </c>
      <c r="H4589" s="1">
        <v>-3.671251E-6</v>
      </c>
      <c r="I4589">
        <v>144.22</v>
      </c>
      <c r="J4589">
        <v>-301.55619999999999</v>
      </c>
      <c r="K4589">
        <v>1.110536</v>
      </c>
      <c r="L4589">
        <v>141.61840000000001</v>
      </c>
      <c r="M4589">
        <v>-0.99991890000000005</v>
      </c>
      <c r="N4589">
        <v>-1.2637560000000001E-2</v>
      </c>
      <c r="O4589">
        <v>1.688546E-3</v>
      </c>
      <c r="P4589">
        <v>-0.98011599999999999</v>
      </c>
      <c r="Q4589">
        <v>0.1842703</v>
      </c>
      <c r="R4589">
        <v>-7.3602749999999995E-2</v>
      </c>
      <c r="S4589">
        <v>-3.078125</v>
      </c>
      <c r="T4589">
        <v>-4.6906950000000003E-2</v>
      </c>
      <c r="U4589">
        <v>0.1099091</v>
      </c>
      <c r="V4589">
        <v>-7.5250440000000002E-2</v>
      </c>
      <c r="W4589">
        <v>0.19664319999999999</v>
      </c>
      <c r="X4589">
        <v>0.97758319999999999</v>
      </c>
      <c r="Y4589">
        <v>3.3988890000000001E-2</v>
      </c>
      <c r="Z4589">
        <v>4.6935709999999998E-4</v>
      </c>
      <c r="AA4589">
        <v>0.99942209999999998</v>
      </c>
      <c r="AB4589">
        <v>26</v>
      </c>
      <c r="AC4589">
        <v>-72.620599999999996</v>
      </c>
      <c r="AD4589">
        <v>-1.1105396712510001</v>
      </c>
      <c r="AE4589">
        <v>2.6015999999999901</v>
      </c>
      <c r="AF4589">
        <v>2.47838445408438</v>
      </c>
      <c r="AG4589">
        <v>-1.1105396712510001</v>
      </c>
      <c r="AH4589">
        <v>72.607931691788806</v>
      </c>
      <c r="AI4589">
        <v>90.875761736958907</v>
      </c>
      <c r="AJ4589">
        <v>88.045036468659006</v>
      </c>
      <c r="AK4589">
        <v>72.658705138635199</v>
      </c>
      <c r="AL4589">
        <v>78.659269742557697</v>
      </c>
      <c r="AM4589">
        <v>94.401719518313797</v>
      </c>
      <c r="AN4589">
        <v>1.00000004487433</v>
      </c>
    </row>
    <row r="4590" spans="1:40" x14ac:dyDescent="0.25">
      <c r="A4590" t="str">
        <f>"20190304155152992"</f>
        <v>20190304155152992</v>
      </c>
      <c r="B4590" t="str">
        <f>"1551685912980977"</f>
        <v>1551685912980977</v>
      </c>
      <c r="C4590" t="s">
        <v>40</v>
      </c>
      <c r="D4590">
        <v>4.8163390000000001</v>
      </c>
      <c r="E4590">
        <v>0.54040410000000005</v>
      </c>
      <c r="F4590" t="s">
        <v>41</v>
      </c>
      <c r="G4590">
        <v>-374</v>
      </c>
      <c r="H4590" s="1">
        <v>-3.7352319999999999E-6</v>
      </c>
      <c r="I4590">
        <v>144.2413</v>
      </c>
      <c r="J4590">
        <v>-301.80799999999999</v>
      </c>
      <c r="K4590">
        <v>1.1105510000000001</v>
      </c>
      <c r="L4590">
        <v>141.61879999999999</v>
      </c>
      <c r="M4590">
        <v>-0.99991739999999996</v>
      </c>
      <c r="N4590">
        <v>-1.273968E-2</v>
      </c>
      <c r="O4590">
        <v>1.6886150000000001E-3</v>
      </c>
      <c r="P4590">
        <v>-0.98010870000000005</v>
      </c>
      <c r="Q4590">
        <v>0.184194</v>
      </c>
      <c r="R4590">
        <v>-7.3888980000000007E-2</v>
      </c>
      <c r="S4590">
        <v>-3.0780940000000001</v>
      </c>
      <c r="T4590">
        <v>-4.7186260000000001E-2</v>
      </c>
      <c r="U4590">
        <v>0.1114502</v>
      </c>
      <c r="V4590">
        <v>-7.5536270000000003E-2</v>
      </c>
      <c r="W4590">
        <v>0.19666649999999999</v>
      </c>
      <c r="X4590">
        <v>0.97755639999999999</v>
      </c>
      <c r="Y4590">
        <v>3.4488709999999999E-2</v>
      </c>
      <c r="Z4590">
        <v>4.7967129999999998E-4</v>
      </c>
      <c r="AA4590">
        <v>0.99940499999999999</v>
      </c>
      <c r="AB4590">
        <v>26</v>
      </c>
      <c r="AC4590">
        <v>-72.191999999999993</v>
      </c>
      <c r="AD4590">
        <v>-1.110554735232</v>
      </c>
      <c r="AE4590">
        <v>2.6225000000000001</v>
      </c>
      <c r="AF4590">
        <v>2.4999910333235702</v>
      </c>
      <c r="AG4590">
        <v>-1.110554735232</v>
      </c>
      <c r="AH4590">
        <v>72.179267283676495</v>
      </c>
      <c r="AI4590">
        <v>90.880958728331805</v>
      </c>
      <c r="AJ4590">
        <v>88.016304361478007</v>
      </c>
      <c r="AK4590">
        <v>72.231086885045897</v>
      </c>
      <c r="AL4590">
        <v>78.6579073915957</v>
      </c>
      <c r="AM4590">
        <v>94.418493505870899</v>
      </c>
      <c r="AN4590">
        <v>0.999999977744361</v>
      </c>
    </row>
    <row r="4591" spans="1:40" x14ac:dyDescent="0.25">
      <c r="A4591" t="str">
        <f>"20190304155153015"</f>
        <v>20190304155153015</v>
      </c>
      <c r="B4591" t="str">
        <f>"1551685913011232"</f>
        <v>1551685913011232</v>
      </c>
      <c r="C4591" t="s">
        <v>40</v>
      </c>
      <c r="D4591">
        <v>4.7953970000000004</v>
      </c>
      <c r="E4591">
        <v>0.54051579999999999</v>
      </c>
      <c r="F4591" t="s">
        <v>41</v>
      </c>
      <c r="G4591">
        <v>-374.66210000000001</v>
      </c>
      <c r="H4591" s="1">
        <v>-3.5074960000000002E-6</v>
      </c>
      <c r="I4591">
        <v>144.2587</v>
      </c>
      <c r="J4591">
        <v>-302.06270000000001</v>
      </c>
      <c r="K4591">
        <v>1.110565</v>
      </c>
      <c r="L4591">
        <v>141.61920000000001</v>
      </c>
      <c r="M4591">
        <v>-0.99991609999999997</v>
      </c>
      <c r="N4591">
        <v>-1.2841409999999999E-2</v>
      </c>
      <c r="O4591">
        <v>1.6884409999999999E-3</v>
      </c>
      <c r="P4591">
        <v>-0.98002679999999998</v>
      </c>
      <c r="Q4591">
        <v>0.18436559999999999</v>
      </c>
      <c r="R4591">
        <v>-7.4543449999999997E-2</v>
      </c>
      <c r="S4591">
        <v>-3.078125</v>
      </c>
      <c r="T4591">
        <v>-4.6921490000000003E-2</v>
      </c>
      <c r="U4591">
        <v>0.11154169999999999</v>
      </c>
      <c r="V4591">
        <v>-7.6190699999999903E-2</v>
      </c>
      <c r="W4591">
        <v>0.19693669999999999</v>
      </c>
      <c r="X4591">
        <v>0.97745119999999996</v>
      </c>
      <c r="Y4591">
        <v>3.4518239999999999E-2</v>
      </c>
      <c r="Z4591">
        <v>4.8067340000000001E-4</v>
      </c>
      <c r="AA4591">
        <v>0.99940399999999996</v>
      </c>
      <c r="AB4591">
        <v>26</v>
      </c>
      <c r="AC4591">
        <v>-72.599400000000003</v>
      </c>
      <c r="AD4591">
        <v>-1.1105685074959999</v>
      </c>
      <c r="AE4591">
        <v>2.6394999999999902</v>
      </c>
      <c r="AF4591">
        <v>2.5163182698364599</v>
      </c>
      <c r="AG4591">
        <v>-1.1105685074959999</v>
      </c>
      <c r="AH4591">
        <v>72.586790276060498</v>
      </c>
      <c r="AI4591">
        <v>90.876023485146604</v>
      </c>
      <c r="AJ4591">
        <v>88.014560173799595</v>
      </c>
      <c r="AK4591">
        <v>72.638883131734204</v>
      </c>
      <c r="AL4591">
        <v>78.642117151241806</v>
      </c>
      <c r="AM4591">
        <v>94.4570985443833</v>
      </c>
      <c r="AN4591">
        <v>0.99999996747740905</v>
      </c>
    </row>
    <row r="4592" spans="1:40" x14ac:dyDescent="0.25">
      <c r="A4592" t="str">
        <f>"20190304155153035"</f>
        <v>20190304155153035</v>
      </c>
      <c r="B4592" t="str">
        <f>"1551685913031728"</f>
        <v>1551685913031728</v>
      </c>
      <c r="C4592" t="s">
        <v>40</v>
      </c>
      <c r="D4592">
        <v>4.7436350000000003</v>
      </c>
      <c r="E4592">
        <v>0.54038319999999995</v>
      </c>
      <c r="F4592" t="s">
        <v>41</v>
      </c>
      <c r="G4592">
        <v>-376.29950000000002</v>
      </c>
      <c r="H4592" s="1">
        <v>-2.8111329999999999E-6</v>
      </c>
      <c r="I4592">
        <v>144.28149999999999</v>
      </c>
      <c r="J4592">
        <v>-302.3032</v>
      </c>
      <c r="K4592">
        <v>1.110573</v>
      </c>
      <c r="L4592">
        <v>141.61959999999999</v>
      </c>
      <c r="M4592">
        <v>-0.99991490000000005</v>
      </c>
      <c r="N4592">
        <v>-1.293704E-2</v>
      </c>
      <c r="O4592">
        <v>1.688361E-3</v>
      </c>
      <c r="P4592">
        <v>-0.97997769999999995</v>
      </c>
      <c r="Q4592">
        <v>0.1844548</v>
      </c>
      <c r="R4592">
        <v>-7.4971109999999994E-2</v>
      </c>
      <c r="S4592">
        <v>-3.0782470000000002</v>
      </c>
      <c r="T4592">
        <v>-4.6049949999999999E-2</v>
      </c>
      <c r="U4592">
        <v>0.1103973</v>
      </c>
      <c r="V4592">
        <v>-7.6618019999999995E-2</v>
      </c>
      <c r="W4592">
        <v>0.19711909999999999</v>
      </c>
      <c r="X4592">
        <v>0.9773811</v>
      </c>
      <c r="Y4592">
        <v>3.4146080000000002E-2</v>
      </c>
      <c r="Z4592">
        <v>4.7287920000000001E-4</v>
      </c>
      <c r="AA4592">
        <v>0.99941679999999999</v>
      </c>
      <c r="AB4592">
        <v>26</v>
      </c>
      <c r="AC4592">
        <v>-73.996300000000005</v>
      </c>
      <c r="AD4592">
        <v>-1.110575811133</v>
      </c>
      <c r="AE4592">
        <v>2.6619000000000002</v>
      </c>
      <c r="AF4592">
        <v>2.5363826867191799</v>
      </c>
      <c r="AG4592">
        <v>-1.110575811133</v>
      </c>
      <c r="AH4592">
        <v>73.984045327712707</v>
      </c>
      <c r="AI4592">
        <v>90.859498501485604</v>
      </c>
      <c r="AJ4592">
        <v>88.0365073452014</v>
      </c>
      <c r="AK4592">
        <v>74.035839826524594</v>
      </c>
      <c r="AL4592">
        <v>78.631458255806294</v>
      </c>
      <c r="AM4592">
        <v>94.482315019561597</v>
      </c>
      <c r="AN4592">
        <v>1.0000000376053599</v>
      </c>
    </row>
    <row r="4593" spans="1:40" x14ac:dyDescent="0.25">
      <c r="A4593" t="str">
        <f>"20190304155153061"</f>
        <v>20190304155153061</v>
      </c>
      <c r="B4593" t="str">
        <f>"1551685913051248"</f>
        <v>1551685913051248</v>
      </c>
      <c r="C4593" t="s">
        <v>40</v>
      </c>
      <c r="D4593">
        <v>4.9276799999999996</v>
      </c>
      <c r="E4593">
        <v>0.51266990000000001</v>
      </c>
      <c r="F4593" t="s">
        <v>41</v>
      </c>
      <c r="G4593">
        <v>-377.10759999999999</v>
      </c>
      <c r="H4593" s="1">
        <v>-2.4523819999999999E-6</v>
      </c>
      <c r="I4593">
        <v>144.23609999999999</v>
      </c>
      <c r="J4593">
        <v>-302.58699999999999</v>
      </c>
      <c r="K4593">
        <v>1.1105830000000001</v>
      </c>
      <c r="L4593">
        <v>141.62010000000001</v>
      </c>
      <c r="M4593">
        <v>-0.99991359999999996</v>
      </c>
      <c r="N4593">
        <v>-1.304344E-2</v>
      </c>
      <c r="O4593">
        <v>1.6879670000000001E-3</v>
      </c>
      <c r="P4593">
        <v>-0.98000120000000002</v>
      </c>
      <c r="Q4593">
        <v>0.18427789999999999</v>
      </c>
      <c r="R4593">
        <v>-7.5097079999999997E-2</v>
      </c>
      <c r="S4593">
        <v>-3.0780639999999999</v>
      </c>
      <c r="T4593">
        <v>-4.5698170000000003E-2</v>
      </c>
      <c r="U4593">
        <v>0.107666</v>
      </c>
      <c r="V4593">
        <v>-7.6744080000000006E-2</v>
      </c>
      <c r="W4593">
        <v>0.19704569999999999</v>
      </c>
      <c r="X4593">
        <v>0.97738599999999998</v>
      </c>
      <c r="Y4593">
        <v>3.3263099999999997E-2</v>
      </c>
      <c r="Z4593">
        <v>4.6082030000000002E-4</v>
      </c>
      <c r="AA4593">
        <v>0.99944650000000002</v>
      </c>
      <c r="AB4593">
        <v>26</v>
      </c>
      <c r="AC4593">
        <v>-74.520600000000002</v>
      </c>
      <c r="AD4593">
        <v>-1.110585452382</v>
      </c>
      <c r="AE4593">
        <v>2.6159999999999801</v>
      </c>
      <c r="AF4593">
        <v>2.4896449961082499</v>
      </c>
      <c r="AG4593">
        <v>-1.110585452382</v>
      </c>
      <c r="AH4593">
        <v>74.508381868247895</v>
      </c>
      <c r="AI4593">
        <v>90.853483331998305</v>
      </c>
      <c r="AJ4593">
        <v>88.086214008877107</v>
      </c>
      <c r="AK4593">
        <v>74.558236975389505</v>
      </c>
      <c r="AL4593">
        <v>78.635747780840902</v>
      </c>
      <c r="AM4593">
        <v>94.489637251218994</v>
      </c>
      <c r="AN4593">
        <v>1.00000002734976</v>
      </c>
    </row>
    <row r="4594" spans="1:40" x14ac:dyDescent="0.25">
      <c r="A4594" t="str">
        <f>"20190304155153083"</f>
        <v>20190304155153083</v>
      </c>
      <c r="B4594" t="str">
        <f>"1551685913071744"</f>
        <v>1551685913071744</v>
      </c>
      <c r="C4594" t="s">
        <v>40</v>
      </c>
      <c r="D4594">
        <v>4.7851269999999904</v>
      </c>
      <c r="E4594">
        <v>0.51390049999999998</v>
      </c>
      <c r="F4594" t="s">
        <v>41</v>
      </c>
      <c r="G4594">
        <v>-366.9239</v>
      </c>
      <c r="H4594" s="1">
        <v>-1.3710380000000001E-6</v>
      </c>
      <c r="I4594">
        <v>139.22669999999999</v>
      </c>
      <c r="J4594">
        <v>-302.84350000000001</v>
      </c>
      <c r="K4594">
        <v>1.1105929999999999</v>
      </c>
      <c r="L4594">
        <v>141.62049999999999</v>
      </c>
      <c r="M4594">
        <v>-0.99991249999999998</v>
      </c>
      <c r="N4594">
        <v>-1.312931E-2</v>
      </c>
      <c r="O4594">
        <v>1.6877629999999999E-3</v>
      </c>
      <c r="P4594">
        <v>-0.9801086</v>
      </c>
      <c r="Q4594">
        <v>0.1836361</v>
      </c>
      <c r="R4594">
        <v>-7.5266819999999998E-2</v>
      </c>
      <c r="S4594">
        <v>-3.0624690000000001</v>
      </c>
      <c r="T4594">
        <v>-5.2864429999999997E-2</v>
      </c>
      <c r="U4594">
        <v>-0.1139221</v>
      </c>
      <c r="V4594">
        <v>-7.6913620000000002E-2</v>
      </c>
      <c r="W4594">
        <v>0.19648979999999999</v>
      </c>
      <c r="X4594">
        <v>0.97748460000000004</v>
      </c>
      <c r="Y4594">
        <v>-3.8850210000000003E-2</v>
      </c>
      <c r="Z4594">
        <v>-5.9731689999999995E-4</v>
      </c>
      <c r="AA4594">
        <v>0.99924489999999999</v>
      </c>
      <c r="AB4594">
        <v>26</v>
      </c>
      <c r="AC4594">
        <v>-64.080399999999997</v>
      </c>
      <c r="AD4594">
        <v>-1.110594371038</v>
      </c>
      <c r="AE4594">
        <v>-2.3938000000000001</v>
      </c>
      <c r="AF4594">
        <v>-2.5012081804488702</v>
      </c>
      <c r="AG4594">
        <v>-1.110594371038</v>
      </c>
      <c r="AH4594">
        <v>64.057054022087101</v>
      </c>
      <c r="AI4594">
        <v>90.992514539345805</v>
      </c>
      <c r="AJ4594">
        <v>92.236067675046797</v>
      </c>
      <c r="AK4594">
        <v>64.115486679955197</v>
      </c>
      <c r="AL4594">
        <v>78.6682337986595</v>
      </c>
      <c r="AM4594">
        <v>94.499062889455601</v>
      </c>
      <c r="AN4594">
        <v>1.00000004484135</v>
      </c>
    </row>
    <row r="4595" spans="1:40" x14ac:dyDescent="0.25">
      <c r="A4595" t="str">
        <f>"20190304155153104"</f>
        <v>20190304155153104</v>
      </c>
      <c r="B4595" t="str">
        <f>"1551685913102000"</f>
        <v>1551685913102000</v>
      </c>
      <c r="C4595" t="s">
        <v>40</v>
      </c>
      <c r="D4595">
        <v>4.7973169999999996</v>
      </c>
      <c r="E4595">
        <v>0.51539159999999995</v>
      </c>
      <c r="F4595" t="s">
        <v>41</v>
      </c>
      <c r="G4595">
        <v>-370.65609999999998</v>
      </c>
      <c r="H4595" s="1">
        <v>-4.0451789999999999E-6</v>
      </c>
      <c r="I4595">
        <v>139.3098</v>
      </c>
      <c r="J4595">
        <v>-303.08150000000001</v>
      </c>
      <c r="K4595">
        <v>1.1106020000000001</v>
      </c>
      <c r="L4595">
        <v>141.62090000000001</v>
      </c>
      <c r="M4595">
        <v>-0.99991149999999995</v>
      </c>
      <c r="N4595">
        <v>-1.320035E-2</v>
      </c>
      <c r="O4595">
        <v>1.6876529999999999E-3</v>
      </c>
      <c r="P4595">
        <v>-0.98012639999999995</v>
      </c>
      <c r="Q4595">
        <v>0.1834604</v>
      </c>
      <c r="R4595">
        <v>-7.5462710000000002E-2</v>
      </c>
      <c r="S4595">
        <v>-3.0622250000000002</v>
      </c>
      <c r="T4595">
        <v>-5.0151469999999997E-2</v>
      </c>
      <c r="U4595">
        <v>-0.1043396</v>
      </c>
      <c r="V4595">
        <v>-7.7109200000000003E-2</v>
      </c>
      <c r="W4595">
        <v>0.19638359999999999</v>
      </c>
      <c r="X4595">
        <v>0.97749050000000004</v>
      </c>
      <c r="Y4595">
        <v>-3.5731480000000003E-2</v>
      </c>
      <c r="Z4595">
        <v>-5.3379030000000002E-4</v>
      </c>
      <c r="AA4595">
        <v>0.99936130000000001</v>
      </c>
      <c r="AB4595">
        <v>26</v>
      </c>
      <c r="AC4595">
        <v>-67.574599999999904</v>
      </c>
      <c r="AD4595">
        <v>-1.1106060451790001</v>
      </c>
      <c r="AE4595">
        <v>-2.3111000000000099</v>
      </c>
      <c r="AF4595">
        <v>-2.42449498187688</v>
      </c>
      <c r="AG4595">
        <v>-1.1106060451790001</v>
      </c>
      <c r="AH4595">
        <v>67.5523772999709</v>
      </c>
      <c r="AI4595">
        <v>90.941289943662994</v>
      </c>
      <c r="AJ4595">
        <v>92.055497306765901</v>
      </c>
      <c r="AK4595">
        <v>67.604994642277404</v>
      </c>
      <c r="AL4595">
        <v>78.674439146210801</v>
      </c>
      <c r="AM4595">
        <v>94.5104290832912</v>
      </c>
      <c r="AN4595">
        <v>1.0000000123319199</v>
      </c>
    </row>
    <row r="4596" spans="1:40" x14ac:dyDescent="0.25">
      <c r="A4596" t="str">
        <f>"20190304155153126"</f>
        <v>20190304155153126</v>
      </c>
      <c r="B4596" t="str">
        <f>"1551685913121520"</f>
        <v>1551685913121520</v>
      </c>
      <c r="C4596" t="s">
        <v>40</v>
      </c>
      <c r="D4596">
        <v>4.7907760000000001</v>
      </c>
      <c r="E4596">
        <v>0.51563539999999997</v>
      </c>
      <c r="F4596" t="s">
        <v>41</v>
      </c>
      <c r="G4596">
        <v>-366.37700000000001</v>
      </c>
      <c r="H4596" s="1">
        <v>-1.5589410000000001E-6</v>
      </c>
      <c r="I4596">
        <v>139.7004</v>
      </c>
      <c r="J4596">
        <v>-303.33659999999998</v>
      </c>
      <c r="K4596">
        <v>1.1106069999999999</v>
      </c>
      <c r="L4596">
        <v>141.62139999999999</v>
      </c>
      <c r="M4596">
        <v>-0.99991059999999998</v>
      </c>
      <c r="N4596">
        <v>-1.326884E-2</v>
      </c>
      <c r="O4596">
        <v>1.6874979999999999E-3</v>
      </c>
      <c r="P4596">
        <v>-0.98020989999999997</v>
      </c>
      <c r="Q4596">
        <v>0.1829124</v>
      </c>
      <c r="R4596">
        <v>-7.5708330000000004E-2</v>
      </c>
      <c r="S4596">
        <v>-3.0637509999999999</v>
      </c>
      <c r="T4596">
        <v>-5.3757550000000001E-2</v>
      </c>
      <c r="U4596">
        <v>-9.2956540000000004E-2</v>
      </c>
      <c r="V4596">
        <v>-7.7354950000000006E-2</v>
      </c>
      <c r="W4596">
        <v>0.19590340000000001</v>
      </c>
      <c r="X4596">
        <v>0.97756739999999998</v>
      </c>
      <c r="Y4596">
        <v>-3.2004970000000001E-2</v>
      </c>
      <c r="Z4596">
        <v>-5.003338E-4</v>
      </c>
      <c r="AA4596">
        <v>0.99948760000000003</v>
      </c>
      <c r="AB4596">
        <v>26</v>
      </c>
      <c r="AC4596">
        <v>-63.040399999999899</v>
      </c>
      <c r="AD4596">
        <v>-1.110608558941</v>
      </c>
      <c r="AE4596">
        <v>-1.92099999999999</v>
      </c>
      <c r="AF4596">
        <v>-2.0267587051746001</v>
      </c>
      <c r="AG4596">
        <v>-1.110608558941</v>
      </c>
      <c r="AH4596">
        <v>63.017527454823203</v>
      </c>
      <c r="AI4596">
        <v>91.009143391765704</v>
      </c>
      <c r="AJ4596">
        <v>91.842101876605199</v>
      </c>
      <c r="AK4596">
        <v>63.059891918235898</v>
      </c>
      <c r="AL4596">
        <v>78.702497193389206</v>
      </c>
      <c r="AM4596">
        <v>94.524389937818199</v>
      </c>
      <c r="AN4596">
        <v>0.99999997598191004</v>
      </c>
    </row>
    <row r="4597" spans="1:40" x14ac:dyDescent="0.25">
      <c r="A4597" t="str">
        <f>"20190304155153149"</f>
        <v>20190304155153149</v>
      </c>
      <c r="B4597" t="str">
        <f>"1551685913142016"</f>
        <v>1551685913142016</v>
      </c>
      <c r="C4597" t="s">
        <v>40</v>
      </c>
      <c r="D4597">
        <v>4.7899830000000003</v>
      </c>
      <c r="E4597">
        <v>0.51598100000000002</v>
      </c>
      <c r="F4597" t="s">
        <v>41</v>
      </c>
      <c r="G4597">
        <v>-366.50990000000002</v>
      </c>
      <c r="H4597" s="1">
        <v>-1.508805E-6</v>
      </c>
      <c r="I4597">
        <v>139.7261</v>
      </c>
      <c r="J4597">
        <v>-303.5992</v>
      </c>
      <c r="K4597">
        <v>1.1106100000000001</v>
      </c>
      <c r="L4597">
        <v>141.62180000000001</v>
      </c>
      <c r="M4597">
        <v>-0.99990979999999996</v>
      </c>
      <c r="N4597">
        <v>-1.333085E-2</v>
      </c>
      <c r="O4597">
        <v>1.687086E-3</v>
      </c>
      <c r="P4597">
        <v>-0.98033340000000002</v>
      </c>
      <c r="Q4597">
        <v>0.18225160000000001</v>
      </c>
      <c r="R4597">
        <v>-7.5701779999999996E-2</v>
      </c>
      <c r="S4597">
        <v>-3.0634769999999998</v>
      </c>
      <c r="T4597">
        <v>-5.3857090000000003E-2</v>
      </c>
      <c r="U4597">
        <v>-9.1903689999999996E-2</v>
      </c>
      <c r="V4597">
        <v>-7.7348040000000007E-2</v>
      </c>
      <c r="W4597">
        <v>0.1953058</v>
      </c>
      <c r="X4597">
        <v>0.97768750000000004</v>
      </c>
      <c r="Y4597">
        <v>-3.1664129999999999E-2</v>
      </c>
      <c r="Z4597">
        <v>-4.9655540000000001E-4</v>
      </c>
      <c r="AA4597">
        <v>0.99949840000000001</v>
      </c>
      <c r="AB4597">
        <v>25</v>
      </c>
      <c r="AC4597">
        <v>-62.910699999999999</v>
      </c>
      <c r="AD4597">
        <v>-1.1106115088049999</v>
      </c>
      <c r="AE4597">
        <v>-1.8956999999999999</v>
      </c>
      <c r="AF4597">
        <v>-2.0012193601897401</v>
      </c>
      <c r="AG4597">
        <v>-1.1106115088049999</v>
      </c>
      <c r="AH4597">
        <v>62.887830380163699</v>
      </c>
      <c r="AI4597">
        <v>91.011237836804298</v>
      </c>
      <c r="AJ4597">
        <v>91.822653800367405</v>
      </c>
      <c r="AK4597">
        <v>62.929464853718002</v>
      </c>
      <c r="AL4597">
        <v>78.737411431400503</v>
      </c>
      <c r="AM4597">
        <v>94.523434034569306</v>
      </c>
      <c r="AN4597">
        <v>0.99999996123086499</v>
      </c>
    </row>
    <row r="4598" spans="1:40" x14ac:dyDescent="0.25">
      <c r="A4598" t="str">
        <f>"20190304155153171"</f>
        <v>20190304155153171</v>
      </c>
      <c r="B4598" t="str">
        <f>"1551685913161540"</f>
        <v>1551685913161540</v>
      </c>
      <c r="C4598" t="s">
        <v>40</v>
      </c>
      <c r="D4598">
        <v>4.767817</v>
      </c>
      <c r="E4598">
        <v>0.51602409999999999</v>
      </c>
      <c r="F4598" t="s">
        <v>41</v>
      </c>
      <c r="G4598">
        <v>-368.41719999999998</v>
      </c>
      <c r="H4598" s="1">
        <v>-6.90036E-7</v>
      </c>
      <c r="I4598">
        <v>139.72409999999999</v>
      </c>
      <c r="J4598">
        <v>-303.84559999999999</v>
      </c>
      <c r="K4598">
        <v>1.110616</v>
      </c>
      <c r="L4598">
        <v>141.62219999999999</v>
      </c>
      <c r="M4598">
        <v>-0.99990900000000005</v>
      </c>
      <c r="N4598">
        <v>-1.338169E-2</v>
      </c>
      <c r="O4598">
        <v>1.6867469999999999E-3</v>
      </c>
      <c r="P4598">
        <v>-0.98051820000000001</v>
      </c>
      <c r="Q4598">
        <v>0.1812685</v>
      </c>
      <c r="R4598">
        <v>-7.5668910000000006E-2</v>
      </c>
      <c r="S4598">
        <v>-3.0630190000000002</v>
      </c>
      <c r="T4598">
        <v>-5.2482719999999997E-2</v>
      </c>
      <c r="U4598">
        <v>-8.9675899999999906E-2</v>
      </c>
      <c r="V4598">
        <v>-7.7315510000000004E-2</v>
      </c>
      <c r="W4598">
        <v>0.19437460000000001</v>
      </c>
      <c r="X4598">
        <v>0.97787559999999996</v>
      </c>
      <c r="Y4598">
        <v>-3.094247E-2</v>
      </c>
      <c r="Z4598">
        <v>-4.7845059999999999E-4</v>
      </c>
      <c r="AA4598">
        <v>0.99952110000000005</v>
      </c>
      <c r="AB4598">
        <v>25</v>
      </c>
      <c r="AC4598">
        <v>-64.571599999999904</v>
      </c>
      <c r="AD4598">
        <v>-1.1106166900359999</v>
      </c>
      <c r="AE4598">
        <v>-1.8980999999999999</v>
      </c>
      <c r="AF4598">
        <v>-2.00642995527634</v>
      </c>
      <c r="AG4598">
        <v>-1.1106166900359999</v>
      </c>
      <c r="AH4598">
        <v>64.549226978049603</v>
      </c>
      <c r="AI4598">
        <v>90.985242795119703</v>
      </c>
      <c r="AJ4598">
        <v>91.780392585269297</v>
      </c>
      <c r="AK4598">
        <v>64.589952268610503</v>
      </c>
      <c r="AL4598">
        <v>78.791807429961395</v>
      </c>
      <c r="AM4598">
        <v>94.520673380962606</v>
      </c>
      <c r="AN4598">
        <v>0.99999993114353702</v>
      </c>
    </row>
    <row r="4599" spans="1:40" x14ac:dyDescent="0.25">
      <c r="A4599" t="str">
        <f>"20190304155153185"</f>
        <v>20190304155153185</v>
      </c>
      <c r="B4599" t="str">
        <f>"1551685913181057"</f>
        <v>1551685913181057</v>
      </c>
      <c r="C4599" t="s">
        <v>40</v>
      </c>
      <c r="D4599">
        <v>4.8026489999999997</v>
      </c>
      <c r="E4599">
        <v>0.51589079999999998</v>
      </c>
      <c r="F4599" t="s">
        <v>41</v>
      </c>
      <c r="G4599">
        <v>-364.2466</v>
      </c>
      <c r="H4599" s="1">
        <v>-2.515159E-6</v>
      </c>
      <c r="I4599">
        <v>139.85929999999999</v>
      </c>
      <c r="J4599">
        <v>-304.01339999999999</v>
      </c>
      <c r="K4599">
        <v>1.110614</v>
      </c>
      <c r="L4599">
        <v>141.6225</v>
      </c>
      <c r="M4599">
        <v>-0.99990860000000004</v>
      </c>
      <c r="N4599">
        <v>-1.341287E-2</v>
      </c>
      <c r="O4599">
        <v>1.6867169999999999E-3</v>
      </c>
      <c r="P4599">
        <v>-0.98050899999999996</v>
      </c>
      <c r="Q4599">
        <v>0.1812715</v>
      </c>
      <c r="R4599">
        <v>-7.5782130000000003E-2</v>
      </c>
      <c r="S4599">
        <v>-3.0631409999999999</v>
      </c>
      <c r="T4599">
        <v>-5.6323289999999998E-2</v>
      </c>
      <c r="U4599">
        <v>-8.9401250000000002E-2</v>
      </c>
      <c r="V4599">
        <v>-7.7428300000000005E-2</v>
      </c>
      <c r="W4599">
        <v>0.19440779999999999</v>
      </c>
      <c r="X4599">
        <v>0.97786019999999896</v>
      </c>
      <c r="Y4599">
        <v>-3.0850789999999999E-2</v>
      </c>
      <c r="Z4599">
        <v>-4.9891750000000004E-4</v>
      </c>
      <c r="AA4599">
        <v>0.99952390000000002</v>
      </c>
      <c r="AB4599">
        <v>25</v>
      </c>
      <c r="AC4599">
        <v>-60.233199999999997</v>
      </c>
      <c r="AD4599">
        <v>-1.110616515159</v>
      </c>
      <c r="AE4599">
        <v>-1.7632000000000101</v>
      </c>
      <c r="AF4599">
        <v>-1.8641697537803601</v>
      </c>
      <c r="AG4599">
        <v>-1.110616515159</v>
      </c>
      <c r="AH4599">
        <v>60.2096873098386</v>
      </c>
      <c r="AI4599">
        <v>91.056241260088697</v>
      </c>
      <c r="AJ4599">
        <v>91.773384889727694</v>
      </c>
      <c r="AK4599">
        <v>60.248776285192598</v>
      </c>
      <c r="AL4599">
        <v>78.789869596235803</v>
      </c>
      <c r="AM4599">
        <v>94.527311870082301</v>
      </c>
      <c r="AN4599">
        <v>1.00000005254288</v>
      </c>
    </row>
    <row r="4600" spans="1:40" x14ac:dyDescent="0.25">
      <c r="A4600" t="str">
        <f>"20190304155153204"</f>
        <v>20190304155153204</v>
      </c>
      <c r="B4600" t="str">
        <f>"1551685913201553"</f>
        <v>1551685913201553</v>
      </c>
      <c r="C4600" t="s">
        <v>40</v>
      </c>
      <c r="D4600">
        <v>4.7689059999999897</v>
      </c>
      <c r="E4600">
        <v>0.51607349999999996</v>
      </c>
      <c r="F4600" t="s">
        <v>41</v>
      </c>
      <c r="G4600">
        <v>-362.10419999999999</v>
      </c>
      <c r="H4600" s="1">
        <v>-3.4452820000000002E-6</v>
      </c>
      <c r="I4600">
        <v>139.9008</v>
      </c>
      <c r="J4600">
        <v>-304.21960000000001</v>
      </c>
      <c r="K4600">
        <v>1.110619</v>
      </c>
      <c r="L4600">
        <v>141.62280000000001</v>
      </c>
      <c r="M4600">
        <v>-0.99990820000000002</v>
      </c>
      <c r="N4600">
        <v>-1.3446960000000001E-2</v>
      </c>
      <c r="O4600">
        <v>1.6864880000000001E-3</v>
      </c>
      <c r="P4600">
        <v>-0.98055650000000005</v>
      </c>
      <c r="Q4600">
        <v>0.1809587</v>
      </c>
      <c r="R4600">
        <v>-7.5914460000000003E-2</v>
      </c>
      <c r="S4600">
        <v>-3.0634459999999999</v>
      </c>
      <c r="T4600">
        <v>-5.8568950000000002E-2</v>
      </c>
      <c r="U4600">
        <v>-9.0789789999999995E-2</v>
      </c>
      <c r="V4600">
        <v>-7.7560889999999993E-2</v>
      </c>
      <c r="W4600">
        <v>0.1941291</v>
      </c>
      <c r="X4600">
        <v>0.97790500000000002</v>
      </c>
      <c r="Y4600">
        <v>-3.129958E-2</v>
      </c>
      <c r="Z4600">
        <v>-5.1920059999999895E-4</v>
      </c>
      <c r="AA4600">
        <v>0.99950989999999995</v>
      </c>
      <c r="AB4600">
        <v>25</v>
      </c>
      <c r="AC4600">
        <v>-57.884599999999899</v>
      </c>
      <c r="AD4600">
        <v>-1.1106224452819999</v>
      </c>
      <c r="AE4600">
        <v>-1.722</v>
      </c>
      <c r="AF4600">
        <v>-1.8189590276268199</v>
      </c>
      <c r="AG4600">
        <v>-1.1106224452819999</v>
      </c>
      <c r="AH4600">
        <v>57.8603317064048</v>
      </c>
      <c r="AI4600">
        <v>91.099108039871098</v>
      </c>
      <c r="AJ4600">
        <v>91.800618142612393</v>
      </c>
      <c r="AK4600">
        <v>57.899568904572497</v>
      </c>
      <c r="AL4600">
        <v>78.806147396963496</v>
      </c>
      <c r="AM4600">
        <v>94.534825337732499</v>
      </c>
      <c r="AN4600">
        <v>0.99999999407470097</v>
      </c>
    </row>
    <row r="4601" spans="1:40" x14ac:dyDescent="0.25">
      <c r="A4601" t="str">
        <f>"20190304155153226"</f>
        <v>20190304155153226</v>
      </c>
      <c r="B4601" t="str">
        <f>"1551685913221072"</f>
        <v>1551685913221072</v>
      </c>
      <c r="C4601" t="s">
        <v>40</v>
      </c>
      <c r="D4601">
        <v>4.7972549999999998</v>
      </c>
      <c r="E4601">
        <v>0.51616070000000003</v>
      </c>
      <c r="F4601" t="s">
        <v>41</v>
      </c>
      <c r="G4601">
        <v>-362.36649999999997</v>
      </c>
      <c r="H4601" s="1">
        <v>-3.3374739999999999E-6</v>
      </c>
      <c r="I4601">
        <v>139.91849999999999</v>
      </c>
      <c r="J4601">
        <v>-304.47129999999999</v>
      </c>
      <c r="K4601">
        <v>1.1106180000000001</v>
      </c>
      <c r="L4601">
        <v>141.6233</v>
      </c>
      <c r="M4601">
        <v>-0.99990769999999995</v>
      </c>
      <c r="N4601">
        <v>-1.3483709999999999E-2</v>
      </c>
      <c r="O4601">
        <v>1.6860620000000001E-3</v>
      </c>
      <c r="P4601">
        <v>-0.98063929999999999</v>
      </c>
      <c r="Q4601">
        <v>0.18046119999999999</v>
      </c>
      <c r="R4601">
        <v>-7.6031879999999996E-2</v>
      </c>
      <c r="S4601">
        <v>-3.0632929999999998</v>
      </c>
      <c r="T4601">
        <v>-5.8509829999999999E-2</v>
      </c>
      <c r="U4601">
        <v>-8.9782710000000002E-2</v>
      </c>
      <c r="V4601">
        <v>-7.7678140000000007E-2</v>
      </c>
      <c r="W4601">
        <v>0.1936688</v>
      </c>
      <c r="X4601">
        <v>0.97798700000000005</v>
      </c>
      <c r="Y4601">
        <v>-3.0972420000000001E-2</v>
      </c>
      <c r="Z4601">
        <v>-5.1406399999999995E-4</v>
      </c>
      <c r="AA4601">
        <v>0.99952010000000002</v>
      </c>
      <c r="AB4601">
        <v>25</v>
      </c>
      <c r="AC4601">
        <v>-57.895199999999903</v>
      </c>
      <c r="AD4601">
        <v>-1.1106213374739999</v>
      </c>
      <c r="AE4601">
        <v>-1.7048000000000001</v>
      </c>
      <c r="AF4601">
        <v>-1.8017588734943899</v>
      </c>
      <c r="AG4601">
        <v>-1.1106213374739999</v>
      </c>
      <c r="AH4601">
        <v>57.870965012203001</v>
      </c>
      <c r="AI4601">
        <v>91.098915445769293</v>
      </c>
      <c r="AJ4601">
        <v>91.783274960513097</v>
      </c>
      <c r="AK4601">
        <v>57.909657279568599</v>
      </c>
      <c r="AL4601">
        <v>78.833031313342602</v>
      </c>
      <c r="AM4601">
        <v>94.541272840129395</v>
      </c>
      <c r="AN4601">
        <v>1.0000000348481399</v>
      </c>
    </row>
    <row r="4602" spans="1:40" x14ac:dyDescent="0.25">
      <c r="A4602" t="str">
        <f>"20190304155153251"</f>
        <v>20190304155153251</v>
      </c>
      <c r="B4602" t="str">
        <f>"1551685913241569"</f>
        <v>1551685913241569</v>
      </c>
      <c r="C4602" t="s">
        <v>40</v>
      </c>
      <c r="D4602">
        <v>4.7958990000000004</v>
      </c>
      <c r="E4602">
        <v>0.51616130000000005</v>
      </c>
      <c r="F4602" t="s">
        <v>41</v>
      </c>
      <c r="G4602">
        <v>-362.78309999999999</v>
      </c>
      <c r="H4602" s="1">
        <v>-3.159408E-6</v>
      </c>
      <c r="I4602">
        <v>139.92089999999999</v>
      </c>
      <c r="J4602">
        <v>-304.74349999999998</v>
      </c>
      <c r="K4602">
        <v>1.1106229999999999</v>
      </c>
      <c r="L4602">
        <v>141.62370000000001</v>
      </c>
      <c r="M4602">
        <v>-0.99990730000000005</v>
      </c>
      <c r="N4602">
        <v>-1.3517680000000001E-2</v>
      </c>
      <c r="O4602">
        <v>1.6858330000000001E-3</v>
      </c>
      <c r="P4602">
        <v>-0.98069360000000005</v>
      </c>
      <c r="Q4602">
        <v>0.1801054</v>
      </c>
      <c r="R4602">
        <v>-7.6173539999999998E-2</v>
      </c>
      <c r="S4602">
        <v>-3.0630190000000002</v>
      </c>
      <c r="T4602">
        <v>-5.8339120000000001E-2</v>
      </c>
      <c r="U4602">
        <v>-8.9416499999999996E-2</v>
      </c>
      <c r="V4602">
        <v>-7.7819349999999995E-2</v>
      </c>
      <c r="W4602">
        <v>0.19334689999999999</v>
      </c>
      <c r="X4602">
        <v>0.9780394</v>
      </c>
      <c r="Y4602">
        <v>-3.0855489999999999E-2</v>
      </c>
      <c r="Z4602">
        <v>-5.1170090000000001E-4</v>
      </c>
      <c r="AA4602">
        <v>0.99952370000000001</v>
      </c>
      <c r="AB4602">
        <v>25</v>
      </c>
      <c r="AC4602">
        <v>-58.0396</v>
      </c>
      <c r="AD4602">
        <v>-1.110626159408</v>
      </c>
      <c r="AE4602">
        <v>-1.7028000000000201</v>
      </c>
      <c r="AF4602">
        <v>-1.7999930418306</v>
      </c>
      <c r="AG4602">
        <v>-1.110626159408</v>
      </c>
      <c r="AH4602">
        <v>58.015421168054502</v>
      </c>
      <c r="AI4602">
        <v>91.096188289056599</v>
      </c>
      <c r="AJ4602">
        <v>91.777095282146306</v>
      </c>
      <c r="AK4602">
        <v>58.053962472197803</v>
      </c>
      <c r="AL4602">
        <v>78.851829430382494</v>
      </c>
      <c r="AM4602">
        <v>94.549251007751806</v>
      </c>
      <c r="AN4602">
        <v>0.99999997146319497</v>
      </c>
    </row>
    <row r="4603" spans="1:40" x14ac:dyDescent="0.25">
      <c r="A4603" t="str">
        <f>"20190304155153272"</f>
        <v>20190304155153272</v>
      </c>
      <c r="B4603" t="str">
        <f>"1551685913261088"</f>
        <v>1551685913261088</v>
      </c>
      <c r="C4603" t="s">
        <v>40</v>
      </c>
      <c r="D4603">
        <v>4.7784839999999997</v>
      </c>
      <c r="E4603">
        <v>0.51636870000000001</v>
      </c>
      <c r="F4603" t="s">
        <v>41</v>
      </c>
      <c r="G4603">
        <v>-361.11939999999998</v>
      </c>
      <c r="H4603" s="1">
        <v>-3.8854360000000002E-6</v>
      </c>
      <c r="I4603">
        <v>139.96729999999999</v>
      </c>
      <c r="J4603">
        <v>-304.99430000000001</v>
      </c>
      <c r="K4603">
        <v>1.1106149999999999</v>
      </c>
      <c r="L4603">
        <v>141.6242</v>
      </c>
      <c r="M4603">
        <v>-0.99990679999999998</v>
      </c>
      <c r="N4603">
        <v>-1.35446E-2</v>
      </c>
      <c r="O4603">
        <v>1.6854719999999999E-3</v>
      </c>
      <c r="P4603">
        <v>-0.98068750000000005</v>
      </c>
      <c r="Q4603">
        <v>0.17972179999999999</v>
      </c>
      <c r="R4603">
        <v>-7.7151780000000003E-2</v>
      </c>
      <c r="S4603">
        <v>-3.06311</v>
      </c>
      <c r="T4603">
        <v>-6.0344460000000003E-2</v>
      </c>
      <c r="U4603">
        <v>-8.9996339999999994E-2</v>
      </c>
      <c r="V4603">
        <v>-7.8797339999999993E-2</v>
      </c>
      <c r="W4603">
        <v>0.19298989999999999</v>
      </c>
      <c r="X4603">
        <v>0.9780316</v>
      </c>
      <c r="Y4603">
        <v>-3.1042699999999999E-2</v>
      </c>
      <c r="Z4603">
        <v>-5.2637069999999998E-4</v>
      </c>
      <c r="AA4603">
        <v>0.99951789999999996</v>
      </c>
      <c r="AB4603">
        <v>25</v>
      </c>
      <c r="AC4603">
        <v>-56.125099999999897</v>
      </c>
      <c r="AD4603">
        <v>-1.110618885436</v>
      </c>
      <c r="AE4603">
        <v>-1.6569</v>
      </c>
      <c r="AF4603">
        <v>-1.7508186322800301</v>
      </c>
      <c r="AG4603">
        <v>-1.110618885436</v>
      </c>
      <c r="AH4603">
        <v>56.100278966320701</v>
      </c>
      <c r="AI4603">
        <v>91.133586326399893</v>
      </c>
      <c r="AJ4603">
        <v>91.787548491919097</v>
      </c>
      <c r="AK4603">
        <v>56.138579785124897</v>
      </c>
      <c r="AL4603">
        <v>78.872676612726707</v>
      </c>
      <c r="AM4603">
        <v>94.606215519632102</v>
      </c>
      <c r="AN4603">
        <v>0.99999996644582201</v>
      </c>
    </row>
    <row r="4604" spans="1:40" x14ac:dyDescent="0.25">
      <c r="A4604" t="str">
        <f>"20190304155153353"</f>
        <v>20190304155153353</v>
      </c>
      <c r="B4604" t="str">
        <f>"1551685913351856"</f>
        <v>1551685913351856</v>
      </c>
      <c r="C4604" t="s">
        <v>40</v>
      </c>
      <c r="D4604">
        <v>4.4212939999999996</v>
      </c>
      <c r="E4604">
        <v>0.5337539</v>
      </c>
      <c r="F4604" t="s">
        <v>41</v>
      </c>
      <c r="G4604">
        <v>-361.33659999999998</v>
      </c>
      <c r="H4604" s="1">
        <v>-3.7880040000000001E-6</v>
      </c>
      <c r="I4604">
        <v>139.9512</v>
      </c>
      <c r="J4604">
        <v>-305.90170000000001</v>
      </c>
      <c r="K4604">
        <v>1.11063</v>
      </c>
      <c r="L4604">
        <v>141.62569999999999</v>
      </c>
      <c r="M4604">
        <v>-0.99990599999999996</v>
      </c>
      <c r="N4604">
        <v>-1.361297E-2</v>
      </c>
      <c r="O4604">
        <v>1.684353E-3</v>
      </c>
      <c r="P4604">
        <v>-0.98090270000000002</v>
      </c>
      <c r="Q4604">
        <v>0.1777686</v>
      </c>
      <c r="R4604">
        <v>-7.8919909999999996E-2</v>
      </c>
      <c r="S4604">
        <v>-3.0629580000000001</v>
      </c>
      <c r="T4604">
        <v>-6.0377E-2</v>
      </c>
      <c r="U4604">
        <v>-9.0942380000000003E-2</v>
      </c>
      <c r="V4604">
        <v>-8.0565120000000004E-2</v>
      </c>
      <c r="W4604">
        <v>0.19110640000000001</v>
      </c>
      <c r="X4604">
        <v>0.97825740000000005</v>
      </c>
      <c r="Y4604">
        <v>-3.1351360000000002E-2</v>
      </c>
      <c r="Z4604">
        <v>-5.3265270000000002E-4</v>
      </c>
      <c r="AA4604">
        <v>0.99950830000000002</v>
      </c>
      <c r="AB4604">
        <v>25</v>
      </c>
      <c r="AC4604">
        <v>-55.434899999999899</v>
      </c>
      <c r="AD4604">
        <v>-1.110633788004</v>
      </c>
      <c r="AE4604">
        <v>-1.6744999999999901</v>
      </c>
      <c r="AF4604">
        <v>-1.76716951795411</v>
      </c>
      <c r="AG4604">
        <v>-1.110633788004</v>
      </c>
      <c r="AH4604">
        <v>55.4097795390649</v>
      </c>
      <c r="AI4604">
        <v>91.147699629914499</v>
      </c>
      <c r="AJ4604">
        <v>91.826700046111895</v>
      </c>
      <c r="AK4604">
        <v>55.449076314074198</v>
      </c>
      <c r="AL4604">
        <v>78.9826401651178</v>
      </c>
      <c r="AM4604">
        <v>94.708011985178302</v>
      </c>
      <c r="AN4604">
        <v>0.99999996766816601</v>
      </c>
    </row>
    <row r="4605" spans="1:40" x14ac:dyDescent="0.25">
      <c r="A4605" t="str">
        <f>"20190304155153373"</f>
        <v>20190304155153373</v>
      </c>
      <c r="B4605" t="str">
        <f>"1551685913361618"</f>
        <v>1551685913361618</v>
      </c>
      <c r="C4605" t="s">
        <v>40</v>
      </c>
      <c r="D4605">
        <v>4.7534839999999896</v>
      </c>
      <c r="E4605">
        <v>0.54097229999999996</v>
      </c>
      <c r="F4605" t="s">
        <v>51</v>
      </c>
      <c r="G4605">
        <v>-306.79570000000001</v>
      </c>
      <c r="H4605">
        <v>1.044548</v>
      </c>
      <c r="I4605">
        <v>141.6388</v>
      </c>
      <c r="J4605">
        <v>-306.11939999999998</v>
      </c>
      <c r="K4605">
        <v>1.110622</v>
      </c>
      <c r="L4605">
        <v>141.62610000000001</v>
      </c>
      <c r="M4605">
        <v>-0.99990570000000001</v>
      </c>
      <c r="N4605">
        <v>-1.362404E-2</v>
      </c>
      <c r="O4605">
        <v>1.6842770000000001E-3</v>
      </c>
      <c r="P4605">
        <v>-0.98116879999999995</v>
      </c>
      <c r="Q4605">
        <v>0.17626939999999999</v>
      </c>
      <c r="R4605">
        <v>-7.8972699999999896E-2</v>
      </c>
      <c r="S4605">
        <v>-3.1035460000000001</v>
      </c>
      <c r="T4605">
        <v>-0.22947970000000001</v>
      </c>
      <c r="U4605">
        <v>4.4418329999999999E-2</v>
      </c>
      <c r="V4605">
        <v>-8.0618609999999993E-2</v>
      </c>
      <c r="W4605">
        <v>0.18962200000000001</v>
      </c>
      <c r="X4605">
        <v>0.97854189999999996</v>
      </c>
      <c r="Y4605">
        <v>1.2588719999999999E-2</v>
      </c>
      <c r="Z4605">
        <v>4.4921570000000001E-4</v>
      </c>
      <c r="AA4605">
        <v>0.9999207</v>
      </c>
      <c r="AB4605">
        <v>25</v>
      </c>
      <c r="AC4605">
        <v>-0.67630000000002599</v>
      </c>
      <c r="AD4605">
        <v>-6.6073999999999897E-2</v>
      </c>
      <c r="AE4605">
        <v>1.26999999999952E-2</v>
      </c>
      <c r="AF4605">
        <v>1.1451531667676E-2</v>
      </c>
      <c r="AG4605">
        <v>-6.6073999999999897E-2</v>
      </c>
      <c r="AH4605">
        <v>0.66992812749190001</v>
      </c>
      <c r="AI4605">
        <v>95.631961492151305</v>
      </c>
      <c r="AJ4605">
        <v>89.020700112934804</v>
      </c>
      <c r="AK4605">
        <v>0.67327602590493196</v>
      </c>
      <c r="AL4605">
        <v>79.069275247365795</v>
      </c>
      <c r="AM4605">
        <v>94.709760190376798</v>
      </c>
      <c r="AN4605">
        <v>1.00000005660896</v>
      </c>
    </row>
    <row r="4606" spans="1:40" x14ac:dyDescent="0.25">
      <c r="A4606" t="str">
        <f>"20190304155153395"</f>
        <v>20190304155153395</v>
      </c>
      <c r="B4606" t="str">
        <f>"1551685913391872"</f>
        <v>1551685913391872</v>
      </c>
      <c r="C4606" t="s">
        <v>40</v>
      </c>
      <c r="D4606">
        <v>4.8143989999999999</v>
      </c>
      <c r="E4606">
        <v>0.545792099999999</v>
      </c>
      <c r="F4606" t="s">
        <v>51</v>
      </c>
      <c r="G4606">
        <v>-307.01369999999997</v>
      </c>
      <c r="H4606">
        <v>1.0404139999999999</v>
      </c>
      <c r="I4606">
        <v>141.65549999999999</v>
      </c>
      <c r="J4606">
        <v>-306.36660000000001</v>
      </c>
      <c r="K4606">
        <v>1.110616</v>
      </c>
      <c r="L4606">
        <v>141.62649999999999</v>
      </c>
      <c r="M4606">
        <v>-0.99990559999999995</v>
      </c>
      <c r="N4606">
        <v>-1.363287E-2</v>
      </c>
      <c r="O4606">
        <v>1.684039E-3</v>
      </c>
      <c r="P4606">
        <v>-0.981406</v>
      </c>
      <c r="Q4606">
        <v>0.1752205</v>
      </c>
      <c r="R4606">
        <v>-7.8359310000000001E-2</v>
      </c>
      <c r="S4606">
        <v>-3.10968</v>
      </c>
      <c r="T4606">
        <v>-0.24415400000000001</v>
      </c>
      <c r="U4606">
        <v>0.10226440000000001</v>
      </c>
      <c r="V4606">
        <v>-8.0004950000000005E-2</v>
      </c>
      <c r="W4606">
        <v>0.1885848</v>
      </c>
      <c r="X4606">
        <v>0.97879260000000001</v>
      </c>
      <c r="Y4606">
        <v>3.1076070000000001E-2</v>
      </c>
      <c r="Z4606">
        <v>1.3209739999999999E-3</v>
      </c>
      <c r="AA4606">
        <v>0.99951610000000002</v>
      </c>
      <c r="AB4606">
        <v>25</v>
      </c>
      <c r="AC4606">
        <v>-0.64709999999996604</v>
      </c>
      <c r="AD4606">
        <v>-7.0202000000000098E-2</v>
      </c>
      <c r="AE4606">
        <v>2.89999999999963E-2</v>
      </c>
      <c r="AF4606">
        <v>2.7586093519001102E-2</v>
      </c>
      <c r="AG4606">
        <v>-7.0202000000000098E-2</v>
      </c>
      <c r="AH4606">
        <v>0.639634862681285</v>
      </c>
      <c r="AI4606">
        <v>96.257558301481396</v>
      </c>
      <c r="AJ4606">
        <v>87.530485035099304</v>
      </c>
      <c r="AK4606">
        <v>0.64406682177934405</v>
      </c>
      <c r="AL4606">
        <v>79.129793591570206</v>
      </c>
      <c r="AM4606">
        <v>94.672877584929395</v>
      </c>
      <c r="AN4606">
        <v>0.99999998631515097</v>
      </c>
    </row>
    <row r="4607" spans="1:40" x14ac:dyDescent="0.25">
      <c r="A4607" t="str">
        <f>"20190304155153418"</f>
        <v>20190304155153418</v>
      </c>
      <c r="B4607" t="str">
        <f>"1551685913411393"</f>
        <v>1551685913411393</v>
      </c>
      <c r="C4607" t="s">
        <v>40</v>
      </c>
      <c r="D4607">
        <v>4.7341810000000004</v>
      </c>
      <c r="E4607">
        <v>0.54377219999999904</v>
      </c>
      <c r="F4607" t="s">
        <v>41</v>
      </c>
      <c r="G4607">
        <v>-326.4914</v>
      </c>
      <c r="H4607" s="1">
        <v>-2.266122E-6</v>
      </c>
      <c r="I4607">
        <v>142.5427</v>
      </c>
      <c r="J4607">
        <v>-306.62049999999999</v>
      </c>
      <c r="K4607">
        <v>1.1106119999999999</v>
      </c>
      <c r="L4607">
        <v>141.62690000000001</v>
      </c>
      <c r="M4607">
        <v>-0.99990579999999996</v>
      </c>
      <c r="N4607">
        <v>-1.363194E-2</v>
      </c>
      <c r="O4607">
        <v>1.6835680000000001E-3</v>
      </c>
      <c r="P4607">
        <v>-0.98166109999999895</v>
      </c>
      <c r="Q4607">
        <v>0.17389839999999901</v>
      </c>
      <c r="R4607">
        <v>-7.8108469999999999E-2</v>
      </c>
      <c r="S4607">
        <v>-3.0986020000000001</v>
      </c>
      <c r="T4607">
        <v>-0.1710014</v>
      </c>
      <c r="U4607">
        <v>0.14108280000000001</v>
      </c>
      <c r="V4607">
        <v>-7.9753809999999994E-2</v>
      </c>
      <c r="W4607">
        <v>0.1872655</v>
      </c>
      <c r="X4607">
        <v>0.9790664</v>
      </c>
      <c r="Y4607">
        <v>4.3720540000000002E-2</v>
      </c>
      <c r="Z4607">
        <v>1.4334389999999999E-3</v>
      </c>
      <c r="AA4607">
        <v>0.99904269999999995</v>
      </c>
      <c r="AB4607">
        <v>25</v>
      </c>
      <c r="AC4607">
        <v>-19.870899999999999</v>
      </c>
      <c r="AD4607">
        <v>-1.110614266122</v>
      </c>
      <c r="AE4607">
        <v>0.91579999999998996</v>
      </c>
      <c r="AF4607">
        <v>0.87959966496166597</v>
      </c>
      <c r="AG4607">
        <v>-1.110614266122</v>
      </c>
      <c r="AH4607">
        <v>19.8106592527452</v>
      </c>
      <c r="AI4607">
        <v>93.205574124125306</v>
      </c>
      <c r="AJ4607">
        <v>87.457718627569506</v>
      </c>
      <c r="AK4607">
        <v>19.8612532244844</v>
      </c>
      <c r="AL4607">
        <v>79.206755557847302</v>
      </c>
      <c r="AM4607">
        <v>94.656976841410497</v>
      </c>
      <c r="AN4607">
        <v>1.0000000266543601</v>
      </c>
    </row>
    <row r="4608" spans="1:40" x14ac:dyDescent="0.25">
      <c r="A4608" t="str">
        <f>"20190304155153439"</f>
        <v>20190304155153439</v>
      </c>
      <c r="B4608" t="str">
        <f>"1551685913431888"</f>
        <v>1551685913431888</v>
      </c>
      <c r="C4608" t="s">
        <v>40</v>
      </c>
      <c r="D4608">
        <v>4.7441449999999996</v>
      </c>
      <c r="E4608">
        <v>0.54040059999999901</v>
      </c>
      <c r="F4608" t="s">
        <v>41</v>
      </c>
      <c r="G4608">
        <v>-332.98700000000002</v>
      </c>
      <c r="H4608" s="1">
        <v>-4.1101629999999997E-6</v>
      </c>
      <c r="I4608">
        <v>142.69399999999999</v>
      </c>
      <c r="J4608">
        <v>-306.86329999999998</v>
      </c>
      <c r="K4608">
        <v>1.110608</v>
      </c>
      <c r="L4608">
        <v>141.62729999999999</v>
      </c>
      <c r="M4608">
        <v>-0.99990590000000001</v>
      </c>
      <c r="N4608">
        <v>-1.3621279999999999E-2</v>
      </c>
      <c r="O4608">
        <v>1.6832829999999901E-3</v>
      </c>
      <c r="P4608">
        <v>-0.98189139999999997</v>
      </c>
      <c r="Q4608">
        <v>0.17287810000000001</v>
      </c>
      <c r="R4608">
        <v>-7.7477770000000001E-2</v>
      </c>
      <c r="S4608">
        <v>-3.0890499999999999</v>
      </c>
      <c r="T4608">
        <v>-0.13011789999999901</v>
      </c>
      <c r="U4608">
        <v>0.1250153</v>
      </c>
      <c r="V4608">
        <v>-7.9123390000000002E-2</v>
      </c>
      <c r="W4608">
        <v>0.18623780000000001</v>
      </c>
      <c r="X4608">
        <v>0.97931360000000001</v>
      </c>
      <c r="Y4608">
        <v>3.8710540000000002E-2</v>
      </c>
      <c r="Z4608">
        <v>1.0305830000000001E-3</v>
      </c>
      <c r="AA4608">
        <v>0.99924990000000002</v>
      </c>
      <c r="AB4608">
        <v>25</v>
      </c>
      <c r="AC4608">
        <v>-26.1236999999999</v>
      </c>
      <c r="AD4608">
        <v>-1.110612110163</v>
      </c>
      <c r="AE4608">
        <v>1.06669999999999</v>
      </c>
      <c r="AF4608">
        <v>1.02087876251474</v>
      </c>
      <c r="AG4608">
        <v>-1.110612110163</v>
      </c>
      <c r="AH4608">
        <v>26.078402932967101</v>
      </c>
      <c r="AI4608">
        <v>92.436742186358799</v>
      </c>
      <c r="AJ4608">
        <v>87.758214206393603</v>
      </c>
      <c r="AK4608">
        <v>26.1219974780104</v>
      </c>
      <c r="AL4608">
        <v>79.266693458483104</v>
      </c>
      <c r="AM4608">
        <v>94.619164202020499</v>
      </c>
      <c r="AN4608">
        <v>1.00000007806944</v>
      </c>
    </row>
    <row r="4609" spans="1:40" x14ac:dyDescent="0.25">
      <c r="A4609" t="str">
        <f>"20190304155153463"</f>
        <v>20190304155153463</v>
      </c>
      <c r="B4609" t="str">
        <f>"1551685913451408"</f>
        <v>1551685913451408</v>
      </c>
      <c r="C4609" t="s">
        <v>40</v>
      </c>
      <c r="D4609">
        <v>4.7770910000000004</v>
      </c>
      <c r="E4609">
        <v>0.53817499999999996</v>
      </c>
      <c r="F4609" t="s">
        <v>41</v>
      </c>
      <c r="G4609">
        <v>-335.73250000000002</v>
      </c>
      <c r="H4609" s="1">
        <v>-2.7809400000000002E-6</v>
      </c>
      <c r="I4609">
        <v>142.5599</v>
      </c>
      <c r="J4609">
        <v>-307.125</v>
      </c>
      <c r="K4609">
        <v>1.1105969999999901</v>
      </c>
      <c r="L4609">
        <v>141.62780000000001</v>
      </c>
      <c r="M4609">
        <v>-0.99990610000000002</v>
      </c>
      <c r="N4609">
        <v>-1.360627E-2</v>
      </c>
      <c r="O4609">
        <v>1.683087E-3</v>
      </c>
      <c r="P4609">
        <v>-0.98202610000000001</v>
      </c>
      <c r="Q4609">
        <v>0.17232059999999999</v>
      </c>
      <c r="R4609">
        <v>-7.7011850000000007E-2</v>
      </c>
      <c r="S4609">
        <v>-3.0841059999999998</v>
      </c>
      <c r="T4609">
        <v>-0.1186465</v>
      </c>
      <c r="U4609">
        <v>9.9624630000000006E-2</v>
      </c>
      <c r="V4609">
        <v>-7.8657589999999999E-2</v>
      </c>
      <c r="W4609">
        <v>0.18566759999999999</v>
      </c>
      <c r="X4609">
        <v>0.97945930000000003</v>
      </c>
      <c r="Y4609">
        <v>3.0573260000000001E-2</v>
      </c>
      <c r="Z4609">
        <v>7.5405559999999999E-4</v>
      </c>
      <c r="AA4609">
        <v>0.99953219999999998</v>
      </c>
      <c r="AB4609">
        <v>25</v>
      </c>
      <c r="AC4609">
        <v>-28.607500000000002</v>
      </c>
      <c r="AD4609">
        <v>-1.1105997809399999</v>
      </c>
      <c r="AE4609">
        <v>0.93209999999999105</v>
      </c>
      <c r="AF4609">
        <v>0.88261649347951099</v>
      </c>
      <c r="AG4609">
        <v>-1.1105997809399999</v>
      </c>
      <c r="AH4609">
        <v>28.5660209138121</v>
      </c>
      <c r="AI4609">
        <v>92.225383178560904</v>
      </c>
      <c r="AJ4609">
        <v>88.230270954662103</v>
      </c>
      <c r="AK4609">
        <v>28.601223655577002</v>
      </c>
      <c r="AL4609">
        <v>79.299942557787602</v>
      </c>
      <c r="AM4609">
        <v>94.591407612625403</v>
      </c>
      <c r="AN4609">
        <v>0.99999999725542899</v>
      </c>
    </row>
    <row r="4610" spans="1:40" x14ac:dyDescent="0.25">
      <c r="A4610" t="str">
        <f>"20190304155153484"</f>
        <v>20190304155153484</v>
      </c>
      <c r="B4610" t="str">
        <f>"1551685913481665"</f>
        <v>1551685913481665</v>
      </c>
      <c r="C4610" t="s">
        <v>40</v>
      </c>
      <c r="D4610">
        <v>4.6895280000000001</v>
      </c>
      <c r="E4610">
        <v>0.53614090000000003</v>
      </c>
      <c r="F4610" t="s">
        <v>41</v>
      </c>
      <c r="G4610">
        <v>-338.17680000000001</v>
      </c>
      <c r="H4610" s="1">
        <v>-1.600087E-6</v>
      </c>
      <c r="I4610">
        <v>142.46430000000001</v>
      </c>
      <c r="J4610">
        <v>-307.3646</v>
      </c>
      <c r="K4610">
        <v>1.110592</v>
      </c>
      <c r="L4610">
        <v>141.62819999999999</v>
      </c>
      <c r="M4610">
        <v>-0.99990630000000003</v>
      </c>
      <c r="N4610">
        <v>-1.3593239999999999E-2</v>
      </c>
      <c r="O4610">
        <v>1.682818E-3</v>
      </c>
      <c r="P4610">
        <v>-0.98224429999999996</v>
      </c>
      <c r="Q4610">
        <v>0.17149729999999999</v>
      </c>
      <c r="R4610">
        <v>-7.6061539999999997E-2</v>
      </c>
      <c r="S4610">
        <v>-3.0807500000000001</v>
      </c>
      <c r="T4610">
        <v>-0.11018600000000001</v>
      </c>
      <c r="U4610">
        <v>8.2992549999999998E-2</v>
      </c>
      <c r="V4610">
        <v>-7.7707390000000001E-2</v>
      </c>
      <c r="W4610">
        <v>0.18483440000000001</v>
      </c>
      <c r="X4610">
        <v>0.97969269999999997</v>
      </c>
      <c r="Y4610">
        <v>2.5225069999999999E-2</v>
      </c>
      <c r="Z4610">
        <v>5.8514370000000001E-4</v>
      </c>
      <c r="AA4610">
        <v>0.99968170000000001</v>
      </c>
      <c r="AB4610">
        <v>25</v>
      </c>
      <c r="AC4610">
        <v>-30.812200000000001</v>
      </c>
      <c r="AD4610">
        <v>-1.110593600087</v>
      </c>
      <c r="AE4610">
        <v>0.83610000000001505</v>
      </c>
      <c r="AF4610">
        <v>0.783225913231551</v>
      </c>
      <c r="AG4610">
        <v>-1.110593600087</v>
      </c>
      <c r="AH4610">
        <v>30.773612858078099</v>
      </c>
      <c r="AI4610">
        <v>92.066190597399896</v>
      </c>
      <c r="AJ4610">
        <v>88.542067400039898</v>
      </c>
      <c r="AK4610">
        <v>30.803605459663</v>
      </c>
      <c r="AL4610">
        <v>79.348522181037595</v>
      </c>
      <c r="AM4610">
        <v>94.535099164512104</v>
      </c>
      <c r="AN4610">
        <v>0.99999999015863095</v>
      </c>
    </row>
    <row r="4611" spans="1:40" x14ac:dyDescent="0.25">
      <c r="A4611" t="str">
        <f>"20190304155153505"</f>
        <v>20190304155153505</v>
      </c>
      <c r="B4611" t="str">
        <f>"1551685913501185"</f>
        <v>1551685913501185</v>
      </c>
      <c r="C4611" t="s">
        <v>40</v>
      </c>
      <c r="D4611">
        <v>4.7977740000000004</v>
      </c>
      <c r="E4611">
        <v>0.53515659999999998</v>
      </c>
      <c r="F4611" t="s">
        <v>41</v>
      </c>
      <c r="G4611">
        <v>-339.84179999999998</v>
      </c>
      <c r="H4611" s="1">
        <v>-7.8594179999999997E-7</v>
      </c>
      <c r="I4611">
        <v>142.36250000000001</v>
      </c>
      <c r="J4611">
        <v>-307.59660000000002</v>
      </c>
      <c r="K4611">
        <v>1.110587</v>
      </c>
      <c r="L4611">
        <v>141.62860000000001</v>
      </c>
      <c r="M4611">
        <v>-0.99990639999999997</v>
      </c>
      <c r="N4611">
        <v>-1.3580989999999999E-2</v>
      </c>
      <c r="O4611">
        <v>1.682544E-3</v>
      </c>
      <c r="P4611">
        <v>-0.98237039999999998</v>
      </c>
      <c r="Q4611">
        <v>0.1709531</v>
      </c>
      <c r="R4611">
        <v>-7.5653970000000001E-2</v>
      </c>
      <c r="S4611">
        <v>-3.0779719999999999</v>
      </c>
      <c r="T4611">
        <v>-0.1052545</v>
      </c>
      <c r="U4611">
        <v>6.9595340000000006E-2</v>
      </c>
      <c r="V4611">
        <v>-7.7299800000000002E-2</v>
      </c>
      <c r="W4611">
        <v>0.18428050000000001</v>
      </c>
      <c r="X4611">
        <v>0.97982930000000001</v>
      </c>
      <c r="Y4611">
        <v>2.0905989999999999E-2</v>
      </c>
      <c r="Z4611">
        <v>4.646788E-4</v>
      </c>
      <c r="AA4611">
        <v>0.99978129999999998</v>
      </c>
      <c r="AB4611">
        <v>25</v>
      </c>
      <c r="AC4611">
        <v>-32.245199999999897</v>
      </c>
      <c r="AD4611">
        <v>-1.1105877859418001</v>
      </c>
      <c r="AE4611">
        <v>0.73390000000000499</v>
      </c>
      <c r="AF4611">
        <v>0.67883514120295196</v>
      </c>
      <c r="AG4611">
        <v>-1.1105877859418001</v>
      </c>
      <c r="AH4611">
        <v>32.208202135756302</v>
      </c>
      <c r="AI4611">
        <v>91.974425021452404</v>
      </c>
      <c r="AJ4611">
        <v>88.792586100977999</v>
      </c>
      <c r="AK4611">
        <v>32.234492507203399</v>
      </c>
      <c r="AL4611">
        <v>79.380813222077094</v>
      </c>
      <c r="AM4611">
        <v>94.510783814121098</v>
      </c>
      <c r="AN4611">
        <v>1.0000000094493899</v>
      </c>
    </row>
    <row r="4612" spans="1:40" x14ac:dyDescent="0.25">
      <c r="A4612" t="str">
        <f>"20190304155153529"</f>
        <v>20190304155153529</v>
      </c>
      <c r="B4612" t="str">
        <f>"1551685913521685"</f>
        <v>1551685913521685</v>
      </c>
      <c r="C4612" t="s">
        <v>40</v>
      </c>
      <c r="D4612">
        <v>4.7814389999999998</v>
      </c>
      <c r="E4612">
        <v>0.53463400000000005</v>
      </c>
      <c r="F4612" t="s">
        <v>41</v>
      </c>
      <c r="G4612">
        <v>-341.56009999999998</v>
      </c>
      <c r="H4612" s="1">
        <v>-4.2255649999999999E-6</v>
      </c>
      <c r="I4612">
        <v>142.32490000000001</v>
      </c>
      <c r="J4612">
        <v>-307.86009999999999</v>
      </c>
      <c r="K4612">
        <v>1.110589</v>
      </c>
      <c r="L4612">
        <v>141.62899999999999</v>
      </c>
      <c r="M4612">
        <v>-0.99990650000000003</v>
      </c>
      <c r="N4612">
        <v>-1.356692E-2</v>
      </c>
      <c r="O4612">
        <v>1.681983E-3</v>
      </c>
      <c r="P4612">
        <v>-0.982541</v>
      </c>
      <c r="Q4612">
        <v>0.16998269999999999</v>
      </c>
      <c r="R4612">
        <v>-7.5626230000000003E-2</v>
      </c>
      <c r="S4612">
        <v>-3.0762019999999999</v>
      </c>
      <c r="T4612">
        <v>-0.1005906</v>
      </c>
      <c r="U4612">
        <v>6.3079830000000003E-2</v>
      </c>
      <c r="V4612">
        <v>-7.7271709999999993E-2</v>
      </c>
      <c r="W4612">
        <v>0.18329809999999999</v>
      </c>
      <c r="X4612">
        <v>0.98001579999999999</v>
      </c>
      <c r="Y4612">
        <v>1.8805720000000001E-2</v>
      </c>
      <c r="Z4612">
        <v>4.0282579999999999E-4</v>
      </c>
      <c r="AA4612">
        <v>0.99982309999999996</v>
      </c>
      <c r="AB4612">
        <v>25</v>
      </c>
      <c r="AC4612">
        <v>-33.699999999999903</v>
      </c>
      <c r="AD4612">
        <v>-1.110593225565</v>
      </c>
      <c r="AE4612">
        <v>0.69590000000002294</v>
      </c>
      <c r="AF4612">
        <v>0.63851780085863197</v>
      </c>
      <c r="AG4612">
        <v>-1.110593225565</v>
      </c>
      <c r="AH4612">
        <v>33.664577055798297</v>
      </c>
      <c r="AI4612">
        <v>91.8891609643712</v>
      </c>
      <c r="AJ4612">
        <v>88.913398230010898</v>
      </c>
      <c r="AK4612">
        <v>33.688942854302603</v>
      </c>
      <c r="AL4612">
        <v>79.438076352344893</v>
      </c>
      <c r="AM4612">
        <v>94.508296832525303</v>
      </c>
      <c r="AN4612">
        <v>1.0000000394397801</v>
      </c>
    </row>
    <row r="4613" spans="1:40" x14ac:dyDescent="0.25">
      <c r="A4613" t="str">
        <f>"20190304155153550"</f>
        <v>20190304155153550</v>
      </c>
      <c r="B4613" t="str">
        <f>"1551685913541201"</f>
        <v>1551685913541201</v>
      </c>
      <c r="C4613" t="s">
        <v>40</v>
      </c>
      <c r="D4613">
        <v>4.7534039999999997</v>
      </c>
      <c r="E4613">
        <v>0.53395459999999995</v>
      </c>
      <c r="F4613" t="s">
        <v>41</v>
      </c>
      <c r="G4613">
        <v>-342.07889999999998</v>
      </c>
      <c r="H4613" s="1">
        <v>-4.0422780000000001E-6</v>
      </c>
      <c r="I4613">
        <v>142.2869</v>
      </c>
      <c r="J4613">
        <v>-308.1096</v>
      </c>
      <c r="K4613">
        <v>1.110587</v>
      </c>
      <c r="L4613">
        <v>141.62950000000001</v>
      </c>
      <c r="M4613">
        <v>-0.99990670000000004</v>
      </c>
      <c r="N4613">
        <v>-1.355394E-2</v>
      </c>
      <c r="O4613">
        <v>1.6818929999999901E-3</v>
      </c>
      <c r="P4613">
        <v>-0.98253199999999996</v>
      </c>
      <c r="Q4613">
        <v>0.16985720000000001</v>
      </c>
      <c r="R4613">
        <v>-7.6023499999999994E-2</v>
      </c>
      <c r="S4613">
        <v>-3.0751339999999998</v>
      </c>
      <c r="T4613">
        <v>-9.980559E-2</v>
      </c>
      <c r="U4613">
        <v>5.9127810000000003E-2</v>
      </c>
      <c r="V4613">
        <v>-7.7669089999999996E-2</v>
      </c>
      <c r="W4613">
        <v>0.18315980000000001</v>
      </c>
      <c r="X4613">
        <v>0.98001020000000005</v>
      </c>
      <c r="Y4613">
        <v>1.7529610000000001E-2</v>
      </c>
      <c r="Z4613">
        <v>3.7144970000000001E-4</v>
      </c>
      <c r="AA4613">
        <v>0.99984629999999997</v>
      </c>
      <c r="AB4613">
        <v>25</v>
      </c>
      <c r="AC4613">
        <v>-33.969299999999897</v>
      </c>
      <c r="AD4613">
        <v>-1.1105910422779901</v>
      </c>
      <c r="AE4613">
        <v>0.65739999999999499</v>
      </c>
      <c r="AF4613">
        <v>0.59962040055213395</v>
      </c>
      <c r="AG4613">
        <v>-1.1105910422779901</v>
      </c>
      <c r="AH4613">
        <v>33.934099306730197</v>
      </c>
      <c r="AI4613">
        <v>91.874207807429599</v>
      </c>
      <c r="AJ4613">
        <v>88.987680711760703</v>
      </c>
      <c r="AK4613">
        <v>33.957562528058098</v>
      </c>
      <c r="AL4613">
        <v>79.446136356077801</v>
      </c>
      <c r="AM4613">
        <v>94.531410820625496</v>
      </c>
      <c r="AN4613">
        <v>0.99999999599075395</v>
      </c>
    </row>
    <row r="4614" spans="1:40" x14ac:dyDescent="0.25">
      <c r="A4614" t="str">
        <f>"20190304155153573"</f>
        <v>20190304155153573</v>
      </c>
      <c r="B4614" t="str">
        <f>"1551685913561696"</f>
        <v>1551685913561696</v>
      </c>
      <c r="C4614" t="s">
        <v>40</v>
      </c>
      <c r="D4614">
        <v>4.7354570000000002</v>
      </c>
      <c r="E4614">
        <v>0.53346569999999904</v>
      </c>
      <c r="F4614" t="s">
        <v>41</v>
      </c>
      <c r="G4614">
        <v>-344.12360000000001</v>
      </c>
      <c r="H4614" s="1">
        <v>-3.2026859999999999E-6</v>
      </c>
      <c r="I4614">
        <v>142.2449</v>
      </c>
      <c r="J4614">
        <v>-308.351</v>
      </c>
      <c r="K4614">
        <v>1.1105910000000001</v>
      </c>
      <c r="L4614">
        <v>141.62989999999999</v>
      </c>
      <c r="M4614">
        <v>-0.99990699999999999</v>
      </c>
      <c r="N4614">
        <v>-1.354228E-2</v>
      </c>
      <c r="O4614">
        <v>1.6814950000000001E-3</v>
      </c>
      <c r="P4614">
        <v>-0.98258719999999999</v>
      </c>
      <c r="Q4614">
        <v>0.1690934</v>
      </c>
      <c r="R4614">
        <v>-7.7006350000000001E-2</v>
      </c>
      <c r="S4614">
        <v>-3.0737920000000001</v>
      </c>
      <c r="T4614">
        <v>-9.4788910000000004E-2</v>
      </c>
      <c r="U4614">
        <v>5.2536010000000001E-2</v>
      </c>
      <c r="V4614">
        <v>-7.8651170000000006E-2</v>
      </c>
      <c r="W4614">
        <v>0.1823853</v>
      </c>
      <c r="X4614">
        <v>0.98007630000000001</v>
      </c>
      <c r="Y4614">
        <v>1.539739E-2</v>
      </c>
      <c r="Z4614">
        <v>3.1257339999999999E-4</v>
      </c>
      <c r="AA4614">
        <v>0.99988140000000003</v>
      </c>
      <c r="AB4614">
        <v>25</v>
      </c>
      <c r="AC4614">
        <v>-35.772599999999997</v>
      </c>
      <c r="AD4614">
        <v>-1.1105942026859901</v>
      </c>
      <c r="AE4614">
        <v>0.61500000000000898</v>
      </c>
      <c r="AF4614">
        <v>0.55430806044677305</v>
      </c>
      <c r="AG4614">
        <v>-1.1105942026859901</v>
      </c>
      <c r="AH4614">
        <v>35.7391466075495</v>
      </c>
      <c r="AI4614">
        <v>91.779680024995599</v>
      </c>
      <c r="AJ4614">
        <v>89.111423490451699</v>
      </c>
      <c r="AK4614">
        <v>35.760694584205602</v>
      </c>
      <c r="AL4614">
        <v>79.491272062175199</v>
      </c>
      <c r="AM4614">
        <v>94.5881565570822</v>
      </c>
      <c r="AN4614">
        <v>0.99999997901007398</v>
      </c>
    </row>
    <row r="4615" spans="1:40" x14ac:dyDescent="0.25">
      <c r="A4615" t="str">
        <f>"20190304155153595"</f>
        <v>20190304155153595</v>
      </c>
      <c r="B4615" t="str">
        <f>"1551685913591953"</f>
        <v>1551685913591953</v>
      </c>
      <c r="C4615" t="s">
        <v>40</v>
      </c>
      <c r="D4615">
        <v>4.7267539999999997</v>
      </c>
      <c r="E4615">
        <v>0.53278479999999995</v>
      </c>
      <c r="F4615" t="s">
        <v>41</v>
      </c>
      <c r="G4615">
        <v>-345.28890000000001</v>
      </c>
      <c r="H4615" s="1">
        <v>-2.6848800000000002E-6</v>
      </c>
      <c r="I4615">
        <v>142.17769999999999</v>
      </c>
      <c r="J4615">
        <v>-308.59649999999999</v>
      </c>
      <c r="K4615">
        <v>1.110587</v>
      </c>
      <c r="L4615">
        <v>141.63030000000001</v>
      </c>
      <c r="M4615">
        <v>-0.99990710000000005</v>
      </c>
      <c r="N4615">
        <v>-1.353146E-2</v>
      </c>
      <c r="O4615">
        <v>1.68121E-3</v>
      </c>
      <c r="P4615">
        <v>-0.98258559999999995</v>
      </c>
      <c r="Q4615">
        <v>0.16864460000000001</v>
      </c>
      <c r="R4615">
        <v>-7.8004110000000002E-2</v>
      </c>
      <c r="S4615">
        <v>-3.072632</v>
      </c>
      <c r="T4615">
        <v>-9.2383499999999993E-2</v>
      </c>
      <c r="U4615">
        <v>4.5578E-2</v>
      </c>
      <c r="V4615">
        <v>-7.9649230000000001E-2</v>
      </c>
      <c r="W4615">
        <v>0.1819258</v>
      </c>
      <c r="X4615">
        <v>0.98008110000000004</v>
      </c>
      <c r="Y4615">
        <v>1.3142320000000001E-2</v>
      </c>
      <c r="Z4615">
        <v>2.5868480000000002E-4</v>
      </c>
      <c r="AA4615">
        <v>0.99991359999999996</v>
      </c>
      <c r="AB4615">
        <v>25</v>
      </c>
      <c r="AC4615">
        <v>-36.692399999999999</v>
      </c>
      <c r="AD4615">
        <v>-1.1105896848799901</v>
      </c>
      <c r="AE4615">
        <v>0.54739999999998101</v>
      </c>
      <c r="AF4615">
        <v>0.48526149077356301</v>
      </c>
      <c r="AG4615">
        <v>-1.1105896848799901</v>
      </c>
      <c r="AH4615">
        <v>36.659691104738002</v>
      </c>
      <c r="AI4615">
        <v>91.735068553796495</v>
      </c>
      <c r="AJ4615">
        <v>89.241624496976399</v>
      </c>
      <c r="AK4615">
        <v>36.679719737988599</v>
      </c>
      <c r="AL4615">
        <v>79.518047438808594</v>
      </c>
      <c r="AM4615">
        <v>94.646102936252603</v>
      </c>
      <c r="AN4615">
        <v>0.999999979561221</v>
      </c>
    </row>
    <row r="4616" spans="1:40" x14ac:dyDescent="0.25">
      <c r="A4616" t="str">
        <f>"20190304155153619"</f>
        <v>20190304155153619</v>
      </c>
      <c r="B4616" t="str">
        <f>"1551685913611476"</f>
        <v>1551685913611476</v>
      </c>
      <c r="C4616" t="s">
        <v>40</v>
      </c>
      <c r="D4616">
        <v>4.9116369999999998</v>
      </c>
      <c r="E4616">
        <v>0.53041579999999999</v>
      </c>
      <c r="F4616" t="s">
        <v>41</v>
      </c>
      <c r="G4616">
        <v>-347.43579999999997</v>
      </c>
      <c r="H4616" s="1">
        <v>-1.7434070000000001E-6</v>
      </c>
      <c r="I4616">
        <v>142.10079999999999</v>
      </c>
      <c r="J4616">
        <v>-308.85700000000003</v>
      </c>
      <c r="K4616">
        <v>1.1105879999999999</v>
      </c>
      <c r="L4616">
        <v>141.63069999999999</v>
      </c>
      <c r="M4616">
        <v>-0.99990730000000005</v>
      </c>
      <c r="N4616">
        <v>-1.352098E-2</v>
      </c>
      <c r="O4616">
        <v>1.6811009999999999E-3</v>
      </c>
      <c r="P4616">
        <v>-0.98259529999999995</v>
      </c>
      <c r="Q4616">
        <v>0.1680432</v>
      </c>
      <c r="R4616">
        <v>-7.9173980000000005E-2</v>
      </c>
      <c r="S4616">
        <v>-3.0712280000000001</v>
      </c>
      <c r="T4616">
        <v>-8.7820170000000003E-2</v>
      </c>
      <c r="U4616">
        <v>3.7216190000000003E-2</v>
      </c>
      <c r="V4616">
        <v>-8.0818870000000001E-2</v>
      </c>
      <c r="W4616">
        <v>0.1813149</v>
      </c>
      <c r="X4616">
        <v>0.98009860000000004</v>
      </c>
      <c r="Y4616">
        <v>1.0429559999999999E-2</v>
      </c>
      <c r="Z4616">
        <v>1.9428349999999999E-4</v>
      </c>
      <c r="AA4616">
        <v>0.99994559999999999</v>
      </c>
      <c r="AB4616">
        <v>25</v>
      </c>
      <c r="AC4616">
        <v>-38.578799999999902</v>
      </c>
      <c r="AD4616">
        <v>-1.110589743407</v>
      </c>
      <c r="AE4616">
        <v>0.47010000000000202</v>
      </c>
      <c r="AF4616">
        <v>0.40490305237264201</v>
      </c>
      <c r="AG4616">
        <v>-1.110589743407</v>
      </c>
      <c r="AH4616">
        <v>38.547595261454603</v>
      </c>
      <c r="AI4616">
        <v>91.650193739374998</v>
      </c>
      <c r="AJ4616">
        <v>89.398188584938495</v>
      </c>
      <c r="AK4616">
        <v>38.5657160765996</v>
      </c>
      <c r="AL4616">
        <v>79.553641876646097</v>
      </c>
      <c r="AM4616">
        <v>94.713941372875595</v>
      </c>
      <c r="AN4616">
        <v>1.0000000242160201</v>
      </c>
    </row>
    <row r="4617" spans="1:40" x14ac:dyDescent="0.25">
      <c r="A4617" t="str">
        <f>"20190304155153639"</f>
        <v>20190304155153639</v>
      </c>
      <c r="B4617" t="str">
        <f>"1551685913631972"</f>
        <v>1551685913631972</v>
      </c>
      <c r="C4617" t="s">
        <v>40</v>
      </c>
      <c r="D4617">
        <v>4.7894670000000001</v>
      </c>
      <c r="E4617">
        <v>0.47021790000000002</v>
      </c>
      <c r="F4617" t="s">
        <v>41</v>
      </c>
      <c r="G4617">
        <v>-346.31319999999999</v>
      </c>
      <c r="H4617" s="1">
        <v>-2.148614E-6</v>
      </c>
      <c r="I4617">
        <v>141.81379999999999</v>
      </c>
      <c r="J4617">
        <v>-309.09339999999997</v>
      </c>
      <c r="K4617">
        <v>1.11059</v>
      </c>
      <c r="L4617">
        <v>141.6311</v>
      </c>
      <c r="M4617">
        <v>-0.99990730000000005</v>
      </c>
      <c r="N4617">
        <v>-1.351226E-2</v>
      </c>
      <c r="O4617">
        <v>1.680981E-3</v>
      </c>
      <c r="P4617">
        <v>-0.98260650000000005</v>
      </c>
      <c r="Q4617">
        <v>0.16748929999999901</v>
      </c>
      <c r="R4617">
        <v>-8.0196719999999999E-2</v>
      </c>
      <c r="S4617">
        <v>-3.0699459999999998</v>
      </c>
      <c r="T4617">
        <v>-9.102499E-2</v>
      </c>
      <c r="U4617">
        <v>1.5014649999999999E-2</v>
      </c>
      <c r="V4617">
        <v>-8.1841559999999994E-2</v>
      </c>
      <c r="W4617">
        <v>0.18075250000000001</v>
      </c>
      <c r="X4617">
        <v>0.98011760000000003</v>
      </c>
      <c r="Y4617">
        <v>3.2078369999999998E-3</v>
      </c>
      <c r="Z4617" s="1">
        <v>4.2108340000000001E-5</v>
      </c>
      <c r="AA4617">
        <v>0.99999490000000002</v>
      </c>
      <c r="AB4617">
        <v>25</v>
      </c>
      <c r="AC4617">
        <v>-37.219799999999999</v>
      </c>
      <c r="AD4617">
        <v>-1.110592148614</v>
      </c>
      <c r="AE4617">
        <v>0.18269999999998199</v>
      </c>
      <c r="AF4617">
        <v>0.120021394672954</v>
      </c>
      <c r="AG4617">
        <v>-1.110592148614</v>
      </c>
      <c r="AH4617">
        <v>37.186945920356301</v>
      </c>
      <c r="AI4617">
        <v>91.710627261924103</v>
      </c>
      <c r="AJ4617">
        <v>89.815077702186102</v>
      </c>
      <c r="AK4617">
        <v>37.203719799762602</v>
      </c>
      <c r="AL4617">
        <v>79.586406229013704</v>
      </c>
      <c r="AM4617">
        <v>94.773226035158402</v>
      </c>
      <c r="AN4617">
        <v>1.0000000085146199</v>
      </c>
    </row>
    <row r="4618" spans="1:40" x14ac:dyDescent="0.25">
      <c r="A4618" t="str">
        <f>"20190304155153664"</f>
        <v>20190304155153664</v>
      </c>
      <c r="B4618" t="str">
        <f>"1551685913651488"</f>
        <v>1551685913651488</v>
      </c>
      <c r="C4618" t="s">
        <v>40</v>
      </c>
      <c r="D4618">
        <v>4.8564939999999996</v>
      </c>
      <c r="E4618">
        <v>0.47026699999999999</v>
      </c>
      <c r="F4618" t="s">
        <v>41</v>
      </c>
      <c r="G4618">
        <v>-338.51130000000001</v>
      </c>
      <c r="H4618" s="1">
        <v>-1.22261E-6</v>
      </c>
      <c r="I4618">
        <v>137.11060000000001</v>
      </c>
      <c r="J4618">
        <v>-309.35120000000001</v>
      </c>
      <c r="K4618">
        <v>1.110587</v>
      </c>
      <c r="L4618">
        <v>141.63149999999999</v>
      </c>
      <c r="M4618">
        <v>-0.99990749999999995</v>
      </c>
      <c r="N4618">
        <v>-1.3503569999999999E-2</v>
      </c>
      <c r="O4618">
        <v>1.6807409999999999E-3</v>
      </c>
      <c r="P4618">
        <v>-0.98254940000000002</v>
      </c>
      <c r="Q4618">
        <v>0.16729140000000001</v>
      </c>
      <c r="R4618">
        <v>-8.1304290000000001E-2</v>
      </c>
      <c r="S4618">
        <v>-3.0345759999999999</v>
      </c>
      <c r="T4618">
        <v>-0.114561999999999</v>
      </c>
      <c r="U4618">
        <v>-0.46630859999999902</v>
      </c>
      <c r="V4618">
        <v>-8.2948610000000006E-2</v>
      </c>
      <c r="W4618">
        <v>0.18054529999999999</v>
      </c>
      <c r="X4618">
        <v>0.98006269999999995</v>
      </c>
      <c r="Y4618">
        <v>-0.15339739999999999</v>
      </c>
      <c r="Z4618">
        <v>-3.9604369999999998E-3</v>
      </c>
      <c r="AA4618">
        <v>0.9881567</v>
      </c>
      <c r="AB4618">
        <v>25</v>
      </c>
      <c r="AC4618">
        <v>-29.1601</v>
      </c>
      <c r="AD4618">
        <v>-1.1105882226099999</v>
      </c>
      <c r="AE4618">
        <v>-4.5208999999999797</v>
      </c>
      <c r="AF4618">
        <v>-4.5634445926647897</v>
      </c>
      <c r="AG4618">
        <v>-1.1105882226099999</v>
      </c>
      <c r="AH4618">
        <v>29.111223974613601</v>
      </c>
      <c r="AI4618">
        <v>92.158431086082501</v>
      </c>
      <c r="AJ4618">
        <v>98.909122064593006</v>
      </c>
      <c r="AK4618">
        <v>29.487654943224001</v>
      </c>
      <c r="AL4618">
        <v>79.598476268215805</v>
      </c>
      <c r="AM4618">
        <v>94.837757575209096</v>
      </c>
      <c r="AN4618">
        <v>0.99999998659215505</v>
      </c>
    </row>
    <row r="4619" spans="1:40" x14ac:dyDescent="0.25">
      <c r="A4619" t="str">
        <f>"20190304155153685"</f>
        <v>20190304155153685</v>
      </c>
      <c r="B4619" t="str">
        <f>"1551685913681745"</f>
        <v>1551685913681745</v>
      </c>
      <c r="C4619" t="s">
        <v>40</v>
      </c>
      <c r="D4619">
        <v>4.7893759999999999</v>
      </c>
      <c r="E4619">
        <v>0.4705664</v>
      </c>
      <c r="F4619" t="s">
        <v>41</v>
      </c>
      <c r="G4619">
        <v>-335.49279999999999</v>
      </c>
      <c r="H4619" s="1">
        <v>-2.4691210000000002E-6</v>
      </c>
      <c r="I4619">
        <v>137.5977</v>
      </c>
      <c r="J4619">
        <v>-309.59690000000001</v>
      </c>
      <c r="K4619">
        <v>1.1105879999999999</v>
      </c>
      <c r="L4619">
        <v>141.6319</v>
      </c>
      <c r="M4619">
        <v>-0.99990760000000001</v>
      </c>
      <c r="N4619">
        <v>-1.3496070000000001E-2</v>
      </c>
      <c r="O4619">
        <v>1.680434E-3</v>
      </c>
      <c r="P4619">
        <v>-0.9825912</v>
      </c>
      <c r="Q4619">
        <v>0.16698729999999901</v>
      </c>
      <c r="R4619">
        <v>-8.142597E-2</v>
      </c>
      <c r="S4619">
        <v>-3.036438</v>
      </c>
      <c r="T4619">
        <v>-0.1289989</v>
      </c>
      <c r="U4619">
        <v>-0.46853640000000002</v>
      </c>
      <c r="V4619">
        <v>-8.3070729999999995E-2</v>
      </c>
      <c r="W4619">
        <v>0.1802348</v>
      </c>
      <c r="X4619">
        <v>0.98010949999999997</v>
      </c>
      <c r="Y4619">
        <v>-0.15398020000000001</v>
      </c>
      <c r="Z4619">
        <v>-4.344367E-3</v>
      </c>
      <c r="AA4619">
        <v>0.98806439999999995</v>
      </c>
      <c r="AB4619">
        <v>25</v>
      </c>
      <c r="AC4619">
        <v>-25.895899999999902</v>
      </c>
      <c r="AD4619">
        <v>-1.110590469121</v>
      </c>
      <c r="AE4619">
        <v>-4.0341999999999896</v>
      </c>
      <c r="AF4619">
        <v>-4.0704054197136301</v>
      </c>
      <c r="AG4619">
        <v>-1.110590469121</v>
      </c>
      <c r="AH4619">
        <v>25.842678119639899</v>
      </c>
      <c r="AI4619">
        <v>92.430843588882993</v>
      </c>
      <c r="AJ4619">
        <v>98.950955896338499</v>
      </c>
      <c r="AK4619">
        <v>26.1848357616818</v>
      </c>
      <c r="AL4619">
        <v>79.616563261047702</v>
      </c>
      <c r="AM4619">
        <v>94.844615783809104</v>
      </c>
      <c r="AN4619">
        <v>0.99999998065201101</v>
      </c>
    </row>
    <row r="4620" spans="1:40" x14ac:dyDescent="0.25">
      <c r="A4620" t="str">
        <f>"20190304155153707"</f>
        <v>20190304155153707</v>
      </c>
      <c r="B4620" t="str">
        <f>"1551685913701264"</f>
        <v>1551685913701264</v>
      </c>
      <c r="C4620" t="s">
        <v>40</v>
      </c>
      <c r="D4620">
        <v>4.7952000000000004</v>
      </c>
      <c r="E4620">
        <v>0.47131109999999998</v>
      </c>
      <c r="F4620" t="s">
        <v>41</v>
      </c>
      <c r="G4620">
        <v>-334.53129999999999</v>
      </c>
      <c r="H4620" s="1">
        <v>-2.8868609999999998E-6</v>
      </c>
      <c r="I4620">
        <v>137.8049</v>
      </c>
      <c r="J4620">
        <v>-309.83839999999998</v>
      </c>
      <c r="K4620">
        <v>1.110582</v>
      </c>
      <c r="L4620">
        <v>141.63229999999999</v>
      </c>
      <c r="M4620">
        <v>-0.99990769999999995</v>
      </c>
      <c r="N4620">
        <v>-1.3489340000000001E-2</v>
      </c>
      <c r="O4620">
        <v>1.6803009999999999E-3</v>
      </c>
      <c r="P4620">
        <v>-0.98258469999999998</v>
      </c>
      <c r="Q4620">
        <v>0.16703100000000001</v>
      </c>
      <c r="R4620">
        <v>-8.1412280000000004E-2</v>
      </c>
      <c r="S4620">
        <v>-3.0374759999999998</v>
      </c>
      <c r="T4620">
        <v>-0.13529059999999901</v>
      </c>
      <c r="U4620">
        <v>-0.4662018</v>
      </c>
      <c r="V4620">
        <v>-8.3056619999999998E-2</v>
      </c>
      <c r="W4620">
        <v>0.18027180000000001</v>
      </c>
      <c r="X4620">
        <v>0.98010390000000003</v>
      </c>
      <c r="Y4620">
        <v>-0.15317259999999999</v>
      </c>
      <c r="Z4620">
        <v>-4.4813429999999996E-3</v>
      </c>
      <c r="AA4620">
        <v>0.98818930000000005</v>
      </c>
      <c r="AB4620">
        <v>25</v>
      </c>
      <c r="AC4620">
        <v>-24.692900000000002</v>
      </c>
      <c r="AD4620">
        <v>-1.110584886861</v>
      </c>
      <c r="AE4620">
        <v>-3.8273999999999799</v>
      </c>
      <c r="AF4620">
        <v>-3.8612624444536099</v>
      </c>
      <c r="AG4620">
        <v>-1.110584886861</v>
      </c>
      <c r="AH4620">
        <v>24.637764630366998</v>
      </c>
      <c r="AI4620">
        <v>92.549865135534702</v>
      </c>
      <c r="AJ4620">
        <v>98.907017070837199</v>
      </c>
      <c r="AK4620">
        <v>24.963216788651899</v>
      </c>
      <c r="AL4620">
        <v>79.6144081065558</v>
      </c>
      <c r="AM4620">
        <v>94.843824360105899</v>
      </c>
      <c r="AN4620">
        <v>0.99999998939813695</v>
      </c>
    </row>
    <row r="4621" spans="1:40" x14ac:dyDescent="0.25">
      <c r="A4621" t="str">
        <f>"20190304155153730"</f>
        <v>20190304155153730</v>
      </c>
      <c r="B4621" t="str">
        <f>"1551685913721764"</f>
        <v>1551685913721764</v>
      </c>
      <c r="C4621" t="s">
        <v>40</v>
      </c>
      <c r="D4621">
        <v>4.7993600000000001</v>
      </c>
      <c r="E4621">
        <v>0.47249099999999999</v>
      </c>
      <c r="F4621" t="s">
        <v>41</v>
      </c>
      <c r="G4621">
        <v>-334.79059999999998</v>
      </c>
      <c r="H4621" s="1">
        <v>-2.7559149999999999E-6</v>
      </c>
      <c r="I4621">
        <v>137.852</v>
      </c>
      <c r="J4621">
        <v>-310.08510000000001</v>
      </c>
      <c r="K4621">
        <v>1.1105780000000001</v>
      </c>
      <c r="L4621">
        <v>141.6327</v>
      </c>
      <c r="M4621">
        <v>-0.99990769999999995</v>
      </c>
      <c r="N4621">
        <v>-1.348309E-2</v>
      </c>
      <c r="O4621">
        <v>1.679687E-3</v>
      </c>
      <c r="P4621">
        <v>-0.98248480000000005</v>
      </c>
      <c r="Q4621">
        <v>0.16778470000000001</v>
      </c>
      <c r="R4621">
        <v>-8.1071030000000002E-2</v>
      </c>
      <c r="S4621">
        <v>-3.0379640000000001</v>
      </c>
      <c r="T4621">
        <v>-0.13521469999999999</v>
      </c>
      <c r="U4621">
        <v>-0.46025090000000002</v>
      </c>
      <c r="V4621">
        <v>-8.2714659999999995E-2</v>
      </c>
      <c r="W4621">
        <v>0.18101800000000001</v>
      </c>
      <c r="X4621">
        <v>0.97999530000000001</v>
      </c>
      <c r="Y4621">
        <v>-0.1512588</v>
      </c>
      <c r="Z4621">
        <v>-4.4233999999999897E-3</v>
      </c>
      <c r="AA4621">
        <v>0.98848429999999998</v>
      </c>
      <c r="AB4621">
        <v>25</v>
      </c>
      <c r="AC4621">
        <v>-24.705499999999901</v>
      </c>
      <c r="AD4621">
        <v>-1.1105807559150001</v>
      </c>
      <c r="AE4621">
        <v>-3.7806999999999902</v>
      </c>
      <c r="AF4621">
        <v>-3.8146638454255801</v>
      </c>
      <c r="AG4621">
        <v>-1.1105807559150001</v>
      </c>
      <c r="AH4621">
        <v>24.6504415801463</v>
      </c>
      <c r="AI4621">
        <v>92.549308943208104</v>
      </c>
      <c r="AJ4621">
        <v>98.796762755510997</v>
      </c>
      <c r="AK4621">
        <v>24.9685666381795</v>
      </c>
      <c r="AL4621">
        <v>79.5709390684721</v>
      </c>
      <c r="AM4621">
        <v>94.824507768483599</v>
      </c>
      <c r="AN4621">
        <v>1.0000000096624999</v>
      </c>
    </row>
    <row r="4622" spans="1:40" x14ac:dyDescent="0.25">
      <c r="A4622" t="str">
        <f>"20190304155153752"</f>
        <v>20190304155153752</v>
      </c>
      <c r="B4622" t="str">
        <f>"1551685913741281"</f>
        <v>1551685913741281</v>
      </c>
      <c r="C4622" t="s">
        <v>40</v>
      </c>
      <c r="D4622">
        <v>4.8001610000000001</v>
      </c>
      <c r="E4622">
        <v>0.47334749999999998</v>
      </c>
      <c r="F4622" t="s">
        <v>41</v>
      </c>
      <c r="G4622">
        <v>-337.77350000000001</v>
      </c>
      <c r="H4622" s="1">
        <v>-1.403269E-6</v>
      </c>
      <c r="I4622">
        <v>137.52860000000001</v>
      </c>
      <c r="J4622">
        <v>-310.32990000000001</v>
      </c>
      <c r="K4622">
        <v>1.110581</v>
      </c>
      <c r="L4622">
        <v>141.63310000000001</v>
      </c>
      <c r="M4622">
        <v>-0.99990789999999996</v>
      </c>
      <c r="N4622">
        <v>-1.34774E-2</v>
      </c>
      <c r="O4622">
        <v>1.6795460000000001E-3</v>
      </c>
      <c r="P4622">
        <v>-0.98250349999999997</v>
      </c>
      <c r="Q4622">
        <v>0.16791600000000001</v>
      </c>
      <c r="R4622">
        <v>-8.0568009999999995E-2</v>
      </c>
      <c r="S4622">
        <v>-3.03714</v>
      </c>
      <c r="T4622">
        <v>-0.12181930000000001</v>
      </c>
      <c r="U4622">
        <v>-0.45018010000000003</v>
      </c>
      <c r="V4622">
        <v>-8.2211309999999996E-2</v>
      </c>
      <c r="W4622">
        <v>0.18114369999999999</v>
      </c>
      <c r="X4622">
        <v>0.98001439999999995</v>
      </c>
      <c r="Y4622">
        <v>-0.14812729999999999</v>
      </c>
      <c r="Z4622">
        <v>-4.0020259999999997E-3</v>
      </c>
      <c r="AA4622">
        <v>0.98896019999999896</v>
      </c>
      <c r="AB4622">
        <v>25</v>
      </c>
      <c r="AC4622">
        <v>-27.4436</v>
      </c>
      <c r="AD4622">
        <v>-1.1105824032689999</v>
      </c>
      <c r="AE4622">
        <v>-4.1044999999999998</v>
      </c>
      <c r="AF4622">
        <v>-4.1439533389428203</v>
      </c>
      <c r="AG4622">
        <v>-1.1105824032689999</v>
      </c>
      <c r="AH4622">
        <v>27.3927888275378</v>
      </c>
      <c r="AI4622">
        <v>92.295573631710695</v>
      </c>
      <c r="AJ4622">
        <v>98.602420142598405</v>
      </c>
      <c r="AK4622">
        <v>27.726713153561199</v>
      </c>
      <c r="AL4622">
        <v>79.563615631138006</v>
      </c>
      <c r="AM4622">
        <v>94.795193114123293</v>
      </c>
      <c r="AN4622">
        <v>0.99999998187448202</v>
      </c>
    </row>
    <row r="4623" spans="1:40" x14ac:dyDescent="0.25">
      <c r="A4623" t="str">
        <f>"20190304155153774"</f>
        <v>20190304155153774</v>
      </c>
      <c r="B4623" t="str">
        <f>"1551685913771537"</f>
        <v>1551685913771537</v>
      </c>
      <c r="C4623" t="s">
        <v>40</v>
      </c>
      <c r="D4623">
        <v>4.7912239999999997</v>
      </c>
      <c r="E4623">
        <v>0.47411750000000003</v>
      </c>
      <c r="F4623" t="s">
        <v>41</v>
      </c>
      <c r="G4623">
        <v>-340.0548</v>
      </c>
      <c r="H4623" s="1">
        <v>-4.6587839999999997E-6</v>
      </c>
      <c r="I4623">
        <v>137.3048</v>
      </c>
      <c r="J4623">
        <v>-310.57260000000002</v>
      </c>
      <c r="K4623">
        <v>1.110581</v>
      </c>
      <c r="L4623">
        <v>141.6335</v>
      </c>
      <c r="M4623">
        <v>-0.99990800000000002</v>
      </c>
      <c r="N4623">
        <v>-1.347373E-2</v>
      </c>
      <c r="O4623">
        <v>1.679093E-3</v>
      </c>
      <c r="P4623">
        <v>-0.98240439999999996</v>
      </c>
      <c r="Q4623">
        <v>0.16867170000000001</v>
      </c>
      <c r="R4623">
        <v>-8.0201220000000004E-2</v>
      </c>
      <c r="S4623">
        <v>-3.0365600000000001</v>
      </c>
      <c r="T4623">
        <v>-0.11345239999999999</v>
      </c>
      <c r="U4623">
        <v>-0.44215389999999999</v>
      </c>
      <c r="V4623">
        <v>-8.1843669999999993E-2</v>
      </c>
      <c r="W4623">
        <v>0.1818939</v>
      </c>
      <c r="X4623">
        <v>0.97990619999999995</v>
      </c>
      <c r="Y4623">
        <v>-0.14561559999999901</v>
      </c>
      <c r="Z4623">
        <v>-3.7315870000000002E-3</v>
      </c>
      <c r="AA4623">
        <v>0.98933419999999905</v>
      </c>
      <c r="AB4623">
        <v>25</v>
      </c>
      <c r="AC4623">
        <v>-29.482199999999899</v>
      </c>
      <c r="AD4623">
        <v>-1.110585658784</v>
      </c>
      <c r="AE4623">
        <v>-4.3286999999999898</v>
      </c>
      <c r="AF4623">
        <v>-4.3721285801950902</v>
      </c>
      <c r="AG4623">
        <v>-1.110585658784</v>
      </c>
      <c r="AH4623">
        <v>29.4340038306601</v>
      </c>
      <c r="AI4623">
        <v>92.137394804672894</v>
      </c>
      <c r="AJ4623">
        <v>98.448940195650394</v>
      </c>
      <c r="AK4623">
        <v>29.777667644235802</v>
      </c>
      <c r="AL4623">
        <v>79.519906074965903</v>
      </c>
      <c r="AM4623">
        <v>94.774373545787498</v>
      </c>
      <c r="AN4623">
        <v>0.99999996898735799</v>
      </c>
    </row>
    <row r="4624" spans="1:40" x14ac:dyDescent="0.25">
      <c r="A4624" t="str">
        <f>"20190304155153796"</f>
        <v>20190304155153796</v>
      </c>
      <c r="B4624" t="str">
        <f>"1551685913791058"</f>
        <v>1551685913791058</v>
      </c>
      <c r="C4624" t="s">
        <v>40</v>
      </c>
      <c r="D4624">
        <v>4.7738759999999996</v>
      </c>
      <c r="E4624">
        <v>0.47445080000000001</v>
      </c>
      <c r="F4624" t="s">
        <v>41</v>
      </c>
      <c r="G4624">
        <v>-343.30349999999999</v>
      </c>
      <c r="H4624" s="1">
        <v>-3.3290939999999999E-6</v>
      </c>
      <c r="I4624">
        <v>136.9442</v>
      </c>
      <c r="J4624">
        <v>-310.81990000000002</v>
      </c>
      <c r="K4624">
        <v>1.1105929999999999</v>
      </c>
      <c r="L4624">
        <v>141.63390000000001</v>
      </c>
      <c r="M4624">
        <v>-0.99990789999999996</v>
      </c>
      <c r="N4624">
        <v>-1.3476170000000001E-2</v>
      </c>
      <c r="O4624">
        <v>1.6788969999999999E-3</v>
      </c>
      <c r="P4624">
        <v>-0.98243530000000001</v>
      </c>
      <c r="Q4624">
        <v>0.1687767</v>
      </c>
      <c r="R4624">
        <v>-7.959919E-2</v>
      </c>
      <c r="S4624">
        <v>-3.0359500000000001</v>
      </c>
      <c r="T4624">
        <v>-0.1030123</v>
      </c>
      <c r="U4624">
        <v>-0.4349518</v>
      </c>
      <c r="V4624">
        <v>-8.1241590000000002E-2</v>
      </c>
      <c r="W4624">
        <v>0.18200179999999999</v>
      </c>
      <c r="X4624">
        <v>0.97993629999999998</v>
      </c>
      <c r="Y4624">
        <v>-0.1433671</v>
      </c>
      <c r="Z4624">
        <v>-3.4247510000000002E-3</v>
      </c>
      <c r="AA4624">
        <v>0.98966370000000004</v>
      </c>
      <c r="AB4624">
        <v>25</v>
      </c>
      <c r="AC4624">
        <v>-32.483599999999903</v>
      </c>
      <c r="AD4624">
        <v>-1.110596329094</v>
      </c>
      <c r="AE4624">
        <v>-4.68970000000001</v>
      </c>
      <c r="AF4624">
        <v>-4.7388087723821499</v>
      </c>
      <c r="AG4624">
        <v>-1.110596329094</v>
      </c>
      <c r="AH4624">
        <v>32.438536166125701</v>
      </c>
      <c r="AI4624">
        <v>91.940287844927894</v>
      </c>
      <c r="AJ4624">
        <v>98.311307231750405</v>
      </c>
      <c r="AK4624">
        <v>32.8016518088411</v>
      </c>
      <c r="AL4624">
        <v>79.513619261933499</v>
      </c>
      <c r="AM4624">
        <v>94.739266707823305</v>
      </c>
      <c r="AN4624">
        <v>1.0000000016033199</v>
      </c>
    </row>
    <row r="4625" spans="1:40" x14ac:dyDescent="0.25">
      <c r="A4625" t="str">
        <f>"20190304155153819"</f>
        <v>20190304155153819</v>
      </c>
      <c r="B4625" t="str">
        <f>"1551685913811553"</f>
        <v>1551685913811553</v>
      </c>
      <c r="C4625" t="s">
        <v>40</v>
      </c>
      <c r="D4625">
        <v>4.7568270000000004</v>
      </c>
      <c r="E4625">
        <v>0.47425509999999899</v>
      </c>
      <c r="F4625" t="s">
        <v>41</v>
      </c>
      <c r="G4625">
        <v>-345.1096</v>
      </c>
      <c r="H4625" s="1">
        <v>-2.5873569999999999E-6</v>
      </c>
      <c r="I4625">
        <v>136.75749999999999</v>
      </c>
      <c r="J4625">
        <v>-311.07240000000002</v>
      </c>
      <c r="K4625">
        <v>1.1105959999999999</v>
      </c>
      <c r="L4625">
        <v>141.6344</v>
      </c>
      <c r="M4625">
        <v>-0.99990769999999995</v>
      </c>
      <c r="N4625">
        <v>-1.3485219999999999E-2</v>
      </c>
      <c r="O4625">
        <v>1.6786570000000001E-3</v>
      </c>
      <c r="P4625">
        <v>-0.98255479999999995</v>
      </c>
      <c r="Q4625">
        <v>0.16821820000000001</v>
      </c>
      <c r="R4625">
        <v>-7.9304100000000002E-2</v>
      </c>
      <c r="S4625">
        <v>-3.0355530000000002</v>
      </c>
      <c r="T4625">
        <v>-9.8317379999999996E-2</v>
      </c>
      <c r="U4625">
        <v>-0.43168640000000003</v>
      </c>
      <c r="V4625">
        <v>-8.0946669999999998E-2</v>
      </c>
      <c r="W4625">
        <v>0.18145410000000001</v>
      </c>
      <c r="X4625">
        <v>0.98006219999999999</v>
      </c>
      <c r="Y4625">
        <v>-0.14235100000000001</v>
      </c>
      <c r="Z4625">
        <v>-3.2897260000000002E-3</v>
      </c>
      <c r="AA4625">
        <v>0.98981079999999999</v>
      </c>
      <c r="AB4625">
        <v>25</v>
      </c>
      <c r="AC4625">
        <v>-34.037199999999899</v>
      </c>
      <c r="AD4625">
        <v>-1.1105985873569999</v>
      </c>
      <c r="AE4625">
        <v>-4.8769</v>
      </c>
      <c r="AF4625">
        <v>-4.9288931251715704</v>
      </c>
      <c r="AG4625">
        <v>-1.1105985873569999</v>
      </c>
      <c r="AH4625">
        <v>33.993501532835097</v>
      </c>
      <c r="AI4625">
        <v>91.851887873607495</v>
      </c>
      <c r="AJ4625">
        <v>98.250115514411902</v>
      </c>
      <c r="AK4625">
        <v>34.366925424373697</v>
      </c>
      <c r="AL4625">
        <v>79.545530831053597</v>
      </c>
      <c r="AM4625">
        <v>94.721536482632501</v>
      </c>
      <c r="AN4625">
        <v>0.99999993482986704</v>
      </c>
    </row>
    <row r="4626" spans="1:40" x14ac:dyDescent="0.25">
      <c r="A4626" t="str">
        <f>"20190304155153841"</f>
        <v>20190304155153841</v>
      </c>
      <c r="B4626" t="str">
        <f>"1551685913831072"</f>
        <v>1551685913831072</v>
      </c>
      <c r="C4626" t="s">
        <v>40</v>
      </c>
      <c r="D4626">
        <v>4.7286960000000002</v>
      </c>
      <c r="E4626">
        <v>0.47391129999999998</v>
      </c>
      <c r="F4626" t="s">
        <v>41</v>
      </c>
      <c r="G4626">
        <v>-345.26760000000002</v>
      </c>
      <c r="H4626" s="1">
        <v>-2.5175629999999999E-6</v>
      </c>
      <c r="I4626">
        <v>136.7689</v>
      </c>
      <c r="J4626">
        <v>-311.31290000000001</v>
      </c>
      <c r="K4626">
        <v>1.1106020000000001</v>
      </c>
      <c r="L4626">
        <v>141.63480000000001</v>
      </c>
      <c r="M4626">
        <v>-0.99990760000000001</v>
      </c>
      <c r="N4626">
        <v>-1.349918E-2</v>
      </c>
      <c r="O4626">
        <v>1.678384E-3</v>
      </c>
      <c r="P4626">
        <v>-0.98247799999999996</v>
      </c>
      <c r="Q4626">
        <v>0.16872089999999901</v>
      </c>
      <c r="R4626">
        <v>-7.9186039999999999E-2</v>
      </c>
      <c r="S4626">
        <v>-3.0352779999999999</v>
      </c>
      <c r="T4626">
        <v>-9.8580600000000004E-2</v>
      </c>
      <c r="U4626">
        <v>-0.43186950000000002</v>
      </c>
      <c r="V4626">
        <v>-8.0828070000000002E-2</v>
      </c>
      <c r="W4626">
        <v>0.1819694</v>
      </c>
      <c r="X4626">
        <v>0.97997650000000003</v>
      </c>
      <c r="Y4626">
        <v>-0.1424212</v>
      </c>
      <c r="Z4626">
        <v>-3.2987950000000002E-3</v>
      </c>
      <c r="AA4626">
        <v>0.98980060000000003</v>
      </c>
      <c r="AB4626">
        <v>25</v>
      </c>
      <c r="AC4626">
        <v>-33.954700000000003</v>
      </c>
      <c r="AD4626">
        <v>-1.1106045175629999</v>
      </c>
      <c r="AE4626">
        <v>-4.8659000000000097</v>
      </c>
      <c r="AF4626">
        <v>-4.9177320391793096</v>
      </c>
      <c r="AG4626">
        <v>-1.1106045175629999</v>
      </c>
      <c r="AH4626">
        <v>33.910935336321998</v>
      </c>
      <c r="AI4626">
        <v>91.856397298659999</v>
      </c>
      <c r="AJ4626">
        <v>98.251456916636997</v>
      </c>
      <c r="AK4626">
        <v>34.283655962977697</v>
      </c>
      <c r="AL4626">
        <v>79.515507047919002</v>
      </c>
      <c r="AM4626">
        <v>94.715060315805303</v>
      </c>
      <c r="AN4626">
        <v>0.99999998999426698</v>
      </c>
    </row>
    <row r="4627" spans="1:40" x14ac:dyDescent="0.25">
      <c r="A4627" t="str">
        <f>"20190304155153864"</f>
        <v>20190304155153864</v>
      </c>
      <c r="B4627" t="str">
        <f>"1551685913861329"</f>
        <v>1551685913861329</v>
      </c>
      <c r="C4627" t="s">
        <v>40</v>
      </c>
      <c r="D4627">
        <v>4.7000489999999999</v>
      </c>
      <c r="E4627">
        <v>0.47346120000000003</v>
      </c>
      <c r="F4627" t="s">
        <v>41</v>
      </c>
      <c r="G4627">
        <v>-345.96120000000002</v>
      </c>
      <c r="H4627" s="1">
        <v>-2.235944E-6</v>
      </c>
      <c r="I4627">
        <v>136.67930000000001</v>
      </c>
      <c r="J4627">
        <v>-311.55970000000002</v>
      </c>
      <c r="K4627">
        <v>1.1106069999999999</v>
      </c>
      <c r="L4627">
        <v>141.6352</v>
      </c>
      <c r="M4627">
        <v>-0.99990730000000005</v>
      </c>
      <c r="N4627">
        <v>-1.351489E-2</v>
      </c>
      <c r="O4627">
        <v>1.6782769999999999E-3</v>
      </c>
      <c r="P4627">
        <v>-0.98237540000000001</v>
      </c>
      <c r="Q4627">
        <v>0.16938829999999999</v>
      </c>
      <c r="R4627">
        <v>-7.9034610000000005E-2</v>
      </c>
      <c r="S4627">
        <v>-3.0352169999999998</v>
      </c>
      <c r="T4627">
        <v>-9.7290160000000001E-2</v>
      </c>
      <c r="U4627">
        <v>-0.43409730000000002</v>
      </c>
      <c r="V4627">
        <v>-8.0676129999999999E-2</v>
      </c>
      <c r="W4627">
        <v>0.1826507</v>
      </c>
      <c r="X4627">
        <v>0.97986229999999996</v>
      </c>
      <c r="Y4627">
        <v>-0.1431376</v>
      </c>
      <c r="Z4627">
        <v>-3.2853399999999999E-3</v>
      </c>
      <c r="AA4627">
        <v>0.9896973</v>
      </c>
      <c r="AB4627">
        <v>25</v>
      </c>
      <c r="AC4627">
        <v>-34.401499999999999</v>
      </c>
      <c r="AD4627">
        <v>-1.1106092359440001</v>
      </c>
      <c r="AE4627">
        <v>-4.9558999999999802</v>
      </c>
      <c r="AF4627">
        <v>-5.0085195885523097</v>
      </c>
      <c r="AG4627">
        <v>-1.1106092359440001</v>
      </c>
      <c r="AH4627">
        <v>34.358052126897803</v>
      </c>
      <c r="AI4627">
        <v>91.832066641447099</v>
      </c>
      <c r="AJ4627">
        <v>98.293830715210504</v>
      </c>
      <c r="AK4627">
        <v>34.738947412069102</v>
      </c>
      <c r="AL4627">
        <v>79.475806423348899</v>
      </c>
      <c r="AM4627">
        <v>94.706782864274402</v>
      </c>
      <c r="AN4627">
        <v>1.0000000215617699</v>
      </c>
    </row>
    <row r="4628" spans="1:40" x14ac:dyDescent="0.25">
      <c r="A4628" t="str">
        <f>"20190304155153886"</f>
        <v>20190304155153886</v>
      </c>
      <c r="B4628" t="str">
        <f>"1551685913881825"</f>
        <v>1551685913881825</v>
      </c>
      <c r="C4628" t="s">
        <v>40</v>
      </c>
      <c r="D4628">
        <v>4.6744839999999996</v>
      </c>
      <c r="E4628">
        <v>0.47293740000000001</v>
      </c>
      <c r="F4628" t="s">
        <v>41</v>
      </c>
      <c r="G4628">
        <v>-346.89940000000001</v>
      </c>
      <c r="H4628" s="1">
        <v>-1.8594130000000001E-6</v>
      </c>
      <c r="I4628">
        <v>136.5412</v>
      </c>
      <c r="J4628">
        <v>-311.80779999999999</v>
      </c>
      <c r="K4628">
        <v>1.110609</v>
      </c>
      <c r="L4628">
        <v>141.63560000000001</v>
      </c>
      <c r="M4628">
        <v>-0.99990710000000005</v>
      </c>
      <c r="N4628">
        <v>-1.352954E-2</v>
      </c>
      <c r="O4628">
        <v>1.6778209999999999E-3</v>
      </c>
      <c r="P4628">
        <v>-0.98238009999999998</v>
      </c>
      <c r="Q4628">
        <v>0.16921229999999901</v>
      </c>
      <c r="R4628">
        <v>-7.9352930000000002E-2</v>
      </c>
      <c r="S4628">
        <v>-3.035034</v>
      </c>
      <c r="T4628">
        <v>-9.5381259999999995E-2</v>
      </c>
      <c r="U4628">
        <v>-0.43746950000000001</v>
      </c>
      <c r="V4628">
        <v>-8.0994460000000004E-2</v>
      </c>
      <c r="W4628">
        <v>0.18248890000000001</v>
      </c>
      <c r="X4628">
        <v>0.97986609999999996</v>
      </c>
      <c r="Y4628">
        <v>-0.14422550000000001</v>
      </c>
      <c r="Z4628">
        <v>-3.2649889999999998E-3</v>
      </c>
      <c r="AA4628">
        <v>0.98953939999999996</v>
      </c>
      <c r="AB4628">
        <v>25</v>
      </c>
      <c r="AC4628">
        <v>-35.0916</v>
      </c>
      <c r="AD4628">
        <v>-1.110610859413</v>
      </c>
      <c r="AE4628">
        <v>-5.0944000000000003</v>
      </c>
      <c r="AF4628">
        <v>-5.14822533921022</v>
      </c>
      <c r="AG4628">
        <v>-1.110610859413</v>
      </c>
      <c r="AH4628">
        <v>35.048620373080098</v>
      </c>
      <c r="AI4628">
        <v>91.795709276304606</v>
      </c>
      <c r="AJ4628">
        <v>98.356311351845505</v>
      </c>
      <c r="AK4628">
        <v>35.442114365266299</v>
      </c>
      <c r="AL4628">
        <v>79.485234459897796</v>
      </c>
      <c r="AM4628">
        <v>94.725252603410993</v>
      </c>
      <c r="AN4628">
        <v>0.99999993755155303</v>
      </c>
    </row>
    <row r="4629" spans="1:40" x14ac:dyDescent="0.25">
      <c r="A4629" t="str">
        <f>"20190304155153909"</f>
        <v>20190304155153909</v>
      </c>
      <c r="B4629" t="str">
        <f>"1551685913901344"</f>
        <v>1551685913901344</v>
      </c>
      <c r="C4629" t="s">
        <v>40</v>
      </c>
      <c r="D4629">
        <v>4.6736149999999999</v>
      </c>
      <c r="E4629">
        <v>0.47277010000000003</v>
      </c>
      <c r="F4629" t="s">
        <v>41</v>
      </c>
      <c r="G4629">
        <v>-346.50130000000001</v>
      </c>
      <c r="H4629" s="1">
        <v>-2.0234590000000001E-6</v>
      </c>
      <c r="I4629">
        <v>136.57069999999999</v>
      </c>
      <c r="J4629">
        <v>-312.04969999999997</v>
      </c>
      <c r="K4629">
        <v>1.1106119999999999</v>
      </c>
      <c r="L4629">
        <v>141.636</v>
      </c>
      <c r="M4629">
        <v>-0.99990699999999999</v>
      </c>
      <c r="N4629">
        <v>-1.354285E-2</v>
      </c>
      <c r="O4629">
        <v>1.677254E-3</v>
      </c>
      <c r="P4629">
        <v>-0.98238840000000005</v>
      </c>
      <c r="Q4629">
        <v>0.1688954</v>
      </c>
      <c r="R4629">
        <v>-7.9924079999999995E-2</v>
      </c>
      <c r="S4629">
        <v>-3.0347900000000001</v>
      </c>
      <c r="T4629">
        <v>-9.7150089999999995E-2</v>
      </c>
      <c r="U4629">
        <v>-0.44303890000000001</v>
      </c>
      <c r="V4629">
        <v>-8.1564929999999994E-2</v>
      </c>
      <c r="W4629">
        <v>0.18218509999999999</v>
      </c>
      <c r="X4629">
        <v>0.97987539999999995</v>
      </c>
      <c r="Y4629">
        <v>-0.14601</v>
      </c>
      <c r="Z4629">
        <v>-3.349253E-3</v>
      </c>
      <c r="AA4629">
        <v>0.98927739999999997</v>
      </c>
      <c r="AB4629">
        <v>24</v>
      </c>
      <c r="AC4629">
        <v>-34.451599999999999</v>
      </c>
      <c r="AD4629">
        <v>-1.1106140234590001</v>
      </c>
      <c r="AE4629">
        <v>-5.0652999999999997</v>
      </c>
      <c r="AF4629">
        <v>-5.11787618982697</v>
      </c>
      <c r="AG4629">
        <v>-1.1106140234590001</v>
      </c>
      <c r="AH4629">
        <v>34.4080540279394</v>
      </c>
      <c r="AI4629">
        <v>91.8286324986572</v>
      </c>
      <c r="AJ4629">
        <v>98.460184724482303</v>
      </c>
      <c r="AK4629">
        <v>34.804314419236903</v>
      </c>
      <c r="AL4629">
        <v>79.502938611963501</v>
      </c>
      <c r="AM4629">
        <v>94.758336829641195</v>
      </c>
      <c r="AN4629">
        <v>1.0000000239965301</v>
      </c>
    </row>
    <row r="4630" spans="1:40" x14ac:dyDescent="0.25">
      <c r="A4630" t="str">
        <f>"20190304155153939"</f>
        <v>20190304155153939</v>
      </c>
      <c r="B4630" t="str">
        <f>"1551685913931209"</f>
        <v>1551685913931209</v>
      </c>
      <c r="C4630" t="s">
        <v>40</v>
      </c>
      <c r="D4630">
        <v>4.6536879999999998</v>
      </c>
      <c r="E4630">
        <v>0.47248889999999999</v>
      </c>
      <c r="F4630" t="s">
        <v>41</v>
      </c>
      <c r="G4630">
        <v>-346.20940000000002</v>
      </c>
      <c r="H4630" s="1">
        <v>-2.1419569999999999E-6</v>
      </c>
      <c r="I4630">
        <v>136.6086</v>
      </c>
      <c r="J4630">
        <v>-312.38240000000002</v>
      </c>
      <c r="K4630">
        <v>1.110609</v>
      </c>
      <c r="L4630">
        <v>141.63659999999999</v>
      </c>
      <c r="M4630">
        <v>-0.99990679999999998</v>
      </c>
      <c r="N4630">
        <v>-1.3559669999999999E-2</v>
      </c>
      <c r="O4630">
        <v>1.6769619999999999E-3</v>
      </c>
      <c r="P4630">
        <v>-0.98235300000000003</v>
      </c>
      <c r="Q4630">
        <v>0.16892309999999999</v>
      </c>
      <c r="R4630">
        <v>-8.0298069999999999E-2</v>
      </c>
      <c r="S4630">
        <v>-3.034424</v>
      </c>
      <c r="T4630">
        <v>-9.8656300000000002E-2</v>
      </c>
      <c r="U4630">
        <v>-0.446579</v>
      </c>
      <c r="V4630">
        <v>-8.1938990000000003E-2</v>
      </c>
      <c r="W4630">
        <v>0.18222920000000001</v>
      </c>
      <c r="X4630">
        <v>0.97983600000000004</v>
      </c>
      <c r="Y4630">
        <v>-0.147152799999999</v>
      </c>
      <c r="Z4630">
        <v>-3.4137439999999998E-3</v>
      </c>
      <c r="AA4630">
        <v>0.98910790000000004</v>
      </c>
      <c r="AB4630">
        <v>24</v>
      </c>
      <c r="AC4630">
        <v>-33.826999999999998</v>
      </c>
      <c r="AD4630">
        <v>-1.1106111419569999</v>
      </c>
      <c r="AE4630">
        <v>-5.0279999999999898</v>
      </c>
      <c r="AF4630">
        <v>-5.07936779793196</v>
      </c>
      <c r="AG4630">
        <v>-1.1106111419569999</v>
      </c>
      <c r="AH4630">
        <v>33.782890916190702</v>
      </c>
      <c r="AI4630">
        <v>91.862004515185902</v>
      </c>
      <c r="AJ4630">
        <v>98.550559532018795</v>
      </c>
      <c r="AK4630">
        <v>34.180654660063901</v>
      </c>
      <c r="AL4630">
        <v>79.500368948030399</v>
      </c>
      <c r="AM4630">
        <v>94.780249183637594</v>
      </c>
      <c r="AN4630">
        <v>1.00000003315542</v>
      </c>
    </row>
    <row r="4631" spans="1:40" x14ac:dyDescent="0.25">
      <c r="A4631" t="str">
        <f>"20190304155153952"</f>
        <v>20190304155153952</v>
      </c>
      <c r="B4631" t="str">
        <f>"1551685913941945"</f>
        <v>1551685913941945</v>
      </c>
      <c r="C4631" t="s">
        <v>40</v>
      </c>
      <c r="D4631">
        <v>4.6611609999999999</v>
      </c>
      <c r="E4631">
        <v>0.47241100000000003</v>
      </c>
      <c r="F4631" t="s">
        <v>41</v>
      </c>
      <c r="G4631">
        <v>-346.78960000000001</v>
      </c>
      <c r="H4631" s="1">
        <v>-1.906797E-6</v>
      </c>
      <c r="I4631">
        <v>136.53139999999999</v>
      </c>
      <c r="J4631">
        <v>-312.5283</v>
      </c>
      <c r="K4631">
        <v>1.1106130000000001</v>
      </c>
      <c r="L4631">
        <v>141.63679999999999</v>
      </c>
      <c r="M4631">
        <v>-0.99990670000000004</v>
      </c>
      <c r="N4631">
        <v>-1.3566450000000001E-2</v>
      </c>
      <c r="O4631">
        <v>1.6767380000000001E-3</v>
      </c>
      <c r="P4631">
        <v>-0.98220689999999999</v>
      </c>
      <c r="Q4631">
        <v>0.16946140000000001</v>
      </c>
      <c r="R4631">
        <v>-8.0948699999999998E-2</v>
      </c>
      <c r="S4631">
        <v>-3.0339049999999999</v>
      </c>
      <c r="T4631">
        <v>-9.793019E-2</v>
      </c>
      <c r="U4631">
        <v>-0.45014949999999998</v>
      </c>
      <c r="V4631">
        <v>-8.2589259999999998E-2</v>
      </c>
      <c r="W4631">
        <v>0.18277260000000001</v>
      </c>
      <c r="X4631">
        <v>0.9796802</v>
      </c>
      <c r="Y4631">
        <v>-0.14831649999999999</v>
      </c>
      <c r="Z4631">
        <v>-3.4232339999999998E-3</v>
      </c>
      <c r="AA4631">
        <v>0.98893399999999998</v>
      </c>
      <c r="AB4631">
        <v>24</v>
      </c>
      <c r="AC4631">
        <v>-34.261299999999999</v>
      </c>
      <c r="AD4631">
        <v>-1.1106149067969999</v>
      </c>
      <c r="AE4631">
        <v>-5.1054000000000004</v>
      </c>
      <c r="AF4631">
        <v>-5.1575435146170703</v>
      </c>
      <c r="AG4631">
        <v>-1.1106149067969999</v>
      </c>
      <c r="AH4631">
        <v>34.217515974999998</v>
      </c>
      <c r="AI4631">
        <v>91.838274827411198</v>
      </c>
      <c r="AJ4631">
        <v>98.571564162865201</v>
      </c>
      <c r="AK4631">
        <v>34.621844550453197</v>
      </c>
      <c r="AL4631">
        <v>79.468702805412704</v>
      </c>
      <c r="AM4631">
        <v>94.818770090925099</v>
      </c>
      <c r="AN4631">
        <v>1.00000005172507</v>
      </c>
    </row>
    <row r="4632" spans="1:40" x14ac:dyDescent="0.25">
      <c r="A4632" t="str">
        <f>"20190304155153975"</f>
        <v>20190304155153975</v>
      </c>
      <c r="B4632" t="str">
        <f>"1551685913971224"</f>
        <v>1551685913971224</v>
      </c>
      <c r="C4632" t="s">
        <v>40</v>
      </c>
      <c r="D4632">
        <v>4.6607799999999999</v>
      </c>
      <c r="E4632">
        <v>0.47213300000000002</v>
      </c>
      <c r="F4632" t="s">
        <v>41</v>
      </c>
      <c r="G4632">
        <v>-347.63459999999998</v>
      </c>
      <c r="H4632" s="1">
        <v>-1.6477300000000001E-6</v>
      </c>
      <c r="I4632">
        <v>136.3965</v>
      </c>
      <c r="J4632">
        <v>-312.76769999999999</v>
      </c>
      <c r="K4632">
        <v>1.1106199999999999</v>
      </c>
      <c r="L4632">
        <v>141.63720000000001</v>
      </c>
      <c r="M4632">
        <v>-0.99990650000000003</v>
      </c>
      <c r="N4632">
        <v>-1.35782E-2</v>
      </c>
      <c r="O4632">
        <v>1.6764799999999999E-3</v>
      </c>
      <c r="P4632">
        <v>-0.9820506</v>
      </c>
      <c r="Q4632">
        <v>0.1701858</v>
      </c>
      <c r="R4632">
        <v>-8.1324259999999995E-2</v>
      </c>
      <c r="S4632">
        <v>-3.03363</v>
      </c>
      <c r="T4632">
        <v>-9.5971580000000001E-2</v>
      </c>
      <c r="U4632">
        <v>-0.45281979999999999</v>
      </c>
      <c r="V4632">
        <v>-8.2963590000000004E-2</v>
      </c>
      <c r="W4632">
        <v>0.18350620000000001</v>
      </c>
      <c r="X4632">
        <v>0.97951140000000003</v>
      </c>
      <c r="Y4632">
        <v>-0.14918389999999901</v>
      </c>
      <c r="Z4632">
        <v>-3.3951110000000001E-3</v>
      </c>
      <c r="AA4632">
        <v>0.9888036</v>
      </c>
      <c r="AB4632">
        <v>24</v>
      </c>
      <c r="AC4632">
        <v>-34.866899999999902</v>
      </c>
      <c r="AD4632">
        <v>-1.1106216477299999</v>
      </c>
      <c r="AE4632">
        <v>-5.2407000000000004</v>
      </c>
      <c r="AF4632">
        <v>-5.2938990226787199</v>
      </c>
      <c r="AG4632">
        <v>-1.1106216477299999</v>
      </c>
      <c r="AH4632">
        <v>34.823512044445103</v>
      </c>
      <c r="AI4632">
        <v>91.805972374272798</v>
      </c>
      <c r="AJ4632">
        <v>98.643968803792703</v>
      </c>
      <c r="AK4632">
        <v>35.241110062203497</v>
      </c>
      <c r="AL4632">
        <v>79.425947297010296</v>
      </c>
      <c r="AM4632">
        <v>94.841337488181793</v>
      </c>
      <c r="AN4632">
        <v>1.00000003271704</v>
      </c>
    </row>
    <row r="4633" spans="1:40" x14ac:dyDescent="0.25">
      <c r="A4633" t="str">
        <f>"20190304155153998"</f>
        <v>20190304155153998</v>
      </c>
      <c r="B4633" t="str">
        <f>"1551685913991724"</f>
        <v>1551685913991724</v>
      </c>
      <c r="C4633" t="s">
        <v>40</v>
      </c>
      <c r="D4633">
        <v>4.6274089999999903</v>
      </c>
      <c r="E4633">
        <v>0.47197990000000001</v>
      </c>
      <c r="F4633" t="s">
        <v>41</v>
      </c>
      <c r="G4633">
        <v>-348.91750000000002</v>
      </c>
      <c r="H4633" s="1">
        <v>-1.2642919999999999E-6</v>
      </c>
      <c r="I4633">
        <v>136.19669999999999</v>
      </c>
      <c r="J4633">
        <v>-313.02159999999998</v>
      </c>
      <c r="K4633">
        <v>1.110627</v>
      </c>
      <c r="L4633">
        <v>141.6377</v>
      </c>
      <c r="M4633">
        <v>-0.99990630000000003</v>
      </c>
      <c r="N4633">
        <v>-1.359521E-2</v>
      </c>
      <c r="O4633">
        <v>1.676245E-3</v>
      </c>
      <c r="P4633">
        <v>-0.98197970000000001</v>
      </c>
      <c r="Q4633">
        <v>0.17063510000000001</v>
      </c>
      <c r="R4633">
        <v>-8.1238610000000003E-2</v>
      </c>
      <c r="S4633">
        <v>-3.0331730000000001</v>
      </c>
      <c r="T4633">
        <v>-9.3187450000000005E-2</v>
      </c>
      <c r="U4633">
        <v>-0.4564819</v>
      </c>
      <c r="V4633">
        <v>-8.2877339999999994E-2</v>
      </c>
      <c r="W4633">
        <v>0.18397069999999999</v>
      </c>
      <c r="X4633">
        <v>0.97943150000000001</v>
      </c>
      <c r="Y4633">
        <v>-0.15037719999999999</v>
      </c>
      <c r="Z4633">
        <v>-3.3533949999999999E-3</v>
      </c>
      <c r="AA4633">
        <v>0.98862300000000003</v>
      </c>
      <c r="AB4633">
        <v>24</v>
      </c>
      <c r="AC4633">
        <v>-35.895899999999997</v>
      </c>
      <c r="AD4633">
        <v>-1.110628264292</v>
      </c>
      <c r="AE4633">
        <v>-5.4409999999999998</v>
      </c>
      <c r="AF4633">
        <v>-5.4960250580483798</v>
      </c>
      <c r="AG4633">
        <v>-1.110628264292</v>
      </c>
      <c r="AH4633">
        <v>35.853176911987397</v>
      </c>
      <c r="AI4633">
        <v>91.753817554094297</v>
      </c>
      <c r="AJ4633">
        <v>98.715174138721395</v>
      </c>
      <c r="AK4633">
        <v>36.288980162887</v>
      </c>
      <c r="AL4633">
        <v>79.398871764935393</v>
      </c>
      <c r="AM4633">
        <v>94.836720924066995</v>
      </c>
      <c r="AN4633">
        <v>0.99999996756810705</v>
      </c>
    </row>
    <row r="4634" spans="1:40" x14ac:dyDescent="0.25">
      <c r="A4634" t="str">
        <f>"20190304155154012"</f>
        <v>20190304155154012</v>
      </c>
      <c r="B4634" t="str">
        <f>"1551685914001481"</f>
        <v>1551685914001481</v>
      </c>
      <c r="C4634" t="s">
        <v>40</v>
      </c>
      <c r="D4634">
        <v>4.6336240000000002</v>
      </c>
      <c r="E4634">
        <v>0.47191300000000003</v>
      </c>
      <c r="F4634" t="s">
        <v>41</v>
      </c>
      <c r="G4634">
        <v>-350.02760000000001</v>
      </c>
      <c r="H4634" s="1">
        <v>-4.8922980000000001E-6</v>
      </c>
      <c r="I4634">
        <v>136.05410000000001</v>
      </c>
      <c r="J4634">
        <v>-313.18009999999998</v>
      </c>
      <c r="K4634">
        <v>1.1106320000000001</v>
      </c>
      <c r="L4634">
        <v>141.6379</v>
      </c>
      <c r="M4634">
        <v>-0.99990610000000002</v>
      </c>
      <c r="N4634">
        <v>-1.360744E-2</v>
      </c>
      <c r="O4634">
        <v>1.6759839999999999E-3</v>
      </c>
      <c r="P4634">
        <v>-0.98193379999999997</v>
      </c>
      <c r="Q4634">
        <v>0.17086119999999999</v>
      </c>
      <c r="R4634">
        <v>-8.1319440000000007E-2</v>
      </c>
      <c r="S4634">
        <v>-3.03302</v>
      </c>
      <c r="T4634">
        <v>-9.1027620000000004E-2</v>
      </c>
      <c r="U4634">
        <v>-0.45762629999999999</v>
      </c>
      <c r="V4634">
        <v>-8.2958119999999996E-2</v>
      </c>
      <c r="W4634">
        <v>0.1842078</v>
      </c>
      <c r="X4634">
        <v>0.97938009999999998</v>
      </c>
      <c r="Y4634">
        <v>-0.15075269999999999</v>
      </c>
      <c r="Z4634">
        <v>-3.3081429999999999E-3</v>
      </c>
      <c r="AA4634">
        <v>0.98856599999999994</v>
      </c>
      <c r="AB4634">
        <v>24</v>
      </c>
      <c r="AC4634">
        <v>-36.847499999999997</v>
      </c>
      <c r="AD4634">
        <v>-1.1106368922979999</v>
      </c>
      <c r="AE4634">
        <v>-5.5837999999999903</v>
      </c>
      <c r="AF4634">
        <v>-5.6405442528228003</v>
      </c>
      <c r="AG4634">
        <v>-1.1106368922979999</v>
      </c>
      <c r="AH4634">
        <v>36.805401685337998</v>
      </c>
      <c r="AI4634">
        <v>91.708493589393896</v>
      </c>
      <c r="AJ4634">
        <v>98.712969048822004</v>
      </c>
      <c r="AK4634">
        <v>37.251669049771003</v>
      </c>
      <c r="AL4634">
        <v>79.385050772186204</v>
      </c>
      <c r="AM4634">
        <v>94.841665726949699</v>
      </c>
      <c r="AN4634">
        <v>0.99999997176539102</v>
      </c>
    </row>
    <row r="4635" spans="1:40" x14ac:dyDescent="0.25">
      <c r="A4635" t="str">
        <f>"20190304155154031"</f>
        <v>20190304155154031</v>
      </c>
      <c r="B4635" t="str">
        <f>"1551685914021596"</f>
        <v>1551685914021596</v>
      </c>
      <c r="C4635" t="s">
        <v>40</v>
      </c>
      <c r="D4635">
        <v>4.5986200000000004</v>
      </c>
      <c r="E4635">
        <v>0.47179840000000001</v>
      </c>
      <c r="F4635" t="s">
        <v>41</v>
      </c>
      <c r="G4635">
        <v>-350.62459999999999</v>
      </c>
      <c r="H4635" s="1">
        <v>-4.6498540000000002E-6</v>
      </c>
      <c r="I4635">
        <v>135.97710000000001</v>
      </c>
      <c r="J4635">
        <v>-313.38299999999998</v>
      </c>
      <c r="K4635">
        <v>1.1106290000000001</v>
      </c>
      <c r="L4635">
        <v>141.63829999999999</v>
      </c>
      <c r="M4635">
        <v>-0.99990590000000001</v>
      </c>
      <c r="N4635">
        <v>-1.362383E-2</v>
      </c>
      <c r="O4635">
        <v>1.6756939999999999E-3</v>
      </c>
      <c r="P4635">
        <v>-0.98173980000000005</v>
      </c>
      <c r="Q4635">
        <v>0.172099</v>
      </c>
      <c r="R4635">
        <v>-8.1050540000000004E-2</v>
      </c>
      <c r="S4635">
        <v>-3.032867</v>
      </c>
      <c r="T4635">
        <v>-8.9957480000000006E-2</v>
      </c>
      <c r="U4635">
        <v>-0.45849609999999902</v>
      </c>
      <c r="V4635">
        <v>-8.2688460000000005E-2</v>
      </c>
      <c r="W4635">
        <v>0.1854595</v>
      </c>
      <c r="X4635">
        <v>0.97916669999999995</v>
      </c>
      <c r="Y4635">
        <v>-0.1510386</v>
      </c>
      <c r="Z4635">
        <v>-3.2885950000000001E-3</v>
      </c>
      <c r="AA4635">
        <v>0.98852240000000002</v>
      </c>
      <c r="AB4635">
        <v>24</v>
      </c>
      <c r="AC4635">
        <v>-37.241599999999998</v>
      </c>
      <c r="AD4635">
        <v>-1.1106336498539999</v>
      </c>
      <c r="AE4635">
        <v>-5.6611999999999796</v>
      </c>
      <c r="AF4635">
        <v>-5.7186322243588501</v>
      </c>
      <c r="AG4635">
        <v>-1.1106336498539999</v>
      </c>
      <c r="AH4635">
        <v>37.199723122189702</v>
      </c>
      <c r="AI4635">
        <v>91.690268743719798</v>
      </c>
      <c r="AJ4635">
        <v>98.739538704264504</v>
      </c>
      <c r="AK4635">
        <v>37.653096313440599</v>
      </c>
      <c r="AL4635">
        <v>79.312076762731806</v>
      </c>
      <c r="AM4635">
        <v>94.8270488860028</v>
      </c>
      <c r="AN4635">
        <v>1.00000001697315</v>
      </c>
    </row>
    <row r="4636" spans="1:40" x14ac:dyDescent="0.25">
      <c r="A4636" t="str">
        <f>"20190304155154054"</f>
        <v>20190304155154054</v>
      </c>
      <c r="B4636" t="str">
        <f>"1551685914051851"</f>
        <v>1551685914051851</v>
      </c>
      <c r="C4636" t="s">
        <v>40</v>
      </c>
      <c r="D4636">
        <v>4.6024900000000004</v>
      </c>
      <c r="E4636">
        <v>0.471798</v>
      </c>
      <c r="F4636" t="s">
        <v>41</v>
      </c>
      <c r="G4636">
        <v>-352.51319999999998</v>
      </c>
      <c r="H4636" s="1">
        <v>-3.8848009999999999E-6</v>
      </c>
      <c r="I4636">
        <v>135.7226</v>
      </c>
      <c r="J4636">
        <v>-313.6293</v>
      </c>
      <c r="K4636">
        <v>1.110635</v>
      </c>
      <c r="L4636">
        <v>141.6387</v>
      </c>
      <c r="M4636">
        <v>-0.99990559999999995</v>
      </c>
      <c r="N4636">
        <v>-1.3642720000000001E-2</v>
      </c>
      <c r="O4636">
        <v>1.675387E-3</v>
      </c>
      <c r="P4636">
        <v>-0.98162660000000002</v>
      </c>
      <c r="Q4636">
        <v>0.17282639999999999</v>
      </c>
      <c r="R4636">
        <v>-8.0875959999999997E-2</v>
      </c>
      <c r="S4636">
        <v>-3.0330509999999999</v>
      </c>
      <c r="T4636">
        <v>-8.6087230000000001E-2</v>
      </c>
      <c r="U4636">
        <v>-0.45852660000000001</v>
      </c>
      <c r="V4636">
        <v>-8.2513690000000001E-2</v>
      </c>
      <c r="W4636">
        <v>0.18620400000000001</v>
      </c>
      <c r="X4636">
        <v>0.97904009999999997</v>
      </c>
      <c r="Y4636">
        <v>-0.15104589999999901</v>
      </c>
      <c r="Z4636">
        <v>-3.192102E-3</v>
      </c>
      <c r="AA4636">
        <v>0.9885216</v>
      </c>
      <c r="AB4636">
        <v>24</v>
      </c>
      <c r="AC4636">
        <v>-38.883899999999898</v>
      </c>
      <c r="AD4636">
        <v>-1.110638884801</v>
      </c>
      <c r="AE4636">
        <v>-5.9161000000000001</v>
      </c>
      <c r="AF4636">
        <v>-5.9764777900444699</v>
      </c>
      <c r="AG4636">
        <v>-1.110638884801</v>
      </c>
      <c r="AH4636">
        <v>38.842960003180202</v>
      </c>
      <c r="AI4636">
        <v>91.618776313714406</v>
      </c>
      <c r="AJ4636">
        <v>98.747081287389406</v>
      </c>
      <c r="AK4636">
        <v>39.315739180587499</v>
      </c>
      <c r="AL4636">
        <v>79.268663447638602</v>
      </c>
      <c r="AM4636">
        <v>94.8175144531304</v>
      </c>
      <c r="AN4636">
        <v>0.99999997803071194</v>
      </c>
    </row>
    <row r="4637" spans="1:40" x14ac:dyDescent="0.25">
      <c r="A4637" t="str">
        <f>"20190304155154076"</f>
        <v>20190304155154076</v>
      </c>
      <c r="B4637" t="str">
        <f>"1551685914071372"</f>
        <v>1551685914071372</v>
      </c>
      <c r="C4637" t="s">
        <v>40</v>
      </c>
      <c r="D4637">
        <v>4.8364529999999997</v>
      </c>
      <c r="E4637">
        <v>0.47156809999999899</v>
      </c>
      <c r="F4637" t="s">
        <v>41</v>
      </c>
      <c r="G4637">
        <v>-354.74180000000001</v>
      </c>
      <c r="H4637" s="1">
        <v>-2.9813059999999999E-6</v>
      </c>
      <c r="I4637">
        <v>135.42619999999999</v>
      </c>
      <c r="J4637">
        <v>-313.86579999999998</v>
      </c>
      <c r="K4637">
        <v>1.1106419999999999</v>
      </c>
      <c r="L4637">
        <v>141.63910000000001</v>
      </c>
      <c r="M4637">
        <v>-0.99990540000000006</v>
      </c>
      <c r="N4637">
        <v>-1.365909E-2</v>
      </c>
      <c r="O4637">
        <v>1.675097E-3</v>
      </c>
      <c r="P4637">
        <v>-0.9816163</v>
      </c>
      <c r="Q4637">
        <v>0.17305670000000001</v>
      </c>
      <c r="R4637">
        <v>-8.0504759999999995E-2</v>
      </c>
      <c r="S4637">
        <v>-3.0328059999999999</v>
      </c>
      <c r="T4637">
        <v>-8.1930160000000002E-2</v>
      </c>
      <c r="U4637">
        <v>-0.45828249999999998</v>
      </c>
      <c r="V4637">
        <v>-8.2141909999999999E-2</v>
      </c>
      <c r="W4637">
        <v>0.18645</v>
      </c>
      <c r="X4637">
        <v>0.97902460000000002</v>
      </c>
      <c r="Y4637">
        <v>-0.1509866</v>
      </c>
      <c r="Z4637">
        <v>-3.0871090000000002E-3</v>
      </c>
      <c r="AA4637">
        <v>0.98853100000000005</v>
      </c>
      <c r="AB4637">
        <v>24</v>
      </c>
      <c r="AC4637">
        <v>-40.875999999999998</v>
      </c>
      <c r="AD4637">
        <v>-1.110644981306</v>
      </c>
      <c r="AE4637">
        <v>-6.2129000000000101</v>
      </c>
      <c r="AF4637">
        <v>-6.2768395797789198</v>
      </c>
      <c r="AG4637">
        <v>-1.110644981306</v>
      </c>
      <c r="AH4637">
        <v>40.836067275431603</v>
      </c>
      <c r="AI4637">
        <v>91.539851000497194</v>
      </c>
      <c r="AJ4637">
        <v>98.738442307413905</v>
      </c>
      <c r="AK4637">
        <v>41.330577517237202</v>
      </c>
      <c r="AL4637">
        <v>79.254318038365597</v>
      </c>
      <c r="AM4637">
        <v>94.795985340080406</v>
      </c>
      <c r="AN4637">
        <v>1.0000000316418001</v>
      </c>
    </row>
    <row r="4638" spans="1:40" x14ac:dyDescent="0.25">
      <c r="A4638" t="str">
        <f>"20190304155154099"</f>
        <v>20190304155154099</v>
      </c>
      <c r="B4638" t="str">
        <f>"1551685914091866"</f>
        <v>1551685914091866</v>
      </c>
      <c r="C4638" t="s">
        <v>40</v>
      </c>
      <c r="D4638">
        <v>4.577248</v>
      </c>
      <c r="E4638">
        <v>0.45382709999999998</v>
      </c>
      <c r="F4638" t="s">
        <v>41</v>
      </c>
      <c r="G4638">
        <v>-355.5231</v>
      </c>
      <c r="H4638" s="1">
        <v>-2.6622959999999998E-6</v>
      </c>
      <c r="I4638">
        <v>135.33500000000001</v>
      </c>
      <c r="J4638">
        <v>-314.11989999999997</v>
      </c>
      <c r="K4638">
        <v>1.1106499999999999</v>
      </c>
      <c r="L4638">
        <v>141.6395</v>
      </c>
      <c r="M4638">
        <v>-0.99990520000000005</v>
      </c>
      <c r="N4638">
        <v>-1.367495E-2</v>
      </c>
      <c r="O4638">
        <v>1.67487E-3</v>
      </c>
      <c r="P4638">
        <v>-0.98157320000000003</v>
      </c>
      <c r="Q4638">
        <v>0.17335709999999999</v>
      </c>
      <c r="R4638">
        <v>-8.0384849999999994E-2</v>
      </c>
      <c r="S4638">
        <v>-3.0328059999999999</v>
      </c>
      <c r="T4638">
        <v>-8.0859180000000003E-2</v>
      </c>
      <c r="U4638">
        <v>-0.45895390000000003</v>
      </c>
      <c r="V4638">
        <v>-8.2021590000000005E-2</v>
      </c>
      <c r="W4638">
        <v>0.1867653</v>
      </c>
      <c r="X4638">
        <v>0.97897460000000003</v>
      </c>
      <c r="Y4638">
        <v>-0.151202</v>
      </c>
      <c r="Z4638">
        <v>-3.0655140000000001E-3</v>
      </c>
      <c r="AA4638">
        <v>0.98849819999999999</v>
      </c>
      <c r="AB4638">
        <v>24</v>
      </c>
      <c r="AC4638">
        <v>-41.403199999999998</v>
      </c>
      <c r="AD4638">
        <v>-1.110652662296</v>
      </c>
      <c r="AE4638">
        <v>-6.3044999999999902</v>
      </c>
      <c r="AF4638">
        <v>-6.3693631062594802</v>
      </c>
      <c r="AG4638">
        <v>-1.110652662296</v>
      </c>
      <c r="AH4638">
        <v>41.363491216596501</v>
      </c>
      <c r="AI4638">
        <v>91.520172977288496</v>
      </c>
      <c r="AJ4638">
        <v>98.753941459927603</v>
      </c>
      <c r="AK4638">
        <v>41.865746635419001</v>
      </c>
      <c r="AL4638">
        <v>79.2359298027026</v>
      </c>
      <c r="AM4638">
        <v>94.789236418491498</v>
      </c>
      <c r="AN4638">
        <v>1.0000000429776801</v>
      </c>
    </row>
    <row r="4639" spans="1:40" x14ac:dyDescent="0.25">
      <c r="A4639" t="str">
        <f>"20190304155154120"</f>
        <v>20190304155154120</v>
      </c>
      <c r="B4639" t="str">
        <f>"1551685914111394"</f>
        <v>1551685914111394</v>
      </c>
      <c r="C4639" t="s">
        <v>40</v>
      </c>
      <c r="D4639">
        <v>4.5096669999999897</v>
      </c>
      <c r="E4639">
        <v>0.44850499999999999</v>
      </c>
      <c r="F4639" t="s">
        <v>91</v>
      </c>
      <c r="G4639">
        <v>-440.75</v>
      </c>
      <c r="H4639">
        <v>0.29670570000000002</v>
      </c>
      <c r="I4639">
        <v>116.3754</v>
      </c>
      <c r="J4639">
        <v>-314.34710000000001</v>
      </c>
      <c r="K4639">
        <v>1.110652</v>
      </c>
      <c r="L4639">
        <v>141.63990000000001</v>
      </c>
      <c r="M4639">
        <v>-0.99990489999999999</v>
      </c>
      <c r="N4639">
        <v>-1.368785E-2</v>
      </c>
      <c r="O4639">
        <v>1.674781E-3</v>
      </c>
      <c r="P4639">
        <v>-0.98152519999999999</v>
      </c>
      <c r="Q4639">
        <v>0.1736037</v>
      </c>
      <c r="R4639">
        <v>-8.0437750000000002E-2</v>
      </c>
      <c r="S4639">
        <v>-3.0105900000000001</v>
      </c>
      <c r="T4639">
        <v>-1.9350530000000001E-2</v>
      </c>
      <c r="U4639">
        <v>-0.60064700000000004</v>
      </c>
      <c r="V4639">
        <v>-8.2074430000000004E-2</v>
      </c>
      <c r="W4639">
        <v>0.18702379999999999</v>
      </c>
      <c r="X4639">
        <v>0.97892080000000004</v>
      </c>
      <c r="Y4639">
        <v>-0.19728499999999999</v>
      </c>
      <c r="Z4639">
        <v>-1.9792759999999999E-3</v>
      </c>
      <c r="AA4639">
        <v>0.9803442</v>
      </c>
      <c r="AB4639">
        <v>24</v>
      </c>
      <c r="AC4639">
        <v>-126.4029</v>
      </c>
      <c r="AD4639">
        <v>-0.81394630000000001</v>
      </c>
      <c r="AE4639">
        <v>-25.264500000000002</v>
      </c>
      <c r="AF4639">
        <v>-25.475165834318599</v>
      </c>
      <c r="AG4639">
        <v>-0.81394630000000001</v>
      </c>
      <c r="AH4639">
        <v>126.355368213848</v>
      </c>
      <c r="AI4639">
        <v>90.361798567486801</v>
      </c>
      <c r="AJ4639">
        <v>101.39889083160701</v>
      </c>
      <c r="AK4639">
        <v>128.90044863895</v>
      </c>
      <c r="AL4639">
        <v>79.220852978984496</v>
      </c>
      <c r="AM4639">
        <v>94.792569529489896</v>
      </c>
      <c r="AN4639">
        <v>1.0000000232494499</v>
      </c>
    </row>
    <row r="4640" spans="1:40" x14ac:dyDescent="0.25">
      <c r="A4640" t="str">
        <f>"20190304155154143"</f>
        <v>20190304155154143</v>
      </c>
      <c r="B4640" t="str">
        <f>"1551685914131650"</f>
        <v>1551685914131650</v>
      </c>
      <c r="C4640" t="s">
        <v>40</v>
      </c>
      <c r="D4640">
        <v>4.3809630000000004</v>
      </c>
      <c r="E4640">
        <v>0.44717059999999997</v>
      </c>
      <c r="F4640" t="s">
        <v>42</v>
      </c>
      <c r="G4640">
        <v>-462.42160000000001</v>
      </c>
      <c r="H4640">
        <v>-0.05</v>
      </c>
      <c r="I4640">
        <v>109.961</v>
      </c>
      <c r="J4640">
        <v>-314.58249999999998</v>
      </c>
      <c r="K4640">
        <v>1.1106529999999999</v>
      </c>
      <c r="L4640">
        <v>141.6403</v>
      </c>
      <c r="M4640">
        <v>-0.99990489999999999</v>
      </c>
      <c r="N4640">
        <v>-1.369978E-2</v>
      </c>
      <c r="O4640">
        <v>1.674521E-3</v>
      </c>
      <c r="P4640">
        <v>-0.98146699999999998</v>
      </c>
      <c r="Q4640">
        <v>0.17380279999999901</v>
      </c>
      <c r="R4640">
        <v>-8.0719089999999993E-2</v>
      </c>
      <c r="S4640">
        <v>-3.0079039999999999</v>
      </c>
      <c r="T4640">
        <v>-2.3576860000000002E-2</v>
      </c>
      <c r="U4640">
        <v>-0.64350889999999905</v>
      </c>
      <c r="V4640">
        <v>-8.2355360000000002E-2</v>
      </c>
      <c r="W4640">
        <v>0.1872337</v>
      </c>
      <c r="X4640">
        <v>0.97885699999999998</v>
      </c>
      <c r="Y4640">
        <v>-0.21082490000000001</v>
      </c>
      <c r="Z4640">
        <v>-2.267706E-3</v>
      </c>
      <c r="AA4640">
        <v>0.97752119999999998</v>
      </c>
      <c r="AB4640">
        <v>24</v>
      </c>
      <c r="AC4640">
        <v>-147.8391</v>
      </c>
      <c r="AD4640">
        <v>-1.1606529999999999</v>
      </c>
      <c r="AE4640">
        <v>-31.679300000000001</v>
      </c>
      <c r="AF4640">
        <v>-31.924957147017299</v>
      </c>
      <c r="AG4640">
        <v>-1.1606529999999999</v>
      </c>
      <c r="AH4640">
        <v>147.777131707927</v>
      </c>
      <c r="AI4640">
        <v>90.439849589695001</v>
      </c>
      <c r="AJ4640">
        <v>102.19052118132799</v>
      </c>
      <c r="AK4640">
        <v>151.19070956922999</v>
      </c>
      <c r="AL4640">
        <v>79.208609480115001</v>
      </c>
      <c r="AM4640">
        <v>94.809209029663904</v>
      </c>
      <c r="AN4640">
        <v>0.99999994509270795</v>
      </c>
    </row>
    <row r="4641" spans="1:40" x14ac:dyDescent="0.25">
      <c r="A4641" t="str">
        <f>"20190304155154164"</f>
        <v>20190304155154164</v>
      </c>
      <c r="B4641" t="str">
        <f>"1551685914161906"</f>
        <v>1551685914161906</v>
      </c>
      <c r="C4641" t="s">
        <v>40</v>
      </c>
      <c r="D4641">
        <v>4.5168980000000003</v>
      </c>
      <c r="E4641">
        <v>0.445828</v>
      </c>
      <c r="F4641" t="s">
        <v>41</v>
      </c>
      <c r="G4641">
        <v>-374.56790000000001</v>
      </c>
      <c r="H4641">
        <v>7.9985539999999994E-2</v>
      </c>
      <c r="I4641">
        <v>128.59700000000001</v>
      </c>
      <c r="J4641">
        <v>-314.8186</v>
      </c>
      <c r="K4641">
        <v>1.1106469999999999</v>
      </c>
      <c r="L4641">
        <v>141.64070000000001</v>
      </c>
      <c r="M4641">
        <v>-0.99990480000000004</v>
      </c>
      <c r="N4641">
        <v>-1.3710170000000001E-2</v>
      </c>
      <c r="O4641">
        <v>1.6744500000000001E-3</v>
      </c>
      <c r="P4641">
        <v>-0.98149819999999999</v>
      </c>
      <c r="Q4641">
        <v>0.17356669999999999</v>
      </c>
      <c r="R4641">
        <v>-8.0847660000000002E-2</v>
      </c>
      <c r="S4641">
        <v>-3.0119630000000002</v>
      </c>
      <c r="T4641">
        <v>-5.1751489999999997E-2</v>
      </c>
      <c r="U4641">
        <v>-0.65492249999999996</v>
      </c>
      <c r="V4641">
        <v>-8.2484070000000007E-2</v>
      </c>
      <c r="W4641">
        <v>0.1870079</v>
      </c>
      <c r="X4641">
        <v>0.97888940000000002</v>
      </c>
      <c r="Y4641">
        <v>-0.2140563</v>
      </c>
      <c r="Z4641">
        <v>-3.3079139999999999E-3</v>
      </c>
      <c r="AA4641">
        <v>0.97681580000000001</v>
      </c>
      <c r="AB4641">
        <v>24</v>
      </c>
      <c r="AC4641">
        <v>-59.749299999999998</v>
      </c>
      <c r="AD4641">
        <v>-1.0306614599999999</v>
      </c>
      <c r="AE4641">
        <v>-13.043699999999999</v>
      </c>
      <c r="AF4641">
        <v>-13.140006304081201</v>
      </c>
      <c r="AG4641">
        <v>-1.0306614599999999</v>
      </c>
      <c r="AH4641">
        <v>59.710414277439199</v>
      </c>
      <c r="AI4641">
        <v>90.965780146124004</v>
      </c>
      <c r="AJ4641">
        <v>102.410818831374</v>
      </c>
      <c r="AK4641">
        <v>61.147817638079601</v>
      </c>
      <c r="AL4641">
        <v>79.221780274726797</v>
      </c>
      <c r="AM4641">
        <v>94.816531144794496</v>
      </c>
      <c r="AN4641">
        <v>1.00000001694926</v>
      </c>
    </row>
    <row r="4642" spans="1:40" x14ac:dyDescent="0.25">
      <c r="A4642" t="str">
        <f>"20190304155154188"</f>
        <v>20190304155154188</v>
      </c>
      <c r="B4642" t="str">
        <f>"1551685914181426"</f>
        <v>1551685914181426</v>
      </c>
      <c r="C4642" t="s">
        <v>40</v>
      </c>
      <c r="D4642">
        <v>4.5101959999999996</v>
      </c>
      <c r="E4642">
        <v>0.44534269999999998</v>
      </c>
      <c r="F4642" t="s">
        <v>41</v>
      </c>
      <c r="G4642">
        <v>-370.53809999999999</v>
      </c>
      <c r="H4642">
        <v>7.9986680000000004E-2</v>
      </c>
      <c r="I4642">
        <v>129.31139999999999</v>
      </c>
      <c r="J4642">
        <v>-315.06599999999997</v>
      </c>
      <c r="K4642">
        <v>1.110646</v>
      </c>
      <c r="L4642">
        <v>141.6412</v>
      </c>
      <c r="M4642">
        <v>-0.99990460000000003</v>
      </c>
      <c r="N4642">
        <v>-1.3719510000000001E-2</v>
      </c>
      <c r="O4642">
        <v>1.6740289999999901E-3</v>
      </c>
      <c r="P4642">
        <v>-0.98146120000000003</v>
      </c>
      <c r="Q4642">
        <v>0.173547799999999</v>
      </c>
      <c r="R4642">
        <v>-8.1335829999999998E-2</v>
      </c>
      <c r="S4642">
        <v>-3.0115050000000001</v>
      </c>
      <c r="T4642">
        <v>-5.5704829999999997E-2</v>
      </c>
      <c r="U4642">
        <v>-0.66636660000000003</v>
      </c>
      <c r="V4642">
        <v>-8.2971509999999998E-2</v>
      </c>
      <c r="W4642">
        <v>0.1869981</v>
      </c>
      <c r="X4642">
        <v>0.97885009999999995</v>
      </c>
      <c r="Y4642">
        <v>-0.21761900000000001</v>
      </c>
      <c r="Z4642">
        <v>-3.5073140000000001E-3</v>
      </c>
      <c r="AA4642">
        <v>0.97602750000000005</v>
      </c>
      <c r="AB4642">
        <v>24</v>
      </c>
      <c r="AC4642">
        <v>-55.472099999999998</v>
      </c>
      <c r="AD4642">
        <v>-1.03065932</v>
      </c>
      <c r="AE4642">
        <v>-12.329800000000001</v>
      </c>
      <c r="AF4642">
        <v>-12.4185681870421</v>
      </c>
      <c r="AG4642">
        <v>-1.03065932</v>
      </c>
      <c r="AH4642">
        <v>55.433144789165702</v>
      </c>
      <c r="AI4642">
        <v>91.039410212675094</v>
      </c>
      <c r="AJ4642">
        <v>102.62735625965</v>
      </c>
      <c r="AK4642">
        <v>56.816517278576001</v>
      </c>
      <c r="AL4642">
        <v>79.222352103177201</v>
      </c>
      <c r="AM4642">
        <v>94.845052959585004</v>
      </c>
      <c r="AN4642">
        <v>1.0000000395726401</v>
      </c>
    </row>
    <row r="4643" spans="1:40" x14ac:dyDescent="0.25">
      <c r="A4643" t="str">
        <f>"20190304155154210"</f>
        <v>20190304155154210</v>
      </c>
      <c r="B4643" t="str">
        <f>"1551685914201922"</f>
        <v>1551685914201922</v>
      </c>
      <c r="C4643" t="s">
        <v>40</v>
      </c>
      <c r="D4643">
        <v>4.468064</v>
      </c>
      <c r="E4643">
        <v>0.44497160000000002</v>
      </c>
      <c r="F4643" t="s">
        <v>41</v>
      </c>
      <c r="G4643">
        <v>-369.80779999999999</v>
      </c>
      <c r="H4643">
        <v>7.9985420000000002E-2</v>
      </c>
      <c r="I4643">
        <v>129.42189999999999</v>
      </c>
      <c r="J4643">
        <v>-315.30669999999998</v>
      </c>
      <c r="K4643">
        <v>1.110649</v>
      </c>
      <c r="L4643">
        <v>141.64160000000001</v>
      </c>
      <c r="M4643">
        <v>-0.99990449999999997</v>
      </c>
      <c r="N4643">
        <v>-1.3727100000000001E-2</v>
      </c>
      <c r="O4643">
        <v>1.67379799999999E-3</v>
      </c>
      <c r="P4643">
        <v>-0.98141529999999999</v>
      </c>
      <c r="Q4643">
        <v>0.17368129999999901</v>
      </c>
      <c r="R4643">
        <v>-8.1602519999999998E-2</v>
      </c>
      <c r="S4643">
        <v>-3.0110169999999998</v>
      </c>
      <c r="T4643">
        <v>-5.6690450000000003E-2</v>
      </c>
      <c r="U4643">
        <v>-0.67210389999999998</v>
      </c>
      <c r="V4643">
        <v>-8.3238080000000006E-2</v>
      </c>
      <c r="W4643">
        <v>0.18713859999999999</v>
      </c>
      <c r="X4643">
        <v>0.97880060000000002</v>
      </c>
      <c r="Y4643">
        <v>-0.2194217</v>
      </c>
      <c r="Z4643">
        <v>-3.573367E-3</v>
      </c>
      <c r="AA4643">
        <v>0.97562349999999998</v>
      </c>
      <c r="AB4643">
        <v>24</v>
      </c>
      <c r="AC4643">
        <v>-54.501100000000001</v>
      </c>
      <c r="AD4643">
        <v>-1.0306635799999999</v>
      </c>
      <c r="AE4643">
        <v>-12.2197</v>
      </c>
      <c r="AF4643">
        <v>-12.306724806815</v>
      </c>
      <c r="AG4643">
        <v>-1.0306635799999999</v>
      </c>
      <c r="AH4643">
        <v>54.462023866412402</v>
      </c>
      <c r="AI4643">
        <v>91.057504706659898</v>
      </c>
      <c r="AJ4643">
        <v>102.733212609104</v>
      </c>
      <c r="AK4643">
        <v>55.844693449883799</v>
      </c>
      <c r="AL4643">
        <v>79.214157215034007</v>
      </c>
      <c r="AM4643">
        <v>94.860789269545407</v>
      </c>
      <c r="AN4643">
        <v>1.0000000240661999</v>
      </c>
    </row>
    <row r="4644" spans="1:40" x14ac:dyDescent="0.25">
      <c r="A4644" t="str">
        <f>"20190304155154232"</f>
        <v>20190304155154232</v>
      </c>
      <c r="B4644" t="str">
        <f>"1551685914222015"</f>
        <v>1551685914222015</v>
      </c>
      <c r="C4644" t="s">
        <v>40</v>
      </c>
      <c r="D4644">
        <v>4.5162009999999997</v>
      </c>
      <c r="E4644">
        <v>0.44471759999999999</v>
      </c>
      <c r="F4644" t="s">
        <v>41</v>
      </c>
      <c r="G4644">
        <v>-369.08890000000002</v>
      </c>
      <c r="H4644">
        <v>7.9985630000000002E-2</v>
      </c>
      <c r="I4644">
        <v>129.5625</v>
      </c>
      <c r="J4644">
        <v>-315.54149999999998</v>
      </c>
      <c r="K4644">
        <v>1.1106469999999999</v>
      </c>
      <c r="L4644">
        <v>141.642</v>
      </c>
      <c r="M4644">
        <v>-0.99990429999999997</v>
      </c>
      <c r="N4644">
        <v>-1.373332E-2</v>
      </c>
      <c r="O4644">
        <v>1.673756E-3</v>
      </c>
      <c r="P4644">
        <v>-0.98143119999999995</v>
      </c>
      <c r="Q4644">
        <v>0.1734966</v>
      </c>
      <c r="R4644">
        <v>-8.1804119999999994E-2</v>
      </c>
      <c r="S4644">
        <v>-3.010834</v>
      </c>
      <c r="T4644">
        <v>-5.7698729999999997E-2</v>
      </c>
      <c r="U4644">
        <v>-0.67620849999999999</v>
      </c>
      <c r="V4644">
        <v>-8.3439810000000003E-2</v>
      </c>
      <c r="W4644">
        <v>0.18696009999999999</v>
      </c>
      <c r="X4644">
        <v>0.97881750000000001</v>
      </c>
      <c r="Y4644">
        <v>-0.22069839999999999</v>
      </c>
      <c r="Z4644">
        <v>-3.631886E-3</v>
      </c>
      <c r="AA4644">
        <v>0.97533539999999996</v>
      </c>
      <c r="AB4644">
        <v>24</v>
      </c>
      <c r="AC4644">
        <v>-53.547400000000003</v>
      </c>
      <c r="AD4644">
        <v>-1.03066137</v>
      </c>
      <c r="AE4644">
        <v>-12.0794999999999</v>
      </c>
      <c r="AF4644">
        <v>-12.1648283202013</v>
      </c>
      <c r="AG4644">
        <v>-1.03066137</v>
      </c>
      <c r="AH4644">
        <v>53.508241572189903</v>
      </c>
      <c r="AI4644">
        <v>91.076028811519706</v>
      </c>
      <c r="AJ4644">
        <v>102.808200628883</v>
      </c>
      <c r="AK4644">
        <v>54.883305540641501</v>
      </c>
      <c r="AL4644">
        <v>79.224567885125495</v>
      </c>
      <c r="AM4644">
        <v>94.872429169829502</v>
      </c>
      <c r="AN4644">
        <v>0.99999998959554803</v>
      </c>
    </row>
    <row r="4645" spans="1:40" x14ac:dyDescent="0.25">
      <c r="A4645" t="str">
        <f>"20190304155154254"</f>
        <v>20190304155154254</v>
      </c>
      <c r="B4645" t="str">
        <f>"1551685914251291"</f>
        <v>1551685914251291</v>
      </c>
      <c r="C4645" t="s">
        <v>40</v>
      </c>
      <c r="D4645">
        <v>4.4928119999999998</v>
      </c>
      <c r="E4645">
        <v>0.4445733</v>
      </c>
      <c r="F4645" t="s">
        <v>41</v>
      </c>
      <c r="G4645">
        <v>-369.37540000000001</v>
      </c>
      <c r="H4645">
        <v>7.9985539999999994E-2</v>
      </c>
      <c r="I4645">
        <v>129.49809999999999</v>
      </c>
      <c r="J4645">
        <v>-315.7792</v>
      </c>
      <c r="K4645">
        <v>1.1106450000000001</v>
      </c>
      <c r="L4645">
        <v>141.64240000000001</v>
      </c>
      <c r="M4645">
        <v>-0.99990429999999997</v>
      </c>
      <c r="N4645">
        <v>-1.3738520000000001E-2</v>
      </c>
      <c r="O4645">
        <v>1.6732429999999901E-3</v>
      </c>
      <c r="P4645">
        <v>-0.98135969999999995</v>
      </c>
      <c r="Q4645">
        <v>0.17375789999999999</v>
      </c>
      <c r="R4645">
        <v>-8.2107040000000006E-2</v>
      </c>
      <c r="S4645">
        <v>-3.0103759999999999</v>
      </c>
      <c r="T4645">
        <v>-5.7634350000000001E-2</v>
      </c>
      <c r="U4645">
        <v>-0.67907709999999999</v>
      </c>
      <c r="V4645">
        <v>-8.3741670000000004E-2</v>
      </c>
      <c r="W4645">
        <v>0.18722530000000001</v>
      </c>
      <c r="X4645">
        <v>0.97874099999999997</v>
      </c>
      <c r="Y4645">
        <v>-0.22161400000000001</v>
      </c>
      <c r="Z4645">
        <v>-3.645372E-3</v>
      </c>
      <c r="AA4645">
        <v>0.97512759999999998</v>
      </c>
      <c r="AB4645">
        <v>24</v>
      </c>
      <c r="AC4645">
        <v>-53.596200000000003</v>
      </c>
      <c r="AD4645">
        <v>-1.0306594600000001</v>
      </c>
      <c r="AE4645">
        <v>-12.144299999999999</v>
      </c>
      <c r="AF4645">
        <v>-12.229669292045401</v>
      </c>
      <c r="AG4645">
        <v>-1.0306594600000001</v>
      </c>
      <c r="AH4645">
        <v>53.556964705576497</v>
      </c>
      <c r="AI4645">
        <v>91.074814461034407</v>
      </c>
      <c r="AJ4645">
        <v>102.862879307889</v>
      </c>
      <c r="AK4645">
        <v>54.9452048716687</v>
      </c>
      <c r="AL4645">
        <v>79.209099620771397</v>
      </c>
      <c r="AM4645">
        <v>94.890351181147295</v>
      </c>
      <c r="AN4645">
        <v>0.99999996266773805</v>
      </c>
    </row>
    <row r="4646" spans="1:40" x14ac:dyDescent="0.25">
      <c r="A4646" t="str">
        <f>"20190304155154277"</f>
        <v>20190304155154277</v>
      </c>
      <c r="B4646" t="str">
        <f>"1551685914271788"</f>
        <v>1551685914271788</v>
      </c>
      <c r="C4646" t="s">
        <v>40</v>
      </c>
      <c r="D4646">
        <v>4.4945079999999997</v>
      </c>
      <c r="E4646">
        <v>0.4445055</v>
      </c>
      <c r="F4646" t="s">
        <v>41</v>
      </c>
      <c r="G4646">
        <v>-372.12639999999999</v>
      </c>
      <c r="H4646">
        <v>7.998624E-2</v>
      </c>
      <c r="I4646">
        <v>128.88550000000001</v>
      </c>
      <c r="J4646">
        <v>-316.02379999999999</v>
      </c>
      <c r="K4646">
        <v>1.1106499999999999</v>
      </c>
      <c r="L4646">
        <v>141.64279999999999</v>
      </c>
      <c r="M4646">
        <v>-0.99990420000000002</v>
      </c>
      <c r="N4646">
        <v>-1.3742849999999999E-2</v>
      </c>
      <c r="O4646">
        <v>1.6732139999999999E-3</v>
      </c>
      <c r="P4646">
        <v>-0.98131809999999997</v>
      </c>
      <c r="Q4646">
        <v>0.1739502</v>
      </c>
      <c r="R4646">
        <v>-8.2195619999999997E-2</v>
      </c>
      <c r="S4646">
        <v>-3.009735</v>
      </c>
      <c r="T4646">
        <v>-5.5051799999999998E-2</v>
      </c>
      <c r="U4646">
        <v>-0.68139649999999996</v>
      </c>
      <c r="V4646">
        <v>-8.3830420000000003E-2</v>
      </c>
      <c r="W4646">
        <v>0.187421</v>
      </c>
      <c r="X4646">
        <v>0.97869600000000001</v>
      </c>
      <c r="Y4646">
        <v>-0.22237779999999999</v>
      </c>
      <c r="Z4646">
        <v>-3.563161E-3</v>
      </c>
      <c r="AA4646">
        <v>0.97495410000000005</v>
      </c>
      <c r="AB4646">
        <v>24</v>
      </c>
      <c r="AC4646">
        <v>-56.102600000000002</v>
      </c>
      <c r="AD4646">
        <v>-1.0306637599999999</v>
      </c>
      <c r="AE4646">
        <v>-12.757299999999899</v>
      </c>
      <c r="AF4646">
        <v>-12.8470400089116</v>
      </c>
      <c r="AG4646">
        <v>-1.0306637599999999</v>
      </c>
      <c r="AH4646">
        <v>56.063182925187</v>
      </c>
      <c r="AI4646">
        <v>91.026601933582896</v>
      </c>
      <c r="AJ4646">
        <v>102.906658340083</v>
      </c>
      <c r="AK4646">
        <v>57.525552448279299</v>
      </c>
      <c r="AL4646">
        <v>79.197685352021196</v>
      </c>
      <c r="AM4646">
        <v>94.895732833713893</v>
      </c>
      <c r="AN4646">
        <v>1.00000001548718</v>
      </c>
    </row>
    <row r="4647" spans="1:40" x14ac:dyDescent="0.25">
      <c r="A4647" t="str">
        <f>"20190304155154301"</f>
        <v>20190304155154301</v>
      </c>
      <c r="B4647" t="str">
        <f>"1551685914291320"</f>
        <v>1551685914291320</v>
      </c>
      <c r="C4647" t="s">
        <v>40</v>
      </c>
      <c r="D4647">
        <v>4.4968050000000002</v>
      </c>
      <c r="E4647">
        <v>0.44444909999999999</v>
      </c>
      <c r="F4647" t="s">
        <v>41</v>
      </c>
      <c r="G4647">
        <v>-372.57130000000001</v>
      </c>
      <c r="H4647">
        <v>7.9986119999999994E-2</v>
      </c>
      <c r="I4647">
        <v>128.82169999999999</v>
      </c>
      <c r="J4647">
        <v>-316.27080000000001</v>
      </c>
      <c r="K4647">
        <v>1.1106529999999999</v>
      </c>
      <c r="L4647">
        <v>141.64320000000001</v>
      </c>
      <c r="M4647">
        <v>-0.99990409999999996</v>
      </c>
      <c r="N4647">
        <v>-1.3746319999999999E-2</v>
      </c>
      <c r="O4647">
        <v>1.672832E-3</v>
      </c>
      <c r="P4647">
        <v>-0.98117149999999997</v>
      </c>
      <c r="Q4647">
        <v>0.17478679999999999</v>
      </c>
      <c r="R4647">
        <v>-8.2170549999999995E-2</v>
      </c>
      <c r="S4647">
        <v>-3.0096440000000002</v>
      </c>
      <c r="T4647">
        <v>-5.4855349999999997E-2</v>
      </c>
      <c r="U4647">
        <v>-0.68237300000000001</v>
      </c>
      <c r="V4647">
        <v>-8.3804610000000002E-2</v>
      </c>
      <c r="W4647">
        <v>0.18825890000000001</v>
      </c>
      <c r="X4647">
        <v>0.9785374</v>
      </c>
      <c r="Y4647">
        <v>-0.22268499999999999</v>
      </c>
      <c r="Z4647">
        <v>-3.5612159999999999E-3</v>
      </c>
      <c r="AA4647">
        <v>0.97488399999999997</v>
      </c>
      <c r="AB4647">
        <v>24</v>
      </c>
      <c r="AC4647">
        <v>-56.3005</v>
      </c>
      <c r="AD4647">
        <v>-1.0306668800000001</v>
      </c>
      <c r="AE4647">
        <v>-12.8215</v>
      </c>
      <c r="AF4647">
        <v>-12.911558543305301</v>
      </c>
      <c r="AG4647">
        <v>-1.0306668800000001</v>
      </c>
      <c r="AH4647">
        <v>56.261045892834197</v>
      </c>
      <c r="AI4647">
        <v>91.022919416854506</v>
      </c>
      <c r="AJ4647">
        <v>102.925212942374</v>
      </c>
      <c r="AK4647">
        <v>57.732797465481703</v>
      </c>
      <c r="AL4647">
        <v>79.148807379151705</v>
      </c>
      <c r="AM4647">
        <v>94.895022237729293</v>
      </c>
      <c r="AN4647">
        <v>1.0000000346426099</v>
      </c>
    </row>
    <row r="4648" spans="1:40" x14ac:dyDescent="0.25">
      <c r="A4648" t="str">
        <f>"20190304155154321"</f>
        <v>20190304155154321</v>
      </c>
      <c r="B4648" t="str">
        <f>"1551685914311807"</f>
        <v>1551685914311807</v>
      </c>
      <c r="C4648" t="s">
        <v>40</v>
      </c>
      <c r="D4648">
        <v>4.5247799999999998</v>
      </c>
      <c r="E4648">
        <v>0.44436170000000003</v>
      </c>
      <c r="F4648" t="s">
        <v>41</v>
      </c>
      <c r="G4648">
        <v>-374.72399999999999</v>
      </c>
      <c r="H4648">
        <v>7.9985500000000001E-2</v>
      </c>
      <c r="I4648">
        <v>128.37889999999999</v>
      </c>
      <c r="J4648">
        <v>-316.49549999999999</v>
      </c>
      <c r="K4648">
        <v>1.110654</v>
      </c>
      <c r="L4648">
        <v>141.64359999999999</v>
      </c>
      <c r="M4648">
        <v>-0.99990409999999996</v>
      </c>
      <c r="N4648">
        <v>-1.374876E-2</v>
      </c>
      <c r="O4648">
        <v>1.672637E-3</v>
      </c>
      <c r="P4648">
        <v>-0.98104650000000004</v>
      </c>
      <c r="Q4648">
        <v>0.1753075</v>
      </c>
      <c r="R4648">
        <v>-8.2555320000000001E-2</v>
      </c>
      <c r="S4648">
        <v>-3.0097960000000001</v>
      </c>
      <c r="T4648">
        <v>-5.3069829999999998E-2</v>
      </c>
      <c r="U4648">
        <v>-0.68298340000000002</v>
      </c>
      <c r="V4648">
        <v>-8.41888999999999E-2</v>
      </c>
      <c r="W4648">
        <v>0.18878059999999999</v>
      </c>
      <c r="X4648">
        <v>0.97840389999999999</v>
      </c>
      <c r="Y4648">
        <v>-0.22286529999999999</v>
      </c>
      <c r="Z4648">
        <v>-3.4979989999999999E-3</v>
      </c>
      <c r="AA4648">
        <v>0.97484300000000002</v>
      </c>
      <c r="AB4648">
        <v>24</v>
      </c>
      <c r="AC4648">
        <v>-58.228499999999997</v>
      </c>
      <c r="AD4648">
        <v>-1.0306685</v>
      </c>
      <c r="AE4648">
        <v>-13.264699999999999</v>
      </c>
      <c r="AF4648">
        <v>-13.3581071056442</v>
      </c>
      <c r="AG4648">
        <v>-1.0306685</v>
      </c>
      <c r="AH4648">
        <v>58.188897966836102</v>
      </c>
      <c r="AI4648">
        <v>90.989022290297797</v>
      </c>
      <c r="AJ4648">
        <v>102.92906532628101</v>
      </c>
      <c r="AK4648">
        <v>59.711382077436603</v>
      </c>
      <c r="AL4648">
        <v>79.118370463100206</v>
      </c>
      <c r="AM4648">
        <v>94.918026448718507</v>
      </c>
      <c r="AN4648">
        <v>1.00000003867738</v>
      </c>
    </row>
    <row r="4649" spans="1:40" x14ac:dyDescent="0.25">
      <c r="A4649" t="str">
        <f>"20190304155154344"</f>
        <v>20190304155154344</v>
      </c>
      <c r="B4649" t="str">
        <f>"1551685914342059"</f>
        <v>1551685914342059</v>
      </c>
      <c r="C4649" t="s">
        <v>40</v>
      </c>
      <c r="D4649">
        <v>4.5097519999999998</v>
      </c>
      <c r="E4649">
        <v>0.4442526</v>
      </c>
      <c r="F4649" t="s">
        <v>41</v>
      </c>
      <c r="G4649">
        <v>-376.1216</v>
      </c>
      <c r="H4649">
        <v>7.9986580000000002E-2</v>
      </c>
      <c r="I4649">
        <v>128.07740000000001</v>
      </c>
      <c r="J4649">
        <v>-316.7285</v>
      </c>
      <c r="K4649">
        <v>1.110662</v>
      </c>
      <c r="L4649">
        <v>141.6439</v>
      </c>
      <c r="M4649">
        <v>-0.99990400000000002</v>
      </c>
      <c r="N4649">
        <v>-1.375066E-2</v>
      </c>
      <c r="O4649">
        <v>1.6726239999999999E-3</v>
      </c>
      <c r="P4649">
        <v>-0.98091910000000004</v>
      </c>
      <c r="Q4649">
        <v>0.17602379999999901</v>
      </c>
      <c r="R4649">
        <v>-8.2542790000000005E-2</v>
      </c>
      <c r="S4649">
        <v>-3.0096440000000002</v>
      </c>
      <c r="T4649">
        <v>-5.202329E-2</v>
      </c>
      <c r="U4649">
        <v>-0.68475339999999996</v>
      </c>
      <c r="V4649">
        <v>-8.4176150000000005E-2</v>
      </c>
      <c r="W4649">
        <v>0.1894969</v>
      </c>
      <c r="X4649">
        <v>0.97826650000000004</v>
      </c>
      <c r="Y4649">
        <v>-0.2234227</v>
      </c>
      <c r="Z4649">
        <v>-3.4680879999999998E-3</v>
      </c>
      <c r="AA4649">
        <v>0.97471549999999996</v>
      </c>
      <c r="AB4649">
        <v>24</v>
      </c>
      <c r="AC4649">
        <v>-59.393099999999997</v>
      </c>
      <c r="AD4649">
        <v>-1.0306754199999999</v>
      </c>
      <c r="AE4649">
        <v>-13.5664999999999</v>
      </c>
      <c r="AF4649">
        <v>-13.6619225724264</v>
      </c>
      <c r="AG4649">
        <v>-1.0306754199999999</v>
      </c>
      <c r="AH4649">
        <v>59.353335623264101</v>
      </c>
      <c r="AI4649">
        <v>90.969499006731695</v>
      </c>
      <c r="AJ4649">
        <v>102.962533336476</v>
      </c>
      <c r="AK4649">
        <v>60.914110596841198</v>
      </c>
      <c r="AL4649">
        <v>79.076574923810398</v>
      </c>
      <c r="AM4649">
        <v>94.917972547783705</v>
      </c>
      <c r="AN4649">
        <v>1.00000002218034</v>
      </c>
    </row>
    <row r="4650" spans="1:40" x14ac:dyDescent="0.25">
      <c r="A4650" t="str">
        <f>"20190304155154366"</f>
        <v>20190304155154366</v>
      </c>
      <c r="B4650" t="str">
        <f>"1551685914361580"</f>
        <v>1551685914361580</v>
      </c>
      <c r="C4650" t="s">
        <v>40</v>
      </c>
      <c r="D4650">
        <v>4.5120630000000004</v>
      </c>
      <c r="E4650">
        <v>0.44417129999999999</v>
      </c>
      <c r="F4650" t="s">
        <v>41</v>
      </c>
      <c r="G4650">
        <v>-377.58359999999999</v>
      </c>
      <c r="H4650">
        <v>7.9986160000000001E-2</v>
      </c>
      <c r="I4650">
        <v>127.7783</v>
      </c>
      <c r="J4650">
        <v>-316.9683</v>
      </c>
      <c r="K4650">
        <v>1.1106670000000001</v>
      </c>
      <c r="L4650">
        <v>141.64429999999999</v>
      </c>
      <c r="M4650">
        <v>-0.99990420000000002</v>
      </c>
      <c r="N4650">
        <v>-1.375201E-2</v>
      </c>
      <c r="O4650">
        <v>1.672436E-3</v>
      </c>
      <c r="P4650">
        <v>-0.98085370000000005</v>
      </c>
      <c r="Q4650">
        <v>0.1764183</v>
      </c>
      <c r="R4650">
        <v>-8.24796E-2</v>
      </c>
      <c r="S4650">
        <v>-3.009827</v>
      </c>
      <c r="T4650">
        <v>-5.097604E-2</v>
      </c>
      <c r="U4650">
        <v>-0.68577580000000005</v>
      </c>
      <c r="V4650">
        <v>-8.4112699999999999E-2</v>
      </c>
      <c r="W4650">
        <v>0.18989210000000001</v>
      </c>
      <c r="X4650">
        <v>0.97819529999999999</v>
      </c>
      <c r="Y4650">
        <v>-0.22372619999999999</v>
      </c>
      <c r="Z4650">
        <v>-3.4338070000000001E-3</v>
      </c>
      <c r="AA4650">
        <v>0.97464600000000001</v>
      </c>
      <c r="AB4650">
        <v>24</v>
      </c>
      <c r="AC4650">
        <v>-60.615299999999898</v>
      </c>
      <c r="AD4650">
        <v>-1.03068084</v>
      </c>
      <c r="AE4650">
        <v>-13.8659999999999</v>
      </c>
      <c r="AF4650">
        <v>-13.9635289508597</v>
      </c>
      <c r="AG4650">
        <v>-1.03068084</v>
      </c>
      <c r="AH4650">
        <v>60.575380135933699</v>
      </c>
      <c r="AI4650">
        <v>90.949879323013704</v>
      </c>
      <c r="AJ4650">
        <v>102.98078186043401</v>
      </c>
      <c r="AK4650">
        <v>62.172494902234</v>
      </c>
      <c r="AL4650">
        <v>79.053512657778995</v>
      </c>
      <c r="AM4650">
        <v>94.914639601284193</v>
      </c>
      <c r="AN4650">
        <v>1.0000000004428899</v>
      </c>
    </row>
    <row r="4651" spans="1:40" x14ac:dyDescent="0.25">
      <c r="A4651" t="str">
        <f>"20190304155154389"</f>
        <v>20190304155154389</v>
      </c>
      <c r="B4651" t="str">
        <f>"1551685914381099"</f>
        <v>1551685914381099</v>
      </c>
      <c r="C4651" t="s">
        <v>40</v>
      </c>
      <c r="D4651">
        <v>4.4945649999999997</v>
      </c>
      <c r="E4651">
        <v>0.44408350000000002</v>
      </c>
      <c r="F4651" t="s">
        <v>41</v>
      </c>
      <c r="G4651">
        <v>-378.11259999999999</v>
      </c>
      <c r="H4651">
        <v>7.9986000000000002E-2</v>
      </c>
      <c r="I4651">
        <v>127.7056</v>
      </c>
      <c r="J4651">
        <v>-317.21390000000002</v>
      </c>
      <c r="K4651">
        <v>1.110671</v>
      </c>
      <c r="L4651">
        <v>141.6447</v>
      </c>
      <c r="M4651">
        <v>-0.99990409999999996</v>
      </c>
      <c r="N4651">
        <v>-1.3752810000000001E-2</v>
      </c>
      <c r="O4651">
        <v>1.6723109999999999E-3</v>
      </c>
      <c r="P4651">
        <v>-0.9807477</v>
      </c>
      <c r="Q4651">
        <v>0.177086299999999</v>
      </c>
      <c r="R4651">
        <v>-8.2308210000000007E-2</v>
      </c>
      <c r="S4651">
        <v>-3.0100099999999999</v>
      </c>
      <c r="T4651">
        <v>-5.0738329999999998E-2</v>
      </c>
      <c r="U4651">
        <v>-0.68617249999999996</v>
      </c>
      <c r="V4651">
        <v>-8.3940719999999996E-2</v>
      </c>
      <c r="W4651">
        <v>0.19055920000000001</v>
      </c>
      <c r="X4651">
        <v>0.97808030000000001</v>
      </c>
      <c r="Y4651">
        <v>-0.2238357</v>
      </c>
      <c r="Z4651">
        <v>-3.4265979999999999E-3</v>
      </c>
      <c r="AA4651">
        <v>0.97462090000000001</v>
      </c>
      <c r="AB4651">
        <v>24</v>
      </c>
      <c r="AC4651">
        <v>-60.898699999999899</v>
      </c>
      <c r="AD4651">
        <v>-1.0306850000000001</v>
      </c>
      <c r="AE4651">
        <v>-13.9390999999999</v>
      </c>
      <c r="AF4651">
        <v>-14.037111051488401</v>
      </c>
      <c r="AG4651">
        <v>-1.0306850000000001</v>
      </c>
      <c r="AH4651">
        <v>60.858737481156297</v>
      </c>
      <c r="AI4651">
        <v>90.945433216342494</v>
      </c>
      <c r="AJ4651">
        <v>102.98816927399299</v>
      </c>
      <c r="AK4651">
        <v>62.465100064286702</v>
      </c>
      <c r="AL4651">
        <v>79.014579328726697</v>
      </c>
      <c r="AM4651">
        <v>94.905213871456198</v>
      </c>
      <c r="AN4651">
        <v>0.99999996321342299</v>
      </c>
    </row>
    <row r="4652" spans="1:40" x14ac:dyDescent="0.25">
      <c r="A4652" t="str">
        <f>"20190304155154423"</f>
        <v>20190304155154423</v>
      </c>
      <c r="B4652" t="str">
        <f>"1551685914411355"</f>
        <v>1551685914411355</v>
      </c>
      <c r="C4652" t="s">
        <v>40</v>
      </c>
      <c r="D4652">
        <v>4.4202269999999997</v>
      </c>
      <c r="E4652">
        <v>0.44405410000000001</v>
      </c>
      <c r="F4652" t="s">
        <v>41</v>
      </c>
      <c r="G4652">
        <v>-380.56200000000001</v>
      </c>
      <c r="H4652">
        <v>7.9986769999999999E-2</v>
      </c>
      <c r="I4652">
        <v>127.1962</v>
      </c>
      <c r="J4652">
        <v>-317.56450000000001</v>
      </c>
      <c r="K4652">
        <v>1.1106750000000001</v>
      </c>
      <c r="L4652">
        <v>141.64529999999999</v>
      </c>
      <c r="M4652">
        <v>-0.99990409999999996</v>
      </c>
      <c r="N4652">
        <v>-1.3753130000000001E-2</v>
      </c>
      <c r="O4652">
        <v>1.67213E-3</v>
      </c>
      <c r="P4652">
        <v>-0.98053999999999997</v>
      </c>
      <c r="Q4652">
        <v>0.17826410000000001</v>
      </c>
      <c r="R4652">
        <v>-8.2239720000000002E-2</v>
      </c>
      <c r="S4652">
        <v>-3.010132</v>
      </c>
      <c r="T4652">
        <v>-4.8975350000000001E-2</v>
      </c>
      <c r="U4652">
        <v>-0.686554</v>
      </c>
      <c r="V4652">
        <v>-8.3872189999999999E-2</v>
      </c>
      <c r="W4652">
        <v>0.19173399999999999</v>
      </c>
      <c r="X4652">
        <v>0.97785659999999996</v>
      </c>
      <c r="Y4652">
        <v>-0.22394729999999999</v>
      </c>
      <c r="Z4652">
        <v>-3.3625439999999999E-3</v>
      </c>
      <c r="AA4652">
        <v>0.9745954</v>
      </c>
      <c r="AB4652">
        <v>24</v>
      </c>
      <c r="AC4652">
        <v>-62.997499999999903</v>
      </c>
      <c r="AD4652">
        <v>-1.03068823</v>
      </c>
      <c r="AE4652">
        <v>-14.4490999999999</v>
      </c>
      <c r="AF4652">
        <v>-14.550729546745901</v>
      </c>
      <c r="AG4652">
        <v>-1.03068823</v>
      </c>
      <c r="AH4652">
        <v>62.9572389834766</v>
      </c>
      <c r="AI4652">
        <v>90.9138340143043</v>
      </c>
      <c r="AJ4652">
        <v>103.01374208345101</v>
      </c>
      <c r="AK4652">
        <v>64.625072448644801</v>
      </c>
      <c r="AL4652">
        <v>78.946004228513104</v>
      </c>
      <c r="AM4652">
        <v>94.902344492965696</v>
      </c>
      <c r="AN4652">
        <v>1.0000000005874701</v>
      </c>
    </row>
    <row r="4653" spans="1:40" x14ac:dyDescent="0.25">
      <c r="A4653" t="str">
        <f>"20190304155154443"</f>
        <v>20190304155154443</v>
      </c>
      <c r="B4653" t="str">
        <f>"1551685914431852"</f>
        <v>1551685914431852</v>
      </c>
      <c r="C4653" t="s">
        <v>40</v>
      </c>
      <c r="D4653">
        <v>4.8456769999999896</v>
      </c>
      <c r="E4653">
        <v>0.44542320000000002</v>
      </c>
      <c r="F4653" t="s">
        <v>41</v>
      </c>
      <c r="G4653">
        <v>-388.01519999999999</v>
      </c>
      <c r="H4653">
        <v>7.9986119999999994E-2</v>
      </c>
      <c r="I4653">
        <v>125.5742</v>
      </c>
      <c r="J4653">
        <v>-317.78899999999999</v>
      </c>
      <c r="K4653">
        <v>1.1106830000000001</v>
      </c>
      <c r="L4653">
        <v>141.64570000000001</v>
      </c>
      <c r="M4653">
        <v>-0.99990409999999996</v>
      </c>
      <c r="N4653">
        <v>-1.375294E-2</v>
      </c>
      <c r="O4653">
        <v>1.6719529999999999E-3</v>
      </c>
      <c r="P4653">
        <v>-0.98043910000000001</v>
      </c>
      <c r="Q4653">
        <v>0.17900079999999999</v>
      </c>
      <c r="R4653">
        <v>-8.184081E-2</v>
      </c>
      <c r="S4653">
        <v>-3.0099179999999999</v>
      </c>
      <c r="T4653">
        <v>-4.4034959999999998E-2</v>
      </c>
      <c r="U4653">
        <v>-0.68661499999999998</v>
      </c>
      <c r="V4653">
        <v>-8.3472469999999993E-2</v>
      </c>
      <c r="W4653">
        <v>0.1924691</v>
      </c>
      <c r="X4653">
        <v>0.97774640000000002</v>
      </c>
      <c r="Y4653">
        <v>-0.22398879999999999</v>
      </c>
      <c r="Z4653">
        <v>-3.179074E-3</v>
      </c>
      <c r="AA4653">
        <v>0.97458650000000002</v>
      </c>
      <c r="AB4653">
        <v>24</v>
      </c>
      <c r="AC4653">
        <v>-70.226200000000006</v>
      </c>
      <c r="AD4653">
        <v>-1.03069688</v>
      </c>
      <c r="AE4653">
        <v>-16.0715</v>
      </c>
      <c r="AF4653">
        <v>-16.185590530200599</v>
      </c>
      <c r="AG4653">
        <v>-1.03069688</v>
      </c>
      <c r="AH4653">
        <v>70.184862455716697</v>
      </c>
      <c r="AI4653">
        <v>90.819839135848298</v>
      </c>
      <c r="AJ4653">
        <v>102.986155595466</v>
      </c>
      <c r="AK4653">
        <v>72.034370926646005</v>
      </c>
      <c r="AL4653">
        <v>78.903086928723596</v>
      </c>
      <c r="AM4653">
        <v>94.879641099699398</v>
      </c>
      <c r="AN4653">
        <v>1.0000000152078301</v>
      </c>
    </row>
    <row r="4654" spans="1:40" x14ac:dyDescent="0.25">
      <c r="A4654" t="str">
        <f>"20190304155154467"</f>
        <v>20190304155154467</v>
      </c>
      <c r="B4654" t="str">
        <f>"1551685914462108"</f>
        <v>1551685914462108</v>
      </c>
      <c r="C4654" t="s">
        <v>40</v>
      </c>
      <c r="D4654">
        <v>4.6278739999999896</v>
      </c>
      <c r="E4654">
        <v>0.52839559999999997</v>
      </c>
      <c r="F4654" t="s">
        <v>41</v>
      </c>
      <c r="G4654">
        <v>-392.40120000000002</v>
      </c>
      <c r="H4654">
        <v>7.9986329999999994E-2</v>
      </c>
      <c r="I4654">
        <v>124.9265</v>
      </c>
      <c r="J4654">
        <v>-318.03739999999999</v>
      </c>
      <c r="K4654">
        <v>1.1106769999999999</v>
      </c>
      <c r="L4654">
        <v>141.64609999999999</v>
      </c>
      <c r="M4654">
        <v>-0.99990409999999996</v>
      </c>
      <c r="N4654">
        <v>-1.375241E-2</v>
      </c>
      <c r="O4654">
        <v>1.6717779999999901E-3</v>
      </c>
      <c r="P4654">
        <v>-0.98044249999999999</v>
      </c>
      <c r="Q4654">
        <v>0.17919370000000001</v>
      </c>
      <c r="R4654">
        <v>-8.1378450000000005E-2</v>
      </c>
      <c r="S4654">
        <v>-3.0111080000000001</v>
      </c>
      <c r="T4654">
        <v>-4.159558E-2</v>
      </c>
      <c r="U4654">
        <v>-0.67472840000000001</v>
      </c>
      <c r="V4654">
        <v>-8.3010039999999993E-2</v>
      </c>
      <c r="W4654">
        <v>0.19266150000000001</v>
      </c>
      <c r="X4654">
        <v>0.9777479</v>
      </c>
      <c r="Y4654">
        <v>-0.22024759999999999</v>
      </c>
      <c r="Z4654">
        <v>-3.0358870000000001E-3</v>
      </c>
      <c r="AA4654">
        <v>0.97543930000000001</v>
      </c>
      <c r="AB4654">
        <v>24</v>
      </c>
      <c r="AC4654">
        <v>-74.363799999999998</v>
      </c>
      <c r="AD4654">
        <v>-1.03069067</v>
      </c>
      <c r="AE4654">
        <v>-16.7195999999999</v>
      </c>
      <c r="AF4654">
        <v>-16.840828647818601</v>
      </c>
      <c r="AG4654">
        <v>-1.03069067</v>
      </c>
      <c r="AH4654">
        <v>74.322151483690007</v>
      </c>
      <c r="AI4654">
        <v>90.774878816305005</v>
      </c>
      <c r="AJ4654">
        <v>102.767190849578</v>
      </c>
      <c r="AK4654">
        <v>76.213240542355706</v>
      </c>
      <c r="AL4654">
        <v>78.891853225860999</v>
      </c>
      <c r="AM4654">
        <v>94.852730366674706</v>
      </c>
      <c r="AN4654">
        <v>1.00000003813873</v>
      </c>
    </row>
    <row r="4655" spans="1:40" x14ac:dyDescent="0.25">
      <c r="A4655" t="str">
        <f>"20190304155154490"</f>
        <v>20190304155154490</v>
      </c>
      <c r="B4655" t="str">
        <f>"1551685914481627"</f>
        <v>1551685914481627</v>
      </c>
      <c r="C4655" t="s">
        <v>40</v>
      </c>
      <c r="D4655">
        <v>4.6048809999999998</v>
      </c>
      <c r="E4655">
        <v>0.5323137</v>
      </c>
      <c r="F4655" t="s">
        <v>53</v>
      </c>
      <c r="G4655">
        <v>0</v>
      </c>
      <c r="H4655">
        <v>0</v>
      </c>
      <c r="I4655">
        <v>0</v>
      </c>
      <c r="J4655">
        <v>-318.27319999999997</v>
      </c>
      <c r="K4655">
        <v>1.110684</v>
      </c>
      <c r="L4655">
        <v>141.6465</v>
      </c>
      <c r="M4655">
        <v>-0.99990409999999996</v>
      </c>
      <c r="N4655">
        <v>-1.3751609999999999E-2</v>
      </c>
      <c r="O4655">
        <v>1.6717839999999999E-3</v>
      </c>
      <c r="P4655">
        <v>-0.98039609999999999</v>
      </c>
      <c r="Q4655">
        <v>0.17957870000000001</v>
      </c>
      <c r="R4655">
        <v>-8.1087339999999994E-2</v>
      </c>
      <c r="S4655">
        <v>-3.0581049999999999</v>
      </c>
      <c r="T4655">
        <v>3.3457280000000001E-3</v>
      </c>
      <c r="U4655">
        <v>-1.390076E-2</v>
      </c>
      <c r="V4655">
        <v>-8.2719269999999998E-2</v>
      </c>
      <c r="W4655">
        <v>0.1930452</v>
      </c>
      <c r="X4655">
        <v>0.97769680000000003</v>
      </c>
      <c r="Y4655">
        <v>-6.2172759999999999E-3</v>
      </c>
      <c r="Z4655" s="1">
        <v>-1.4530279999999901E-5</v>
      </c>
      <c r="AA4655">
        <v>0.99998069999999895</v>
      </c>
      <c r="AB4655">
        <v>24</v>
      </c>
      <c r="AC4655">
        <v>-3.0581049999999999</v>
      </c>
      <c r="AD4655">
        <v>3.3457280000000001E-3</v>
      </c>
      <c r="AE4655">
        <v>-1.390076E-2</v>
      </c>
      <c r="AF4655">
        <v>-1.90136920108076E-2</v>
      </c>
      <c r="AG4655">
        <v>3.3457280000000001E-3</v>
      </c>
      <c r="AH4655">
        <v>3.05807382414456</v>
      </c>
      <c r="AI4655">
        <v>89.937315995893002</v>
      </c>
      <c r="AJ4655">
        <v>90.356234129771195</v>
      </c>
      <c r="AK4655">
        <v>3.0581347629393099</v>
      </c>
      <c r="AL4655">
        <v>78.869447582805506</v>
      </c>
      <c r="AM4655">
        <v>94.836064379583703</v>
      </c>
      <c r="AN4655">
        <v>0.99999997980130595</v>
      </c>
    </row>
    <row r="4656" spans="1:40" x14ac:dyDescent="0.25">
      <c r="A4656" t="str">
        <f>"20190304155154510"</f>
        <v>20190304155154510</v>
      </c>
      <c r="B4656" t="str">
        <f>"1551685914501147"</f>
        <v>1551685914501147</v>
      </c>
      <c r="C4656" t="s">
        <v>40</v>
      </c>
      <c r="D4656">
        <v>4.6306770000000004</v>
      </c>
      <c r="E4656">
        <v>0.5338174</v>
      </c>
      <c r="F4656" t="s">
        <v>41</v>
      </c>
      <c r="G4656">
        <v>-461.70620000000002</v>
      </c>
      <c r="H4656" s="1">
        <v>-3.7070580000000002E-6</v>
      </c>
      <c r="I4656">
        <v>142.52099999999999</v>
      </c>
      <c r="J4656">
        <v>-318.50139999999999</v>
      </c>
      <c r="K4656">
        <v>1.110689</v>
      </c>
      <c r="L4656">
        <v>141.64689999999999</v>
      </c>
      <c r="M4656">
        <v>-0.99990409999999996</v>
      </c>
      <c r="N4656">
        <v>-1.375063E-2</v>
      </c>
      <c r="O4656">
        <v>1.6716120000000001E-3</v>
      </c>
      <c r="P4656">
        <v>-0.98029900000000003</v>
      </c>
      <c r="Q4656">
        <v>0.1802668</v>
      </c>
      <c r="R4656">
        <v>-8.0733550000000001E-2</v>
      </c>
      <c r="S4656">
        <v>-3.065887</v>
      </c>
      <c r="T4656">
        <v>-2.374101E-2</v>
      </c>
      <c r="U4656">
        <v>1.869202E-2</v>
      </c>
      <c r="V4656">
        <v>-8.2364789999999993E-2</v>
      </c>
      <c r="W4656">
        <v>0.19373099999999999</v>
      </c>
      <c r="X4656">
        <v>0.97759110000000005</v>
      </c>
      <c r="Y4656">
        <v>4.424575E-3</v>
      </c>
      <c r="Z4656" s="1">
        <v>5.7596909999999998E-5</v>
      </c>
      <c r="AA4656">
        <v>0.99999020000000005</v>
      </c>
      <c r="AB4656">
        <v>24</v>
      </c>
      <c r="AC4656">
        <v>-143.20480000000001</v>
      </c>
      <c r="AD4656">
        <v>-1.1106927070579999</v>
      </c>
      <c r="AE4656">
        <v>0.87410000000002697</v>
      </c>
      <c r="AF4656">
        <v>0.63465511557672305</v>
      </c>
      <c r="AG4656">
        <v>-1.1106927070579999</v>
      </c>
      <c r="AH4656">
        <v>143.197447437997</v>
      </c>
      <c r="AI4656">
        <v>90.444394117934706</v>
      </c>
      <c r="AJ4656">
        <v>89.746065155973994</v>
      </c>
      <c r="AK4656">
        <v>143.203161201711</v>
      </c>
      <c r="AL4656">
        <v>78.829398424000004</v>
      </c>
      <c r="AM4656">
        <v>94.815956083261</v>
      </c>
      <c r="AN4656">
        <v>1.00000000889597</v>
      </c>
    </row>
    <row r="4657" spans="1:40" x14ac:dyDescent="0.25">
      <c r="A4657" t="str">
        <f>"20190304155154533"</f>
        <v>20190304155154533</v>
      </c>
      <c r="B4657" t="str">
        <f>"1551685914521644"</f>
        <v>1551685914521644</v>
      </c>
      <c r="C4657" t="s">
        <v>40</v>
      </c>
      <c r="D4657">
        <v>4.4540850000000001</v>
      </c>
      <c r="E4657">
        <v>0.534742099999999</v>
      </c>
      <c r="F4657" t="s">
        <v>84</v>
      </c>
      <c r="G4657">
        <v>-425.41019999999997</v>
      </c>
      <c r="H4657" s="1">
        <v>-1.1785769999999999E-5</v>
      </c>
      <c r="I4657">
        <v>142.7441</v>
      </c>
      <c r="J4657">
        <v>-318.73419999999999</v>
      </c>
      <c r="K4657">
        <v>1.11069</v>
      </c>
      <c r="L4657">
        <v>141.6473</v>
      </c>
      <c r="M4657">
        <v>-0.99990400000000002</v>
      </c>
      <c r="N4657">
        <v>-1.374942E-2</v>
      </c>
      <c r="O4657">
        <v>1.67162E-3</v>
      </c>
      <c r="P4657">
        <v>-0.98033930000000002</v>
      </c>
      <c r="Q4657">
        <v>0.18010809999999999</v>
      </c>
      <c r="R4657">
        <v>-8.059761E-2</v>
      </c>
      <c r="S4657">
        <v>-3.0687259999999998</v>
      </c>
      <c r="T4657">
        <v>-3.1881689999999997E-2</v>
      </c>
      <c r="U4657">
        <v>3.1494139999999997E-2</v>
      </c>
      <c r="V4657">
        <v>-8.2229469999999999E-2</v>
      </c>
      <c r="W4657">
        <v>0.19357150000000001</v>
      </c>
      <c r="X4657">
        <v>0.97763409999999995</v>
      </c>
      <c r="Y4657">
        <v>8.5896259999999995E-3</v>
      </c>
      <c r="Z4657">
        <v>1.092954E-4</v>
      </c>
      <c r="AA4657">
        <v>0.99996309999999999</v>
      </c>
      <c r="AB4657">
        <v>24</v>
      </c>
      <c r="AC4657">
        <v>-106.676</v>
      </c>
      <c r="AD4657">
        <v>-1.1107017857699999</v>
      </c>
      <c r="AE4657">
        <v>1.0968</v>
      </c>
      <c r="AF4657">
        <v>0.91836031375307803</v>
      </c>
      <c r="AG4657">
        <v>-1.1107017857699999</v>
      </c>
      <c r="AH4657">
        <v>106.666122291828</v>
      </c>
      <c r="AI4657">
        <v>90.596570542492699</v>
      </c>
      <c r="AJ4657">
        <v>89.5067143264896</v>
      </c>
      <c r="AK4657">
        <v>106.675858041537</v>
      </c>
      <c r="AL4657">
        <v>78.838713582627193</v>
      </c>
      <c r="AM4657">
        <v>94.8078704180611</v>
      </c>
      <c r="AN4657">
        <v>1.0000000224157699</v>
      </c>
    </row>
    <row r="4658" spans="1:40" x14ac:dyDescent="0.25">
      <c r="A4658" t="str">
        <f>"20190304155154554"</f>
        <v>20190304155154554</v>
      </c>
      <c r="B4658" t="str">
        <f>"1551685914551900"</f>
        <v>1551685914551900</v>
      </c>
      <c r="C4658" t="s">
        <v>40</v>
      </c>
      <c r="D4658">
        <v>4.5725819999999997</v>
      </c>
      <c r="E4658">
        <v>0.53516090000000005</v>
      </c>
      <c r="F4658" t="s">
        <v>84</v>
      </c>
      <c r="G4658">
        <v>-413.87470000000002</v>
      </c>
      <c r="H4658" s="1">
        <v>-1.1480710000000001E-5</v>
      </c>
      <c r="I4658">
        <v>142.8843</v>
      </c>
      <c r="J4658">
        <v>-318.95710000000003</v>
      </c>
      <c r="K4658">
        <v>1.1106910000000001</v>
      </c>
      <c r="L4658">
        <v>141.64760000000001</v>
      </c>
      <c r="M4658">
        <v>-0.99990409999999996</v>
      </c>
      <c r="N4658">
        <v>-1.3748160000000001E-2</v>
      </c>
      <c r="O4658">
        <v>1.6714500000000001E-3</v>
      </c>
      <c r="P4658">
        <v>-0.98030320000000004</v>
      </c>
      <c r="Q4658">
        <v>0.18005009999999999</v>
      </c>
      <c r="R4658">
        <v>-8.1162369999999998E-2</v>
      </c>
      <c r="S4658">
        <v>-3.0700379999999998</v>
      </c>
      <c r="T4658">
        <v>-3.5840629999999998E-2</v>
      </c>
      <c r="U4658">
        <v>3.9916989999999999E-2</v>
      </c>
      <c r="V4658">
        <v>-8.2793569999999997E-2</v>
      </c>
      <c r="W4658">
        <v>0.19351209999999999</v>
      </c>
      <c r="X4658">
        <v>0.97759819999999997</v>
      </c>
      <c r="Y4658">
        <v>1.132786E-2</v>
      </c>
      <c r="Z4658">
        <v>1.47467E-4</v>
      </c>
      <c r="AA4658">
        <v>0.99993580000000004</v>
      </c>
      <c r="AB4658">
        <v>23</v>
      </c>
      <c r="AC4658">
        <v>-94.917599999999993</v>
      </c>
      <c r="AD4658">
        <v>-1.1107024807100001</v>
      </c>
      <c r="AE4658">
        <v>1.2366999999999799</v>
      </c>
      <c r="AF4658">
        <v>1.07788568433742</v>
      </c>
      <c r="AG4658">
        <v>-1.1107024807100001</v>
      </c>
      <c r="AH4658">
        <v>94.906541216613903</v>
      </c>
      <c r="AI4658">
        <v>90.670465440043401</v>
      </c>
      <c r="AJ4658">
        <v>89.349300432396106</v>
      </c>
      <c r="AK4658">
        <v>94.919160675018503</v>
      </c>
      <c r="AL4658">
        <v>78.842181999783506</v>
      </c>
      <c r="AM4658">
        <v>94.840873472888205</v>
      </c>
      <c r="AN4658">
        <v>0.99999997436149701</v>
      </c>
    </row>
    <row r="4659" spans="1:40" x14ac:dyDescent="0.25">
      <c r="A4659" t="str">
        <f>"20190304155154579"</f>
        <v>20190304155154579</v>
      </c>
      <c r="B4659" t="str">
        <f>"1551685914571420"</f>
        <v>1551685914571420</v>
      </c>
      <c r="C4659" t="s">
        <v>40</v>
      </c>
      <c r="D4659">
        <v>4.6603430000000001</v>
      </c>
      <c r="E4659">
        <v>0.53565909999999906</v>
      </c>
      <c r="F4659" t="s">
        <v>41</v>
      </c>
      <c r="G4659">
        <v>-397.834</v>
      </c>
      <c r="H4659" s="1">
        <v>-1.7383130000000001E-6</v>
      </c>
      <c r="I4659">
        <v>142.7235</v>
      </c>
      <c r="J4659">
        <v>-319.2079</v>
      </c>
      <c r="K4659">
        <v>1.1106879999999999</v>
      </c>
      <c r="L4659">
        <v>141.6481</v>
      </c>
      <c r="M4659">
        <v>-0.99990409999999996</v>
      </c>
      <c r="N4659">
        <v>-1.374653E-2</v>
      </c>
      <c r="O4659">
        <v>1.6713419999999999E-3</v>
      </c>
      <c r="P4659">
        <v>-0.98026579999999996</v>
      </c>
      <c r="Q4659">
        <v>0.18005380000000001</v>
      </c>
      <c r="R4659">
        <v>-8.1608029999999998E-2</v>
      </c>
      <c r="S4659">
        <v>-3.0716549999999998</v>
      </c>
      <c r="T4659">
        <v>-4.3253060000000003E-2</v>
      </c>
      <c r="U4659">
        <v>4.1900630000000001E-2</v>
      </c>
      <c r="V4659">
        <v>-8.3238709999999994E-2</v>
      </c>
      <c r="W4659">
        <v>0.1935135</v>
      </c>
      <c r="X4659">
        <v>0.97756019999999999</v>
      </c>
      <c r="Y4659">
        <v>1.196609E-2</v>
      </c>
      <c r="Z4659">
        <v>1.6594590000000001E-4</v>
      </c>
      <c r="AA4659">
        <v>0.99992840000000005</v>
      </c>
      <c r="AB4659">
        <v>23</v>
      </c>
      <c r="AC4659">
        <v>-78.626099999999994</v>
      </c>
      <c r="AD4659">
        <v>-1.1106897383130001</v>
      </c>
      <c r="AE4659">
        <v>1.0753999999999999</v>
      </c>
      <c r="AF4659">
        <v>0.94378667700173902</v>
      </c>
      <c r="AG4659">
        <v>-1.1106897383130001</v>
      </c>
      <c r="AH4659">
        <v>78.612103571068303</v>
      </c>
      <c r="AI4659">
        <v>90.809404820389403</v>
      </c>
      <c r="AJ4659">
        <v>89.312161956088602</v>
      </c>
      <c r="AK4659">
        <v>78.625614101607198</v>
      </c>
      <c r="AL4659">
        <v>78.842101107192804</v>
      </c>
      <c r="AM4659">
        <v>94.866964046951097</v>
      </c>
      <c r="AN4659">
        <v>1.0000000510743701</v>
      </c>
    </row>
    <row r="4660" spans="1:40" x14ac:dyDescent="0.25">
      <c r="A4660" t="str">
        <f>"20190304155154600"</f>
        <v>20190304155154600</v>
      </c>
      <c r="B4660" t="str">
        <f>"1551685914591919"</f>
        <v>1551685914591919</v>
      </c>
      <c r="C4660" t="s">
        <v>40</v>
      </c>
      <c r="D4660">
        <v>4.6276289999999998</v>
      </c>
      <c r="E4660">
        <v>0.53599300000000005</v>
      </c>
      <c r="F4660" t="s">
        <v>41</v>
      </c>
      <c r="G4660">
        <v>-388.70699999999999</v>
      </c>
      <c r="H4660" s="1">
        <v>-1.345643E-6</v>
      </c>
      <c r="I4660">
        <v>142.65530000000001</v>
      </c>
      <c r="J4660">
        <v>-319.43959999999998</v>
      </c>
      <c r="K4660">
        <v>1.1106819999999999</v>
      </c>
      <c r="L4660">
        <v>141.64850000000001</v>
      </c>
      <c r="M4660">
        <v>-0.99990429999999997</v>
      </c>
      <c r="N4660">
        <v>-1.3744859999999999E-2</v>
      </c>
      <c r="O4660">
        <v>1.6709959999999999E-3</v>
      </c>
      <c r="P4660">
        <v>-0.98034120000000002</v>
      </c>
      <c r="Q4660">
        <v>0.17940619999999999</v>
      </c>
      <c r="R4660">
        <v>-8.2126999999999895E-2</v>
      </c>
      <c r="S4660">
        <v>-3.0731199999999999</v>
      </c>
      <c r="T4660">
        <v>-4.9112679999999999E-2</v>
      </c>
      <c r="U4660">
        <v>4.4540410000000002E-2</v>
      </c>
      <c r="V4660">
        <v>-8.3758150000000003E-2</v>
      </c>
      <c r="W4660">
        <v>0.19286500000000001</v>
      </c>
      <c r="X4660">
        <v>0.97764390000000001</v>
      </c>
      <c r="Y4660">
        <v>1.281799E-2</v>
      </c>
      <c r="Z4660">
        <v>1.8678830000000001E-4</v>
      </c>
      <c r="AA4660">
        <v>0.99991779999999997</v>
      </c>
      <c r="AB4660">
        <v>23</v>
      </c>
      <c r="AC4660">
        <v>-69.267399999999995</v>
      </c>
      <c r="AD4660">
        <v>-1.1106833456430001</v>
      </c>
      <c r="AE4660">
        <v>1.0067999999999899</v>
      </c>
      <c r="AF4660">
        <v>0.89081313894595704</v>
      </c>
      <c r="AG4660">
        <v>-1.1106833456430001</v>
      </c>
      <c r="AH4660">
        <v>69.251184227927894</v>
      </c>
      <c r="AI4660">
        <v>90.918782112589497</v>
      </c>
      <c r="AJ4660">
        <v>89.263015948958696</v>
      </c>
      <c r="AK4660">
        <v>69.265819005576006</v>
      </c>
      <c r="AL4660">
        <v>78.879969864212697</v>
      </c>
      <c r="AM4660">
        <v>94.896771204836796</v>
      </c>
      <c r="AN4660">
        <v>0.99999996556181503</v>
      </c>
    </row>
    <row r="4661" spans="1:40" x14ac:dyDescent="0.25">
      <c r="A4661" t="str">
        <f>"20190304155154623"</f>
        <v>20190304155154623</v>
      </c>
      <c r="B4661" t="str">
        <f>"1551685914611436"</f>
        <v>1551685914611436</v>
      </c>
      <c r="C4661" t="s">
        <v>40</v>
      </c>
      <c r="D4661">
        <v>4.6531409999999997</v>
      </c>
      <c r="E4661">
        <v>0.5359583</v>
      </c>
      <c r="F4661" t="s">
        <v>41</v>
      </c>
      <c r="G4661">
        <v>-380.1918</v>
      </c>
      <c r="H4661" s="1">
        <v>-4.7312660000000002E-6</v>
      </c>
      <c r="I4661">
        <v>142.5505</v>
      </c>
      <c r="J4661">
        <v>-319.67039999999997</v>
      </c>
      <c r="K4661">
        <v>1.1106830000000001</v>
      </c>
      <c r="L4661">
        <v>141.64879999999999</v>
      </c>
      <c r="M4661">
        <v>-0.99990420000000002</v>
      </c>
      <c r="N4661">
        <v>-1.3743089999999999E-2</v>
      </c>
      <c r="O4661">
        <v>1.670829E-3</v>
      </c>
      <c r="P4661">
        <v>-0.98042940000000001</v>
      </c>
      <c r="Q4661">
        <v>0.1786963</v>
      </c>
      <c r="R4661">
        <v>-8.2620669999999993E-2</v>
      </c>
      <c r="S4661">
        <v>-3.0743100000000001</v>
      </c>
      <c r="T4661">
        <v>-5.6205390000000001E-2</v>
      </c>
      <c r="U4661">
        <v>4.5654300000000002E-2</v>
      </c>
      <c r="V4661">
        <v>-8.4251679999999995E-2</v>
      </c>
      <c r="W4661">
        <v>0.19215470000000001</v>
      </c>
      <c r="X4661">
        <v>0.97774139999999998</v>
      </c>
      <c r="Y4661">
        <v>1.317396E-2</v>
      </c>
      <c r="Z4661">
        <v>2.033758E-4</v>
      </c>
      <c r="AA4661">
        <v>0.99991319999999995</v>
      </c>
      <c r="AB4661">
        <v>23</v>
      </c>
      <c r="AC4661">
        <v>-60.5214</v>
      </c>
      <c r="AD4661">
        <v>-1.110687731266</v>
      </c>
      <c r="AE4661">
        <v>0.90170000000000505</v>
      </c>
      <c r="AF4661">
        <v>0.80029880671714104</v>
      </c>
      <c r="AG4661">
        <v>-1.110687731266</v>
      </c>
      <c r="AH4661">
        <v>60.502449816522997</v>
      </c>
      <c r="AI4661">
        <v>91.0516104315072</v>
      </c>
      <c r="AJ4661">
        <v>89.242161762330696</v>
      </c>
      <c r="AK4661">
        <v>60.517935682054699</v>
      </c>
      <c r="AL4661">
        <v>78.921443304801102</v>
      </c>
      <c r="AM4661">
        <v>94.924994275754202</v>
      </c>
      <c r="AN4661">
        <v>1.0000000097944299</v>
      </c>
    </row>
    <row r="4662" spans="1:40" x14ac:dyDescent="0.25">
      <c r="A4662" t="str">
        <f>"20190304155154644"</f>
        <v>20190304155154644</v>
      </c>
      <c r="B4662" t="str">
        <f>"1551685914641692"</f>
        <v>1551685914641692</v>
      </c>
      <c r="C4662" t="s">
        <v>40</v>
      </c>
      <c r="D4662">
        <v>4.7177439999999997</v>
      </c>
      <c r="E4662">
        <v>0.5357944</v>
      </c>
      <c r="F4662" t="s">
        <v>41</v>
      </c>
      <c r="G4662">
        <v>-376.52670000000001</v>
      </c>
      <c r="H4662" s="1">
        <v>-2.230429E-6</v>
      </c>
      <c r="I4662">
        <v>142.46530000000001</v>
      </c>
      <c r="J4662">
        <v>-319.89800000000002</v>
      </c>
      <c r="K4662">
        <v>1.1106799999999999</v>
      </c>
      <c r="L4662">
        <v>141.64920000000001</v>
      </c>
      <c r="M4662">
        <v>-0.99990429999999997</v>
      </c>
      <c r="N4662">
        <v>-1.374128E-2</v>
      </c>
      <c r="O4662">
        <v>1.670663E-3</v>
      </c>
      <c r="P4662">
        <v>-0.9805104</v>
      </c>
      <c r="Q4662">
        <v>0.17809040000000001</v>
      </c>
      <c r="R4662">
        <v>-8.2967559999999996E-2</v>
      </c>
      <c r="S4662">
        <v>-3.074554</v>
      </c>
      <c r="T4662">
        <v>-6.0061339999999998E-2</v>
      </c>
      <c r="U4662">
        <v>4.4158940000000001E-2</v>
      </c>
      <c r="V4662">
        <v>-8.4598030000000005E-2</v>
      </c>
      <c r="W4662">
        <v>0.1915482</v>
      </c>
      <c r="X4662">
        <v>0.97783050000000005</v>
      </c>
      <c r="Y4662">
        <v>1.268647E-2</v>
      </c>
      <c r="Z4662">
        <v>2.0140849999999999E-4</v>
      </c>
      <c r="AA4662">
        <v>0.99991949999999996</v>
      </c>
      <c r="AB4662">
        <v>23</v>
      </c>
      <c r="AC4662">
        <v>-56.628700000000002</v>
      </c>
      <c r="AD4662">
        <v>-1.1106822304289901</v>
      </c>
      <c r="AE4662">
        <v>0.81610000000000504</v>
      </c>
      <c r="AF4662">
        <v>0.72120508436476705</v>
      </c>
      <c r="AG4662">
        <v>-1.1106822304289901</v>
      </c>
      <c r="AH4662">
        <v>56.608212643844098</v>
      </c>
      <c r="AI4662">
        <v>91.123937234759396</v>
      </c>
      <c r="AJ4662">
        <v>89.270074604760097</v>
      </c>
      <c r="AK4662">
        <v>56.623700784401002</v>
      </c>
      <c r="AL4662">
        <v>78.9568509659006</v>
      </c>
      <c r="AM4662">
        <v>94.944691861706403</v>
      </c>
      <c r="AN4662">
        <v>1.00000001316668</v>
      </c>
    </row>
    <row r="4663" spans="1:40" x14ac:dyDescent="0.25">
      <c r="A4663" t="str">
        <f>"20190304155154669"</f>
        <v>20190304155154669</v>
      </c>
      <c r="B4663" t="str">
        <f>"1551685914661211"</f>
        <v>1551685914661211</v>
      </c>
      <c r="C4663" t="s">
        <v>40</v>
      </c>
      <c r="D4663">
        <v>4.6697839999999999</v>
      </c>
      <c r="E4663">
        <v>0.53575090000000003</v>
      </c>
      <c r="F4663" t="s">
        <v>41</v>
      </c>
      <c r="G4663">
        <v>-373.06</v>
      </c>
      <c r="H4663" s="1">
        <v>-3.6940320000000002E-6</v>
      </c>
      <c r="I4663">
        <v>142.3767</v>
      </c>
      <c r="J4663">
        <v>-320.13869999999997</v>
      </c>
      <c r="K4663">
        <v>1.110681</v>
      </c>
      <c r="L4663">
        <v>141.64959999999999</v>
      </c>
      <c r="M4663">
        <v>-0.99990420000000002</v>
      </c>
      <c r="N4663">
        <v>-1.3739289999999999E-2</v>
      </c>
      <c r="O4663">
        <v>1.670557E-3</v>
      </c>
      <c r="P4663">
        <v>-0.98046029999999995</v>
      </c>
      <c r="Q4663">
        <v>0.17853060000000001</v>
      </c>
      <c r="R4663">
        <v>-8.2607719999999996E-2</v>
      </c>
      <c r="S4663">
        <v>-3.0748600000000001</v>
      </c>
      <c r="T4663">
        <v>-6.4241290000000006E-2</v>
      </c>
      <c r="U4663">
        <v>4.2083740000000001E-2</v>
      </c>
      <c r="V4663">
        <v>-8.4238660000000007E-2</v>
      </c>
      <c r="W4663">
        <v>0.19198580000000001</v>
      </c>
      <c r="X4663">
        <v>0.97777570000000003</v>
      </c>
      <c r="Y4663">
        <v>1.201023E-2</v>
      </c>
      <c r="Z4663">
        <v>1.960257E-4</v>
      </c>
      <c r="AA4663">
        <v>0.99992789999999998</v>
      </c>
      <c r="AB4663">
        <v>23</v>
      </c>
      <c r="AC4663">
        <v>-52.921300000000002</v>
      </c>
      <c r="AD4663">
        <v>-1.1106846940320001</v>
      </c>
      <c r="AE4663">
        <v>0.72710000000000696</v>
      </c>
      <c r="AF4663">
        <v>0.638401443805521</v>
      </c>
      <c r="AG4663">
        <v>-1.1106846940320001</v>
      </c>
      <c r="AH4663">
        <v>52.899144601662698</v>
      </c>
      <c r="AI4663">
        <v>91.202733338157302</v>
      </c>
      <c r="AJ4663">
        <v>89.308572321348294</v>
      </c>
      <c r="AK4663">
        <v>52.914654647655297</v>
      </c>
      <c r="AL4663">
        <v>78.931304154661603</v>
      </c>
      <c r="AM4663">
        <v>94.924065033563195</v>
      </c>
      <c r="AN4663">
        <v>1.00000000937536</v>
      </c>
    </row>
    <row r="4664" spans="1:40" x14ac:dyDescent="0.25">
      <c r="A4664" t="str">
        <f>"20190304155154691"</f>
        <v>20190304155154691</v>
      </c>
      <c r="B4664" t="str">
        <f>"1551685914681707"</f>
        <v>1551685914681707</v>
      </c>
      <c r="C4664" t="s">
        <v>40</v>
      </c>
      <c r="D4664">
        <v>4.6820529999999998</v>
      </c>
      <c r="E4664">
        <v>0.53557540000000003</v>
      </c>
      <c r="F4664" t="s">
        <v>41</v>
      </c>
      <c r="G4664">
        <v>-374.05880000000002</v>
      </c>
      <c r="H4664" s="1">
        <v>-3.2741889999999998E-6</v>
      </c>
      <c r="I4664">
        <v>142.4091</v>
      </c>
      <c r="J4664">
        <v>-320.37619999999998</v>
      </c>
      <c r="K4664">
        <v>1.1106830000000001</v>
      </c>
      <c r="L4664">
        <v>141.65</v>
      </c>
      <c r="M4664">
        <v>-0.99990429999999997</v>
      </c>
      <c r="N4664">
        <v>-1.3737249999999999E-2</v>
      </c>
      <c r="O4664">
        <v>1.6702129999999901E-3</v>
      </c>
      <c r="P4664">
        <v>-0.98039750000000003</v>
      </c>
      <c r="Q4664">
        <v>0.1788476</v>
      </c>
      <c r="R4664">
        <v>-8.2671060000000005E-2</v>
      </c>
      <c r="S4664">
        <v>-3.0749819999999999</v>
      </c>
      <c r="T4664">
        <v>-6.3340659999999993E-2</v>
      </c>
      <c r="U4664">
        <v>4.3319700000000003E-2</v>
      </c>
      <c r="V4664">
        <v>-8.430145E-2</v>
      </c>
      <c r="W4664">
        <v>0.19229979999999999</v>
      </c>
      <c r="X4664">
        <v>0.97770860000000004</v>
      </c>
      <c r="Y4664">
        <v>1.241182E-2</v>
      </c>
      <c r="Z4664">
        <v>2.0163390000000001E-4</v>
      </c>
      <c r="AA4664">
        <v>0.99992289999999995</v>
      </c>
      <c r="AB4664">
        <v>23</v>
      </c>
      <c r="AC4664">
        <v>-53.682600000000001</v>
      </c>
      <c r="AD4664">
        <v>-1.110686274189</v>
      </c>
      <c r="AE4664">
        <v>0.75909999999998901</v>
      </c>
      <c r="AF4664">
        <v>0.66914272501112504</v>
      </c>
      <c r="AG4664">
        <v>-1.110686274189</v>
      </c>
      <c r="AH4664">
        <v>53.660827039841799</v>
      </c>
      <c r="AI4664">
        <v>91.185662033754895</v>
      </c>
      <c r="AJ4664">
        <v>89.285566974475998</v>
      </c>
      <c r="AK4664">
        <v>53.676491451900297</v>
      </c>
      <c r="AL4664">
        <v>78.9129718890227</v>
      </c>
      <c r="AM4664">
        <v>94.928053801557297</v>
      </c>
      <c r="AN4664">
        <v>1.00000002703305</v>
      </c>
    </row>
    <row r="4665" spans="1:40" x14ac:dyDescent="0.25">
      <c r="A4665" t="str">
        <f>"20190304155154712"</f>
        <v>20190304155154712</v>
      </c>
      <c r="B4665" t="str">
        <f>"1551685914701227"</f>
        <v>1551685914701227</v>
      </c>
      <c r="C4665" t="s">
        <v>40</v>
      </c>
      <c r="D4665">
        <v>4.6683629999999896</v>
      </c>
      <c r="E4665">
        <v>0.53552219999999995</v>
      </c>
      <c r="F4665" t="s">
        <v>41</v>
      </c>
      <c r="G4665">
        <v>-374.64550000000003</v>
      </c>
      <c r="H4665" s="1">
        <v>-3.0182429999999999E-6</v>
      </c>
      <c r="I4665">
        <v>142.39320000000001</v>
      </c>
      <c r="J4665">
        <v>-320.5992</v>
      </c>
      <c r="K4665">
        <v>1.1106849999999999</v>
      </c>
      <c r="L4665">
        <v>141.65039999999999</v>
      </c>
      <c r="M4665">
        <v>-0.99990440000000003</v>
      </c>
      <c r="N4665">
        <v>-1.3735259999999999E-2</v>
      </c>
      <c r="O4665">
        <v>1.6696899999999999E-3</v>
      </c>
      <c r="P4665">
        <v>-0.98042739999999995</v>
      </c>
      <c r="Q4665">
        <v>0.1789124</v>
      </c>
      <c r="R4665">
        <v>-8.2176440000000003E-2</v>
      </c>
      <c r="S4665">
        <v>-3.0749819999999999</v>
      </c>
      <c r="T4665">
        <v>-6.2933210000000003E-2</v>
      </c>
      <c r="U4665">
        <v>4.2114260000000001E-2</v>
      </c>
      <c r="V4665">
        <v>-8.3806190000000003E-2</v>
      </c>
      <c r="W4665">
        <v>0.19236339999999999</v>
      </c>
      <c r="X4665">
        <v>0.97773860000000001</v>
      </c>
      <c r="Y4665">
        <v>1.2020609999999999E-2</v>
      </c>
      <c r="Z4665">
        <v>1.9433079999999999E-4</v>
      </c>
      <c r="AA4665">
        <v>0.99992780000000003</v>
      </c>
      <c r="AB4665">
        <v>23</v>
      </c>
      <c r="AC4665">
        <v>-54.046300000000002</v>
      </c>
      <c r="AD4665">
        <v>-1.1106880182429999</v>
      </c>
      <c r="AE4665">
        <v>0.742800000000016</v>
      </c>
      <c r="AF4665">
        <v>0.65227447249919601</v>
      </c>
      <c r="AG4665">
        <v>-1.1106880182429999</v>
      </c>
      <c r="AH4665">
        <v>54.024653072607002</v>
      </c>
      <c r="AI4665">
        <v>91.177687087245403</v>
      </c>
      <c r="AJ4665">
        <v>89.308264719489898</v>
      </c>
      <c r="AK4665">
        <v>54.040005824175203</v>
      </c>
      <c r="AL4665">
        <v>78.909257825081596</v>
      </c>
      <c r="AM4665">
        <v>94.899093866558403</v>
      </c>
      <c r="AN4665">
        <v>0.99999996253591705</v>
      </c>
    </row>
    <row r="4666" spans="1:40" x14ac:dyDescent="0.25">
      <c r="A4666" t="str">
        <f>"20190304155154734"</f>
        <v>20190304155154734</v>
      </c>
      <c r="B4666" t="str">
        <f>"1551685914731484"</f>
        <v>1551685914731484</v>
      </c>
      <c r="C4666" t="s">
        <v>40</v>
      </c>
      <c r="D4666">
        <v>4.6752120000000001</v>
      </c>
      <c r="E4666">
        <v>0.53759239999999997</v>
      </c>
      <c r="F4666" t="s">
        <v>41</v>
      </c>
      <c r="G4666">
        <v>-374.65449999999998</v>
      </c>
      <c r="H4666" s="1">
        <v>-3.0205039999999998E-6</v>
      </c>
      <c r="I4666">
        <v>142.4161</v>
      </c>
      <c r="J4666">
        <v>-320.82929999999999</v>
      </c>
      <c r="K4666">
        <v>1.1106879999999999</v>
      </c>
      <c r="L4666">
        <v>141.6508</v>
      </c>
      <c r="M4666">
        <v>-0.99990429999999997</v>
      </c>
      <c r="N4666">
        <v>-1.3733179999999999E-2</v>
      </c>
      <c r="O4666">
        <v>1.6695849999999999E-3</v>
      </c>
      <c r="P4666">
        <v>-0.98031159999999995</v>
      </c>
      <c r="Q4666">
        <v>0.1793718</v>
      </c>
      <c r="R4666">
        <v>-8.255237E-2</v>
      </c>
      <c r="S4666">
        <v>-3.0750730000000002</v>
      </c>
      <c r="T4666">
        <v>-6.3184379999999998E-2</v>
      </c>
      <c r="U4666">
        <v>4.356384E-2</v>
      </c>
      <c r="V4666">
        <v>-8.4181759999999994E-2</v>
      </c>
      <c r="W4666">
        <v>0.19281909999999999</v>
      </c>
      <c r="X4666">
        <v>0.97761659999999995</v>
      </c>
      <c r="Y4666">
        <v>1.249139E-2</v>
      </c>
      <c r="Z4666">
        <v>2.0273670000000001E-4</v>
      </c>
      <c r="AA4666">
        <v>0.99992199999999998</v>
      </c>
      <c r="AB4666">
        <v>23</v>
      </c>
      <c r="AC4666">
        <v>-53.825200000000002</v>
      </c>
      <c r="AD4666">
        <v>-1.1106910205039999</v>
      </c>
      <c r="AE4666">
        <v>0.76529999999999598</v>
      </c>
      <c r="AF4666">
        <v>0.67513728924428096</v>
      </c>
      <c r="AG4666">
        <v>-1.1106910205039999</v>
      </c>
      <c r="AH4666">
        <v>53.803497417469899</v>
      </c>
      <c r="AI4666">
        <v>91.182522808914598</v>
      </c>
      <c r="AJ4666">
        <v>89.281078572384899</v>
      </c>
      <c r="AK4666">
        <v>53.819195267618497</v>
      </c>
      <c r="AL4666">
        <v>78.882650383174294</v>
      </c>
      <c r="AM4666">
        <v>94.921552236135597</v>
      </c>
      <c r="AN4666">
        <v>0.99999999531853301</v>
      </c>
    </row>
    <row r="4667" spans="1:40" x14ac:dyDescent="0.25">
      <c r="A4667" t="str">
        <f>"20190304155154756"</f>
        <v>20190304155154756</v>
      </c>
      <c r="B4667" t="str">
        <f>"1551685914751980"</f>
        <v>1551685914751980</v>
      </c>
      <c r="C4667" t="s">
        <v>40</v>
      </c>
      <c r="D4667">
        <v>4.8353289999999998</v>
      </c>
      <c r="E4667">
        <v>0.53938430000000004</v>
      </c>
      <c r="F4667" t="s">
        <v>41</v>
      </c>
      <c r="G4667">
        <v>-379.66239999999999</v>
      </c>
      <c r="H4667" s="1">
        <v>-9.7140059999999998E-7</v>
      </c>
      <c r="I4667">
        <v>142.78919999999999</v>
      </c>
      <c r="J4667">
        <v>-321.05889999999999</v>
      </c>
      <c r="K4667">
        <v>1.110689</v>
      </c>
      <c r="L4667">
        <v>141.65110000000001</v>
      </c>
      <c r="M4667">
        <v>-0.99990429999999997</v>
      </c>
      <c r="N4667">
        <v>-1.373105E-2</v>
      </c>
      <c r="O4667">
        <v>1.6694209999999999E-3</v>
      </c>
      <c r="P4667">
        <v>-0.98032839999999999</v>
      </c>
      <c r="Q4667">
        <v>0.17920169999999999</v>
      </c>
      <c r="R4667">
        <v>-8.2723389999999994E-2</v>
      </c>
      <c r="S4667">
        <v>-3.0758969999999999</v>
      </c>
      <c r="T4667">
        <v>-5.8068750000000002E-2</v>
      </c>
      <c r="U4667">
        <v>5.9524540000000001E-2</v>
      </c>
      <c r="V4667">
        <v>-8.4352460000000004E-2</v>
      </c>
      <c r="W4667">
        <v>0.19264700000000001</v>
      </c>
      <c r="X4667">
        <v>0.97763580000000005</v>
      </c>
      <c r="Y4667">
        <v>1.7673599999999901E-2</v>
      </c>
      <c r="Z4667">
        <v>2.795815E-4</v>
      </c>
      <c r="AA4667">
        <v>0.99984379999999995</v>
      </c>
      <c r="AB4667">
        <v>23</v>
      </c>
      <c r="AC4667">
        <v>-58.603499999999997</v>
      </c>
      <c r="AD4667">
        <v>-1.1106899714006</v>
      </c>
      <c r="AE4667">
        <v>1.1380999999999799</v>
      </c>
      <c r="AF4667">
        <v>1.03988188627158</v>
      </c>
      <c r="AG4667">
        <v>-1.1106899714006</v>
      </c>
      <c r="AH4667">
        <v>58.584282818255701</v>
      </c>
      <c r="AI4667">
        <v>91.085960303531195</v>
      </c>
      <c r="AJ4667">
        <v>88.983096075745493</v>
      </c>
      <c r="AK4667">
        <v>58.604037231912002</v>
      </c>
      <c r="AL4667">
        <v>78.892699229954104</v>
      </c>
      <c r="AM4667">
        <v>94.931386401282694</v>
      </c>
      <c r="AN4667">
        <v>0.99999998077934504</v>
      </c>
    </row>
    <row r="4668" spans="1:40" x14ac:dyDescent="0.25">
      <c r="A4668" t="str">
        <f>"20190304155154780"</f>
        <v>20190304155154780</v>
      </c>
      <c r="B4668" t="str">
        <f>"1551685914771503"</f>
        <v>1551685914771503</v>
      </c>
      <c r="C4668" t="s">
        <v>40</v>
      </c>
      <c r="D4668">
        <v>4.8814169999999999</v>
      </c>
      <c r="E4668">
        <v>0.54118480000000002</v>
      </c>
      <c r="F4668" t="s">
        <v>41</v>
      </c>
      <c r="G4668">
        <v>-377.04930000000002</v>
      </c>
      <c r="H4668" s="1">
        <v>-2.1435260000000002E-6</v>
      </c>
      <c r="I4668">
        <v>142.98140000000001</v>
      </c>
      <c r="J4668">
        <v>-321.29340000000002</v>
      </c>
      <c r="K4668">
        <v>1.1106879999999999</v>
      </c>
      <c r="L4668">
        <v>141.6515</v>
      </c>
      <c r="M4668">
        <v>-0.99990429999999997</v>
      </c>
      <c r="N4668">
        <v>-1.3728870000000001E-2</v>
      </c>
      <c r="O4668">
        <v>1.6692569999999999E-3</v>
      </c>
      <c r="P4668">
        <v>-0.98042839999999998</v>
      </c>
      <c r="Q4668">
        <v>0.1786094</v>
      </c>
      <c r="R4668">
        <v>-8.2816710000000002E-2</v>
      </c>
      <c r="S4668">
        <v>-3.077515</v>
      </c>
      <c r="T4668">
        <v>-6.1049220000000001E-2</v>
      </c>
      <c r="U4668">
        <v>7.3120119999999997E-2</v>
      </c>
      <c r="V4668">
        <v>-8.4445919999999994E-2</v>
      </c>
      <c r="W4668">
        <v>0.19205410000000001</v>
      </c>
      <c r="X4668">
        <v>0.97774439999999996</v>
      </c>
      <c r="Y4668">
        <v>2.2076470000000001E-2</v>
      </c>
      <c r="Z4668">
        <v>3.6032039999999999E-4</v>
      </c>
      <c r="AA4668">
        <v>0.99975619999999998</v>
      </c>
      <c r="AB4668">
        <v>23</v>
      </c>
      <c r="AC4668">
        <v>-55.755899999999997</v>
      </c>
      <c r="AD4668">
        <v>-1.1106901435259999</v>
      </c>
      <c r="AE4668">
        <v>1.3299000000000001</v>
      </c>
      <c r="AF4668">
        <v>1.23632810966144</v>
      </c>
      <c r="AG4668">
        <v>-1.1106901435259999</v>
      </c>
      <c r="AH4668">
        <v>55.735937360474402</v>
      </c>
      <c r="AI4668">
        <v>91.141342456763098</v>
      </c>
      <c r="AJ4668">
        <v>88.729280038279597</v>
      </c>
      <c r="AK4668">
        <v>55.760710659391599</v>
      </c>
      <c r="AL4668">
        <v>78.927316558249899</v>
      </c>
      <c r="AM4668">
        <v>94.936277608489306</v>
      </c>
      <c r="AN4668">
        <v>1.0000000012314001</v>
      </c>
    </row>
    <row r="4669" spans="1:40" x14ac:dyDescent="0.25">
      <c r="A4669" t="str">
        <f>"20190304155154801"</f>
        <v>20190304155154801</v>
      </c>
      <c r="B4669" t="str">
        <f>"1551685914792000"</f>
        <v>1551685914792000</v>
      </c>
      <c r="C4669" t="s">
        <v>40</v>
      </c>
      <c r="D4669">
        <v>4.846158</v>
      </c>
      <c r="E4669">
        <v>0.54268499999999997</v>
      </c>
      <c r="F4669" t="s">
        <v>41</v>
      </c>
      <c r="G4669">
        <v>-375.77949999999998</v>
      </c>
      <c r="H4669" s="1">
        <v>-2.7468309999999999E-6</v>
      </c>
      <c r="I4669">
        <v>143.20150000000001</v>
      </c>
      <c r="J4669">
        <v>-321.5258</v>
      </c>
      <c r="K4669">
        <v>1.1106860000000001</v>
      </c>
      <c r="L4669">
        <v>141.65190000000001</v>
      </c>
      <c r="M4669">
        <v>-0.99990449999999997</v>
      </c>
      <c r="N4669">
        <v>-1.37267E-2</v>
      </c>
      <c r="O4669">
        <v>1.6689140000000001E-3</v>
      </c>
      <c r="P4669">
        <v>-0.98033250000000005</v>
      </c>
      <c r="Q4669">
        <v>0.1790467</v>
      </c>
      <c r="R4669">
        <v>-8.3011249999999995E-2</v>
      </c>
      <c r="S4669">
        <v>-3.0787049999999998</v>
      </c>
      <c r="T4669">
        <v>-6.2758919999999996E-2</v>
      </c>
      <c r="U4669">
        <v>8.7585449999999995E-2</v>
      </c>
      <c r="V4669">
        <v>-8.4639510000000001E-2</v>
      </c>
      <c r="W4669">
        <v>0.1924883</v>
      </c>
      <c r="X4669">
        <v>0.97764220000000002</v>
      </c>
      <c r="Y4669">
        <v>2.6759600000000001E-2</v>
      </c>
      <c r="Z4669">
        <v>4.452945E-4</v>
      </c>
      <c r="AA4669">
        <v>0.99964180000000002</v>
      </c>
      <c r="AB4669">
        <v>23</v>
      </c>
      <c r="AC4669">
        <v>-54.253699999999903</v>
      </c>
      <c r="AD4669">
        <v>-1.1106887468310001</v>
      </c>
      <c r="AE4669">
        <v>1.5495999999999901</v>
      </c>
      <c r="AF4669">
        <v>1.45843381722413</v>
      </c>
      <c r="AG4669">
        <v>-1.1106887468310001</v>
      </c>
      <c r="AH4669">
        <v>54.233499652973698</v>
      </c>
      <c r="AI4669">
        <v>91.172815602182297</v>
      </c>
      <c r="AJ4669">
        <v>88.459587365800402</v>
      </c>
      <c r="AK4669">
        <v>54.264474044264503</v>
      </c>
      <c r="AL4669">
        <v>78.9019649496787</v>
      </c>
      <c r="AM4669">
        <v>94.948052420988006</v>
      </c>
      <c r="AN4669">
        <v>0.99999993175538204</v>
      </c>
    </row>
    <row r="4670" spans="1:40" x14ac:dyDescent="0.25">
      <c r="A4670" t="str">
        <f>"20190304155154824"</f>
        <v>20190304155154824</v>
      </c>
      <c r="B4670" t="str">
        <f>"1551685914811516"</f>
        <v>1551685914811516</v>
      </c>
      <c r="C4670" t="s">
        <v>40</v>
      </c>
      <c r="D4670">
        <v>4.8535300000000001</v>
      </c>
      <c r="E4670">
        <v>0.54381769999999996</v>
      </c>
      <c r="F4670" t="s">
        <v>41</v>
      </c>
      <c r="G4670">
        <v>-377.83609999999999</v>
      </c>
      <c r="H4670" s="1">
        <v>-1.9363200000000001E-6</v>
      </c>
      <c r="I4670">
        <v>143.47120000000001</v>
      </c>
      <c r="J4670">
        <v>-321.75170000000003</v>
      </c>
      <c r="K4670">
        <v>1.1106860000000001</v>
      </c>
      <c r="L4670">
        <v>141.6523</v>
      </c>
      <c r="M4670">
        <v>-0.99990460000000003</v>
      </c>
      <c r="N4670">
        <v>-1.372454E-2</v>
      </c>
      <c r="O4670">
        <v>1.6686310000000001E-3</v>
      </c>
      <c r="P4670">
        <v>-0.98027240000000004</v>
      </c>
      <c r="Q4670">
        <v>0.17916119999999999</v>
      </c>
      <c r="R4670">
        <v>-8.3474140000000002E-2</v>
      </c>
      <c r="S4670">
        <v>-3.0797119999999998</v>
      </c>
      <c r="T4670">
        <v>-6.0745599999999997E-2</v>
      </c>
      <c r="U4670">
        <v>9.9502560000000004E-2</v>
      </c>
      <c r="V4670">
        <v>-8.510239E-2</v>
      </c>
      <c r="W4670">
        <v>0.19259970000000001</v>
      </c>
      <c r="X4670">
        <v>0.97758009999999995</v>
      </c>
      <c r="Y4670">
        <v>3.061417E-2</v>
      </c>
      <c r="Z4670">
        <v>5.0199260000000003E-4</v>
      </c>
      <c r="AA4670">
        <v>0.99953110000000001</v>
      </c>
      <c r="AB4670">
        <v>23</v>
      </c>
      <c r="AC4670">
        <v>-56.084399999999903</v>
      </c>
      <c r="AD4670">
        <v>-1.11068793632</v>
      </c>
      <c r="AE4670">
        <v>1.81890000000001</v>
      </c>
      <c r="AF4670">
        <v>1.7246288235427401</v>
      </c>
      <c r="AG4670">
        <v>-1.11068793632</v>
      </c>
      <c r="AH4670">
        <v>56.065391907895901</v>
      </c>
      <c r="AI4670">
        <v>91.134377745012898</v>
      </c>
      <c r="AJ4670">
        <v>88.238078788344296</v>
      </c>
      <c r="AK4670">
        <v>56.102906716647396</v>
      </c>
      <c r="AL4670">
        <v>78.895460769212505</v>
      </c>
      <c r="AM4670">
        <v>94.975291536835996</v>
      </c>
      <c r="AN4670">
        <v>0.99999995656990504</v>
      </c>
    </row>
    <row r="4671" spans="1:40" x14ac:dyDescent="0.25">
      <c r="A4671" t="str">
        <f>"20190304155154847"</f>
        <v>20190304155154847</v>
      </c>
      <c r="B4671" t="str">
        <f>"1551685914841772"</f>
        <v>1551685914841772</v>
      </c>
      <c r="C4671" t="s">
        <v>40</v>
      </c>
      <c r="D4671">
        <v>4.8622519999999998</v>
      </c>
      <c r="E4671">
        <v>0.54558629999999997</v>
      </c>
      <c r="F4671" t="s">
        <v>41</v>
      </c>
      <c r="G4671">
        <v>-378.02170000000001</v>
      </c>
      <c r="H4671" s="1">
        <v>-1.8974010000000001E-6</v>
      </c>
      <c r="I4671">
        <v>143.6241</v>
      </c>
      <c r="J4671">
        <v>-321.9939</v>
      </c>
      <c r="K4671">
        <v>1.1106849999999999</v>
      </c>
      <c r="L4671">
        <v>141.65270000000001</v>
      </c>
      <c r="M4671">
        <v>-0.99990460000000003</v>
      </c>
      <c r="N4671">
        <v>-1.372201E-2</v>
      </c>
      <c r="O4671">
        <v>1.66829E-3</v>
      </c>
      <c r="P4671">
        <v>-0.98039969999999999</v>
      </c>
      <c r="Q4671">
        <v>0.17838039999999999</v>
      </c>
      <c r="R4671">
        <v>-8.3650530000000001E-2</v>
      </c>
      <c r="S4671">
        <v>-3.0806879999999999</v>
      </c>
      <c r="T4671">
        <v>-6.0808300000000003E-2</v>
      </c>
      <c r="U4671">
        <v>0.10795589999999999</v>
      </c>
      <c r="V4671">
        <v>-8.5278370000000006E-2</v>
      </c>
      <c r="W4671">
        <v>0.1918183</v>
      </c>
      <c r="X4671">
        <v>0.97771850000000005</v>
      </c>
      <c r="Y4671">
        <v>3.3342860000000002E-2</v>
      </c>
      <c r="Z4671">
        <v>5.4779079999999999E-4</v>
      </c>
      <c r="AA4671">
        <v>0.99944379999999999</v>
      </c>
      <c r="AB4671">
        <v>23</v>
      </c>
      <c r="AC4671">
        <v>-56.027799999999999</v>
      </c>
      <c r="AD4671">
        <v>-1.110686897401</v>
      </c>
      <c r="AE4671">
        <v>1.9713999999999801</v>
      </c>
      <c r="AF4671">
        <v>1.87718105767483</v>
      </c>
      <c r="AG4671">
        <v>-1.110686897401</v>
      </c>
      <c r="AH4671">
        <v>56.009027693219302</v>
      </c>
      <c r="AI4671">
        <v>91.135417562734801</v>
      </c>
      <c r="AJ4671">
        <v>88.080411114426596</v>
      </c>
      <c r="AK4671">
        <v>56.051481847023098</v>
      </c>
      <c r="AL4671">
        <v>78.941083545088404</v>
      </c>
      <c r="AM4671">
        <v>94.984825788448802</v>
      </c>
      <c r="AN4671">
        <v>1.00000006292349</v>
      </c>
    </row>
    <row r="4672" spans="1:40" x14ac:dyDescent="0.25">
      <c r="A4672" t="str">
        <f>"20190304155154869"</f>
        <v>20190304155154869</v>
      </c>
      <c r="B4672" t="str">
        <f>"1551685914861291"</f>
        <v>1551685914861291</v>
      </c>
      <c r="C4672" t="s">
        <v>40</v>
      </c>
      <c r="D4672">
        <v>4.780227</v>
      </c>
      <c r="E4672">
        <v>0.54669279999999998</v>
      </c>
      <c r="F4672" t="s">
        <v>41</v>
      </c>
      <c r="G4672">
        <v>-374.66649999999998</v>
      </c>
      <c r="H4672" s="1">
        <v>-3.3655990000000002E-6</v>
      </c>
      <c r="I4672">
        <v>143.73249999999999</v>
      </c>
      <c r="J4672">
        <v>-322.21719999999999</v>
      </c>
      <c r="K4672">
        <v>1.110684</v>
      </c>
      <c r="L4672">
        <v>141.65299999999999</v>
      </c>
      <c r="M4672">
        <v>-0.99990449999999997</v>
      </c>
      <c r="N4672">
        <v>-1.3719769999999999E-2</v>
      </c>
      <c r="O4672">
        <v>1.6679479999999901E-3</v>
      </c>
      <c r="P4672">
        <v>-0.98055230000000004</v>
      </c>
      <c r="Q4672">
        <v>0.17749429999999999</v>
      </c>
      <c r="R4672">
        <v>-8.3744399999999997E-2</v>
      </c>
      <c r="S4672">
        <v>-3.0821839999999998</v>
      </c>
      <c r="T4672">
        <v>-6.4992899999999895E-2</v>
      </c>
      <c r="U4672">
        <v>0.1217041</v>
      </c>
      <c r="V4672">
        <v>-8.5372660000000003E-2</v>
      </c>
      <c r="W4672">
        <v>0.19093180000000001</v>
      </c>
      <c r="X4672">
        <v>0.97788370000000002</v>
      </c>
      <c r="Y4672">
        <v>3.7774910000000002E-2</v>
      </c>
      <c r="Z4672">
        <v>6.4508779999999997E-4</v>
      </c>
      <c r="AA4672">
        <v>0.99928609999999896</v>
      </c>
      <c r="AB4672">
        <v>23</v>
      </c>
      <c r="AC4672">
        <v>-52.449300000000001</v>
      </c>
      <c r="AD4672">
        <v>-1.1106873655989999</v>
      </c>
      <c r="AE4672">
        <v>2.0794999999999901</v>
      </c>
      <c r="AF4672">
        <v>1.9911146741782799</v>
      </c>
      <c r="AG4672">
        <v>-1.1106873655989999</v>
      </c>
      <c r="AH4672">
        <v>52.429221396800102</v>
      </c>
      <c r="AI4672">
        <v>91.212727526257694</v>
      </c>
      <c r="AJ4672">
        <v>87.825112295566399</v>
      </c>
      <c r="AK4672">
        <v>52.478771139809602</v>
      </c>
      <c r="AL4672">
        <v>78.992831887451004</v>
      </c>
      <c r="AM4672">
        <v>94.989470771848005</v>
      </c>
      <c r="AN4672">
        <v>0.99999998702620196</v>
      </c>
    </row>
    <row r="4673" spans="1:40" x14ac:dyDescent="0.25">
      <c r="A4673" t="str">
        <f>"20190304155154892"</f>
        <v>20190304155154892</v>
      </c>
      <c r="B4673" t="str">
        <f>"1551685914881788"</f>
        <v>1551685914881788</v>
      </c>
      <c r="C4673" t="s">
        <v>40</v>
      </c>
      <c r="D4673">
        <v>4.8310240000000002</v>
      </c>
      <c r="E4673">
        <v>0.54784460000000001</v>
      </c>
      <c r="F4673" t="s">
        <v>41</v>
      </c>
      <c r="G4673">
        <v>-371.75560000000002</v>
      </c>
      <c r="H4673" s="1">
        <v>-4.4122230000000003E-6</v>
      </c>
      <c r="I4673">
        <v>143.75210000000001</v>
      </c>
      <c r="J4673">
        <v>-322.4529</v>
      </c>
      <c r="K4673">
        <v>1.1106799999999999</v>
      </c>
      <c r="L4673">
        <v>141.6534</v>
      </c>
      <c r="M4673">
        <v>-0.99990469999999998</v>
      </c>
      <c r="N4673">
        <v>-1.3717399999999999E-2</v>
      </c>
      <c r="O4673">
        <v>1.667488E-3</v>
      </c>
      <c r="P4673">
        <v>-0.9805779</v>
      </c>
      <c r="Q4673">
        <v>0.17722679999999999</v>
      </c>
      <c r="R4673">
        <v>-8.4011409999999995E-2</v>
      </c>
      <c r="S4673">
        <v>-3.0831599999999999</v>
      </c>
      <c r="T4673">
        <v>-6.9126839999999995E-2</v>
      </c>
      <c r="U4673">
        <v>0.13064580000000001</v>
      </c>
      <c r="V4673">
        <v>-8.5639279999999998E-2</v>
      </c>
      <c r="W4673">
        <v>0.19066269999999999</v>
      </c>
      <c r="X4673">
        <v>0.97791289999999997</v>
      </c>
      <c r="Y4673">
        <v>4.0653389999999998E-2</v>
      </c>
      <c r="Z4673">
        <v>7.2000149999999904E-4</v>
      </c>
      <c r="AA4673">
        <v>0.99917299999999998</v>
      </c>
      <c r="AB4673">
        <v>23</v>
      </c>
      <c r="AC4673">
        <v>-49.302700000000002</v>
      </c>
      <c r="AD4673">
        <v>-1.110684412223</v>
      </c>
      <c r="AE4673">
        <v>2.0987</v>
      </c>
      <c r="AF4673">
        <v>2.0154566965114702</v>
      </c>
      <c r="AG4673">
        <v>-1.110684412223</v>
      </c>
      <c r="AH4673">
        <v>49.281166149938002</v>
      </c>
      <c r="AI4673">
        <v>91.290018825020198</v>
      </c>
      <c r="AJ4673">
        <v>87.658073971541995</v>
      </c>
      <c r="AK4673">
        <v>49.334866196807099</v>
      </c>
      <c r="AL4673">
        <v>79.008538821693406</v>
      </c>
      <c r="AM4673">
        <v>95.004825246702495</v>
      </c>
      <c r="AN4673">
        <v>0.999999995718309</v>
      </c>
    </row>
    <row r="4674" spans="1:40" x14ac:dyDescent="0.25">
      <c r="A4674" t="str">
        <f>"20190304155154913"</f>
        <v>20190304155154913</v>
      </c>
      <c r="B4674" t="str">
        <f>"1551685914912044"</f>
        <v>1551685914912044</v>
      </c>
      <c r="C4674" t="s">
        <v>40</v>
      </c>
      <c r="D4674">
        <v>4.7957890000000001</v>
      </c>
      <c r="E4674">
        <v>0.54904209999999998</v>
      </c>
      <c r="F4674" t="s">
        <v>41</v>
      </c>
      <c r="G4674">
        <v>-370.89389999999997</v>
      </c>
      <c r="H4674" s="1">
        <v>-4.7222460000000003E-6</v>
      </c>
      <c r="I4674">
        <v>143.8467</v>
      </c>
      <c r="J4674">
        <v>-322.67899999999997</v>
      </c>
      <c r="K4674">
        <v>1.1106830000000001</v>
      </c>
      <c r="L4674">
        <v>141.65379999999999</v>
      </c>
      <c r="M4674">
        <v>-0.99990449999999997</v>
      </c>
      <c r="N4674">
        <v>-1.3715089999999999E-2</v>
      </c>
      <c r="O4674">
        <v>1.6675030000000001E-3</v>
      </c>
      <c r="P4674">
        <v>-0.98060860000000005</v>
      </c>
      <c r="Q4674">
        <v>0.1769387</v>
      </c>
      <c r="R4674">
        <v>-8.4256979999999995E-2</v>
      </c>
      <c r="S4674">
        <v>-3.0841669999999999</v>
      </c>
      <c r="T4674">
        <v>-7.0715669999999994E-2</v>
      </c>
      <c r="U4674">
        <v>0.13964840000000001</v>
      </c>
      <c r="V4674">
        <v>-8.5884810000000006E-2</v>
      </c>
      <c r="W4674">
        <v>0.1903724</v>
      </c>
      <c r="X4674">
        <v>0.97794800000000004</v>
      </c>
      <c r="Y4674">
        <v>4.3548580000000003E-2</v>
      </c>
      <c r="Z4674">
        <v>7.8244890000000002E-4</v>
      </c>
      <c r="AA4674">
        <v>0.99905100000000002</v>
      </c>
      <c r="AB4674">
        <v>23</v>
      </c>
      <c r="AC4674">
        <v>-48.214899999999901</v>
      </c>
      <c r="AD4674">
        <v>-1.1106877222460001</v>
      </c>
      <c r="AE4674">
        <v>2.1928999999999998</v>
      </c>
      <c r="AF4674">
        <v>2.1113727721339601</v>
      </c>
      <c r="AG4674">
        <v>-1.1106877222460001</v>
      </c>
      <c r="AH4674">
        <v>48.192968382326697</v>
      </c>
      <c r="AI4674">
        <v>91.318978783561704</v>
      </c>
      <c r="AJ4674">
        <v>87.491429889797999</v>
      </c>
      <c r="AK4674">
        <v>48.2519815520481</v>
      </c>
      <c r="AL4674">
        <v>79.025482960001398</v>
      </c>
      <c r="AM4674">
        <v>95.018921795264404</v>
      </c>
      <c r="AN4674">
        <v>1.0000000709872401</v>
      </c>
    </row>
    <row r="4675" spans="1:40" x14ac:dyDescent="0.25">
      <c r="A4675" t="str">
        <f>"20190304155154936"</f>
        <v>20190304155154936</v>
      </c>
      <c r="B4675" t="str">
        <f>"1551685914931564"</f>
        <v>1551685914931564</v>
      </c>
      <c r="C4675" t="s">
        <v>40</v>
      </c>
      <c r="D4675">
        <v>4.784891</v>
      </c>
      <c r="E4675">
        <v>0.54978939999999998</v>
      </c>
      <c r="F4675" t="s">
        <v>41</v>
      </c>
      <c r="G4675">
        <v>-369.5643</v>
      </c>
      <c r="H4675" s="1">
        <v>-1.3111619999999901E-6</v>
      </c>
      <c r="I4675">
        <v>143.90809999999999</v>
      </c>
      <c r="J4675">
        <v>-322.90699999999998</v>
      </c>
      <c r="K4675">
        <v>1.1106830000000001</v>
      </c>
      <c r="L4675">
        <v>141.6542</v>
      </c>
      <c r="M4675">
        <v>-0.99990460000000003</v>
      </c>
      <c r="N4675">
        <v>-1.3712770000000001E-2</v>
      </c>
      <c r="O4675">
        <v>1.66716E-3</v>
      </c>
      <c r="P4675">
        <v>-0.98062249999999995</v>
      </c>
      <c r="Q4675">
        <v>0.17672679999999999</v>
      </c>
      <c r="R4675">
        <v>-8.4540809999999994E-2</v>
      </c>
      <c r="S4675">
        <v>-3.0852659999999998</v>
      </c>
      <c r="T4675">
        <v>-7.3088169999999994E-2</v>
      </c>
      <c r="U4675">
        <v>0.148345899999999</v>
      </c>
      <c r="V4675">
        <v>-8.6168709999999996E-2</v>
      </c>
      <c r="W4675">
        <v>0.19015850000000001</v>
      </c>
      <c r="X4675">
        <v>0.97796459999999996</v>
      </c>
      <c r="Y4675">
        <v>4.6340699999999999E-2</v>
      </c>
      <c r="Z4675">
        <v>8.4987979999999995E-4</v>
      </c>
      <c r="AA4675">
        <v>0.99892530000000002</v>
      </c>
      <c r="AB4675">
        <v>23</v>
      </c>
      <c r="AC4675">
        <v>-46.657299999999999</v>
      </c>
      <c r="AD4675">
        <v>-1.1106843111619999</v>
      </c>
      <c r="AE4675">
        <v>2.2538999999999798</v>
      </c>
      <c r="AF4675">
        <v>2.1748747691000698</v>
      </c>
      <c r="AG4675">
        <v>-1.1106843111619999</v>
      </c>
      <c r="AH4675">
        <v>46.634627474921203</v>
      </c>
      <c r="AI4675">
        <v>91.362859438738397</v>
      </c>
      <c r="AJ4675">
        <v>87.329861344906803</v>
      </c>
      <c r="AK4675">
        <v>46.698524383806898</v>
      </c>
      <c r="AL4675">
        <v>79.037966116642096</v>
      </c>
      <c r="AM4675">
        <v>95.035342106839707</v>
      </c>
      <c r="AN4675">
        <v>1.00000003027923</v>
      </c>
    </row>
    <row r="4676" spans="1:40" x14ac:dyDescent="0.25">
      <c r="A4676" t="str">
        <f>"20190304155154957"</f>
        <v>20190304155154957</v>
      </c>
      <c r="B4676" t="str">
        <f>"1551685914952063"</f>
        <v>1551685914952063</v>
      </c>
      <c r="C4676" t="s">
        <v>40</v>
      </c>
      <c r="D4676">
        <v>4.7678240000000001</v>
      </c>
      <c r="E4676">
        <v>0.5506354</v>
      </c>
      <c r="F4676" t="s">
        <v>41</v>
      </c>
      <c r="G4676">
        <v>-369.18389999999999</v>
      </c>
      <c r="H4676" s="1">
        <v>-1.487886E-6</v>
      </c>
      <c r="I4676">
        <v>143.9588</v>
      </c>
      <c r="J4676">
        <v>-323.1284</v>
      </c>
      <c r="K4676">
        <v>1.1106819999999999</v>
      </c>
      <c r="L4676">
        <v>141.65450000000001</v>
      </c>
      <c r="M4676">
        <v>-0.99990469999999998</v>
      </c>
      <c r="N4676">
        <v>-1.371052E-2</v>
      </c>
      <c r="O4676">
        <v>1.6669969999999999E-3</v>
      </c>
      <c r="P4676">
        <v>-0.98067150000000003</v>
      </c>
      <c r="Q4676">
        <v>0.17653720000000001</v>
      </c>
      <c r="R4676">
        <v>-8.43695E-2</v>
      </c>
      <c r="S4676">
        <v>-3.0858759999999998</v>
      </c>
      <c r="T4676">
        <v>-7.4063660000000003E-2</v>
      </c>
      <c r="U4676">
        <v>0.1536865</v>
      </c>
      <c r="V4676">
        <v>-8.5997080000000004E-2</v>
      </c>
      <c r="W4676">
        <v>0.18996750000000001</v>
      </c>
      <c r="X4676">
        <v>0.97801680000000002</v>
      </c>
      <c r="Y4676">
        <v>4.8054769999999997E-2</v>
      </c>
      <c r="Z4676">
        <v>8.8882239999999997E-4</v>
      </c>
      <c r="AA4676">
        <v>0.99884430000000002</v>
      </c>
      <c r="AB4676">
        <v>23</v>
      </c>
      <c r="AC4676">
        <v>-46.055500000000002</v>
      </c>
      <c r="AD4676">
        <v>-1.1106834878859999</v>
      </c>
      <c r="AE4676">
        <v>2.30429999999998</v>
      </c>
      <c r="AF4676">
        <v>2.2262236883459399</v>
      </c>
      <c r="AG4676">
        <v>-1.1106834878859999</v>
      </c>
      <c r="AH4676">
        <v>46.032572343478101</v>
      </c>
      <c r="AI4676">
        <v>91.380563401476195</v>
      </c>
      <c r="AJ4676">
        <v>87.231223224732602</v>
      </c>
      <c r="AK4676">
        <v>46.0997549481378</v>
      </c>
      <c r="AL4676">
        <v>79.049112512212304</v>
      </c>
      <c r="AM4676">
        <v>95.025097322552398</v>
      </c>
      <c r="AN4676">
        <v>1.0000000049535001</v>
      </c>
    </row>
    <row r="4677" spans="1:40" x14ac:dyDescent="0.25">
      <c r="A4677" t="str">
        <f>"20190304155154973"</f>
        <v>20190304155154973</v>
      </c>
      <c r="B4677" t="str">
        <f>"1551685914961819"</f>
        <v>1551685914961819</v>
      </c>
      <c r="C4677" t="s">
        <v>40</v>
      </c>
      <c r="D4677">
        <v>4.8372039999999998</v>
      </c>
      <c r="E4677">
        <v>0.5509676</v>
      </c>
      <c r="F4677" t="s">
        <v>41</v>
      </c>
      <c r="G4677">
        <v>-369.67610000000002</v>
      </c>
      <c r="H4677" s="1">
        <v>-1.311082E-6</v>
      </c>
      <c r="I4677">
        <v>144.08789999999999</v>
      </c>
      <c r="J4677">
        <v>-323.2867</v>
      </c>
      <c r="K4677">
        <v>1.1106830000000001</v>
      </c>
      <c r="L4677">
        <v>141.65479999999999</v>
      </c>
      <c r="M4677">
        <v>-0.99990480000000004</v>
      </c>
      <c r="N4677">
        <v>-1.3708909999999999E-2</v>
      </c>
      <c r="O4677">
        <v>1.6668879999999901E-3</v>
      </c>
      <c r="P4677">
        <v>-0.98070780000000002</v>
      </c>
      <c r="Q4677">
        <v>0.17644109999999999</v>
      </c>
      <c r="R4677">
        <v>-8.4148940000000005E-2</v>
      </c>
      <c r="S4677">
        <v>-3.0863040000000002</v>
      </c>
      <c r="T4677">
        <v>-7.3642970000000002E-2</v>
      </c>
      <c r="U4677">
        <v>0.1613464</v>
      </c>
      <c r="V4677">
        <v>-8.5776720000000001E-2</v>
      </c>
      <c r="W4677">
        <v>0.1898706</v>
      </c>
      <c r="X4677">
        <v>0.97805489999999995</v>
      </c>
      <c r="Y4677">
        <v>5.0519559999999998E-2</v>
      </c>
      <c r="Z4677">
        <v>9.319412E-4</v>
      </c>
      <c r="AA4677">
        <v>0.99872260000000002</v>
      </c>
      <c r="AB4677">
        <v>23</v>
      </c>
      <c r="AC4677">
        <v>-46.389400000000002</v>
      </c>
      <c r="AD4677">
        <v>-1.1106843110819999</v>
      </c>
      <c r="AE4677">
        <v>2.4330999999999898</v>
      </c>
      <c r="AF4677">
        <v>2.3544174641022599</v>
      </c>
      <c r="AG4677">
        <v>-1.1106843110819999</v>
      </c>
      <c r="AH4677">
        <v>46.3668847474271</v>
      </c>
      <c r="AI4677">
        <v>91.370450475996904</v>
      </c>
      <c r="AJ4677">
        <v>87.093131812384996</v>
      </c>
      <c r="AK4677">
        <v>46.439906356660003</v>
      </c>
      <c r="AL4677">
        <v>79.054766661852199</v>
      </c>
      <c r="AM4677">
        <v>95.012092369116601</v>
      </c>
      <c r="AN4677">
        <v>0.99999993892616201</v>
      </c>
    </row>
    <row r="4678" spans="1:40" x14ac:dyDescent="0.25">
      <c r="A4678" t="str">
        <f>"20190304155154991"</f>
        <v>20190304155154991</v>
      </c>
      <c r="B4678" t="str">
        <f>"1551685914981340"</f>
        <v>1551685914981340</v>
      </c>
      <c r="C4678" t="s">
        <v>40</v>
      </c>
      <c r="D4678">
        <v>4.8187139999999999</v>
      </c>
      <c r="E4678">
        <v>0.55154259999999999</v>
      </c>
      <c r="F4678" t="s">
        <v>41</v>
      </c>
      <c r="G4678">
        <v>-369.85860000000002</v>
      </c>
      <c r="H4678" s="1">
        <v>-1.2470600000000001E-6</v>
      </c>
      <c r="I4678">
        <v>144.14160000000001</v>
      </c>
      <c r="J4678">
        <v>-323.47109999999998</v>
      </c>
      <c r="K4678">
        <v>1.1106879999999999</v>
      </c>
      <c r="L4678">
        <v>141.6551</v>
      </c>
      <c r="M4678">
        <v>-0.99990469999999998</v>
      </c>
      <c r="N4678">
        <v>-1.370704E-2</v>
      </c>
      <c r="O4678">
        <v>1.666722E-3</v>
      </c>
      <c r="P4678">
        <v>-0.98075990000000002</v>
      </c>
      <c r="Q4678">
        <v>0.17620239999999901</v>
      </c>
      <c r="R4678">
        <v>-8.4039219999999998E-2</v>
      </c>
      <c r="S4678">
        <v>-3.0864259999999999</v>
      </c>
      <c r="T4678">
        <v>-7.3607679999999995E-2</v>
      </c>
      <c r="U4678">
        <v>0.16481019999999999</v>
      </c>
      <c r="V4678">
        <v>-8.5666980000000004E-2</v>
      </c>
      <c r="W4678">
        <v>0.1896304</v>
      </c>
      <c r="X4678">
        <v>0.97811119999999996</v>
      </c>
      <c r="Y4678">
        <v>5.1634859999999998E-2</v>
      </c>
      <c r="Z4678">
        <v>9.5253269999999999E-4</v>
      </c>
      <c r="AA4678">
        <v>0.99866560000000004</v>
      </c>
      <c r="AB4678">
        <v>23</v>
      </c>
      <c r="AC4678">
        <v>-46.387500000000003</v>
      </c>
      <c r="AD4678">
        <v>-1.1106892470599901</v>
      </c>
      <c r="AE4678">
        <v>2.4864999999999999</v>
      </c>
      <c r="AF4678">
        <v>2.4077977778680602</v>
      </c>
      <c r="AG4678">
        <v>-1.1106892470599901</v>
      </c>
      <c r="AH4678">
        <v>46.365075231158798</v>
      </c>
      <c r="AI4678">
        <v>91.370429105429295</v>
      </c>
      <c r="AJ4678">
        <v>87.027227202942598</v>
      </c>
      <c r="AK4678">
        <v>46.440836791918997</v>
      </c>
      <c r="AL4678">
        <v>79.068784662084397</v>
      </c>
      <c r="AM4678">
        <v>95.005425993757399</v>
      </c>
      <c r="AN4678">
        <v>1.00000001981596</v>
      </c>
    </row>
    <row r="4679" spans="1:40" x14ac:dyDescent="0.25">
      <c r="A4679" t="str">
        <f>"20190304155155014"</f>
        <v>20190304155155014</v>
      </c>
      <c r="B4679" t="str">
        <f>"1551685915011596"</f>
        <v>1551685915011596</v>
      </c>
      <c r="C4679" t="s">
        <v>40</v>
      </c>
      <c r="D4679">
        <v>4.884881</v>
      </c>
      <c r="E4679">
        <v>0.55224119999999999</v>
      </c>
      <c r="F4679" t="s">
        <v>41</v>
      </c>
      <c r="G4679">
        <v>-369.69869999999997</v>
      </c>
      <c r="H4679" s="1">
        <v>-1.331611E-6</v>
      </c>
      <c r="I4679">
        <v>144.20160000000001</v>
      </c>
      <c r="J4679">
        <v>-323.69279999999998</v>
      </c>
      <c r="K4679">
        <v>1.110689</v>
      </c>
      <c r="L4679">
        <v>141.65539999999999</v>
      </c>
      <c r="M4679">
        <v>-0.99990480000000004</v>
      </c>
      <c r="N4679">
        <v>-1.370476E-2</v>
      </c>
      <c r="O4679">
        <v>1.666381E-3</v>
      </c>
      <c r="P4679">
        <v>-0.98066909999999896</v>
      </c>
      <c r="Q4679">
        <v>0.17665139999999999</v>
      </c>
      <c r="R4679">
        <v>-8.4159419999999999E-2</v>
      </c>
      <c r="S4679">
        <v>-3.086792</v>
      </c>
      <c r="T4679">
        <v>-7.416499E-2</v>
      </c>
      <c r="U4679">
        <v>0.1700439</v>
      </c>
      <c r="V4679">
        <v>-8.5786310000000005E-2</v>
      </c>
      <c r="W4679">
        <v>0.1900761</v>
      </c>
      <c r="X4679">
        <v>0.97801419999999994</v>
      </c>
      <c r="Y4679">
        <v>5.3316089999999997E-2</v>
      </c>
      <c r="Z4679">
        <v>9.8846149999999989E-4</v>
      </c>
      <c r="AA4679">
        <v>0.99857720000000005</v>
      </c>
      <c r="AB4679">
        <v>23</v>
      </c>
      <c r="AC4679">
        <v>-46.005899999999997</v>
      </c>
      <c r="AD4679">
        <v>-1.1106903316109999</v>
      </c>
      <c r="AE4679">
        <v>2.5462000000000198</v>
      </c>
      <c r="AF4679">
        <v>2.4680917725085498</v>
      </c>
      <c r="AG4679">
        <v>-1.1106903316109999</v>
      </c>
      <c r="AH4679">
        <v>45.983359762576001</v>
      </c>
      <c r="AI4679">
        <v>91.381675505839397</v>
      </c>
      <c r="AJ4679">
        <v>86.927678143752999</v>
      </c>
      <c r="AK4679">
        <v>46.062940473495097</v>
      </c>
      <c r="AL4679">
        <v>79.042774605671596</v>
      </c>
      <c r="AM4679">
        <v>95.012857413988499</v>
      </c>
      <c r="AN4679">
        <v>0.99999999508813298</v>
      </c>
    </row>
    <row r="4680" spans="1:40" x14ac:dyDescent="0.25">
      <c r="A4680" t="str">
        <f>"20190304155155030"</f>
        <v>20190304155155030</v>
      </c>
      <c r="B4680" t="str">
        <f>"1551685915021355"</f>
        <v>1551685915021355</v>
      </c>
      <c r="C4680" t="s">
        <v>40</v>
      </c>
      <c r="D4680">
        <v>4.9250689999999997</v>
      </c>
      <c r="E4680">
        <v>0.55240900000000004</v>
      </c>
      <c r="F4680" t="s">
        <v>41</v>
      </c>
      <c r="G4680">
        <v>-370.76170000000002</v>
      </c>
      <c r="H4680" s="1">
        <v>-4.8541160000000003E-6</v>
      </c>
      <c r="I4680">
        <v>144.3365</v>
      </c>
      <c r="J4680">
        <v>-323.85770000000002</v>
      </c>
      <c r="K4680">
        <v>1.110689</v>
      </c>
      <c r="L4680">
        <v>141.6557</v>
      </c>
      <c r="M4680">
        <v>-0.99990480000000004</v>
      </c>
      <c r="N4680">
        <v>-1.370304E-2</v>
      </c>
      <c r="O4680">
        <v>1.6662139999999901E-3</v>
      </c>
      <c r="P4680">
        <v>-0.98063029999999995</v>
      </c>
      <c r="Q4680">
        <v>0.17691129999999999</v>
      </c>
      <c r="R4680">
        <v>-8.4065000000000001E-2</v>
      </c>
      <c r="S4680">
        <v>-3.0873110000000001</v>
      </c>
      <c r="T4680">
        <v>-7.2852020000000003E-2</v>
      </c>
      <c r="U4680">
        <v>0.1758575</v>
      </c>
      <c r="V4680">
        <v>-8.5691950000000003E-2</v>
      </c>
      <c r="W4680">
        <v>0.19033359999999999</v>
      </c>
      <c r="X4680">
        <v>0.97797239999999996</v>
      </c>
      <c r="Y4680">
        <v>5.5181319999999999E-2</v>
      </c>
      <c r="Z4680">
        <v>1.012462E-3</v>
      </c>
      <c r="AA4680">
        <v>0.99847580000000002</v>
      </c>
      <c r="AB4680">
        <v>23</v>
      </c>
      <c r="AC4680">
        <v>-46.904000000000003</v>
      </c>
      <c r="AD4680">
        <v>-1.1106938541159901</v>
      </c>
      <c r="AE4680">
        <v>2.6808000000000001</v>
      </c>
      <c r="AF4680">
        <v>2.6011829812668399</v>
      </c>
      <c r="AG4680">
        <v>-1.1106938541159901</v>
      </c>
      <c r="AH4680">
        <v>46.882198509198801</v>
      </c>
      <c r="AI4680">
        <v>91.355066497177404</v>
      </c>
      <c r="AJ4680">
        <v>86.824292349097902</v>
      </c>
      <c r="AK4680">
        <v>46.967439048723101</v>
      </c>
      <c r="AL4680">
        <v>79.027746678305206</v>
      </c>
      <c r="AM4680">
        <v>95.007584542554696</v>
      </c>
      <c r="AN4680">
        <v>1.00000000237276</v>
      </c>
    </row>
    <row r="4681" spans="1:40" x14ac:dyDescent="0.25">
      <c r="A4681" t="str">
        <f>"20190304155155048"</f>
        <v>20190304155155048</v>
      </c>
      <c r="B4681" t="str">
        <f>"1551685915041852"</f>
        <v>1551685915041852</v>
      </c>
      <c r="C4681" t="s">
        <v>40</v>
      </c>
      <c r="D4681">
        <v>4.938078</v>
      </c>
      <c r="E4681">
        <v>0.55259190000000002</v>
      </c>
      <c r="F4681" t="s">
        <v>41</v>
      </c>
      <c r="G4681">
        <v>-371.41629999999998</v>
      </c>
      <c r="H4681" s="1">
        <v>-4.6410220000000003E-6</v>
      </c>
      <c r="I4681">
        <v>144.39109999999999</v>
      </c>
      <c r="J4681">
        <v>-324.04719999999998</v>
      </c>
      <c r="K4681">
        <v>1.1106940000000001</v>
      </c>
      <c r="L4681">
        <v>141.65600000000001</v>
      </c>
      <c r="M4681">
        <v>-0.99990489999999999</v>
      </c>
      <c r="N4681">
        <v>-1.3701090000000001E-2</v>
      </c>
      <c r="O4681">
        <v>1.665929E-3</v>
      </c>
      <c r="P4681">
        <v>-0.98060199999999997</v>
      </c>
      <c r="Q4681">
        <v>0.177031299999999</v>
      </c>
      <c r="R4681">
        <v>-8.4143770000000007E-2</v>
      </c>
      <c r="S4681">
        <v>-3.0874630000000001</v>
      </c>
      <c r="T4681">
        <v>-7.2105290000000002E-2</v>
      </c>
      <c r="U4681">
        <v>0.17758180000000001</v>
      </c>
      <c r="V4681">
        <v>-8.5770170000000007E-2</v>
      </c>
      <c r="W4681">
        <v>0.1904516</v>
      </c>
      <c r="X4681">
        <v>0.9779426</v>
      </c>
      <c r="Y4681">
        <v>5.573475E-2</v>
      </c>
      <c r="Z4681">
        <v>1.0163609999999999E-3</v>
      </c>
      <c r="AA4681">
        <v>0.99844509999999997</v>
      </c>
      <c r="AB4681">
        <v>23</v>
      </c>
      <c r="AC4681">
        <v>-47.369100000000003</v>
      </c>
      <c r="AD4681">
        <v>-1.1106986410220001</v>
      </c>
      <c r="AE4681">
        <v>2.7350999999999801</v>
      </c>
      <c r="AF4681">
        <v>2.65472054365287</v>
      </c>
      <c r="AG4681">
        <v>-1.1106986410220001</v>
      </c>
      <c r="AH4681">
        <v>47.347646079226998</v>
      </c>
      <c r="AI4681">
        <v>91.341712638824106</v>
      </c>
      <c r="AJ4681">
        <v>86.790860676121795</v>
      </c>
      <c r="AK4681">
        <v>47.4350164106623</v>
      </c>
      <c r="AL4681">
        <v>79.020860125006394</v>
      </c>
      <c r="AM4681">
        <v>95.0122841677031</v>
      </c>
      <c r="AN4681">
        <v>1.0000000314495701</v>
      </c>
    </row>
    <row r="4682" spans="1:40" x14ac:dyDescent="0.25">
      <c r="A4682" t="str">
        <f>"20190304155155070"</f>
        <v>20190304155155070</v>
      </c>
      <c r="B4682" t="str">
        <f>"1551685915061372"</f>
        <v>1551685915061372</v>
      </c>
      <c r="C4682" t="s">
        <v>40</v>
      </c>
      <c r="D4682">
        <v>4.9355529999999996</v>
      </c>
      <c r="E4682">
        <v>0.55259999999999998</v>
      </c>
      <c r="F4682" t="s">
        <v>41</v>
      </c>
      <c r="G4682">
        <v>-371.52170000000001</v>
      </c>
      <c r="H4682" s="1">
        <v>-4.6089229999999996E-6</v>
      </c>
      <c r="I4682">
        <v>144.41229999999999</v>
      </c>
      <c r="J4682">
        <v>-324.26740000000001</v>
      </c>
      <c r="K4682">
        <v>1.1106940000000001</v>
      </c>
      <c r="L4682">
        <v>141.65639999999999</v>
      </c>
      <c r="M4682">
        <v>-0.99990489999999999</v>
      </c>
      <c r="N4682">
        <v>-1.3698780000000001E-2</v>
      </c>
      <c r="O4682">
        <v>1.6655870000000001E-3</v>
      </c>
      <c r="P4682">
        <v>-0.98061949999999998</v>
      </c>
      <c r="Q4682">
        <v>0.17684949999999999</v>
      </c>
      <c r="R4682">
        <v>-8.4320809999999996E-2</v>
      </c>
      <c r="S4682">
        <v>-3.0877379999999999</v>
      </c>
      <c r="T4682">
        <v>-7.223976E-2</v>
      </c>
      <c r="U4682">
        <v>0.1792755</v>
      </c>
      <c r="V4682">
        <v>-8.5947220000000005E-2</v>
      </c>
      <c r="W4682">
        <v>0.19026760000000001</v>
      </c>
      <c r="X4682">
        <v>0.97796289999999997</v>
      </c>
      <c r="Y4682">
        <v>5.6275539999999999E-2</v>
      </c>
      <c r="Z4682">
        <v>1.027406E-3</v>
      </c>
      <c r="AA4682">
        <v>0.99841480000000005</v>
      </c>
      <c r="AB4682">
        <v>23</v>
      </c>
      <c r="AC4682">
        <v>-47.254300000000001</v>
      </c>
      <c r="AD4682">
        <v>-1.110698608923</v>
      </c>
      <c r="AE4682">
        <v>2.7558999999999898</v>
      </c>
      <c r="AF4682">
        <v>2.6757094104124102</v>
      </c>
      <c r="AG4682">
        <v>-1.110698608923</v>
      </c>
      <c r="AH4682">
        <v>47.232818737575798</v>
      </c>
      <c r="AI4682">
        <v>91.344929370510002</v>
      </c>
      <c r="AJ4682">
        <v>86.757695589486403</v>
      </c>
      <c r="AK4682">
        <v>47.321583216810502</v>
      </c>
      <c r="AL4682">
        <v>79.031599218962</v>
      </c>
      <c r="AM4682">
        <v>95.022474121033895</v>
      </c>
      <c r="AN4682">
        <v>1.0000000590059399</v>
      </c>
    </row>
    <row r="4683" spans="1:40" x14ac:dyDescent="0.25">
      <c r="A4683" t="str">
        <f>"20190304155155093"</f>
        <v>20190304155155093</v>
      </c>
      <c r="B4683" t="str">
        <f>"1551685915081868"</f>
        <v>1551685915081868</v>
      </c>
      <c r="C4683" t="s">
        <v>40</v>
      </c>
      <c r="D4683">
        <v>4.9035449999999896</v>
      </c>
      <c r="E4683">
        <v>0.55266689999999996</v>
      </c>
      <c r="F4683" t="s">
        <v>41</v>
      </c>
      <c r="G4683">
        <v>-370.51299999999998</v>
      </c>
      <c r="H4683" s="1">
        <v>-4.9390810000000004E-6</v>
      </c>
      <c r="I4683">
        <v>144.33850000000001</v>
      </c>
      <c r="J4683">
        <v>-324.5027</v>
      </c>
      <c r="K4683">
        <v>1.1106959999999999</v>
      </c>
      <c r="L4683">
        <v>141.6568</v>
      </c>
      <c r="M4683">
        <v>-0.99990480000000004</v>
      </c>
      <c r="N4683">
        <v>-1.36963E-2</v>
      </c>
      <c r="O4683">
        <v>1.6654249999999999E-3</v>
      </c>
      <c r="P4683">
        <v>-0.98067950000000004</v>
      </c>
      <c r="Q4683">
        <v>0.17655750000000001</v>
      </c>
      <c r="R4683">
        <v>-8.4234020000000007E-2</v>
      </c>
      <c r="S4683">
        <v>-3.0881349999999999</v>
      </c>
      <c r="T4683">
        <v>-7.4168919999999999E-2</v>
      </c>
      <c r="U4683">
        <v>0.17910770000000001</v>
      </c>
      <c r="V4683">
        <v>-8.5860329999999999E-2</v>
      </c>
      <c r="W4683">
        <v>0.189974</v>
      </c>
      <c r="X4683">
        <v>0.97802750000000005</v>
      </c>
      <c r="Y4683">
        <v>5.6213180000000001E-2</v>
      </c>
      <c r="Z4683">
        <v>1.042599E-3</v>
      </c>
      <c r="AA4683">
        <v>0.99841829999999998</v>
      </c>
      <c r="AB4683">
        <v>23</v>
      </c>
      <c r="AC4683">
        <v>-46.010300000000001</v>
      </c>
      <c r="AD4683">
        <v>-1.1107009390810001</v>
      </c>
      <c r="AE4683">
        <v>2.6817000000000002</v>
      </c>
      <c r="AF4683">
        <v>2.6035502984113399</v>
      </c>
      <c r="AG4683">
        <v>-1.1107009390810001</v>
      </c>
      <c r="AH4683">
        <v>45.987993883791901</v>
      </c>
      <c r="AI4683">
        <v>91.381326315720202</v>
      </c>
      <c r="AJ4683">
        <v>86.759733016059897</v>
      </c>
      <c r="AK4683">
        <v>46.075022649892603</v>
      </c>
      <c r="AL4683">
        <v>79.048732615383898</v>
      </c>
      <c r="AM4683">
        <v>95.017092769897104</v>
      </c>
      <c r="AN4683">
        <v>0.99999995384997797</v>
      </c>
    </row>
    <row r="4684" spans="1:40" x14ac:dyDescent="0.25">
      <c r="A4684" t="str">
        <f>"20190304155155115"</f>
        <v>20190304155155115</v>
      </c>
      <c r="B4684" t="str">
        <f>"1551685915111148"</f>
        <v>1551685915111148</v>
      </c>
      <c r="C4684" t="s">
        <v>40</v>
      </c>
      <c r="D4684">
        <v>4.9491940000000003</v>
      </c>
      <c r="E4684">
        <v>0.55272250000000001</v>
      </c>
      <c r="F4684" t="s">
        <v>41</v>
      </c>
      <c r="G4684">
        <v>-369.54579999999999</v>
      </c>
      <c r="H4684" s="1">
        <v>-1.420294E-6</v>
      </c>
      <c r="I4684">
        <v>144.28829999999999</v>
      </c>
      <c r="J4684">
        <v>-324.72629999999998</v>
      </c>
      <c r="K4684">
        <v>1.1106910000000001</v>
      </c>
      <c r="L4684">
        <v>141.65710000000001</v>
      </c>
      <c r="M4684">
        <v>-0.99990489999999999</v>
      </c>
      <c r="N4684">
        <v>-1.369396E-2</v>
      </c>
      <c r="O4684">
        <v>1.6650839999999901E-3</v>
      </c>
      <c r="P4684">
        <v>-0.98064289999999998</v>
      </c>
      <c r="Q4684">
        <v>0.17682020000000001</v>
      </c>
      <c r="R4684">
        <v>-8.4109920000000005E-2</v>
      </c>
      <c r="S4684">
        <v>-3.0883180000000001</v>
      </c>
      <c r="T4684">
        <v>-7.6153520000000002E-2</v>
      </c>
      <c r="U4684">
        <v>0.18043519999999999</v>
      </c>
      <c r="V4684">
        <v>-8.5735610000000004E-2</v>
      </c>
      <c r="W4684">
        <v>0.19023390000000001</v>
      </c>
      <c r="X4684">
        <v>0.97798790000000002</v>
      </c>
      <c r="Y4684">
        <v>5.6636510000000001E-2</v>
      </c>
      <c r="Z4684">
        <v>1.067581E-3</v>
      </c>
      <c r="AA4684">
        <v>0.99839429999999996</v>
      </c>
      <c r="AB4684">
        <v>23</v>
      </c>
      <c r="AC4684">
        <v>-44.819499999999998</v>
      </c>
      <c r="AD4684">
        <v>-1.1106924202940001</v>
      </c>
      <c r="AE4684">
        <v>2.63119999999997</v>
      </c>
      <c r="AF4684">
        <v>2.5549974379936899</v>
      </c>
      <c r="AG4684">
        <v>-1.1106924202940001</v>
      </c>
      <c r="AH4684">
        <v>44.796403534550599</v>
      </c>
      <c r="AI4684">
        <v>91.418010213698395</v>
      </c>
      <c r="AJ4684">
        <v>86.735627697697097</v>
      </c>
      <c r="AK4684">
        <v>44.8829524339804</v>
      </c>
      <c r="AL4684">
        <v>79.033564599357504</v>
      </c>
      <c r="AM4684">
        <v>95.010043920911897</v>
      </c>
      <c r="AN4684">
        <v>0.99999993203884296</v>
      </c>
    </row>
    <row r="4685" spans="1:40" x14ac:dyDescent="0.25">
      <c r="A4685" t="str">
        <f>"20190304155155136"</f>
        <v>20190304155155136</v>
      </c>
      <c r="B4685" t="str">
        <f>"1551685915131644"</f>
        <v>1551685915131644</v>
      </c>
      <c r="C4685" t="s">
        <v>40</v>
      </c>
      <c r="D4685">
        <v>4.9311439999999997</v>
      </c>
      <c r="E4685">
        <v>0.55280019999999996</v>
      </c>
      <c r="F4685" t="s">
        <v>41</v>
      </c>
      <c r="G4685">
        <v>-369.0752</v>
      </c>
      <c r="H4685" s="1">
        <v>-1.6154400000000001E-6</v>
      </c>
      <c r="I4685">
        <v>144.2629</v>
      </c>
      <c r="J4685">
        <v>-324.94310000000002</v>
      </c>
      <c r="K4685">
        <v>1.110697</v>
      </c>
      <c r="L4685">
        <v>141.6575</v>
      </c>
      <c r="M4685">
        <v>-0.99990489999999999</v>
      </c>
      <c r="N4685">
        <v>-1.3691709999999999E-2</v>
      </c>
      <c r="O4685">
        <v>1.665099E-3</v>
      </c>
      <c r="P4685">
        <v>-0.98059130000000005</v>
      </c>
      <c r="Q4685">
        <v>0.17712130000000001</v>
      </c>
      <c r="R4685">
        <v>-8.4076709999999999E-2</v>
      </c>
      <c r="S4685">
        <v>-3.0887150000000001</v>
      </c>
      <c r="T4685">
        <v>-7.7355270000000004E-2</v>
      </c>
      <c r="U4685">
        <v>0.18148800000000001</v>
      </c>
      <c r="V4685">
        <v>-8.570258E-2</v>
      </c>
      <c r="W4685">
        <v>0.19053210000000001</v>
      </c>
      <c r="X4685">
        <v>0.97793280000000005</v>
      </c>
      <c r="Y4685">
        <v>5.6967339999999998E-2</v>
      </c>
      <c r="Z4685">
        <v>1.084191E-3</v>
      </c>
      <c r="AA4685">
        <v>0.99837549999999997</v>
      </c>
      <c r="AB4685">
        <v>23</v>
      </c>
      <c r="AC4685">
        <v>-44.132099999999902</v>
      </c>
      <c r="AD4685">
        <v>-1.11069861544</v>
      </c>
      <c r="AE4685">
        <v>2.6053999999999999</v>
      </c>
      <c r="AF4685">
        <v>2.5303080349965801</v>
      </c>
      <c r="AG4685">
        <v>-1.11069861544</v>
      </c>
      <c r="AH4685">
        <v>44.108535818994298</v>
      </c>
      <c r="AI4685">
        <v>91.440095652497803</v>
      </c>
      <c r="AJ4685">
        <v>86.716797489056802</v>
      </c>
      <c r="AK4685">
        <v>44.195011508786997</v>
      </c>
      <c r="AL4685">
        <v>79.016161291907906</v>
      </c>
      <c r="AM4685">
        <v>95.008404337882595</v>
      </c>
      <c r="AN4685">
        <v>0.99999998733245299</v>
      </c>
    </row>
    <row r="4686" spans="1:40" x14ac:dyDescent="0.25">
      <c r="A4686" t="str">
        <f>"20190304155155159"</f>
        <v>20190304155155159</v>
      </c>
      <c r="B4686" t="str">
        <f>"1551685915151164"</f>
        <v>1551685915151164</v>
      </c>
      <c r="C4686" t="s">
        <v>40</v>
      </c>
      <c r="D4686">
        <v>4.9737450000000001</v>
      </c>
      <c r="E4686">
        <v>0.55290260000000002</v>
      </c>
      <c r="F4686" t="s">
        <v>41</v>
      </c>
      <c r="G4686">
        <v>-368.97820000000002</v>
      </c>
      <c r="H4686" s="1">
        <v>-1.6560689999999999E-6</v>
      </c>
      <c r="I4686">
        <v>144.2593</v>
      </c>
      <c r="J4686">
        <v>-325.17160000000001</v>
      </c>
      <c r="K4686">
        <v>1.110698</v>
      </c>
      <c r="L4686">
        <v>141.65790000000001</v>
      </c>
      <c r="M4686">
        <v>-0.99990500000000004</v>
      </c>
      <c r="N4686">
        <v>-1.3689339999999999E-2</v>
      </c>
      <c r="O4686">
        <v>1.6648170000000001E-3</v>
      </c>
      <c r="P4686">
        <v>-0.98062609999999995</v>
      </c>
      <c r="Q4686">
        <v>0.17714730000000001</v>
      </c>
      <c r="R4686">
        <v>-8.3615439999999999E-2</v>
      </c>
      <c r="S4686">
        <v>-3.0891109999999999</v>
      </c>
      <c r="T4686">
        <v>-7.7916860000000004E-2</v>
      </c>
      <c r="U4686">
        <v>0.18252560000000001</v>
      </c>
      <c r="V4686">
        <v>-8.5240979999999994E-2</v>
      </c>
      <c r="W4686">
        <v>0.1905559</v>
      </c>
      <c r="X4686">
        <v>0.97796850000000002</v>
      </c>
      <c r="Y4686">
        <v>5.7293820000000002E-2</v>
      </c>
      <c r="Z4686">
        <v>1.0952539999999999E-3</v>
      </c>
      <c r="AA4686">
        <v>0.99835680000000004</v>
      </c>
      <c r="AB4686">
        <v>23</v>
      </c>
      <c r="AC4686">
        <v>-43.806600000000003</v>
      </c>
      <c r="AD4686">
        <v>-1.1106996560689999</v>
      </c>
      <c r="AE4686">
        <v>2.60139999999998</v>
      </c>
      <c r="AF4686">
        <v>2.5268409055423602</v>
      </c>
      <c r="AG4686">
        <v>-1.1106996560689999</v>
      </c>
      <c r="AH4686">
        <v>43.782823366131602</v>
      </c>
      <c r="AI4686">
        <v>91.450776810540802</v>
      </c>
      <c r="AJ4686">
        <v>86.696948999173003</v>
      </c>
      <c r="AK4686">
        <v>43.869741287108099</v>
      </c>
      <c r="AL4686">
        <v>79.014772135749894</v>
      </c>
      <c r="AM4686">
        <v>94.981383898983907</v>
      </c>
      <c r="AN4686">
        <v>0.99999998134420998</v>
      </c>
    </row>
    <row r="4687" spans="1:40" x14ac:dyDescent="0.25">
      <c r="A4687" t="str">
        <f>"20190304155155176"</f>
        <v>20190304155155176</v>
      </c>
      <c r="B4687" t="str">
        <f>"1551685915171661"</f>
        <v>1551685915171661</v>
      </c>
      <c r="C4687" t="s">
        <v>40</v>
      </c>
      <c r="D4687">
        <v>4.6605030000000003</v>
      </c>
      <c r="E4687">
        <v>0.55396400000000001</v>
      </c>
      <c r="F4687" t="s">
        <v>41</v>
      </c>
      <c r="G4687">
        <v>-368.8254</v>
      </c>
      <c r="H4687" s="1">
        <v>-1.7259160000000001E-6</v>
      </c>
      <c r="I4687">
        <v>144.27539999999999</v>
      </c>
      <c r="J4687">
        <v>-325.33580000000001</v>
      </c>
      <c r="K4687">
        <v>1.1106990000000001</v>
      </c>
      <c r="L4687">
        <v>141.65819999999999</v>
      </c>
      <c r="M4687">
        <v>-0.99990500000000004</v>
      </c>
      <c r="N4687">
        <v>-1.3687629999999999E-2</v>
      </c>
      <c r="O4687">
        <v>1.664471E-3</v>
      </c>
      <c r="P4687">
        <v>-0.98057899999999998</v>
      </c>
      <c r="Q4687">
        <v>0.17742060000000001</v>
      </c>
      <c r="R4687">
        <v>-8.358902E-2</v>
      </c>
      <c r="S4687">
        <v>-3.089264</v>
      </c>
      <c r="T4687">
        <v>-7.8601359999999995E-2</v>
      </c>
      <c r="U4687">
        <v>0.18524170000000001</v>
      </c>
      <c r="V4687">
        <v>-8.5214020000000001E-2</v>
      </c>
      <c r="W4687">
        <v>0.19082740000000001</v>
      </c>
      <c r="X4687">
        <v>0.97791790000000001</v>
      </c>
      <c r="Y4687">
        <v>5.8165050000000003E-2</v>
      </c>
      <c r="Z4687">
        <v>1.1181780000000001E-3</v>
      </c>
      <c r="AA4687">
        <v>0.99830629999999998</v>
      </c>
      <c r="AB4687">
        <v>23</v>
      </c>
      <c r="AC4687">
        <v>-43.489600000000003</v>
      </c>
      <c r="AD4687">
        <v>-1.11070072591599</v>
      </c>
      <c r="AE4687">
        <v>2.6171999999999902</v>
      </c>
      <c r="AF4687">
        <v>2.5431496001812901</v>
      </c>
      <c r="AG4687">
        <v>-1.11070072591599</v>
      </c>
      <c r="AH4687">
        <v>43.465647644088001</v>
      </c>
      <c r="AI4687">
        <v>91.461292823069201</v>
      </c>
      <c r="AJ4687">
        <v>86.651475057331297</v>
      </c>
      <c r="AK4687">
        <v>43.554147806052498</v>
      </c>
      <c r="AL4687">
        <v>78.998925447243593</v>
      </c>
      <c r="AM4687">
        <v>94.980072684301106</v>
      </c>
      <c r="AN4687">
        <v>0.99999997246786398</v>
      </c>
    </row>
    <row r="4688" spans="1:40" x14ac:dyDescent="0.25">
      <c r="A4688" t="str">
        <f>"20190304155155193"</f>
        <v>20190304155155193</v>
      </c>
      <c r="B4688" t="str">
        <f>"1551685915181421"</f>
        <v>1551685915181421</v>
      </c>
      <c r="C4688" t="s">
        <v>40</v>
      </c>
      <c r="D4688">
        <v>4.6468480000000003</v>
      </c>
      <c r="E4688">
        <v>0.55442539999999996</v>
      </c>
      <c r="F4688" t="s">
        <v>41</v>
      </c>
      <c r="G4688">
        <v>-372.11959999999999</v>
      </c>
      <c r="H4688" s="1">
        <v>-4.4373489999999997E-6</v>
      </c>
      <c r="I4688">
        <v>144.59209999999999</v>
      </c>
      <c r="J4688">
        <v>-325.50599999999997</v>
      </c>
      <c r="K4688">
        <v>1.1106990000000001</v>
      </c>
      <c r="L4688">
        <v>141.6584</v>
      </c>
      <c r="M4688">
        <v>-0.99990500000000004</v>
      </c>
      <c r="N4688">
        <v>-1.3685859999999999E-2</v>
      </c>
      <c r="O4688">
        <v>1.6643039999999999E-3</v>
      </c>
      <c r="P4688">
        <v>-0.98056069999999995</v>
      </c>
      <c r="Q4688">
        <v>0.17741860000000001</v>
      </c>
      <c r="R4688">
        <v>-8.380659E-2</v>
      </c>
      <c r="S4688">
        <v>-3.0892029999999999</v>
      </c>
      <c r="T4688">
        <v>-7.3341370000000003E-2</v>
      </c>
      <c r="U4688">
        <v>0.19374079999999999</v>
      </c>
      <c r="V4688">
        <v>-8.5431380000000001E-2</v>
      </c>
      <c r="W4688">
        <v>0.1908232</v>
      </c>
      <c r="X4688">
        <v>0.97789979999999999</v>
      </c>
      <c r="Y4688">
        <v>6.0904319999999998E-2</v>
      </c>
      <c r="Z4688">
        <v>1.122732E-3</v>
      </c>
      <c r="AA4688">
        <v>0.998143</v>
      </c>
      <c r="AB4688">
        <v>23</v>
      </c>
      <c r="AC4688">
        <v>-46.613599999999998</v>
      </c>
      <c r="AD4688">
        <v>-1.1107034373489999</v>
      </c>
      <c r="AE4688">
        <v>2.93369999999998</v>
      </c>
      <c r="AF4688">
        <v>2.8544951751322998</v>
      </c>
      <c r="AG4688">
        <v>-1.1107034373489999</v>
      </c>
      <c r="AH4688">
        <v>46.5920693372586</v>
      </c>
      <c r="AI4688">
        <v>91.363054668741995</v>
      </c>
      <c r="AJ4688">
        <v>86.494116702986801</v>
      </c>
      <c r="AK4688">
        <v>46.692641068572101</v>
      </c>
      <c r="AL4688">
        <v>78.999171085816698</v>
      </c>
      <c r="AM4688">
        <v>94.992803441957903</v>
      </c>
      <c r="AN4688">
        <v>1.0000000165934899</v>
      </c>
    </row>
    <row r="4689" spans="1:40" x14ac:dyDescent="0.25">
      <c r="A4689" t="str">
        <f>"20190304155155215"</f>
        <v>20190304155155215</v>
      </c>
      <c r="B4689" t="str">
        <f>"1551685915211677"</f>
        <v>1551685915211677</v>
      </c>
      <c r="C4689" t="s">
        <v>40</v>
      </c>
      <c r="D4689">
        <v>4.6535159999999998</v>
      </c>
      <c r="E4689">
        <v>0.55573189999999995</v>
      </c>
      <c r="F4689" t="s">
        <v>41</v>
      </c>
      <c r="G4689">
        <v>-374.13659999999999</v>
      </c>
      <c r="H4689" s="1">
        <v>-3.780622E-6</v>
      </c>
      <c r="I4689">
        <v>144.7593</v>
      </c>
      <c r="J4689">
        <v>-325.733</v>
      </c>
      <c r="K4689">
        <v>1.1107020000000001</v>
      </c>
      <c r="L4689">
        <v>141.65880000000001</v>
      </c>
      <c r="M4689">
        <v>-0.99990520000000005</v>
      </c>
      <c r="N4689">
        <v>-1.368283E-2</v>
      </c>
      <c r="O4689">
        <v>1.6638480000000001E-3</v>
      </c>
      <c r="P4689">
        <v>-0.9805296</v>
      </c>
      <c r="Q4689">
        <v>0.1777977</v>
      </c>
      <c r="R4689">
        <v>-8.336913E-2</v>
      </c>
      <c r="S4689">
        <v>-3.0890499999999999</v>
      </c>
      <c r="T4689">
        <v>-7.0552589999999998E-2</v>
      </c>
      <c r="U4689">
        <v>0.1969757</v>
      </c>
      <c r="V4689">
        <v>-8.4993269999999996E-2</v>
      </c>
      <c r="W4689">
        <v>0.1911986</v>
      </c>
      <c r="X4689">
        <v>0.97786459999999997</v>
      </c>
      <c r="Y4689">
        <v>6.1950119999999997E-2</v>
      </c>
      <c r="Z4689">
        <v>1.1157980000000001E-3</v>
      </c>
      <c r="AA4689">
        <v>0.99807860000000004</v>
      </c>
      <c r="AB4689">
        <v>23</v>
      </c>
      <c r="AC4689">
        <v>-48.403599999999898</v>
      </c>
      <c r="AD4689">
        <v>-1.110705780622</v>
      </c>
      <c r="AE4689">
        <v>3.1004999999999798</v>
      </c>
      <c r="AF4689">
        <v>3.01836911120912</v>
      </c>
      <c r="AG4689">
        <v>-1.110705780622</v>
      </c>
      <c r="AH4689">
        <v>48.383319914134297</v>
      </c>
      <c r="AI4689">
        <v>91.312521914305904</v>
      </c>
      <c r="AJ4689">
        <v>86.430257714975298</v>
      </c>
      <c r="AK4689">
        <v>48.490100694224999</v>
      </c>
      <c r="AL4689">
        <v>78.977258260111299</v>
      </c>
      <c r="AM4689">
        <v>94.967505646629505</v>
      </c>
      <c r="AN4689">
        <v>0.99999996826020499</v>
      </c>
    </row>
    <row r="4690" spans="1:40" x14ac:dyDescent="0.25">
      <c r="A4690" t="str">
        <f>"20190304155155237"</f>
        <v>20190304155155237</v>
      </c>
      <c r="B4690" t="str">
        <f>"1551685915231196"</f>
        <v>1551685915231196</v>
      </c>
      <c r="C4690" t="s">
        <v>40</v>
      </c>
      <c r="D4690">
        <v>4.6438160000000002</v>
      </c>
      <c r="E4690">
        <v>0.55652979999999996</v>
      </c>
      <c r="F4690" t="s">
        <v>41</v>
      </c>
      <c r="G4690">
        <v>-380.30509999999998</v>
      </c>
      <c r="H4690" s="1">
        <v>-5.1872330000000003E-6</v>
      </c>
      <c r="I4690">
        <v>145.33850000000001</v>
      </c>
      <c r="J4690">
        <v>-325.95429999999999</v>
      </c>
      <c r="K4690">
        <v>1.110703</v>
      </c>
      <c r="L4690">
        <v>141.6592</v>
      </c>
      <c r="M4690">
        <v>-0.99990500000000004</v>
      </c>
      <c r="N4690">
        <v>-1.3677730000000001E-2</v>
      </c>
      <c r="O4690">
        <v>1.6638829999999999E-3</v>
      </c>
      <c r="P4690">
        <v>-0.9804891</v>
      </c>
      <c r="Q4690">
        <v>0.1782243</v>
      </c>
      <c r="R4690">
        <v>-8.2929219999999998E-2</v>
      </c>
      <c r="S4690">
        <v>-3.0886840000000002</v>
      </c>
      <c r="T4690">
        <v>-6.2864069999999994E-2</v>
      </c>
      <c r="U4690">
        <v>0.20826720000000001</v>
      </c>
      <c r="V4690">
        <v>-8.4553470000000006E-2</v>
      </c>
      <c r="W4690">
        <v>0.19161980000000001</v>
      </c>
      <c r="X4690">
        <v>0.97782029999999998</v>
      </c>
      <c r="Y4690">
        <v>6.5593349999999995E-2</v>
      </c>
      <c r="Z4690">
        <v>1.1047870000000001E-3</v>
      </c>
      <c r="AA4690">
        <v>0.9978458</v>
      </c>
      <c r="AB4690">
        <v>22</v>
      </c>
      <c r="AC4690">
        <v>-54.3507999999999</v>
      </c>
      <c r="AD4690">
        <v>-1.110708187233</v>
      </c>
      <c r="AE4690">
        <v>3.6793000000000098</v>
      </c>
      <c r="AF4690">
        <v>3.5873617239907598</v>
      </c>
      <c r="AG4690">
        <v>-1.110708187233</v>
      </c>
      <c r="AH4690">
        <v>54.334259334023102</v>
      </c>
      <c r="AI4690">
        <v>91.168541419527202</v>
      </c>
      <c r="AJ4690">
        <v>86.222589467256697</v>
      </c>
      <c r="AK4690">
        <v>54.463883208901102</v>
      </c>
      <c r="AL4690">
        <v>78.952670881605599</v>
      </c>
      <c r="AM4690">
        <v>94.942151563029299</v>
      </c>
      <c r="AN4690">
        <v>0.99999998806658497</v>
      </c>
    </row>
    <row r="4691" spans="1:40" x14ac:dyDescent="0.25">
      <c r="A4691" t="str">
        <f>"20190304155155260"</f>
        <v>20190304155155260</v>
      </c>
      <c r="B4691" t="str">
        <f>"1551685915251695"</f>
        <v>1551685915251695</v>
      </c>
      <c r="C4691" t="s">
        <v>40</v>
      </c>
      <c r="D4691">
        <v>4.626563</v>
      </c>
      <c r="E4691">
        <v>0.55727190000000004</v>
      </c>
      <c r="F4691" t="s">
        <v>41</v>
      </c>
      <c r="G4691">
        <v>-385.56490000000002</v>
      </c>
      <c r="H4691" s="1">
        <v>-3.4828890000000001E-6</v>
      </c>
      <c r="I4691">
        <v>145.821</v>
      </c>
      <c r="J4691">
        <v>-326.1841</v>
      </c>
      <c r="K4691">
        <v>1.1107020000000001</v>
      </c>
      <c r="L4691">
        <v>141.65960000000001</v>
      </c>
      <c r="M4691">
        <v>-0.99990520000000005</v>
      </c>
      <c r="N4691">
        <v>-1.3668080000000001E-2</v>
      </c>
      <c r="O4691">
        <v>1.6635910000000001E-3</v>
      </c>
      <c r="P4691">
        <v>-0.98060080000000005</v>
      </c>
      <c r="Q4691">
        <v>0.17763870000000001</v>
      </c>
      <c r="R4691">
        <v>-8.2865040000000001E-2</v>
      </c>
      <c r="S4691">
        <v>-3.0883180000000001</v>
      </c>
      <c r="T4691">
        <v>-5.7543749999999998E-2</v>
      </c>
      <c r="U4691">
        <v>0.21562190000000001</v>
      </c>
      <c r="V4691">
        <v>-8.4489300000000003E-2</v>
      </c>
      <c r="W4691">
        <v>0.19102630000000001</v>
      </c>
      <c r="X4691">
        <v>0.97794199999999998</v>
      </c>
      <c r="Y4691">
        <v>6.7968849999999997E-2</v>
      </c>
      <c r="Z4691">
        <v>1.0893109999999999E-3</v>
      </c>
      <c r="AA4691">
        <v>0.99768690000000004</v>
      </c>
      <c r="AB4691">
        <v>22</v>
      </c>
      <c r="AC4691">
        <v>-59.380800000000001</v>
      </c>
      <c r="AD4691">
        <v>-1.110705482889</v>
      </c>
      <c r="AE4691">
        <v>4.16139999999998</v>
      </c>
      <c r="AF4691">
        <v>4.0611857072840198</v>
      </c>
      <c r="AG4691">
        <v>-1.110705482889</v>
      </c>
      <c r="AH4691">
        <v>59.3669721634122</v>
      </c>
      <c r="AI4691">
        <v>91.069331625146603</v>
      </c>
      <c r="AJ4691">
        <v>86.086597671400398</v>
      </c>
      <c r="AK4691">
        <v>59.516084211498097</v>
      </c>
      <c r="AL4691">
        <v>78.987316302339806</v>
      </c>
      <c r="AM4691">
        <v>94.937807858158706</v>
      </c>
      <c r="AN4691">
        <v>1.00000002223508</v>
      </c>
    </row>
    <row r="4692" spans="1:40" x14ac:dyDescent="0.25">
      <c r="A4692" t="str">
        <f>"20190304155155281"</f>
        <v>20190304155155281</v>
      </c>
      <c r="B4692" t="str">
        <f>"1551685915271213"</f>
        <v>1551685915271213</v>
      </c>
      <c r="C4692" t="s">
        <v>40</v>
      </c>
      <c r="D4692">
        <v>4.6632709999999999</v>
      </c>
      <c r="E4692">
        <v>0.55803669999999905</v>
      </c>
      <c r="F4692" t="s">
        <v>41</v>
      </c>
      <c r="G4692">
        <v>-388.80669999999998</v>
      </c>
      <c r="H4692" s="1">
        <v>-2.2376599999999999E-6</v>
      </c>
      <c r="I4692">
        <v>146.16849999999999</v>
      </c>
      <c r="J4692">
        <v>-326.40859999999998</v>
      </c>
      <c r="K4692">
        <v>1.1106990000000001</v>
      </c>
      <c r="L4692">
        <v>141.66</v>
      </c>
      <c r="M4692">
        <v>-0.9999055</v>
      </c>
      <c r="N4692">
        <v>-1.3653190000000001E-2</v>
      </c>
      <c r="O4692">
        <v>1.6633939999999999E-3</v>
      </c>
      <c r="P4692">
        <v>-0.98054790000000003</v>
      </c>
      <c r="Q4692">
        <v>0.1779934</v>
      </c>
      <c r="R4692">
        <v>-8.273084E-2</v>
      </c>
      <c r="S4692">
        <v>-3.0880740000000002</v>
      </c>
      <c r="T4692">
        <v>-5.477166E-2</v>
      </c>
      <c r="U4692">
        <v>0.2223511</v>
      </c>
      <c r="V4692">
        <v>-8.4354899999999997E-2</v>
      </c>
      <c r="W4692">
        <v>0.1913657</v>
      </c>
      <c r="X4692">
        <v>0.97788719999999996</v>
      </c>
      <c r="Y4692">
        <v>7.0138430000000002E-2</v>
      </c>
      <c r="Z4692">
        <v>1.0938879999999999E-3</v>
      </c>
      <c r="AA4692">
        <v>0.99753670000000005</v>
      </c>
      <c r="AB4692">
        <v>22</v>
      </c>
      <c r="AC4692">
        <v>-62.398099999999999</v>
      </c>
      <c r="AD4692">
        <v>-1.1107012376599901</v>
      </c>
      <c r="AE4692">
        <v>4.50849999999999</v>
      </c>
      <c r="AF4692">
        <v>4.40330353609294</v>
      </c>
      <c r="AG4692">
        <v>-1.1107012376599901</v>
      </c>
      <c r="AH4692">
        <v>62.385849560760199</v>
      </c>
      <c r="AI4692">
        <v>91.017440559287095</v>
      </c>
      <c r="AJ4692">
        <v>85.962658112682405</v>
      </c>
      <c r="AK4692">
        <v>62.550914978824302</v>
      </c>
      <c r="AL4692">
        <v>78.967504133963899</v>
      </c>
      <c r="AM4692">
        <v>94.930266772937799</v>
      </c>
      <c r="AN4692">
        <v>0.99999997810716901</v>
      </c>
    </row>
    <row r="4693" spans="1:40" x14ac:dyDescent="0.25">
      <c r="A4693" t="str">
        <f>"20190304155155305"</f>
        <v>20190304155155305</v>
      </c>
      <c r="B4693" t="str">
        <f>"1551685915301468"</f>
        <v>1551685915301468</v>
      </c>
      <c r="C4693" t="s">
        <v>40</v>
      </c>
      <c r="D4693">
        <v>4.6465509999999997</v>
      </c>
      <c r="E4693">
        <v>0.55910289999999996</v>
      </c>
      <c r="F4693" t="s">
        <v>41</v>
      </c>
      <c r="G4693">
        <v>-394.01179999999999</v>
      </c>
      <c r="H4693" s="1">
        <v>-4.1602420000000003E-6</v>
      </c>
      <c r="I4693">
        <v>146.65989999999999</v>
      </c>
      <c r="J4693">
        <v>-326.63170000000002</v>
      </c>
      <c r="K4693">
        <v>1.110697</v>
      </c>
      <c r="L4693">
        <v>141.66030000000001</v>
      </c>
      <c r="M4693">
        <v>-0.99990579999999996</v>
      </c>
      <c r="N4693">
        <v>-1.363262E-2</v>
      </c>
      <c r="O4693">
        <v>1.662998E-3</v>
      </c>
      <c r="P4693">
        <v>-0.98055199999999998</v>
      </c>
      <c r="Q4693">
        <v>0.17806939999999999</v>
      </c>
      <c r="R4693">
        <v>-8.251907E-2</v>
      </c>
      <c r="S4693">
        <v>-3.0879819999999998</v>
      </c>
      <c r="T4693">
        <v>-5.0734759999999997E-2</v>
      </c>
      <c r="U4693">
        <v>0.2283936</v>
      </c>
      <c r="V4693">
        <v>-8.4142720000000004E-2</v>
      </c>
      <c r="W4693">
        <v>0.19142190000000001</v>
      </c>
      <c r="X4693">
        <v>0.9778945</v>
      </c>
      <c r="Y4693">
        <v>7.2084140000000005E-2</v>
      </c>
      <c r="Z4693">
        <v>1.078774E-3</v>
      </c>
      <c r="AA4693">
        <v>0.99739800000000001</v>
      </c>
      <c r="AB4693">
        <v>22</v>
      </c>
      <c r="AC4693">
        <v>-67.380099999999899</v>
      </c>
      <c r="AD4693">
        <v>-1.1107011602420001</v>
      </c>
      <c r="AE4693">
        <v>4.9995999999999796</v>
      </c>
      <c r="AF4693">
        <v>4.8862092723239003</v>
      </c>
      <c r="AG4693">
        <v>-1.1107011602420001</v>
      </c>
      <c r="AH4693">
        <v>67.370115932553105</v>
      </c>
      <c r="AI4693">
        <v>90.942050452350799</v>
      </c>
      <c r="AJ4693">
        <v>85.851724163620503</v>
      </c>
      <c r="AK4693">
        <v>67.556207848620005</v>
      </c>
      <c r="AL4693">
        <v>78.964223674943199</v>
      </c>
      <c r="AM4693">
        <v>94.917889913539597</v>
      </c>
      <c r="AN4693">
        <v>0.999999997129429</v>
      </c>
    </row>
    <row r="4694" spans="1:40" x14ac:dyDescent="0.25">
      <c r="A4694" t="str">
        <f>"20190304155155327"</f>
        <v>20190304155155327</v>
      </c>
      <c r="B4694" t="str">
        <f>"1551685915321964"</f>
        <v>1551685915321964</v>
      </c>
      <c r="C4694" t="s">
        <v>40</v>
      </c>
      <c r="D4694">
        <v>4.674728</v>
      </c>
      <c r="E4694">
        <v>0.559758599999999</v>
      </c>
      <c r="F4694" t="s">
        <v>84</v>
      </c>
      <c r="G4694">
        <v>-402.3048</v>
      </c>
      <c r="H4694" s="1">
        <v>-9.6190519999999995E-6</v>
      </c>
      <c r="I4694">
        <v>147.47730000000001</v>
      </c>
      <c r="J4694">
        <v>-326.85520000000002</v>
      </c>
      <c r="K4694">
        <v>1.1106860000000001</v>
      </c>
      <c r="L4694">
        <v>141.66069999999999</v>
      </c>
      <c r="M4694">
        <v>-0.99990619999999997</v>
      </c>
      <c r="N4694">
        <v>-1.3598570000000001E-2</v>
      </c>
      <c r="O4694">
        <v>1.6627530000000001E-3</v>
      </c>
      <c r="P4694">
        <v>-0.98053869999999999</v>
      </c>
      <c r="Q4694">
        <v>0.1782676</v>
      </c>
      <c r="R4694">
        <v>-8.2247020000000004E-2</v>
      </c>
      <c r="S4694">
        <v>-3.0877080000000001</v>
      </c>
      <c r="T4694">
        <v>-4.5320390000000002E-2</v>
      </c>
      <c r="U4694">
        <v>0.23735049999999999</v>
      </c>
      <c r="V4694">
        <v>-8.3869990000000005E-2</v>
      </c>
      <c r="W4694">
        <v>0.1915866</v>
      </c>
      <c r="X4694">
        <v>0.97788569999999997</v>
      </c>
      <c r="Y4694">
        <v>7.4969750000000002E-2</v>
      </c>
      <c r="Z4694">
        <v>1.0581309999999999E-3</v>
      </c>
      <c r="AA4694">
        <v>0.99718519999999999</v>
      </c>
      <c r="AB4694">
        <v>22</v>
      </c>
      <c r="AC4694">
        <v>-75.449599999999904</v>
      </c>
      <c r="AD4694">
        <v>-1.1106956190520001</v>
      </c>
      <c r="AE4694">
        <v>5.8166000000000198</v>
      </c>
      <c r="AF4694">
        <v>5.6899005482316296</v>
      </c>
      <c r="AG4694">
        <v>-1.1106956190520001</v>
      </c>
      <c r="AH4694">
        <v>75.442915605190393</v>
      </c>
      <c r="AI4694">
        <v>90.841078167762106</v>
      </c>
      <c r="AJ4694">
        <v>85.686920930295102</v>
      </c>
      <c r="AK4694">
        <v>75.665329762175901</v>
      </c>
      <c r="AL4694">
        <v>78.954609382976997</v>
      </c>
      <c r="AM4694">
        <v>94.9020713595487</v>
      </c>
      <c r="AN4694">
        <v>1.00000002139332</v>
      </c>
    </row>
    <row r="4695" spans="1:40" x14ac:dyDescent="0.25">
      <c r="A4695" t="str">
        <f>"20190304155155350"</f>
        <v>20190304155155350</v>
      </c>
      <c r="B4695" t="str">
        <f>"1551685915341488"</f>
        <v>1551685915341488</v>
      </c>
      <c r="C4695" t="s">
        <v>40</v>
      </c>
      <c r="D4695">
        <v>4.6639809999999997</v>
      </c>
      <c r="E4695">
        <v>0.56040570000000001</v>
      </c>
      <c r="F4695" t="s">
        <v>84</v>
      </c>
      <c r="G4695">
        <v>-409.44409999999999</v>
      </c>
      <c r="H4695" s="1">
        <v>-1.349657E-5</v>
      </c>
      <c r="I4695">
        <v>148.1652</v>
      </c>
      <c r="J4695">
        <v>-327.07569999999998</v>
      </c>
      <c r="K4695">
        <v>1.110671</v>
      </c>
      <c r="L4695">
        <v>141.6611</v>
      </c>
      <c r="M4695">
        <v>-0.99990699999999999</v>
      </c>
      <c r="N4695">
        <v>-1.354758E-2</v>
      </c>
      <c r="O4695">
        <v>1.6620859999999999E-3</v>
      </c>
      <c r="P4695">
        <v>-0.98058330000000005</v>
      </c>
      <c r="Q4695">
        <v>0.17809359999999999</v>
      </c>
      <c r="R4695">
        <v>-8.2093280000000005E-2</v>
      </c>
      <c r="S4695">
        <v>-3.087494</v>
      </c>
      <c r="T4695">
        <v>-4.1522259999999998E-2</v>
      </c>
      <c r="U4695">
        <v>0.24316409999999999</v>
      </c>
      <c r="V4695">
        <v>-8.3716090000000007E-2</v>
      </c>
      <c r="W4695">
        <v>0.19136329999999999</v>
      </c>
      <c r="X4695">
        <v>0.9779426</v>
      </c>
      <c r="Y4695">
        <v>7.6843510000000004E-2</v>
      </c>
      <c r="Z4695">
        <v>1.0374589999999999E-3</v>
      </c>
      <c r="AA4695">
        <v>0.99704269999999995</v>
      </c>
      <c r="AB4695">
        <v>22</v>
      </c>
      <c r="AC4695">
        <v>-82.368399999999994</v>
      </c>
      <c r="AD4695">
        <v>-1.11068449657</v>
      </c>
      <c r="AE4695">
        <v>6.5040999999999896</v>
      </c>
      <c r="AF4695">
        <v>6.3660247586803704</v>
      </c>
      <c r="AG4695">
        <v>-1.11068449657</v>
      </c>
      <c r="AH4695">
        <v>82.364214271904501</v>
      </c>
      <c r="AI4695">
        <v>90.770291764546201</v>
      </c>
      <c r="AJ4695">
        <v>85.580330311479301</v>
      </c>
      <c r="AK4695">
        <v>82.617332829783606</v>
      </c>
      <c r="AL4695">
        <v>78.967644618349894</v>
      </c>
      <c r="AM4695">
        <v>94.892836539050506</v>
      </c>
      <c r="AN4695">
        <v>1.00000001260326</v>
      </c>
    </row>
    <row r="4696" spans="1:40" x14ac:dyDescent="0.25">
      <c r="A4696" t="str">
        <f>"20190304155155372"</f>
        <v>20190304155155372</v>
      </c>
      <c r="B4696" t="str">
        <f>"1551685915361980"</f>
        <v>1551685915361980</v>
      </c>
      <c r="C4696" t="s">
        <v>40</v>
      </c>
      <c r="D4696">
        <v>4.6870580000000004</v>
      </c>
      <c r="E4696">
        <v>0.56105269999999996</v>
      </c>
      <c r="F4696" t="s">
        <v>84</v>
      </c>
      <c r="G4696">
        <v>-414.25720000000001</v>
      </c>
      <c r="H4696" s="1">
        <v>-1.35283399999999E-5</v>
      </c>
      <c r="I4696">
        <v>148.67490000000001</v>
      </c>
      <c r="J4696">
        <v>-327.30900000000003</v>
      </c>
      <c r="K4696">
        <v>1.110662</v>
      </c>
      <c r="L4696">
        <v>141.66149999999999</v>
      </c>
      <c r="M4696">
        <v>-0.99990769999999995</v>
      </c>
      <c r="N4696">
        <v>-1.3477309999999999E-2</v>
      </c>
      <c r="O4696">
        <v>1.661844E-3</v>
      </c>
      <c r="P4696">
        <v>-0.98053120000000005</v>
      </c>
      <c r="Q4696">
        <v>0.17854619999999999</v>
      </c>
      <c r="R4696">
        <v>-8.1730620000000004E-2</v>
      </c>
      <c r="S4696">
        <v>-3.0873719999999998</v>
      </c>
      <c r="T4696">
        <v>-3.9332869999999999E-2</v>
      </c>
      <c r="U4696">
        <v>0.24838260000000001</v>
      </c>
      <c r="V4696">
        <v>-8.3352549999999997E-2</v>
      </c>
      <c r="W4696">
        <v>0.19174659999999999</v>
      </c>
      <c r="X4696">
        <v>0.9778985</v>
      </c>
      <c r="Y4696">
        <v>7.8522209999999995E-2</v>
      </c>
      <c r="Z4696">
        <v>1.030638E-3</v>
      </c>
      <c r="AA4696">
        <v>0.99691180000000001</v>
      </c>
      <c r="AB4696">
        <v>22</v>
      </c>
      <c r="AC4696">
        <v>-86.9481999999999</v>
      </c>
      <c r="AD4696">
        <v>-1.1106755283399901</v>
      </c>
      <c r="AE4696">
        <v>7.0134000000000096</v>
      </c>
      <c r="AF4696">
        <v>6.8677694276704502</v>
      </c>
      <c r="AG4696">
        <v>-1.1106755283399901</v>
      </c>
      <c r="AH4696">
        <v>86.945640520235898</v>
      </c>
      <c r="AI4696">
        <v>90.729605184951794</v>
      </c>
      <c r="AJ4696">
        <v>85.483627763124204</v>
      </c>
      <c r="AK4696">
        <v>87.223530440558207</v>
      </c>
      <c r="AL4696">
        <v>78.945267989419605</v>
      </c>
      <c r="AM4696">
        <v>94.871910347617899</v>
      </c>
      <c r="AN4696">
        <v>0.99999994125265401</v>
      </c>
    </row>
    <row r="4697" spans="1:40" x14ac:dyDescent="0.25">
      <c r="A4697" t="str">
        <f>"20190304155155397"</f>
        <v>20190304155155397</v>
      </c>
      <c r="B4697" t="str">
        <f>"1551685915391260"</f>
        <v>1551685915391260</v>
      </c>
      <c r="C4697" t="s">
        <v>40</v>
      </c>
      <c r="D4697">
        <v>4.6657529999999996</v>
      </c>
      <c r="E4697">
        <v>0.56195209999999995</v>
      </c>
      <c r="F4697" t="s">
        <v>84</v>
      </c>
      <c r="G4697">
        <v>-425.8184</v>
      </c>
      <c r="H4697" s="1">
        <v>-1.4434169999999999E-5</v>
      </c>
      <c r="I4697">
        <v>149.77969999999999</v>
      </c>
      <c r="J4697">
        <v>-327.5247</v>
      </c>
      <c r="K4697">
        <v>1.1106560000000001</v>
      </c>
      <c r="L4697">
        <v>141.6618</v>
      </c>
      <c r="M4697">
        <v>-0.99990880000000004</v>
      </c>
      <c r="N4697">
        <v>-1.340737E-2</v>
      </c>
      <c r="O4697">
        <v>1.6618360000000001E-3</v>
      </c>
      <c r="P4697">
        <v>-0.98044790000000004</v>
      </c>
      <c r="Q4697">
        <v>0.1790534</v>
      </c>
      <c r="R4697">
        <v>-8.1622780000000006E-2</v>
      </c>
      <c r="S4697">
        <v>-3.087097</v>
      </c>
      <c r="T4697">
        <v>-3.4806490000000002E-2</v>
      </c>
      <c r="U4697">
        <v>0.25440980000000002</v>
      </c>
      <c r="V4697">
        <v>-8.3245020000000003E-2</v>
      </c>
      <c r="W4697">
        <v>0.19218370000000001</v>
      </c>
      <c r="X4697">
        <v>0.97782190000000002</v>
      </c>
      <c r="Y4697">
        <v>8.0464620000000001E-2</v>
      </c>
      <c r="Z4697">
        <v>9.9675470000000011E-4</v>
      </c>
      <c r="AA4697">
        <v>0.996757</v>
      </c>
      <c r="AB4697">
        <v>22</v>
      </c>
      <c r="AC4697">
        <v>-98.293700000000001</v>
      </c>
      <c r="AD4697">
        <v>-1.11067043416999</v>
      </c>
      <c r="AE4697">
        <v>8.1178999999999899</v>
      </c>
      <c r="AF4697">
        <v>7.9535174894684904</v>
      </c>
      <c r="AG4697">
        <v>-1.11067043416999</v>
      </c>
      <c r="AH4697">
        <v>98.294590956203294</v>
      </c>
      <c r="AI4697">
        <v>90.645271936552007</v>
      </c>
      <c r="AJ4697">
        <v>85.373984120626702</v>
      </c>
      <c r="AK4697">
        <v>98.622100162772597</v>
      </c>
      <c r="AL4697">
        <v>78.919749925814202</v>
      </c>
      <c r="AM4697">
        <v>94.866034804390594</v>
      </c>
      <c r="AN4697">
        <v>0.99999998801004997</v>
      </c>
    </row>
    <row r="4698" spans="1:40" x14ac:dyDescent="0.25">
      <c r="A4698" t="str">
        <f>"20190304155155416"</f>
        <v>20190304155155416</v>
      </c>
      <c r="B4698" t="str">
        <f>"1551685915411757"</f>
        <v>1551685915411757</v>
      </c>
      <c r="C4698" t="s">
        <v>40</v>
      </c>
      <c r="D4698">
        <v>4.5443629999999997</v>
      </c>
      <c r="E4698">
        <v>0.56187109999999996</v>
      </c>
      <c r="F4698" t="s">
        <v>84</v>
      </c>
      <c r="G4698">
        <v>-437.68369999999999</v>
      </c>
      <c r="H4698">
        <v>7.9982319999999996E-2</v>
      </c>
      <c r="I4698">
        <v>151.00530000000001</v>
      </c>
      <c r="J4698">
        <v>-327.74849999999998</v>
      </c>
      <c r="K4698">
        <v>1.1106510000000001</v>
      </c>
      <c r="L4698">
        <v>141.66220000000001</v>
      </c>
      <c r="M4698">
        <v>-0.99990990000000002</v>
      </c>
      <c r="N4698">
        <v>-1.333201E-2</v>
      </c>
      <c r="O4698">
        <v>1.661505E-3</v>
      </c>
      <c r="P4698">
        <v>-0.98039810000000005</v>
      </c>
      <c r="Q4698">
        <v>0.17946309999999999</v>
      </c>
      <c r="R4698">
        <v>-8.132093E-2</v>
      </c>
      <c r="S4698">
        <v>-3.0869140000000002</v>
      </c>
      <c r="T4698">
        <v>-2.888191E-2</v>
      </c>
      <c r="U4698">
        <v>0.26182559999999999</v>
      </c>
      <c r="V4698">
        <v>-8.2942459999999996E-2</v>
      </c>
      <c r="W4698">
        <v>0.19251869999999999</v>
      </c>
      <c r="X4698">
        <v>0.97778169999999998</v>
      </c>
      <c r="Y4698">
        <v>8.2849870000000006E-2</v>
      </c>
      <c r="Z4698">
        <v>9.4679580000000001E-4</v>
      </c>
      <c r="AA4698">
        <v>0.99656160000000005</v>
      </c>
      <c r="AB4698">
        <v>22</v>
      </c>
      <c r="AC4698">
        <v>-109.93519999999999</v>
      </c>
      <c r="AD4698">
        <v>-1.03066868</v>
      </c>
      <c r="AE4698">
        <v>9.3430999999999909</v>
      </c>
      <c r="AF4698">
        <v>9.1596136984176901</v>
      </c>
      <c r="AG4698">
        <v>-1.03066868</v>
      </c>
      <c r="AH4698">
        <v>109.940979237752</v>
      </c>
      <c r="AI4698">
        <v>90.535263239886305</v>
      </c>
      <c r="AJ4698">
        <v>85.237463071723496</v>
      </c>
      <c r="AK4698">
        <v>110.326695395031</v>
      </c>
      <c r="AL4698">
        <v>78.900190469635504</v>
      </c>
      <c r="AM4698">
        <v>94.848631698648504</v>
      </c>
      <c r="AN4698">
        <v>0.99999997718771505</v>
      </c>
    </row>
    <row r="4699" spans="1:40" x14ac:dyDescent="0.25">
      <c r="A4699" t="str">
        <f>"20190304155155450"</f>
        <v>20190304155155450</v>
      </c>
      <c r="B4699" t="str">
        <f>"1551685915442016"</f>
        <v>1551685915442016</v>
      </c>
      <c r="C4699" t="s">
        <v>40</v>
      </c>
      <c r="D4699">
        <v>4.756157</v>
      </c>
      <c r="E4699">
        <v>0.53045830000000005</v>
      </c>
      <c r="F4699" t="s">
        <v>41</v>
      </c>
      <c r="G4699">
        <v>-445.6413</v>
      </c>
      <c r="H4699">
        <v>7.9986680000000004E-2</v>
      </c>
      <c r="I4699">
        <v>151.6703</v>
      </c>
      <c r="J4699">
        <v>-328.08080000000001</v>
      </c>
      <c r="K4699">
        <v>1.1106389999999999</v>
      </c>
      <c r="L4699">
        <v>141.6628</v>
      </c>
      <c r="M4699">
        <v>-0.99991149999999995</v>
      </c>
      <c r="N4699">
        <v>-1.3202749999999999E-2</v>
      </c>
      <c r="O4699">
        <v>1.661348E-3</v>
      </c>
      <c r="P4699">
        <v>-0.98016510000000001</v>
      </c>
      <c r="Q4699">
        <v>0.18049019999999999</v>
      </c>
      <c r="R4699">
        <v>-8.1851549999999995E-2</v>
      </c>
      <c r="S4699">
        <v>-3.0867309999999999</v>
      </c>
      <c r="T4699">
        <v>-2.6985410000000001E-2</v>
      </c>
      <c r="U4699">
        <v>0.26203920000000003</v>
      </c>
      <c r="V4699">
        <v>-8.3472930000000001E-2</v>
      </c>
      <c r="W4699">
        <v>0.19341710000000001</v>
      </c>
      <c r="X4699">
        <v>0.97755930000000002</v>
      </c>
      <c r="Y4699">
        <v>8.2924310000000001E-2</v>
      </c>
      <c r="Z4699">
        <v>9.1766720000000001E-4</v>
      </c>
      <c r="AA4699">
        <v>0.99655539999999998</v>
      </c>
      <c r="AB4699">
        <v>22</v>
      </c>
      <c r="AC4699">
        <v>-117.5605</v>
      </c>
      <c r="AD4699">
        <v>-1.03065232</v>
      </c>
      <c r="AE4699">
        <v>10.007499999999901</v>
      </c>
      <c r="AF4699">
        <v>9.8114115867775702</v>
      </c>
      <c r="AG4699">
        <v>-1.03065232</v>
      </c>
      <c r="AH4699">
        <v>117.567993832979</v>
      </c>
      <c r="AI4699">
        <v>90.500527104170104</v>
      </c>
      <c r="AJ4699">
        <v>85.2295445255982</v>
      </c>
      <c r="AK4699">
        <v>117.981181615719</v>
      </c>
      <c r="AL4699">
        <v>78.8477307101126</v>
      </c>
      <c r="AM4699">
        <v>94.880597293942301</v>
      </c>
      <c r="AN4699">
        <v>1.0000000448158399</v>
      </c>
    </row>
    <row r="4700" spans="1:40" x14ac:dyDescent="0.25">
      <c r="A4700" t="str">
        <f>"20190304155155472"</f>
        <v>20190304155155472</v>
      </c>
      <c r="B4700" t="str">
        <f>"1551685915461536"</f>
        <v>1551685915461536</v>
      </c>
      <c r="C4700" t="s">
        <v>40</v>
      </c>
      <c r="D4700">
        <v>4.7417850000000001</v>
      </c>
      <c r="E4700">
        <v>0.52834019999999904</v>
      </c>
      <c r="F4700" t="s">
        <v>77</v>
      </c>
      <c r="G4700">
        <v>-483.87270000000001</v>
      </c>
      <c r="H4700" s="1">
        <v>-8.6334450000000008E-6</v>
      </c>
      <c r="I4700">
        <v>142.2072</v>
      </c>
      <c r="J4700">
        <v>-328.29689999999999</v>
      </c>
      <c r="K4700">
        <v>1.1106259999999999</v>
      </c>
      <c r="L4700">
        <v>141.66309999999999</v>
      </c>
      <c r="M4700">
        <v>-0.99991280000000005</v>
      </c>
      <c r="N4700">
        <v>-1.3110500000000001E-2</v>
      </c>
      <c r="O4700">
        <v>1.661121E-3</v>
      </c>
      <c r="P4700">
        <v>-0.98009729999999995</v>
      </c>
      <c r="Q4700">
        <v>0.18098790000000001</v>
      </c>
      <c r="R4700">
        <v>-8.1566529999999998E-2</v>
      </c>
      <c r="S4700">
        <v>-3.0656430000000001</v>
      </c>
      <c r="T4700">
        <v>-2.1855119999999999E-2</v>
      </c>
      <c r="U4700">
        <v>1.071167E-2</v>
      </c>
      <c r="V4700">
        <v>-8.3187360000000002E-2</v>
      </c>
      <c r="W4700">
        <v>0.19382360000000001</v>
      </c>
      <c r="X4700">
        <v>0.97750309999999996</v>
      </c>
      <c r="Y4700">
        <v>1.8327199999999999E-3</v>
      </c>
      <c r="Z4700" s="1">
        <v>2.8484830000000001E-5</v>
      </c>
      <c r="AA4700">
        <v>0.99999830000000001</v>
      </c>
      <c r="AB4700">
        <v>22</v>
      </c>
      <c r="AC4700">
        <v>-155.57579999999999</v>
      </c>
      <c r="AD4700">
        <v>-1.1106346334449999</v>
      </c>
      <c r="AE4700">
        <v>0.54410000000001402</v>
      </c>
      <c r="AF4700">
        <v>0.28563228367022703</v>
      </c>
      <c r="AG4700">
        <v>-1.1106346334449999</v>
      </c>
      <c r="AH4700">
        <v>155.56856100975801</v>
      </c>
      <c r="AI4700">
        <v>90.409038229384706</v>
      </c>
      <c r="AJ4700">
        <v>89.894801971228006</v>
      </c>
      <c r="AK4700">
        <v>155.57278769031899</v>
      </c>
      <c r="AL4700">
        <v>78.823990426370102</v>
      </c>
      <c r="AM4700">
        <v>94.864258784999095</v>
      </c>
      <c r="AN4700">
        <v>1.00000001764516</v>
      </c>
    </row>
    <row r="4701" spans="1:40" x14ac:dyDescent="0.25">
      <c r="A4701" t="str">
        <f>"20190304155155493"</f>
        <v>20190304155155493</v>
      </c>
      <c r="B4701" t="str">
        <f>"1551685915482028"</f>
        <v>1551685915482028</v>
      </c>
      <c r="C4701" t="s">
        <v>40</v>
      </c>
      <c r="D4701">
        <v>4.7450070000000002</v>
      </c>
      <c r="E4701">
        <v>0.52794909999999995</v>
      </c>
      <c r="F4701" t="s">
        <v>77</v>
      </c>
      <c r="G4701">
        <v>-499.95780000000002</v>
      </c>
      <c r="H4701">
        <v>1.0645389999999999E-2</v>
      </c>
      <c r="I4701">
        <v>141.33320000000001</v>
      </c>
      <c r="J4701">
        <v>-328.51249999999999</v>
      </c>
      <c r="K4701">
        <v>1.110616</v>
      </c>
      <c r="L4701">
        <v>141.6635</v>
      </c>
      <c r="M4701">
        <v>-0.99991390000000002</v>
      </c>
      <c r="N4701">
        <v>-1.302476E-2</v>
      </c>
      <c r="O4701">
        <v>1.6607869999999999E-3</v>
      </c>
      <c r="P4701">
        <v>-0.98001769999999999</v>
      </c>
      <c r="Q4701">
        <v>0.1815959</v>
      </c>
      <c r="R4701">
        <v>-8.1171199999999999E-2</v>
      </c>
      <c r="S4701">
        <v>-3.0640260000000001</v>
      </c>
      <c r="T4701">
        <v>-1.9633890000000001E-2</v>
      </c>
      <c r="U4701">
        <v>-5.8898930000000002E-3</v>
      </c>
      <c r="V4701">
        <v>-8.2791310000000007E-2</v>
      </c>
      <c r="W4701">
        <v>0.19434660000000001</v>
      </c>
      <c r="X4701">
        <v>0.97743279999999999</v>
      </c>
      <c r="Y4701">
        <v>-3.582932E-3</v>
      </c>
      <c r="Z4701" s="1">
        <v>-2.3824019999999999E-5</v>
      </c>
      <c r="AA4701">
        <v>0.99999360000000004</v>
      </c>
      <c r="AB4701">
        <v>22</v>
      </c>
      <c r="AC4701">
        <v>-171.4453</v>
      </c>
      <c r="AD4701">
        <v>-1.09997061</v>
      </c>
      <c r="AE4701">
        <v>-0.33029999999999399</v>
      </c>
      <c r="AF4701">
        <v>-0.61503247807471695</v>
      </c>
      <c r="AG4701">
        <v>-1.09997061</v>
      </c>
      <c r="AH4701">
        <v>171.43745799547801</v>
      </c>
      <c r="AI4701">
        <v>90.367611628884205</v>
      </c>
      <c r="AJ4701">
        <v>90.205547926887803</v>
      </c>
      <c r="AK4701">
        <v>171.44208994364001</v>
      </c>
      <c r="AL4701">
        <v>78.793443003214506</v>
      </c>
      <c r="AM4701">
        <v>94.841557211474594</v>
      </c>
      <c r="AN4701">
        <v>0.99999994022945604</v>
      </c>
    </row>
    <row r="4702" spans="1:40" x14ac:dyDescent="0.25">
      <c r="A4702" t="str">
        <f>"20190304155155518"</f>
        <v>20190304155155518</v>
      </c>
      <c r="B4702" t="str">
        <f>"1551685915512284"</f>
        <v>1551685915512284</v>
      </c>
      <c r="C4702" t="s">
        <v>40</v>
      </c>
      <c r="D4702">
        <v>4.7469700000000001</v>
      </c>
      <c r="E4702">
        <v>0.52715449999999997</v>
      </c>
      <c r="F4702" t="s">
        <v>41</v>
      </c>
      <c r="G4702">
        <v>-457.3913</v>
      </c>
      <c r="H4702" s="1">
        <v>-5.4304659999999998E-7</v>
      </c>
      <c r="I4702">
        <v>141.32589999999999</v>
      </c>
      <c r="J4702">
        <v>-328.75139999999999</v>
      </c>
      <c r="K4702">
        <v>1.1106039999999999</v>
      </c>
      <c r="L4702">
        <v>141.66390000000001</v>
      </c>
      <c r="M4702">
        <v>-0.99991490000000005</v>
      </c>
      <c r="N4702">
        <v>-1.29382E-2</v>
      </c>
      <c r="O4702">
        <v>1.6608720000000001E-3</v>
      </c>
      <c r="P4702">
        <v>-0.97999040000000004</v>
      </c>
      <c r="Q4702">
        <v>0.1816179</v>
      </c>
      <c r="R4702">
        <v>-8.1449300000000002E-2</v>
      </c>
      <c r="S4702">
        <v>-3.0653990000000002</v>
      </c>
      <c r="T4702">
        <v>-2.6416180000000001E-2</v>
      </c>
      <c r="U4702">
        <v>-8.0261229999999996E-3</v>
      </c>
      <c r="V4702">
        <v>-8.3069660000000003E-2</v>
      </c>
      <c r="W4702">
        <v>0.19428390000000001</v>
      </c>
      <c r="X4702">
        <v>0.97742169999999895</v>
      </c>
      <c r="Y4702">
        <v>-4.2788770000000004E-3</v>
      </c>
      <c r="Z4702" s="1">
        <v>-3.8941859999999998E-5</v>
      </c>
      <c r="AA4702">
        <v>0.99999079999999996</v>
      </c>
      <c r="AB4702">
        <v>22</v>
      </c>
      <c r="AC4702">
        <v>-128.63990000000001</v>
      </c>
      <c r="AD4702">
        <v>-1.1106045430466001</v>
      </c>
      <c r="AE4702">
        <v>-0.33800000000002201</v>
      </c>
      <c r="AF4702">
        <v>-0.55163071431152799</v>
      </c>
      <c r="AG4702">
        <v>-1.1106045430466001</v>
      </c>
      <c r="AH4702">
        <v>128.62957362302799</v>
      </c>
      <c r="AI4702">
        <v>90.494682404393501</v>
      </c>
      <c r="AJ4702">
        <v>90.245712685903698</v>
      </c>
      <c r="AK4702">
        <v>128.635550876645</v>
      </c>
      <c r="AL4702">
        <v>78.797105829741497</v>
      </c>
      <c r="AM4702">
        <v>94.857811993733804</v>
      </c>
      <c r="AN4702">
        <v>0.99999999092130698</v>
      </c>
    </row>
    <row r="4703" spans="1:40" x14ac:dyDescent="0.25">
      <c r="A4703" t="str">
        <f>"20190304155155539"</f>
        <v>20190304155155539</v>
      </c>
      <c r="B4703" t="str">
        <f>"1551685915531804"</f>
        <v>1551685915531804</v>
      </c>
      <c r="C4703" t="s">
        <v>40</v>
      </c>
      <c r="D4703">
        <v>4.6902049999999997</v>
      </c>
      <c r="E4703">
        <v>0.52665519999999999</v>
      </c>
      <c r="F4703" t="s">
        <v>77</v>
      </c>
      <c r="G4703">
        <v>-471.81849999999997</v>
      </c>
      <c r="H4703" s="1">
        <v>-5.5340620000000003E-6</v>
      </c>
      <c r="I4703">
        <v>140.95869999999999</v>
      </c>
      <c r="J4703">
        <v>-328.96899999999999</v>
      </c>
      <c r="K4703">
        <v>1.110595</v>
      </c>
      <c r="L4703">
        <v>141.6643</v>
      </c>
      <c r="M4703">
        <v>-0.99991600000000003</v>
      </c>
      <c r="N4703">
        <v>-1.2860659999999999E-2</v>
      </c>
      <c r="O4703">
        <v>1.6608949999999999E-3</v>
      </c>
      <c r="P4703">
        <v>-0.97996030000000001</v>
      </c>
      <c r="Q4703">
        <v>0.181618</v>
      </c>
      <c r="R4703">
        <v>-8.1809030000000005E-2</v>
      </c>
      <c r="S4703">
        <v>-3.0644230000000001</v>
      </c>
      <c r="T4703">
        <v>-2.3788690000000001E-2</v>
      </c>
      <c r="U4703">
        <v>-1.51062E-2</v>
      </c>
      <c r="V4703">
        <v>-8.3429340000000005E-2</v>
      </c>
      <c r="W4703">
        <v>0.19420760000000001</v>
      </c>
      <c r="X4703">
        <v>0.9774062</v>
      </c>
      <c r="Y4703">
        <v>-6.5899390000000004E-3</v>
      </c>
      <c r="Z4703" s="1">
        <v>-5.9488930000000001E-5</v>
      </c>
      <c r="AA4703">
        <v>0.99997829999999999</v>
      </c>
      <c r="AB4703">
        <v>22</v>
      </c>
      <c r="AC4703">
        <v>-142.84949999999901</v>
      </c>
      <c r="AD4703">
        <v>-1.110600534062</v>
      </c>
      <c r="AE4703">
        <v>-0.705600000000004</v>
      </c>
      <c r="AF4703">
        <v>-0.94281966386428195</v>
      </c>
      <c r="AG4703">
        <v>-1.110600534062</v>
      </c>
      <c r="AH4703">
        <v>142.839497231119</v>
      </c>
      <c r="AI4703">
        <v>90.445465409190305</v>
      </c>
      <c r="AJ4703">
        <v>90.378178334096305</v>
      </c>
      <c r="AK4703">
        <v>142.84692615420099</v>
      </c>
      <c r="AL4703">
        <v>78.801562068110201</v>
      </c>
      <c r="AM4703">
        <v>94.878821329012794</v>
      </c>
      <c r="AN4703">
        <v>0.99999996323451701</v>
      </c>
    </row>
    <row r="4704" spans="1:40" x14ac:dyDescent="0.25">
      <c r="A4704" t="str">
        <f>"20190304155155561"</f>
        <v>20190304155155561</v>
      </c>
      <c r="B4704" t="str">
        <f>"1551685915551324"</f>
        <v>1551685915551324</v>
      </c>
      <c r="C4704" t="s">
        <v>40</v>
      </c>
      <c r="D4704">
        <v>4.6912929999999999</v>
      </c>
      <c r="E4704">
        <v>0.52649419999999902</v>
      </c>
      <c r="F4704" t="s">
        <v>41</v>
      </c>
      <c r="G4704">
        <v>-446.64749999999998</v>
      </c>
      <c r="H4704" s="1">
        <v>-7.4868399999999895E-7</v>
      </c>
      <c r="I4704">
        <v>140.89959999999999</v>
      </c>
      <c r="J4704">
        <v>-329.18310000000002</v>
      </c>
      <c r="K4704">
        <v>1.1105830000000001</v>
      </c>
      <c r="L4704">
        <v>141.66460000000001</v>
      </c>
      <c r="M4704">
        <v>-0.9999169</v>
      </c>
      <c r="N4704">
        <v>-1.278398E-2</v>
      </c>
      <c r="O4704">
        <v>1.660849E-3</v>
      </c>
      <c r="P4704">
        <v>-0.97998269999999998</v>
      </c>
      <c r="Q4704">
        <v>0.1812761</v>
      </c>
      <c r="R4704">
        <v>-8.2297430000000005E-2</v>
      </c>
      <c r="S4704">
        <v>-3.0650330000000001</v>
      </c>
      <c r="T4704">
        <v>-2.892637E-2</v>
      </c>
      <c r="U4704">
        <v>-1.9912719999999998E-2</v>
      </c>
      <c r="V4704">
        <v>-8.3917829999999999E-2</v>
      </c>
      <c r="W4704">
        <v>0.19379089999999999</v>
      </c>
      <c r="X4704">
        <v>0.97744719999999996</v>
      </c>
      <c r="Y4704">
        <v>-8.156679E-3</v>
      </c>
      <c r="Z4704" s="1">
        <v>-8.5071840000000004E-5</v>
      </c>
      <c r="AA4704">
        <v>0.99996669999999999</v>
      </c>
      <c r="AB4704">
        <v>22</v>
      </c>
      <c r="AC4704">
        <v>-117.464399999999</v>
      </c>
      <c r="AD4704">
        <v>-1.110583748684</v>
      </c>
      <c r="AE4704">
        <v>-0.765000000000014</v>
      </c>
      <c r="AF4704">
        <v>-0.96001970749686105</v>
      </c>
      <c r="AG4704">
        <v>-1.110583748684</v>
      </c>
      <c r="AH4704">
        <v>117.45246865308</v>
      </c>
      <c r="AI4704">
        <v>90.541731823318997</v>
      </c>
      <c r="AJ4704">
        <v>90.468307335053794</v>
      </c>
      <c r="AK4704">
        <v>117.461642363813</v>
      </c>
      <c r="AL4704">
        <v>78.825900823141595</v>
      </c>
      <c r="AM4704">
        <v>94.907043558624395</v>
      </c>
      <c r="AN4704">
        <v>1.0000000719512701</v>
      </c>
    </row>
    <row r="4705" spans="1:40" x14ac:dyDescent="0.25">
      <c r="A4705" t="str">
        <f>"20190304155155583"</f>
        <v>20190304155155583</v>
      </c>
      <c r="B4705" t="str">
        <f>"1551685915571820"</f>
        <v>1551685915571820</v>
      </c>
      <c r="C4705" t="s">
        <v>40</v>
      </c>
      <c r="D4705">
        <v>4.7872719999999997</v>
      </c>
      <c r="E4705">
        <v>0.52645759999999997</v>
      </c>
      <c r="F4705" t="s">
        <v>84</v>
      </c>
      <c r="G4705">
        <v>-437.35399999999998</v>
      </c>
      <c r="H4705" s="1">
        <v>-8.7275540000000001E-6</v>
      </c>
      <c r="I4705">
        <v>140.8612</v>
      </c>
      <c r="J4705">
        <v>-329.40440000000001</v>
      </c>
      <c r="K4705">
        <v>1.1105700000000001</v>
      </c>
      <c r="L4705">
        <v>141.66499999999999</v>
      </c>
      <c r="M4705">
        <v>-0.99991799999999997</v>
      </c>
      <c r="N4705">
        <v>-1.2702969999999999E-2</v>
      </c>
      <c r="O4705">
        <v>1.6608879999999999E-3</v>
      </c>
      <c r="P4705">
        <v>-0.98002579999999995</v>
      </c>
      <c r="Q4705">
        <v>0.1809963</v>
      </c>
      <c r="R4705">
        <v>-8.2402100000000006E-2</v>
      </c>
      <c r="S4705">
        <v>-3.0651860000000002</v>
      </c>
      <c r="T4705">
        <v>-3.14703E-2</v>
      </c>
      <c r="U4705">
        <v>-2.2766109999999999E-2</v>
      </c>
      <c r="V4705">
        <v>-8.4022239999999998E-2</v>
      </c>
      <c r="W4705">
        <v>0.19343250000000001</v>
      </c>
      <c r="X4705">
        <v>0.97750910000000002</v>
      </c>
      <c r="Y4705">
        <v>-9.0870059999999999E-3</v>
      </c>
      <c r="Z4705">
        <v>-1.0032160000000001E-4</v>
      </c>
      <c r="AA4705">
        <v>0.99995869999999998</v>
      </c>
      <c r="AB4705">
        <v>22</v>
      </c>
      <c r="AC4705">
        <v>-107.9496</v>
      </c>
      <c r="AD4705">
        <v>-1.110578727554</v>
      </c>
      <c r="AE4705">
        <v>-0.80379999999999496</v>
      </c>
      <c r="AF4705">
        <v>-0.98300150547760601</v>
      </c>
      <c r="AG4705">
        <v>-1.110578727554</v>
      </c>
      <c r="AH4705">
        <v>107.936692389444</v>
      </c>
      <c r="AI4705">
        <v>90.589480636829506</v>
      </c>
      <c r="AJ4705">
        <v>90.521789942016397</v>
      </c>
      <c r="AK4705">
        <v>107.94688157164801</v>
      </c>
      <c r="AL4705">
        <v>78.846830353563206</v>
      </c>
      <c r="AM4705">
        <v>94.912809406398793</v>
      </c>
      <c r="AN4705">
        <v>0.999999954726837</v>
      </c>
    </row>
    <row r="4706" spans="1:40" x14ac:dyDescent="0.25">
      <c r="A4706" t="str">
        <f>"20190304155155605"</f>
        <v>20190304155155605</v>
      </c>
      <c r="B4706" t="str">
        <f>"1551685915602077"</f>
        <v>1551685915602077</v>
      </c>
      <c r="C4706" t="s">
        <v>40</v>
      </c>
      <c r="D4706">
        <v>4.7963250000000004</v>
      </c>
      <c r="E4706">
        <v>0.52650779999999997</v>
      </c>
      <c r="F4706" t="s">
        <v>84</v>
      </c>
      <c r="G4706">
        <v>-438.89699999999999</v>
      </c>
      <c r="H4706" s="1">
        <v>-8.0226899999999996E-6</v>
      </c>
      <c r="I4706">
        <v>140.80269999999999</v>
      </c>
      <c r="J4706">
        <v>-329.62599999999998</v>
      </c>
      <c r="K4706">
        <v>1.1105579999999999</v>
      </c>
      <c r="L4706">
        <v>141.66540000000001</v>
      </c>
      <c r="M4706">
        <v>-0.99991909999999895</v>
      </c>
      <c r="N4706">
        <v>-1.262254E-2</v>
      </c>
      <c r="O4706">
        <v>1.6606819999999999E-3</v>
      </c>
      <c r="P4706">
        <v>-0.98000339999999997</v>
      </c>
      <c r="Q4706">
        <v>0.1809808</v>
      </c>
      <c r="R4706">
        <v>-8.2700800000000005E-2</v>
      </c>
      <c r="S4706">
        <v>-3.064819</v>
      </c>
      <c r="T4706">
        <v>-3.1086329999999999E-2</v>
      </c>
      <c r="U4706">
        <v>-2.4139399999999998E-2</v>
      </c>
      <c r="V4706">
        <v>-8.4321220000000002E-2</v>
      </c>
      <c r="W4706">
        <v>0.19333800000000001</v>
      </c>
      <c r="X4706">
        <v>0.97750210000000004</v>
      </c>
      <c r="Y4706">
        <v>-9.5356920000000001E-3</v>
      </c>
      <c r="Z4706">
        <v>-1.044281E-4</v>
      </c>
      <c r="AA4706">
        <v>0.99995449999999997</v>
      </c>
      <c r="AB4706">
        <v>22</v>
      </c>
      <c r="AC4706">
        <v>-109.271</v>
      </c>
      <c r="AD4706">
        <v>-1.11056602269</v>
      </c>
      <c r="AE4706">
        <v>-0.86270000000001701</v>
      </c>
      <c r="AF4706">
        <v>-1.04406978402158</v>
      </c>
      <c r="AG4706">
        <v>-1.11056602269</v>
      </c>
      <c r="AH4706">
        <v>109.258131408681</v>
      </c>
      <c r="AI4706">
        <v>90.582342468014204</v>
      </c>
      <c r="AJ4706">
        <v>90.547501321736704</v>
      </c>
      <c r="AK4706">
        <v>109.26876368624799</v>
      </c>
      <c r="AL4706">
        <v>78.8523495250693</v>
      </c>
      <c r="AM4706">
        <v>94.930239989151303</v>
      </c>
      <c r="AN4706">
        <v>1.00000000294534</v>
      </c>
    </row>
    <row r="4707" spans="1:40" x14ac:dyDescent="0.25">
      <c r="A4707" t="str">
        <f>"20190304155155629"</f>
        <v>20190304155155629</v>
      </c>
      <c r="B4707" t="str">
        <f>"1551685915621600"</f>
        <v>1551685915621600</v>
      </c>
      <c r="C4707" t="s">
        <v>40</v>
      </c>
      <c r="D4707">
        <v>4.7800849999999997</v>
      </c>
      <c r="E4707">
        <v>0.52683199999999997</v>
      </c>
      <c r="F4707" t="s">
        <v>41</v>
      </c>
      <c r="G4707">
        <v>-443.86290000000002</v>
      </c>
      <c r="H4707" s="1">
        <v>-1.904058E-6</v>
      </c>
      <c r="I4707">
        <v>140.75239999999999</v>
      </c>
      <c r="J4707">
        <v>-329.85550000000001</v>
      </c>
      <c r="K4707">
        <v>1.1105560000000001</v>
      </c>
      <c r="L4707">
        <v>141.66579999999999</v>
      </c>
      <c r="M4707">
        <v>-0.99992009999999998</v>
      </c>
      <c r="N4707">
        <v>-1.254128E-2</v>
      </c>
      <c r="O4707">
        <v>1.6605369999999999E-3</v>
      </c>
      <c r="P4707">
        <v>-0.97997860000000003</v>
      </c>
      <c r="Q4707">
        <v>0.18102950000000001</v>
      </c>
      <c r="R4707">
        <v>-8.2888980000000001E-2</v>
      </c>
      <c r="S4707">
        <v>-3.0646360000000001</v>
      </c>
      <c r="T4707">
        <v>-2.979302E-2</v>
      </c>
      <c r="U4707">
        <v>-2.4490359999999999E-2</v>
      </c>
      <c r="V4707">
        <v>-8.4509109999999998E-2</v>
      </c>
      <c r="W4707">
        <v>0.19330710000000001</v>
      </c>
      <c r="X4707">
        <v>0.97749200000000003</v>
      </c>
      <c r="Y4707">
        <v>-9.6505749999999998E-3</v>
      </c>
      <c r="Z4707">
        <v>-1.027459E-4</v>
      </c>
      <c r="AA4707">
        <v>0.99995339999999999</v>
      </c>
      <c r="AB4707">
        <v>22</v>
      </c>
      <c r="AC4707">
        <v>-114.0074</v>
      </c>
      <c r="AD4707">
        <v>-1.11055790405799</v>
      </c>
      <c r="AE4707">
        <v>-0.91339999999999499</v>
      </c>
      <c r="AF4707">
        <v>-1.1026224926274599</v>
      </c>
      <c r="AG4707">
        <v>-1.11055790405799</v>
      </c>
      <c r="AH4707">
        <v>113.994909760333</v>
      </c>
      <c r="AI4707">
        <v>90.558141516369105</v>
      </c>
      <c r="AJ4707">
        <v>90.554179526647602</v>
      </c>
      <c r="AK4707">
        <v>114.005651467311</v>
      </c>
      <c r="AL4707">
        <v>78.854154168026895</v>
      </c>
      <c r="AM4707">
        <v>94.941222342057301</v>
      </c>
      <c r="AN4707">
        <v>1.0000000173237</v>
      </c>
    </row>
    <row r="4708" spans="1:40" x14ac:dyDescent="0.25">
      <c r="A4708" t="str">
        <f>"20190304155155650"</f>
        <v>20190304155155650</v>
      </c>
      <c r="B4708" t="str">
        <f>"1551685915642092"</f>
        <v>1551685915642092</v>
      </c>
      <c r="C4708" t="s">
        <v>40</v>
      </c>
      <c r="D4708">
        <v>4.7830620000000001</v>
      </c>
      <c r="E4708">
        <v>0.5269566</v>
      </c>
      <c r="F4708" t="s">
        <v>84</v>
      </c>
      <c r="G4708">
        <v>-434.71719999999999</v>
      </c>
      <c r="H4708" s="1">
        <v>-9.8892289999999994E-6</v>
      </c>
      <c r="I4708">
        <v>140.8854</v>
      </c>
      <c r="J4708">
        <v>-330.07619999999997</v>
      </c>
      <c r="K4708">
        <v>1.110554</v>
      </c>
      <c r="L4708">
        <v>141.6662</v>
      </c>
      <c r="M4708">
        <v>-0.99992099999999995</v>
      </c>
      <c r="N4708">
        <v>-1.2466909999999999E-2</v>
      </c>
      <c r="O4708">
        <v>1.6604650000000001E-3</v>
      </c>
      <c r="P4708">
        <v>-0.97999099999999995</v>
      </c>
      <c r="Q4708">
        <v>0.18094859999999999</v>
      </c>
      <c r="R4708">
        <v>-8.2917900000000003E-2</v>
      </c>
      <c r="S4708">
        <v>-3.0653380000000001</v>
      </c>
      <c r="T4708">
        <v>-3.2464270000000003E-2</v>
      </c>
      <c r="U4708">
        <v>-2.2811890000000001E-2</v>
      </c>
      <c r="V4708">
        <v>-8.453782E-2</v>
      </c>
      <c r="W4708">
        <v>0.19315370000000001</v>
      </c>
      <c r="X4708">
        <v>0.97751980000000005</v>
      </c>
      <c r="Y4708">
        <v>-9.1011019999999998E-3</v>
      </c>
      <c r="Z4708">
        <v>-1.018129E-4</v>
      </c>
      <c r="AA4708">
        <v>0.99995860000000003</v>
      </c>
      <c r="AB4708">
        <v>22</v>
      </c>
      <c r="AC4708">
        <v>-104.64100000000001</v>
      </c>
      <c r="AD4708">
        <v>-1.110563889229</v>
      </c>
      <c r="AE4708">
        <v>-0.78079999999999905</v>
      </c>
      <c r="AF4708">
        <v>-0.95445762765290698</v>
      </c>
      <c r="AG4708">
        <v>-1.110563889229</v>
      </c>
      <c r="AH4708">
        <v>104.627774766801</v>
      </c>
      <c r="AI4708">
        <v>90.608113736620098</v>
      </c>
      <c r="AJ4708">
        <v>90.522661186428905</v>
      </c>
      <c r="AK4708">
        <v>104.638021742422</v>
      </c>
      <c r="AL4708">
        <v>78.863111714671405</v>
      </c>
      <c r="AM4708">
        <v>94.942752815891197</v>
      </c>
      <c r="AN4708">
        <v>0.99999997711304101</v>
      </c>
    </row>
    <row r="4709" spans="1:40" x14ac:dyDescent="0.25">
      <c r="A4709" t="str">
        <f>"20190304155155672"</f>
        <v>20190304155155672</v>
      </c>
      <c r="B4709" t="str">
        <f>"1551685915661613"</f>
        <v>1551685915661613</v>
      </c>
      <c r="C4709" t="s">
        <v>40</v>
      </c>
      <c r="D4709">
        <v>4.9114839999999997</v>
      </c>
      <c r="E4709">
        <v>0.52678199999999997</v>
      </c>
      <c r="F4709" t="s">
        <v>84</v>
      </c>
      <c r="G4709">
        <v>-435.03829999999999</v>
      </c>
      <c r="H4709" s="1">
        <v>-9.7724040000000008E-6</v>
      </c>
      <c r="I4709">
        <v>140.91220000000001</v>
      </c>
      <c r="J4709">
        <v>-330.29199999999997</v>
      </c>
      <c r="K4709">
        <v>1.110552</v>
      </c>
      <c r="L4709">
        <v>141.66650000000001</v>
      </c>
      <c r="M4709">
        <v>-0.99992170000000002</v>
      </c>
      <c r="N4709">
        <v>-1.2398859999999999E-2</v>
      </c>
      <c r="O4709">
        <v>1.6605890000000001E-3</v>
      </c>
      <c r="P4709">
        <v>-0.97986189999999995</v>
      </c>
      <c r="Q4709">
        <v>0.18155209999999999</v>
      </c>
      <c r="R4709">
        <v>-8.3123680000000005E-2</v>
      </c>
      <c r="S4709">
        <v>-3.065369</v>
      </c>
      <c r="T4709">
        <v>-3.2433509999999999E-2</v>
      </c>
      <c r="U4709">
        <v>-2.2018429999999999E-2</v>
      </c>
      <c r="V4709">
        <v>-8.4743109999999996E-2</v>
      </c>
      <c r="W4709">
        <v>0.1936889</v>
      </c>
      <c r="X4709">
        <v>0.97739609999999999</v>
      </c>
      <c r="Y4709">
        <v>-8.8423659999999904E-3</v>
      </c>
      <c r="Z4709" s="1">
        <v>-9.8580100000000002E-5</v>
      </c>
      <c r="AA4709">
        <v>0.99996090000000004</v>
      </c>
      <c r="AB4709">
        <v>22</v>
      </c>
      <c r="AC4709">
        <v>-104.74630000000001</v>
      </c>
      <c r="AD4709">
        <v>-1.110561772404</v>
      </c>
      <c r="AE4709">
        <v>-0.75429999999999997</v>
      </c>
      <c r="AF4709">
        <v>-0.92814856561113002</v>
      </c>
      <c r="AG4709">
        <v>-1.110561772404</v>
      </c>
      <c r="AH4709">
        <v>104.733130352149</v>
      </c>
      <c r="AI4709">
        <v>90.6075023188872</v>
      </c>
      <c r="AJ4709">
        <v>90.5077438562992</v>
      </c>
      <c r="AK4709">
        <v>104.743130565066</v>
      </c>
      <c r="AL4709">
        <v>78.831856599749599</v>
      </c>
      <c r="AM4709">
        <v>94.955319971245501</v>
      </c>
      <c r="AN4709">
        <v>0.99999996048544504</v>
      </c>
    </row>
    <row r="4710" spans="1:40" x14ac:dyDescent="0.25">
      <c r="A4710" t="str">
        <f>"20190304155155694"</f>
        <v>20190304155155694</v>
      </c>
      <c r="B4710" t="str">
        <f>"1551685915691868"</f>
        <v>1551685915691868</v>
      </c>
      <c r="C4710" t="s">
        <v>40</v>
      </c>
      <c r="D4710">
        <v>4.8678999999999997</v>
      </c>
      <c r="E4710">
        <v>0.45055580000000001</v>
      </c>
      <c r="F4710" t="s">
        <v>84</v>
      </c>
      <c r="G4710">
        <v>-436.59190000000001</v>
      </c>
      <c r="H4710" s="1">
        <v>-9.0606659999999998E-6</v>
      </c>
      <c r="I4710">
        <v>140.8475</v>
      </c>
      <c r="J4710">
        <v>-330.51350000000002</v>
      </c>
      <c r="K4710">
        <v>1.1105449999999999</v>
      </c>
      <c r="L4710">
        <v>141.6669</v>
      </c>
      <c r="M4710">
        <v>-0.99992259999999999</v>
      </c>
      <c r="N4710">
        <v>-1.233065E-2</v>
      </c>
      <c r="O4710">
        <v>1.660354E-3</v>
      </c>
      <c r="P4710">
        <v>-0.97980590000000001</v>
      </c>
      <c r="Q4710">
        <v>0.18170610000000001</v>
      </c>
      <c r="R4710">
        <v>-8.3446779999999998E-2</v>
      </c>
      <c r="S4710">
        <v>-3.0655519999999998</v>
      </c>
      <c r="T4710">
        <v>-3.2027130000000001E-2</v>
      </c>
      <c r="U4710">
        <v>-2.362061E-2</v>
      </c>
      <c r="V4710">
        <v>-8.5065989999999994E-2</v>
      </c>
      <c r="W4710">
        <v>0.19377539999999999</v>
      </c>
      <c r="X4710">
        <v>0.97735099999999997</v>
      </c>
      <c r="Y4710">
        <v>-9.3642489999999998E-3</v>
      </c>
      <c r="Z4710">
        <v>-1.035261E-4</v>
      </c>
      <c r="AA4710">
        <v>0.99995610000000001</v>
      </c>
      <c r="AB4710">
        <v>22</v>
      </c>
      <c r="AC4710">
        <v>-106.0784</v>
      </c>
      <c r="AD4710">
        <v>-1.110554060666</v>
      </c>
      <c r="AE4710">
        <v>-0.81940000000000102</v>
      </c>
      <c r="AF4710">
        <v>-0.99543086017664995</v>
      </c>
      <c r="AG4710">
        <v>-1.110554060666</v>
      </c>
      <c r="AH4710">
        <v>106.06526870342</v>
      </c>
      <c r="AI4710">
        <v>90.599865860787702</v>
      </c>
      <c r="AJ4710">
        <v>90.5377095948446</v>
      </c>
      <c r="AK4710">
        <v>106.075753299459</v>
      </c>
      <c r="AL4710">
        <v>78.826805849814903</v>
      </c>
      <c r="AM4710">
        <v>94.974334088337898</v>
      </c>
      <c r="AN4710">
        <v>1.00000005275041</v>
      </c>
    </row>
    <row r="4711" spans="1:40" x14ac:dyDescent="0.25">
      <c r="A4711" t="str">
        <f>"20190304155155719"</f>
        <v>20190304155155719</v>
      </c>
      <c r="B4711" t="str">
        <f>"1551685915711389"</f>
        <v>1551685915711389</v>
      </c>
      <c r="C4711" t="s">
        <v>40</v>
      </c>
      <c r="D4711">
        <v>4.8618350000000001</v>
      </c>
      <c r="E4711">
        <v>0.45082480000000003</v>
      </c>
      <c r="F4711" t="s">
        <v>41</v>
      </c>
      <c r="G4711">
        <v>-354.15019999999998</v>
      </c>
      <c r="H4711" s="1">
        <v>-2.9961169999999998E-6</v>
      </c>
      <c r="I4711">
        <v>136.77350000000001</v>
      </c>
      <c r="J4711">
        <v>-330.7491</v>
      </c>
      <c r="K4711">
        <v>1.1105370000000001</v>
      </c>
      <c r="L4711">
        <v>141.66730000000001</v>
      </c>
      <c r="M4711">
        <v>-0.99992349999999997</v>
      </c>
      <c r="N4711">
        <v>-1.225883E-2</v>
      </c>
      <c r="O4711">
        <v>1.660438E-3</v>
      </c>
      <c r="P4711">
        <v>-0.97976890000000005</v>
      </c>
      <c r="Q4711">
        <v>0.18178179999999999</v>
      </c>
      <c r="R4711">
        <v>-8.3715629999999999E-2</v>
      </c>
      <c r="S4711">
        <v>-3.0347900000000001</v>
      </c>
      <c r="T4711">
        <v>-0.14258689999999999</v>
      </c>
      <c r="U4711">
        <v>-0.62826539999999997</v>
      </c>
      <c r="V4711">
        <v>-8.5335279999999999E-2</v>
      </c>
      <c r="W4711">
        <v>0.1937806</v>
      </c>
      <c r="X4711">
        <v>0.97732649999999999</v>
      </c>
      <c r="Y4711">
        <v>-0.20407310000000001</v>
      </c>
      <c r="Z4711">
        <v>-6.0631549999999998E-3</v>
      </c>
      <c r="AA4711">
        <v>0.9789369</v>
      </c>
      <c r="AB4711">
        <v>22</v>
      </c>
      <c r="AC4711">
        <v>-23.4010999999999</v>
      </c>
      <c r="AD4711">
        <v>-1.1105399961169999</v>
      </c>
      <c r="AE4711">
        <v>-4.8937999999999899</v>
      </c>
      <c r="AF4711">
        <v>-4.9220316145485103</v>
      </c>
      <c r="AG4711">
        <v>-1.1105399961169999</v>
      </c>
      <c r="AH4711">
        <v>23.342573270856001</v>
      </c>
      <c r="AI4711">
        <v>92.665313561615704</v>
      </c>
      <c r="AJ4711">
        <v>101.90700314660501</v>
      </c>
      <c r="AK4711">
        <v>23.881696363593399</v>
      </c>
      <c r="AL4711">
        <v>78.826502229220793</v>
      </c>
      <c r="AM4711">
        <v>94.990126215830102</v>
      </c>
      <c r="AN4711">
        <v>1.00000005927564</v>
      </c>
    </row>
    <row r="4712" spans="1:40" x14ac:dyDescent="0.25">
      <c r="A4712" t="str">
        <f>"20190304155155741"</f>
        <v>20190304155155741</v>
      </c>
      <c r="B4712" t="str">
        <f>"1551685915731612"</f>
        <v>1551685915731612</v>
      </c>
      <c r="C4712" t="s">
        <v>40</v>
      </c>
      <c r="D4712">
        <v>4.8325529999999999</v>
      </c>
      <c r="E4712">
        <v>0.45108470000000001</v>
      </c>
      <c r="F4712" t="s">
        <v>41</v>
      </c>
      <c r="G4712">
        <v>-356.88580000000002</v>
      </c>
      <c r="H4712" s="1">
        <v>-1.9386789999999998E-6</v>
      </c>
      <c r="I4712">
        <v>136.26070000000001</v>
      </c>
      <c r="J4712">
        <v>-330.97149999999999</v>
      </c>
      <c r="K4712">
        <v>1.110519</v>
      </c>
      <c r="L4712">
        <v>141.6677</v>
      </c>
      <c r="M4712">
        <v>-0.99992440000000005</v>
      </c>
      <c r="N4712">
        <v>-1.2191489999999999E-2</v>
      </c>
      <c r="O4712">
        <v>1.6601929999999999E-3</v>
      </c>
      <c r="P4712">
        <v>-0.97974910000000004</v>
      </c>
      <c r="Q4712">
        <v>0.18175350000000001</v>
      </c>
      <c r="R4712">
        <v>-8.4008630000000001E-2</v>
      </c>
      <c r="S4712">
        <v>-3.032257</v>
      </c>
      <c r="T4712">
        <v>-0.1288395</v>
      </c>
      <c r="U4712">
        <v>-0.62724299999999999</v>
      </c>
      <c r="V4712">
        <v>-8.5627699999999904E-2</v>
      </c>
      <c r="W4712">
        <v>0.1936861</v>
      </c>
      <c r="X4712">
        <v>0.97731959999999996</v>
      </c>
      <c r="Y4712">
        <v>-0.20396429999999999</v>
      </c>
      <c r="Z4712">
        <v>-5.5927579999999998E-3</v>
      </c>
      <c r="AA4712">
        <v>0.97896240000000001</v>
      </c>
      <c r="AB4712">
        <v>22</v>
      </c>
      <c r="AC4712">
        <v>-25.914300000000001</v>
      </c>
      <c r="AD4712">
        <v>-1.110520938679</v>
      </c>
      <c r="AE4712">
        <v>-5.4069999999999796</v>
      </c>
      <c r="AF4712">
        <v>-5.4404442893482603</v>
      </c>
      <c r="AG4712">
        <v>-1.110520938679</v>
      </c>
      <c r="AH4712">
        <v>25.859778452104202</v>
      </c>
      <c r="AI4712">
        <v>92.406382370387206</v>
      </c>
      <c r="AJ4712">
        <v>101.88076631422</v>
      </c>
      <c r="AK4712">
        <v>26.449193417052602</v>
      </c>
      <c r="AL4712">
        <v>78.832020621785603</v>
      </c>
      <c r="AM4712">
        <v>95.007174363270806</v>
      </c>
      <c r="AN4712">
        <v>1.0000000044423201</v>
      </c>
    </row>
    <row r="4713" spans="1:40" x14ac:dyDescent="0.25">
      <c r="A4713" t="str">
        <f>"20190304155155761"</f>
        <v>20190304155155761</v>
      </c>
      <c r="B4713" t="str">
        <f>"1551685915752109"</f>
        <v>1551685915752109</v>
      </c>
      <c r="C4713" t="s">
        <v>40</v>
      </c>
      <c r="D4713">
        <v>4.8428440000000004</v>
      </c>
      <c r="E4713">
        <v>0.45150050000000003</v>
      </c>
      <c r="F4713" t="s">
        <v>41</v>
      </c>
      <c r="G4713">
        <v>-357.79820000000001</v>
      </c>
      <c r="H4713" s="1">
        <v>-1.6641080000000001E-6</v>
      </c>
      <c r="I4713">
        <v>136.12559999999999</v>
      </c>
      <c r="J4713">
        <v>-331.18349999999998</v>
      </c>
      <c r="K4713">
        <v>1.1105069999999999</v>
      </c>
      <c r="L4713">
        <v>141.66800000000001</v>
      </c>
      <c r="M4713">
        <v>-0.99992510000000001</v>
      </c>
      <c r="N4713">
        <v>-1.2131579999999999E-2</v>
      </c>
      <c r="O4713">
        <v>1.6600199999999999E-3</v>
      </c>
      <c r="P4713">
        <v>-0.97971949999999997</v>
      </c>
      <c r="Q4713">
        <v>0.1816304</v>
      </c>
      <c r="R4713">
        <v>-8.4619860000000005E-2</v>
      </c>
      <c r="S4713">
        <v>-3.0315859999999999</v>
      </c>
      <c r="T4713">
        <v>-0.12549579999999999</v>
      </c>
      <c r="U4713">
        <v>-0.62628169999999905</v>
      </c>
      <c r="V4713">
        <v>-8.6238999999999996E-2</v>
      </c>
      <c r="W4713">
        <v>0.19350410000000001</v>
      </c>
      <c r="X4713">
        <v>0.97730189999999995</v>
      </c>
      <c r="Y4713">
        <v>-0.20372019999999999</v>
      </c>
      <c r="Z4713">
        <v>-5.4682209999999997E-3</v>
      </c>
      <c r="AA4713">
        <v>0.97901389999999999</v>
      </c>
      <c r="AB4713">
        <v>22</v>
      </c>
      <c r="AC4713">
        <v>-26.614699999999999</v>
      </c>
      <c r="AD4713">
        <v>-1.110508664108</v>
      </c>
      <c r="AE4713">
        <v>-5.5424000000000104</v>
      </c>
      <c r="AF4713">
        <v>-5.5772700616597204</v>
      </c>
      <c r="AG4713">
        <v>-1.110508664108</v>
      </c>
      <c r="AH4713">
        <v>26.561141038802901</v>
      </c>
      <c r="AI4713">
        <v>92.343076609254098</v>
      </c>
      <c r="AJ4713">
        <v>101.858602402706</v>
      </c>
      <c r="AK4713">
        <v>27.1630886336022</v>
      </c>
      <c r="AL4713">
        <v>78.842649517936707</v>
      </c>
      <c r="AM4713">
        <v>95.042827999536698</v>
      </c>
      <c r="AN4713">
        <v>1.0000000027906999</v>
      </c>
    </row>
    <row r="4714" spans="1:40" x14ac:dyDescent="0.25">
      <c r="A4714" t="str">
        <f>"20190304155155784"</f>
        <v>20190304155155784</v>
      </c>
      <c r="B4714" t="str">
        <f>"1551685915781389"</f>
        <v>1551685915781389</v>
      </c>
      <c r="C4714" t="s">
        <v>40</v>
      </c>
      <c r="D4714">
        <v>4.8488720000000001</v>
      </c>
      <c r="E4714">
        <v>0.45189780000000002</v>
      </c>
      <c r="F4714" t="s">
        <v>41</v>
      </c>
      <c r="G4714">
        <v>-359.18049999999999</v>
      </c>
      <c r="H4714" s="1">
        <v>-1.2552700000000001E-6</v>
      </c>
      <c r="I4714">
        <v>135.89429999999999</v>
      </c>
      <c r="J4714">
        <v>-331.39980000000003</v>
      </c>
      <c r="K4714">
        <v>1.1104989999999999</v>
      </c>
      <c r="L4714">
        <v>141.66839999999999</v>
      </c>
      <c r="M4714">
        <v>-0.99992579999999998</v>
      </c>
      <c r="N4714">
        <v>-1.207311E-2</v>
      </c>
      <c r="O4714">
        <v>1.6600160000000001E-3</v>
      </c>
      <c r="P4714">
        <v>-0.97967720000000003</v>
      </c>
      <c r="Q4714">
        <v>0.1816593</v>
      </c>
      <c r="R4714">
        <v>-8.5042939999999997E-2</v>
      </c>
      <c r="S4714">
        <v>-3.0304570000000002</v>
      </c>
      <c r="T4714">
        <v>-0.1202043</v>
      </c>
      <c r="U4714">
        <v>-0.62495419999999902</v>
      </c>
      <c r="V4714">
        <v>-8.6662169999999997E-2</v>
      </c>
      <c r="W4714">
        <v>0.19347549999999999</v>
      </c>
      <c r="X4714">
        <v>0.97727010000000003</v>
      </c>
      <c r="Y4714">
        <v>-0.20339760000000001</v>
      </c>
      <c r="Z4714">
        <v>-5.2769720000000004E-3</v>
      </c>
      <c r="AA4714">
        <v>0.97908200000000001</v>
      </c>
      <c r="AB4714">
        <v>22</v>
      </c>
      <c r="AC4714">
        <v>-27.7806999999999</v>
      </c>
      <c r="AD4714">
        <v>-1.1105002552699901</v>
      </c>
      <c r="AE4714">
        <v>-5.7740999999999998</v>
      </c>
      <c r="AF4714">
        <v>-5.8113104245900002</v>
      </c>
      <c r="AG4714">
        <v>-1.1105002552699901</v>
      </c>
      <c r="AH4714">
        <v>27.728603068271099</v>
      </c>
      <c r="AI4714">
        <v>92.244692183962002</v>
      </c>
      <c r="AJ4714">
        <v>101.83662997954001</v>
      </c>
      <c r="AK4714">
        <v>28.3527770736066</v>
      </c>
      <c r="AL4714">
        <v>78.844319421886397</v>
      </c>
      <c r="AM4714">
        <v>95.067608384533202</v>
      </c>
      <c r="AN4714">
        <v>0.99999997458168399</v>
      </c>
    </row>
    <row r="4715" spans="1:40" x14ac:dyDescent="0.25">
      <c r="A4715" t="str">
        <f>"20190304155155806"</f>
        <v>20190304155155806</v>
      </c>
      <c r="B4715" t="str">
        <f>"1551685915801885"</f>
        <v>1551685915801885</v>
      </c>
      <c r="C4715" t="s">
        <v>40</v>
      </c>
      <c r="D4715">
        <v>4.8459640000000004</v>
      </c>
      <c r="E4715">
        <v>0.45203009999999899</v>
      </c>
      <c r="F4715" t="s">
        <v>41</v>
      </c>
      <c r="G4715">
        <v>-358.06439999999998</v>
      </c>
      <c r="H4715" s="1">
        <v>-1.556592E-6</v>
      </c>
      <c r="I4715">
        <v>136.1893</v>
      </c>
      <c r="J4715">
        <v>-331.6234</v>
      </c>
      <c r="K4715">
        <v>1.110501</v>
      </c>
      <c r="L4715">
        <v>141.6688</v>
      </c>
      <c r="M4715">
        <v>-0.9999266</v>
      </c>
      <c r="N4715">
        <v>-1.2013329999999999E-2</v>
      </c>
      <c r="O4715">
        <v>1.6597199999999999E-3</v>
      </c>
      <c r="P4715">
        <v>-0.97965000000000002</v>
      </c>
      <c r="Q4715">
        <v>0.18159030000000001</v>
      </c>
      <c r="R4715">
        <v>-8.5506570000000004E-2</v>
      </c>
      <c r="S4715">
        <v>-3.031555</v>
      </c>
      <c r="T4715">
        <v>-0.1262556</v>
      </c>
      <c r="U4715">
        <v>-0.62292479999999995</v>
      </c>
      <c r="V4715">
        <v>-8.7124789999999994E-2</v>
      </c>
      <c r="W4715">
        <v>0.19334779999999999</v>
      </c>
      <c r="X4715">
        <v>0.97725430000000002</v>
      </c>
      <c r="Y4715">
        <v>-0.202681</v>
      </c>
      <c r="Z4715">
        <v>-5.4545369999999998E-3</v>
      </c>
      <c r="AA4715">
        <v>0.97922960000000003</v>
      </c>
      <c r="AB4715">
        <v>22</v>
      </c>
      <c r="AC4715">
        <v>-26.440999999999899</v>
      </c>
      <c r="AD4715">
        <v>-1.1105025565919999</v>
      </c>
      <c r="AE4715">
        <v>-5.4794999999999998</v>
      </c>
      <c r="AF4715">
        <v>-5.5140543327800202</v>
      </c>
      <c r="AG4715">
        <v>-1.1105025565919999</v>
      </c>
      <c r="AH4715">
        <v>26.387239669077001</v>
      </c>
      <c r="AI4715">
        <v>92.358966379330099</v>
      </c>
      <c r="AJ4715">
        <v>101.803064100195</v>
      </c>
      <c r="AK4715">
        <v>26.980074656426702</v>
      </c>
      <c r="AL4715">
        <v>78.8517775766516</v>
      </c>
      <c r="AM4715">
        <v>95.094600242390399</v>
      </c>
      <c r="AN4715">
        <v>1.00000003383293</v>
      </c>
    </row>
    <row r="4716" spans="1:40" x14ac:dyDescent="0.25">
      <c r="A4716" t="str">
        <f>"20190304155155830"</f>
        <v>20190304155155830</v>
      </c>
      <c r="B4716" t="str">
        <f>"1551685915821404"</f>
        <v>1551685915821404</v>
      </c>
      <c r="C4716" t="s">
        <v>40</v>
      </c>
      <c r="D4716">
        <v>4.8579549999999996</v>
      </c>
      <c r="E4716">
        <v>0.45212869999999999</v>
      </c>
      <c r="F4716" t="s">
        <v>41</v>
      </c>
      <c r="G4716">
        <v>-358.27879999999999</v>
      </c>
      <c r="H4716" s="1">
        <v>-1.483519E-6</v>
      </c>
      <c r="I4716">
        <v>136.18969999999999</v>
      </c>
      <c r="J4716">
        <v>-331.8526</v>
      </c>
      <c r="K4716">
        <v>1.110487</v>
      </c>
      <c r="L4716">
        <v>141.66919999999999</v>
      </c>
      <c r="M4716">
        <v>-0.99992720000000002</v>
      </c>
      <c r="N4716">
        <v>-1.195622E-2</v>
      </c>
      <c r="O4716">
        <v>1.6597039999999999E-3</v>
      </c>
      <c r="P4716">
        <v>-0.97960199999999997</v>
      </c>
      <c r="Q4716">
        <v>0.18177960000000001</v>
      </c>
      <c r="R4716">
        <v>-8.5650610000000002E-2</v>
      </c>
      <c r="S4716">
        <v>-3.031342</v>
      </c>
      <c r="T4716">
        <v>-0.12628980000000001</v>
      </c>
      <c r="U4716">
        <v>-0.62309269999999894</v>
      </c>
      <c r="V4716">
        <v>-8.7269250000000007E-2</v>
      </c>
      <c r="W4716">
        <v>0.19348070000000001</v>
      </c>
      <c r="X4716">
        <v>0.9772151</v>
      </c>
      <c r="Y4716">
        <v>-0.2027467</v>
      </c>
      <c r="Z4716">
        <v>-5.451956E-3</v>
      </c>
      <c r="AA4716">
        <v>0.97921599999999998</v>
      </c>
      <c r="AB4716">
        <v>22</v>
      </c>
      <c r="AC4716">
        <v>-26.426199999999898</v>
      </c>
      <c r="AD4716">
        <v>-1.1104884835189901</v>
      </c>
      <c r="AE4716">
        <v>-5.4794999999999998</v>
      </c>
      <c r="AF4716">
        <v>-5.5140195953916002</v>
      </c>
      <c r="AG4716">
        <v>-1.1104884835189901</v>
      </c>
      <c r="AH4716">
        <v>26.372418068261101</v>
      </c>
      <c r="AI4716">
        <v>92.360205939690005</v>
      </c>
      <c r="AJ4716">
        <v>101.809439014717</v>
      </c>
      <c r="AK4716">
        <v>26.965571225871201</v>
      </c>
      <c r="AL4716">
        <v>78.844016343311097</v>
      </c>
      <c r="AM4716">
        <v>95.103206561475602</v>
      </c>
      <c r="AN4716">
        <v>1.0000000274680301</v>
      </c>
    </row>
    <row r="4717" spans="1:40" x14ac:dyDescent="0.25">
      <c r="A4717" t="str">
        <f>"20190304155155851"</f>
        <v>20190304155155851</v>
      </c>
      <c r="B4717" t="str">
        <f>"1551685915842111"</f>
        <v>1551685915842111</v>
      </c>
      <c r="C4717" t="s">
        <v>40</v>
      </c>
      <c r="D4717">
        <v>4.8849200000000002</v>
      </c>
      <c r="E4717">
        <v>0.4521521</v>
      </c>
      <c r="F4717" t="s">
        <v>41</v>
      </c>
      <c r="G4717">
        <v>-357.96039999999999</v>
      </c>
      <c r="H4717" s="1">
        <v>-1.5612589999999999E-6</v>
      </c>
      <c r="I4717">
        <v>136.3048</v>
      </c>
      <c r="J4717">
        <v>-332.07760000000002</v>
      </c>
      <c r="K4717">
        <v>1.1104830000000001</v>
      </c>
      <c r="L4717">
        <v>141.6695</v>
      </c>
      <c r="M4717">
        <v>-0.99992780000000003</v>
      </c>
      <c r="N4717">
        <v>-1.19069E-2</v>
      </c>
      <c r="O4717">
        <v>1.659521E-3</v>
      </c>
      <c r="P4717">
        <v>-0.97956299999999996</v>
      </c>
      <c r="Q4717">
        <v>0.18173619999999999</v>
      </c>
      <c r="R4717">
        <v>-8.619069E-2</v>
      </c>
      <c r="S4717">
        <v>-3.0318909999999999</v>
      </c>
      <c r="T4717">
        <v>-0.12896079999999999</v>
      </c>
      <c r="U4717">
        <v>-0.62295529999999999</v>
      </c>
      <c r="V4717">
        <v>-8.7809070000000003E-2</v>
      </c>
      <c r="W4717">
        <v>0.19338849999999999</v>
      </c>
      <c r="X4717">
        <v>0.97718499999999997</v>
      </c>
      <c r="Y4717">
        <v>-0.20266100000000001</v>
      </c>
      <c r="Z4717">
        <v>-5.5336519999999896E-3</v>
      </c>
      <c r="AA4717">
        <v>0.97923329999999997</v>
      </c>
      <c r="AB4717">
        <v>22</v>
      </c>
      <c r="AC4717">
        <v>-25.8827999999999</v>
      </c>
      <c r="AD4717">
        <v>-1.110484561259</v>
      </c>
      <c r="AE4717">
        <v>-5.3646999999999903</v>
      </c>
      <c r="AF4717">
        <v>-5.3981212394009699</v>
      </c>
      <c r="AG4717">
        <v>-1.110484561259</v>
      </c>
      <c r="AH4717">
        <v>25.828275034884602</v>
      </c>
      <c r="AI4717">
        <v>92.409903301658403</v>
      </c>
      <c r="AJ4717">
        <v>101.804917329426</v>
      </c>
      <c r="AK4717">
        <v>26.409708066423399</v>
      </c>
      <c r="AL4717">
        <v>78.849400786626902</v>
      </c>
      <c r="AM4717">
        <v>95.134762476076105</v>
      </c>
      <c r="AN4717">
        <v>1.00000003446575</v>
      </c>
    </row>
    <row r="4718" spans="1:40" x14ac:dyDescent="0.25">
      <c r="A4718" t="str">
        <f>"20190304155155873"</f>
        <v>20190304155155873</v>
      </c>
      <c r="B4718" t="str">
        <f>"1551685915861631"</f>
        <v>1551685915861631</v>
      </c>
      <c r="C4718" t="s">
        <v>40</v>
      </c>
      <c r="D4718">
        <v>4.8427210000000001</v>
      </c>
      <c r="E4718">
        <v>0.4522061</v>
      </c>
      <c r="F4718" t="s">
        <v>41</v>
      </c>
      <c r="G4718">
        <v>-358.35700000000003</v>
      </c>
      <c r="H4718" s="1">
        <v>-1.4391670000000001E-6</v>
      </c>
      <c r="I4718">
        <v>136.25630000000001</v>
      </c>
      <c r="J4718">
        <v>-332.2903</v>
      </c>
      <c r="K4718">
        <v>1.1104830000000001</v>
      </c>
      <c r="L4718">
        <v>141.66990000000001</v>
      </c>
      <c r="M4718">
        <v>-0.99992820000000004</v>
      </c>
      <c r="N4718">
        <v>-1.1865819999999999E-2</v>
      </c>
      <c r="O4718">
        <v>1.6595850000000001E-3</v>
      </c>
      <c r="P4718">
        <v>-0.97953950000000001</v>
      </c>
      <c r="Q4718">
        <v>0.18183589999999999</v>
      </c>
      <c r="R4718">
        <v>-8.6245069999999993E-2</v>
      </c>
      <c r="S4718">
        <v>-3.0314030000000001</v>
      </c>
      <c r="T4718">
        <v>-0.1280974</v>
      </c>
      <c r="U4718">
        <v>-0.62442019999999998</v>
      </c>
      <c r="V4718">
        <v>-8.7863479999999994E-2</v>
      </c>
      <c r="W4718">
        <v>0.19344749999999999</v>
      </c>
      <c r="X4718">
        <v>0.97716840000000005</v>
      </c>
      <c r="Y4718">
        <v>-0.20314840000000001</v>
      </c>
      <c r="Z4718">
        <v>-5.5141610000000001E-3</v>
      </c>
      <c r="AA4718">
        <v>0.97913240000000001</v>
      </c>
      <c r="AB4718">
        <v>22</v>
      </c>
      <c r="AC4718">
        <v>-26.066699999999901</v>
      </c>
      <c r="AD4718">
        <v>-1.1104844391669999</v>
      </c>
      <c r="AE4718">
        <v>-5.4135999999999997</v>
      </c>
      <c r="AF4718">
        <v>-5.4473778364105003</v>
      </c>
      <c r="AG4718">
        <v>-1.1104844391669999</v>
      </c>
      <c r="AH4718">
        <v>26.012421243067099</v>
      </c>
      <c r="AI4718">
        <v>92.392664502091705</v>
      </c>
      <c r="AJ4718">
        <v>101.827644840834</v>
      </c>
      <c r="AK4718">
        <v>26.5998714265505</v>
      </c>
      <c r="AL4718">
        <v>78.845954929895299</v>
      </c>
      <c r="AM4718">
        <v>95.138013970580303</v>
      </c>
      <c r="AN4718">
        <v>1.00000000416626</v>
      </c>
    </row>
    <row r="4719" spans="1:40" x14ac:dyDescent="0.25">
      <c r="A4719" t="str">
        <f>"20190304155155895"</f>
        <v>20190304155155895</v>
      </c>
      <c r="B4719" t="str">
        <f>"1551685915891888"</f>
        <v>1551685915891888</v>
      </c>
      <c r="C4719" t="s">
        <v>40</v>
      </c>
      <c r="D4719">
        <v>4.8519819999999996</v>
      </c>
      <c r="E4719">
        <v>0.4521829</v>
      </c>
      <c r="F4719" t="s">
        <v>41</v>
      </c>
      <c r="G4719">
        <v>-358.37110000000001</v>
      </c>
      <c r="H4719" s="1">
        <v>-1.423153E-6</v>
      </c>
      <c r="I4719">
        <v>136.29859999999999</v>
      </c>
      <c r="J4719">
        <v>-332.51549999999997</v>
      </c>
      <c r="K4719">
        <v>1.1104769999999999</v>
      </c>
      <c r="L4719">
        <v>141.6703</v>
      </c>
      <c r="M4719">
        <v>-0.9999287</v>
      </c>
      <c r="N4719">
        <v>-1.1826700000000001E-2</v>
      </c>
      <c r="O4719">
        <v>1.65934E-3</v>
      </c>
      <c r="P4719">
        <v>-0.97947240000000002</v>
      </c>
      <c r="Q4719">
        <v>0.1819627</v>
      </c>
      <c r="R4719">
        <v>-8.6738179999999998E-2</v>
      </c>
      <c r="S4719">
        <v>-3.031647</v>
      </c>
      <c r="T4719">
        <v>-0.1290839</v>
      </c>
      <c r="U4719">
        <v>-0.62435909999999994</v>
      </c>
      <c r="V4719">
        <v>-8.8356279999999995E-2</v>
      </c>
      <c r="W4719">
        <v>0.1935355</v>
      </c>
      <c r="X4719">
        <v>0.97710649999999999</v>
      </c>
      <c r="Y4719">
        <v>-0.20311090000000001</v>
      </c>
      <c r="Z4719">
        <v>-5.5420579999999999E-3</v>
      </c>
      <c r="AA4719">
        <v>0.97914000000000001</v>
      </c>
      <c r="AB4719">
        <v>22</v>
      </c>
      <c r="AC4719">
        <v>-25.855599999999999</v>
      </c>
      <c r="AD4719">
        <v>-1.1104784231529901</v>
      </c>
      <c r="AE4719">
        <v>-5.3716999999999997</v>
      </c>
      <c r="AF4719">
        <v>-5.4050410399621098</v>
      </c>
      <c r="AG4719">
        <v>-1.1104784231529901</v>
      </c>
      <c r="AH4719">
        <v>25.801026053326201</v>
      </c>
      <c r="AI4719">
        <v>92.412195962595703</v>
      </c>
      <c r="AJ4719">
        <v>101.83175577396401</v>
      </c>
      <c r="AK4719">
        <v>26.384476048926601</v>
      </c>
      <c r="AL4719">
        <v>78.840815363168502</v>
      </c>
      <c r="AM4719">
        <v>95.167001556843999</v>
      </c>
      <c r="AN4719">
        <v>0.999999967158968</v>
      </c>
    </row>
    <row r="4720" spans="1:40" x14ac:dyDescent="0.25">
      <c r="A4720" t="str">
        <f>"20190304155155919"</f>
        <v>20190304155155919</v>
      </c>
      <c r="B4720" t="str">
        <f>"1551685915911407"</f>
        <v>1551685915911407</v>
      </c>
      <c r="C4720" t="s">
        <v>40</v>
      </c>
      <c r="D4720">
        <v>4.8507899999999999</v>
      </c>
      <c r="E4720">
        <v>0.45220320000000003</v>
      </c>
      <c r="F4720" t="s">
        <v>41</v>
      </c>
      <c r="G4720">
        <v>-358.83659999999998</v>
      </c>
      <c r="H4720" s="1">
        <v>-1.2823209999999999E-6</v>
      </c>
      <c r="I4720">
        <v>136.23240000000001</v>
      </c>
      <c r="J4720">
        <v>-332.74340000000001</v>
      </c>
      <c r="K4720">
        <v>1.1104750000000001</v>
      </c>
      <c r="L4720">
        <v>141.67070000000001</v>
      </c>
      <c r="M4720">
        <v>-0.99992919999999996</v>
      </c>
      <c r="N4720">
        <v>-1.17914E-2</v>
      </c>
      <c r="O4720">
        <v>1.6591900000000001E-3</v>
      </c>
      <c r="P4720">
        <v>-0.97951889999999997</v>
      </c>
      <c r="Q4720">
        <v>0.18152599999999999</v>
      </c>
      <c r="R4720">
        <v>-8.7127689999999994E-2</v>
      </c>
      <c r="S4720">
        <v>-3.0312190000000001</v>
      </c>
      <c r="T4720">
        <v>-0.12788620000000001</v>
      </c>
      <c r="U4720">
        <v>-0.62623600000000001</v>
      </c>
      <c r="V4720">
        <v>-8.8745309999999994E-2</v>
      </c>
      <c r="W4720">
        <v>0.1930653</v>
      </c>
      <c r="X4720">
        <v>0.97716429999999999</v>
      </c>
      <c r="Y4720">
        <v>-0.2037226</v>
      </c>
      <c r="Z4720">
        <v>-5.5149910000000003E-3</v>
      </c>
      <c r="AA4720">
        <v>0.97901309999999997</v>
      </c>
      <c r="AB4720">
        <v>22</v>
      </c>
      <c r="AC4720">
        <v>-26.0931999999999</v>
      </c>
      <c r="AD4720">
        <v>-1.1104762823209999</v>
      </c>
      <c r="AE4720">
        <v>-5.4382999999999901</v>
      </c>
      <c r="AF4720">
        <v>-5.47209069576882</v>
      </c>
      <c r="AG4720">
        <v>-1.1104762823209999</v>
      </c>
      <c r="AH4720">
        <v>26.0389421459071</v>
      </c>
      <c r="AI4720">
        <v>92.389859891085393</v>
      </c>
      <c r="AJ4720">
        <v>101.868024995624</v>
      </c>
      <c r="AK4720">
        <v>26.630873854122999</v>
      </c>
      <c r="AL4720">
        <v>78.868274137531898</v>
      </c>
      <c r="AM4720">
        <v>95.189322457752994</v>
      </c>
      <c r="AN4720">
        <v>1.0000000046527799</v>
      </c>
    </row>
    <row r="4721" spans="1:40" x14ac:dyDescent="0.25">
      <c r="A4721" t="str">
        <f>"20190304155155942"</f>
        <v>20190304155155942</v>
      </c>
      <c r="B4721" t="str">
        <f>"1551685915931903"</f>
        <v>1551685915931903</v>
      </c>
      <c r="C4721" t="s">
        <v>40</v>
      </c>
      <c r="D4721">
        <v>4.8519230000000002</v>
      </c>
      <c r="E4721">
        <v>0.45214110000000002</v>
      </c>
      <c r="F4721" t="s">
        <v>41</v>
      </c>
      <c r="G4721">
        <v>-358.52960000000002</v>
      </c>
      <c r="H4721" s="1">
        <v>-1.359728E-6</v>
      </c>
      <c r="I4721">
        <v>136.33420000000001</v>
      </c>
      <c r="J4721">
        <v>-332.983</v>
      </c>
      <c r="K4721">
        <v>1.1104799999999999</v>
      </c>
      <c r="L4721">
        <v>141.6711</v>
      </c>
      <c r="M4721">
        <v>-0.99992950000000003</v>
      </c>
      <c r="N4721">
        <v>-1.1755430000000001E-2</v>
      </c>
      <c r="O4721">
        <v>1.6590439999999999E-3</v>
      </c>
      <c r="P4721">
        <v>-0.97942039999999997</v>
      </c>
      <c r="Q4721">
        <v>0.18202689999999999</v>
      </c>
      <c r="R4721">
        <v>-8.7187790000000001E-2</v>
      </c>
      <c r="S4721">
        <v>-3.031158</v>
      </c>
      <c r="T4721">
        <v>-0.1305364</v>
      </c>
      <c r="U4721">
        <v>-0.62728879999999998</v>
      </c>
      <c r="V4721">
        <v>-8.8805510000000004E-2</v>
      </c>
      <c r="W4721">
        <v>0.1935298</v>
      </c>
      <c r="X4721">
        <v>0.97706689999999996</v>
      </c>
      <c r="Y4721">
        <v>-0.2040439</v>
      </c>
      <c r="Z4721">
        <v>-5.6095379999999999E-3</v>
      </c>
      <c r="AA4721">
        <v>0.97894570000000003</v>
      </c>
      <c r="AB4721">
        <v>22</v>
      </c>
      <c r="AC4721">
        <v>-25.546600000000002</v>
      </c>
      <c r="AD4721">
        <v>-1.1104813597280001</v>
      </c>
      <c r="AE4721">
        <v>-5.3368999999999804</v>
      </c>
      <c r="AF4721">
        <v>-5.36955680183907</v>
      </c>
      <c r="AG4721">
        <v>-1.1104813597280001</v>
      </c>
      <c r="AH4721">
        <v>25.491556977493001</v>
      </c>
      <c r="AI4721">
        <v>92.440886682119398</v>
      </c>
      <c r="AJ4721">
        <v>101.894927880739</v>
      </c>
      <c r="AK4721">
        <v>26.074600404133701</v>
      </c>
      <c r="AL4721">
        <v>78.841148213504894</v>
      </c>
      <c r="AM4721">
        <v>95.193338195679402</v>
      </c>
      <c r="AN4721">
        <v>0.99999996458500395</v>
      </c>
    </row>
    <row r="4722" spans="1:40" x14ac:dyDescent="0.25">
      <c r="A4722" t="str">
        <f>"20190304155155964"</f>
        <v>20190304155155964</v>
      </c>
      <c r="B4722" t="str">
        <f>"1551685915951423"</f>
        <v>1551685915951423</v>
      </c>
      <c r="C4722" t="s">
        <v>40</v>
      </c>
      <c r="D4722">
        <v>4.9001780000000004</v>
      </c>
      <c r="E4722">
        <v>0.45221869999999997</v>
      </c>
      <c r="F4722" t="s">
        <v>41</v>
      </c>
      <c r="G4722">
        <v>-358.78899999999999</v>
      </c>
      <c r="H4722" s="1">
        <v>-1.275534E-6</v>
      </c>
      <c r="I4722">
        <v>136.31880000000001</v>
      </c>
      <c r="J4722">
        <v>-333.19029999999998</v>
      </c>
      <c r="K4722">
        <v>1.110474</v>
      </c>
      <c r="L4722">
        <v>141.67140000000001</v>
      </c>
      <c r="M4722">
        <v>-0.99992999999999999</v>
      </c>
      <c r="N4722">
        <v>-1.171903E-2</v>
      </c>
      <c r="O4722">
        <v>1.6589599999999999E-3</v>
      </c>
      <c r="P4722">
        <v>-0.97944529999999996</v>
      </c>
      <c r="Q4722">
        <v>0.18192159999999999</v>
      </c>
      <c r="R4722">
        <v>-8.7128419999999998E-2</v>
      </c>
      <c r="S4722">
        <v>-3.0312809999999999</v>
      </c>
      <c r="T4722">
        <v>-0.1304419</v>
      </c>
      <c r="U4722">
        <v>-0.62869259999999905</v>
      </c>
      <c r="V4722">
        <v>-8.8746060000000002E-2</v>
      </c>
      <c r="W4722">
        <v>0.19338900000000001</v>
      </c>
      <c r="X4722">
        <v>0.97710019999999997</v>
      </c>
      <c r="Y4722">
        <v>-0.20447070000000001</v>
      </c>
      <c r="Z4722">
        <v>-5.613931E-3</v>
      </c>
      <c r="AA4722">
        <v>0.97885659999999997</v>
      </c>
      <c r="AB4722">
        <v>22</v>
      </c>
      <c r="AC4722">
        <v>-25.598700000000001</v>
      </c>
      <c r="AD4722">
        <v>-1.1104752755339999</v>
      </c>
      <c r="AE4722">
        <v>-5.35259999999999</v>
      </c>
      <c r="AF4722">
        <v>-5.3853529386870598</v>
      </c>
      <c r="AG4722">
        <v>-1.1104752755339999</v>
      </c>
      <c r="AH4722">
        <v>25.5437288911452</v>
      </c>
      <c r="AI4722">
        <v>92.435801589166502</v>
      </c>
      <c r="AJ4722">
        <v>101.90525090412</v>
      </c>
      <c r="AK4722">
        <v>26.128858897321201</v>
      </c>
      <c r="AL4722">
        <v>78.849371025075897</v>
      </c>
      <c r="AM4722">
        <v>95.189704649400397</v>
      </c>
      <c r="AN4722">
        <v>0.99999998466328099</v>
      </c>
    </row>
    <row r="4723" spans="1:40" x14ac:dyDescent="0.25">
      <c r="A4723" t="str">
        <f>"20190304155155985"</f>
        <v>20190304155155985</v>
      </c>
      <c r="B4723" t="str">
        <f>"1551685915981680"</f>
        <v>1551685915981680</v>
      </c>
      <c r="C4723" t="s">
        <v>40</v>
      </c>
      <c r="D4723">
        <v>4.8599259999999997</v>
      </c>
      <c r="E4723">
        <v>0.45206390000000002</v>
      </c>
      <c r="F4723" t="s">
        <v>41</v>
      </c>
      <c r="G4723">
        <v>-358.83359999999999</v>
      </c>
      <c r="H4723" s="1">
        <v>-1.2502079999999999E-6</v>
      </c>
      <c r="I4723">
        <v>136.357</v>
      </c>
      <c r="J4723">
        <v>-333.40859999999998</v>
      </c>
      <c r="K4723">
        <v>1.110465</v>
      </c>
      <c r="L4723">
        <v>141.67179999999999</v>
      </c>
      <c r="M4723">
        <v>-0.9999306</v>
      </c>
      <c r="N4723">
        <v>-1.166882E-2</v>
      </c>
      <c r="O4723">
        <v>1.658716E-3</v>
      </c>
      <c r="P4723">
        <v>-0.97945260000000001</v>
      </c>
      <c r="Q4723">
        <v>0.18171190000000001</v>
      </c>
      <c r="R4723">
        <v>-8.7483729999999996E-2</v>
      </c>
      <c r="S4723">
        <v>-3.0314939999999999</v>
      </c>
      <c r="T4723">
        <v>-0.13127839999999999</v>
      </c>
      <c r="U4723">
        <v>-0.62825010000000003</v>
      </c>
      <c r="V4723">
        <v>-8.9101050000000001E-2</v>
      </c>
      <c r="W4723">
        <v>0.1931303</v>
      </c>
      <c r="X4723">
        <v>0.97711910000000002</v>
      </c>
      <c r="Y4723">
        <v>-0.20431750000000001</v>
      </c>
      <c r="Z4723">
        <v>-5.6327060000000003E-3</v>
      </c>
      <c r="AA4723">
        <v>0.97888850000000005</v>
      </c>
      <c r="AB4723">
        <v>22</v>
      </c>
      <c r="AC4723">
        <v>-25.425000000000001</v>
      </c>
      <c r="AD4723">
        <v>-1.110466250208</v>
      </c>
      <c r="AE4723">
        <v>-5.3147999999999902</v>
      </c>
      <c r="AF4723">
        <v>-5.3471951297885401</v>
      </c>
      <c r="AG4723">
        <v>-1.110466250208</v>
      </c>
      <c r="AH4723">
        <v>25.369779321255098</v>
      </c>
      <c r="AI4723">
        <v>92.452491516166006</v>
      </c>
      <c r="AJ4723">
        <v>101.90204148366</v>
      </c>
      <c r="AK4723">
        <v>25.9509409050629</v>
      </c>
      <c r="AL4723">
        <v>78.864478679633393</v>
      </c>
      <c r="AM4723">
        <v>95.210249545032099</v>
      </c>
      <c r="AN4723">
        <v>1.0000000227370001</v>
      </c>
    </row>
    <row r="4724" spans="1:40" x14ac:dyDescent="0.25">
      <c r="A4724" t="str">
        <f>"20190304155156009"</f>
        <v>20190304155156009</v>
      </c>
      <c r="B4724" t="str">
        <f>"1551685916001199"</f>
        <v>1551685916001199</v>
      </c>
      <c r="C4724" t="s">
        <v>40</v>
      </c>
      <c r="D4724">
        <v>4.8798339999999998</v>
      </c>
      <c r="E4724">
        <v>0.4518567</v>
      </c>
      <c r="F4724" t="s">
        <v>41</v>
      </c>
      <c r="G4724">
        <v>-359.0145</v>
      </c>
      <c r="H4724" s="1">
        <v>-1.190652E-6</v>
      </c>
      <c r="I4724">
        <v>136.34950000000001</v>
      </c>
      <c r="J4724">
        <v>-333.6395</v>
      </c>
      <c r="K4724">
        <v>1.110452</v>
      </c>
      <c r="L4724">
        <v>141.6722</v>
      </c>
      <c r="M4724">
        <v>-0.99993149999999997</v>
      </c>
      <c r="N4724">
        <v>-1.1602070000000001E-2</v>
      </c>
      <c r="O4724">
        <v>1.658091E-3</v>
      </c>
      <c r="P4724">
        <v>-0.97936959999999995</v>
      </c>
      <c r="Q4724">
        <v>0.1820408</v>
      </c>
      <c r="R4724">
        <v>-8.7732489999999996E-2</v>
      </c>
      <c r="S4724">
        <v>-3.0310359999999998</v>
      </c>
      <c r="T4724">
        <v>-0.13144910000000001</v>
      </c>
      <c r="U4724">
        <v>-0.63000489999999998</v>
      </c>
      <c r="V4724">
        <v>-8.9348880000000006E-2</v>
      </c>
      <c r="W4724">
        <v>0.1933928</v>
      </c>
      <c r="X4724">
        <v>0.97704449999999998</v>
      </c>
      <c r="Y4724">
        <v>-0.2048886</v>
      </c>
      <c r="Z4724">
        <v>-5.6477489999999997E-3</v>
      </c>
      <c r="AA4724">
        <v>0.978769</v>
      </c>
      <c r="AB4724">
        <v>22</v>
      </c>
      <c r="AC4724">
        <v>-25.375</v>
      </c>
      <c r="AD4724">
        <v>-1.1104531906520001</v>
      </c>
      <c r="AE4724">
        <v>-5.3226999999999904</v>
      </c>
      <c r="AF4724">
        <v>-5.3549465896572199</v>
      </c>
      <c r="AG4724">
        <v>-1.1104531906520001</v>
      </c>
      <c r="AH4724">
        <v>25.3196932072774</v>
      </c>
      <c r="AI4724">
        <v>92.456949434465699</v>
      </c>
      <c r="AJ4724">
        <v>101.941702852658</v>
      </c>
      <c r="AK4724">
        <v>25.903579354547901</v>
      </c>
      <c r="AL4724">
        <v>78.849149016366795</v>
      </c>
      <c r="AM4724">
        <v>95.225058203909697</v>
      </c>
      <c r="AN4724">
        <v>0.99999997621467196</v>
      </c>
    </row>
    <row r="4725" spans="1:40" x14ac:dyDescent="0.25">
      <c r="A4725" t="str">
        <f>"20190304155156030"</f>
        <v>20190304155156030</v>
      </c>
      <c r="B4725" t="str">
        <f>"1551685916021699"</f>
        <v>1551685916021699</v>
      </c>
      <c r="C4725" t="s">
        <v>40</v>
      </c>
      <c r="D4725">
        <v>4.8553730000000002</v>
      </c>
      <c r="E4725">
        <v>0.45197140000000002</v>
      </c>
      <c r="F4725" t="s">
        <v>41</v>
      </c>
      <c r="G4725">
        <v>-359.44929999999999</v>
      </c>
      <c r="H4725" s="1">
        <v>-1.058896E-6</v>
      </c>
      <c r="I4725">
        <v>136.2885</v>
      </c>
      <c r="J4725">
        <v>-333.85680000000002</v>
      </c>
      <c r="K4725">
        <v>1.110439</v>
      </c>
      <c r="L4725">
        <v>141.67250000000001</v>
      </c>
      <c r="M4725">
        <v>-0.99993209999999999</v>
      </c>
      <c r="N4725">
        <v>-1.153204E-2</v>
      </c>
      <c r="O4725">
        <v>1.6578389999999999E-3</v>
      </c>
      <c r="P4725">
        <v>-0.97940380000000005</v>
      </c>
      <c r="Q4725">
        <v>0.18195900000000001</v>
      </c>
      <c r="R4725">
        <v>-8.7516869999999997E-2</v>
      </c>
      <c r="S4725">
        <v>-3.0307919999999999</v>
      </c>
      <c r="T4725">
        <v>-0.13039819999999999</v>
      </c>
      <c r="U4725">
        <v>-0.6321869</v>
      </c>
      <c r="V4725">
        <v>-8.9133050000000005E-2</v>
      </c>
      <c r="W4725">
        <v>0.19324350000000001</v>
      </c>
      <c r="X4725">
        <v>0.97709380000000001</v>
      </c>
      <c r="Y4725">
        <v>-0.20558219999999999</v>
      </c>
      <c r="Z4725">
        <v>-5.6238410000000001E-3</v>
      </c>
      <c r="AA4725">
        <v>0.97862369999999999</v>
      </c>
      <c r="AB4725">
        <v>22</v>
      </c>
      <c r="AC4725">
        <v>-25.592499999999902</v>
      </c>
      <c r="AD4725">
        <v>-1.1104400588959999</v>
      </c>
      <c r="AE4725">
        <v>-5.3840000000000101</v>
      </c>
      <c r="AF4725">
        <v>-5.4166582966166503</v>
      </c>
      <c r="AG4725">
        <v>-1.1104400588959999</v>
      </c>
      <c r="AH4725">
        <v>25.5374983901701</v>
      </c>
      <c r="AI4725">
        <v>92.435688917616602</v>
      </c>
      <c r="AJ4725">
        <v>101.97530195083699</v>
      </c>
      <c r="AK4725">
        <v>26.1292381874146</v>
      </c>
      <c r="AL4725">
        <v>78.857868267212396</v>
      </c>
      <c r="AM4725">
        <v>95.212244678691803</v>
      </c>
      <c r="AN4725">
        <v>1.00000002244649</v>
      </c>
    </row>
    <row r="4726" spans="1:40" x14ac:dyDescent="0.25">
      <c r="A4726" t="str">
        <f>"20190304155156052"</f>
        <v>20190304155156052</v>
      </c>
      <c r="B4726" t="str">
        <f>"1551685916041215"</f>
        <v>1551685916041215</v>
      </c>
      <c r="C4726" t="s">
        <v>40</v>
      </c>
      <c r="D4726">
        <v>4.8497349999999999</v>
      </c>
      <c r="E4726">
        <v>0.45197609999999999</v>
      </c>
      <c r="F4726" t="s">
        <v>41</v>
      </c>
      <c r="G4726">
        <v>-359.4434</v>
      </c>
      <c r="H4726" s="1">
        <v>-1.0453110000000001E-6</v>
      </c>
      <c r="I4726">
        <v>136.34710000000001</v>
      </c>
      <c r="J4726">
        <v>-334.08249999999998</v>
      </c>
      <c r="K4726">
        <v>1.1104229999999999</v>
      </c>
      <c r="L4726">
        <v>141.6729</v>
      </c>
      <c r="M4726">
        <v>-0.99993310000000002</v>
      </c>
      <c r="N4726">
        <v>-1.1458950000000001E-2</v>
      </c>
      <c r="O4726">
        <v>1.657424E-3</v>
      </c>
      <c r="P4726">
        <v>-0.97939069999999995</v>
      </c>
      <c r="Q4726">
        <v>0.1820581</v>
      </c>
      <c r="R4726">
        <v>-8.7459270000000006E-2</v>
      </c>
      <c r="S4726">
        <v>-3.031158</v>
      </c>
      <c r="T4726">
        <v>-0.13155029999999901</v>
      </c>
      <c r="U4726">
        <v>-0.63087459999999995</v>
      </c>
      <c r="V4726">
        <v>-8.9074780000000006E-2</v>
      </c>
      <c r="W4726">
        <v>0.19327069999999999</v>
      </c>
      <c r="X4726">
        <v>0.97709369999999995</v>
      </c>
      <c r="Y4726">
        <v>-0.20514930000000001</v>
      </c>
      <c r="Z4726">
        <v>-5.6434010000000001E-3</v>
      </c>
      <c r="AA4726">
        <v>0.97871439999999998</v>
      </c>
      <c r="AB4726">
        <v>22</v>
      </c>
      <c r="AC4726">
        <v>-25.360900000000001</v>
      </c>
      <c r="AD4726">
        <v>-1.1104240453109999</v>
      </c>
      <c r="AE4726">
        <v>-5.3257999999999797</v>
      </c>
      <c r="AF4726">
        <v>-5.3579911711114301</v>
      </c>
      <c r="AG4726">
        <v>-1.1104240453109999</v>
      </c>
      <c r="AH4726">
        <v>25.305572853951901</v>
      </c>
      <c r="AI4726">
        <v>92.458135759120594</v>
      </c>
      <c r="AJ4726">
        <v>101.954772589244</v>
      </c>
      <c r="AK4726">
        <v>25.890406107606299</v>
      </c>
      <c r="AL4726">
        <v>78.856279503247094</v>
      </c>
      <c r="AM4726">
        <v>95.208856496704996</v>
      </c>
      <c r="AN4726">
        <v>0.99999998924511402</v>
      </c>
    </row>
    <row r="4727" spans="1:40" x14ac:dyDescent="0.25">
      <c r="A4727" t="str">
        <f>"20190304155156075"</f>
        <v>20190304155156075</v>
      </c>
      <c r="B4727" t="str">
        <f>"1551685916071472"</f>
        <v>1551685916071472</v>
      </c>
      <c r="C4727" t="s">
        <v>40</v>
      </c>
      <c r="D4727">
        <v>4.7590649999999997</v>
      </c>
      <c r="E4727">
        <v>0.4519531</v>
      </c>
      <c r="F4727" t="s">
        <v>41</v>
      </c>
      <c r="G4727">
        <v>-359.98649999999998</v>
      </c>
      <c r="H4727" s="1">
        <v>-4.8694499999999996E-6</v>
      </c>
      <c r="I4727">
        <v>136.28229999999999</v>
      </c>
      <c r="J4727">
        <v>-334.30360000000002</v>
      </c>
      <c r="K4727">
        <v>1.110406</v>
      </c>
      <c r="L4727">
        <v>141.67330000000001</v>
      </c>
      <c r="M4727">
        <v>-0.99993399999999999</v>
      </c>
      <c r="N4727">
        <v>-1.13802E-2</v>
      </c>
      <c r="O4727">
        <v>1.6570389999999999E-3</v>
      </c>
      <c r="P4727">
        <v>-0.97945859999999996</v>
      </c>
      <c r="Q4727">
        <v>0.1817068</v>
      </c>
      <c r="R4727">
        <v>-8.7428720000000001E-2</v>
      </c>
      <c r="S4727">
        <v>-3.0309140000000001</v>
      </c>
      <c r="T4727">
        <v>-0.1299264</v>
      </c>
      <c r="U4727">
        <v>-0.630722</v>
      </c>
      <c r="V4727">
        <v>-8.9044670000000006E-2</v>
      </c>
      <c r="W4727">
        <v>0.19284299999999999</v>
      </c>
      <c r="X4727">
        <v>0.97718099999999997</v>
      </c>
      <c r="Y4727">
        <v>-0.2051229</v>
      </c>
      <c r="Z4727">
        <v>-5.5798169999999999E-3</v>
      </c>
      <c r="AA4727">
        <v>0.97872029999999999</v>
      </c>
      <c r="AB4727">
        <v>22</v>
      </c>
      <c r="AC4727">
        <v>-25.682899999999901</v>
      </c>
      <c r="AD4727">
        <v>-1.1104108694499999</v>
      </c>
      <c r="AE4727">
        <v>-5.3910000000000098</v>
      </c>
      <c r="AF4727">
        <v>-5.4238419901976096</v>
      </c>
      <c r="AG4727">
        <v>-1.1104108694499999</v>
      </c>
      <c r="AH4727">
        <v>25.628046236724799</v>
      </c>
      <c r="AI4727">
        <v>92.427260429065996</v>
      </c>
      <c r="AJ4727">
        <v>101.949579318215</v>
      </c>
      <c r="AK4727">
        <v>26.219226307145799</v>
      </c>
      <c r="AL4727">
        <v>78.881255340250803</v>
      </c>
      <c r="AM4727">
        <v>95.2066427859816</v>
      </c>
      <c r="AN4727">
        <v>1.0000000413326999</v>
      </c>
    </row>
    <row r="4728" spans="1:40" x14ac:dyDescent="0.25">
      <c r="A4728" t="str">
        <f>"20190304155156090"</f>
        <v>20190304155156090</v>
      </c>
      <c r="B4728" t="str">
        <f>"1551685916082208"</f>
        <v>1551685916082208</v>
      </c>
      <c r="C4728" t="s">
        <v>40</v>
      </c>
      <c r="D4728">
        <v>4.847467</v>
      </c>
      <c r="E4728">
        <v>0.45195380000000002</v>
      </c>
      <c r="F4728" t="s">
        <v>41</v>
      </c>
      <c r="G4728">
        <v>-360.35149999999999</v>
      </c>
      <c r="H4728" s="1">
        <v>-4.7193249999999999E-6</v>
      </c>
      <c r="I4728">
        <v>136.2458</v>
      </c>
      <c r="J4728">
        <v>-334.46620000000001</v>
      </c>
      <c r="K4728">
        <v>1.1103970000000001</v>
      </c>
      <c r="L4728">
        <v>141.67359999999999</v>
      </c>
      <c r="M4728">
        <v>-0.99993469999999995</v>
      </c>
      <c r="N4728">
        <v>-1.1316379999999999E-2</v>
      </c>
      <c r="O4728">
        <v>1.656685E-3</v>
      </c>
      <c r="P4728">
        <v>-0.97947810000000002</v>
      </c>
      <c r="Q4728">
        <v>0.1814789</v>
      </c>
      <c r="R4728">
        <v>-8.7682189999999993E-2</v>
      </c>
      <c r="S4728">
        <v>-3.0304869999999999</v>
      </c>
      <c r="T4728">
        <v>-0.1291882</v>
      </c>
      <c r="U4728">
        <v>-0.63143919999999998</v>
      </c>
      <c r="V4728">
        <v>-8.9297290000000001E-2</v>
      </c>
      <c r="W4728">
        <v>0.1925529</v>
      </c>
      <c r="X4728">
        <v>0.9772151</v>
      </c>
      <c r="Y4728">
        <v>-0.20537440000000001</v>
      </c>
      <c r="Z4728">
        <v>-5.555473E-3</v>
      </c>
      <c r="AA4728">
        <v>0.97866770000000003</v>
      </c>
      <c r="AB4728">
        <v>22</v>
      </c>
      <c r="AC4728">
        <v>-25.885299999999901</v>
      </c>
      <c r="AD4728">
        <v>-1.11040171932499</v>
      </c>
      <c r="AE4728">
        <v>-5.4277999999999897</v>
      </c>
      <c r="AF4728">
        <v>-5.4610531465301397</v>
      </c>
      <c r="AG4728">
        <v>-1.11040171932499</v>
      </c>
      <c r="AH4728">
        <v>25.830741147327402</v>
      </c>
      <c r="AI4728">
        <v>92.408323523716803</v>
      </c>
      <c r="AJ4728">
        <v>101.93750598525099</v>
      </c>
      <c r="AK4728">
        <v>26.425050268026698</v>
      </c>
      <c r="AL4728">
        <v>78.898193719255005</v>
      </c>
      <c r="AM4728">
        <v>95.221151326416503</v>
      </c>
      <c r="AN4728">
        <v>0.99999998848388105</v>
      </c>
    </row>
    <row r="4729" spans="1:40" x14ac:dyDescent="0.25">
      <c r="A4729" t="str">
        <f>"20190304155156108"</f>
        <v>20190304155156108</v>
      </c>
      <c r="B4729" t="str">
        <f>"1551685916101731"</f>
        <v>1551685916101731</v>
      </c>
      <c r="C4729" t="s">
        <v>40</v>
      </c>
      <c r="D4729">
        <v>4.8101219999999998</v>
      </c>
      <c r="E4729">
        <v>0.45182489999999997</v>
      </c>
      <c r="F4729" t="s">
        <v>41</v>
      </c>
      <c r="G4729">
        <v>-360.42959999999999</v>
      </c>
      <c r="H4729" s="1">
        <v>-4.6832819999999996E-6</v>
      </c>
      <c r="I4729">
        <v>136.26009999999999</v>
      </c>
      <c r="J4729">
        <v>-334.6438</v>
      </c>
      <c r="K4729">
        <v>1.1103860000000001</v>
      </c>
      <c r="L4729">
        <v>141.6739</v>
      </c>
      <c r="M4729">
        <v>-0.99993549999999998</v>
      </c>
      <c r="N4729">
        <v>-1.124199E-2</v>
      </c>
      <c r="O4729">
        <v>1.6562700000000001E-3</v>
      </c>
      <c r="P4729">
        <v>-0.97940280000000002</v>
      </c>
      <c r="Q4729">
        <v>0.18191499999999999</v>
      </c>
      <c r="R4729">
        <v>-8.7622030000000004E-2</v>
      </c>
      <c r="S4729">
        <v>-3.0303339999999999</v>
      </c>
      <c r="T4729">
        <v>-0.12960139999999901</v>
      </c>
      <c r="U4729">
        <v>-0.63182069999999901</v>
      </c>
      <c r="V4729">
        <v>-8.9236750000000004E-2</v>
      </c>
      <c r="W4729">
        <v>0.19291549999999999</v>
      </c>
      <c r="X4729">
        <v>0.97714909999999999</v>
      </c>
      <c r="Y4729">
        <v>-0.20550070000000001</v>
      </c>
      <c r="Z4729">
        <v>-5.5654830000000004E-3</v>
      </c>
      <c r="AA4729">
        <v>0.97864119999999999</v>
      </c>
      <c r="AB4729">
        <v>22</v>
      </c>
      <c r="AC4729">
        <v>-25.785799999999899</v>
      </c>
      <c r="AD4729">
        <v>-1.1103906832820001</v>
      </c>
      <c r="AE4729">
        <v>-5.4138000000000002</v>
      </c>
      <c r="AF4729">
        <v>-5.4468296444252404</v>
      </c>
      <c r="AG4729">
        <v>-1.1103906832820001</v>
      </c>
      <c r="AH4729">
        <v>25.731097487269398</v>
      </c>
      <c r="AI4729">
        <v>92.417484682382394</v>
      </c>
      <c r="AJ4729">
        <v>101.952090338614</v>
      </c>
      <c r="AK4729">
        <v>26.324708897616901</v>
      </c>
      <c r="AL4729">
        <v>78.877021163263194</v>
      </c>
      <c r="AM4729">
        <v>95.2179816091774</v>
      </c>
      <c r="AN4729">
        <v>0.999999975660811</v>
      </c>
    </row>
    <row r="4730" spans="1:40" x14ac:dyDescent="0.25">
      <c r="A4730" t="str">
        <f>"20190304155156131"</f>
        <v>20190304155156131</v>
      </c>
      <c r="B4730" t="str">
        <f>"1551685916121247"</f>
        <v>1551685916121247</v>
      </c>
      <c r="C4730" t="s">
        <v>40</v>
      </c>
      <c r="D4730">
        <v>4.7386710000000001</v>
      </c>
      <c r="E4730">
        <v>0.45184200000000002</v>
      </c>
      <c r="F4730" t="s">
        <v>41</v>
      </c>
      <c r="G4730">
        <v>-360.93259999999998</v>
      </c>
      <c r="H4730" s="1">
        <v>-4.4806150000000001E-6</v>
      </c>
      <c r="I4730">
        <v>136.18629999999999</v>
      </c>
      <c r="J4730">
        <v>-334.87169999999998</v>
      </c>
      <c r="K4730">
        <v>1.1103700000000001</v>
      </c>
      <c r="L4730">
        <v>141.67420000000001</v>
      </c>
      <c r="M4730">
        <v>-0.99993659999999995</v>
      </c>
      <c r="N4730">
        <v>-1.114365E-2</v>
      </c>
      <c r="O4730">
        <v>1.655985E-3</v>
      </c>
      <c r="P4730">
        <v>-0.97938700000000001</v>
      </c>
      <c r="Q4730">
        <v>0.18208389999999999</v>
      </c>
      <c r="R4730">
        <v>-8.7446380000000004E-2</v>
      </c>
      <c r="S4730">
        <v>-3.0302730000000002</v>
      </c>
      <c r="T4730">
        <v>-0.1279933</v>
      </c>
      <c r="U4730">
        <v>-0.63253780000000004</v>
      </c>
      <c r="V4730">
        <v>-8.9060719999999996E-2</v>
      </c>
      <c r="W4730">
        <v>0.19298850000000001</v>
      </c>
      <c r="X4730">
        <v>0.97715070000000004</v>
      </c>
      <c r="Y4730">
        <v>-0.20573159999999999</v>
      </c>
      <c r="Z4730">
        <v>-5.5067909999999996E-3</v>
      </c>
      <c r="AA4730">
        <v>0.97859300000000005</v>
      </c>
      <c r="AB4730">
        <v>22</v>
      </c>
      <c r="AC4730">
        <v>-26.0609</v>
      </c>
      <c r="AD4730">
        <v>-1.110374480615</v>
      </c>
      <c r="AE4730">
        <v>-5.4879000000000202</v>
      </c>
      <c r="AF4730">
        <v>-5.5214538473254899</v>
      </c>
      <c r="AG4730">
        <v>-1.110374480615</v>
      </c>
      <c r="AH4730">
        <v>26.006569444705601</v>
      </c>
      <c r="AI4730">
        <v>92.391568772491794</v>
      </c>
      <c r="AJ4730">
        <v>101.986481127096</v>
      </c>
      <c r="AK4730">
        <v>26.609416347557101</v>
      </c>
      <c r="AL4730">
        <v>78.872757972611296</v>
      </c>
      <c r="AM4730">
        <v>95.207736697614806</v>
      </c>
      <c r="AN4730">
        <v>0.99999993174482604</v>
      </c>
    </row>
    <row r="4731" spans="1:40" x14ac:dyDescent="0.25">
      <c r="A4731" t="str">
        <f>"20190304155156154"</f>
        <v>20190304155156154</v>
      </c>
      <c r="B4731" t="str">
        <f>"1551685916151504"</f>
        <v>1551685916151504</v>
      </c>
      <c r="C4731" t="s">
        <v>40</v>
      </c>
      <c r="D4731">
        <v>4.8859629999999896</v>
      </c>
      <c r="E4731">
        <v>0.45188620000000002</v>
      </c>
      <c r="F4731" t="s">
        <v>41</v>
      </c>
      <c r="G4731">
        <v>-361.15859999999998</v>
      </c>
      <c r="H4731" s="1">
        <v>-4.3824190000000001E-6</v>
      </c>
      <c r="I4731">
        <v>136.19329999999999</v>
      </c>
      <c r="J4731">
        <v>-335.09879999999998</v>
      </c>
      <c r="K4731">
        <v>1.1103559999999999</v>
      </c>
      <c r="L4731">
        <v>141.6746</v>
      </c>
      <c r="M4731">
        <v>-0.99993759999999998</v>
      </c>
      <c r="N4731">
        <v>-1.1048769999999999E-2</v>
      </c>
      <c r="O4731">
        <v>1.6558549999999999E-3</v>
      </c>
      <c r="P4731">
        <v>-0.97940609999999995</v>
      </c>
      <c r="Q4731">
        <v>0.18196380000000001</v>
      </c>
      <c r="R4731">
        <v>-8.7482089999999998E-2</v>
      </c>
      <c r="S4731">
        <v>-3.0305179999999998</v>
      </c>
      <c r="T4731">
        <v>-0.12801119999999999</v>
      </c>
      <c r="U4731">
        <v>-0.6318665</v>
      </c>
      <c r="V4731">
        <v>-8.9096209999999995E-2</v>
      </c>
      <c r="W4731">
        <v>0.19277569999999999</v>
      </c>
      <c r="X4731">
        <v>0.97718950000000004</v>
      </c>
      <c r="Y4731">
        <v>-0.20550850000000001</v>
      </c>
      <c r="Z4731">
        <v>-5.4915040000000004E-3</v>
      </c>
      <c r="AA4731">
        <v>0.97863990000000001</v>
      </c>
      <c r="AB4731">
        <v>22</v>
      </c>
      <c r="AC4731">
        <v>-26.059799999999999</v>
      </c>
      <c r="AD4731">
        <v>-1.11036038241899</v>
      </c>
      <c r="AE4731">
        <v>-5.4813000000000001</v>
      </c>
      <c r="AF4731">
        <v>-5.5148585589266004</v>
      </c>
      <c r="AG4731">
        <v>-1.11036038241899</v>
      </c>
      <c r="AH4731">
        <v>26.005475883311</v>
      </c>
      <c r="AI4731">
        <v>92.391757579086701</v>
      </c>
      <c r="AJ4731">
        <v>101.973065793871</v>
      </c>
      <c r="AK4731">
        <v>26.606979178803499</v>
      </c>
      <c r="AL4731">
        <v>78.885184190124704</v>
      </c>
      <c r="AM4731">
        <v>95.209594801881096</v>
      </c>
      <c r="AN4731">
        <v>0.99999996202855101</v>
      </c>
    </row>
    <row r="4732" spans="1:40" x14ac:dyDescent="0.25">
      <c r="A4732" t="str">
        <f>"20190304155156175"</f>
        <v>20190304155156175</v>
      </c>
      <c r="B4732" t="str">
        <f>"1551685916172000"</f>
        <v>1551685916172000</v>
      </c>
      <c r="C4732" t="s">
        <v>40</v>
      </c>
      <c r="D4732">
        <v>5.0868869999999999</v>
      </c>
      <c r="E4732">
        <v>0.45328020000000002</v>
      </c>
      <c r="F4732" t="s">
        <v>41</v>
      </c>
      <c r="G4732">
        <v>-361.58049999999997</v>
      </c>
      <c r="H4732" s="1">
        <v>-4.2083419999999999E-6</v>
      </c>
      <c r="I4732">
        <v>136.1542</v>
      </c>
      <c r="J4732">
        <v>-335.31849999999997</v>
      </c>
      <c r="K4732">
        <v>1.110344</v>
      </c>
      <c r="L4732">
        <v>141.67500000000001</v>
      </c>
      <c r="M4732">
        <v>-0.99993869999999896</v>
      </c>
      <c r="N4732">
        <v>-1.095966E-2</v>
      </c>
      <c r="O4732">
        <v>1.6553309999999999E-3</v>
      </c>
      <c r="P4732">
        <v>-0.97936190000000001</v>
      </c>
      <c r="Q4732">
        <v>0.18222479999999999</v>
      </c>
      <c r="R4732">
        <v>-8.7433960000000005E-2</v>
      </c>
      <c r="S4732">
        <v>-3.030243</v>
      </c>
      <c r="T4732">
        <v>-0.12705619999999901</v>
      </c>
      <c r="U4732">
        <v>-0.63168329999999995</v>
      </c>
      <c r="V4732">
        <v>-8.9047899999999999E-2</v>
      </c>
      <c r="W4732">
        <v>0.19294919999999999</v>
      </c>
      <c r="X4732">
        <v>0.97715969999999996</v>
      </c>
      <c r="Y4732">
        <v>-0.2054724</v>
      </c>
      <c r="Z4732">
        <v>-5.4493099999999997E-3</v>
      </c>
      <c r="AA4732">
        <v>0.97864779999999996</v>
      </c>
      <c r="AB4732">
        <v>23</v>
      </c>
      <c r="AC4732">
        <v>-26.261999999999901</v>
      </c>
      <c r="AD4732">
        <v>-1.110348208342</v>
      </c>
      <c r="AE4732">
        <v>-5.5208000000000004</v>
      </c>
      <c r="AF4732">
        <v>-5.5547580689520304</v>
      </c>
      <c r="AG4732">
        <v>-1.110348208342</v>
      </c>
      <c r="AH4732">
        <v>26.207958914209001</v>
      </c>
      <c r="AI4732">
        <v>92.373329841039606</v>
      </c>
      <c r="AJ4732">
        <v>101.966705391993</v>
      </c>
      <c r="AK4732">
        <v>26.8131557411138</v>
      </c>
      <c r="AL4732">
        <v>78.875053606919494</v>
      </c>
      <c r="AM4732">
        <v>95.206943487219505</v>
      </c>
      <c r="AN4732">
        <v>1.00000000078957</v>
      </c>
    </row>
    <row r="4733" spans="1:40" x14ac:dyDescent="0.25">
      <c r="A4733" t="str">
        <f>"20190304155156198"</f>
        <v>20190304155156198</v>
      </c>
      <c r="B4733" t="str">
        <f>"1551685916191523"</f>
        <v>1551685916191523</v>
      </c>
      <c r="C4733" t="s">
        <v>40</v>
      </c>
      <c r="D4733">
        <v>4.926685</v>
      </c>
      <c r="E4733">
        <v>0.52937599999999996</v>
      </c>
      <c r="F4733" t="s">
        <v>41</v>
      </c>
      <c r="G4733">
        <v>-362.4982</v>
      </c>
      <c r="H4733" s="1">
        <v>-3.8221829999999998E-6</v>
      </c>
      <c r="I4733">
        <v>136.11170000000001</v>
      </c>
      <c r="J4733">
        <v>-335.54270000000002</v>
      </c>
      <c r="K4733">
        <v>1.110328</v>
      </c>
      <c r="L4733">
        <v>141.6754</v>
      </c>
      <c r="M4733">
        <v>-0.99993960000000004</v>
      </c>
      <c r="N4733">
        <v>-1.0873280000000001E-2</v>
      </c>
      <c r="O4733">
        <v>1.6552649999999999E-3</v>
      </c>
      <c r="P4733">
        <v>-0.97933570000000003</v>
      </c>
      <c r="Q4733">
        <v>0.18245529999999999</v>
      </c>
      <c r="R4733">
        <v>-8.7245519999999993E-2</v>
      </c>
      <c r="S4733">
        <v>-3.030853</v>
      </c>
      <c r="T4733">
        <v>-0.123817</v>
      </c>
      <c r="U4733">
        <v>-0.6203613</v>
      </c>
      <c r="V4733">
        <v>-8.8858930000000003E-2</v>
      </c>
      <c r="W4733">
        <v>0.19309480000000001</v>
      </c>
      <c r="X4733">
        <v>0.97714820000000002</v>
      </c>
      <c r="Y4733">
        <v>-0.20193929999999999</v>
      </c>
      <c r="Z4733">
        <v>-5.2396839999999997E-3</v>
      </c>
      <c r="AA4733">
        <v>0.97938400000000003</v>
      </c>
      <c r="AB4733">
        <v>23</v>
      </c>
      <c r="AC4733">
        <v>-26.955499999999901</v>
      </c>
      <c r="AD4733">
        <v>-1.1103318221830001</v>
      </c>
      <c r="AE4733">
        <v>-5.5636999999999803</v>
      </c>
      <c r="AF4733">
        <v>-5.5992014122196299</v>
      </c>
      <c r="AG4733">
        <v>-1.1103318221830001</v>
      </c>
      <c r="AH4733">
        <v>26.902472263090502</v>
      </c>
      <c r="AI4733">
        <v>92.313868639184193</v>
      </c>
      <c r="AJ4733">
        <v>101.757102252983</v>
      </c>
      <c r="AK4733">
        <v>27.501398274929699</v>
      </c>
      <c r="AL4733">
        <v>78.866552098610796</v>
      </c>
      <c r="AM4733">
        <v>95.196015110269002</v>
      </c>
      <c r="AN4733">
        <v>1.00000005799551</v>
      </c>
    </row>
    <row r="4734" spans="1:40" x14ac:dyDescent="0.25">
      <c r="A4734" t="str">
        <f>"20190304155156219"</f>
        <v>20190304155156219</v>
      </c>
      <c r="B4734" t="str">
        <f>"1551685916212015"</f>
        <v>1551685916212015</v>
      </c>
      <c r="C4734" t="s">
        <v>40</v>
      </c>
      <c r="D4734">
        <v>4.7392599999999998</v>
      </c>
      <c r="E4734">
        <v>0.54098299999999999</v>
      </c>
      <c r="F4734" t="s">
        <v>53</v>
      </c>
      <c r="G4734">
        <v>0</v>
      </c>
      <c r="H4734">
        <v>0</v>
      </c>
      <c r="I4734">
        <v>0</v>
      </c>
      <c r="J4734">
        <v>-335.76319999999998</v>
      </c>
      <c r="K4734">
        <v>1.11032</v>
      </c>
      <c r="L4734">
        <v>141.67570000000001</v>
      </c>
      <c r="M4734">
        <v>-0.99994039999999995</v>
      </c>
      <c r="N4734">
        <v>-1.079304E-2</v>
      </c>
      <c r="O4734">
        <v>1.655044E-3</v>
      </c>
      <c r="P4734">
        <v>-0.97937609999999997</v>
      </c>
      <c r="Q4734">
        <v>0.1824009</v>
      </c>
      <c r="R4734">
        <v>-8.6904330000000002E-2</v>
      </c>
      <c r="S4734">
        <v>-3.0623779999999998</v>
      </c>
      <c r="T4734">
        <v>-3.4911629999999998E-3</v>
      </c>
      <c r="U4734">
        <v>-1.7791749999999999E-2</v>
      </c>
      <c r="V4734">
        <v>-8.8517879999999993E-2</v>
      </c>
      <c r="W4734">
        <v>0.19296279999999999</v>
      </c>
      <c r="X4734">
        <v>0.9772052</v>
      </c>
      <c r="Y4734">
        <v>-7.46466199999999E-3</v>
      </c>
      <c r="Z4734" s="1">
        <v>-2.8563119999999999E-5</v>
      </c>
      <c r="AA4734">
        <v>0.99997219999999998</v>
      </c>
      <c r="AB4734">
        <v>23</v>
      </c>
      <c r="AC4734">
        <v>-3.0623779999999998</v>
      </c>
      <c r="AD4734">
        <v>-3.4911629999999998E-3</v>
      </c>
      <c r="AE4734">
        <v>-1.7791749999999999E-2</v>
      </c>
      <c r="AF4734">
        <v>-2.2860361405332302E-2</v>
      </c>
      <c r="AG4734">
        <v>-3.4911629999999998E-3</v>
      </c>
      <c r="AH4734">
        <v>3.0623403776748601</v>
      </c>
      <c r="AI4734">
        <v>90.065317117296999</v>
      </c>
      <c r="AJ4734">
        <v>90.427704871391896</v>
      </c>
      <c r="AK4734">
        <v>3.0624276927105498</v>
      </c>
      <c r="AL4734">
        <v>78.874259790342094</v>
      </c>
      <c r="AM4734">
        <v>95.175880508286497</v>
      </c>
      <c r="AN4734">
        <v>1.00000003008528</v>
      </c>
    </row>
    <row r="4735" spans="1:40" x14ac:dyDescent="0.25">
      <c r="A4735" t="str">
        <f>"20190304155156236"</f>
        <v>20190304155156236</v>
      </c>
      <c r="B4735" t="str">
        <f>"1551685916231537"</f>
        <v>1551685916231537</v>
      </c>
      <c r="C4735" t="s">
        <v>40</v>
      </c>
      <c r="D4735">
        <v>4.7026700000000003</v>
      </c>
      <c r="E4735">
        <v>0.54489430000000005</v>
      </c>
      <c r="F4735" t="s">
        <v>77</v>
      </c>
      <c r="G4735">
        <v>-499.9769</v>
      </c>
      <c r="H4735">
        <v>6.91388E-2</v>
      </c>
      <c r="I4735">
        <v>145.6942</v>
      </c>
      <c r="J4735">
        <v>-335.93329999999997</v>
      </c>
      <c r="K4735">
        <v>1.110317</v>
      </c>
      <c r="L4735">
        <v>141.67599999999999</v>
      </c>
      <c r="M4735">
        <v>-0.99994110000000003</v>
      </c>
      <c r="N4735">
        <v>-1.0733120000000001E-2</v>
      </c>
      <c r="O4735">
        <v>1.6548890000000001E-3</v>
      </c>
      <c r="P4735">
        <v>-0.97943290000000005</v>
      </c>
      <c r="Q4735">
        <v>0.18208460000000001</v>
      </c>
      <c r="R4735">
        <v>-8.6927850000000001E-2</v>
      </c>
      <c r="S4735">
        <v>-3.0734859999999999</v>
      </c>
      <c r="T4735">
        <v>-1.948714E-2</v>
      </c>
      <c r="U4735">
        <v>7.5210570000000004E-2</v>
      </c>
      <c r="V4735">
        <v>-8.8541750000000002E-2</v>
      </c>
      <c r="W4735">
        <v>0.1925885</v>
      </c>
      <c r="X4735">
        <v>0.9772769</v>
      </c>
      <c r="Y4735">
        <v>2.2807709999999998E-2</v>
      </c>
      <c r="Z4735">
        <v>2.019868E-4</v>
      </c>
      <c r="AA4735">
        <v>0.99973979999999996</v>
      </c>
      <c r="AB4735">
        <v>23</v>
      </c>
      <c r="AC4735">
        <v>-164.0436</v>
      </c>
      <c r="AD4735">
        <v>-1.0411781999999901</v>
      </c>
      <c r="AE4735">
        <v>4.01819999999997</v>
      </c>
      <c r="AF4735">
        <v>3.7465540936854902</v>
      </c>
      <c r="AG4735">
        <v>-1.0411781999999901</v>
      </c>
      <c r="AH4735">
        <v>164.04342105509301</v>
      </c>
      <c r="AI4735">
        <v>90.363554743669397</v>
      </c>
      <c r="AJ4735">
        <v>88.6916608767051</v>
      </c>
      <c r="AK4735">
        <v>164.08950213551</v>
      </c>
      <c r="AL4735">
        <v>78.896115838026205</v>
      </c>
      <c r="AM4735">
        <v>95.176890890503799</v>
      </c>
      <c r="AN4735">
        <v>1.0000000555494499</v>
      </c>
    </row>
    <row r="4736" spans="1:40" x14ac:dyDescent="0.25">
      <c r="A4736" t="str">
        <f>"20190304155156253"</f>
        <v>20190304155156253</v>
      </c>
      <c r="B4736" t="str">
        <f>"1551685916241296"</f>
        <v>1551685916241296</v>
      </c>
      <c r="C4736" t="s">
        <v>40</v>
      </c>
      <c r="D4736">
        <v>4.7289440000000003</v>
      </c>
      <c r="E4736">
        <v>0.54572869999999996</v>
      </c>
      <c r="F4736" t="s">
        <v>77</v>
      </c>
      <c r="G4736">
        <v>-497.89490000000001</v>
      </c>
      <c r="H4736" s="1">
        <v>-7.1456370000000002E-6</v>
      </c>
      <c r="I4736">
        <v>147.27770000000001</v>
      </c>
      <c r="J4736">
        <v>-336.1062</v>
      </c>
      <c r="K4736">
        <v>1.110309</v>
      </c>
      <c r="L4736">
        <v>141.6763</v>
      </c>
      <c r="M4736">
        <v>-0.99994170000000004</v>
      </c>
      <c r="N4736">
        <v>-1.067479E-2</v>
      </c>
      <c r="O4736">
        <v>1.654665E-3</v>
      </c>
      <c r="P4736">
        <v>-0.97947550000000005</v>
      </c>
      <c r="Q4736">
        <v>0.1818835</v>
      </c>
      <c r="R4736">
        <v>-8.6870050000000004E-2</v>
      </c>
      <c r="S4736">
        <v>-3.0763240000000001</v>
      </c>
      <c r="T4736">
        <v>-2.1089670000000001E-2</v>
      </c>
      <c r="U4736">
        <v>0.10639949999999999</v>
      </c>
      <c r="V4736">
        <v>-8.8483389999999995E-2</v>
      </c>
      <c r="W4736">
        <v>0.19233069999999999</v>
      </c>
      <c r="X4736">
        <v>0.97733289999999995</v>
      </c>
      <c r="Y4736">
        <v>3.2910130000000003E-2</v>
      </c>
      <c r="Z4736">
        <v>2.9480830000000002E-4</v>
      </c>
      <c r="AA4736">
        <v>0.99945830000000002</v>
      </c>
      <c r="AB4736">
        <v>23</v>
      </c>
      <c r="AC4736">
        <v>-161.78870000000001</v>
      </c>
      <c r="AD4736">
        <v>-1.1103161456370001</v>
      </c>
      <c r="AE4736">
        <v>5.6014000000000097</v>
      </c>
      <c r="AF4736">
        <v>5.3334201006282003</v>
      </c>
      <c r="AG4736">
        <v>-1.1103161456370001</v>
      </c>
      <c r="AH4736">
        <v>161.790136688735</v>
      </c>
      <c r="AI4736">
        <v>90.392983748281395</v>
      </c>
      <c r="AJ4736">
        <v>88.111925430667796</v>
      </c>
      <c r="AK4736">
        <v>161.88182881865501</v>
      </c>
      <c r="AL4736">
        <v>78.911167501907101</v>
      </c>
      <c r="AM4736">
        <v>95.173202372939897</v>
      </c>
      <c r="AN4736">
        <v>1.0000000029453899</v>
      </c>
    </row>
    <row r="4737" spans="1:40" x14ac:dyDescent="0.25">
      <c r="A4737" t="str">
        <f>"20190304155156275"</f>
        <v>20190304155156275</v>
      </c>
      <c r="B4737" t="str">
        <f>"1551685916271552"</f>
        <v>1551685916271552</v>
      </c>
      <c r="C4737" t="s">
        <v>40</v>
      </c>
      <c r="D4737">
        <v>5.1860429999999997</v>
      </c>
      <c r="E4737">
        <v>0.54463159999999999</v>
      </c>
      <c r="F4737" t="s">
        <v>77</v>
      </c>
      <c r="G4737">
        <v>-499.95780000000002</v>
      </c>
      <c r="H4737">
        <v>9.4206949999999998E-3</v>
      </c>
      <c r="I4737">
        <v>147.70169999999999</v>
      </c>
      <c r="J4737">
        <v>-336.3297</v>
      </c>
      <c r="K4737">
        <v>1.1102970000000001</v>
      </c>
      <c r="L4737">
        <v>141.67670000000001</v>
      </c>
      <c r="M4737">
        <v>-0.99994240000000001</v>
      </c>
      <c r="N4737">
        <v>-1.060612E-2</v>
      </c>
      <c r="O4737">
        <v>1.6543739999999999E-3</v>
      </c>
      <c r="P4737">
        <v>-0.97958480000000003</v>
      </c>
      <c r="Q4737">
        <v>0.18140719999999999</v>
      </c>
      <c r="R4737">
        <v>-8.6632780000000006E-2</v>
      </c>
      <c r="S4737">
        <v>-3.0767820000000001</v>
      </c>
      <c r="T4737">
        <v>-2.0672320000000001E-2</v>
      </c>
      <c r="U4737">
        <v>0.11314390000000001</v>
      </c>
      <c r="V4737">
        <v>-8.8245950000000004E-2</v>
      </c>
      <c r="W4737">
        <v>0.19178880000000001</v>
      </c>
      <c r="X4737">
        <v>0.97746089999999997</v>
      </c>
      <c r="Y4737">
        <v>3.5093190000000003E-2</v>
      </c>
      <c r="Z4737">
        <v>3.1045569999999998E-4</v>
      </c>
      <c r="AA4737">
        <v>0.99938400000000005</v>
      </c>
      <c r="AB4737">
        <v>23</v>
      </c>
      <c r="AC4737">
        <v>-163.62809999999999</v>
      </c>
      <c r="AD4737">
        <v>-1.1008763050000001</v>
      </c>
      <c r="AE4737">
        <v>6.0249999999999702</v>
      </c>
      <c r="AF4737">
        <v>5.75401435480003</v>
      </c>
      <c r="AG4737">
        <v>-1.1008763050000001</v>
      </c>
      <c r="AH4737">
        <v>163.63044753491801</v>
      </c>
      <c r="AI4737">
        <v>90.385231813599702</v>
      </c>
      <c r="AJ4737">
        <v>87.986041387990994</v>
      </c>
      <c r="AK4737">
        <v>163.73528627119899</v>
      </c>
      <c r="AL4737">
        <v>78.942805615435503</v>
      </c>
      <c r="AM4737">
        <v>95.158723423783698</v>
      </c>
      <c r="AN4737">
        <v>1.00000005126282</v>
      </c>
    </row>
    <row r="4738" spans="1:40" x14ac:dyDescent="0.25">
      <c r="A4738" t="str">
        <f>"20190304155156298"</f>
        <v>20190304155156298</v>
      </c>
      <c r="B4738" t="str">
        <f>"1551685916292051"</f>
        <v>1551685916292051</v>
      </c>
      <c r="C4738" t="s">
        <v>40</v>
      </c>
      <c r="D4738">
        <v>4.7331139999999996</v>
      </c>
      <c r="E4738">
        <v>0.55225259999999998</v>
      </c>
      <c r="F4738" t="s">
        <v>51</v>
      </c>
      <c r="G4738">
        <v>-337.19170000000003</v>
      </c>
      <c r="H4738">
        <v>1.051587</v>
      </c>
      <c r="I4738">
        <v>141.7071</v>
      </c>
      <c r="J4738">
        <v>-336.56560000000002</v>
      </c>
      <c r="K4738">
        <v>1.110287</v>
      </c>
      <c r="L4738">
        <v>141.6771</v>
      </c>
      <c r="M4738">
        <v>-0.99994309999999997</v>
      </c>
      <c r="N4738">
        <v>-1.0542370000000001E-2</v>
      </c>
      <c r="O4738">
        <v>1.654174E-3</v>
      </c>
      <c r="P4738">
        <v>-0.97976439999999998</v>
      </c>
      <c r="Q4738">
        <v>0.18051990000000001</v>
      </c>
      <c r="R4738">
        <v>-8.6454999999999907E-2</v>
      </c>
      <c r="S4738">
        <v>-3.1114199999999999</v>
      </c>
      <c r="T4738">
        <v>-0.2119557</v>
      </c>
      <c r="U4738">
        <v>0.1085663</v>
      </c>
      <c r="V4738">
        <v>-8.8068149999999998E-2</v>
      </c>
      <c r="W4738">
        <v>0.19084100000000001</v>
      </c>
      <c r="X4738">
        <v>0.97766240000000004</v>
      </c>
      <c r="Y4738">
        <v>3.3132450000000001E-2</v>
      </c>
      <c r="Z4738">
        <v>1.2067099999999999E-3</v>
      </c>
      <c r="AA4738">
        <v>0.99945030000000001</v>
      </c>
      <c r="AB4738">
        <v>23</v>
      </c>
      <c r="AC4738">
        <v>-0.62610000000000798</v>
      </c>
      <c r="AD4738">
        <v>-5.8699999999999898E-2</v>
      </c>
      <c r="AE4738">
        <v>3.0000000000001099E-2</v>
      </c>
      <c r="AF4738">
        <v>2.8712419095750799E-2</v>
      </c>
      <c r="AG4738">
        <v>-5.8699999999999898E-2</v>
      </c>
      <c r="AH4738">
        <v>0.62070527075534598</v>
      </c>
      <c r="AI4738">
        <v>95.396649166289393</v>
      </c>
      <c r="AJ4738">
        <v>87.351515071284595</v>
      </c>
      <c r="AK4738">
        <v>0.62413550303904097</v>
      </c>
      <c r="AL4738">
        <v>78.998132247519194</v>
      </c>
      <c r="AM4738">
        <v>95.147330019621805</v>
      </c>
      <c r="AN4738">
        <v>1.0000000273495899</v>
      </c>
    </row>
    <row r="4739" spans="1:40" x14ac:dyDescent="0.25">
      <c r="A4739" t="str">
        <f>"20190304155156320"</f>
        <v>20190304155156320</v>
      </c>
      <c r="B4739" t="str">
        <f>"1551685916311571"</f>
        <v>1551685916311571</v>
      </c>
      <c r="C4739" t="s">
        <v>40</v>
      </c>
      <c r="D4739">
        <v>4.754931</v>
      </c>
      <c r="E4739">
        <v>0.54705909999999902</v>
      </c>
      <c r="F4739" t="s">
        <v>41</v>
      </c>
      <c r="G4739">
        <v>-457.70839999999998</v>
      </c>
      <c r="H4739" s="1">
        <v>-2.16233E-6</v>
      </c>
      <c r="I4739">
        <v>148.2011</v>
      </c>
      <c r="J4739">
        <v>-336.78539999999998</v>
      </c>
      <c r="K4739">
        <v>1.1102780000000001</v>
      </c>
      <c r="L4739">
        <v>141.67740000000001</v>
      </c>
      <c r="M4739">
        <v>-0.99994369999999999</v>
      </c>
      <c r="N4739">
        <v>-1.0487E-2</v>
      </c>
      <c r="O4739">
        <v>1.6539879999999999E-3</v>
      </c>
      <c r="P4739">
        <v>-0.97991850000000003</v>
      </c>
      <c r="Q4739">
        <v>0.17975360000000001</v>
      </c>
      <c r="R4739">
        <v>-8.6306010000000002E-2</v>
      </c>
      <c r="S4739">
        <v>-3.0817869999999998</v>
      </c>
      <c r="T4739">
        <v>-2.8244970000000001E-2</v>
      </c>
      <c r="U4739">
        <v>0.165969799999999</v>
      </c>
      <c r="V4739">
        <v>-8.7919670000000005E-2</v>
      </c>
      <c r="W4739">
        <v>0.19002230000000001</v>
      </c>
      <c r="X4739">
        <v>0.97783520000000002</v>
      </c>
      <c r="Y4739">
        <v>5.2120689999999997E-2</v>
      </c>
      <c r="Z4739">
        <v>5.1436690000000002E-4</v>
      </c>
      <c r="AA4739">
        <v>0.99864070000000005</v>
      </c>
      <c r="AB4739">
        <v>23</v>
      </c>
      <c r="AC4739">
        <v>-120.92299999999901</v>
      </c>
      <c r="AD4739">
        <v>-1.11028016233</v>
      </c>
      <c r="AE4739">
        <v>6.5236999999999901</v>
      </c>
      <c r="AF4739">
        <v>6.3231433791709399</v>
      </c>
      <c r="AG4739">
        <v>-1.11028016233</v>
      </c>
      <c r="AH4739">
        <v>120.923460565965</v>
      </c>
      <c r="AI4739">
        <v>90.525338876822602</v>
      </c>
      <c r="AJ4739">
        <v>87.006703528556997</v>
      </c>
      <c r="AK4739">
        <v>121.093757805599</v>
      </c>
      <c r="AL4739">
        <v>79.045914513853205</v>
      </c>
      <c r="AM4739">
        <v>95.137795057877995</v>
      </c>
      <c r="AN4739">
        <v>1.0000000106146101</v>
      </c>
    </row>
    <row r="4740" spans="1:40" x14ac:dyDescent="0.25">
      <c r="A4740" t="str">
        <f>"20190304155156344"</f>
        <v>20190304155156344</v>
      </c>
      <c r="B4740" t="str">
        <f>"1551685916341824"</f>
        <v>1551685916341824</v>
      </c>
      <c r="C4740" t="s">
        <v>40</v>
      </c>
      <c r="D4740">
        <v>3.9241190000000001</v>
      </c>
      <c r="E4740">
        <v>0.54388479999999995</v>
      </c>
      <c r="F4740" t="s">
        <v>41</v>
      </c>
      <c r="G4740">
        <v>-396.68720000000002</v>
      </c>
      <c r="H4740" s="1">
        <v>-2.6010819999999999E-6</v>
      </c>
      <c r="I4740">
        <v>144.11699999999999</v>
      </c>
      <c r="J4740">
        <v>-337.02839999999998</v>
      </c>
      <c r="K4740">
        <v>1.110269</v>
      </c>
      <c r="L4740">
        <v>141.67779999999999</v>
      </c>
      <c r="M4740">
        <v>-0.99994419999999995</v>
      </c>
      <c r="N4740">
        <v>-1.0426670000000001E-2</v>
      </c>
      <c r="O4740">
        <v>1.6537660000000001E-3</v>
      </c>
      <c r="P4740">
        <v>-0.98013749999999999</v>
      </c>
      <c r="Q4740">
        <v>0.17880480000000001</v>
      </c>
      <c r="R4740">
        <v>-8.5785130000000001E-2</v>
      </c>
      <c r="S4740">
        <v>-3.0829770000000001</v>
      </c>
      <c r="T4740">
        <v>-5.7143090000000001E-2</v>
      </c>
      <c r="U4740">
        <v>0.1255646</v>
      </c>
      <c r="V4740">
        <v>-8.7398859999999995E-2</v>
      </c>
      <c r="W4740">
        <v>0.18901660000000001</v>
      </c>
      <c r="X4740">
        <v>0.97807679999999997</v>
      </c>
      <c r="Y4740">
        <v>3.9031650000000001E-2</v>
      </c>
      <c r="Z4740">
        <v>5.51747E-4</v>
      </c>
      <c r="AA4740">
        <v>0.99923779999999995</v>
      </c>
      <c r="AB4740">
        <v>23</v>
      </c>
      <c r="AC4740">
        <v>-59.658799999999999</v>
      </c>
      <c r="AD4740">
        <v>-1.110271601082</v>
      </c>
      <c r="AE4740">
        <v>2.43920000000002</v>
      </c>
      <c r="AF4740">
        <v>2.3397205992439201</v>
      </c>
      <c r="AG4740">
        <v>-1.110271601082</v>
      </c>
      <c r="AH4740">
        <v>59.642130190306503</v>
      </c>
      <c r="AI4740">
        <v>91.065650310052206</v>
      </c>
      <c r="AJ4740">
        <v>87.753477106393404</v>
      </c>
      <c r="AK4740">
        <v>59.698330706546301</v>
      </c>
      <c r="AL4740">
        <v>79.104600676212996</v>
      </c>
      <c r="AM4740">
        <v>95.106266773436502</v>
      </c>
      <c r="AN4740">
        <v>1.00000003125154</v>
      </c>
    </row>
    <row r="4741" spans="1:40" x14ac:dyDescent="0.25">
      <c r="A4741" t="str">
        <f>"20190304155156365"</f>
        <v>20190304155156365</v>
      </c>
      <c r="B4741" t="str">
        <f>"1551685916361343"</f>
        <v>1551685916361343</v>
      </c>
      <c r="C4741" t="s">
        <v>40</v>
      </c>
      <c r="D4741">
        <v>4.142436</v>
      </c>
      <c r="E4741">
        <v>0.54388479999999995</v>
      </c>
      <c r="F4741" t="s">
        <v>41</v>
      </c>
      <c r="G4741">
        <v>-359.44569999999999</v>
      </c>
      <c r="H4741" s="1">
        <v>-9.6754869999999989E-7</v>
      </c>
      <c r="I4741">
        <v>142.4254</v>
      </c>
      <c r="J4741">
        <v>-337.24349999999998</v>
      </c>
      <c r="K4741">
        <v>1.1102650000000001</v>
      </c>
      <c r="L4741">
        <v>141.6782</v>
      </c>
      <c r="M4741">
        <v>-0.99994490000000003</v>
      </c>
      <c r="N4741">
        <v>-1.037707E-2</v>
      </c>
      <c r="O4741">
        <v>1.653547E-3</v>
      </c>
      <c r="P4741">
        <v>-0.98021979999999997</v>
      </c>
      <c r="Q4741">
        <v>0.17861740000000001</v>
      </c>
      <c r="R4741">
        <v>-8.5237649999999998E-2</v>
      </c>
      <c r="S4741">
        <v>-3.0978699999999999</v>
      </c>
      <c r="T4741">
        <v>-0.15342939999999999</v>
      </c>
      <c r="U4741">
        <v>0.1033173</v>
      </c>
      <c r="V4741">
        <v>-8.6851109999999995E-2</v>
      </c>
      <c r="W4741">
        <v>0.18878149999999999</v>
      </c>
      <c r="X4741">
        <v>0.97817089999999995</v>
      </c>
      <c r="Y4741">
        <v>3.1634170000000003E-2</v>
      </c>
      <c r="Z4741">
        <v>8.8231259999999999E-4</v>
      </c>
      <c r="AA4741">
        <v>0.99949909999999997</v>
      </c>
      <c r="AB4741">
        <v>23</v>
      </c>
      <c r="AC4741">
        <v>-22.202200000000001</v>
      </c>
      <c r="AD4741">
        <v>-1.1102659675486899</v>
      </c>
      <c r="AE4741">
        <v>0.74719999999999198</v>
      </c>
      <c r="AF4741">
        <v>0.70871434569640801</v>
      </c>
      <c r="AG4741">
        <v>-1.1102659675486899</v>
      </c>
      <c r="AH4741">
        <v>22.148082135127101</v>
      </c>
      <c r="AI4741">
        <v>92.868324528424495</v>
      </c>
      <c r="AJ4741">
        <v>88.167223247523197</v>
      </c>
      <c r="AK4741">
        <v>22.1872149853655</v>
      </c>
      <c r="AL4741">
        <v>79.118316863959393</v>
      </c>
      <c r="AM4741">
        <v>95.073946548044304</v>
      </c>
      <c r="AN4741">
        <v>0.99999993982864399</v>
      </c>
    </row>
    <row r="4742" spans="1:40" x14ac:dyDescent="0.25">
      <c r="A4742" t="str">
        <f>"20190304155156388"</f>
        <v>20190304155156388</v>
      </c>
      <c r="B4742" t="str">
        <f>"1551685916381840"</f>
        <v>1551685916381840</v>
      </c>
      <c r="C4742" t="s">
        <v>40</v>
      </c>
      <c r="D4742">
        <v>4.9224439999999996</v>
      </c>
      <c r="E4742">
        <v>0.65464290000000003</v>
      </c>
      <c r="F4742" t="s">
        <v>41</v>
      </c>
      <c r="G4742">
        <v>-359.54289999999997</v>
      </c>
      <c r="H4742" s="1">
        <v>-9.2716560000000004E-7</v>
      </c>
      <c r="I4742">
        <v>142.43029999999999</v>
      </c>
      <c r="J4742">
        <v>-337.47899999999998</v>
      </c>
      <c r="K4742">
        <v>1.11026</v>
      </c>
      <c r="L4742">
        <v>141.67859999999999</v>
      </c>
      <c r="M4742">
        <v>-0.99994530000000004</v>
      </c>
      <c r="N4742">
        <v>-1.032945E-2</v>
      </c>
      <c r="O4742">
        <v>1.653257E-3</v>
      </c>
      <c r="P4742">
        <v>-0.98034860000000001</v>
      </c>
      <c r="Q4742">
        <v>0.17829300000000001</v>
      </c>
      <c r="R4742">
        <v>-8.4429989999999996E-2</v>
      </c>
      <c r="S4742">
        <v>-3.0977480000000002</v>
      </c>
      <c r="T4742">
        <v>-0.15423410000000001</v>
      </c>
      <c r="U4742">
        <v>0.10449219999999999</v>
      </c>
      <c r="V4742">
        <v>-8.6043389999999997E-2</v>
      </c>
      <c r="W4742">
        <v>0.18841160000000001</v>
      </c>
      <c r="X4742">
        <v>0.97831369999999895</v>
      </c>
      <c r="Y4742">
        <v>3.2013479999999997E-2</v>
      </c>
      <c r="Z4742">
        <v>8.9658269999999996E-4</v>
      </c>
      <c r="AA4742">
        <v>0.99948700000000001</v>
      </c>
      <c r="AB4742">
        <v>23</v>
      </c>
      <c r="AC4742">
        <v>-22.063899999999901</v>
      </c>
      <c r="AD4742">
        <v>-1.1102609271656001</v>
      </c>
      <c r="AE4742">
        <v>0.75169999999999904</v>
      </c>
      <c r="AF4742">
        <v>0.71341536567198105</v>
      </c>
      <c r="AG4742">
        <v>-1.1102609271656001</v>
      </c>
      <c r="AH4742">
        <v>22.0094465529884</v>
      </c>
      <c r="AI4742">
        <v>92.886309829828093</v>
      </c>
      <c r="AJ4742">
        <v>88.143461591333093</v>
      </c>
      <c r="AK4742">
        <v>22.048976810256299</v>
      </c>
      <c r="AL4742">
        <v>79.139899017354296</v>
      </c>
      <c r="AM4742">
        <v>95.026271481203594</v>
      </c>
      <c r="AN4742">
        <v>1.00000004579246</v>
      </c>
    </row>
    <row r="4743" spans="1:40" x14ac:dyDescent="0.25">
      <c r="A4743" t="str">
        <f>"20190304155156411"</f>
        <v>20190304155156411</v>
      </c>
      <c r="B4743" t="str">
        <f>"1551685916401360"</f>
        <v>1551685916401360</v>
      </c>
      <c r="C4743" t="s">
        <v>40</v>
      </c>
      <c r="D4743">
        <v>4.907362</v>
      </c>
      <c r="E4743">
        <v>0.66190950000000004</v>
      </c>
      <c r="F4743" t="s">
        <v>41</v>
      </c>
      <c r="G4743">
        <v>-344.77289999999999</v>
      </c>
      <c r="H4743" s="1">
        <v>-3.368813E-6</v>
      </c>
      <c r="I4743">
        <v>143.9162</v>
      </c>
      <c r="J4743">
        <v>-337.70760000000001</v>
      </c>
      <c r="K4743">
        <v>1.110247</v>
      </c>
      <c r="L4743">
        <v>141.679</v>
      </c>
      <c r="M4743">
        <v>-0.99994570000000005</v>
      </c>
      <c r="N4743">
        <v>-1.0289929999999999E-2</v>
      </c>
      <c r="O4743">
        <v>1.653341E-3</v>
      </c>
      <c r="P4743">
        <v>-0.98048740000000001</v>
      </c>
      <c r="Q4743">
        <v>0.1777541</v>
      </c>
      <c r="R4743">
        <v>-8.3952040000000006E-2</v>
      </c>
      <c r="S4743">
        <v>-3.2351679999999998</v>
      </c>
      <c r="T4743">
        <v>-0.49245620000000001</v>
      </c>
      <c r="U4743">
        <v>0.99253849999999999</v>
      </c>
      <c r="V4743">
        <v>-8.5565959999999996E-2</v>
      </c>
      <c r="W4743">
        <v>0.187836</v>
      </c>
      <c r="X4743">
        <v>0.97846619999999995</v>
      </c>
      <c r="Y4743">
        <v>0.28847679999999998</v>
      </c>
      <c r="Z4743">
        <v>2.2645129999999999E-2</v>
      </c>
      <c r="AA4743">
        <v>0.95721909999999999</v>
      </c>
      <c r="AB4743">
        <v>23</v>
      </c>
      <c r="AC4743">
        <v>-7.0652999999999704</v>
      </c>
      <c r="AD4743">
        <v>-1.1102503688130001</v>
      </c>
      <c r="AE4743">
        <v>2.2372000000000001</v>
      </c>
      <c r="AF4743">
        <v>2.1766638240785898</v>
      </c>
      <c r="AG4743">
        <v>-1.1102503688130001</v>
      </c>
      <c r="AH4743">
        <v>6.9138215952609601</v>
      </c>
      <c r="AI4743">
        <v>98.708454811736701</v>
      </c>
      <c r="AJ4743">
        <v>72.524544451762907</v>
      </c>
      <c r="AK4743">
        <v>7.3329019041303596</v>
      </c>
      <c r="AL4743">
        <v>79.173477512485306</v>
      </c>
      <c r="AM4743">
        <v>94.997748727989901</v>
      </c>
      <c r="AN4743">
        <v>1.0000000004745799</v>
      </c>
    </row>
    <row r="4744" spans="1:40" x14ac:dyDescent="0.25">
      <c r="A4744" t="str">
        <f>"20190304155156432"</f>
        <v>20190304155156432</v>
      </c>
      <c r="B4744" t="str">
        <f>"1551685916421855"</f>
        <v>1551685916421855</v>
      </c>
      <c r="C4744" t="s">
        <v>40</v>
      </c>
      <c r="D4744">
        <v>3.989109</v>
      </c>
      <c r="E4744">
        <v>0.66173400000000004</v>
      </c>
      <c r="F4744" t="s">
        <v>41</v>
      </c>
      <c r="G4744">
        <v>-346.46210000000002</v>
      </c>
      <c r="H4744" s="1">
        <v>-2.8078949999999999E-6</v>
      </c>
      <c r="I4744">
        <v>144.5316</v>
      </c>
      <c r="J4744">
        <v>-337.93430000000001</v>
      </c>
      <c r="K4744">
        <v>1.110242</v>
      </c>
      <c r="L4744">
        <v>141.67930000000001</v>
      </c>
      <c r="M4744">
        <v>-0.99994609999999995</v>
      </c>
      <c r="N4744">
        <v>-1.025508E-2</v>
      </c>
      <c r="O4744">
        <v>1.652805E-3</v>
      </c>
      <c r="P4744">
        <v>-0.98049390000000003</v>
      </c>
      <c r="Q4744">
        <v>0.17778099999999999</v>
      </c>
      <c r="R4744">
        <v>-8.3820660000000005E-2</v>
      </c>
      <c r="S4744">
        <v>-3.2237550000000001</v>
      </c>
      <c r="T4744">
        <v>-0.40884019999999999</v>
      </c>
      <c r="U4744">
        <v>1.0505070000000001</v>
      </c>
      <c r="V4744">
        <v>-8.5434060000000006E-2</v>
      </c>
      <c r="W4744">
        <v>0.18782850000000001</v>
      </c>
      <c r="X4744">
        <v>0.97847910000000005</v>
      </c>
      <c r="Y4744">
        <v>0.30585709999999999</v>
      </c>
      <c r="Z4744">
        <v>2.0262390000000002E-2</v>
      </c>
      <c r="AA4744">
        <v>0.95186179999999998</v>
      </c>
      <c r="AB4744">
        <v>23</v>
      </c>
      <c r="AC4744">
        <v>-8.5278000000000098</v>
      </c>
      <c r="AD4744">
        <v>-1.110244807895</v>
      </c>
      <c r="AE4744">
        <v>2.8522999999999801</v>
      </c>
      <c r="AF4744">
        <v>2.7955836882373402</v>
      </c>
      <c r="AG4744">
        <v>-1.110244807895</v>
      </c>
      <c r="AH4744">
        <v>8.4043834463858804</v>
      </c>
      <c r="AI4744">
        <v>97.144774295096596</v>
      </c>
      <c r="AJ4744">
        <v>71.601120673051199</v>
      </c>
      <c r="AK4744">
        <v>8.9264546604618698</v>
      </c>
      <c r="AL4744">
        <v>79.173914317841906</v>
      </c>
      <c r="AM4744">
        <v>94.9900181671414</v>
      </c>
      <c r="AN4744">
        <v>0.999999936578569</v>
      </c>
    </row>
    <row r="4745" spans="1:40" x14ac:dyDescent="0.25">
      <c r="A4745" t="str">
        <f>"20190304155156454"</f>
        <v>20190304155156454</v>
      </c>
      <c r="B4745" t="str">
        <f>"1551685916451136"</f>
        <v>1551685916451136</v>
      </c>
      <c r="C4745" t="s">
        <v>40</v>
      </c>
      <c r="D4745">
        <v>4.6813279999999997</v>
      </c>
      <c r="E4745">
        <v>0.6593791</v>
      </c>
      <c r="F4745" t="s">
        <v>41</v>
      </c>
      <c r="G4745">
        <v>-348.1336</v>
      </c>
      <c r="H4745" s="1">
        <v>-2.2177890000000001E-6</v>
      </c>
      <c r="I4745">
        <v>145.0087</v>
      </c>
      <c r="J4745">
        <v>-338.15589999999997</v>
      </c>
      <c r="K4745">
        <v>1.1102379999999901</v>
      </c>
      <c r="L4745">
        <v>141.6797</v>
      </c>
      <c r="M4745">
        <v>-0.99994649999999996</v>
      </c>
      <c r="N4745">
        <v>-1.0224820000000001E-2</v>
      </c>
      <c r="O4745">
        <v>1.652482E-3</v>
      </c>
      <c r="P4745">
        <v>-0.98051849999999996</v>
      </c>
      <c r="Q4745">
        <v>0.1777791</v>
      </c>
      <c r="R4745">
        <v>-8.3538849999999998E-2</v>
      </c>
      <c r="S4745">
        <v>-3.2127379999999999</v>
      </c>
      <c r="T4745">
        <v>-0.3497248</v>
      </c>
      <c r="U4745">
        <v>1.048767</v>
      </c>
      <c r="V4745">
        <v>-8.5151820000000003E-2</v>
      </c>
      <c r="W4745">
        <v>0.18779709999999999</v>
      </c>
      <c r="X4745">
        <v>0.97850979999999999</v>
      </c>
      <c r="Y4745">
        <v>0.3069537</v>
      </c>
      <c r="Z4745">
        <v>1.769476E-2</v>
      </c>
      <c r="AA4745">
        <v>0.95155999999999996</v>
      </c>
      <c r="AB4745">
        <v>23</v>
      </c>
      <c r="AC4745">
        <v>-9.97770000000002</v>
      </c>
      <c r="AD4745">
        <v>-1.1102402177889901</v>
      </c>
      <c r="AE4745">
        <v>3.3290000000000002</v>
      </c>
      <c r="AF4745">
        <v>3.2760077509057499</v>
      </c>
      <c r="AG4745">
        <v>-1.1102402177889901</v>
      </c>
      <c r="AH4745">
        <v>9.8731879606470603</v>
      </c>
      <c r="AI4745">
        <v>96.092013003105805</v>
      </c>
      <c r="AJ4745">
        <v>71.6437166445819</v>
      </c>
      <c r="AK4745">
        <v>10.461582128505</v>
      </c>
      <c r="AL4745">
        <v>79.175746760551107</v>
      </c>
      <c r="AM4745">
        <v>94.973460704128897</v>
      </c>
      <c r="AN4745">
        <v>1.0000000059568801</v>
      </c>
    </row>
    <row r="4746" spans="1:40" x14ac:dyDescent="0.25">
      <c r="A4746" t="str">
        <f>"20190304155156489"</f>
        <v>20190304155156489</v>
      </c>
      <c r="B4746" t="str">
        <f>"1551685916481392"</f>
        <v>1551685916481392</v>
      </c>
      <c r="C4746" t="s">
        <v>40</v>
      </c>
      <c r="D4746">
        <v>4.7352730000000003</v>
      </c>
      <c r="E4746">
        <v>0.6543175</v>
      </c>
      <c r="F4746" t="s">
        <v>41</v>
      </c>
      <c r="G4746">
        <v>-349.76299999999998</v>
      </c>
      <c r="H4746" s="1">
        <v>-1.6263490000000001E-6</v>
      </c>
      <c r="I4746">
        <v>145.41299999999899</v>
      </c>
      <c r="J4746">
        <v>-338.51229999999998</v>
      </c>
      <c r="K4746">
        <v>1.1102399999999999</v>
      </c>
      <c r="L4746">
        <v>141.68029999999999</v>
      </c>
      <c r="M4746">
        <v>-0.99994680000000002</v>
      </c>
      <c r="N4746">
        <v>-1.0183920000000001E-2</v>
      </c>
      <c r="O4746">
        <v>1.652333E-3</v>
      </c>
      <c r="P4746">
        <v>-0.98053020000000002</v>
      </c>
      <c r="Q4746">
        <v>0.1774463</v>
      </c>
      <c r="R4746">
        <v>-8.4103330000000004E-2</v>
      </c>
      <c r="S4746">
        <v>-3.2028810000000001</v>
      </c>
      <c r="T4746">
        <v>-0.30636439999999998</v>
      </c>
      <c r="U4746">
        <v>1.030197</v>
      </c>
      <c r="V4746">
        <v>-8.5716520000000004E-2</v>
      </c>
      <c r="W4746">
        <v>0.1874248</v>
      </c>
      <c r="X4746">
        <v>0.97853190000000001</v>
      </c>
      <c r="Y4746">
        <v>0.30323050000000001</v>
      </c>
      <c r="Z4746">
        <v>1.5563830000000001E-2</v>
      </c>
      <c r="AA4746">
        <v>0.95279009999999997</v>
      </c>
      <c r="AB4746">
        <v>23</v>
      </c>
      <c r="AC4746">
        <v>-11.2507</v>
      </c>
      <c r="AD4746">
        <v>-1.11024162634899</v>
      </c>
      <c r="AE4746">
        <v>3.7326999999999901</v>
      </c>
      <c r="AF4746">
        <v>3.68180537119312</v>
      </c>
      <c r="AG4746">
        <v>-1.11024162634899</v>
      </c>
      <c r="AH4746">
        <v>11.1589605549909</v>
      </c>
      <c r="AI4746">
        <v>95.397471942692107</v>
      </c>
      <c r="AJ4746">
        <v>71.740127250837403</v>
      </c>
      <c r="AK4746">
        <v>11.802996565621299</v>
      </c>
      <c r="AL4746">
        <v>79.197463841264806</v>
      </c>
      <c r="AM4746">
        <v>95.006163567505197</v>
      </c>
      <c r="AN4746">
        <v>1.00000002838677</v>
      </c>
    </row>
    <row r="4747" spans="1:40" x14ac:dyDescent="0.25">
      <c r="A4747" t="str">
        <f>"20190304155156510"</f>
        <v>20190304155156510</v>
      </c>
      <c r="B4747" t="str">
        <f>"1551685916501891"</f>
        <v>1551685916501891</v>
      </c>
      <c r="C4747" t="s">
        <v>40</v>
      </c>
      <c r="D4747">
        <v>4.786664</v>
      </c>
      <c r="E4747">
        <v>0.65283549999999901</v>
      </c>
      <c r="F4747" t="s">
        <v>41</v>
      </c>
      <c r="G4747">
        <v>-350.024</v>
      </c>
      <c r="H4747" s="1">
        <v>-5.2643620000000002E-6</v>
      </c>
      <c r="I4747">
        <v>145.23410000000001</v>
      </c>
      <c r="J4747">
        <v>-338.73610000000002</v>
      </c>
      <c r="K4747">
        <v>1.1102399999999999</v>
      </c>
      <c r="L4747">
        <v>141.6806</v>
      </c>
      <c r="M4747">
        <v>-0.99994709999999998</v>
      </c>
      <c r="N4747">
        <v>-1.016305E-2</v>
      </c>
      <c r="O4747">
        <v>1.652141E-3</v>
      </c>
      <c r="P4747">
        <v>-0.98058029999999996</v>
      </c>
      <c r="Q4747">
        <v>0.17715259999999999</v>
      </c>
      <c r="R4747">
        <v>-8.4139679999999994E-2</v>
      </c>
      <c r="S4747">
        <v>-3.2001650000000001</v>
      </c>
      <c r="T4747">
        <v>-0.3086392</v>
      </c>
      <c r="U4747">
        <v>0.98796079999999997</v>
      </c>
      <c r="V4747">
        <v>-8.5752549999999997E-2</v>
      </c>
      <c r="W4747">
        <v>0.187111</v>
      </c>
      <c r="X4747">
        <v>0.97858880000000004</v>
      </c>
      <c r="Y4747">
        <v>0.29203319999999999</v>
      </c>
      <c r="Z4747">
        <v>1.511462E-2</v>
      </c>
      <c r="AA4747">
        <v>0.95628880000000005</v>
      </c>
      <c r="AB4747">
        <v>23</v>
      </c>
      <c r="AC4747">
        <v>-11.287899999999899</v>
      </c>
      <c r="AD4747">
        <v>-1.110245264362</v>
      </c>
      <c r="AE4747">
        <v>3.5535000000000099</v>
      </c>
      <c r="AF4747">
        <v>3.5040033286140901</v>
      </c>
      <c r="AG4747">
        <v>-1.110245264362</v>
      </c>
      <c r="AH4747">
        <v>11.195217327710001</v>
      </c>
      <c r="AI4747">
        <v>95.406589254144805</v>
      </c>
      <c r="AJ4747">
        <v>72.620344636849595</v>
      </c>
      <c r="AK4747">
        <v>11.7831903527285</v>
      </c>
      <c r="AL4747">
        <v>79.215767109276896</v>
      </c>
      <c r="AM4747">
        <v>95.0079674294727</v>
      </c>
      <c r="AN4747">
        <v>1.00000003281897</v>
      </c>
    </row>
    <row r="4748" spans="1:40" x14ac:dyDescent="0.25">
      <c r="A4748" t="str">
        <f>"20190304155156534"</f>
        <v>20190304155156534</v>
      </c>
      <c r="B4748" t="str">
        <f>"1551685916521407"</f>
        <v>1551685916521407</v>
      </c>
      <c r="C4748" t="s">
        <v>40</v>
      </c>
      <c r="D4748">
        <v>4.6967239999999997</v>
      </c>
      <c r="E4748">
        <v>0.65272549999999996</v>
      </c>
      <c r="F4748" t="s">
        <v>41</v>
      </c>
      <c r="G4748">
        <v>-350.23669999999998</v>
      </c>
      <c r="H4748" s="1">
        <v>-5.1842920000000003E-6</v>
      </c>
      <c r="I4748">
        <v>145.1908</v>
      </c>
      <c r="J4748">
        <v>-338.97280000000001</v>
      </c>
      <c r="K4748">
        <v>1.1102299999999901</v>
      </c>
      <c r="L4748">
        <v>141.68100000000001</v>
      </c>
      <c r="M4748">
        <v>-0.99994709999999998</v>
      </c>
      <c r="N4748">
        <v>-1.014407E-2</v>
      </c>
      <c r="O4748">
        <v>1.6520580000000001E-3</v>
      </c>
      <c r="P4748">
        <v>-0.98062450000000001</v>
      </c>
      <c r="Q4748">
        <v>0.1768354</v>
      </c>
      <c r="R4748">
        <v>-8.4290589999999999E-2</v>
      </c>
      <c r="S4748">
        <v>-3.198944</v>
      </c>
      <c r="T4748">
        <v>-0.30882009999999899</v>
      </c>
      <c r="U4748">
        <v>0.97637940000000001</v>
      </c>
      <c r="V4748">
        <v>-8.5903699999999902E-2</v>
      </c>
      <c r="W4748">
        <v>0.18677560000000001</v>
      </c>
      <c r="X4748">
        <v>0.97863960000000005</v>
      </c>
      <c r="Y4748">
        <v>0.2889813</v>
      </c>
      <c r="Z4748">
        <v>1.497134E-2</v>
      </c>
      <c r="AA4748">
        <v>0.9572176</v>
      </c>
      <c r="AB4748">
        <v>23</v>
      </c>
      <c r="AC4748">
        <v>-11.2638999999999</v>
      </c>
      <c r="AD4748">
        <v>-1.11023518429199</v>
      </c>
      <c r="AE4748">
        <v>3.5097999999999798</v>
      </c>
      <c r="AF4748">
        <v>3.4605410997887298</v>
      </c>
      <c r="AG4748">
        <v>-1.11023518429199</v>
      </c>
      <c r="AH4748">
        <v>11.1707615658822</v>
      </c>
      <c r="AI4748">
        <v>95.423209531751993</v>
      </c>
      <c r="AJ4748">
        <v>72.787771571244605</v>
      </c>
      <c r="AK4748">
        <v>11.747079672393401</v>
      </c>
      <c r="AL4748">
        <v>79.2353288197327</v>
      </c>
      <c r="AM4748">
        <v>95.016490529919906</v>
      </c>
      <c r="AN4748">
        <v>1.0000000185586</v>
      </c>
    </row>
    <row r="4749" spans="1:40" x14ac:dyDescent="0.25">
      <c r="A4749" t="str">
        <f>"20190304155156555"</f>
        <v>20190304155156555</v>
      </c>
      <c r="B4749" t="str">
        <f>"1551685916551664"</f>
        <v>1551685916551664</v>
      </c>
      <c r="C4749" t="s">
        <v>40</v>
      </c>
      <c r="D4749">
        <v>4.6404360000000002</v>
      </c>
      <c r="E4749">
        <v>0.65445959999999903</v>
      </c>
      <c r="F4749" t="s">
        <v>41</v>
      </c>
      <c r="G4749">
        <v>-350.33929999999998</v>
      </c>
      <c r="H4749" s="1">
        <v>-5.1411800000000003E-6</v>
      </c>
      <c r="I4749">
        <v>145.14449999999999</v>
      </c>
      <c r="J4749">
        <v>-339.20069999999998</v>
      </c>
      <c r="K4749">
        <v>1.1102289999999999</v>
      </c>
      <c r="L4749">
        <v>141.6814</v>
      </c>
      <c r="M4749">
        <v>-0.99994740000000004</v>
      </c>
      <c r="N4749">
        <v>-1.012859E-2</v>
      </c>
      <c r="O4749">
        <v>1.6517789999999999E-3</v>
      </c>
      <c r="P4749">
        <v>-0.98061069999999995</v>
      </c>
      <c r="Q4749">
        <v>0.17677179999999901</v>
      </c>
      <c r="R4749">
        <v>-8.4585380000000002E-2</v>
      </c>
      <c r="S4749">
        <v>-3.1994319999999998</v>
      </c>
      <c r="T4749">
        <v>-0.31251050000000002</v>
      </c>
      <c r="U4749">
        <v>0.97492979999999996</v>
      </c>
      <c r="V4749">
        <v>-8.6197609999999994E-2</v>
      </c>
      <c r="W4749">
        <v>0.1866969</v>
      </c>
      <c r="X4749">
        <v>0.97862879999999997</v>
      </c>
      <c r="Y4749">
        <v>0.28851559999999998</v>
      </c>
      <c r="Z4749">
        <v>1.510337E-2</v>
      </c>
      <c r="AA4749">
        <v>0.95735599999999998</v>
      </c>
      <c r="AB4749">
        <v>23</v>
      </c>
      <c r="AC4749">
        <v>-11.138599999999901</v>
      </c>
      <c r="AD4749">
        <v>-1.1102341411799901</v>
      </c>
      <c r="AE4749">
        <v>3.4630999999999901</v>
      </c>
      <c r="AF4749">
        <v>3.41376951098158</v>
      </c>
      <c r="AG4749">
        <v>-1.1102341411799901</v>
      </c>
      <c r="AH4749">
        <v>11.044252326598199</v>
      </c>
      <c r="AI4749">
        <v>95.486006078323697</v>
      </c>
      <c r="AJ4749">
        <v>72.823663003095106</v>
      </c>
      <c r="AK4749">
        <v>11.613007860839501</v>
      </c>
      <c r="AL4749">
        <v>79.239919014135495</v>
      </c>
      <c r="AM4749">
        <v>95.033621135000899</v>
      </c>
      <c r="AN4749">
        <v>1.0000000443143799</v>
      </c>
    </row>
    <row r="4750" spans="1:40" x14ac:dyDescent="0.25">
      <c r="A4750" t="str">
        <f>"20190304155156578"</f>
        <v>20190304155156578</v>
      </c>
      <c r="B4750" t="str">
        <f>"1551685916572160"</f>
        <v>1551685916572160</v>
      </c>
      <c r="C4750" t="s">
        <v>40</v>
      </c>
      <c r="D4750">
        <v>4.6607250000000002</v>
      </c>
      <c r="E4750">
        <v>0.6569161</v>
      </c>
      <c r="F4750" t="s">
        <v>41</v>
      </c>
      <c r="G4750">
        <v>-350.24470000000002</v>
      </c>
      <c r="H4750" s="1">
        <v>-5.1637610000000004E-6</v>
      </c>
      <c r="I4750">
        <v>145.09030000000001</v>
      </c>
      <c r="J4750">
        <v>-339.43299999999999</v>
      </c>
      <c r="K4750">
        <v>1.1102289999999999</v>
      </c>
      <c r="L4750">
        <v>141.68180000000001</v>
      </c>
      <c r="M4750">
        <v>-0.99994760000000005</v>
      </c>
      <c r="N4750">
        <v>-1.0115330000000001E-2</v>
      </c>
      <c r="O4750">
        <v>1.651369E-3</v>
      </c>
      <c r="P4750">
        <v>-0.98060789999999998</v>
      </c>
      <c r="Q4750">
        <v>0.17662919999999999</v>
      </c>
      <c r="R4750">
        <v>-8.4916870000000005E-2</v>
      </c>
      <c r="S4750">
        <v>-3.2026669999999999</v>
      </c>
      <c r="T4750">
        <v>-0.32196190000000002</v>
      </c>
      <c r="U4750">
        <v>0.98858639999999998</v>
      </c>
      <c r="V4750">
        <v>-8.6528720000000003E-2</v>
      </c>
      <c r="W4750">
        <v>0.18654129999999999</v>
      </c>
      <c r="X4750">
        <v>0.97862919999999998</v>
      </c>
      <c r="Y4750">
        <v>0.29188309999999901</v>
      </c>
      <c r="Z4750">
        <v>1.567205E-2</v>
      </c>
      <c r="AA4750">
        <v>0.9563256</v>
      </c>
      <c r="AB4750">
        <v>23</v>
      </c>
      <c r="AC4750">
        <v>-10.811699999999901</v>
      </c>
      <c r="AD4750">
        <v>-1.110234163761</v>
      </c>
      <c r="AE4750">
        <v>3.4085000000000001</v>
      </c>
      <c r="AF4750">
        <v>3.3584277334517201</v>
      </c>
      <c r="AG4750">
        <v>-1.110234163761</v>
      </c>
      <c r="AH4750">
        <v>10.7145449072987</v>
      </c>
      <c r="AI4750">
        <v>95.646819633648704</v>
      </c>
      <c r="AJ4750">
        <v>72.596626177305396</v>
      </c>
      <c r="AK4750">
        <v>11.283311983177599</v>
      </c>
      <c r="AL4750">
        <v>79.248993104875893</v>
      </c>
      <c r="AM4750">
        <v>95.052854771226194</v>
      </c>
      <c r="AN4750">
        <v>0.99999999354158398</v>
      </c>
    </row>
    <row r="4751" spans="1:40" x14ac:dyDescent="0.25">
      <c r="A4751" t="str">
        <f>"20190304155156600"</f>
        <v>20190304155156600</v>
      </c>
      <c r="B4751" t="str">
        <f>"1551685916591680"</f>
        <v>1551685916591680</v>
      </c>
      <c r="C4751" t="s">
        <v>40</v>
      </c>
      <c r="D4751">
        <v>4.6369449999999999</v>
      </c>
      <c r="E4751">
        <v>0.65830710000000003</v>
      </c>
      <c r="F4751" t="s">
        <v>41</v>
      </c>
      <c r="G4751">
        <v>-350.5145</v>
      </c>
      <c r="H4751" s="1">
        <v>-5.0852320000000001E-6</v>
      </c>
      <c r="I4751">
        <v>145.1652</v>
      </c>
      <c r="J4751">
        <v>-339.66269999999997</v>
      </c>
      <c r="K4751">
        <v>1.1102289999999999</v>
      </c>
      <c r="L4751">
        <v>141.68209999999999</v>
      </c>
      <c r="M4751">
        <v>-0.99994769999999999</v>
      </c>
      <c r="N4751">
        <v>-1.010429E-2</v>
      </c>
      <c r="O4751">
        <v>1.6510660000000001E-3</v>
      </c>
      <c r="P4751">
        <v>-0.98063520000000004</v>
      </c>
      <c r="Q4751">
        <v>0.17648050000000001</v>
      </c>
      <c r="R4751">
        <v>-8.4909200000000004E-2</v>
      </c>
      <c r="S4751">
        <v>-3.2043460000000001</v>
      </c>
      <c r="T4751">
        <v>-0.32103789999999999</v>
      </c>
      <c r="U4751">
        <v>1.007309</v>
      </c>
      <c r="V4751">
        <v>-8.6521120000000007E-2</v>
      </c>
      <c r="W4751">
        <v>0.18638199999999999</v>
      </c>
      <c r="X4751">
        <v>0.97866019999999998</v>
      </c>
      <c r="Y4751">
        <v>0.29681929999999901</v>
      </c>
      <c r="Z4751">
        <v>1.5878739999999999E-2</v>
      </c>
      <c r="AA4751">
        <v>0.95480160000000003</v>
      </c>
      <c r="AB4751">
        <v>23</v>
      </c>
      <c r="AC4751">
        <v>-10.851800000000001</v>
      </c>
      <c r="AD4751">
        <v>-1.1102340852320001</v>
      </c>
      <c r="AE4751">
        <v>3.4830999999999999</v>
      </c>
      <c r="AF4751">
        <v>3.4326037430711098</v>
      </c>
      <c r="AG4751">
        <v>-1.1102340852320001</v>
      </c>
      <c r="AH4751">
        <v>10.7554726931216</v>
      </c>
      <c r="AI4751">
        <v>95.616310148832795</v>
      </c>
      <c r="AJ4751">
        <v>72.299542840361198</v>
      </c>
      <c r="AK4751">
        <v>11.344407478288201</v>
      </c>
      <c r="AL4751">
        <v>79.258283001584402</v>
      </c>
      <c r="AM4751">
        <v>95.052254053790506</v>
      </c>
      <c r="AN4751">
        <v>0.99999997059704604</v>
      </c>
    </row>
    <row r="4752" spans="1:40" x14ac:dyDescent="0.25">
      <c r="A4752" t="str">
        <f>"20190304155156621"</f>
        <v>20190304155156621</v>
      </c>
      <c r="B4752" t="str">
        <f>"1551685916611200"</f>
        <v>1551685916611200</v>
      </c>
      <c r="C4752" t="s">
        <v>40</v>
      </c>
      <c r="D4752">
        <v>4.6697119999999996</v>
      </c>
      <c r="E4752">
        <v>0.65990839999999995</v>
      </c>
      <c r="F4752" t="s">
        <v>41</v>
      </c>
      <c r="G4752">
        <v>-350.77780000000001</v>
      </c>
      <c r="H4752" s="1">
        <v>-5.0041589999999998E-6</v>
      </c>
      <c r="I4752">
        <v>145.2133</v>
      </c>
      <c r="J4752">
        <v>-339.89299999999997</v>
      </c>
      <c r="K4752">
        <v>1.110222</v>
      </c>
      <c r="L4752">
        <v>141.6825</v>
      </c>
      <c r="M4752">
        <v>-0.99994769999999999</v>
      </c>
      <c r="N4752">
        <v>-1.009497E-2</v>
      </c>
      <c r="O4752">
        <v>1.6507550000000001E-3</v>
      </c>
      <c r="P4752">
        <v>-0.98057430000000001</v>
      </c>
      <c r="Q4752">
        <v>0.17684469999999999</v>
      </c>
      <c r="R4752">
        <v>-8.4853280000000003E-2</v>
      </c>
      <c r="S4752">
        <v>-3.2050169999999998</v>
      </c>
      <c r="T4752">
        <v>-0.32013639999999999</v>
      </c>
      <c r="U4752">
        <v>1.018219</v>
      </c>
      <c r="V4752">
        <v>-8.6464319999999997E-2</v>
      </c>
      <c r="W4752">
        <v>0.18673670000000001</v>
      </c>
      <c r="X4752">
        <v>0.97859759999999996</v>
      </c>
      <c r="Y4752">
        <v>0.29971179999999997</v>
      </c>
      <c r="Z4752">
        <v>1.5983689999999998E-2</v>
      </c>
      <c r="AA4752">
        <v>0.95389590000000002</v>
      </c>
      <c r="AB4752">
        <v>23</v>
      </c>
      <c r="AC4752">
        <v>-10.884799999999901</v>
      </c>
      <c r="AD4752">
        <v>-1.1102270041590001</v>
      </c>
      <c r="AE4752">
        <v>3.5308000000000002</v>
      </c>
      <c r="AF4752">
        <v>3.4800678642677001</v>
      </c>
      <c r="AG4752">
        <v>-1.1102270041590001</v>
      </c>
      <c r="AH4752">
        <v>10.7890553560066</v>
      </c>
      <c r="AI4752">
        <v>95.593394865758896</v>
      </c>
      <c r="AJ4752">
        <v>72.122614497161706</v>
      </c>
      <c r="AK4752">
        <v>11.3906624836156</v>
      </c>
      <c r="AL4752">
        <v>79.237596992728399</v>
      </c>
      <c r="AM4752">
        <v>95.049275770824195</v>
      </c>
      <c r="AN4752">
        <v>0.99999996824285498</v>
      </c>
    </row>
    <row r="4753" spans="1:40" x14ac:dyDescent="0.25">
      <c r="A4753" t="str">
        <f>"20190304155156644"</f>
        <v>20190304155156644</v>
      </c>
      <c r="B4753" t="str">
        <f>"1551685916641457"</f>
        <v>1551685916641457</v>
      </c>
      <c r="C4753" t="s">
        <v>40</v>
      </c>
      <c r="D4753">
        <v>4.6588279999999997</v>
      </c>
      <c r="E4753">
        <v>0.66204280000000004</v>
      </c>
      <c r="F4753" t="s">
        <v>41</v>
      </c>
      <c r="G4753">
        <v>-351.07729999999998</v>
      </c>
      <c r="H4753" s="1">
        <v>-4.9141099999999999E-6</v>
      </c>
      <c r="I4753">
        <v>145.28020000000001</v>
      </c>
      <c r="J4753">
        <v>-340.12169999999998</v>
      </c>
      <c r="K4753">
        <v>1.1102209999999999</v>
      </c>
      <c r="L4753">
        <v>141.68289999999999</v>
      </c>
      <c r="M4753">
        <v>-0.99994780000000005</v>
      </c>
      <c r="N4753">
        <v>-1.00873E-2</v>
      </c>
      <c r="O4753">
        <v>1.650496E-3</v>
      </c>
      <c r="P4753">
        <v>-0.98064600000000002</v>
      </c>
      <c r="Q4753">
        <v>0.1763612</v>
      </c>
      <c r="R4753">
        <v>-8.5033479999999995E-2</v>
      </c>
      <c r="S4753">
        <v>-3.2060550000000001</v>
      </c>
      <c r="T4753">
        <v>-0.31825490000000001</v>
      </c>
      <c r="U4753">
        <v>1.031326</v>
      </c>
      <c r="V4753">
        <v>-8.6644719999999995E-2</v>
      </c>
      <c r="W4753">
        <v>0.1862462</v>
      </c>
      <c r="X4753">
        <v>0.97867510000000002</v>
      </c>
      <c r="Y4753">
        <v>0.30316189999999998</v>
      </c>
      <c r="Z4753">
        <v>1.6070480000000002E-2</v>
      </c>
      <c r="AA4753">
        <v>0.95280359999999997</v>
      </c>
      <c r="AB4753">
        <v>23</v>
      </c>
      <c r="AC4753">
        <v>-10.9556</v>
      </c>
      <c r="AD4753">
        <v>-1.1102259141099999</v>
      </c>
      <c r="AE4753">
        <v>3.5973000000000099</v>
      </c>
      <c r="AF4753">
        <v>3.5463372155355799</v>
      </c>
      <c r="AG4753">
        <v>-1.1102259141099999</v>
      </c>
      <c r="AH4753">
        <v>10.8608419523263</v>
      </c>
      <c r="AI4753">
        <v>95.550218706002198</v>
      </c>
      <c r="AJ4753">
        <v>71.916841393818402</v>
      </c>
      <c r="AK4753">
        <v>11.478980666420901</v>
      </c>
      <c r="AL4753">
        <v>79.266202244362304</v>
      </c>
      <c r="AM4753">
        <v>95.0593574039261</v>
      </c>
      <c r="AN4753">
        <v>0.99999995293916299</v>
      </c>
    </row>
    <row r="4754" spans="1:40" x14ac:dyDescent="0.25">
      <c r="A4754" t="str">
        <f>"20190304155156666"</f>
        <v>20190304155156666</v>
      </c>
      <c r="B4754" t="str">
        <f>"1551685916661952"</f>
        <v>1551685916661952</v>
      </c>
      <c r="C4754" t="s">
        <v>40</v>
      </c>
      <c r="D4754">
        <v>4.6800329999999999</v>
      </c>
      <c r="E4754">
        <v>0.66279339999999998</v>
      </c>
      <c r="F4754" t="s">
        <v>41</v>
      </c>
      <c r="G4754">
        <v>-351.25029999999998</v>
      </c>
      <c r="H4754" s="1">
        <v>-4.8621240000000002E-6</v>
      </c>
      <c r="I4754">
        <v>145.31899999999999</v>
      </c>
      <c r="J4754">
        <v>-340.36160000000001</v>
      </c>
      <c r="K4754">
        <v>1.110214</v>
      </c>
      <c r="L4754">
        <v>141.6833</v>
      </c>
      <c r="M4754">
        <v>-0.99994780000000005</v>
      </c>
      <c r="N4754">
        <v>-1.008068E-2</v>
      </c>
      <c r="O4754">
        <v>1.6503500000000001E-3</v>
      </c>
      <c r="P4754">
        <v>-0.98060959999999997</v>
      </c>
      <c r="Q4754">
        <v>0.1765543</v>
      </c>
      <c r="R4754">
        <v>-8.5050310000000004E-2</v>
      </c>
      <c r="S4754">
        <v>-3.2076419999999999</v>
      </c>
      <c r="T4754">
        <v>-0.32000590000000001</v>
      </c>
      <c r="U4754">
        <v>1.0480799999999999</v>
      </c>
      <c r="V4754">
        <v>-8.6661669999999996E-2</v>
      </c>
      <c r="W4754">
        <v>0.18643270000000001</v>
      </c>
      <c r="X4754">
        <v>0.97863820000000001</v>
      </c>
      <c r="Y4754">
        <v>0.30749179999999998</v>
      </c>
      <c r="Z4754">
        <v>1.6364199999999999E-2</v>
      </c>
      <c r="AA4754">
        <v>0.95140999999999998</v>
      </c>
      <c r="AB4754">
        <v>23</v>
      </c>
      <c r="AC4754">
        <v>-10.888699999999901</v>
      </c>
      <c r="AD4754">
        <v>-1.1102188621239999</v>
      </c>
      <c r="AE4754">
        <v>3.6356999999999799</v>
      </c>
      <c r="AF4754">
        <v>3.5842001849367899</v>
      </c>
      <c r="AG4754">
        <v>-1.1102188621239999</v>
      </c>
      <c r="AH4754">
        <v>10.793729612609001</v>
      </c>
      <c r="AI4754">
        <v>95.575353228048797</v>
      </c>
      <c r="AJ4754">
        <v>71.630573070876096</v>
      </c>
      <c r="AK4754">
        <v>11.4273214638265</v>
      </c>
      <c r="AL4754">
        <v>79.255327270987493</v>
      </c>
      <c r="AM4754">
        <v>95.060531821507993</v>
      </c>
      <c r="AN4754">
        <v>1.0000000615878499</v>
      </c>
    </row>
    <row r="4755" spans="1:40" x14ac:dyDescent="0.25">
      <c r="A4755" t="str">
        <f>"20190304155156689"</f>
        <v>20190304155156689</v>
      </c>
      <c r="B4755" t="str">
        <f>"1551685916681471"</f>
        <v>1551685916681471</v>
      </c>
      <c r="C4755" t="s">
        <v>40</v>
      </c>
      <c r="D4755">
        <v>4.6746349999999897</v>
      </c>
      <c r="E4755">
        <v>0.66367049999999905</v>
      </c>
      <c r="F4755" t="s">
        <v>41</v>
      </c>
      <c r="G4755">
        <v>-351.52010000000001</v>
      </c>
      <c r="H4755" s="1">
        <v>-4.7758019999999997E-6</v>
      </c>
      <c r="I4755">
        <v>145.3501</v>
      </c>
      <c r="J4755">
        <v>-340.59190000000001</v>
      </c>
      <c r="K4755">
        <v>1.110212</v>
      </c>
      <c r="L4755">
        <v>141.68369999999999</v>
      </c>
      <c r="M4755">
        <v>-0.99994799999999995</v>
      </c>
      <c r="N4755">
        <v>-1.007564E-2</v>
      </c>
      <c r="O4755">
        <v>1.6498379999999901E-3</v>
      </c>
      <c r="P4755">
        <v>-0.98054969999999997</v>
      </c>
      <c r="Q4755">
        <v>0.1769838</v>
      </c>
      <c r="R4755">
        <v>-8.4848049999999994E-2</v>
      </c>
      <c r="S4755">
        <v>-3.208221</v>
      </c>
      <c r="T4755">
        <v>-0.31920359999999998</v>
      </c>
      <c r="U4755">
        <v>1.0542910000000001</v>
      </c>
      <c r="V4755">
        <v>-8.6459060000000004E-2</v>
      </c>
      <c r="W4755">
        <v>0.1868561</v>
      </c>
      <c r="X4755">
        <v>0.97857530000000004</v>
      </c>
      <c r="Y4755">
        <v>0.30910510000000002</v>
      </c>
      <c r="Z4755">
        <v>1.640658E-2</v>
      </c>
      <c r="AA4755">
        <v>0.95088640000000002</v>
      </c>
      <c r="AB4755">
        <v>23</v>
      </c>
      <c r="AC4755">
        <v>-10.9282</v>
      </c>
      <c r="AD4755">
        <v>-1.1102167758020001</v>
      </c>
      <c r="AE4755">
        <v>3.6663999999999999</v>
      </c>
      <c r="AF4755">
        <v>3.61483052151375</v>
      </c>
      <c r="AG4755">
        <v>-1.1102167758020001</v>
      </c>
      <c r="AH4755">
        <v>10.833732758178</v>
      </c>
      <c r="AI4755">
        <v>95.552237064115303</v>
      </c>
      <c r="AJ4755">
        <v>71.547983016498605</v>
      </c>
      <c r="AK4755">
        <v>11.474726422192299</v>
      </c>
      <c r="AL4755">
        <v>79.230633591918107</v>
      </c>
      <c r="AM4755">
        <v>95.049084651583598</v>
      </c>
      <c r="AN4755">
        <v>0.99999999446669097</v>
      </c>
    </row>
    <row r="4756" spans="1:40" x14ac:dyDescent="0.25">
      <c r="A4756" t="str">
        <f>"20190304155156710"</f>
        <v>20190304155156710</v>
      </c>
      <c r="B4756" t="str">
        <f>"1551685916701971"</f>
        <v>1551685916701971</v>
      </c>
      <c r="C4756" t="s">
        <v>40</v>
      </c>
      <c r="D4756">
        <v>4.6731850000000001</v>
      </c>
      <c r="E4756">
        <v>0.66394919999999902</v>
      </c>
      <c r="F4756" t="s">
        <v>41</v>
      </c>
      <c r="G4756">
        <v>-351.76510000000002</v>
      </c>
      <c r="H4756" s="1">
        <v>-4.6975049999999998E-6</v>
      </c>
      <c r="I4756">
        <v>145.37870000000001</v>
      </c>
      <c r="J4756">
        <v>-340.8245</v>
      </c>
      <c r="K4756">
        <v>1.1102069999999999</v>
      </c>
      <c r="L4756">
        <v>141.6841</v>
      </c>
      <c r="M4756">
        <v>-0.99994810000000001</v>
      </c>
      <c r="N4756">
        <v>-1.007159E-2</v>
      </c>
      <c r="O4756">
        <v>1.64956E-3</v>
      </c>
      <c r="P4756">
        <v>-0.98055709999999996</v>
      </c>
      <c r="Q4756">
        <v>0.1769172</v>
      </c>
      <c r="R4756">
        <v>-8.4902320000000003E-2</v>
      </c>
      <c r="S4756">
        <v>-3.2088619999999999</v>
      </c>
      <c r="T4756">
        <v>-0.31884669999999998</v>
      </c>
      <c r="U4756">
        <v>1.0612029999999999</v>
      </c>
      <c r="V4756">
        <v>-8.6512500000000006E-2</v>
      </c>
      <c r="W4756">
        <v>0.1867859</v>
      </c>
      <c r="X4756">
        <v>0.97858400000000001</v>
      </c>
      <c r="Y4756">
        <v>0.310892</v>
      </c>
      <c r="Z4756">
        <v>1.6477889999999999E-2</v>
      </c>
      <c r="AA4756">
        <v>0.95030239999999999</v>
      </c>
      <c r="AB4756">
        <v>23</v>
      </c>
      <c r="AC4756">
        <v>-10.9406</v>
      </c>
      <c r="AD4756">
        <v>-1.110211697505</v>
      </c>
      <c r="AE4756">
        <v>3.6945999999999999</v>
      </c>
      <c r="AF4756">
        <v>3.64287455040275</v>
      </c>
      <c r="AG4756">
        <v>-1.110211697505</v>
      </c>
      <c r="AH4756">
        <v>10.8464226948118</v>
      </c>
      <c r="AI4756">
        <v>95.542115796146106</v>
      </c>
      <c r="AJ4756">
        <v>71.434883104444495</v>
      </c>
      <c r="AK4756">
        <v>11.495563939093101</v>
      </c>
      <c r="AL4756">
        <v>79.234728063607093</v>
      </c>
      <c r="AM4756">
        <v>95.052144640482695</v>
      </c>
      <c r="AN4756">
        <v>1.0000000150755299</v>
      </c>
    </row>
    <row r="4757" spans="1:40" x14ac:dyDescent="0.25">
      <c r="A4757" t="str">
        <f>"20190304155156734"</f>
        <v>20190304155156734</v>
      </c>
      <c r="B4757" t="str">
        <f>"1551685916721488"</f>
        <v>1551685916721488</v>
      </c>
      <c r="C4757" t="s">
        <v>40</v>
      </c>
      <c r="D4757">
        <v>4.7044790000000001</v>
      </c>
      <c r="E4757">
        <v>0.66445469999999995</v>
      </c>
      <c r="F4757" t="s">
        <v>41</v>
      </c>
      <c r="G4757">
        <v>-352.05309999999997</v>
      </c>
      <c r="H4757" s="1">
        <v>-4.6048039999999996E-6</v>
      </c>
      <c r="I4757">
        <v>145.40860000000001</v>
      </c>
      <c r="J4757">
        <v>-341.05849999999998</v>
      </c>
      <c r="K4757">
        <v>1.1102080000000001</v>
      </c>
      <c r="L4757">
        <v>141.68450000000001</v>
      </c>
      <c r="M4757">
        <v>-0.99994810000000001</v>
      </c>
      <c r="N4757">
        <v>-1.006837E-2</v>
      </c>
      <c r="O4757">
        <v>1.6493969999999999E-3</v>
      </c>
      <c r="P4757">
        <v>-0.98056500000000002</v>
      </c>
      <c r="Q4757">
        <v>0.17656369999999999</v>
      </c>
      <c r="R4757">
        <v>-8.5543919999999996E-2</v>
      </c>
      <c r="S4757">
        <v>-3.2088930000000002</v>
      </c>
      <c r="T4757">
        <v>-0.3172758</v>
      </c>
      <c r="U4757">
        <v>1.0644070000000001</v>
      </c>
      <c r="V4757">
        <v>-8.7154029999999993E-2</v>
      </c>
      <c r="W4757">
        <v>0.1864294</v>
      </c>
      <c r="X4757">
        <v>0.97859510000000005</v>
      </c>
      <c r="Y4757">
        <v>0.31175520000000001</v>
      </c>
      <c r="Z4757">
        <v>1.6448290000000001E-2</v>
      </c>
      <c r="AA4757">
        <v>0.95002010000000003</v>
      </c>
      <c r="AB4757">
        <v>23</v>
      </c>
      <c r="AC4757">
        <v>-10.994599999999901</v>
      </c>
      <c r="AD4757">
        <v>-1.110212604804</v>
      </c>
      <c r="AE4757">
        <v>3.7240999999999902</v>
      </c>
      <c r="AF4757">
        <v>3.6723680681213802</v>
      </c>
      <c r="AG4757">
        <v>-1.110212604804</v>
      </c>
      <c r="AH4757">
        <v>10.901015282424099</v>
      </c>
      <c r="AI4757">
        <v>95.5128418074856</v>
      </c>
      <c r="AJ4757">
        <v>71.382197376177402</v>
      </c>
      <c r="AK4757">
        <v>11.5564264997129</v>
      </c>
      <c r="AL4757">
        <v>79.255519681378601</v>
      </c>
      <c r="AM4757">
        <v>95.089355155405201</v>
      </c>
      <c r="AN4757">
        <v>1.0000000579368</v>
      </c>
    </row>
    <row r="4758" spans="1:40" x14ac:dyDescent="0.25">
      <c r="A4758" t="str">
        <f>"20190304155156756"</f>
        <v>20190304155156756</v>
      </c>
      <c r="B4758" t="str">
        <f>"1551685916751744"</f>
        <v>1551685916751744</v>
      </c>
      <c r="C4758" t="s">
        <v>40</v>
      </c>
      <c r="D4758">
        <v>4.8838489999999997</v>
      </c>
      <c r="E4758">
        <v>0.66474630000000001</v>
      </c>
      <c r="F4758" t="s">
        <v>41</v>
      </c>
      <c r="G4758">
        <v>-352.28930000000003</v>
      </c>
      <c r="H4758" s="1">
        <v>-4.5260460000000004E-6</v>
      </c>
      <c r="I4758">
        <v>145.4177</v>
      </c>
      <c r="J4758">
        <v>-341.2989</v>
      </c>
      <c r="K4758">
        <v>1.1102069999999999</v>
      </c>
      <c r="L4758">
        <v>141.6849</v>
      </c>
      <c r="M4758">
        <v>-0.99994799999999995</v>
      </c>
      <c r="N4758">
        <v>-1.006575E-2</v>
      </c>
      <c r="O4758">
        <v>1.6492309999999999E-3</v>
      </c>
      <c r="P4758">
        <v>-0.9804756</v>
      </c>
      <c r="Q4758">
        <v>0.17670910000000001</v>
      </c>
      <c r="R4758">
        <v>-8.6264919999999995E-2</v>
      </c>
      <c r="S4758">
        <v>-3.209686</v>
      </c>
      <c r="T4758">
        <v>-0.3172932</v>
      </c>
      <c r="U4758">
        <v>1.066956</v>
      </c>
      <c r="V4758">
        <v>-8.787441E-2</v>
      </c>
      <c r="W4758">
        <v>0.1865713</v>
      </c>
      <c r="X4758">
        <v>0.97850360000000003</v>
      </c>
      <c r="Y4758">
        <v>0.31236239999999998</v>
      </c>
      <c r="Z4758">
        <v>1.6475900000000002E-2</v>
      </c>
      <c r="AA4758">
        <v>0.94982009999999994</v>
      </c>
      <c r="AB4758">
        <v>23</v>
      </c>
      <c r="AC4758">
        <v>-10.990399999999999</v>
      </c>
      <c r="AD4758">
        <v>-1.1102115260459999</v>
      </c>
      <c r="AE4758">
        <v>3.7327999999999899</v>
      </c>
      <c r="AF4758">
        <v>3.68099113388369</v>
      </c>
      <c r="AG4758">
        <v>-1.1102115260459999</v>
      </c>
      <c r="AH4758">
        <v>10.8968470260155</v>
      </c>
      <c r="AI4758">
        <v>95.513404891301803</v>
      </c>
      <c r="AJ4758">
        <v>71.334860721963196</v>
      </c>
      <c r="AK4758">
        <v>11.555238659096499</v>
      </c>
      <c r="AL4758">
        <v>79.247243897255004</v>
      </c>
      <c r="AM4758">
        <v>95.131675314220303</v>
      </c>
      <c r="AN4758">
        <v>1.0000000285647399</v>
      </c>
    </row>
    <row r="4759" spans="1:40" x14ac:dyDescent="0.25">
      <c r="A4759" t="str">
        <f>"20190304155156778"</f>
        <v>20190304155156778</v>
      </c>
      <c r="B4759" t="str">
        <f>"1551685916771264"</f>
        <v>1551685916771264</v>
      </c>
      <c r="C4759" t="s">
        <v>40</v>
      </c>
      <c r="D4759">
        <v>4.7413249999999998</v>
      </c>
      <c r="E4759">
        <v>0.66560109999999995</v>
      </c>
      <c r="F4759" t="s">
        <v>41</v>
      </c>
      <c r="G4759">
        <v>-352.49669999999998</v>
      </c>
      <c r="H4759" s="1">
        <v>-4.4532510000000003E-6</v>
      </c>
      <c r="I4759">
        <v>145.40530000000001</v>
      </c>
      <c r="J4759">
        <v>-341.5274</v>
      </c>
      <c r="K4759">
        <v>1.1102050000000001</v>
      </c>
      <c r="L4759">
        <v>141.68520000000001</v>
      </c>
      <c r="M4759">
        <v>-0.99994810000000001</v>
      </c>
      <c r="N4759">
        <v>-1.0063799999999999E-2</v>
      </c>
      <c r="O4759">
        <v>1.648882E-3</v>
      </c>
      <c r="P4759">
        <v>-0.98048239999999998</v>
      </c>
      <c r="Q4759">
        <v>0.17648989999999901</v>
      </c>
      <c r="R4759">
        <v>-8.6635649999999995E-2</v>
      </c>
      <c r="S4759">
        <v>-3.2109679999999998</v>
      </c>
      <c r="T4759">
        <v>-0.31835370000000002</v>
      </c>
      <c r="U4759">
        <v>1.066864</v>
      </c>
      <c r="V4759">
        <v>-8.8245379999999998E-2</v>
      </c>
      <c r="W4759">
        <v>0.18635019999999999</v>
      </c>
      <c r="X4759">
        <v>0.9785123</v>
      </c>
      <c r="Y4759">
        <v>0.31221710000000003</v>
      </c>
      <c r="Z4759">
        <v>1.6511669999999999E-2</v>
      </c>
      <c r="AA4759">
        <v>0.94986729999999997</v>
      </c>
      <c r="AB4759">
        <v>23</v>
      </c>
      <c r="AC4759">
        <v>-10.969299999999899</v>
      </c>
      <c r="AD4759">
        <v>-1.1102094532509901</v>
      </c>
      <c r="AE4759">
        <v>3.7201</v>
      </c>
      <c r="AF4759">
        <v>3.66830637870016</v>
      </c>
      <c r="AG4759">
        <v>-1.1102094532509901</v>
      </c>
      <c r="AH4759">
        <v>10.875506605416399</v>
      </c>
      <c r="AI4759">
        <v>95.5249841380502</v>
      </c>
      <c r="AJ4759">
        <v>71.360758687503804</v>
      </c>
      <c r="AK4759">
        <v>11.531074565822401</v>
      </c>
      <c r="AL4759">
        <v>79.2601376289456</v>
      </c>
      <c r="AM4759">
        <v>95.153177189559898</v>
      </c>
      <c r="AN4759">
        <v>0.99999998269133705</v>
      </c>
    </row>
    <row r="4760" spans="1:40" x14ac:dyDescent="0.25">
      <c r="A4760" t="str">
        <f>"20190304155156800"</f>
        <v>20190304155156800</v>
      </c>
      <c r="B4760" t="str">
        <f>"1551685916791763"</f>
        <v>1551685916791763</v>
      </c>
      <c r="C4760" t="s">
        <v>40</v>
      </c>
      <c r="D4760">
        <v>4.7421819999999997</v>
      </c>
      <c r="E4760">
        <v>0.66598880000000005</v>
      </c>
      <c r="F4760" t="s">
        <v>41</v>
      </c>
      <c r="G4760">
        <v>-352.71390000000002</v>
      </c>
      <c r="H4760" s="1">
        <v>-4.3821790000000002E-6</v>
      </c>
      <c r="I4760">
        <v>145.4213</v>
      </c>
      <c r="J4760">
        <v>-341.76740000000001</v>
      </c>
      <c r="K4760">
        <v>1.110204</v>
      </c>
      <c r="L4760">
        <v>141.68559999999999</v>
      </c>
      <c r="M4760">
        <v>-0.99994810000000001</v>
      </c>
      <c r="N4760">
        <v>-1.0062379999999999E-2</v>
      </c>
      <c r="O4760">
        <v>1.6487699999999999E-3</v>
      </c>
      <c r="P4760">
        <v>-0.98043389999999997</v>
      </c>
      <c r="Q4760">
        <v>0.17631869999999999</v>
      </c>
      <c r="R4760">
        <v>-8.7528499999999995E-2</v>
      </c>
      <c r="S4760">
        <v>-3.2118530000000001</v>
      </c>
      <c r="T4760">
        <v>-0.31876349999999998</v>
      </c>
      <c r="U4760">
        <v>1.0727230000000001</v>
      </c>
      <c r="V4760">
        <v>-8.9138099999999998E-2</v>
      </c>
      <c r="W4760">
        <v>0.18617729999999999</v>
      </c>
      <c r="X4760">
        <v>0.97846429999999995</v>
      </c>
      <c r="Y4760">
        <v>0.313689099999999</v>
      </c>
      <c r="Z4760">
        <v>1.6601479999999998E-2</v>
      </c>
      <c r="AA4760">
        <v>0.94938060000000002</v>
      </c>
      <c r="AB4760">
        <v>23</v>
      </c>
      <c r="AC4760">
        <v>-10.9465</v>
      </c>
      <c r="AD4760">
        <v>-1.1102083821789901</v>
      </c>
      <c r="AE4760">
        <v>3.7357</v>
      </c>
      <c r="AF4760">
        <v>3.6837067839977902</v>
      </c>
      <c r="AG4760">
        <v>-1.1102083821789901</v>
      </c>
      <c r="AH4760">
        <v>10.8526563480674</v>
      </c>
      <c r="AI4760">
        <v>95.532983781929502</v>
      </c>
      <c r="AJ4760">
        <v>71.251295372840303</v>
      </c>
      <c r="AK4760">
        <v>11.5144434573096</v>
      </c>
      <c r="AL4760">
        <v>79.270220570585096</v>
      </c>
      <c r="AM4760">
        <v>95.205277479804195</v>
      </c>
      <c r="AN4760">
        <v>0.99999998714069405</v>
      </c>
    </row>
    <row r="4761" spans="1:40" x14ac:dyDescent="0.25">
      <c r="A4761" t="str">
        <f>"20190304155156824"</f>
        <v>20190304155156824</v>
      </c>
      <c r="B4761" t="str">
        <f>"1551685916811279"</f>
        <v>1551685916811279</v>
      </c>
      <c r="C4761" t="s">
        <v>40</v>
      </c>
      <c r="D4761">
        <v>4.7302739999999996</v>
      </c>
      <c r="E4761">
        <v>0.66654159999999996</v>
      </c>
      <c r="F4761" t="s">
        <v>41</v>
      </c>
      <c r="G4761">
        <v>-352.95909999999998</v>
      </c>
      <c r="H4761" s="1">
        <v>-4.2990270000000004E-6</v>
      </c>
      <c r="I4761">
        <v>145.4229</v>
      </c>
      <c r="J4761">
        <v>-342.01170000000002</v>
      </c>
      <c r="K4761">
        <v>1.1102030000000001</v>
      </c>
      <c r="L4761">
        <v>141.68600000000001</v>
      </c>
      <c r="M4761">
        <v>-0.99994810000000001</v>
      </c>
      <c r="N4761">
        <v>-1.0061519999999999E-2</v>
      </c>
      <c r="O4761">
        <v>1.6484169999999999E-3</v>
      </c>
      <c r="P4761">
        <v>-0.98046460000000002</v>
      </c>
      <c r="Q4761">
        <v>0.1759646</v>
      </c>
      <c r="R4761">
        <v>-8.7896349999999998E-2</v>
      </c>
      <c r="S4761">
        <v>-3.2130130000000001</v>
      </c>
      <c r="T4761">
        <v>-0.31872929999999999</v>
      </c>
      <c r="U4761">
        <v>1.0729519999999999</v>
      </c>
      <c r="V4761">
        <v>-8.9505810000000005E-2</v>
      </c>
      <c r="W4761">
        <v>0.18582219999999999</v>
      </c>
      <c r="X4761">
        <v>0.97849830000000004</v>
      </c>
      <c r="Y4761">
        <v>0.31364880000000001</v>
      </c>
      <c r="Z4761">
        <v>1.6592340000000001E-2</v>
      </c>
      <c r="AA4761">
        <v>0.94939399999999996</v>
      </c>
      <c r="AB4761">
        <v>24</v>
      </c>
      <c r="AC4761">
        <v>-10.947399999999901</v>
      </c>
      <c r="AD4761">
        <v>-1.110207299027</v>
      </c>
      <c r="AE4761">
        <v>3.7368999999999901</v>
      </c>
      <c r="AF4761">
        <v>3.6849054621921802</v>
      </c>
      <c r="AG4761">
        <v>-1.110207299027</v>
      </c>
      <c r="AH4761">
        <v>10.853570214475001</v>
      </c>
      <c r="AI4761">
        <v>95.532378431785403</v>
      </c>
      <c r="AJ4761">
        <v>71.247089733573503</v>
      </c>
      <c r="AK4761">
        <v>11.515688208381</v>
      </c>
      <c r="AL4761">
        <v>79.290928343172197</v>
      </c>
      <c r="AM4761">
        <v>95.226450858324498</v>
      </c>
      <c r="AN4761">
        <v>1.00000005156974</v>
      </c>
    </row>
    <row r="4762" spans="1:40" x14ac:dyDescent="0.25">
      <c r="A4762" t="str">
        <f>"20190304155156844"</f>
        <v>20190304155156844</v>
      </c>
      <c r="B4762" t="str">
        <f>"1551685916841537"</f>
        <v>1551685916841537</v>
      </c>
      <c r="C4762" t="s">
        <v>40</v>
      </c>
      <c r="D4762">
        <v>4.9206059999999896</v>
      </c>
      <c r="E4762">
        <v>0.66671320000000001</v>
      </c>
      <c r="F4762" t="s">
        <v>41</v>
      </c>
      <c r="G4762">
        <v>-353.18029999999999</v>
      </c>
      <c r="H4762" s="1">
        <v>-4.2245449999999997E-6</v>
      </c>
      <c r="I4762">
        <v>145.4273</v>
      </c>
      <c r="J4762">
        <v>-342.22250000000003</v>
      </c>
      <c r="K4762">
        <v>1.110204</v>
      </c>
      <c r="L4762">
        <v>141.68639999999999</v>
      </c>
      <c r="M4762">
        <v>-0.99994810000000001</v>
      </c>
      <c r="N4762">
        <v>-1.006115E-2</v>
      </c>
      <c r="O4762">
        <v>1.6467400000000001E-3</v>
      </c>
      <c r="P4762">
        <v>-0.98036999999999996</v>
      </c>
      <c r="Q4762">
        <v>0.1764088</v>
      </c>
      <c r="R4762">
        <v>-8.8060949999999999E-2</v>
      </c>
      <c r="S4762">
        <v>-3.2136230000000001</v>
      </c>
      <c r="T4762">
        <v>-0.31945129999999999</v>
      </c>
      <c r="U4762">
        <v>1.076538</v>
      </c>
      <c r="V4762">
        <v>-8.9668929999999994E-2</v>
      </c>
      <c r="W4762">
        <v>0.18626490000000001</v>
      </c>
      <c r="X4762">
        <v>0.97839920000000002</v>
      </c>
      <c r="Y4762">
        <v>0.31453900000000001</v>
      </c>
      <c r="Z4762">
        <v>1.666873E-2</v>
      </c>
      <c r="AA4762">
        <v>0.9490982</v>
      </c>
      <c r="AB4762">
        <v>24</v>
      </c>
      <c r="AC4762">
        <v>-10.957799999999899</v>
      </c>
      <c r="AD4762">
        <v>-1.110208224545</v>
      </c>
      <c r="AE4762">
        <v>3.7409000000000101</v>
      </c>
      <c r="AF4762">
        <v>3.68893484857024</v>
      </c>
      <c r="AG4762">
        <v>-1.110208224545</v>
      </c>
      <c r="AH4762">
        <v>10.8640660773746</v>
      </c>
      <c r="AI4762">
        <v>95.526999531268501</v>
      </c>
      <c r="AJ4762">
        <v>71.244886488424399</v>
      </c>
      <c r="AK4762">
        <v>11.526870102174501</v>
      </c>
      <c r="AL4762">
        <v>79.265112918281005</v>
      </c>
      <c r="AM4762">
        <v>95.236450306509994</v>
      </c>
      <c r="AN4762">
        <v>1.0000000622699901</v>
      </c>
    </row>
    <row r="4763" spans="1:40" x14ac:dyDescent="0.25">
      <c r="A4763" t="str">
        <f>"20190304155156868"</f>
        <v>20190304155156868</v>
      </c>
      <c r="B4763" t="str">
        <f>"1551685916862035"</f>
        <v>1551685916862035</v>
      </c>
      <c r="C4763" t="s">
        <v>40</v>
      </c>
      <c r="D4763">
        <v>4.5985500000000004</v>
      </c>
      <c r="E4763">
        <v>0.56311259999999996</v>
      </c>
      <c r="F4763" t="s">
        <v>41</v>
      </c>
      <c r="G4763">
        <v>-353.428</v>
      </c>
      <c r="H4763" s="1">
        <v>-4.1430570000000001E-6</v>
      </c>
      <c r="I4763">
        <v>145.44309999999999</v>
      </c>
      <c r="J4763">
        <v>-342.47199999999998</v>
      </c>
      <c r="K4763">
        <v>1.11022</v>
      </c>
      <c r="L4763">
        <v>141.68680000000001</v>
      </c>
      <c r="M4763">
        <v>-0.99994810000000001</v>
      </c>
      <c r="N4763">
        <v>-1.006107E-2</v>
      </c>
      <c r="O4763">
        <v>1.637215E-3</v>
      </c>
      <c r="P4763">
        <v>-0.98019909999999999</v>
      </c>
      <c r="Q4763">
        <v>0.1774124</v>
      </c>
      <c r="R4763">
        <v>-8.7946389999999999E-2</v>
      </c>
      <c r="S4763">
        <v>-3.214172</v>
      </c>
      <c r="T4763">
        <v>-0.31845299999999999</v>
      </c>
      <c r="U4763">
        <v>1.0776059999999901</v>
      </c>
      <c r="V4763">
        <v>-8.9546130000000002E-2</v>
      </c>
      <c r="W4763">
        <v>0.18726599999999999</v>
      </c>
      <c r="X4763">
        <v>0.97821930000000001</v>
      </c>
      <c r="Y4763">
        <v>0.31479119999999999</v>
      </c>
      <c r="Z4763">
        <v>1.6633099999999901E-2</v>
      </c>
      <c r="AA4763">
        <v>0.94901519999999995</v>
      </c>
      <c r="AB4763">
        <v>24</v>
      </c>
      <c r="AC4763">
        <v>-10.956</v>
      </c>
      <c r="AD4763">
        <v>-1.1102241430569999</v>
      </c>
      <c r="AE4763">
        <v>3.75629999999998</v>
      </c>
      <c r="AF4763">
        <v>3.7043190969099302</v>
      </c>
      <c r="AG4763">
        <v>-1.1102241430569999</v>
      </c>
      <c r="AH4763">
        <v>10.8623255586103</v>
      </c>
      <c r="AI4763">
        <v>95.525494898618106</v>
      </c>
      <c r="AJ4763">
        <v>71.169366430530204</v>
      </c>
      <c r="AK4763">
        <v>11.530164533119001</v>
      </c>
      <c r="AL4763">
        <v>79.206726447211295</v>
      </c>
      <c r="AM4763">
        <v>95.230275233925795</v>
      </c>
      <c r="AN4763">
        <v>1.00000003152323</v>
      </c>
    </row>
    <row r="4764" spans="1:40" x14ac:dyDescent="0.25">
      <c r="A4764" t="str">
        <f>"20190304155156890"</f>
        <v>20190304155156890</v>
      </c>
      <c r="B4764" t="str">
        <f>"1551685916881552"</f>
        <v>1551685916881552</v>
      </c>
      <c r="C4764" t="s">
        <v>40</v>
      </c>
      <c r="D4764">
        <v>4.8246609999999999</v>
      </c>
      <c r="E4764">
        <v>0.55996840000000003</v>
      </c>
      <c r="F4764" t="s">
        <v>84</v>
      </c>
      <c r="G4764">
        <v>-409.86860000000001</v>
      </c>
      <c r="H4764" s="1">
        <v>-1.3340090000000001E-5</v>
      </c>
      <c r="I4764">
        <v>147.11750000000001</v>
      </c>
      <c r="J4764">
        <v>-342.7029</v>
      </c>
      <c r="K4764">
        <v>1.1102259999999999</v>
      </c>
      <c r="L4764">
        <v>141.68709999999999</v>
      </c>
      <c r="M4764">
        <v>-0.99994819999999995</v>
      </c>
      <c r="N4764">
        <v>-1.006133E-2</v>
      </c>
      <c r="O4764">
        <v>1.613745E-3</v>
      </c>
      <c r="P4764">
        <v>-0.98011859999999995</v>
      </c>
      <c r="Q4764">
        <v>0.17781229999999901</v>
      </c>
      <c r="R4764">
        <v>-8.8038359999999996E-2</v>
      </c>
      <c r="S4764">
        <v>-3.0921630000000002</v>
      </c>
      <c r="T4764">
        <v>-5.0937650000000001E-2</v>
      </c>
      <c r="U4764">
        <v>0.24916079999999999</v>
      </c>
      <c r="V4764">
        <v>-8.9618970000000006E-2</v>
      </c>
      <c r="W4764">
        <v>0.18766369999999999</v>
      </c>
      <c r="X4764">
        <v>0.97813640000000002</v>
      </c>
      <c r="Y4764">
        <v>7.8692010000000007E-2</v>
      </c>
      <c r="Z4764">
        <v>1.0332989999999999E-3</v>
      </c>
      <c r="AA4764">
        <v>0.99689839999999996</v>
      </c>
      <c r="AB4764">
        <v>24</v>
      </c>
      <c r="AC4764">
        <v>-67.165700000000001</v>
      </c>
      <c r="AD4764">
        <v>-1.1102393400899999</v>
      </c>
      <c r="AE4764">
        <v>5.4304000000000103</v>
      </c>
      <c r="AF4764">
        <v>5.3205548157443401</v>
      </c>
      <c r="AG4764">
        <v>-1.1102393400899999</v>
      </c>
      <c r="AH4764">
        <v>67.156145942059993</v>
      </c>
      <c r="AI4764">
        <v>90.9441813609983</v>
      </c>
      <c r="AJ4764">
        <v>85.470110753118803</v>
      </c>
      <c r="AK4764">
        <v>67.375729107230299</v>
      </c>
      <c r="AL4764">
        <v>79.183528529557094</v>
      </c>
      <c r="AM4764">
        <v>95.234947276278206</v>
      </c>
      <c r="AN4764">
        <v>1.00000002054325</v>
      </c>
    </row>
    <row r="4765" spans="1:40" x14ac:dyDescent="0.25">
      <c r="A4765" t="str">
        <f>"20190304155156922"</f>
        <v>20190304155156922</v>
      </c>
      <c r="B4765" t="str">
        <f>"1551685916911811"</f>
        <v>1551685916911811</v>
      </c>
      <c r="C4765" t="s">
        <v>40</v>
      </c>
      <c r="D4765">
        <v>4.7406920000000001</v>
      </c>
      <c r="E4765">
        <v>0.5105518</v>
      </c>
      <c r="F4765" t="s">
        <v>41</v>
      </c>
      <c r="G4765">
        <v>-393.9119</v>
      </c>
      <c r="H4765" s="1">
        <v>-3.9712019999999998E-6</v>
      </c>
      <c r="I4765">
        <v>145.4025</v>
      </c>
      <c r="J4765">
        <v>-343.05619999999999</v>
      </c>
      <c r="K4765">
        <v>1.1102339999999999</v>
      </c>
      <c r="L4765">
        <v>141.6876</v>
      </c>
      <c r="M4765">
        <v>-0.99994830000000001</v>
      </c>
      <c r="N4765">
        <v>-1.006223E-2</v>
      </c>
      <c r="O4765">
        <v>1.551534E-3</v>
      </c>
      <c r="P4765">
        <v>-0.98016630000000005</v>
      </c>
      <c r="Q4765">
        <v>0.17750650000000001</v>
      </c>
      <c r="R4765">
        <v>-8.8122880000000001E-2</v>
      </c>
      <c r="S4765">
        <v>-3.0932010000000001</v>
      </c>
      <c r="T4765">
        <v>-6.7061899999999994E-2</v>
      </c>
      <c r="U4765">
        <v>0.2244263</v>
      </c>
      <c r="V4765">
        <v>-8.9650939999999998E-2</v>
      </c>
      <c r="W4765">
        <v>0.18735550000000001</v>
      </c>
      <c r="X4765">
        <v>0.97819259999999997</v>
      </c>
      <c r="Y4765">
        <v>7.0792679999999997E-2</v>
      </c>
      <c r="Z4765">
        <v>1.1050159999999999E-3</v>
      </c>
      <c r="AA4765">
        <v>0.99749049999999995</v>
      </c>
      <c r="AB4765">
        <v>24</v>
      </c>
      <c r="AC4765">
        <v>-50.855699999999999</v>
      </c>
      <c r="AD4765">
        <v>-1.1102379712020001</v>
      </c>
      <c r="AE4765">
        <v>3.7149000000000001</v>
      </c>
      <c r="AF4765">
        <v>3.6342643035487301</v>
      </c>
      <c r="AG4765">
        <v>-1.1102379712020001</v>
      </c>
      <c r="AH4765">
        <v>50.8373024728118</v>
      </c>
      <c r="AI4765">
        <v>91.247902385025697</v>
      </c>
      <c r="AJ4765">
        <v>85.910987411534904</v>
      </c>
      <c r="AK4765">
        <v>50.979131299904601</v>
      </c>
      <c r="AL4765">
        <v>79.201506483015095</v>
      </c>
      <c r="AM4765">
        <v>95.236505174010105</v>
      </c>
      <c r="AN4765">
        <v>1.0000000685589401</v>
      </c>
    </row>
    <row r="4766" spans="1:40" x14ac:dyDescent="0.25">
      <c r="A4766" t="str">
        <f>"20190304155156946"</f>
        <v>20190304155156946</v>
      </c>
      <c r="B4766" t="str">
        <f>"1551685916942064"</f>
        <v>1551685916942064</v>
      </c>
      <c r="C4766" t="s">
        <v>40</v>
      </c>
      <c r="D4766">
        <v>4.9371689999999999</v>
      </c>
      <c r="E4766">
        <v>0.51255169999999906</v>
      </c>
      <c r="F4766" t="s">
        <v>41</v>
      </c>
      <c r="G4766">
        <v>-383.916</v>
      </c>
      <c r="H4766" s="1">
        <v>-2.6225650000000002E-6</v>
      </c>
      <c r="I4766">
        <v>139.44579999999999</v>
      </c>
      <c r="J4766">
        <v>-343.30239999999998</v>
      </c>
      <c r="K4766">
        <v>1.110244</v>
      </c>
      <c r="L4766">
        <v>141.68790000000001</v>
      </c>
      <c r="M4766">
        <v>-0.99994839999999996</v>
      </c>
      <c r="N4766">
        <v>-1.006319E-2</v>
      </c>
      <c r="O4766">
        <v>1.4829229999999999E-3</v>
      </c>
      <c r="P4766">
        <v>-0.9801742</v>
      </c>
      <c r="Q4766">
        <v>0.17734759999999999</v>
      </c>
      <c r="R4766">
        <v>-8.8356970000000007E-2</v>
      </c>
      <c r="S4766">
        <v>-3.0606689999999999</v>
      </c>
      <c r="T4766">
        <v>-8.3164329999999995E-2</v>
      </c>
      <c r="U4766">
        <v>-0.16792299999999999</v>
      </c>
      <c r="V4766">
        <v>-8.982445E-2</v>
      </c>
      <c r="W4766">
        <v>0.18719430000000001</v>
      </c>
      <c r="X4766">
        <v>0.97820750000000001</v>
      </c>
      <c r="Y4766">
        <v>-5.6234520000000003E-2</v>
      </c>
      <c r="Z4766">
        <v>-1.0718730000000001E-3</v>
      </c>
      <c r="AA4766">
        <v>0.998417</v>
      </c>
      <c r="AB4766">
        <v>24</v>
      </c>
      <c r="AC4766">
        <v>-40.613599999999998</v>
      </c>
      <c r="AD4766">
        <v>-1.1102466225650001</v>
      </c>
      <c r="AE4766">
        <v>-2.2421000000000202</v>
      </c>
      <c r="AF4766">
        <v>-2.3006133892558802</v>
      </c>
      <c r="AG4766">
        <v>-1.1102466225650001</v>
      </c>
      <c r="AH4766">
        <v>40.579996952010802</v>
      </c>
      <c r="AI4766">
        <v>91.564679104895802</v>
      </c>
      <c r="AJ4766">
        <v>93.244812596878305</v>
      </c>
      <c r="AK4766">
        <v>40.660319995727399</v>
      </c>
      <c r="AL4766">
        <v>79.210908443038704</v>
      </c>
      <c r="AM4766">
        <v>95.246503906801806</v>
      </c>
      <c r="AN4766">
        <v>1.0000000254132699</v>
      </c>
    </row>
    <row r="4767" spans="1:40" x14ac:dyDescent="0.25">
      <c r="A4767" t="str">
        <f>"20190304155156969"</f>
        <v>20190304155156969</v>
      </c>
      <c r="B4767" t="str">
        <f>"1551685916961584"</f>
        <v>1551685916961584</v>
      </c>
      <c r="C4767" t="s">
        <v>40</v>
      </c>
      <c r="D4767">
        <v>4.8946430000000003</v>
      </c>
      <c r="E4767">
        <v>0.51279989999999998</v>
      </c>
      <c r="F4767" t="s">
        <v>41</v>
      </c>
      <c r="G4767">
        <v>-381.59840000000003</v>
      </c>
      <c r="H4767" s="1">
        <v>-3.6290849999999999E-6</v>
      </c>
      <c r="I4767">
        <v>139.77610000000001</v>
      </c>
      <c r="J4767">
        <v>-343.54039999999998</v>
      </c>
      <c r="K4767">
        <v>1.110266</v>
      </c>
      <c r="L4767">
        <v>141.68819999999999</v>
      </c>
      <c r="M4767">
        <v>-0.99994850000000002</v>
      </c>
      <c r="N4767">
        <v>-1.006437E-2</v>
      </c>
      <c r="O4767">
        <v>1.3915900000000001E-3</v>
      </c>
      <c r="P4767">
        <v>-0.98017080000000001</v>
      </c>
      <c r="Q4767">
        <v>0.17731350000000001</v>
      </c>
      <c r="R4767">
        <v>-8.8462139999999995E-2</v>
      </c>
      <c r="S4767">
        <v>-3.0629879999999998</v>
      </c>
      <c r="T4767">
        <v>-8.8799829999999996E-2</v>
      </c>
      <c r="U4767">
        <v>-0.1529083</v>
      </c>
      <c r="V4767">
        <v>-8.9847479999999993E-2</v>
      </c>
      <c r="W4767">
        <v>0.18715780000000001</v>
      </c>
      <c r="X4767">
        <v>0.97821239999999998</v>
      </c>
      <c r="Y4767">
        <v>-5.1219899999999999E-2</v>
      </c>
      <c r="Z4767">
        <v>-1.02615E-3</v>
      </c>
      <c r="AA4767">
        <v>0.99868690000000004</v>
      </c>
      <c r="AB4767">
        <v>24</v>
      </c>
      <c r="AC4767">
        <v>-38.058</v>
      </c>
      <c r="AD4767">
        <v>-1.110269629085</v>
      </c>
      <c r="AE4767">
        <v>-1.9120999999999799</v>
      </c>
      <c r="AF4767">
        <v>-1.96339517866903</v>
      </c>
      <c r="AG4767">
        <v>-1.110269629085</v>
      </c>
      <c r="AH4767">
        <v>38.023023398277402</v>
      </c>
      <c r="AI4767">
        <v>91.670333382834201</v>
      </c>
      <c r="AJ4767">
        <v>92.955957277792294</v>
      </c>
      <c r="AK4767">
        <v>38.089866468955201</v>
      </c>
      <c r="AL4767">
        <v>79.213037694623495</v>
      </c>
      <c r="AM4767">
        <v>95.247815402761503</v>
      </c>
      <c r="AN4767">
        <v>1.0000000556384701</v>
      </c>
    </row>
    <row r="4768" spans="1:40" x14ac:dyDescent="0.25">
      <c r="A4768" t="str">
        <f>"20190304155156990"</f>
        <v>20190304155156990</v>
      </c>
      <c r="B4768" t="str">
        <f>"1551685916982082"</f>
        <v>1551685916982082</v>
      </c>
      <c r="C4768" t="s">
        <v>40</v>
      </c>
      <c r="D4768">
        <v>4.719919</v>
      </c>
      <c r="E4768">
        <v>0.51257810000000004</v>
      </c>
      <c r="F4768" t="s">
        <v>41</v>
      </c>
      <c r="G4768">
        <v>-380.45839999999998</v>
      </c>
      <c r="H4768" s="1">
        <v>-4.1446190000000004E-6</v>
      </c>
      <c r="I4768">
        <v>139.87559999999999</v>
      </c>
      <c r="J4768">
        <v>-343.7765</v>
      </c>
      <c r="K4768">
        <v>1.110279</v>
      </c>
      <c r="L4768">
        <v>141.6884</v>
      </c>
      <c r="M4768">
        <v>-0.99994850000000002</v>
      </c>
      <c r="N4768">
        <v>-1.006571E-2</v>
      </c>
      <c r="O4768">
        <v>1.277855E-3</v>
      </c>
      <c r="P4768">
        <v>-0.98006249999999995</v>
      </c>
      <c r="Q4768">
        <v>0.17732690000000001</v>
      </c>
      <c r="R4768">
        <v>-8.9623770000000005E-2</v>
      </c>
      <c r="S4768">
        <v>-3.063812</v>
      </c>
      <c r="T4768">
        <v>-9.2140910000000006E-2</v>
      </c>
      <c r="U4768">
        <v>-0.1504211</v>
      </c>
      <c r="V4768">
        <v>-9.0904209999999999E-2</v>
      </c>
      <c r="W4768">
        <v>0.1871681</v>
      </c>
      <c r="X4768">
        <v>0.9781128</v>
      </c>
      <c r="Y4768">
        <v>-5.0282800000000002E-2</v>
      </c>
      <c r="Z4768">
        <v>-1.0343220000000001E-3</v>
      </c>
      <c r="AA4768">
        <v>0.99873449999999997</v>
      </c>
      <c r="AB4768">
        <v>24</v>
      </c>
      <c r="AC4768">
        <v>-36.681899999999899</v>
      </c>
      <c r="AD4768">
        <v>-1.110283144619</v>
      </c>
      <c r="AE4768">
        <v>-1.81280000000001</v>
      </c>
      <c r="AF4768">
        <v>-1.85797701711901</v>
      </c>
      <c r="AG4768">
        <v>-1.110283144619</v>
      </c>
      <c r="AH4768">
        <v>36.646062151817702</v>
      </c>
      <c r="AI4768">
        <v>91.733161774708407</v>
      </c>
      <c r="AJ4768">
        <v>92.902444638766895</v>
      </c>
      <c r="AK4768">
        <v>36.709926157542903</v>
      </c>
      <c r="AL4768">
        <v>79.212436993661797</v>
      </c>
      <c r="AM4768">
        <v>95.309723798753097</v>
      </c>
      <c r="AN4768">
        <v>1.00000006128858</v>
      </c>
    </row>
    <row r="4769" spans="1:40" x14ac:dyDescent="0.25">
      <c r="A4769" t="str">
        <f>"20190304155157012"</f>
        <v>20190304155157012</v>
      </c>
      <c r="B4769" t="str">
        <f>"1551685917001600"</f>
        <v>1551685917001600</v>
      </c>
      <c r="C4769" t="s">
        <v>40</v>
      </c>
      <c r="D4769">
        <v>4.7642160000000002</v>
      </c>
      <c r="E4769">
        <v>0.51254040000000001</v>
      </c>
      <c r="F4769" t="s">
        <v>41</v>
      </c>
      <c r="G4769">
        <v>-379.33539999999999</v>
      </c>
      <c r="H4769" s="1">
        <v>-3.3971540000000002E-7</v>
      </c>
      <c r="I4769">
        <v>139.8878</v>
      </c>
      <c r="J4769">
        <v>-344.00869999999998</v>
      </c>
      <c r="K4769">
        <v>1.110287</v>
      </c>
      <c r="L4769">
        <v>141.68860000000001</v>
      </c>
      <c r="M4769">
        <v>-0.99994870000000002</v>
      </c>
      <c r="N4769">
        <v>-1.006719E-2</v>
      </c>
      <c r="O4769">
        <v>1.1501510000000001E-3</v>
      </c>
      <c r="P4769">
        <v>-0.98000520000000002</v>
      </c>
      <c r="Q4769">
        <v>0.17740439999999999</v>
      </c>
      <c r="R4769">
        <v>-9.0098940000000002E-2</v>
      </c>
      <c r="S4769">
        <v>-3.0641780000000001</v>
      </c>
      <c r="T4769">
        <v>-9.5674990000000001E-2</v>
      </c>
      <c r="U4769">
        <v>-0.15515139999999999</v>
      </c>
      <c r="V4769">
        <v>-9.1259199999999999E-2</v>
      </c>
      <c r="W4769">
        <v>0.18724399999999999</v>
      </c>
      <c r="X4769">
        <v>0.97806510000000002</v>
      </c>
      <c r="Y4769">
        <v>-5.1684340000000002E-2</v>
      </c>
      <c r="Z4769">
        <v>-1.090901E-3</v>
      </c>
      <c r="AA4769">
        <v>0.99866290000000002</v>
      </c>
      <c r="AB4769">
        <v>24</v>
      </c>
      <c r="AC4769">
        <v>-35.326700000000002</v>
      </c>
      <c r="AD4769">
        <v>-1.1102873397153901</v>
      </c>
      <c r="AE4769">
        <v>-1.8008</v>
      </c>
      <c r="AF4769">
        <v>-1.83961945764421</v>
      </c>
      <c r="AG4769">
        <v>-1.1102873397153901</v>
      </c>
      <c r="AH4769">
        <v>35.289836732946398</v>
      </c>
      <c r="AI4769">
        <v>91.799601077103205</v>
      </c>
      <c r="AJ4769">
        <v>92.984063451100198</v>
      </c>
      <c r="AK4769">
        <v>35.355190769725603</v>
      </c>
      <c r="AL4769">
        <v>79.208008745543694</v>
      </c>
      <c r="AM4769">
        <v>95.330598058135706</v>
      </c>
      <c r="AN4769">
        <v>0.99999994847932305</v>
      </c>
    </row>
    <row r="4770" spans="1:40" x14ac:dyDescent="0.25">
      <c r="A4770" t="str">
        <f>"20190304155157034"</f>
        <v>20190304155157034</v>
      </c>
      <c r="B4770" t="str">
        <f>"1551685917031856"</f>
        <v>1551685917031856</v>
      </c>
      <c r="C4770" t="s">
        <v>40</v>
      </c>
      <c r="D4770">
        <v>4.7786059999999999</v>
      </c>
      <c r="E4770">
        <v>0.51253870000000001</v>
      </c>
      <c r="F4770" t="s">
        <v>41</v>
      </c>
      <c r="G4770">
        <v>-379.37849999999997</v>
      </c>
      <c r="H4770" s="1">
        <v>-3.1905349999999998E-7</v>
      </c>
      <c r="I4770">
        <v>139.87979999999999</v>
      </c>
      <c r="J4770">
        <v>-344.24880000000002</v>
      </c>
      <c r="K4770">
        <v>1.1102920000000001</v>
      </c>
      <c r="L4770">
        <v>141.68870000000001</v>
      </c>
      <c r="M4770">
        <v>-0.99994890000000003</v>
      </c>
      <c r="N4770">
        <v>-1.0068830000000001E-2</v>
      </c>
      <c r="O4770">
        <v>1.0069969999999999E-3</v>
      </c>
      <c r="P4770">
        <v>-0.97997699999999999</v>
      </c>
      <c r="Q4770">
        <v>0.17706129999999901</v>
      </c>
      <c r="R4770">
        <v>-9.1077290000000005E-2</v>
      </c>
      <c r="S4770">
        <v>-3.064209</v>
      </c>
      <c r="T4770">
        <v>-9.6188070000000001E-2</v>
      </c>
      <c r="U4770">
        <v>-0.15669249999999901</v>
      </c>
      <c r="V4770">
        <v>-9.2101039999999995E-2</v>
      </c>
      <c r="W4770">
        <v>0.18690019999999999</v>
      </c>
      <c r="X4770">
        <v>0.97805200000000003</v>
      </c>
      <c r="Y4770">
        <v>-5.2041320000000002E-2</v>
      </c>
      <c r="Z4770">
        <v>-1.099788E-3</v>
      </c>
      <c r="AA4770">
        <v>0.99864439999999999</v>
      </c>
      <c r="AB4770">
        <v>24</v>
      </c>
      <c r="AC4770">
        <v>-35.1296999999999</v>
      </c>
      <c r="AD4770">
        <v>-1.1102923190534999</v>
      </c>
      <c r="AE4770">
        <v>-1.8089000000000199</v>
      </c>
      <c r="AF4770">
        <v>-1.8424408118497</v>
      </c>
      <c r="AG4770">
        <v>-1.1102923190534999</v>
      </c>
      <c r="AH4770">
        <v>35.092898635497001</v>
      </c>
      <c r="AI4770">
        <v>91.809666497632705</v>
      </c>
      <c r="AJ4770">
        <v>93.005372967784794</v>
      </c>
      <c r="AK4770">
        <v>35.158766642477403</v>
      </c>
      <c r="AL4770">
        <v>79.228061602331806</v>
      </c>
      <c r="AM4770">
        <v>95.379555760817098</v>
      </c>
      <c r="AN4770">
        <v>1.0000000005165599</v>
      </c>
    </row>
    <row r="4771" spans="1:40" x14ac:dyDescent="0.25">
      <c r="A4771" t="str">
        <f>"20190304155157057"</f>
        <v>20190304155157057</v>
      </c>
      <c r="B4771" t="str">
        <f>"1551685917051376"</f>
        <v>1551685917051376</v>
      </c>
      <c r="C4771" t="s">
        <v>40</v>
      </c>
      <c r="D4771">
        <v>4.7548890000000004</v>
      </c>
      <c r="E4771">
        <v>0.51252390000000003</v>
      </c>
      <c r="F4771" t="s">
        <v>41</v>
      </c>
      <c r="G4771">
        <v>-378.90370000000001</v>
      </c>
      <c r="H4771" s="1">
        <v>-5.2307499999999996E-7</v>
      </c>
      <c r="I4771">
        <v>139.8811</v>
      </c>
      <c r="J4771">
        <v>-344.4905</v>
      </c>
      <c r="K4771">
        <v>1.110295</v>
      </c>
      <c r="L4771">
        <v>141.68879999999999</v>
      </c>
      <c r="M4771">
        <v>-0.99994910000000004</v>
      </c>
      <c r="N4771">
        <v>-1.0070620000000001E-2</v>
      </c>
      <c r="O4771">
        <v>8.5614350000000003E-4</v>
      </c>
      <c r="P4771">
        <v>-0.97994769999999998</v>
      </c>
      <c r="Q4771">
        <v>0.17679420000000001</v>
      </c>
      <c r="R4771">
        <v>-9.1905630000000002E-2</v>
      </c>
      <c r="S4771">
        <v>-3.0641479999999999</v>
      </c>
      <c r="T4771">
        <v>-9.8170759999999996E-2</v>
      </c>
      <c r="U4771">
        <v>-0.15982060000000001</v>
      </c>
      <c r="V4771">
        <v>-9.2782970000000006E-2</v>
      </c>
      <c r="W4771">
        <v>0.1866341</v>
      </c>
      <c r="X4771">
        <v>0.97803839999999997</v>
      </c>
      <c r="Y4771">
        <v>-5.2906620000000001E-2</v>
      </c>
      <c r="Z4771">
        <v>-1.1322000000000001E-3</v>
      </c>
      <c r="AA4771">
        <v>0.99859880000000001</v>
      </c>
      <c r="AB4771">
        <v>24</v>
      </c>
      <c r="AC4771">
        <v>-34.413200000000003</v>
      </c>
      <c r="AD4771">
        <v>-1.110295523075</v>
      </c>
      <c r="AE4771">
        <v>-1.8076999999999801</v>
      </c>
      <c r="AF4771">
        <v>-1.8352583209600699</v>
      </c>
      <c r="AG4771">
        <v>-1.110295523075</v>
      </c>
      <c r="AH4771">
        <v>34.375954705516698</v>
      </c>
      <c r="AI4771">
        <v>91.847301933211796</v>
      </c>
      <c r="AJ4771">
        <v>93.055997233560802</v>
      </c>
      <c r="AK4771">
        <v>34.442810442368803</v>
      </c>
      <c r="AL4771">
        <v>79.243581509470303</v>
      </c>
      <c r="AM4771">
        <v>95.419225452189707</v>
      </c>
      <c r="AN4771">
        <v>1.00000003933969</v>
      </c>
    </row>
    <row r="4772" spans="1:40" x14ac:dyDescent="0.25">
      <c r="A4772" t="str">
        <f>"20190304155157080"</f>
        <v>20190304155157080</v>
      </c>
      <c r="B4772" t="str">
        <f>"1551685917071872"</f>
        <v>1551685917071872</v>
      </c>
      <c r="C4772" t="s">
        <v>40</v>
      </c>
      <c r="D4772">
        <v>4.6885209999999997</v>
      </c>
      <c r="E4772">
        <v>0.51248679999999902</v>
      </c>
      <c r="F4772" t="s">
        <v>41</v>
      </c>
      <c r="G4772">
        <v>-378.02870000000001</v>
      </c>
      <c r="H4772" s="1">
        <v>-9.0624659999999995E-7</v>
      </c>
      <c r="I4772">
        <v>139.91040000000001</v>
      </c>
      <c r="J4772">
        <v>-344.73160000000001</v>
      </c>
      <c r="K4772">
        <v>1.1102939999999999</v>
      </c>
      <c r="L4772">
        <v>141.68879999999999</v>
      </c>
      <c r="M4772">
        <v>-0.99994919999999998</v>
      </c>
      <c r="N4772">
        <v>-1.007251E-2</v>
      </c>
      <c r="O4772">
        <v>7.0341860000000002E-4</v>
      </c>
      <c r="P4772">
        <v>-0.97987120000000005</v>
      </c>
      <c r="Q4772">
        <v>0.17687459999999999</v>
      </c>
      <c r="R4772">
        <v>-9.2563640000000003E-2</v>
      </c>
      <c r="S4772">
        <v>-3.064514</v>
      </c>
      <c r="T4772">
        <v>-0.101452</v>
      </c>
      <c r="U4772">
        <v>-0.16249079999999999</v>
      </c>
      <c r="V4772">
        <v>-9.3292150000000004E-2</v>
      </c>
      <c r="W4772">
        <v>0.18671560000000001</v>
      </c>
      <c r="X4772">
        <v>0.97797440000000002</v>
      </c>
      <c r="Y4772">
        <v>-5.3613029999999999E-2</v>
      </c>
      <c r="Z4772">
        <v>-1.1730620000000001E-3</v>
      </c>
      <c r="AA4772">
        <v>0.99856109999999998</v>
      </c>
      <c r="AB4772">
        <v>24</v>
      </c>
      <c r="AC4772">
        <v>-33.2971</v>
      </c>
      <c r="AD4772">
        <v>-1.1102949062466001</v>
      </c>
      <c r="AE4772">
        <v>-1.77839999999997</v>
      </c>
      <c r="AF4772">
        <v>-1.7998270169407999</v>
      </c>
      <c r="AG4772">
        <v>-1.1102949062466001</v>
      </c>
      <c r="AH4772">
        <v>33.258965444730897</v>
      </c>
      <c r="AI4772">
        <v>91.909222197606795</v>
      </c>
      <c r="AJ4772">
        <v>93.097570913163494</v>
      </c>
      <c r="AK4772">
        <v>33.326129606114598</v>
      </c>
      <c r="AL4772">
        <v>79.238828291064806</v>
      </c>
      <c r="AM4772">
        <v>95.449141333949797</v>
      </c>
      <c r="AN4772">
        <v>1.00000003379517</v>
      </c>
    </row>
    <row r="4773" spans="1:40" x14ac:dyDescent="0.25">
      <c r="A4773" t="str">
        <f>"20190304155157102"</f>
        <v>20190304155157102</v>
      </c>
      <c r="B4773" t="str">
        <f>"1551685917091392"</f>
        <v>1551685917091392</v>
      </c>
      <c r="C4773" t="s">
        <v>40</v>
      </c>
      <c r="D4773">
        <v>4.7186810000000001</v>
      </c>
      <c r="E4773">
        <v>0.51254739999999999</v>
      </c>
      <c r="F4773" t="s">
        <v>41</v>
      </c>
      <c r="G4773">
        <v>-377.73020000000002</v>
      </c>
      <c r="H4773" s="1">
        <v>-1.0346110000000001E-6</v>
      </c>
      <c r="I4773">
        <v>139.91149999999999</v>
      </c>
      <c r="J4773">
        <v>-344.9708</v>
      </c>
      <c r="K4773">
        <v>1.11029</v>
      </c>
      <c r="L4773">
        <v>141.68879999999999</v>
      </c>
      <c r="M4773">
        <v>-0.99994919999999998</v>
      </c>
      <c r="N4773">
        <v>-1.007447E-2</v>
      </c>
      <c r="O4773">
        <v>5.5243899999999995E-4</v>
      </c>
      <c r="P4773">
        <v>-0.97980230000000001</v>
      </c>
      <c r="Q4773">
        <v>0.17674300000000001</v>
      </c>
      <c r="R4773">
        <v>-9.3539769999999994E-2</v>
      </c>
      <c r="S4773">
        <v>-3.0646360000000001</v>
      </c>
      <c r="T4773">
        <v>-0.103115</v>
      </c>
      <c r="U4773">
        <v>-0.16505429999999999</v>
      </c>
      <c r="V4773">
        <v>-9.4119919999999996E-2</v>
      </c>
      <c r="W4773">
        <v>0.1865849</v>
      </c>
      <c r="X4773">
        <v>0.97792000000000001</v>
      </c>
      <c r="Y4773">
        <v>-5.429146E-2</v>
      </c>
      <c r="Z4773">
        <v>-1.199238E-3</v>
      </c>
      <c r="AA4773">
        <v>0.99852439999999998</v>
      </c>
      <c r="AB4773">
        <v>24</v>
      </c>
      <c r="AC4773">
        <v>-32.759399999999999</v>
      </c>
      <c r="AD4773">
        <v>-1.110291034611</v>
      </c>
      <c r="AE4773">
        <v>-1.7772999999999901</v>
      </c>
      <c r="AF4773">
        <v>-1.7933442695352</v>
      </c>
      <c r="AG4773">
        <v>-1.110291034611</v>
      </c>
      <c r="AH4773">
        <v>32.720937285032001</v>
      </c>
      <c r="AI4773">
        <v>91.940512008234293</v>
      </c>
      <c r="AJ4773">
        <v>93.137084968955804</v>
      </c>
      <c r="AK4773">
        <v>32.788848205778898</v>
      </c>
      <c r="AL4773">
        <v>79.246450494171299</v>
      </c>
      <c r="AM4773">
        <v>95.497499955410206</v>
      </c>
      <c r="AN4773">
        <v>1.0000000053244</v>
      </c>
    </row>
    <row r="4774" spans="1:40" x14ac:dyDescent="0.25">
      <c r="A4774" t="str">
        <f>"20190304155157124"</f>
        <v>20190304155157124</v>
      </c>
      <c r="B4774" t="str">
        <f>"1551685917121649"</f>
        <v>1551685917121649</v>
      </c>
      <c r="C4774" t="s">
        <v>40</v>
      </c>
      <c r="D4774">
        <v>4.7237039999999997</v>
      </c>
      <c r="E4774">
        <v>0.51271299999999997</v>
      </c>
      <c r="F4774" t="s">
        <v>41</v>
      </c>
      <c r="G4774">
        <v>-377.83600000000001</v>
      </c>
      <c r="H4774" s="1">
        <v>-9.8297550000000001E-7</v>
      </c>
      <c r="I4774">
        <v>139.88800000000001</v>
      </c>
      <c r="J4774">
        <v>-345.2079</v>
      </c>
      <c r="K4774">
        <v>1.1102890000000001</v>
      </c>
      <c r="L4774">
        <v>141.68879999999999</v>
      </c>
      <c r="M4774">
        <v>-0.99994919999999998</v>
      </c>
      <c r="N4774">
        <v>-1.00765E-2</v>
      </c>
      <c r="O4774">
        <v>4.0581690000000001E-4</v>
      </c>
      <c r="P4774">
        <v>-0.97979930000000004</v>
      </c>
      <c r="Q4774">
        <v>0.17665980000000001</v>
      </c>
      <c r="R4774">
        <v>-9.3727409999999997E-2</v>
      </c>
      <c r="S4774">
        <v>-3.0645449999999999</v>
      </c>
      <c r="T4774">
        <v>-0.1035302</v>
      </c>
      <c r="U4774">
        <v>-0.16790769999999999</v>
      </c>
      <c r="V4774">
        <v>-9.4163369999999996E-2</v>
      </c>
      <c r="W4774">
        <v>0.18650430000000001</v>
      </c>
      <c r="X4774">
        <v>0.9779312</v>
      </c>
      <c r="Y4774">
        <v>-5.5072799999999998E-2</v>
      </c>
      <c r="Z4774">
        <v>-1.216705E-3</v>
      </c>
      <c r="AA4774">
        <v>0.99848159999999997</v>
      </c>
      <c r="AB4774">
        <v>24</v>
      </c>
      <c r="AC4774">
        <v>-32.628100000000003</v>
      </c>
      <c r="AD4774">
        <v>-1.1102899829755</v>
      </c>
      <c r="AE4774">
        <v>-1.80079999999998</v>
      </c>
      <c r="AF4774">
        <v>-1.81194978480293</v>
      </c>
      <c r="AG4774">
        <v>-1.1102899829755</v>
      </c>
      <c r="AH4774">
        <v>32.589743836514302</v>
      </c>
      <c r="AI4774">
        <v>91.948231085671694</v>
      </c>
      <c r="AJ4774">
        <v>93.182298698595503</v>
      </c>
      <c r="AK4774">
        <v>32.658954502533703</v>
      </c>
      <c r="AL4774">
        <v>79.251151129167198</v>
      </c>
      <c r="AM4774">
        <v>95.499959686758402</v>
      </c>
      <c r="AN4774">
        <v>1.00000001305084</v>
      </c>
    </row>
    <row r="4775" spans="1:40" x14ac:dyDescent="0.25">
      <c r="A4775" t="str">
        <f>"20190304155157147"</f>
        <v>20190304155157147</v>
      </c>
      <c r="B4775" t="str">
        <f>"1551685917142144"</f>
        <v>1551685917142144</v>
      </c>
      <c r="C4775" t="s">
        <v>40</v>
      </c>
      <c r="D4775">
        <v>4.6278059999999996</v>
      </c>
      <c r="E4775">
        <v>0.51289649999999998</v>
      </c>
      <c r="F4775" t="s">
        <v>41</v>
      </c>
      <c r="G4775">
        <v>-378.08269999999999</v>
      </c>
      <c r="H4775" s="1">
        <v>-8.7930819999999999E-7</v>
      </c>
      <c r="I4775">
        <v>139.89609999999999</v>
      </c>
      <c r="J4775">
        <v>-345.4529</v>
      </c>
      <c r="K4775">
        <v>1.110284</v>
      </c>
      <c r="L4775">
        <v>141.68870000000001</v>
      </c>
      <c r="M4775">
        <v>-0.99994919999999998</v>
      </c>
      <c r="N4775">
        <v>-1.007865E-2</v>
      </c>
      <c r="O4775">
        <v>2.5818180000000002E-4</v>
      </c>
      <c r="P4775">
        <v>-0.97981390000000002</v>
      </c>
      <c r="Q4775">
        <v>0.17667289999999999</v>
      </c>
      <c r="R4775">
        <v>-9.3549709999999994E-2</v>
      </c>
      <c r="S4775">
        <v>-3.064514</v>
      </c>
      <c r="T4775">
        <v>-0.1034989</v>
      </c>
      <c r="U4775">
        <v>-0.167099</v>
      </c>
      <c r="V4775">
        <v>-9.3840389999999996E-2</v>
      </c>
      <c r="W4775">
        <v>0.18651980000000001</v>
      </c>
      <c r="X4775">
        <v>0.97795929999999998</v>
      </c>
      <c r="Y4775">
        <v>-5.466356E-2</v>
      </c>
      <c r="Z4775">
        <v>-1.20403E-3</v>
      </c>
      <c r="AA4775">
        <v>0.99850410000000001</v>
      </c>
      <c r="AB4775">
        <v>24</v>
      </c>
      <c r="AC4775">
        <v>-32.629799999999904</v>
      </c>
      <c r="AD4775">
        <v>-1.1102848793081901</v>
      </c>
      <c r="AE4775">
        <v>-1.79260000000002</v>
      </c>
      <c r="AF4775">
        <v>-1.79894820253962</v>
      </c>
      <c r="AG4775">
        <v>-1.1102848793081901</v>
      </c>
      <c r="AH4775">
        <v>32.591714369298998</v>
      </c>
      <c r="AI4775">
        <v>91.9481476851347</v>
      </c>
      <c r="AJ4775">
        <v>93.159320014203999</v>
      </c>
      <c r="AK4775">
        <v>32.660201969348101</v>
      </c>
      <c r="AL4775">
        <v>79.250247296655004</v>
      </c>
      <c r="AM4775">
        <v>95.481053395594998</v>
      </c>
      <c r="AN4775">
        <v>1.00000002352194</v>
      </c>
    </row>
    <row r="4776" spans="1:40" x14ac:dyDescent="0.25">
      <c r="A4776" t="str">
        <f>"20190304155157170"</f>
        <v>20190304155157170</v>
      </c>
      <c r="B4776" t="str">
        <f>"1551685917161666"</f>
        <v>1551685917161666</v>
      </c>
      <c r="C4776" t="s">
        <v>40</v>
      </c>
      <c r="D4776">
        <v>4.6734400000000003</v>
      </c>
      <c r="E4776">
        <v>0.51300970000000001</v>
      </c>
      <c r="F4776" t="s">
        <v>41</v>
      </c>
      <c r="G4776">
        <v>-378.3877</v>
      </c>
      <c r="H4776" s="1">
        <v>-7.5300939999999898E-7</v>
      </c>
      <c r="I4776">
        <v>139.91329999999999</v>
      </c>
      <c r="J4776">
        <v>-345.70089999999999</v>
      </c>
      <c r="K4776">
        <v>1.110284</v>
      </c>
      <c r="L4776">
        <v>141.68860000000001</v>
      </c>
      <c r="M4776">
        <v>-0.99994930000000004</v>
      </c>
      <c r="N4776">
        <v>-1.00809E-2</v>
      </c>
      <c r="O4776">
        <v>1.12687E-4</v>
      </c>
      <c r="P4776">
        <v>-0.9797382</v>
      </c>
      <c r="Q4776">
        <v>0.17726430000000001</v>
      </c>
      <c r="R4776">
        <v>-9.3223650000000005E-2</v>
      </c>
      <c r="S4776">
        <v>-3.0646969999999998</v>
      </c>
      <c r="T4776">
        <v>-0.1033158</v>
      </c>
      <c r="U4776">
        <v>-0.16520689999999999</v>
      </c>
      <c r="V4776">
        <v>-9.3371709999999997E-2</v>
      </c>
      <c r="W4776">
        <v>0.18711330000000001</v>
      </c>
      <c r="X4776">
        <v>0.9778907</v>
      </c>
      <c r="Y4776">
        <v>-5.3901089999999999E-2</v>
      </c>
      <c r="Z4776">
        <v>-1.18228E-3</v>
      </c>
      <c r="AA4776">
        <v>0.99854560000000003</v>
      </c>
      <c r="AB4776">
        <v>24</v>
      </c>
      <c r="AC4776">
        <v>-32.686799999999998</v>
      </c>
      <c r="AD4776">
        <v>-1.1102847530094</v>
      </c>
      <c r="AE4776">
        <v>-1.7753000000000101</v>
      </c>
      <c r="AF4776">
        <v>-1.7769393813464001</v>
      </c>
      <c r="AG4776">
        <v>-1.1102847530094</v>
      </c>
      <c r="AH4776">
        <v>32.649040631359298</v>
      </c>
      <c r="AI4776">
        <v>91.9448113484967</v>
      </c>
      <c r="AJ4776">
        <v>93.115276201955695</v>
      </c>
      <c r="AK4776">
        <v>32.716205463743698</v>
      </c>
      <c r="AL4776">
        <v>79.215631970802605</v>
      </c>
      <c r="AM4776">
        <v>95.454224366979105</v>
      </c>
      <c r="AN4776">
        <v>0.99999994220584998</v>
      </c>
    </row>
    <row r="4777" spans="1:40" x14ac:dyDescent="0.25">
      <c r="A4777" t="str">
        <f>"20190304155157191"</f>
        <v>20190304155157191</v>
      </c>
      <c r="B4777" t="str">
        <f>"1551685917182160"</f>
        <v>1551685917182160</v>
      </c>
      <c r="C4777" t="s">
        <v>40</v>
      </c>
      <c r="D4777">
        <v>4.6467739999999997</v>
      </c>
      <c r="E4777">
        <v>0.51312250000000004</v>
      </c>
      <c r="F4777" t="s">
        <v>41</v>
      </c>
      <c r="G4777">
        <v>-379.76749999999998</v>
      </c>
      <c r="H4777" s="1">
        <v>-1.506045E-7</v>
      </c>
      <c r="I4777">
        <v>139.87379999999999</v>
      </c>
      <c r="J4777">
        <v>-345.93689999999998</v>
      </c>
      <c r="K4777">
        <v>1.110285</v>
      </c>
      <c r="L4777">
        <v>141.6885</v>
      </c>
      <c r="M4777">
        <v>-0.99994919999999998</v>
      </c>
      <c r="N4777">
        <v>-1.0083079999999999E-2</v>
      </c>
      <c r="O4777" s="1">
        <v>-2.368745E-5</v>
      </c>
      <c r="P4777">
        <v>-0.97977449999999999</v>
      </c>
      <c r="Q4777">
        <v>0.17743059999999999</v>
      </c>
      <c r="R4777">
        <v>-9.2523170000000002E-2</v>
      </c>
      <c r="S4777">
        <v>-3.0646059999999999</v>
      </c>
      <c r="T4777">
        <v>-9.9880460000000004E-2</v>
      </c>
      <c r="U4777">
        <v>-0.16325379999999901</v>
      </c>
      <c r="V4777">
        <v>-9.2537240000000007E-2</v>
      </c>
      <c r="W4777">
        <v>0.18728239999999999</v>
      </c>
      <c r="X4777">
        <v>0.97793770000000002</v>
      </c>
      <c r="Y4777">
        <v>-5.3134790000000001E-2</v>
      </c>
      <c r="Z4777">
        <v>-1.1326699999999999E-3</v>
      </c>
      <c r="AA4777">
        <v>0.99858670000000005</v>
      </c>
      <c r="AB4777">
        <v>24</v>
      </c>
      <c r="AC4777">
        <v>-33.830599999999997</v>
      </c>
      <c r="AD4777">
        <v>-1.1102851506044999</v>
      </c>
      <c r="AE4777">
        <v>-1.81470000000001</v>
      </c>
      <c r="AF4777">
        <v>-1.8119525719824401</v>
      </c>
      <c r="AG4777">
        <v>-1.1102851506044999</v>
      </c>
      <c r="AH4777">
        <v>33.794348051995101</v>
      </c>
      <c r="AI4777">
        <v>91.879031224170305</v>
      </c>
      <c r="AJ4777">
        <v>93.069090784965795</v>
      </c>
      <c r="AK4777">
        <v>33.861096637559598</v>
      </c>
      <c r="AL4777">
        <v>79.205769436414002</v>
      </c>
      <c r="AM4777">
        <v>95.405511336534303</v>
      </c>
      <c r="AN4777">
        <v>0.99999999160893305</v>
      </c>
    </row>
    <row r="4778" spans="1:40" x14ac:dyDescent="0.25">
      <c r="A4778" t="str">
        <f>"20190304155157213"</f>
        <v>20190304155157213</v>
      </c>
      <c r="B4778" t="str">
        <f>"1551685917201681"</f>
        <v>1551685917201681</v>
      </c>
      <c r="C4778" t="s">
        <v>40</v>
      </c>
      <c r="D4778">
        <v>4.5578709999999996</v>
      </c>
      <c r="E4778">
        <v>0.51325889999999996</v>
      </c>
      <c r="F4778" t="s">
        <v>41</v>
      </c>
      <c r="G4778">
        <v>-380.65010000000001</v>
      </c>
      <c r="H4778" s="1">
        <v>-4.0617870000000001E-6</v>
      </c>
      <c r="I4778">
        <v>139.8732</v>
      </c>
      <c r="J4778">
        <v>-346.16730000000001</v>
      </c>
      <c r="K4778">
        <v>1.110285</v>
      </c>
      <c r="L4778">
        <v>141.6884</v>
      </c>
      <c r="M4778">
        <v>-0.99994930000000004</v>
      </c>
      <c r="N4778">
        <v>-1.008528E-2</v>
      </c>
      <c r="O4778">
        <v>-1.5636759999999999E-4</v>
      </c>
      <c r="P4778">
        <v>-0.97983469999999995</v>
      </c>
      <c r="Q4778">
        <v>0.1774782</v>
      </c>
      <c r="R4778">
        <v>-9.1791339999999999E-2</v>
      </c>
      <c r="S4778">
        <v>-3.064514</v>
      </c>
      <c r="T4778">
        <v>-9.8017569999999998E-2</v>
      </c>
      <c r="U4778">
        <v>-0.1602478</v>
      </c>
      <c r="V4778">
        <v>-9.1675010000000001E-2</v>
      </c>
      <c r="W4778">
        <v>0.187333</v>
      </c>
      <c r="X4778">
        <v>0.97800920000000002</v>
      </c>
      <c r="Y4778">
        <v>-5.2029029999999997E-2</v>
      </c>
      <c r="Z4778">
        <v>-1.090503E-3</v>
      </c>
      <c r="AA4778">
        <v>0.99864489999999995</v>
      </c>
      <c r="AB4778">
        <v>24</v>
      </c>
      <c r="AC4778">
        <v>-34.482799999999997</v>
      </c>
      <c r="AD4778">
        <v>-1.110289061787</v>
      </c>
      <c r="AE4778">
        <v>-1.8151999999999999</v>
      </c>
      <c r="AF4778">
        <v>-1.80793854115724</v>
      </c>
      <c r="AG4778">
        <v>-1.110289061787</v>
      </c>
      <c r="AH4778">
        <v>34.447469278957897</v>
      </c>
      <c r="AI4778">
        <v>91.843546679667696</v>
      </c>
      <c r="AJ4778">
        <v>93.004351104835706</v>
      </c>
      <c r="AK4778">
        <v>34.512744360512301</v>
      </c>
      <c r="AL4778">
        <v>79.202817883217804</v>
      </c>
      <c r="AM4778">
        <v>95.355049613094494</v>
      </c>
      <c r="AN4778">
        <v>0.99999997781606897</v>
      </c>
    </row>
    <row r="4779" spans="1:40" x14ac:dyDescent="0.25">
      <c r="A4779" t="str">
        <f>"20190304155157235"</f>
        <v>20190304155157235</v>
      </c>
      <c r="B4779" t="str">
        <f>"1551685917231937"</f>
        <v>1551685917231937</v>
      </c>
      <c r="C4779" t="s">
        <v>40</v>
      </c>
      <c r="D4779">
        <v>4.6032710000000003</v>
      </c>
      <c r="E4779">
        <v>0.51320200000000005</v>
      </c>
      <c r="F4779" t="s">
        <v>41</v>
      </c>
      <c r="G4779">
        <v>-381.07749999999999</v>
      </c>
      <c r="H4779" s="1">
        <v>-3.8855259999999998E-6</v>
      </c>
      <c r="I4779">
        <v>139.8999</v>
      </c>
      <c r="J4779">
        <v>-346.4119</v>
      </c>
      <c r="K4779">
        <v>1.110285</v>
      </c>
      <c r="L4779">
        <v>141.68809999999999</v>
      </c>
      <c r="M4779">
        <v>-0.99994910000000004</v>
      </c>
      <c r="N4779">
        <v>-1.008763E-2</v>
      </c>
      <c r="O4779">
        <v>-2.9679750000000002E-4</v>
      </c>
      <c r="P4779">
        <v>-0.97989850000000001</v>
      </c>
      <c r="Q4779">
        <v>0.1775457</v>
      </c>
      <c r="R4779">
        <v>-9.0975490000000006E-2</v>
      </c>
      <c r="S4779">
        <v>-3.0646969999999998</v>
      </c>
      <c r="T4779">
        <v>-9.7470399999999999E-2</v>
      </c>
      <c r="U4779">
        <v>-0.15699769999999999</v>
      </c>
      <c r="V4779">
        <v>-9.0721419999999997E-2</v>
      </c>
      <c r="W4779">
        <v>0.18740419999999999</v>
      </c>
      <c r="X4779">
        <v>0.97808450000000002</v>
      </c>
      <c r="Y4779">
        <v>-5.0830559999999997E-2</v>
      </c>
      <c r="Z4779">
        <v>-1.057781E-3</v>
      </c>
      <c r="AA4779">
        <v>0.99870680000000001</v>
      </c>
      <c r="AB4779">
        <v>24</v>
      </c>
      <c r="AC4779">
        <v>-34.665599999999898</v>
      </c>
      <c r="AD4779">
        <v>-1.110288885526</v>
      </c>
      <c r="AE4779">
        <v>-1.78819999999998</v>
      </c>
      <c r="AF4779">
        <v>-1.77609360330405</v>
      </c>
      <c r="AG4779">
        <v>-1.110288885526</v>
      </c>
      <c r="AH4779">
        <v>34.630698373156797</v>
      </c>
      <c r="AI4779">
        <v>91.833912498447404</v>
      </c>
      <c r="AJ4779">
        <v>92.935938051891895</v>
      </c>
      <c r="AK4779">
        <v>34.693983912338197</v>
      </c>
      <c r="AL4779">
        <v>79.198665111479201</v>
      </c>
      <c r="AM4779">
        <v>95.299260310497104</v>
      </c>
      <c r="AN4779">
        <v>0.99999999968235298</v>
      </c>
    </row>
    <row r="4780" spans="1:40" x14ac:dyDescent="0.25">
      <c r="A4780" t="str">
        <f>"20190304155157259"</f>
        <v>20190304155157259</v>
      </c>
      <c r="B4780" t="str">
        <f>"1551685917251456"</f>
        <v>1551685917251456</v>
      </c>
      <c r="C4780" t="s">
        <v>40</v>
      </c>
      <c r="D4780">
        <v>4.6141360000000002</v>
      </c>
      <c r="E4780">
        <v>0.5131696</v>
      </c>
      <c r="F4780" t="s">
        <v>41</v>
      </c>
      <c r="G4780">
        <v>-382.02769999999998</v>
      </c>
      <c r="H4780" s="1">
        <v>-3.473421E-6</v>
      </c>
      <c r="I4780">
        <v>139.88310000000001</v>
      </c>
      <c r="J4780">
        <v>-346.66090000000003</v>
      </c>
      <c r="K4780">
        <v>1.1102799999999999</v>
      </c>
      <c r="L4780">
        <v>141.68790000000001</v>
      </c>
      <c r="M4780">
        <v>-0.99994910000000004</v>
      </c>
      <c r="N4780">
        <v>-1.009004E-2</v>
      </c>
      <c r="O4780">
        <v>-4.398518E-4</v>
      </c>
      <c r="P4780">
        <v>-0.97995790000000005</v>
      </c>
      <c r="Q4780">
        <v>0.17750460000000001</v>
      </c>
      <c r="R4780">
        <v>-9.0413759999999996E-2</v>
      </c>
      <c r="S4780">
        <v>-3.0644529999999999</v>
      </c>
      <c r="T4780">
        <v>-9.5531580000000005E-2</v>
      </c>
      <c r="U4780">
        <v>-0.155304</v>
      </c>
      <c r="V4780">
        <v>-9.0019199999999994E-2</v>
      </c>
      <c r="W4780">
        <v>0.1873667</v>
      </c>
      <c r="X4780">
        <v>0.97815660000000004</v>
      </c>
      <c r="Y4780">
        <v>-5.0142819999999998E-2</v>
      </c>
      <c r="Z4780">
        <v>-1.024844E-3</v>
      </c>
      <c r="AA4780">
        <v>0.99874149999999995</v>
      </c>
      <c r="AB4780">
        <v>24</v>
      </c>
      <c r="AC4780">
        <v>-35.366799999999898</v>
      </c>
      <c r="AD4780">
        <v>-1.1102834734210001</v>
      </c>
      <c r="AE4780">
        <v>-1.8048</v>
      </c>
      <c r="AF4780">
        <v>-1.78748581336723</v>
      </c>
      <c r="AG4780">
        <v>-1.1102834734210001</v>
      </c>
      <c r="AH4780">
        <v>35.332858806890599</v>
      </c>
      <c r="AI4780">
        <v>91.797546633152905</v>
      </c>
      <c r="AJ4780">
        <v>92.896118756142897</v>
      </c>
      <c r="AK4780">
        <v>35.395462228822602</v>
      </c>
      <c r="AL4780">
        <v>79.200852838833896</v>
      </c>
      <c r="AM4780">
        <v>95.258087327654096</v>
      </c>
      <c r="AN4780">
        <v>1.0000000353805401</v>
      </c>
    </row>
    <row r="4781" spans="1:40" x14ac:dyDescent="0.25">
      <c r="A4781" t="str">
        <f>"20190304155157281"</f>
        <v>20190304155157281</v>
      </c>
      <c r="B4781" t="str">
        <f>"1551685917271956"</f>
        <v>1551685917271956</v>
      </c>
      <c r="C4781" t="s">
        <v>40</v>
      </c>
      <c r="D4781">
        <v>4.6795660000000003</v>
      </c>
      <c r="E4781">
        <v>0.51331400000000005</v>
      </c>
      <c r="F4781" t="s">
        <v>41</v>
      </c>
      <c r="G4781">
        <v>-382.5652</v>
      </c>
      <c r="H4781" s="1">
        <v>-3.2422879999999999E-6</v>
      </c>
      <c r="I4781">
        <v>139.881</v>
      </c>
      <c r="J4781">
        <v>-346.90309999999999</v>
      </c>
      <c r="K4781">
        <v>1.1102829999999999</v>
      </c>
      <c r="L4781">
        <v>141.68770000000001</v>
      </c>
      <c r="M4781">
        <v>-0.99994899999999998</v>
      </c>
      <c r="N4781">
        <v>-1.009242E-2</v>
      </c>
      <c r="O4781">
        <v>-5.7909379999999998E-4</v>
      </c>
      <c r="P4781">
        <v>-0.9800951</v>
      </c>
      <c r="Q4781">
        <v>0.17712919999999999</v>
      </c>
      <c r="R4781">
        <v>-8.9660149999999994E-2</v>
      </c>
      <c r="S4781">
        <v>-3.0643009999999999</v>
      </c>
      <c r="T4781">
        <v>-9.4758750000000003E-2</v>
      </c>
      <c r="U4781">
        <v>-0.15420529999999999</v>
      </c>
      <c r="V4781">
        <v>-8.9129139999999996E-2</v>
      </c>
      <c r="W4781">
        <v>0.1869953</v>
      </c>
      <c r="X4781">
        <v>0.97830919999999999</v>
      </c>
      <c r="Y4781">
        <v>-4.964988E-2</v>
      </c>
      <c r="Z4781">
        <v>-1.00574E-3</v>
      </c>
      <c r="AA4781">
        <v>0.99876620000000005</v>
      </c>
      <c r="AB4781">
        <v>24</v>
      </c>
      <c r="AC4781">
        <v>-35.662100000000002</v>
      </c>
      <c r="AD4781">
        <v>-1.110286242288</v>
      </c>
      <c r="AE4781">
        <v>-1.8067</v>
      </c>
      <c r="AF4781">
        <v>-1.7843218391545901</v>
      </c>
      <c r="AG4781">
        <v>-1.110286242288</v>
      </c>
      <c r="AH4781">
        <v>35.628694007337501</v>
      </c>
      <c r="AI4781">
        <v>91.782680720560904</v>
      </c>
      <c r="AJ4781">
        <v>92.867036540390302</v>
      </c>
      <c r="AK4781">
        <v>35.690620289285903</v>
      </c>
      <c r="AL4781">
        <v>79.222515725475702</v>
      </c>
      <c r="AM4781">
        <v>95.205577751689802</v>
      </c>
      <c r="AN4781">
        <v>1.0000000683119299</v>
      </c>
    </row>
    <row r="4782" spans="1:40" x14ac:dyDescent="0.25">
      <c r="A4782" t="str">
        <f>"20190304155157304"</f>
        <v>20190304155157304</v>
      </c>
      <c r="B4782" t="str">
        <f>"1551685917291473"</f>
        <v>1551685917291473</v>
      </c>
      <c r="C4782" t="s">
        <v>40</v>
      </c>
      <c r="D4782">
        <v>4.3922439999999998</v>
      </c>
      <c r="E4782">
        <v>0.51492269999999996</v>
      </c>
      <c r="F4782" t="s">
        <v>41</v>
      </c>
      <c r="G4782">
        <v>-382.67489999999998</v>
      </c>
      <c r="H4782" s="1">
        <v>-3.2070980000000001E-6</v>
      </c>
      <c r="I4782">
        <v>139.92570000000001</v>
      </c>
      <c r="J4782">
        <v>-347.14609999999999</v>
      </c>
      <c r="K4782">
        <v>1.1102799999999999</v>
      </c>
      <c r="L4782">
        <v>141.6874</v>
      </c>
      <c r="M4782">
        <v>-0.99994870000000002</v>
      </c>
      <c r="N4782">
        <v>-1.0094840000000001E-2</v>
      </c>
      <c r="O4782">
        <v>-7.1929190000000003E-4</v>
      </c>
      <c r="P4782">
        <v>-0.98025479999999998</v>
      </c>
      <c r="Q4782">
        <v>0.17662839999999999</v>
      </c>
      <c r="R4782">
        <v>-8.8896509999999998E-2</v>
      </c>
      <c r="S4782">
        <v>-3.0643009999999999</v>
      </c>
      <c r="T4782">
        <v>-9.5109940000000004E-2</v>
      </c>
      <c r="U4782">
        <v>-0.15092469999999999</v>
      </c>
      <c r="V4782">
        <v>-8.8227449999999999E-2</v>
      </c>
      <c r="W4782">
        <v>0.1864982</v>
      </c>
      <c r="X4782">
        <v>0.97848579999999996</v>
      </c>
      <c r="Y4782">
        <v>-4.8443779999999999E-2</v>
      </c>
      <c r="Z4782">
        <v>-9.8086209999999991E-4</v>
      </c>
      <c r="AA4782">
        <v>0.99882539999999997</v>
      </c>
      <c r="AB4782">
        <v>24</v>
      </c>
      <c r="AC4782">
        <v>-35.528799999999897</v>
      </c>
      <c r="AD4782">
        <v>-1.110283207098</v>
      </c>
      <c r="AE4782">
        <v>-1.7616999999999901</v>
      </c>
      <c r="AF4782">
        <v>-1.7344529892885501</v>
      </c>
      <c r="AG4782">
        <v>-1.110283207098</v>
      </c>
      <c r="AH4782">
        <v>35.495479002117399</v>
      </c>
      <c r="AI4782">
        <v>91.789469317934902</v>
      </c>
      <c r="AJ4782">
        <v>92.797478948796893</v>
      </c>
      <c r="AK4782">
        <v>35.555169603895401</v>
      </c>
      <c r="AL4782">
        <v>79.2515073984314</v>
      </c>
      <c r="AM4782">
        <v>95.152274567484</v>
      </c>
      <c r="AN4782">
        <v>1.0000000611691799</v>
      </c>
    </row>
    <row r="4783" spans="1:40" x14ac:dyDescent="0.25">
      <c r="A4783" t="str">
        <f>"20190304155157325"</f>
        <v>20190304155157325</v>
      </c>
      <c r="B4783" t="str">
        <f>"1551685917321729"</f>
        <v>1551685917321729</v>
      </c>
      <c r="C4783" t="s">
        <v>40</v>
      </c>
      <c r="D4783">
        <v>4.3731519999999904</v>
      </c>
      <c r="E4783">
        <v>0.57677730000000005</v>
      </c>
      <c r="F4783" t="s">
        <v>41</v>
      </c>
      <c r="G4783">
        <v>-383.5444</v>
      </c>
      <c r="H4783" s="1">
        <v>-2.8721750000000002E-6</v>
      </c>
      <c r="I4783">
        <v>140.06890000000001</v>
      </c>
      <c r="J4783">
        <v>-347.38199999999898</v>
      </c>
      <c r="K4783">
        <v>1.1102799999999999</v>
      </c>
      <c r="L4783">
        <v>141.68700000000001</v>
      </c>
      <c r="M4783">
        <v>-0.99994870000000002</v>
      </c>
      <c r="N4783">
        <v>-1.0097210000000001E-2</v>
      </c>
      <c r="O4783">
        <v>-8.5388160000000001E-4</v>
      </c>
      <c r="P4783">
        <v>-0.98026440000000004</v>
      </c>
      <c r="Q4783">
        <v>0.1768932</v>
      </c>
      <c r="R4783">
        <v>-8.8264949999999995E-2</v>
      </c>
      <c r="S4783">
        <v>-3.0649109999999999</v>
      </c>
      <c r="T4783">
        <v>-9.3491320000000003E-2</v>
      </c>
      <c r="U4783">
        <v>-0.13627619999999999</v>
      </c>
      <c r="V4783">
        <v>-8.7463780000000005E-2</v>
      </c>
      <c r="W4783">
        <v>0.18676570000000001</v>
      </c>
      <c r="X4783">
        <v>0.97850329999999996</v>
      </c>
      <c r="Y4783">
        <v>-4.3539639999999998E-2</v>
      </c>
      <c r="Z4783">
        <v>-8.6616489999999998E-4</v>
      </c>
      <c r="AA4783">
        <v>0.99905129999999998</v>
      </c>
      <c r="AB4783">
        <v>24</v>
      </c>
      <c r="AC4783">
        <v>-36.162399999999998</v>
      </c>
      <c r="AD4783">
        <v>-1.110282872175</v>
      </c>
      <c r="AE4783">
        <v>-1.6180999999999901</v>
      </c>
      <c r="AF4783">
        <v>-1.5857276218947201</v>
      </c>
      <c r="AG4783">
        <v>-1.110282872175</v>
      </c>
      <c r="AH4783">
        <v>36.129778686754101</v>
      </c>
      <c r="AI4783">
        <v>91.758476986895204</v>
      </c>
      <c r="AJ4783">
        <v>92.513085663773097</v>
      </c>
      <c r="AK4783">
        <v>36.181599855464</v>
      </c>
      <c r="AL4783">
        <v>79.235906265121699</v>
      </c>
      <c r="AM4783">
        <v>95.107824114616193</v>
      </c>
      <c r="AN4783">
        <v>1.00000002380963</v>
      </c>
    </row>
    <row r="4784" spans="1:40" x14ac:dyDescent="0.25">
      <c r="A4784" t="str">
        <f>"20190304155157349"</f>
        <v>20190304155157349</v>
      </c>
      <c r="B4784" t="str">
        <f>"1551685917341248"</f>
        <v>1551685917341248</v>
      </c>
      <c r="C4784" t="s">
        <v>40</v>
      </c>
      <c r="D4784">
        <v>4.344627</v>
      </c>
      <c r="E4784">
        <v>0.57701199999999997</v>
      </c>
      <c r="F4784" t="s">
        <v>86</v>
      </c>
      <c r="G4784">
        <v>-511.92649999999998</v>
      </c>
      <c r="H4784">
        <v>3.9806840000000001</v>
      </c>
      <c r="I4784">
        <v>160.59620000000001</v>
      </c>
      <c r="J4784">
        <v>-347.6284</v>
      </c>
      <c r="K4784">
        <v>1.110276</v>
      </c>
      <c r="L4784">
        <v>141.6867</v>
      </c>
      <c r="M4784">
        <v>-0.99994859999999997</v>
      </c>
      <c r="N4784">
        <v>-1.009971E-2</v>
      </c>
      <c r="O4784">
        <v>-9.8891800000000009E-4</v>
      </c>
      <c r="P4784">
        <v>-0.98022940000000003</v>
      </c>
      <c r="Q4784">
        <v>0.17713219999999999</v>
      </c>
      <c r="R4784">
        <v>-8.8172979999999998E-2</v>
      </c>
      <c r="S4784">
        <v>-3.082611</v>
      </c>
      <c r="T4784">
        <v>5.3775549999999998E-2</v>
      </c>
      <c r="U4784">
        <v>0.35424800000000001</v>
      </c>
      <c r="V4784">
        <v>-8.723852E-2</v>
      </c>
      <c r="W4784">
        <v>0.1870079</v>
      </c>
      <c r="X4784">
        <v>0.97847709999999999</v>
      </c>
      <c r="Y4784">
        <v>0.1151417</v>
      </c>
      <c r="Z4784">
        <v>-4.4470160000000002E-4</v>
      </c>
      <c r="AA4784">
        <v>0.99334900000000004</v>
      </c>
      <c r="AB4784">
        <v>24</v>
      </c>
      <c r="AC4784">
        <v>-164.29809999999901</v>
      </c>
      <c r="AD4784">
        <v>2.8704079999999901</v>
      </c>
      <c r="AE4784">
        <v>18.909500000000001</v>
      </c>
      <c r="AF4784">
        <v>19.066232934052</v>
      </c>
      <c r="AG4784">
        <v>2.8704079999999901</v>
      </c>
      <c r="AH4784">
        <v>164.22984678271999</v>
      </c>
      <c r="AI4784">
        <v>89.005365810533107</v>
      </c>
      <c r="AJ4784">
        <v>83.377902046769506</v>
      </c>
      <c r="AK4784">
        <v>165.35780312600201</v>
      </c>
      <c r="AL4784">
        <v>79.2217798131352</v>
      </c>
      <c r="AM4784">
        <v>95.094874108555103</v>
      </c>
      <c r="AN4784">
        <v>0.99999997462930401</v>
      </c>
    </row>
    <row r="4785" spans="1:40" x14ac:dyDescent="0.25">
      <c r="A4785" t="str">
        <f>"20190304155157373"</f>
        <v>20190304155157373</v>
      </c>
      <c r="B4785" t="str">
        <f>"1551685917361745"</f>
        <v>1551685917361745</v>
      </c>
      <c r="C4785" t="s">
        <v>40</v>
      </c>
      <c r="D4785">
        <v>4.4946890000000002</v>
      </c>
      <c r="E4785">
        <v>0.57693109999999903</v>
      </c>
      <c r="F4785" t="s">
        <v>86</v>
      </c>
      <c r="G4785">
        <v>-511.92669999999998</v>
      </c>
      <c r="H4785">
        <v>4.4469890000000003</v>
      </c>
      <c r="I4785">
        <v>160.67930000000001</v>
      </c>
      <c r="J4785">
        <v>-347.89940000000001</v>
      </c>
      <c r="K4785">
        <v>1.110274</v>
      </c>
      <c r="L4785">
        <v>141.68629999999999</v>
      </c>
      <c r="M4785">
        <v>-0.99994830000000001</v>
      </c>
      <c r="N4785">
        <v>-1.0102420000000001E-2</v>
      </c>
      <c r="O4785">
        <v>-1.1242540000000001E-3</v>
      </c>
      <c r="P4785">
        <v>-0.98019350000000005</v>
      </c>
      <c r="Q4785">
        <v>0.17732719999999999</v>
      </c>
      <c r="R4785">
        <v>-8.8179709999999994E-2</v>
      </c>
      <c r="S4785">
        <v>-3.0812379999999999</v>
      </c>
      <c r="T4785">
        <v>6.2577250000000001E-2</v>
      </c>
      <c r="U4785">
        <v>0.3561859</v>
      </c>
      <c r="V4785">
        <v>-8.7109190000000003E-2</v>
      </c>
      <c r="W4785">
        <v>0.18720700000000001</v>
      </c>
      <c r="X4785">
        <v>0.97845059999999995</v>
      </c>
      <c r="Y4785">
        <v>0.1159381</v>
      </c>
      <c r="Z4785">
        <v>-6.1973140000000002E-4</v>
      </c>
      <c r="AA4785">
        <v>0.99325629999999998</v>
      </c>
      <c r="AB4785">
        <v>24</v>
      </c>
      <c r="AC4785">
        <v>-164.027299999999</v>
      </c>
      <c r="AD4785">
        <v>3.3367149999999999</v>
      </c>
      <c r="AE4785">
        <v>18.992999999999999</v>
      </c>
      <c r="AF4785">
        <v>19.169578059359701</v>
      </c>
      <c r="AG4785">
        <v>3.3367149999999999</v>
      </c>
      <c r="AH4785">
        <v>163.93889949877899</v>
      </c>
      <c r="AI4785">
        <v>88.841885074642704</v>
      </c>
      <c r="AJ4785">
        <v>83.330620289924397</v>
      </c>
      <c r="AK4785">
        <v>165.089579195162</v>
      </c>
      <c r="AL4785">
        <v>79.210167678570798</v>
      </c>
      <c r="AM4785">
        <v>95.0874977484564</v>
      </c>
      <c r="AN4785">
        <v>1.0000000242359</v>
      </c>
    </row>
    <row r="4786" spans="1:40" x14ac:dyDescent="0.25">
      <c r="A4786" t="str">
        <f>"20190304155157393"</f>
        <v>20190304155157393</v>
      </c>
      <c r="B4786" t="str">
        <f>"1551685917381265"</f>
        <v>1551685917381265</v>
      </c>
      <c r="C4786" t="s">
        <v>40</v>
      </c>
      <c r="D4786">
        <v>4.4175409999999999</v>
      </c>
      <c r="E4786">
        <v>0.57627839999999997</v>
      </c>
      <c r="F4786" t="s">
        <v>86</v>
      </c>
      <c r="G4786">
        <v>-511.92669999999998</v>
      </c>
      <c r="H4786">
        <v>4.5632900000000003</v>
      </c>
      <c r="I4786">
        <v>160.62280000000001</v>
      </c>
      <c r="J4786">
        <v>-348.12900000000002</v>
      </c>
      <c r="K4786">
        <v>1.1102650000000001</v>
      </c>
      <c r="L4786">
        <v>141.6859</v>
      </c>
      <c r="M4786">
        <v>-0.99994819999999995</v>
      </c>
      <c r="N4786">
        <v>-1.0103269999999999E-2</v>
      </c>
      <c r="O4786">
        <v>-1.2294140000000001E-3</v>
      </c>
      <c r="P4786">
        <v>-0.98011470000000001</v>
      </c>
      <c r="Q4786">
        <v>0.1778091</v>
      </c>
      <c r="R4786">
        <v>-8.8087209999999999E-2</v>
      </c>
      <c r="S4786">
        <v>-3.080902</v>
      </c>
      <c r="T4786">
        <v>6.4858319999999997E-2</v>
      </c>
      <c r="U4786">
        <v>0.35568240000000001</v>
      </c>
      <c r="V4786">
        <v>-8.6909730000000004E-2</v>
      </c>
      <c r="W4786">
        <v>0.18769079999999999</v>
      </c>
      <c r="X4786">
        <v>0.97837560000000001</v>
      </c>
      <c r="Y4786">
        <v>0.1158933</v>
      </c>
      <c r="Z4786">
        <v>-6.664409E-4</v>
      </c>
      <c r="AA4786">
        <v>0.99326150000000002</v>
      </c>
      <c r="AB4786">
        <v>24</v>
      </c>
      <c r="AC4786">
        <v>-163.797699999999</v>
      </c>
      <c r="AD4786">
        <v>3.4530249999999998</v>
      </c>
      <c r="AE4786">
        <v>18.936900000000001</v>
      </c>
      <c r="AF4786">
        <v>19.129881773864099</v>
      </c>
      <c r="AG4786">
        <v>3.4530249999999998</v>
      </c>
      <c r="AH4786">
        <v>163.70250225542699</v>
      </c>
      <c r="AI4786">
        <v>88.7997871449043</v>
      </c>
      <c r="AJ4786">
        <v>83.334782333716703</v>
      </c>
      <c r="AK4786">
        <v>164.852616002964</v>
      </c>
      <c r="AL4786">
        <v>79.181947237924405</v>
      </c>
      <c r="AM4786">
        <v>95.076296549336405</v>
      </c>
      <c r="AN4786">
        <v>0.999999976124336</v>
      </c>
    </row>
    <row r="4787" spans="1:40" x14ac:dyDescent="0.25">
      <c r="A4787" t="str">
        <f>"20190304155157415"</f>
        <v>20190304155157415</v>
      </c>
      <c r="B4787" t="str">
        <f>"1551685917411520"</f>
        <v>1551685917411520</v>
      </c>
      <c r="C4787" t="s">
        <v>40</v>
      </c>
      <c r="D4787">
        <v>4.4088940000000001</v>
      </c>
      <c r="E4787">
        <v>0.57774479999999995</v>
      </c>
      <c r="F4787" t="s">
        <v>86</v>
      </c>
      <c r="G4787">
        <v>-511.92669999999998</v>
      </c>
      <c r="H4787">
        <v>4.6041650000000001</v>
      </c>
      <c r="I4787">
        <v>160.30930000000001</v>
      </c>
      <c r="J4787">
        <v>-348.36579999999998</v>
      </c>
      <c r="K4787">
        <v>1.110252</v>
      </c>
      <c r="L4787">
        <v>141.68549999999999</v>
      </c>
      <c r="M4787">
        <v>-0.99994810000000001</v>
      </c>
      <c r="N4787">
        <v>-1.0098950000000001E-2</v>
      </c>
      <c r="O4787">
        <v>-1.3235499999999999E-3</v>
      </c>
      <c r="P4787">
        <v>-0.98009690000000005</v>
      </c>
      <c r="Q4787">
        <v>0.17775569999999999</v>
      </c>
      <c r="R4787">
        <v>-8.838994E-2</v>
      </c>
      <c r="S4787">
        <v>-3.0804140000000002</v>
      </c>
      <c r="T4787">
        <v>6.5707799999999997E-2</v>
      </c>
      <c r="U4787">
        <v>0.35023500000000002</v>
      </c>
      <c r="V4787">
        <v>-8.711547E-2</v>
      </c>
      <c r="W4787">
        <v>0.18763550000000001</v>
      </c>
      <c r="X4787">
        <v>0.97836789999999996</v>
      </c>
      <c r="Y4787">
        <v>0.1142705</v>
      </c>
      <c r="Z4787">
        <v>-6.7724560000000003E-4</v>
      </c>
      <c r="AA4787">
        <v>0.99344940000000004</v>
      </c>
      <c r="AB4787">
        <v>24</v>
      </c>
      <c r="AC4787">
        <v>-163.5609</v>
      </c>
      <c r="AD4787">
        <v>3.4939129999999898</v>
      </c>
      <c r="AE4787">
        <v>18.623799999999999</v>
      </c>
      <c r="AF4787">
        <v>18.831792509828698</v>
      </c>
      <c r="AG4787">
        <v>3.4939129999999898</v>
      </c>
      <c r="AH4787">
        <v>163.462470180569</v>
      </c>
      <c r="AI4787">
        <v>88.783566671357207</v>
      </c>
      <c r="AJ4787">
        <v>83.428177423786195</v>
      </c>
      <c r="AK4787">
        <v>164.58074916197799</v>
      </c>
      <c r="AL4787">
        <v>79.1851729040051</v>
      </c>
      <c r="AM4787">
        <v>95.088290410555899</v>
      </c>
      <c r="AN4787">
        <v>0.999999966861989</v>
      </c>
    </row>
    <row r="4788" spans="1:40" x14ac:dyDescent="0.25">
      <c r="A4788" t="str">
        <f>"20190304155157438"</f>
        <v>20190304155157438</v>
      </c>
      <c r="B4788" t="str">
        <f>"1551685917431826"</f>
        <v>1551685917431826</v>
      </c>
      <c r="C4788" t="s">
        <v>40</v>
      </c>
      <c r="D4788">
        <v>4.5105789999999999</v>
      </c>
      <c r="E4788">
        <v>0.57730099999999995</v>
      </c>
      <c r="F4788" t="s">
        <v>86</v>
      </c>
      <c r="G4788">
        <v>-511.92649999999998</v>
      </c>
      <c r="H4788">
        <v>4.0622020000000001</v>
      </c>
      <c r="I4788">
        <v>160.8356</v>
      </c>
      <c r="J4788">
        <v>-348.61329999999998</v>
      </c>
      <c r="K4788">
        <v>1.110241</v>
      </c>
      <c r="L4788">
        <v>141.68510000000001</v>
      </c>
      <c r="M4788">
        <v>-0.99994819999999995</v>
      </c>
      <c r="N4788">
        <v>-1.009121E-2</v>
      </c>
      <c r="O4788">
        <v>-1.4016629999999901E-3</v>
      </c>
      <c r="P4788">
        <v>-0.98005629999999999</v>
      </c>
      <c r="Q4788">
        <v>0.17780219999999999</v>
      </c>
      <c r="R4788">
        <v>-8.8749069999999999E-2</v>
      </c>
      <c r="S4788">
        <v>-3.0833740000000001</v>
      </c>
      <c r="T4788">
        <v>5.564964E-2</v>
      </c>
      <c r="U4788">
        <v>0.36100769999999999</v>
      </c>
      <c r="V4788">
        <v>-8.7391399999999994E-2</v>
      </c>
      <c r="W4788">
        <v>0.1876768</v>
      </c>
      <c r="X4788">
        <v>0.97833539999999997</v>
      </c>
      <c r="Y4788">
        <v>0.117671</v>
      </c>
      <c r="Z4788">
        <v>-5.0170729999999999E-4</v>
      </c>
      <c r="AA4788">
        <v>0.9930525</v>
      </c>
      <c r="AB4788">
        <v>24</v>
      </c>
      <c r="AC4788">
        <v>-163.31319999999999</v>
      </c>
      <c r="AD4788">
        <v>2.9519609999999998</v>
      </c>
      <c r="AE4788">
        <v>19.150499999999901</v>
      </c>
      <c r="AF4788">
        <v>19.373159102807001</v>
      </c>
      <c r="AG4788">
        <v>2.9519609999999998</v>
      </c>
      <c r="AH4788">
        <v>163.23358700080101</v>
      </c>
      <c r="AI4788">
        <v>88.971179306862993</v>
      </c>
      <c r="AJ4788">
        <v>83.231588361666695</v>
      </c>
      <c r="AK4788">
        <v>164.405709427977</v>
      </c>
      <c r="AL4788">
        <v>79.182764113960104</v>
      </c>
      <c r="AM4788">
        <v>95.104490751528004</v>
      </c>
      <c r="AN4788">
        <v>0.99999999647267901</v>
      </c>
    </row>
    <row r="4789" spans="1:40" x14ac:dyDescent="0.25">
      <c r="A4789" t="str">
        <f>"20190304155157460"</f>
        <v>20190304155157460</v>
      </c>
      <c r="B4789" t="str">
        <f>"1551685917451260"</f>
        <v>1551685917451260</v>
      </c>
      <c r="C4789" t="s">
        <v>40</v>
      </c>
      <c r="D4789">
        <v>4.40665</v>
      </c>
      <c r="E4789">
        <v>0.57690069999999904</v>
      </c>
      <c r="F4789" t="s">
        <v>86</v>
      </c>
      <c r="G4789">
        <v>-511.92649999999998</v>
      </c>
      <c r="H4789">
        <v>4.0858140000000001</v>
      </c>
      <c r="I4789">
        <v>160.57849999999999</v>
      </c>
      <c r="J4789">
        <v>-348.85599999999999</v>
      </c>
      <c r="K4789">
        <v>1.110222</v>
      </c>
      <c r="L4789">
        <v>141.68469999999999</v>
      </c>
      <c r="M4789">
        <v>-0.99994819999999995</v>
      </c>
      <c r="N4789">
        <v>-1.008388E-2</v>
      </c>
      <c r="O4789">
        <v>-1.4557999999999999E-3</v>
      </c>
      <c r="P4789">
        <v>-0.98000600000000004</v>
      </c>
      <c r="Q4789">
        <v>0.17787709999999901</v>
      </c>
      <c r="R4789">
        <v>-8.9153830000000003E-2</v>
      </c>
      <c r="S4789">
        <v>-3.0831909999999998</v>
      </c>
      <c r="T4789">
        <v>5.6176660000000003E-2</v>
      </c>
      <c r="U4789">
        <v>0.35668949999999999</v>
      </c>
      <c r="V4789">
        <v>-8.7736819999999993E-2</v>
      </c>
      <c r="W4789">
        <v>0.187747</v>
      </c>
      <c r="X4789">
        <v>0.97829100000000002</v>
      </c>
      <c r="Y4789">
        <v>0.116359</v>
      </c>
      <c r="Z4789">
        <v>-5.0884189999999998E-4</v>
      </c>
      <c r="AA4789">
        <v>0.99320710000000001</v>
      </c>
      <c r="AB4789">
        <v>25</v>
      </c>
      <c r="AC4789">
        <v>-163.07049999999899</v>
      </c>
      <c r="AD4789">
        <v>2.9755919999999998</v>
      </c>
      <c r="AE4789">
        <v>18.893799999999999</v>
      </c>
      <c r="AF4789">
        <v>19.124906522092601</v>
      </c>
      <c r="AG4789">
        <v>2.9755919999999998</v>
      </c>
      <c r="AH4789">
        <v>162.98926966841699</v>
      </c>
      <c r="AI4789">
        <v>88.961228422049601</v>
      </c>
      <c r="AJ4789">
        <v>83.307605013077804</v>
      </c>
      <c r="AK4789">
        <v>164.13445166775099</v>
      </c>
      <c r="AL4789">
        <v>79.178669012782706</v>
      </c>
      <c r="AM4789">
        <v>95.124790695841497</v>
      </c>
      <c r="AN4789">
        <v>0.99999998313685601</v>
      </c>
    </row>
    <row r="4790" spans="1:40" x14ac:dyDescent="0.25">
      <c r="A4790" t="str">
        <f>"20190304155157482"</f>
        <v>20190304155157482</v>
      </c>
      <c r="B4790" t="str">
        <f>"1551685917471771"</f>
        <v>1551685917471771</v>
      </c>
      <c r="C4790" t="s">
        <v>40</v>
      </c>
      <c r="D4790">
        <v>4.5187749999999998</v>
      </c>
      <c r="E4790">
        <v>0.57657069999999999</v>
      </c>
      <c r="F4790" t="s">
        <v>86</v>
      </c>
      <c r="G4790">
        <v>-511.92649999999998</v>
      </c>
      <c r="H4790">
        <v>4.0437669999999999</v>
      </c>
      <c r="I4790">
        <v>160.2928</v>
      </c>
      <c r="J4790">
        <v>-349.09829999999999</v>
      </c>
      <c r="K4790">
        <v>1.1102019999999999</v>
      </c>
      <c r="L4790">
        <v>141.68430000000001</v>
      </c>
      <c r="M4790">
        <v>-0.99994810000000001</v>
      </c>
      <c r="N4790">
        <v>-1.007768E-2</v>
      </c>
      <c r="O4790">
        <v>-1.488124E-3</v>
      </c>
      <c r="P4790">
        <v>-0.97998490000000005</v>
      </c>
      <c r="Q4790">
        <v>0.17777470000000001</v>
      </c>
      <c r="R4790">
        <v>-8.9588730000000005E-2</v>
      </c>
      <c r="S4790">
        <v>-3.0831599999999999</v>
      </c>
      <c r="T4790">
        <v>5.5465100000000003E-2</v>
      </c>
      <c r="U4790">
        <v>0.35182190000000002</v>
      </c>
      <c r="V4790">
        <v>-8.8133260000000005E-2</v>
      </c>
      <c r="W4790">
        <v>0.18764169999999999</v>
      </c>
      <c r="X4790">
        <v>0.97827560000000002</v>
      </c>
      <c r="Y4790">
        <v>0.114845</v>
      </c>
      <c r="Z4790">
        <v>-4.9062629999999997E-4</v>
      </c>
      <c r="AA4790">
        <v>0.99338329999999997</v>
      </c>
      <c r="AB4790">
        <v>25</v>
      </c>
      <c r="AC4790">
        <v>-162.82819999999899</v>
      </c>
      <c r="AD4790">
        <v>2.9335650000000002</v>
      </c>
      <c r="AE4790">
        <v>18.6084999999999</v>
      </c>
      <c r="AF4790">
        <v>18.844762332999998</v>
      </c>
      <c r="AG4790">
        <v>2.9335650000000002</v>
      </c>
      <c r="AH4790">
        <v>162.74818149930601</v>
      </c>
      <c r="AI4790">
        <v>88.974197550680898</v>
      </c>
      <c r="AJ4790">
        <v>83.395082499434594</v>
      </c>
      <c r="AK4790">
        <v>163.86183647307101</v>
      </c>
      <c r="AL4790">
        <v>79.184811765967396</v>
      </c>
      <c r="AM4790">
        <v>95.147903593005097</v>
      </c>
      <c r="AN4790">
        <v>1.00000001432623</v>
      </c>
    </row>
    <row r="4791" spans="1:40" x14ac:dyDescent="0.25">
      <c r="A4791" t="str">
        <f>"20190304155157504"</f>
        <v>20190304155157504</v>
      </c>
      <c r="B4791" t="str">
        <f>"1551685917502012"</f>
        <v>1551685917502012</v>
      </c>
      <c r="C4791" t="s">
        <v>40</v>
      </c>
      <c r="D4791">
        <v>4.5019479999999996</v>
      </c>
      <c r="E4791">
        <v>0.576341199999999</v>
      </c>
      <c r="F4791" t="s">
        <v>86</v>
      </c>
      <c r="G4791">
        <v>-511.92649999999998</v>
      </c>
      <c r="H4791">
        <v>4.0080150000000003</v>
      </c>
      <c r="I4791">
        <v>160.03210000000001</v>
      </c>
      <c r="J4791">
        <v>-349.34179999999998</v>
      </c>
      <c r="K4791">
        <v>1.1101829999999999</v>
      </c>
      <c r="L4791">
        <v>141.68389999999999</v>
      </c>
      <c r="M4791">
        <v>-0.99994810000000001</v>
      </c>
      <c r="N4791">
        <v>-1.00721E-2</v>
      </c>
      <c r="O4791">
        <v>-1.502712E-3</v>
      </c>
      <c r="P4791">
        <v>-0.97989539999999997</v>
      </c>
      <c r="Q4791">
        <v>0.17796600000000001</v>
      </c>
      <c r="R4791">
        <v>-9.0184470000000003E-2</v>
      </c>
      <c r="S4791">
        <v>-3.0831300000000001</v>
      </c>
      <c r="T4791">
        <v>5.4870490000000001E-2</v>
      </c>
      <c r="U4791">
        <v>0.347412099999999</v>
      </c>
      <c r="V4791">
        <v>-8.8707980000000006E-2</v>
      </c>
      <c r="W4791">
        <v>0.18782950000000001</v>
      </c>
      <c r="X4791">
        <v>0.97818760000000005</v>
      </c>
      <c r="Y4791">
        <v>0.113458</v>
      </c>
      <c r="Z4791">
        <v>-4.7487089999999999E-4</v>
      </c>
      <c r="AA4791">
        <v>0.9935427</v>
      </c>
      <c r="AB4791">
        <v>25</v>
      </c>
      <c r="AC4791">
        <v>-162.5847</v>
      </c>
      <c r="AD4791">
        <v>2.8978320000000002</v>
      </c>
      <c r="AE4791">
        <v>18.348199999999999</v>
      </c>
      <c r="AF4791">
        <v>18.586679342063501</v>
      </c>
      <c r="AG4791">
        <v>2.8978320000000002</v>
      </c>
      <c r="AH4791">
        <v>162.505967603816</v>
      </c>
      <c r="AI4791">
        <v>88.985016810372102</v>
      </c>
      <c r="AJ4791">
        <v>83.475127923497993</v>
      </c>
      <c r="AK4791">
        <v>163.59111096302701</v>
      </c>
      <c r="AL4791">
        <v>79.173856720238703</v>
      </c>
      <c r="AM4791">
        <v>95.181754702702904</v>
      </c>
      <c r="AN4791">
        <v>1.00000000378984</v>
      </c>
    </row>
    <row r="4792" spans="1:40" x14ac:dyDescent="0.25">
      <c r="A4792" t="str">
        <f>"20190304155157527"</f>
        <v>20190304155157527</v>
      </c>
      <c r="B4792" t="str">
        <f>"1551685917521532"</f>
        <v>1551685917521532</v>
      </c>
      <c r="C4792" t="s">
        <v>40</v>
      </c>
      <c r="D4792">
        <v>4.5565829999999998</v>
      </c>
      <c r="E4792">
        <v>0.57679969999999903</v>
      </c>
      <c r="F4792" t="s">
        <v>86</v>
      </c>
      <c r="G4792">
        <v>-511.92649999999998</v>
      </c>
      <c r="H4792">
        <v>3.998148</v>
      </c>
      <c r="I4792">
        <v>159.79949999999999</v>
      </c>
      <c r="J4792">
        <v>-349.5883</v>
      </c>
      <c r="K4792">
        <v>1.1101780000000001</v>
      </c>
      <c r="L4792">
        <v>141.68350000000001</v>
      </c>
      <c r="M4792">
        <v>-0.99994830000000001</v>
      </c>
      <c r="N4792">
        <v>-1.0066800000000001E-2</v>
      </c>
      <c r="O4792">
        <v>-1.5044710000000001E-3</v>
      </c>
      <c r="P4792">
        <v>-0.97992889999999999</v>
      </c>
      <c r="Q4792">
        <v>0.17764679999999999</v>
      </c>
      <c r="R4792">
        <v>-9.0449370000000001E-2</v>
      </c>
      <c r="S4792">
        <v>-3.0831909999999998</v>
      </c>
      <c r="T4792">
        <v>5.4767009999999998E-2</v>
      </c>
      <c r="U4792">
        <v>0.34353640000000002</v>
      </c>
      <c r="V4792">
        <v>-8.8966820000000002E-2</v>
      </c>
      <c r="W4792">
        <v>0.1875077</v>
      </c>
      <c r="X4792">
        <v>0.97822580000000003</v>
      </c>
      <c r="Y4792">
        <v>0.1122242</v>
      </c>
      <c r="Z4792">
        <v>-4.6866399999999998E-4</v>
      </c>
      <c r="AA4792">
        <v>0.99368279999999998</v>
      </c>
      <c r="AB4792">
        <v>25</v>
      </c>
      <c r="AC4792">
        <v>-162.33819999999901</v>
      </c>
      <c r="AD4792">
        <v>2.8879700000000001</v>
      </c>
      <c r="AE4792">
        <v>18.1159999999999</v>
      </c>
      <c r="AF4792">
        <v>18.354487613018598</v>
      </c>
      <c r="AG4792">
        <v>2.8879700000000001</v>
      </c>
      <c r="AH4792">
        <v>162.26003973943099</v>
      </c>
      <c r="AI4792">
        <v>88.986794471449599</v>
      </c>
      <c r="AJ4792">
        <v>83.546264612400705</v>
      </c>
      <c r="AK4792">
        <v>163.32038477330099</v>
      </c>
      <c r="AL4792">
        <v>79.1926276994148</v>
      </c>
      <c r="AM4792">
        <v>95.196589992171397</v>
      </c>
      <c r="AN4792">
        <v>0.99999997420292097</v>
      </c>
    </row>
    <row r="4793" spans="1:40" x14ac:dyDescent="0.25">
      <c r="A4793" t="str">
        <f>"20190304155157561"</f>
        <v>20190304155157561</v>
      </c>
      <c r="B4793" t="str">
        <f>"1551685917551519"</f>
        <v>1551685917551519</v>
      </c>
      <c r="C4793" t="s">
        <v>40</v>
      </c>
      <c r="D4793">
        <v>4.5512769999999998</v>
      </c>
      <c r="E4793">
        <v>0.57756619999999903</v>
      </c>
      <c r="F4793" t="s">
        <v>86</v>
      </c>
      <c r="G4793">
        <v>-511.92649999999998</v>
      </c>
      <c r="H4793">
        <v>3.817199</v>
      </c>
      <c r="I4793">
        <v>159.91239999999999</v>
      </c>
      <c r="J4793">
        <v>-349.96879999999999</v>
      </c>
      <c r="K4793">
        <v>1.1101700000000001</v>
      </c>
      <c r="L4793">
        <v>141.68299999999999</v>
      </c>
      <c r="M4793">
        <v>-0.99994830000000001</v>
      </c>
      <c r="N4793">
        <v>-1.005995E-2</v>
      </c>
      <c r="O4793">
        <v>-1.4914800000000001E-3</v>
      </c>
      <c r="P4793">
        <v>-0.97986870000000004</v>
      </c>
      <c r="Q4793">
        <v>0.17807770000000001</v>
      </c>
      <c r="R4793">
        <v>-9.0255349999999998E-2</v>
      </c>
      <c r="S4793">
        <v>-3.0841059999999998</v>
      </c>
      <c r="T4793">
        <v>5.1428910000000001E-2</v>
      </c>
      <c r="U4793">
        <v>0.3463135</v>
      </c>
      <c r="V4793">
        <v>-8.8782680000000003E-2</v>
      </c>
      <c r="W4793">
        <v>0.1879325</v>
      </c>
      <c r="X4793">
        <v>0.97816099999999995</v>
      </c>
      <c r="Y4793">
        <v>0.11306389999999999</v>
      </c>
      <c r="Z4793">
        <v>-4.0890700000000002E-4</v>
      </c>
      <c r="AA4793">
        <v>0.99358760000000002</v>
      </c>
      <c r="AB4793">
        <v>25</v>
      </c>
      <c r="AC4793">
        <v>-161.95769999999999</v>
      </c>
      <c r="AD4793">
        <v>2.7070289999999999</v>
      </c>
      <c r="AE4793">
        <v>18.229399999999998</v>
      </c>
      <c r="AF4793">
        <v>18.4658543130037</v>
      </c>
      <c r="AG4793">
        <v>2.7070289999999999</v>
      </c>
      <c r="AH4793">
        <v>161.88566918901901</v>
      </c>
      <c r="AI4793">
        <v>89.048168599193502</v>
      </c>
      <c r="AJ4793">
        <v>83.4925538294126</v>
      </c>
      <c r="AK4793">
        <v>162.95792607385599</v>
      </c>
      <c r="AL4793">
        <v>79.167847833840895</v>
      </c>
      <c r="AM4793">
        <v>95.186234677439501</v>
      </c>
      <c r="AN4793">
        <v>0.99999996537261504</v>
      </c>
    </row>
    <row r="4794" spans="1:40" x14ac:dyDescent="0.25">
      <c r="A4794" t="str">
        <f>"20190304155157583"</f>
        <v>20190304155157583</v>
      </c>
      <c r="B4794" t="str">
        <f>"1551685917572016"</f>
        <v>1551685917572016</v>
      </c>
      <c r="C4794" t="s">
        <v>40</v>
      </c>
      <c r="D4794">
        <v>4.496048</v>
      </c>
      <c r="E4794">
        <v>0.57790549999999996</v>
      </c>
      <c r="F4794" t="s">
        <v>86</v>
      </c>
      <c r="G4794">
        <v>-511.9264</v>
      </c>
      <c r="H4794">
        <v>3.640771</v>
      </c>
      <c r="I4794">
        <v>160.2251</v>
      </c>
      <c r="J4794">
        <v>-350.21300000000002</v>
      </c>
      <c r="K4794">
        <v>1.1101730000000001</v>
      </c>
      <c r="L4794">
        <v>141.68260000000001</v>
      </c>
      <c r="M4794">
        <v>-0.99994830000000001</v>
      </c>
      <c r="N4794">
        <v>-1.0056560000000001E-2</v>
      </c>
      <c r="O4794">
        <v>-1.479894E-3</v>
      </c>
      <c r="P4794">
        <v>-0.97976229999999997</v>
      </c>
      <c r="Q4794">
        <v>0.17883309999999999</v>
      </c>
      <c r="R4794">
        <v>-8.9915579999999995E-2</v>
      </c>
      <c r="S4794">
        <v>-3.0854189999999999</v>
      </c>
      <c r="T4794">
        <v>4.8210740000000002E-2</v>
      </c>
      <c r="U4794">
        <v>0.35324100000000003</v>
      </c>
      <c r="V4794">
        <v>-8.8454400000000002E-2</v>
      </c>
      <c r="W4794">
        <v>0.18868370000000001</v>
      </c>
      <c r="X4794">
        <v>0.97804619999999998</v>
      </c>
      <c r="Y4794">
        <v>0.11520909999999999</v>
      </c>
      <c r="Z4794">
        <v>-3.537708E-4</v>
      </c>
      <c r="AA4794">
        <v>0.99334120000000004</v>
      </c>
      <c r="AB4794">
        <v>25</v>
      </c>
      <c r="AC4794">
        <v>-161.71339999999901</v>
      </c>
      <c r="AD4794">
        <v>2.5305979999999999</v>
      </c>
      <c r="AE4794">
        <v>18.542499999999901</v>
      </c>
      <c r="AF4794">
        <v>18.777271976326599</v>
      </c>
      <c r="AG4794">
        <v>2.5305979999999999</v>
      </c>
      <c r="AH4794">
        <v>161.64671011964799</v>
      </c>
      <c r="AI4794">
        <v>89.109090907387198</v>
      </c>
      <c r="AJ4794">
        <v>83.374080220420694</v>
      </c>
      <c r="AK4794">
        <v>162.753337175052</v>
      </c>
      <c r="AL4794">
        <v>79.124024089673796</v>
      </c>
      <c r="AM4794">
        <v>95.167765442061196</v>
      </c>
      <c r="AN4794">
        <v>1.0000000444297401</v>
      </c>
    </row>
    <row r="4795" spans="1:40" x14ac:dyDescent="0.25">
      <c r="A4795" t="str">
        <f>"20190304155157604"</f>
        <v>20190304155157604</v>
      </c>
      <c r="B4795" t="str">
        <f>"1551685917601295"</f>
        <v>1551685917601295</v>
      </c>
      <c r="C4795" t="s">
        <v>40</v>
      </c>
      <c r="D4795">
        <v>4.7946039999999996</v>
      </c>
      <c r="E4795">
        <v>0.53469669999999903</v>
      </c>
      <c r="F4795" t="s">
        <v>86</v>
      </c>
      <c r="G4795">
        <v>-511.9264</v>
      </c>
      <c r="H4795">
        <v>3.5520420000000001</v>
      </c>
      <c r="I4795">
        <v>160.38319999999999</v>
      </c>
      <c r="J4795">
        <v>-350.44699999999898</v>
      </c>
      <c r="K4795">
        <v>1.1101760000000001</v>
      </c>
      <c r="L4795">
        <v>141.6823</v>
      </c>
      <c r="M4795">
        <v>-0.99994839999999996</v>
      </c>
      <c r="N4795">
        <v>-1.0053970000000001E-2</v>
      </c>
      <c r="O4795">
        <v>-1.46952E-3</v>
      </c>
      <c r="P4795">
        <v>-0.97965599999999997</v>
      </c>
      <c r="Q4795">
        <v>0.17943870000000001</v>
      </c>
      <c r="R4795">
        <v>-8.9864719999999995E-2</v>
      </c>
      <c r="S4795">
        <v>-3.086182</v>
      </c>
      <c r="T4795">
        <v>4.6602129999999999E-2</v>
      </c>
      <c r="U4795">
        <v>0.35688779999999998</v>
      </c>
      <c r="V4795">
        <v>-8.8414129999999994E-2</v>
      </c>
      <c r="W4795">
        <v>0.1892858</v>
      </c>
      <c r="X4795">
        <v>0.97793350000000001</v>
      </c>
      <c r="Y4795">
        <v>0.11633</v>
      </c>
      <c r="Z4795">
        <v>-3.2542310000000001E-4</v>
      </c>
      <c r="AA4795">
        <v>0.99321060000000005</v>
      </c>
      <c r="AB4795">
        <v>25</v>
      </c>
      <c r="AC4795">
        <v>-161.4794</v>
      </c>
      <c r="AD4795">
        <v>2.4418660000000001</v>
      </c>
      <c r="AE4795">
        <v>18.700899999999901</v>
      </c>
      <c r="AF4795">
        <v>18.9339166817301</v>
      </c>
      <c r="AG4795">
        <v>2.4418660000000001</v>
      </c>
      <c r="AH4795">
        <v>161.41532052524201</v>
      </c>
      <c r="AI4795">
        <v>89.139205192933503</v>
      </c>
      <c r="AJ4795">
        <v>83.309812679304699</v>
      </c>
      <c r="AK4795">
        <v>162.540338410928</v>
      </c>
      <c r="AL4795">
        <v>79.088893322247301</v>
      </c>
      <c r="AM4795">
        <v>95.166017539065606</v>
      </c>
      <c r="AN4795">
        <v>1.0000000514437699</v>
      </c>
    </row>
    <row r="4796" spans="1:40" x14ac:dyDescent="0.25">
      <c r="A4796" t="str">
        <f>"20190304155157627"</f>
        <v>20190304155157627</v>
      </c>
      <c r="B4796" t="str">
        <f>"1551685917621795"</f>
        <v>1551685917621795</v>
      </c>
      <c r="C4796" t="s">
        <v>40</v>
      </c>
      <c r="D4796">
        <v>4.7662579999999997</v>
      </c>
      <c r="E4796">
        <v>0.52460680000000004</v>
      </c>
      <c r="F4796" t="s">
        <v>53</v>
      </c>
      <c r="G4796">
        <v>0</v>
      </c>
      <c r="H4796">
        <v>0</v>
      </c>
      <c r="I4796">
        <v>0</v>
      </c>
      <c r="J4796">
        <v>-350.7047</v>
      </c>
      <c r="K4796">
        <v>1.110177</v>
      </c>
      <c r="L4796">
        <v>141.68190000000001</v>
      </c>
      <c r="M4796">
        <v>-0.99994839999999996</v>
      </c>
      <c r="N4796">
        <v>-1.005173E-2</v>
      </c>
      <c r="O4796">
        <v>-1.461061E-3</v>
      </c>
      <c r="P4796">
        <v>-0.97955990000000004</v>
      </c>
      <c r="Q4796">
        <v>0.17995129999999901</v>
      </c>
      <c r="R4796">
        <v>-8.9890300000000006E-2</v>
      </c>
      <c r="S4796">
        <v>-3.0577390000000002</v>
      </c>
      <c r="T4796">
        <v>3.1761999999999999E-2</v>
      </c>
      <c r="U4796">
        <v>1.394653E-2</v>
      </c>
      <c r="V4796">
        <v>-8.8448180000000001E-2</v>
      </c>
      <c r="W4796">
        <v>0.18979470000000001</v>
      </c>
      <c r="X4796">
        <v>0.97783169999999997</v>
      </c>
      <c r="Y4796">
        <v>6.0218119999999997E-3</v>
      </c>
      <c r="Z4796" s="1">
        <v>-3.0870639999999998E-5</v>
      </c>
      <c r="AA4796">
        <v>0.99998189999999998</v>
      </c>
      <c r="AB4796">
        <v>25</v>
      </c>
      <c r="AC4796">
        <v>-3.0577390000000002</v>
      </c>
      <c r="AD4796">
        <v>3.1761999999999999E-2</v>
      </c>
      <c r="AE4796">
        <v>1.394653E-2</v>
      </c>
      <c r="AF4796">
        <v>1.84122974662696E-2</v>
      </c>
      <c r="AG4796">
        <v>3.1761999999999999E-2</v>
      </c>
      <c r="AH4796">
        <v>3.0573854782038601</v>
      </c>
      <c r="AI4796">
        <v>89.404808421086102</v>
      </c>
      <c r="AJ4796">
        <v>89.654955454460705</v>
      </c>
      <c r="AK4796">
        <v>3.0576058934522301</v>
      </c>
      <c r="AL4796">
        <v>79.059196308409796</v>
      </c>
      <c r="AM4796">
        <v>95.168531416814901</v>
      </c>
      <c r="AN4796">
        <v>0.99999997110914496</v>
      </c>
    </row>
    <row r="4797" spans="1:40" x14ac:dyDescent="0.25">
      <c r="A4797" t="str">
        <f>"20190304155157650"</f>
        <v>20190304155157650</v>
      </c>
      <c r="B4797" t="str">
        <f>"1551685917641984"</f>
        <v>1551685917641984</v>
      </c>
      <c r="C4797" t="s">
        <v>40</v>
      </c>
      <c r="D4797">
        <v>4.7569150000000002</v>
      </c>
      <c r="E4797">
        <v>0.52187859999999997</v>
      </c>
      <c r="F4797" t="s">
        <v>52</v>
      </c>
      <c r="G4797">
        <v>-692.82209999999998</v>
      </c>
      <c r="H4797">
        <v>-0.1</v>
      </c>
      <c r="I4797">
        <v>134.38560000000001</v>
      </c>
      <c r="J4797">
        <v>-350.94959999999998</v>
      </c>
      <c r="K4797">
        <v>1.1101799999999999</v>
      </c>
      <c r="L4797">
        <v>141.6815</v>
      </c>
      <c r="M4797">
        <v>-0.99994839999999996</v>
      </c>
      <c r="N4797">
        <v>-1.005027E-2</v>
      </c>
      <c r="O4797">
        <v>-1.4572539999999901E-3</v>
      </c>
      <c r="P4797">
        <v>-0.97944960000000003</v>
      </c>
      <c r="Q4797">
        <v>0.18036769999999999</v>
      </c>
      <c r="R4797">
        <v>-9.0256450000000002E-2</v>
      </c>
      <c r="S4797">
        <v>-3.058624</v>
      </c>
      <c r="T4797">
        <v>-1.081932E-2</v>
      </c>
      <c r="U4797">
        <v>-6.5231319999999995E-2</v>
      </c>
      <c r="V4797">
        <v>-8.881907E-2</v>
      </c>
      <c r="W4797">
        <v>0.19020809999999999</v>
      </c>
      <c r="X4797">
        <v>0.97771779999999997</v>
      </c>
      <c r="Y4797">
        <v>-1.9864710000000001E-2</v>
      </c>
      <c r="Z4797">
        <v>-1.4445809999999901E-4</v>
      </c>
      <c r="AA4797">
        <v>0.99980259999999999</v>
      </c>
      <c r="AB4797">
        <v>25</v>
      </c>
      <c r="AC4797">
        <v>-341.8725</v>
      </c>
      <c r="AD4797">
        <v>-1.21018</v>
      </c>
      <c r="AE4797">
        <v>-7.2958999999999801</v>
      </c>
      <c r="AF4797">
        <v>-6.7975868662048597</v>
      </c>
      <c r="AG4797">
        <v>-1.21018</v>
      </c>
      <c r="AH4797">
        <v>341.87848749171098</v>
      </c>
      <c r="AI4797">
        <v>90.202774429176102</v>
      </c>
      <c r="AJ4797">
        <v>91.139064727769394</v>
      </c>
      <c r="AK4797">
        <v>341.94820065684797</v>
      </c>
      <c r="AL4797">
        <v>79.035071326984806</v>
      </c>
      <c r="AM4797">
        <v>95.190687834569601</v>
      </c>
      <c r="AN4797">
        <v>1.00000002246905</v>
      </c>
    </row>
    <row r="4798" spans="1:40" x14ac:dyDescent="0.25">
      <c r="A4798" t="str">
        <f>"20190304155157671"</f>
        <v>20190304155157671</v>
      </c>
      <c r="B4798" t="str">
        <f>"1551685917661501"</f>
        <v>1551685917661501</v>
      </c>
      <c r="C4798" t="s">
        <v>40</v>
      </c>
      <c r="D4798">
        <v>4.7632500000000002</v>
      </c>
      <c r="E4798">
        <v>0.52058059999999995</v>
      </c>
      <c r="F4798" t="s">
        <v>77</v>
      </c>
      <c r="G4798">
        <v>-479.97879999999998</v>
      </c>
      <c r="H4798" s="1">
        <v>-1.011347E-5</v>
      </c>
      <c r="I4798">
        <v>137.97909999999999</v>
      </c>
      <c r="J4798">
        <v>-351.19080000000002</v>
      </c>
      <c r="K4798">
        <v>1.110185</v>
      </c>
      <c r="L4798">
        <v>141.68119999999999</v>
      </c>
      <c r="M4798">
        <v>-0.99994839999999996</v>
      </c>
      <c r="N4798">
        <v>-1.004936E-2</v>
      </c>
      <c r="O4798">
        <v>-1.456426E-3</v>
      </c>
      <c r="P4798">
        <v>-0.97938199999999997</v>
      </c>
      <c r="Q4798">
        <v>0.18049480000000001</v>
      </c>
      <c r="R4798">
        <v>-9.0732789999999994E-2</v>
      </c>
      <c r="S4798">
        <v>-3.0597530000000002</v>
      </c>
      <c r="T4798">
        <v>-2.6326660000000002E-2</v>
      </c>
      <c r="U4798">
        <v>-8.7799070000000007E-2</v>
      </c>
      <c r="V4798">
        <v>-8.9296589999999995E-2</v>
      </c>
      <c r="W4798">
        <v>0.19033359999999999</v>
      </c>
      <c r="X4798">
        <v>0.97764989999999996</v>
      </c>
      <c r="Y4798">
        <v>-2.72249E-2</v>
      </c>
      <c r="Z4798">
        <v>-2.5603630000000001E-4</v>
      </c>
      <c r="AA4798">
        <v>0.99962930000000005</v>
      </c>
      <c r="AB4798">
        <v>25</v>
      </c>
      <c r="AC4798">
        <v>-128.78799999999899</v>
      </c>
      <c r="AD4798">
        <v>-1.1101951134700001</v>
      </c>
      <c r="AE4798">
        <v>-3.7021000000000002</v>
      </c>
      <c r="AF4798">
        <v>-3.5142554722991801</v>
      </c>
      <c r="AG4798">
        <v>-1.1101951134700001</v>
      </c>
      <c r="AH4798">
        <v>128.78369347483499</v>
      </c>
      <c r="AI4798">
        <v>90.493729050990396</v>
      </c>
      <c r="AJ4798">
        <v>91.563102016211005</v>
      </c>
      <c r="AK4798">
        <v>128.83641655112399</v>
      </c>
      <c r="AL4798">
        <v>79.027747136520702</v>
      </c>
      <c r="AM4798">
        <v>95.218801412205593</v>
      </c>
      <c r="AN4798">
        <v>1.00000004362229</v>
      </c>
    </row>
    <row r="4799" spans="1:40" x14ac:dyDescent="0.25">
      <c r="A4799" t="str">
        <f>"20190304155157693"</f>
        <v>20190304155157693</v>
      </c>
      <c r="B4799" t="str">
        <f>"1551685917681998"</f>
        <v>1551685917681998</v>
      </c>
      <c r="C4799" t="s">
        <v>40</v>
      </c>
      <c r="D4799">
        <v>4.7598019999999996</v>
      </c>
      <c r="E4799">
        <v>0.51985550000000003</v>
      </c>
      <c r="F4799" t="s">
        <v>41</v>
      </c>
      <c r="G4799">
        <v>-446.04140000000001</v>
      </c>
      <c r="H4799" s="1">
        <v>-8.4600899999999996E-7</v>
      </c>
      <c r="I4799">
        <v>138.6087</v>
      </c>
      <c r="J4799">
        <v>-351.44130000000001</v>
      </c>
      <c r="K4799">
        <v>1.1101780000000001</v>
      </c>
      <c r="L4799">
        <v>141.6808</v>
      </c>
      <c r="M4799">
        <v>-0.99994839999999996</v>
      </c>
      <c r="N4799">
        <v>-1.004878E-2</v>
      </c>
      <c r="O4799">
        <v>-1.456911E-3</v>
      </c>
      <c r="P4799">
        <v>-0.97939350000000003</v>
      </c>
      <c r="Q4799">
        <v>0.17982400000000001</v>
      </c>
      <c r="R4799">
        <v>-9.193192E-2</v>
      </c>
      <c r="S4799">
        <v>-3.0605769999999999</v>
      </c>
      <c r="T4799">
        <v>-3.582275E-2</v>
      </c>
      <c r="U4799">
        <v>-9.9136349999999998E-2</v>
      </c>
      <c r="V4799">
        <v>-9.0495850000000003E-2</v>
      </c>
      <c r="W4799">
        <v>0.18966230000000001</v>
      </c>
      <c r="X4799">
        <v>0.97767009999999999</v>
      </c>
      <c r="Y4799">
        <v>-3.0914230000000001E-2</v>
      </c>
      <c r="Z4799">
        <v>-3.3383430000000002E-4</v>
      </c>
      <c r="AA4799">
        <v>0.99952200000000002</v>
      </c>
      <c r="AB4799">
        <v>25</v>
      </c>
      <c r="AC4799">
        <v>-94.600099999999998</v>
      </c>
      <c r="AD4799">
        <v>-1.1101788460089901</v>
      </c>
      <c r="AE4799">
        <v>-3.0720999999999998</v>
      </c>
      <c r="AF4799">
        <v>-2.9338622160568302</v>
      </c>
      <c r="AG4799">
        <v>-1.1101788460089901</v>
      </c>
      <c r="AH4799">
        <v>94.591462010967703</v>
      </c>
      <c r="AI4799">
        <v>90.6721015951737</v>
      </c>
      <c r="AJ4799">
        <v>91.776524505616507</v>
      </c>
      <c r="AK4799">
        <v>94.643461105061405</v>
      </c>
      <c r="AL4799">
        <v>79.066923541641302</v>
      </c>
      <c r="AM4799">
        <v>95.288386865735305</v>
      </c>
      <c r="AN4799">
        <v>1.0000000556712501</v>
      </c>
    </row>
    <row r="4800" spans="1:40" x14ac:dyDescent="0.25">
      <c r="A4800" t="str">
        <f>"20190304155157717"</f>
        <v>20190304155157717</v>
      </c>
      <c r="B4800" t="str">
        <f>"1551685917711277"</f>
        <v>1551685917711277</v>
      </c>
      <c r="C4800" t="s">
        <v>40</v>
      </c>
      <c r="D4800">
        <v>4.7591859999999997</v>
      </c>
      <c r="E4800">
        <v>0.5193683</v>
      </c>
      <c r="F4800" t="s">
        <v>84</v>
      </c>
      <c r="G4800">
        <v>-426.75510000000003</v>
      </c>
      <c r="H4800" s="1">
        <v>-1.054895E-5</v>
      </c>
      <c r="I4800">
        <v>139.06139999999999</v>
      </c>
      <c r="J4800">
        <v>-351.69709999999998</v>
      </c>
      <c r="K4800">
        <v>1.1101760000000001</v>
      </c>
      <c r="L4800">
        <v>141.68039999999999</v>
      </c>
      <c r="M4800">
        <v>-0.99994859999999997</v>
      </c>
      <c r="N4800">
        <v>-1.0048670000000001E-2</v>
      </c>
      <c r="O4800">
        <v>-1.4584719999999999E-3</v>
      </c>
      <c r="P4800">
        <v>-0.97936990000000002</v>
      </c>
      <c r="Q4800">
        <v>0.17874519999999999</v>
      </c>
      <c r="R4800">
        <v>-9.4261650000000002E-2</v>
      </c>
      <c r="S4800">
        <v>-3.0613709999999998</v>
      </c>
      <c r="T4800">
        <v>-4.5127149999999998E-2</v>
      </c>
      <c r="U4800">
        <v>-0.1064758</v>
      </c>
      <c r="V4800">
        <v>-9.282427E-2</v>
      </c>
      <c r="W4800">
        <v>0.18858349999999999</v>
      </c>
      <c r="X4800">
        <v>0.97766039999999998</v>
      </c>
      <c r="Y4800">
        <v>-3.3295659999999998E-2</v>
      </c>
      <c r="Z4800">
        <v>-4.058342E-4</v>
      </c>
      <c r="AA4800">
        <v>0.99944540000000004</v>
      </c>
      <c r="AB4800">
        <v>25</v>
      </c>
      <c r="AC4800">
        <v>-75.058000000000007</v>
      </c>
      <c r="AD4800">
        <v>-1.11018654895</v>
      </c>
      <c r="AE4800">
        <v>-2.6190000000000002</v>
      </c>
      <c r="AF4800">
        <v>-2.5089734787447</v>
      </c>
      <c r="AG4800">
        <v>-1.11018654895</v>
      </c>
      <c r="AH4800">
        <v>75.045342003666903</v>
      </c>
      <c r="AI4800">
        <v>90.847072588992503</v>
      </c>
      <c r="AJ4800">
        <v>91.914843254855299</v>
      </c>
      <c r="AK4800">
        <v>75.095478016574702</v>
      </c>
      <c r="AL4800">
        <v>79.129869253626595</v>
      </c>
      <c r="AM4800">
        <v>95.423707017715998</v>
      </c>
      <c r="AN4800">
        <v>0.99999996965072002</v>
      </c>
    </row>
    <row r="4801" spans="1:40" x14ac:dyDescent="0.25">
      <c r="A4801" t="str">
        <f>"20190304155157739"</f>
        <v>20190304155157739</v>
      </c>
      <c r="B4801" t="str">
        <f>"1551685917731777"</f>
        <v>1551685917731777</v>
      </c>
      <c r="C4801" t="s">
        <v>40</v>
      </c>
      <c r="D4801">
        <v>4.7642470000000001</v>
      </c>
      <c r="E4801">
        <v>0.51906509999999995</v>
      </c>
      <c r="F4801" t="s">
        <v>84</v>
      </c>
      <c r="G4801">
        <v>-414.1454</v>
      </c>
      <c r="H4801" s="1">
        <v>-1.018002E-5</v>
      </c>
      <c r="I4801">
        <v>139.3203</v>
      </c>
      <c r="J4801">
        <v>-351.95010000000002</v>
      </c>
      <c r="K4801">
        <v>1.110171</v>
      </c>
      <c r="L4801">
        <v>141.68010000000001</v>
      </c>
      <c r="M4801">
        <v>-0.99994839999999996</v>
      </c>
      <c r="N4801">
        <v>-1.0049000000000001E-2</v>
      </c>
      <c r="O4801">
        <v>-1.4596769999999999E-3</v>
      </c>
      <c r="P4801">
        <v>-0.97904190000000002</v>
      </c>
      <c r="Q4801">
        <v>0.17964669999999999</v>
      </c>
      <c r="R4801">
        <v>-9.5938770000000007E-2</v>
      </c>
      <c r="S4801">
        <v>-3.0619809999999998</v>
      </c>
      <c r="T4801">
        <v>-5.4435009999999999E-2</v>
      </c>
      <c r="U4801">
        <v>-0.115722699999999</v>
      </c>
      <c r="V4801">
        <v>-9.450161E-2</v>
      </c>
      <c r="W4801">
        <v>0.1894815</v>
      </c>
      <c r="X4801">
        <v>0.97732600000000003</v>
      </c>
      <c r="Y4801">
        <v>-3.6298759999999999E-2</v>
      </c>
      <c r="Z4801">
        <v>-4.9371379999999996E-4</v>
      </c>
      <c r="AA4801">
        <v>0.99934080000000003</v>
      </c>
      <c r="AB4801">
        <v>25</v>
      </c>
      <c r="AC4801">
        <v>-62.195299999999897</v>
      </c>
      <c r="AD4801">
        <v>-1.1101811800200001</v>
      </c>
      <c r="AE4801">
        <v>-2.3597999999999999</v>
      </c>
      <c r="AF4801">
        <v>-2.2682861671649701</v>
      </c>
      <c r="AG4801">
        <v>-1.1101811800200001</v>
      </c>
      <c r="AH4801">
        <v>62.178895514434103</v>
      </c>
      <c r="AI4801">
        <v>91.022206463962405</v>
      </c>
      <c r="AJ4801">
        <v>92.089223646507605</v>
      </c>
      <c r="AK4801">
        <v>62.230158860343103</v>
      </c>
      <c r="AL4801">
        <v>79.0774727803269</v>
      </c>
      <c r="AM4801">
        <v>95.522990886444902</v>
      </c>
      <c r="AN4801">
        <v>0.999999951705419</v>
      </c>
    </row>
    <row r="4802" spans="1:40" x14ac:dyDescent="0.25">
      <c r="A4802" t="str">
        <f>"20190304155157762"</f>
        <v>20190304155157762</v>
      </c>
      <c r="B4802" t="str">
        <f>"1551685917751965"</f>
        <v>1551685917751965</v>
      </c>
      <c r="C4802" t="s">
        <v>40</v>
      </c>
      <c r="D4802">
        <v>4.781822</v>
      </c>
      <c r="E4802">
        <v>0.51900210000000002</v>
      </c>
      <c r="F4802" t="s">
        <v>84</v>
      </c>
      <c r="G4802">
        <v>-414.75450000000001</v>
      </c>
      <c r="H4802" s="1">
        <v>-1.0054149999999999E-5</v>
      </c>
      <c r="I4802">
        <v>139.15479999999999</v>
      </c>
      <c r="J4802">
        <v>-352.20119999999997</v>
      </c>
      <c r="K4802">
        <v>1.110179</v>
      </c>
      <c r="L4802">
        <v>141.6797</v>
      </c>
      <c r="M4802">
        <v>-0.99994859999999997</v>
      </c>
      <c r="N4802">
        <v>-1.004962E-2</v>
      </c>
      <c r="O4802">
        <v>-1.461001E-3</v>
      </c>
      <c r="P4802">
        <v>-0.97879570000000005</v>
      </c>
      <c r="Q4802">
        <v>0.17993329999999999</v>
      </c>
      <c r="R4802">
        <v>-9.7894599999999998E-2</v>
      </c>
      <c r="S4802">
        <v>-3.0620729999999998</v>
      </c>
      <c r="T4802">
        <v>-5.4127689999999999E-2</v>
      </c>
      <c r="U4802">
        <v>-0.1231232</v>
      </c>
      <c r="V4802">
        <v>-9.645658E-2</v>
      </c>
      <c r="W4802">
        <v>0.1897662</v>
      </c>
      <c r="X4802">
        <v>0.97707980000000005</v>
      </c>
      <c r="Y4802">
        <v>-3.870726E-2</v>
      </c>
      <c r="Z4802">
        <v>-5.2541299999999997E-4</v>
      </c>
      <c r="AA4802">
        <v>0.99925050000000004</v>
      </c>
      <c r="AB4802">
        <v>25</v>
      </c>
      <c r="AC4802">
        <v>-62.5533</v>
      </c>
      <c r="AD4802">
        <v>-1.1101890541499999</v>
      </c>
      <c r="AE4802">
        <v>-2.5249000000000001</v>
      </c>
      <c r="AF4802">
        <v>-2.4327372354058601</v>
      </c>
      <c r="AG4802">
        <v>-1.1101890541499999</v>
      </c>
      <c r="AH4802">
        <v>62.537255882193499</v>
      </c>
      <c r="AI4802">
        <v>91.016264732015102</v>
      </c>
      <c r="AJ4802">
        <v>92.227717371210602</v>
      </c>
      <c r="AK4802">
        <v>62.594401534541603</v>
      </c>
      <c r="AL4802">
        <v>79.060859883347206</v>
      </c>
      <c r="AM4802">
        <v>95.637928649662399</v>
      </c>
      <c r="AN4802">
        <v>1.00000000902788</v>
      </c>
    </row>
    <row r="4803" spans="1:40" x14ac:dyDescent="0.25">
      <c r="A4803" t="str">
        <f>"20190304155157784"</f>
        <v>20190304155157784</v>
      </c>
      <c r="B4803" t="str">
        <f>"1551685917782218"</f>
        <v>1551685917782218</v>
      </c>
      <c r="C4803" t="s">
        <v>40</v>
      </c>
      <c r="D4803">
        <v>4.7774739999999998</v>
      </c>
      <c r="E4803">
        <v>0.51895059999999904</v>
      </c>
      <c r="F4803" t="s">
        <v>84</v>
      </c>
      <c r="G4803">
        <v>-412.91890000000001</v>
      </c>
      <c r="H4803" s="1">
        <v>-1.0193510000000001E-5</v>
      </c>
      <c r="I4803">
        <v>139.10470000000001</v>
      </c>
      <c r="J4803">
        <v>-352.45440000000002</v>
      </c>
      <c r="K4803">
        <v>1.110174</v>
      </c>
      <c r="L4803">
        <v>141.67930000000001</v>
      </c>
      <c r="M4803">
        <v>-0.99994839999999996</v>
      </c>
      <c r="N4803">
        <v>-1.0050460000000001E-2</v>
      </c>
      <c r="O4803">
        <v>-1.4618470000000001E-3</v>
      </c>
      <c r="P4803">
        <v>-0.97862510000000003</v>
      </c>
      <c r="Q4803">
        <v>0.1799337</v>
      </c>
      <c r="R4803">
        <v>-9.9584329999999999E-2</v>
      </c>
      <c r="S4803">
        <v>-3.0622560000000001</v>
      </c>
      <c r="T4803">
        <v>-5.5991649999999997E-2</v>
      </c>
      <c r="U4803">
        <v>-0.1298676</v>
      </c>
      <c r="V4803">
        <v>-9.8145830000000003E-2</v>
      </c>
      <c r="W4803">
        <v>0.18976570000000001</v>
      </c>
      <c r="X4803">
        <v>0.97691170000000005</v>
      </c>
      <c r="Y4803">
        <v>-4.089984E-2</v>
      </c>
      <c r="Z4803">
        <v>-5.673424E-4</v>
      </c>
      <c r="AA4803">
        <v>0.99916309999999997</v>
      </c>
      <c r="AB4803">
        <v>25</v>
      </c>
      <c r="AC4803">
        <v>-60.464500000000001</v>
      </c>
      <c r="AD4803">
        <v>-1.1101841935100001</v>
      </c>
      <c r="AE4803">
        <v>-2.5746000000000002</v>
      </c>
      <c r="AF4803">
        <v>-2.4853665748217799</v>
      </c>
      <c r="AG4803">
        <v>-1.1101841935100001</v>
      </c>
      <c r="AH4803">
        <v>60.447857730619603</v>
      </c>
      <c r="AI4803">
        <v>91.051286860028</v>
      </c>
      <c r="AJ4803">
        <v>92.354439978913007</v>
      </c>
      <c r="AK4803">
        <v>60.509115513086101</v>
      </c>
      <c r="AL4803">
        <v>79.060889484358995</v>
      </c>
      <c r="AM4803">
        <v>95.736993667939103</v>
      </c>
      <c r="AN4803">
        <v>1.00000004721988</v>
      </c>
    </row>
    <row r="4804" spans="1:40" x14ac:dyDescent="0.25">
      <c r="A4804" t="str">
        <f>"20190304155157805"</f>
        <v>20190304155157805</v>
      </c>
      <c r="B4804" t="str">
        <f>"1551685917801737"</f>
        <v>1551685917801737</v>
      </c>
      <c r="C4804" t="s">
        <v>40</v>
      </c>
      <c r="D4804">
        <v>4.7615280000000002</v>
      </c>
      <c r="E4804">
        <v>0.51900119999999905</v>
      </c>
      <c r="F4804" t="s">
        <v>84</v>
      </c>
      <c r="G4804">
        <v>-410.69720000000001</v>
      </c>
      <c r="H4804" s="1">
        <v>-1.0384990000000001E-5</v>
      </c>
      <c r="I4804">
        <v>139.09630000000001</v>
      </c>
      <c r="J4804">
        <v>-352.69369999999998</v>
      </c>
      <c r="K4804">
        <v>1.110174</v>
      </c>
      <c r="L4804">
        <v>141.679</v>
      </c>
      <c r="M4804">
        <v>-0.99994839999999996</v>
      </c>
      <c r="N4804">
        <v>-1.005144E-2</v>
      </c>
      <c r="O4804">
        <v>-1.4626909999999999E-3</v>
      </c>
      <c r="P4804">
        <v>-0.97866280000000005</v>
      </c>
      <c r="Q4804">
        <v>0.1793495</v>
      </c>
      <c r="R4804">
        <v>-0.10026409999999999</v>
      </c>
      <c r="S4804">
        <v>-3.0624389999999999</v>
      </c>
      <c r="T4804">
        <v>-5.8374049999999997E-2</v>
      </c>
      <c r="U4804">
        <v>-0.13581849999999901</v>
      </c>
      <c r="V4804">
        <v>-9.8825590000000005E-2</v>
      </c>
      <c r="W4804">
        <v>0.18918280000000001</v>
      </c>
      <c r="X4804">
        <v>0.97695620000000005</v>
      </c>
      <c r="Y4804">
        <v>-4.2833040000000003E-2</v>
      </c>
      <c r="Z4804">
        <v>-6.1022750000000003E-4</v>
      </c>
      <c r="AA4804">
        <v>0.99908200000000003</v>
      </c>
      <c r="AB4804">
        <v>25</v>
      </c>
      <c r="AC4804">
        <v>-58.003500000000003</v>
      </c>
      <c r="AD4804">
        <v>-1.1101843849899999</v>
      </c>
      <c r="AE4804">
        <v>-2.58269999999998</v>
      </c>
      <c r="AF4804">
        <v>-2.4969388389199398</v>
      </c>
      <c r="AG4804">
        <v>-1.1101843849899999</v>
      </c>
      <c r="AH4804">
        <v>57.986015386841402</v>
      </c>
      <c r="AI4804">
        <v>91.095820066679195</v>
      </c>
      <c r="AJ4804">
        <v>92.465693301325302</v>
      </c>
      <c r="AK4804">
        <v>58.050367728180603</v>
      </c>
      <c r="AL4804">
        <v>79.094903061885006</v>
      </c>
      <c r="AM4804">
        <v>95.776199076758601</v>
      </c>
      <c r="AN4804">
        <v>1.00000002288656</v>
      </c>
    </row>
    <row r="4805" spans="1:40" x14ac:dyDescent="0.25">
      <c r="A4805" t="str">
        <f>"20190304155157829"</f>
        <v>20190304155157829</v>
      </c>
      <c r="B4805" t="str">
        <f>"1551685917821257"</f>
        <v>1551685917821257</v>
      </c>
      <c r="C4805" t="s">
        <v>40</v>
      </c>
      <c r="D4805">
        <v>4.7661809999999996</v>
      </c>
      <c r="E4805">
        <v>0.51909430000000001</v>
      </c>
      <c r="F4805" t="s">
        <v>84</v>
      </c>
      <c r="G4805">
        <v>-408.57459999999998</v>
      </c>
      <c r="H4805" s="1">
        <v>-9.6203959999999993E-6</v>
      </c>
      <c r="I4805">
        <v>139.16839999999999</v>
      </c>
      <c r="J4805">
        <v>-352.94810000000001</v>
      </c>
      <c r="K4805">
        <v>1.110174</v>
      </c>
      <c r="L4805">
        <v>141.67859999999999</v>
      </c>
      <c r="M4805">
        <v>-0.99994839999999996</v>
      </c>
      <c r="N4805">
        <v>-1.005268E-2</v>
      </c>
      <c r="O4805">
        <v>-1.4634159999999999E-3</v>
      </c>
      <c r="P4805">
        <v>-0.97858780000000001</v>
      </c>
      <c r="Q4805">
        <v>0.1797192</v>
      </c>
      <c r="R4805">
        <v>-0.1003348</v>
      </c>
      <c r="S4805">
        <v>-3.0625</v>
      </c>
      <c r="T4805">
        <v>-6.0842630000000002E-2</v>
      </c>
      <c r="U4805">
        <v>-0.1375885</v>
      </c>
      <c r="V4805">
        <v>-9.8895259999999999E-2</v>
      </c>
      <c r="W4805">
        <v>0.18955320000000001</v>
      </c>
      <c r="X4805">
        <v>0.97687729999999995</v>
      </c>
      <c r="Y4805">
        <v>-4.3406720000000003E-2</v>
      </c>
      <c r="Z4805">
        <v>-6.3489299999999998E-4</v>
      </c>
      <c r="AA4805">
        <v>0.99905730000000004</v>
      </c>
      <c r="AB4805">
        <v>25</v>
      </c>
      <c r="AC4805">
        <v>-55.626499999999901</v>
      </c>
      <c r="AD4805">
        <v>-1.110183620396</v>
      </c>
      <c r="AE4805">
        <v>-2.51019999999999</v>
      </c>
      <c r="AF4805">
        <v>-2.4278234160386298</v>
      </c>
      <c r="AG4805">
        <v>-1.110183620396</v>
      </c>
      <c r="AH4805">
        <v>55.608009615649003</v>
      </c>
      <c r="AI4805">
        <v>91.142638868650593</v>
      </c>
      <c r="AJ4805">
        <v>92.499923161672299</v>
      </c>
      <c r="AK4805">
        <v>55.672053739956198</v>
      </c>
      <c r="AL4805">
        <v>79.073289091827903</v>
      </c>
      <c r="AM4805">
        <v>95.780707308625907</v>
      </c>
      <c r="AN4805">
        <v>0.99999997366799798</v>
      </c>
    </row>
    <row r="4806" spans="1:40" x14ac:dyDescent="0.25">
      <c r="A4806" t="str">
        <f>"20190304155157851"</f>
        <v>20190304155157851</v>
      </c>
      <c r="B4806" t="str">
        <f>"1551685917841756"</f>
        <v>1551685917841756</v>
      </c>
      <c r="C4806" t="s">
        <v>40</v>
      </c>
      <c r="D4806">
        <v>4.7674190000000003</v>
      </c>
      <c r="E4806">
        <v>0.51896799999999998</v>
      </c>
      <c r="F4806" t="s">
        <v>84</v>
      </c>
      <c r="G4806">
        <v>-408.95</v>
      </c>
      <c r="H4806" s="1">
        <v>-9.8567970000000004E-6</v>
      </c>
      <c r="I4806">
        <v>139.17449999999999</v>
      </c>
      <c r="J4806">
        <v>-353.20839999999998</v>
      </c>
      <c r="K4806">
        <v>1.110177</v>
      </c>
      <c r="L4806">
        <v>141.6782</v>
      </c>
      <c r="M4806">
        <v>-0.99994839999999996</v>
      </c>
      <c r="N4806">
        <v>-1.0054159999999999E-2</v>
      </c>
      <c r="O4806">
        <v>-1.4639010000000001E-3</v>
      </c>
      <c r="P4806">
        <v>-0.97866200000000003</v>
      </c>
      <c r="Q4806">
        <v>0.17952290000000001</v>
      </c>
      <c r="R4806">
        <v>-9.9961300000000003E-2</v>
      </c>
      <c r="S4806">
        <v>-3.0627439999999999</v>
      </c>
      <c r="T4806">
        <v>-6.0715909999999998E-2</v>
      </c>
      <c r="U4806">
        <v>-0.1369476</v>
      </c>
      <c r="V4806">
        <v>-9.8521250000000005E-2</v>
      </c>
      <c r="W4806">
        <v>0.18935840000000001</v>
      </c>
      <c r="X4806">
        <v>0.97695290000000001</v>
      </c>
      <c r="Y4806">
        <v>-4.3194139999999999E-2</v>
      </c>
      <c r="Z4806">
        <v>-6.3087929999999998E-4</v>
      </c>
      <c r="AA4806">
        <v>0.99906649999999997</v>
      </c>
      <c r="AB4806">
        <v>25</v>
      </c>
      <c r="AC4806">
        <v>-55.741599999999998</v>
      </c>
      <c r="AD4806">
        <v>-1.1101868567969999</v>
      </c>
      <c r="AE4806">
        <v>-2.5036999999999998</v>
      </c>
      <c r="AF4806">
        <v>-2.4211345431912301</v>
      </c>
      <c r="AG4806">
        <v>-1.1101868567969999</v>
      </c>
      <c r="AH4806">
        <v>55.723146223564498</v>
      </c>
      <c r="AI4806">
        <v>91.140292285257004</v>
      </c>
      <c r="AJ4806">
        <v>92.4878996359285</v>
      </c>
      <c r="AK4806">
        <v>55.786767538422502</v>
      </c>
      <c r="AL4806">
        <v>79.084656518041797</v>
      </c>
      <c r="AM4806">
        <v>95.758549937268896</v>
      </c>
      <c r="AN4806">
        <v>1.0000000045852599</v>
      </c>
    </row>
    <row r="4807" spans="1:40" x14ac:dyDescent="0.25">
      <c r="A4807" t="str">
        <f>"20190304155157872"</f>
        <v>20190304155157872</v>
      </c>
      <c r="B4807" t="str">
        <f>"1551685917861273"</f>
        <v>1551685917861273</v>
      </c>
      <c r="C4807" t="s">
        <v>40</v>
      </c>
      <c r="D4807">
        <v>4.7890110000000004</v>
      </c>
      <c r="E4807">
        <v>0.51911569999999996</v>
      </c>
      <c r="F4807" t="s">
        <v>84</v>
      </c>
      <c r="G4807">
        <v>-408.18450000000001</v>
      </c>
      <c r="H4807" s="1">
        <v>-9.4015469999999999E-6</v>
      </c>
      <c r="I4807">
        <v>139.22329999999999</v>
      </c>
      <c r="J4807">
        <v>-353.43970000000002</v>
      </c>
      <c r="K4807">
        <v>1.1101810000000001</v>
      </c>
      <c r="L4807">
        <v>141.67779999999999</v>
      </c>
      <c r="M4807">
        <v>-0.99994859999999997</v>
      </c>
      <c r="N4807">
        <v>-1.00556E-2</v>
      </c>
      <c r="O4807">
        <v>-1.4642660000000001E-3</v>
      </c>
      <c r="P4807">
        <v>-0.97852300000000003</v>
      </c>
      <c r="Q4807">
        <v>0.18060000000000001</v>
      </c>
      <c r="R4807">
        <v>-9.9382369999999998E-2</v>
      </c>
      <c r="S4807">
        <v>-3.0627749999999998</v>
      </c>
      <c r="T4807">
        <v>-6.1849590000000003E-2</v>
      </c>
      <c r="U4807">
        <v>-0.13676450000000001</v>
      </c>
      <c r="V4807">
        <v>-9.7941909999999993E-2</v>
      </c>
      <c r="W4807">
        <v>0.19043560000000001</v>
      </c>
      <c r="X4807">
        <v>0.97680180000000005</v>
      </c>
      <c r="Y4807">
        <v>-4.3133339999999999E-2</v>
      </c>
      <c r="Z4807">
        <v>-6.3743329999999996E-4</v>
      </c>
      <c r="AA4807">
        <v>0.99906910000000004</v>
      </c>
      <c r="AB4807">
        <v>25</v>
      </c>
      <c r="AC4807">
        <v>-54.744799999999998</v>
      </c>
      <c r="AD4807">
        <v>-1.1101904015470001</v>
      </c>
      <c r="AE4807">
        <v>-2.4544999999999901</v>
      </c>
      <c r="AF4807">
        <v>-2.3733582917256402</v>
      </c>
      <c r="AG4807">
        <v>-1.1101904015470001</v>
      </c>
      <c r="AH4807">
        <v>54.725874492870403</v>
      </c>
      <c r="AI4807">
        <v>91.161074029839696</v>
      </c>
      <c r="AJ4807">
        <v>92.483254191342596</v>
      </c>
      <c r="AK4807">
        <v>54.788563508436603</v>
      </c>
      <c r="AL4807">
        <v>79.021794109677799</v>
      </c>
      <c r="AM4807">
        <v>95.725792899263197</v>
      </c>
      <c r="AN4807">
        <v>1.00000004598252</v>
      </c>
    </row>
    <row r="4808" spans="1:40" x14ac:dyDescent="0.25">
      <c r="A4808" t="str">
        <f>"20190304155157894"</f>
        <v>20190304155157894</v>
      </c>
      <c r="B4808" t="str">
        <f>"1551685917891529"</f>
        <v>1551685917891529</v>
      </c>
      <c r="C4808" t="s">
        <v>40</v>
      </c>
      <c r="D4808">
        <v>4.7846849999999996</v>
      </c>
      <c r="E4808">
        <v>0.51923640000000004</v>
      </c>
      <c r="F4808" t="s">
        <v>84</v>
      </c>
      <c r="G4808">
        <v>-411.31689999999998</v>
      </c>
      <c r="H4808" s="1">
        <v>-1.035551E-5</v>
      </c>
      <c r="I4808">
        <v>139.1534</v>
      </c>
      <c r="J4808">
        <v>-353.69659999999999</v>
      </c>
      <c r="K4808">
        <v>1.110182</v>
      </c>
      <c r="L4808">
        <v>141.67750000000001</v>
      </c>
      <c r="M4808">
        <v>-0.99994839999999996</v>
      </c>
      <c r="N4808">
        <v>-1.005735E-2</v>
      </c>
      <c r="O4808">
        <v>-1.4643939999999999E-3</v>
      </c>
      <c r="P4808">
        <v>-0.97845539999999998</v>
      </c>
      <c r="Q4808">
        <v>0.181313</v>
      </c>
      <c r="R4808">
        <v>-9.8747009999999996E-2</v>
      </c>
      <c r="S4808">
        <v>-3.06311</v>
      </c>
      <c r="T4808">
        <v>-5.875611E-2</v>
      </c>
      <c r="U4808">
        <v>-0.133606</v>
      </c>
      <c r="V4808">
        <v>-9.7306790000000004E-2</v>
      </c>
      <c r="W4808">
        <v>0.19114990000000001</v>
      </c>
      <c r="X4808">
        <v>0.97672570000000003</v>
      </c>
      <c r="Y4808">
        <v>-4.2101449999999999E-2</v>
      </c>
      <c r="Z4808">
        <v>-6.020601E-4</v>
      </c>
      <c r="AA4808">
        <v>0.99911309999999998</v>
      </c>
      <c r="AB4808">
        <v>25</v>
      </c>
      <c r="AC4808">
        <v>-57.620299999999901</v>
      </c>
      <c r="AD4808">
        <v>-1.11019235551</v>
      </c>
      <c r="AE4808">
        <v>-2.5240999999999998</v>
      </c>
      <c r="AF4808">
        <v>-2.4388105774641899</v>
      </c>
      <c r="AG4808">
        <v>-1.11019235551</v>
      </c>
      <c r="AH4808">
        <v>57.602591704625603</v>
      </c>
      <c r="AI4808">
        <v>91.103154324635398</v>
      </c>
      <c r="AJ4808">
        <v>92.424372678199205</v>
      </c>
      <c r="AK4808">
        <v>57.664884420145903</v>
      </c>
      <c r="AL4808">
        <v>78.980101286809102</v>
      </c>
      <c r="AM4808">
        <v>95.689347748736395</v>
      </c>
      <c r="AN4808">
        <v>0.99999999434530196</v>
      </c>
    </row>
    <row r="4809" spans="1:40" x14ac:dyDescent="0.25">
      <c r="A4809" t="str">
        <f>"20190304155157917"</f>
        <v>20190304155157917</v>
      </c>
      <c r="B4809" t="str">
        <f>"1551685917912025"</f>
        <v>1551685917912025</v>
      </c>
      <c r="C4809" t="s">
        <v>40</v>
      </c>
      <c r="D4809">
        <v>4.7576679999999998</v>
      </c>
      <c r="E4809">
        <v>0.51931720000000003</v>
      </c>
      <c r="F4809" t="s">
        <v>84</v>
      </c>
      <c r="G4809">
        <v>-413.0428</v>
      </c>
      <c r="H4809" s="1">
        <v>-1.020392E-5</v>
      </c>
      <c r="I4809">
        <v>139.1534</v>
      </c>
      <c r="J4809">
        <v>-353.95839999999998</v>
      </c>
      <c r="K4809">
        <v>1.110187</v>
      </c>
      <c r="L4809">
        <v>141.6771</v>
      </c>
      <c r="M4809">
        <v>-0.99994839999999996</v>
      </c>
      <c r="N4809">
        <v>-1.005927E-2</v>
      </c>
      <c r="O4809">
        <v>-1.464403E-3</v>
      </c>
      <c r="P4809">
        <v>-0.97838689999999995</v>
      </c>
      <c r="Q4809">
        <v>0.1819318</v>
      </c>
      <c r="R4809">
        <v>-9.8285220000000006E-2</v>
      </c>
      <c r="S4809">
        <v>-3.0635379999999999</v>
      </c>
      <c r="T4809">
        <v>-5.730975E-2</v>
      </c>
      <c r="U4809">
        <v>-0.13029479999999999</v>
      </c>
      <c r="V4809">
        <v>-9.6844929999999996E-2</v>
      </c>
      <c r="W4809">
        <v>0.19176960000000001</v>
      </c>
      <c r="X4809">
        <v>0.97665009999999997</v>
      </c>
      <c r="Y4809">
        <v>-4.1018260000000001E-2</v>
      </c>
      <c r="Z4809">
        <v>-5.7723569999999997E-4</v>
      </c>
      <c r="AA4809">
        <v>0.9991582</v>
      </c>
      <c r="AB4809">
        <v>25</v>
      </c>
      <c r="AC4809">
        <v>-59.084400000000002</v>
      </c>
      <c r="AD4809">
        <v>-1.1101972039200001</v>
      </c>
      <c r="AE4809">
        <v>-2.5236999999999901</v>
      </c>
      <c r="AF4809">
        <v>-2.4363109395514502</v>
      </c>
      <c r="AG4809">
        <v>-1.1101972039200001</v>
      </c>
      <c r="AH4809">
        <v>59.067215956914801</v>
      </c>
      <c r="AI4809">
        <v>91.075860845174603</v>
      </c>
      <c r="AJ4809">
        <v>92.361906731664703</v>
      </c>
      <c r="AK4809">
        <v>59.127862719081797</v>
      </c>
      <c r="AL4809">
        <v>78.9439255779061</v>
      </c>
      <c r="AM4809">
        <v>95.662955031354699</v>
      </c>
      <c r="AN4809">
        <v>0.99999996889043696</v>
      </c>
    </row>
    <row r="4810" spans="1:40" x14ac:dyDescent="0.25">
      <c r="A4810" t="str">
        <f>"20190304155157940"</f>
        <v>20190304155157940</v>
      </c>
      <c r="B4810" t="str">
        <f>"1551685917931545"</f>
        <v>1551685917931545</v>
      </c>
      <c r="C4810" t="s">
        <v>40</v>
      </c>
      <c r="D4810">
        <v>4.7732619999999999</v>
      </c>
      <c r="E4810">
        <v>0.51936689999999996</v>
      </c>
      <c r="F4810" t="s">
        <v>84</v>
      </c>
      <c r="G4810">
        <v>-414.24549999999999</v>
      </c>
      <c r="H4810" s="1">
        <v>-1.009794E-5</v>
      </c>
      <c r="I4810">
        <v>139.15260000000001</v>
      </c>
      <c r="J4810">
        <v>-354.20929999999998</v>
      </c>
      <c r="K4810">
        <v>1.11019</v>
      </c>
      <c r="L4810">
        <v>141.67670000000001</v>
      </c>
      <c r="M4810">
        <v>-0.99994839999999996</v>
      </c>
      <c r="N4810">
        <v>-1.0061240000000001E-2</v>
      </c>
      <c r="O4810">
        <v>-1.4647709999999999E-3</v>
      </c>
      <c r="P4810">
        <v>-0.97833599999999998</v>
      </c>
      <c r="Q4810">
        <v>0.18229339999999999</v>
      </c>
      <c r="R4810">
        <v>-9.8122860000000006E-2</v>
      </c>
      <c r="S4810">
        <v>-3.063904</v>
      </c>
      <c r="T4810">
        <v>-5.6422229999999997E-2</v>
      </c>
      <c r="U4810">
        <v>-0.12829589999999999</v>
      </c>
      <c r="V4810">
        <v>-9.6681920000000005E-2</v>
      </c>
      <c r="W4810">
        <v>0.19213269999999999</v>
      </c>
      <c r="X4810">
        <v>0.97659490000000004</v>
      </c>
      <c r="Y4810">
        <v>-4.0362559999999999E-2</v>
      </c>
      <c r="Z4810">
        <v>-5.6238760000000001E-4</v>
      </c>
      <c r="AA4810">
        <v>0.99918499999999999</v>
      </c>
      <c r="AB4810">
        <v>25</v>
      </c>
      <c r="AC4810">
        <v>-60.036200000000001</v>
      </c>
      <c r="AD4810">
        <v>-1.11020009794</v>
      </c>
      <c r="AE4810">
        <v>-2.5240999999999998</v>
      </c>
      <c r="AF4810">
        <v>-2.4353222487382</v>
      </c>
      <c r="AG4810">
        <v>-1.11020009794</v>
      </c>
      <c r="AH4810">
        <v>60.019344964098202</v>
      </c>
      <c r="AI4810">
        <v>91.058829386968199</v>
      </c>
      <c r="AJ4810">
        <v>92.323537303462999</v>
      </c>
      <c r="AK4810">
        <v>60.078990576008202</v>
      </c>
      <c r="AL4810">
        <v>78.922727448926494</v>
      </c>
      <c r="AM4810">
        <v>95.653802391409201</v>
      </c>
      <c r="AN4810">
        <v>0.99999998338509299</v>
      </c>
    </row>
    <row r="4811" spans="1:40" x14ac:dyDescent="0.25">
      <c r="A4811" t="str">
        <f>"20190304155157962"</f>
        <v>20190304155157962</v>
      </c>
      <c r="B4811" t="str">
        <f>"1551685917952041"</f>
        <v>1551685917952041</v>
      </c>
      <c r="C4811" t="s">
        <v>40</v>
      </c>
      <c r="D4811">
        <v>4.7663630000000001</v>
      </c>
      <c r="E4811">
        <v>0.5193816</v>
      </c>
      <c r="F4811" t="s">
        <v>84</v>
      </c>
      <c r="G4811">
        <v>-415.24250000000001</v>
      </c>
      <c r="H4811" s="1">
        <v>-1.000442E-5</v>
      </c>
      <c r="I4811">
        <v>139.13910000000001</v>
      </c>
      <c r="J4811">
        <v>-354.45819999999998</v>
      </c>
      <c r="K4811">
        <v>1.110187</v>
      </c>
      <c r="L4811">
        <v>141.6763</v>
      </c>
      <c r="M4811">
        <v>-0.99994830000000001</v>
      </c>
      <c r="N4811">
        <v>-1.0063310000000001E-2</v>
      </c>
      <c r="O4811">
        <v>-1.4647810000000001E-3</v>
      </c>
      <c r="P4811">
        <v>-0.97828159999999997</v>
      </c>
      <c r="Q4811">
        <v>0.1826593</v>
      </c>
      <c r="R4811">
        <v>-9.7983959999999995E-2</v>
      </c>
      <c r="S4811">
        <v>-3.0640260000000001</v>
      </c>
      <c r="T4811">
        <v>-5.5734989999999998E-2</v>
      </c>
      <c r="U4811">
        <v>-0.1273956</v>
      </c>
      <c r="V4811">
        <v>-9.6543519999999994E-2</v>
      </c>
      <c r="W4811">
        <v>0.1925</v>
      </c>
      <c r="X4811">
        <v>0.97653630000000002</v>
      </c>
      <c r="Y4811">
        <v>-4.0068100000000002E-2</v>
      </c>
      <c r="Z4811">
        <v>-5.5406460000000004E-4</v>
      </c>
      <c r="AA4811">
        <v>0.9991968</v>
      </c>
      <c r="AB4811">
        <v>25</v>
      </c>
      <c r="AC4811">
        <v>-60.784300000000002</v>
      </c>
      <c r="AD4811">
        <v>-1.11019700442</v>
      </c>
      <c r="AE4811">
        <v>-2.5371999999999799</v>
      </c>
      <c r="AF4811">
        <v>-2.4473420854105301</v>
      </c>
      <c r="AG4811">
        <v>-1.11019700442</v>
      </c>
      <c r="AH4811">
        <v>60.767714973300599</v>
      </c>
      <c r="AI4811">
        <v>91.045802371320505</v>
      </c>
      <c r="AJ4811">
        <v>92.306267958021493</v>
      </c>
      <c r="AK4811">
        <v>60.827109118779802</v>
      </c>
      <c r="AL4811">
        <v>78.9012828412814</v>
      </c>
      <c r="AM4811">
        <v>95.646097909521302</v>
      </c>
      <c r="AN4811">
        <v>1.0000000232358399</v>
      </c>
    </row>
    <row r="4812" spans="1:40" x14ac:dyDescent="0.25">
      <c r="A4812" t="str">
        <f>"20190304155157985"</f>
        <v>20190304155157985</v>
      </c>
      <c r="B4812" t="str">
        <f>"1551685917981321"</f>
        <v>1551685917981321</v>
      </c>
      <c r="C4812" t="s">
        <v>40</v>
      </c>
      <c r="D4812">
        <v>4.7645549999999997</v>
      </c>
      <c r="E4812">
        <v>0.51944460000000003</v>
      </c>
      <c r="F4812" t="s">
        <v>84</v>
      </c>
      <c r="G4812">
        <v>-416.46170000000001</v>
      </c>
      <c r="H4812" s="1">
        <v>-9.8818540000000002E-6</v>
      </c>
      <c r="I4812">
        <v>139.1037</v>
      </c>
      <c r="J4812">
        <v>-354.71589999999998</v>
      </c>
      <c r="K4812">
        <v>1.1101859999999999</v>
      </c>
      <c r="L4812">
        <v>141.67590000000001</v>
      </c>
      <c r="M4812">
        <v>-0.99994839999999996</v>
      </c>
      <c r="N4812">
        <v>-1.006554E-2</v>
      </c>
      <c r="O4812">
        <v>-1.4651499999999999E-3</v>
      </c>
      <c r="P4812">
        <v>-0.9783075</v>
      </c>
      <c r="Q4812">
        <v>0.1827232</v>
      </c>
      <c r="R4812">
        <v>-9.7606159999999997E-2</v>
      </c>
      <c r="S4812">
        <v>-3.064117</v>
      </c>
      <c r="T4812">
        <v>-5.4864169999999997E-2</v>
      </c>
      <c r="U4812">
        <v>-0.1271362</v>
      </c>
      <c r="V4812">
        <v>-9.6165059999999997E-2</v>
      </c>
      <c r="W4812">
        <v>0.19256599999999999</v>
      </c>
      <c r="X4812">
        <v>0.9765606</v>
      </c>
      <c r="Y4812">
        <v>-3.9982320000000002E-2</v>
      </c>
      <c r="Z4812">
        <v>-5.4762599999999995E-4</v>
      </c>
      <c r="AA4812">
        <v>0.99920019999999998</v>
      </c>
      <c r="AB4812">
        <v>25</v>
      </c>
      <c r="AC4812">
        <v>-61.745800000000003</v>
      </c>
      <c r="AD4812">
        <v>-1.1101958818539901</v>
      </c>
      <c r="AE4812">
        <v>-2.5722</v>
      </c>
      <c r="AF4812">
        <v>-2.4809251545285198</v>
      </c>
      <c r="AG4812">
        <v>-1.1101958818539901</v>
      </c>
      <c r="AH4812">
        <v>61.729580946724802</v>
      </c>
      <c r="AI4812">
        <v>91.029512699298905</v>
      </c>
      <c r="AJ4812">
        <v>92.301491089408799</v>
      </c>
      <c r="AK4812">
        <v>61.7893897718427</v>
      </c>
      <c r="AL4812">
        <v>78.897428895222006</v>
      </c>
      <c r="AM4812">
        <v>95.623967782233507</v>
      </c>
      <c r="AN4812">
        <v>0.99999999429658104</v>
      </c>
    </row>
    <row r="4813" spans="1:40" x14ac:dyDescent="0.25">
      <c r="A4813" t="str">
        <f>"20190304155158008"</f>
        <v>20190304155158008</v>
      </c>
      <c r="B4813" t="str">
        <f>"1551685918001816"</f>
        <v>1551685918001816</v>
      </c>
      <c r="C4813" t="s">
        <v>40</v>
      </c>
      <c r="D4813">
        <v>4.7736929999999997</v>
      </c>
      <c r="E4813">
        <v>0.51946530000000002</v>
      </c>
      <c r="F4813" t="s">
        <v>84</v>
      </c>
      <c r="G4813">
        <v>-415.916</v>
      </c>
      <c r="H4813" s="1">
        <v>-9.9593570000000006E-6</v>
      </c>
      <c r="I4813">
        <v>139.1713</v>
      </c>
      <c r="J4813">
        <v>-354.97969999999998</v>
      </c>
      <c r="K4813">
        <v>1.110185</v>
      </c>
      <c r="L4813">
        <v>141.6756</v>
      </c>
      <c r="M4813">
        <v>-0.99994839999999996</v>
      </c>
      <c r="N4813">
        <v>-1.0067950000000001E-2</v>
      </c>
      <c r="O4813">
        <v>-1.4652809999999999E-3</v>
      </c>
      <c r="P4813">
        <v>-0.97836769999999995</v>
      </c>
      <c r="Q4813">
        <v>0.1822231</v>
      </c>
      <c r="R4813">
        <v>-9.7935830000000001E-2</v>
      </c>
      <c r="S4813">
        <v>-3.0644230000000001</v>
      </c>
      <c r="T4813">
        <v>-5.5589909999999999E-2</v>
      </c>
      <c r="U4813">
        <v>-0.125412</v>
      </c>
      <c r="V4813">
        <v>-9.6495010000000006E-2</v>
      </c>
      <c r="W4813">
        <v>0.1920695</v>
      </c>
      <c r="X4813">
        <v>0.97662579999999999</v>
      </c>
      <c r="Y4813">
        <v>-3.9416729999999997E-2</v>
      </c>
      <c r="Z4813">
        <v>-5.4405429999999997E-4</v>
      </c>
      <c r="AA4813">
        <v>0.99922270000000002</v>
      </c>
      <c r="AB4813">
        <v>25</v>
      </c>
      <c r="AC4813">
        <v>-60.936300000000003</v>
      </c>
      <c r="AD4813">
        <v>-1.110194959357</v>
      </c>
      <c r="AE4813">
        <v>-2.5043000000000002</v>
      </c>
      <c r="AF4813">
        <v>-2.41420400176214</v>
      </c>
      <c r="AG4813">
        <v>-1.110194959357</v>
      </c>
      <c r="AH4813">
        <v>60.919717286401998</v>
      </c>
      <c r="AI4813">
        <v>91.043218430216598</v>
      </c>
      <c r="AJ4813">
        <v>92.269402469406003</v>
      </c>
      <c r="AK4813">
        <v>60.977642362304003</v>
      </c>
      <c r="AL4813">
        <v>78.9264170752692</v>
      </c>
      <c r="AM4813">
        <v>95.642765420463604</v>
      </c>
      <c r="AN4813">
        <v>0.99999996650539402</v>
      </c>
    </row>
    <row r="4814" spans="1:40" x14ac:dyDescent="0.25">
      <c r="A4814" t="str">
        <f>"20190304155158029"</f>
        <v>20190304155158029</v>
      </c>
      <c r="B4814" t="str">
        <f>"1551685918021337"</f>
        <v>1551685918021337</v>
      </c>
      <c r="C4814" t="s">
        <v>40</v>
      </c>
      <c r="D4814">
        <v>4.8322960000000004</v>
      </c>
      <c r="E4814">
        <v>0.519401</v>
      </c>
      <c r="F4814" t="s">
        <v>84</v>
      </c>
      <c r="G4814">
        <v>-414.26240000000001</v>
      </c>
      <c r="H4814" s="1">
        <v>-1.013034E-5</v>
      </c>
      <c r="I4814">
        <v>139.2302</v>
      </c>
      <c r="J4814">
        <v>-355.22329999999999</v>
      </c>
      <c r="K4814">
        <v>1.1101749999999999</v>
      </c>
      <c r="L4814">
        <v>141.67519999999999</v>
      </c>
      <c r="M4814">
        <v>-0.99994819999999995</v>
      </c>
      <c r="N4814">
        <v>-1.0070259999999999E-2</v>
      </c>
      <c r="O4814">
        <v>-1.465531E-3</v>
      </c>
      <c r="P4814">
        <v>-0.97834810000000005</v>
      </c>
      <c r="Q4814">
        <v>0.18196870000000001</v>
      </c>
      <c r="R4814">
        <v>-9.8602209999999996E-2</v>
      </c>
      <c r="S4814">
        <v>-3.064362</v>
      </c>
      <c r="T4814">
        <v>-5.7386760000000002E-2</v>
      </c>
      <c r="U4814">
        <v>-0.12640380000000001</v>
      </c>
      <c r="V4814">
        <v>-9.7161150000000002E-2</v>
      </c>
      <c r="W4814">
        <v>0.19181680000000001</v>
      </c>
      <c r="X4814">
        <v>0.97660950000000002</v>
      </c>
      <c r="Y4814">
        <v>-3.9739539999999997E-2</v>
      </c>
      <c r="Z4814">
        <v>-5.5944510000000003E-4</v>
      </c>
      <c r="AA4814">
        <v>0.99920989999999998</v>
      </c>
      <c r="AB4814">
        <v>25</v>
      </c>
      <c r="AC4814">
        <v>-59.039099999999998</v>
      </c>
      <c r="AD4814">
        <v>-1.1101851303400001</v>
      </c>
      <c r="AE4814">
        <v>-2.4449999999999901</v>
      </c>
      <c r="AF4814">
        <v>-2.3576371221488901</v>
      </c>
      <c r="AG4814">
        <v>-1.1101851303400001</v>
      </c>
      <c r="AH4814">
        <v>59.021785668983703</v>
      </c>
      <c r="AI4814">
        <v>91.076733824963</v>
      </c>
      <c r="AJ4814">
        <v>92.287475329228997</v>
      </c>
      <c r="AK4814">
        <v>59.0792869572646</v>
      </c>
      <c r="AL4814">
        <v>78.941170910361294</v>
      </c>
      <c r="AM4814">
        <v>95.681559694877706</v>
      </c>
      <c r="AN4814">
        <v>1.0000000446609001</v>
      </c>
    </row>
    <row r="4815" spans="1:40" x14ac:dyDescent="0.25">
      <c r="A4815" t="str">
        <f>"20190304155158052"</f>
        <v>20190304155158052</v>
      </c>
      <c r="B4815" t="str">
        <f>"1551685918041832"</f>
        <v>1551685918041832</v>
      </c>
      <c r="C4815" t="s">
        <v>40</v>
      </c>
      <c r="D4815">
        <v>4.7800510000000003</v>
      </c>
      <c r="E4815">
        <v>0.51935050000000005</v>
      </c>
      <c r="F4815" t="s">
        <v>84</v>
      </c>
      <c r="G4815">
        <v>-413.49979999999999</v>
      </c>
      <c r="H4815" s="1">
        <v>-1.0194869999999999E-5</v>
      </c>
      <c r="I4815">
        <v>139.22450000000001</v>
      </c>
      <c r="J4815">
        <v>-355.48090000000002</v>
      </c>
      <c r="K4815">
        <v>1.1101749999999999</v>
      </c>
      <c r="L4815">
        <v>141.67490000000001</v>
      </c>
      <c r="M4815">
        <v>-0.99994830000000001</v>
      </c>
      <c r="N4815">
        <v>-1.007276E-2</v>
      </c>
      <c r="O4815">
        <v>-1.4659009999999999E-3</v>
      </c>
      <c r="P4815">
        <v>-0.97838539999999996</v>
      </c>
      <c r="Q4815">
        <v>0.1817985</v>
      </c>
      <c r="R4815">
        <v>-9.8548709999999998E-2</v>
      </c>
      <c r="S4815">
        <v>-3.06427</v>
      </c>
      <c r="T4815">
        <v>-5.8375360000000001E-2</v>
      </c>
      <c r="U4815">
        <v>-0.12886049999999999</v>
      </c>
      <c r="V4815">
        <v>-9.7107100000000002E-2</v>
      </c>
      <c r="W4815">
        <v>0.19164980000000001</v>
      </c>
      <c r="X4815">
        <v>0.97664759999999995</v>
      </c>
      <c r="Y4815">
        <v>-4.0539560000000002E-2</v>
      </c>
      <c r="Z4815">
        <v>-5.7708480000000001E-4</v>
      </c>
      <c r="AA4815">
        <v>0.9991778</v>
      </c>
      <c r="AB4815">
        <v>25</v>
      </c>
      <c r="AC4815">
        <v>-58.018899999999903</v>
      </c>
      <c r="AD4815">
        <v>-1.1101851948699999</v>
      </c>
      <c r="AE4815">
        <v>-2.4504000000000001</v>
      </c>
      <c r="AF4815">
        <v>-2.36447889933181</v>
      </c>
      <c r="AG4815">
        <v>-1.1101851948699999</v>
      </c>
      <c r="AH4815">
        <v>58.001230894968899</v>
      </c>
      <c r="AI4815">
        <v>91.095638645775196</v>
      </c>
      <c r="AJ4815">
        <v>92.3344278619806</v>
      </c>
      <c r="AK4815">
        <v>58.060021158829997</v>
      </c>
      <c r="AL4815">
        <v>78.950919511294202</v>
      </c>
      <c r="AM4815">
        <v>95.678199674926304</v>
      </c>
      <c r="AN4815">
        <v>0.99999998464810402</v>
      </c>
    </row>
    <row r="4816" spans="1:40" x14ac:dyDescent="0.25">
      <c r="A4816" t="str">
        <f>"20190304155158074"</f>
        <v>20190304155158074</v>
      </c>
      <c r="B4816" t="str">
        <f>"1551685918061353"</f>
        <v>1551685918061353</v>
      </c>
      <c r="C4816" t="s">
        <v>40</v>
      </c>
      <c r="D4816">
        <v>4.7744039999999996</v>
      </c>
      <c r="E4816">
        <v>0.51929340000000002</v>
      </c>
      <c r="F4816" t="s">
        <v>84</v>
      </c>
      <c r="G4816">
        <v>-413.01580000000001</v>
      </c>
      <c r="H4816" s="1">
        <v>-1.0251100000000001E-5</v>
      </c>
      <c r="I4816">
        <v>139.2559</v>
      </c>
      <c r="J4816">
        <v>-355.7269</v>
      </c>
      <c r="K4816">
        <v>1.1101700000000001</v>
      </c>
      <c r="L4816">
        <v>141.67449999999999</v>
      </c>
      <c r="M4816">
        <v>-0.99994830000000001</v>
      </c>
      <c r="N4816">
        <v>-1.007518E-2</v>
      </c>
      <c r="O4816">
        <v>-1.4662709999999999E-3</v>
      </c>
      <c r="P4816">
        <v>-0.97839109999999996</v>
      </c>
      <c r="Q4816">
        <v>0.18147920000000001</v>
      </c>
      <c r="R4816">
        <v>-9.9078040000000006E-2</v>
      </c>
      <c r="S4816">
        <v>-3.06427</v>
      </c>
      <c r="T4816">
        <v>-5.9127689999999997E-2</v>
      </c>
      <c r="U4816">
        <v>-0.12883</v>
      </c>
      <c r="V4816">
        <v>-9.7635749999999993E-2</v>
      </c>
      <c r="W4816">
        <v>0.1913329</v>
      </c>
      <c r="X4816">
        <v>0.976657</v>
      </c>
      <c r="Y4816">
        <v>-4.0529009999999997E-2</v>
      </c>
      <c r="Z4816">
        <v>-5.8159330000000003E-4</v>
      </c>
      <c r="AA4816">
        <v>0.99917820000000002</v>
      </c>
      <c r="AB4816">
        <v>25</v>
      </c>
      <c r="AC4816">
        <v>-57.288899999999998</v>
      </c>
      <c r="AD4816">
        <v>-1.1101802511000001</v>
      </c>
      <c r="AE4816">
        <v>-2.4185999999999899</v>
      </c>
      <c r="AF4816">
        <v>-2.3337172699116699</v>
      </c>
      <c r="AG4816">
        <v>-1.1101802511000001</v>
      </c>
      <c r="AH4816">
        <v>57.270916160458199</v>
      </c>
      <c r="AI4816">
        <v>91.109602522362394</v>
      </c>
      <c r="AJ4816">
        <v>92.333439464366705</v>
      </c>
      <c r="AK4816">
        <v>57.329194781926297</v>
      </c>
      <c r="AL4816">
        <v>78.969418579016804</v>
      </c>
      <c r="AM4816">
        <v>95.708853505704198</v>
      </c>
      <c r="AN4816">
        <v>0.99999995697473498</v>
      </c>
    </row>
    <row r="4817" spans="1:40" x14ac:dyDescent="0.25">
      <c r="A4817" t="str">
        <f>"20190304155158096"</f>
        <v>20190304155158096</v>
      </c>
      <c r="B4817" t="str">
        <f>"1551685918091609"</f>
        <v>1551685918091609</v>
      </c>
      <c r="C4817" t="s">
        <v>40</v>
      </c>
      <c r="D4817">
        <v>4.8382579999999997</v>
      </c>
      <c r="E4817">
        <v>0.51918450000000005</v>
      </c>
      <c r="F4817" t="s">
        <v>84</v>
      </c>
      <c r="G4817">
        <v>-412.06529999999998</v>
      </c>
      <c r="H4817" s="1">
        <v>-1.0338860000000001E-5</v>
      </c>
      <c r="I4817">
        <v>139.26570000000001</v>
      </c>
      <c r="J4817">
        <v>-355.98899999999998</v>
      </c>
      <c r="K4817">
        <v>1.1101700000000001</v>
      </c>
      <c r="L4817">
        <v>141.67410000000001</v>
      </c>
      <c r="M4817">
        <v>-0.99994810000000001</v>
      </c>
      <c r="N4817">
        <v>-1.00778E-2</v>
      </c>
      <c r="O4817">
        <v>-1.46640299999999E-3</v>
      </c>
      <c r="P4817">
        <v>-0.97834129999999997</v>
      </c>
      <c r="Q4817">
        <v>0.18160879999999999</v>
      </c>
      <c r="R4817">
        <v>-9.9330619999999994E-2</v>
      </c>
      <c r="S4817">
        <v>-3.0641780000000001</v>
      </c>
      <c r="T4817">
        <v>-6.0381410000000003E-2</v>
      </c>
      <c r="U4817">
        <v>-0.13101199999999999</v>
      </c>
      <c r="V4817">
        <v>-9.7888420000000004E-2</v>
      </c>
      <c r="W4817">
        <v>0.191464</v>
      </c>
      <c r="X4817">
        <v>0.97660610000000003</v>
      </c>
      <c r="Y4817">
        <v>-4.1239749999999999E-2</v>
      </c>
      <c r="Z4817">
        <v>-5.9992629999999997E-4</v>
      </c>
      <c r="AA4817">
        <v>0.99914910000000001</v>
      </c>
      <c r="AB4817">
        <v>26</v>
      </c>
      <c r="AC4817">
        <v>-56.076299999999897</v>
      </c>
      <c r="AD4817">
        <v>-1.11018033886</v>
      </c>
      <c r="AE4817">
        <v>-2.4083999999999999</v>
      </c>
      <c r="AF4817">
        <v>-2.3252530761079999</v>
      </c>
      <c r="AG4817">
        <v>-1.11018033886</v>
      </c>
      <c r="AH4817">
        <v>56.057840267154702</v>
      </c>
      <c r="AI4817">
        <v>91.133573905159693</v>
      </c>
      <c r="AJ4817">
        <v>92.375240601832701</v>
      </c>
      <c r="AK4817">
        <v>56.117027341713097</v>
      </c>
      <c r="AL4817">
        <v>78.961766548693205</v>
      </c>
      <c r="AM4817">
        <v>95.723825718835002</v>
      </c>
      <c r="AN4817">
        <v>1.00000004031165</v>
      </c>
    </row>
    <row r="4818" spans="1:40" x14ac:dyDescent="0.25">
      <c r="A4818" t="str">
        <f>"20190304155158118"</f>
        <v>20190304155158118</v>
      </c>
      <c r="B4818" t="str">
        <f>"1551685918112105"</f>
        <v>1551685918112105</v>
      </c>
      <c r="C4818" t="s">
        <v>40</v>
      </c>
      <c r="D4818">
        <v>4.8099740000000004</v>
      </c>
      <c r="E4818">
        <v>0.51914939999999998</v>
      </c>
      <c r="F4818" t="s">
        <v>84</v>
      </c>
      <c r="G4818">
        <v>-412.48719999999997</v>
      </c>
      <c r="H4818" s="1">
        <v>-1.028657E-5</v>
      </c>
      <c r="I4818">
        <v>139.23079999999999</v>
      </c>
      <c r="J4818">
        <v>-356.24489999999997</v>
      </c>
      <c r="K4818">
        <v>1.110169</v>
      </c>
      <c r="L4818">
        <v>141.6737</v>
      </c>
      <c r="M4818">
        <v>-0.99994830000000001</v>
      </c>
      <c r="N4818">
        <v>-1.008038E-2</v>
      </c>
      <c r="O4818">
        <v>-1.4668929999999999E-3</v>
      </c>
      <c r="P4818">
        <v>-0.97821800000000003</v>
      </c>
      <c r="Q4818">
        <v>0.18198500000000001</v>
      </c>
      <c r="R4818">
        <v>-9.9857119999999994E-2</v>
      </c>
      <c r="S4818">
        <v>-3.064117</v>
      </c>
      <c r="T4818">
        <v>-6.0209390000000002E-2</v>
      </c>
      <c r="U4818">
        <v>-0.13250729999999999</v>
      </c>
      <c r="V4818">
        <v>-9.8414669999999996E-2</v>
      </c>
      <c r="W4818">
        <v>0.1918416</v>
      </c>
      <c r="X4818">
        <v>0.97647910000000004</v>
      </c>
      <c r="Y4818">
        <v>-4.1726729999999997E-2</v>
      </c>
      <c r="Z4818">
        <v>-6.0614749999999998E-4</v>
      </c>
      <c r="AA4818">
        <v>0.99912889999999999</v>
      </c>
      <c r="AB4818">
        <v>26</v>
      </c>
      <c r="AC4818">
        <v>-56.2423</v>
      </c>
      <c r="AD4818">
        <v>-1.11017928657</v>
      </c>
      <c r="AE4818">
        <v>-2.4428999999999998</v>
      </c>
      <c r="AF4818">
        <v>-2.3594741514559701</v>
      </c>
      <c r="AG4818">
        <v>-1.11017928657</v>
      </c>
      <c r="AH4818">
        <v>56.223957460801103</v>
      </c>
      <c r="AI4818">
        <v>91.130201612706202</v>
      </c>
      <c r="AJ4818">
        <v>92.403043829242904</v>
      </c>
      <c r="AK4818">
        <v>56.284394008230102</v>
      </c>
      <c r="AL4818">
        <v>78.939723031574403</v>
      </c>
      <c r="AM4818">
        <v>95.755134541703598</v>
      </c>
      <c r="AN4818">
        <v>1.0000000397492801</v>
      </c>
    </row>
    <row r="4819" spans="1:40" x14ac:dyDescent="0.25">
      <c r="A4819" t="str">
        <f>"20190304155158141"</f>
        <v>20190304155158141</v>
      </c>
      <c r="B4819" t="str">
        <f>"1551685918131625"</f>
        <v>1551685918131625</v>
      </c>
      <c r="C4819" t="s">
        <v>40</v>
      </c>
      <c r="D4819">
        <v>4.7360309999999997</v>
      </c>
      <c r="E4819">
        <v>0.51917029999999997</v>
      </c>
      <c r="F4819" t="s">
        <v>84</v>
      </c>
      <c r="G4819">
        <v>-413.65030000000002</v>
      </c>
      <c r="H4819" s="1">
        <v>-1.0148590000000001E-5</v>
      </c>
      <c r="I4819">
        <v>139.1489</v>
      </c>
      <c r="J4819">
        <v>-356.49849999999998</v>
      </c>
      <c r="K4819">
        <v>1.1101700000000001</v>
      </c>
      <c r="L4819">
        <v>141.67339999999999</v>
      </c>
      <c r="M4819">
        <v>-0.99994810000000001</v>
      </c>
      <c r="N4819">
        <v>-1.007986E-2</v>
      </c>
      <c r="O4819">
        <v>-1.467129E-3</v>
      </c>
      <c r="P4819">
        <v>-0.9781957</v>
      </c>
      <c r="Q4819">
        <v>0.182229</v>
      </c>
      <c r="R4819">
        <v>-9.9630120000000003E-2</v>
      </c>
      <c r="S4819">
        <v>-3.0640869999999998</v>
      </c>
      <c r="T4819">
        <v>-5.9257270000000001E-2</v>
      </c>
      <c r="U4819">
        <v>-0.13476560000000001</v>
      </c>
      <c r="V4819">
        <v>-9.8187800000000006E-2</v>
      </c>
      <c r="W4819">
        <v>0.19208500000000001</v>
      </c>
      <c r="X4819">
        <v>0.97645409999999999</v>
      </c>
      <c r="Y4819">
        <v>-4.2462E-2</v>
      </c>
      <c r="Z4819">
        <v>-6.1092510000000004E-4</v>
      </c>
      <c r="AA4819">
        <v>0.99909789999999998</v>
      </c>
      <c r="AB4819">
        <v>26</v>
      </c>
      <c r="AC4819">
        <v>-57.151800000000001</v>
      </c>
      <c r="AD4819">
        <v>-1.11018014859</v>
      </c>
      <c r="AE4819">
        <v>-2.5244999999999802</v>
      </c>
      <c r="AF4819">
        <v>-2.4397251568824001</v>
      </c>
      <c r="AG4819">
        <v>-1.11018014859</v>
      </c>
      <c r="AH4819">
        <v>57.133925792864297</v>
      </c>
      <c r="AI4819">
        <v>91.112171793188594</v>
      </c>
      <c r="AJ4819">
        <v>92.445151131508098</v>
      </c>
      <c r="AK4819">
        <v>57.196767699826999</v>
      </c>
      <c r="AL4819">
        <v>78.925513080878105</v>
      </c>
      <c r="AM4819">
        <v>95.742102322581601</v>
      </c>
      <c r="AN4819">
        <v>1.0000000503503199</v>
      </c>
    </row>
    <row r="4820" spans="1:40" x14ac:dyDescent="0.25">
      <c r="A4820" t="str">
        <f>"20190304155158162"</f>
        <v>20190304155158162</v>
      </c>
      <c r="B4820" t="str">
        <f>"1551685918152121"</f>
        <v>1551685918152121</v>
      </c>
      <c r="C4820" t="s">
        <v>40</v>
      </c>
      <c r="D4820">
        <v>4.8024480000000001</v>
      </c>
      <c r="E4820">
        <v>0.51916980000000001</v>
      </c>
      <c r="F4820" t="s">
        <v>84</v>
      </c>
      <c r="G4820">
        <v>-413.44200000000001</v>
      </c>
      <c r="H4820" s="1">
        <v>-1.017541E-5</v>
      </c>
      <c r="I4820">
        <v>139.16839999999999</v>
      </c>
      <c r="J4820">
        <v>-356.75060000000002</v>
      </c>
      <c r="K4820">
        <v>1.1101760000000001</v>
      </c>
      <c r="L4820">
        <v>141.673</v>
      </c>
      <c r="M4820">
        <v>-0.99994819999999995</v>
      </c>
      <c r="N4820">
        <v>-1.007076E-2</v>
      </c>
      <c r="O4820">
        <v>-1.4673220000000001E-3</v>
      </c>
      <c r="P4820">
        <v>-0.97827070000000005</v>
      </c>
      <c r="Q4820">
        <v>0.1819596</v>
      </c>
      <c r="R4820">
        <v>-9.9383440000000003E-2</v>
      </c>
      <c r="S4820">
        <v>-3.0642399999999999</v>
      </c>
      <c r="T4820">
        <v>-5.97409E-2</v>
      </c>
      <c r="U4820">
        <v>-0.1347961</v>
      </c>
      <c r="V4820">
        <v>-9.7940390000000002E-2</v>
      </c>
      <c r="W4820">
        <v>0.19180739999999999</v>
      </c>
      <c r="X4820">
        <v>0.97653350000000005</v>
      </c>
      <c r="Y4820">
        <v>-4.2469399999999997E-2</v>
      </c>
      <c r="Z4820">
        <v>-6.1392420000000003E-4</v>
      </c>
      <c r="AA4820">
        <v>0.99909760000000003</v>
      </c>
      <c r="AB4820">
        <v>26</v>
      </c>
      <c r="AC4820">
        <v>-56.691399999999902</v>
      </c>
      <c r="AD4820">
        <v>-1.11018617541</v>
      </c>
      <c r="AE4820">
        <v>-2.5046000000000102</v>
      </c>
      <c r="AF4820">
        <v>-2.4204821160916099</v>
      </c>
      <c r="AG4820">
        <v>-1.11018617541</v>
      </c>
      <c r="AH4820">
        <v>56.673322729954101</v>
      </c>
      <c r="AI4820">
        <v>91.121214213829802</v>
      </c>
      <c r="AJ4820">
        <v>92.445580591181596</v>
      </c>
      <c r="AK4820">
        <v>56.735850714269901</v>
      </c>
      <c r="AL4820">
        <v>78.9417196019606</v>
      </c>
      <c r="AM4820">
        <v>95.727267294345907</v>
      </c>
      <c r="AN4820">
        <v>1.0000000376551801</v>
      </c>
    </row>
    <row r="4821" spans="1:40" x14ac:dyDescent="0.25">
      <c r="A4821" t="str">
        <f>"20190304155158182"</f>
        <v>20190304155158182</v>
      </c>
      <c r="B4821" t="str">
        <f>"1551685918171641"</f>
        <v>1551685918171641</v>
      </c>
      <c r="C4821" t="s">
        <v>40</v>
      </c>
      <c r="D4821">
        <v>4.7991549999999998</v>
      </c>
      <c r="E4821">
        <v>0.51915809999999996</v>
      </c>
      <c r="F4821" t="s">
        <v>84</v>
      </c>
      <c r="G4821">
        <v>-412.70249999999999</v>
      </c>
      <c r="H4821" s="1">
        <v>-1.0261730000000001E-5</v>
      </c>
      <c r="I4821">
        <v>139.21729999999999</v>
      </c>
      <c r="J4821">
        <v>-356.9649</v>
      </c>
      <c r="K4821">
        <v>1.110169</v>
      </c>
      <c r="L4821">
        <v>141.67269999999999</v>
      </c>
      <c r="M4821">
        <v>-0.99994839999999996</v>
      </c>
      <c r="N4821">
        <v>-1.0054179999999999E-2</v>
      </c>
      <c r="O4821">
        <v>-1.467596E-3</v>
      </c>
      <c r="P4821">
        <v>-0.97822129999999996</v>
      </c>
      <c r="Q4821">
        <v>0.18229139999999999</v>
      </c>
      <c r="R4821">
        <v>-9.9262210000000003E-2</v>
      </c>
      <c r="S4821">
        <v>-3.06427</v>
      </c>
      <c r="T4821">
        <v>-6.0800670000000001E-2</v>
      </c>
      <c r="U4821">
        <v>-0.134491</v>
      </c>
      <c r="V4821">
        <v>-9.7819229999999993E-2</v>
      </c>
      <c r="W4821">
        <v>0.19212290000000001</v>
      </c>
      <c r="X4821">
        <v>0.97648360000000001</v>
      </c>
      <c r="Y4821">
        <v>-4.2369049999999998E-2</v>
      </c>
      <c r="Z4821">
        <v>-6.1887390000000002E-4</v>
      </c>
      <c r="AA4821">
        <v>0.99910180000000004</v>
      </c>
      <c r="AB4821">
        <v>26</v>
      </c>
      <c r="AC4821">
        <v>-55.737599999999901</v>
      </c>
      <c r="AD4821">
        <v>-1.1101792617299999</v>
      </c>
      <c r="AE4821">
        <v>-2.4553999999999898</v>
      </c>
      <c r="AF4821">
        <v>-2.3726534756136801</v>
      </c>
      <c r="AG4821">
        <v>-1.1101792617299999</v>
      </c>
      <c r="AH4821">
        <v>55.719081342869003</v>
      </c>
      <c r="AI4821">
        <v>91.140410088899998</v>
      </c>
      <c r="AJ4821">
        <v>92.438320043938802</v>
      </c>
      <c r="AK4821">
        <v>55.780623949555903</v>
      </c>
      <c r="AL4821">
        <v>78.923299970133201</v>
      </c>
      <c r="AM4821">
        <v>95.720519602046096</v>
      </c>
      <c r="AN4821">
        <v>1.00000001576558</v>
      </c>
    </row>
    <row r="4822" spans="1:40" x14ac:dyDescent="0.25">
      <c r="A4822" t="str">
        <f>"20190304155158197"</f>
        <v>20190304155158197</v>
      </c>
      <c r="B4822" t="str">
        <f>"1551685918192136"</f>
        <v>1551685918192136</v>
      </c>
      <c r="C4822" t="s">
        <v>40</v>
      </c>
      <c r="D4822">
        <v>4.8273549999999998</v>
      </c>
      <c r="E4822">
        <v>0.51917899999999995</v>
      </c>
      <c r="F4822" t="s">
        <v>84</v>
      </c>
      <c r="G4822">
        <v>-413.75119999999998</v>
      </c>
      <c r="H4822" s="1">
        <v>-1.015606E-5</v>
      </c>
      <c r="I4822">
        <v>139.18629999999999</v>
      </c>
      <c r="J4822">
        <v>-357.1533</v>
      </c>
      <c r="K4822">
        <v>1.110158</v>
      </c>
      <c r="L4822">
        <v>141.67240000000001</v>
      </c>
      <c r="M4822">
        <v>-0.99994859999999997</v>
      </c>
      <c r="N4822">
        <v>-1.0035820000000001E-2</v>
      </c>
      <c r="O4822">
        <v>-1.4681010000000001E-3</v>
      </c>
      <c r="P4822">
        <v>-0.97824029999999995</v>
      </c>
      <c r="Q4822">
        <v>0.18237220000000001</v>
      </c>
      <c r="R4822">
        <v>-9.8927000000000001E-2</v>
      </c>
      <c r="S4822">
        <v>-3.0643009999999999</v>
      </c>
      <c r="T4822">
        <v>-5.9907439999999999E-2</v>
      </c>
      <c r="U4822">
        <v>-0.1341705</v>
      </c>
      <c r="V4822">
        <v>-9.7483689999999998E-2</v>
      </c>
      <c r="W4822">
        <v>0.19218560000000001</v>
      </c>
      <c r="X4822">
        <v>0.97650479999999995</v>
      </c>
      <c r="Y4822">
        <v>-4.2264179999999998E-2</v>
      </c>
      <c r="Z4822">
        <v>-6.1115439999999996E-4</v>
      </c>
      <c r="AA4822">
        <v>0.9991063</v>
      </c>
      <c r="AB4822">
        <v>26</v>
      </c>
      <c r="AC4822">
        <v>-56.597899999999903</v>
      </c>
      <c r="AD4822">
        <v>-1.1101681560600001</v>
      </c>
      <c r="AE4822">
        <v>-2.48610000000002</v>
      </c>
      <c r="AF4822">
        <v>-2.4020792888562199</v>
      </c>
      <c r="AG4822">
        <v>-1.1101681560600001</v>
      </c>
      <c r="AH4822">
        <v>56.5797619750305</v>
      </c>
      <c r="AI4822">
        <v>91.123061716321601</v>
      </c>
      <c r="AJ4822">
        <v>92.431017771470394</v>
      </c>
      <c r="AK4822">
        <v>56.641609470386598</v>
      </c>
      <c r="AL4822">
        <v>78.919639125373195</v>
      </c>
      <c r="AM4822">
        <v>95.700903573730102</v>
      </c>
      <c r="AN4822">
        <v>0.99999999954320795</v>
      </c>
    </row>
    <row r="4823" spans="1:40" x14ac:dyDescent="0.25">
      <c r="A4823" t="str">
        <f>"20190304155158219"</f>
        <v>20190304155158219</v>
      </c>
      <c r="B4823" t="str">
        <f>"1551685918211658"</f>
        <v>1551685918211658</v>
      </c>
      <c r="C4823" t="s">
        <v>40</v>
      </c>
      <c r="D4823">
        <v>4.7962790000000002</v>
      </c>
      <c r="E4823">
        <v>0.51916709999999899</v>
      </c>
      <c r="F4823" t="s">
        <v>84</v>
      </c>
      <c r="G4823">
        <v>-414.20150000000001</v>
      </c>
      <c r="H4823" s="1">
        <v>-1.012059E-5</v>
      </c>
      <c r="I4823">
        <v>139.19560000000001</v>
      </c>
      <c r="J4823">
        <v>-357.40050000000002</v>
      </c>
      <c r="K4823">
        <v>1.1101479999999999</v>
      </c>
      <c r="L4823">
        <v>141.6721</v>
      </c>
      <c r="M4823">
        <v>-0.99994890000000003</v>
      </c>
      <c r="N4823">
        <v>-1.000824E-2</v>
      </c>
      <c r="O4823">
        <v>-1.468202E-3</v>
      </c>
      <c r="P4823">
        <v>-0.97826950000000001</v>
      </c>
      <c r="Q4823">
        <v>0.18246180000000001</v>
      </c>
      <c r="R4823">
        <v>-9.8470730000000006E-2</v>
      </c>
      <c r="S4823">
        <v>-3.064362</v>
      </c>
      <c r="T4823">
        <v>-5.9633020000000002E-2</v>
      </c>
      <c r="U4823">
        <v>-0.1330414</v>
      </c>
      <c r="V4823">
        <v>-9.7026619999999994E-2</v>
      </c>
      <c r="W4823">
        <v>0.1922488</v>
      </c>
      <c r="X4823">
        <v>0.97653789999999996</v>
      </c>
      <c r="Y4823">
        <v>-4.1895960000000003E-2</v>
      </c>
      <c r="Z4823">
        <v>-6.0333930000000004E-4</v>
      </c>
      <c r="AA4823">
        <v>0.99912179999999995</v>
      </c>
      <c r="AB4823">
        <v>26</v>
      </c>
      <c r="AC4823">
        <v>-56.800999999999902</v>
      </c>
      <c r="AD4823">
        <v>-1.11015812059</v>
      </c>
      <c r="AE4823">
        <v>-2.4764999999999802</v>
      </c>
      <c r="AF4823">
        <v>-2.39218574761352</v>
      </c>
      <c r="AG4823">
        <v>-1.11015812059</v>
      </c>
      <c r="AH4823">
        <v>56.782925316225302</v>
      </c>
      <c r="AI4823">
        <v>91.119049833116094</v>
      </c>
      <c r="AJ4823">
        <v>92.412365086053995</v>
      </c>
      <c r="AK4823">
        <v>56.844134360299897</v>
      </c>
      <c r="AL4823">
        <v>78.915949432773104</v>
      </c>
      <c r="AM4823">
        <v>95.674157616007307</v>
      </c>
      <c r="AN4823">
        <v>1.00000001811323</v>
      </c>
    </row>
    <row r="4824" spans="1:40" x14ac:dyDescent="0.25">
      <c r="A4824" t="str">
        <f>"20190304155158236"</f>
        <v>20190304155158236</v>
      </c>
      <c r="B4824" t="str">
        <f>"1551685918232153"</f>
        <v>1551685918232153</v>
      </c>
      <c r="C4824" t="s">
        <v>40</v>
      </c>
      <c r="D4824">
        <v>4.7301070000000003</v>
      </c>
      <c r="E4824">
        <v>0.5191656</v>
      </c>
      <c r="F4824" t="s">
        <v>84</v>
      </c>
      <c r="G4824">
        <v>-414.46120000000002</v>
      </c>
      <c r="H4824" s="1">
        <v>-1.0103620000000001E-5</v>
      </c>
      <c r="I4824">
        <v>139.209</v>
      </c>
      <c r="J4824">
        <v>-357.5926</v>
      </c>
      <c r="K4824">
        <v>1.1101449999999999</v>
      </c>
      <c r="L4824">
        <v>141.67179999999999</v>
      </c>
      <c r="M4824">
        <v>-0.99994919999999998</v>
      </c>
      <c r="N4824">
        <v>-9.9845750000000007E-3</v>
      </c>
      <c r="O4824">
        <v>-1.46868E-3</v>
      </c>
      <c r="P4824">
        <v>-0.9783115</v>
      </c>
      <c r="Q4824">
        <v>0.18235999999999999</v>
      </c>
      <c r="R4824">
        <v>-9.8244059999999994E-2</v>
      </c>
      <c r="S4824">
        <v>-3.0644529999999999</v>
      </c>
      <c r="T4824">
        <v>-5.9621210000000001E-2</v>
      </c>
      <c r="U4824">
        <v>-0.13227839999999999</v>
      </c>
      <c r="V4824">
        <v>-9.6799910000000003E-2</v>
      </c>
      <c r="W4824">
        <v>0.19212380000000001</v>
      </c>
      <c r="X4824">
        <v>0.97658500000000004</v>
      </c>
      <c r="Y4824">
        <v>-4.1645990000000001E-2</v>
      </c>
      <c r="Z4824">
        <v>-5.9903970000000002E-4</v>
      </c>
      <c r="AA4824">
        <v>0.99913229999999997</v>
      </c>
      <c r="AB4824">
        <v>26</v>
      </c>
      <c r="AC4824">
        <v>-56.868600000000001</v>
      </c>
      <c r="AD4824">
        <v>-1.1101551036199999</v>
      </c>
      <c r="AE4824">
        <v>-2.4627999999999801</v>
      </c>
      <c r="AF4824">
        <v>-2.3783667510743198</v>
      </c>
      <c r="AG4824">
        <v>-1.1101551036199999</v>
      </c>
      <c r="AH4824">
        <v>56.850531557216897</v>
      </c>
      <c r="AI4824">
        <v>91.117730097534107</v>
      </c>
      <c r="AJ4824">
        <v>92.395596950749194</v>
      </c>
      <c r="AK4824">
        <v>56.911088647950002</v>
      </c>
      <c r="AL4824">
        <v>78.923247468783899</v>
      </c>
      <c r="AM4824">
        <v>95.660714482823707</v>
      </c>
      <c r="AN4824">
        <v>1.00000001966372</v>
      </c>
    </row>
    <row r="4825" spans="1:40" x14ac:dyDescent="0.25">
      <c r="A4825" t="str">
        <f>"20190304155158252"</f>
        <v>20190304155158252</v>
      </c>
      <c r="B4825" t="str">
        <f>"1551685918241913"</f>
        <v>1551685918241913</v>
      </c>
      <c r="C4825" t="s">
        <v>40</v>
      </c>
      <c r="D4825">
        <v>4.4600439999999999</v>
      </c>
      <c r="E4825">
        <v>0.5191656</v>
      </c>
      <c r="F4825" t="s">
        <v>84</v>
      </c>
      <c r="G4825">
        <v>-414.56720000000001</v>
      </c>
      <c r="H4825" s="1">
        <v>-1.010174E-5</v>
      </c>
      <c r="I4825">
        <v>139.226</v>
      </c>
      <c r="J4825">
        <v>-357.78859999999997</v>
      </c>
      <c r="K4825">
        <v>1.1101399999999999</v>
      </c>
      <c r="L4825">
        <v>141.67150000000001</v>
      </c>
      <c r="M4825">
        <v>-0.99994930000000004</v>
      </c>
      <c r="N4825">
        <v>-9.9596119999999996E-3</v>
      </c>
      <c r="O4825">
        <v>-1.468795E-3</v>
      </c>
      <c r="P4825">
        <v>-0.97838720000000001</v>
      </c>
      <c r="Q4825">
        <v>0.1820724</v>
      </c>
      <c r="R4825">
        <v>-9.8021739999999996E-2</v>
      </c>
      <c r="S4825">
        <v>-3.0643919999999998</v>
      </c>
      <c r="T4825">
        <v>-5.9709909999999998E-2</v>
      </c>
      <c r="U4825">
        <v>-0.131546</v>
      </c>
      <c r="V4825">
        <v>-9.6576789999999996E-2</v>
      </c>
      <c r="W4825">
        <v>0.1918126</v>
      </c>
      <c r="X4825">
        <v>0.97666819999999999</v>
      </c>
      <c r="Y4825">
        <v>-4.1408430000000003E-2</v>
      </c>
      <c r="Z4825">
        <v>-5.9555299999999997E-4</v>
      </c>
      <c r="AA4825">
        <v>0.99914210000000003</v>
      </c>
      <c r="AB4825">
        <v>26</v>
      </c>
      <c r="AC4825">
        <v>-56.778599999999997</v>
      </c>
      <c r="AD4825">
        <v>-1.11015010174</v>
      </c>
      <c r="AE4825">
        <v>-2.4455</v>
      </c>
      <c r="AF4825">
        <v>-2.3611961070748002</v>
      </c>
      <c r="AG4825">
        <v>-1.11015010174</v>
      </c>
      <c r="AH4825">
        <v>56.760472027343098</v>
      </c>
      <c r="AI4825">
        <v>91.119509066726906</v>
      </c>
      <c r="AJ4825">
        <v>92.382091088019195</v>
      </c>
      <c r="AK4825">
        <v>56.820408878071802</v>
      </c>
      <c r="AL4825">
        <v>78.941415173131205</v>
      </c>
      <c r="AM4825">
        <v>95.6472731998943</v>
      </c>
      <c r="AN4825">
        <v>0.99999996138835101</v>
      </c>
    </row>
    <row r="4826" spans="1:40" x14ac:dyDescent="0.25">
      <c r="A4826" t="str">
        <f>"20190304155158375"</f>
        <v>20190304155158375</v>
      </c>
      <c r="B4826" t="str">
        <f>"1551685918371722"</f>
        <v>1551685918371722</v>
      </c>
      <c r="C4826" t="s">
        <v>40</v>
      </c>
      <c r="D4826">
        <v>5.1029879999999999</v>
      </c>
      <c r="E4826">
        <v>0.53438680000000005</v>
      </c>
      <c r="F4826" t="s">
        <v>84</v>
      </c>
      <c r="G4826">
        <v>-413.84339999999997</v>
      </c>
      <c r="H4826" s="1">
        <v>-1.01859E-5</v>
      </c>
      <c r="I4826">
        <v>139.2731</v>
      </c>
      <c r="J4826">
        <v>-359.21230000000003</v>
      </c>
      <c r="K4826">
        <v>1.1101129999999999</v>
      </c>
      <c r="L4826">
        <v>141.6694</v>
      </c>
      <c r="M4826">
        <v>-0.99995109999999998</v>
      </c>
      <c r="N4826">
        <v>-9.7842580000000005E-3</v>
      </c>
      <c r="O4826">
        <v>-1.4707920000000001E-3</v>
      </c>
      <c r="P4826">
        <v>-0.97807580000000005</v>
      </c>
      <c r="Q4826">
        <v>0.18214440000000001</v>
      </c>
      <c r="R4826">
        <v>-0.1009533</v>
      </c>
      <c r="S4826">
        <v>-3.0644529999999999</v>
      </c>
      <c r="T4826">
        <v>-6.0690639999999997E-2</v>
      </c>
      <c r="U4826">
        <v>-0.13111879999999901</v>
      </c>
      <c r="V4826">
        <v>-9.950676E-2</v>
      </c>
      <c r="W4826">
        <v>0.1917111</v>
      </c>
      <c r="X4826">
        <v>0.97639399999999998</v>
      </c>
      <c r="Y4826">
        <v>-4.1266329999999997E-2</v>
      </c>
      <c r="Z4826">
        <v>-5.9568570000000001E-4</v>
      </c>
      <c r="AA4826">
        <v>0.99914800000000004</v>
      </c>
      <c r="AB4826">
        <v>26</v>
      </c>
      <c r="AC4826">
        <v>-54.631099999999897</v>
      </c>
      <c r="AD4826">
        <v>-1.11012318589999</v>
      </c>
      <c r="AE4826">
        <v>-2.3962999999999899</v>
      </c>
      <c r="AF4826">
        <v>-2.3149885187780099</v>
      </c>
      <c r="AG4826">
        <v>-1.11012318589999</v>
      </c>
      <c r="AH4826">
        <v>54.6120586035413</v>
      </c>
      <c r="AI4826">
        <v>91.163471420889707</v>
      </c>
      <c r="AJ4826">
        <v>92.427297466986204</v>
      </c>
      <c r="AK4826">
        <v>54.672374104721101</v>
      </c>
      <c r="AL4826">
        <v>78.947341008026399</v>
      </c>
      <c r="AM4826">
        <v>95.819066089811898</v>
      </c>
      <c r="AN4826">
        <v>0.99999999219245295</v>
      </c>
    </row>
    <row r="4827" spans="1:40" x14ac:dyDescent="0.25">
      <c r="A4827" t="str">
        <f>"20190304155158399"</f>
        <v>20190304155158399</v>
      </c>
      <c r="B4827" t="str">
        <f>"1551685918392218"</f>
        <v>1551685918392218</v>
      </c>
      <c r="C4827" t="s">
        <v>40</v>
      </c>
      <c r="D4827">
        <v>4.7987909999999996</v>
      </c>
      <c r="E4827">
        <v>0.53796269999999902</v>
      </c>
      <c r="F4827" t="s">
        <v>51</v>
      </c>
      <c r="G4827">
        <v>-360.06490000000002</v>
      </c>
      <c r="H4827">
        <v>1.003763</v>
      </c>
      <c r="I4827">
        <v>141.66730000000001</v>
      </c>
      <c r="J4827">
        <v>-359.48520000000002</v>
      </c>
      <c r="K4827">
        <v>1.11012</v>
      </c>
      <c r="L4827">
        <v>141.66899999999899</v>
      </c>
      <c r="M4827">
        <v>-0.99995129999999999</v>
      </c>
      <c r="N4827">
        <v>-9.7579989999999998E-3</v>
      </c>
      <c r="O4827">
        <v>-1.471022E-3</v>
      </c>
      <c r="P4827">
        <v>-0.97769110000000004</v>
      </c>
      <c r="Q4827">
        <v>0.1829395</v>
      </c>
      <c r="R4827">
        <v>-0.1032144</v>
      </c>
      <c r="S4827">
        <v>-3.1393430000000002</v>
      </c>
      <c r="T4827">
        <v>-0.39165169999999999</v>
      </c>
      <c r="U4827">
        <v>-8.285522E-3</v>
      </c>
      <c r="V4827">
        <v>-0.1017686</v>
      </c>
      <c r="W4827">
        <v>0.1924766</v>
      </c>
      <c r="X4827">
        <v>0.97601020000000005</v>
      </c>
      <c r="Y4827">
        <v>-1.168075E-3</v>
      </c>
      <c r="Z4827" s="1">
        <v>9.0202689999999995E-5</v>
      </c>
      <c r="AA4827">
        <v>0.99999930000000004</v>
      </c>
      <c r="AB4827">
        <v>26</v>
      </c>
      <c r="AC4827">
        <v>-0.57970000000000199</v>
      </c>
      <c r="AD4827">
        <v>-0.10635699999999999</v>
      </c>
      <c r="AE4827">
        <v>-1.6999999999711599E-3</v>
      </c>
      <c r="AF4827">
        <v>-8.1961729101837804E-4</v>
      </c>
      <c r="AG4827">
        <v>-0.10635699999999999</v>
      </c>
      <c r="AH4827">
        <v>0.56082419600922995</v>
      </c>
      <c r="AI4827">
        <v>100.738273531571</v>
      </c>
      <c r="AJ4827">
        <v>90.083734935996006</v>
      </c>
      <c r="AK4827">
        <v>0.57082069168076099</v>
      </c>
      <c r="AL4827">
        <v>78.902648851622402</v>
      </c>
      <c r="AM4827">
        <v>95.952720957893504</v>
      </c>
      <c r="AN4827">
        <v>0.99999999999877998</v>
      </c>
    </row>
    <row r="4828" spans="1:40" x14ac:dyDescent="0.25">
      <c r="A4828" t="str">
        <f>"20190304155158422"</f>
        <v>20190304155158422</v>
      </c>
      <c r="B4828" t="str">
        <f>"1551685918411737"</f>
        <v>1551685918411737</v>
      </c>
      <c r="C4828" t="s">
        <v>40</v>
      </c>
      <c r="D4828">
        <v>4.8121340000000004</v>
      </c>
      <c r="E4828">
        <v>0.53739910000000002</v>
      </c>
      <c r="F4828" t="s">
        <v>51</v>
      </c>
      <c r="G4828">
        <v>-360.32010000000002</v>
      </c>
      <c r="H4828">
        <v>1.04237</v>
      </c>
      <c r="I4828">
        <v>141.6721</v>
      </c>
      <c r="J4828">
        <v>-359.75229999999999</v>
      </c>
      <c r="K4828">
        <v>1.1101219999999901</v>
      </c>
      <c r="L4828">
        <v>141.6686</v>
      </c>
      <c r="M4828">
        <v>-0.99995160000000005</v>
      </c>
      <c r="N4828">
        <v>-9.7352280000000003E-3</v>
      </c>
      <c r="O4828">
        <v>-1.4715079999999901E-3</v>
      </c>
      <c r="P4828">
        <v>-0.97738559999999997</v>
      </c>
      <c r="Q4828">
        <v>0.18338860000000001</v>
      </c>
      <c r="R4828">
        <v>-0.1052917</v>
      </c>
      <c r="S4828">
        <v>-3.1168819999999999</v>
      </c>
      <c r="T4828">
        <v>-0.2529998</v>
      </c>
      <c r="U4828">
        <v>1.029968E-2</v>
      </c>
      <c r="V4828">
        <v>-0.10384589999999901</v>
      </c>
      <c r="W4828">
        <v>0.19290060000000001</v>
      </c>
      <c r="X4828">
        <v>0.97570769999999996</v>
      </c>
      <c r="Y4828">
        <v>4.7547620000000001E-3</v>
      </c>
      <c r="Z4828">
        <v>3.2078599999999999E-4</v>
      </c>
      <c r="AA4828">
        <v>0.99998860000000001</v>
      </c>
      <c r="AB4828">
        <v>26</v>
      </c>
      <c r="AC4828">
        <v>-0.56780000000003295</v>
      </c>
      <c r="AD4828">
        <v>-6.7751999999999798E-2</v>
      </c>
      <c r="AE4828">
        <v>3.5000000000024998E-3</v>
      </c>
      <c r="AF4828">
        <v>4.2746965452309998E-3</v>
      </c>
      <c r="AG4828">
        <v>-6.7751999999999798E-2</v>
      </c>
      <c r="AH4828">
        <v>0.55982368577020503</v>
      </c>
      <c r="AI4828">
        <v>96.900394913154202</v>
      </c>
      <c r="AJ4828">
        <v>89.562509916875996</v>
      </c>
      <c r="AK4828">
        <v>0.56392478725792095</v>
      </c>
      <c r="AL4828">
        <v>78.877892209226601</v>
      </c>
      <c r="AM4828">
        <v>96.075197561842103</v>
      </c>
      <c r="AN4828">
        <v>1.0000000641332201</v>
      </c>
    </row>
    <row r="4829" spans="1:40" x14ac:dyDescent="0.25">
      <c r="A4829" t="str">
        <f>"20190304155158442"</f>
        <v>20190304155158442</v>
      </c>
      <c r="B4829" t="str">
        <f>"1551685918431257"</f>
        <v>1551685918431257</v>
      </c>
      <c r="C4829" t="s">
        <v>40</v>
      </c>
      <c r="D4829">
        <v>4.7315800000000001</v>
      </c>
      <c r="E4829">
        <v>0.5339547</v>
      </c>
      <c r="F4829" t="s">
        <v>41</v>
      </c>
      <c r="G4829">
        <v>-379.42910000000001</v>
      </c>
      <c r="H4829" s="1">
        <v>-7.7038619999999998E-7</v>
      </c>
      <c r="I4829">
        <v>141.6576</v>
      </c>
      <c r="J4829">
        <v>-359.99869999999999</v>
      </c>
      <c r="K4829">
        <v>1.1101209999999999</v>
      </c>
      <c r="L4829">
        <v>141.66820000000001</v>
      </c>
      <c r="M4829">
        <v>-0.9999519</v>
      </c>
      <c r="N4829">
        <v>-9.7168159999999996E-3</v>
      </c>
      <c r="O4829">
        <v>-1.4708169999999999E-3</v>
      </c>
      <c r="P4829">
        <v>-0.97708830000000002</v>
      </c>
      <c r="Q4829">
        <v>0.18396419999999999</v>
      </c>
      <c r="R4829">
        <v>-0.1070313</v>
      </c>
      <c r="S4829">
        <v>-3.1020810000000001</v>
      </c>
      <c r="T4829">
        <v>-0.17501329999999901</v>
      </c>
      <c r="U4829">
        <v>-1.7242430000000001E-3</v>
      </c>
      <c r="V4829">
        <v>-0.1055866</v>
      </c>
      <c r="W4829">
        <v>0.1934554</v>
      </c>
      <c r="X4829">
        <v>0.97541089999999997</v>
      </c>
      <c r="Y4829">
        <v>9.1175030000000001E-4</v>
      </c>
      <c r="Z4829" s="1">
        <v>9.8765079999999999E-5</v>
      </c>
      <c r="AA4829">
        <v>0.99999959999999999</v>
      </c>
      <c r="AB4829">
        <v>26</v>
      </c>
      <c r="AC4829">
        <v>-19.430399999999999</v>
      </c>
      <c r="AD4829">
        <v>-1.1101217703862001</v>
      </c>
      <c r="AE4829">
        <v>-1.06000000000108E-2</v>
      </c>
      <c r="AF4829">
        <v>1.7921418670292E-2</v>
      </c>
      <c r="AG4829">
        <v>-1.1101217703862001</v>
      </c>
      <c r="AH4829">
        <v>19.367176110010199</v>
      </c>
      <c r="AI4829">
        <v>93.280588875786805</v>
      </c>
      <c r="AJ4829">
        <v>89.946981358883505</v>
      </c>
      <c r="AK4829">
        <v>19.398974251193899</v>
      </c>
      <c r="AL4829">
        <v>78.845493224593696</v>
      </c>
      <c r="AM4829">
        <v>96.178116228210598</v>
      </c>
      <c r="AN4829">
        <v>0.99999997286376396</v>
      </c>
    </row>
    <row r="4830" spans="1:40" x14ac:dyDescent="0.25">
      <c r="A4830" t="str">
        <f>"20190304155158464"</f>
        <v>20190304155158464</v>
      </c>
      <c r="B4830" t="str">
        <f>"1551685918461514"</f>
        <v>1551685918461514</v>
      </c>
      <c r="C4830" t="s">
        <v>40</v>
      </c>
      <c r="D4830">
        <v>4.84579</v>
      </c>
      <c r="E4830">
        <v>0.52943050000000003</v>
      </c>
      <c r="F4830" t="s">
        <v>41</v>
      </c>
      <c r="G4830">
        <v>-382.96069999999997</v>
      </c>
      <c r="H4830" s="1">
        <v>-3.4801930000000002E-6</v>
      </c>
      <c r="I4830">
        <v>141.4128</v>
      </c>
      <c r="J4830">
        <v>-360.25349999999997</v>
      </c>
      <c r="K4830">
        <v>1.110114</v>
      </c>
      <c r="L4830">
        <v>141.6679</v>
      </c>
      <c r="M4830">
        <v>-0.99995199999999995</v>
      </c>
      <c r="N4830">
        <v>-9.7003309999999995E-3</v>
      </c>
      <c r="O4830">
        <v>-1.467381E-3</v>
      </c>
      <c r="P4830">
        <v>-0.97691209999999995</v>
      </c>
      <c r="Q4830">
        <v>0.1839134</v>
      </c>
      <c r="R4830">
        <v>-0.1087154</v>
      </c>
      <c r="S4830">
        <v>-3.094757</v>
      </c>
      <c r="T4830">
        <v>-0.149619899999999</v>
      </c>
      <c r="U4830">
        <v>-3.4408569999999999E-2</v>
      </c>
      <c r="V4830">
        <v>-0.10727299999999999</v>
      </c>
      <c r="W4830">
        <v>0.19338759999999999</v>
      </c>
      <c r="X4830">
        <v>0.97524029999999995</v>
      </c>
      <c r="Y4830">
        <v>-9.6378639999999995E-3</v>
      </c>
      <c r="Z4830">
        <v>-2.229435E-4</v>
      </c>
      <c r="AA4830">
        <v>0.99995350000000005</v>
      </c>
      <c r="AB4830">
        <v>26</v>
      </c>
      <c r="AC4830">
        <v>-22.7072</v>
      </c>
      <c r="AD4830">
        <v>-1.1101174801930001</v>
      </c>
      <c r="AE4830">
        <v>-0.255099999999998</v>
      </c>
      <c r="AF4830">
        <v>-0.221249313198982</v>
      </c>
      <c r="AG4830">
        <v>-1.1101174801930001</v>
      </c>
      <c r="AH4830">
        <v>22.653413474711101</v>
      </c>
      <c r="AI4830">
        <v>92.805368786397594</v>
      </c>
      <c r="AJ4830">
        <v>90.559573453874904</v>
      </c>
      <c r="AK4830">
        <v>22.6816766164815</v>
      </c>
      <c r="AL4830">
        <v>78.849452408636097</v>
      </c>
      <c r="AM4830">
        <v>96.277099210596305</v>
      </c>
      <c r="AN4830">
        <v>0.99999995155342303</v>
      </c>
    </row>
    <row r="4831" spans="1:40" x14ac:dyDescent="0.25">
      <c r="A4831" t="str">
        <f>"20190304155158487"</f>
        <v>20190304155158487</v>
      </c>
      <c r="B4831" t="str">
        <f>"1551685918482013"</f>
        <v>1551685918482013</v>
      </c>
      <c r="C4831" t="s">
        <v>40</v>
      </c>
      <c r="D4831">
        <v>4.8037159999999997</v>
      </c>
      <c r="E4831">
        <v>0.52811019999999997</v>
      </c>
      <c r="F4831" t="s">
        <v>41</v>
      </c>
      <c r="G4831">
        <v>-385.95830000000001</v>
      </c>
      <c r="H4831" s="1">
        <v>-2.0943469999999998E-6</v>
      </c>
      <c r="I4831">
        <v>141.03739999999999</v>
      </c>
      <c r="J4831">
        <v>-360.5256</v>
      </c>
      <c r="K4831">
        <v>1.110107</v>
      </c>
      <c r="L4831">
        <v>141.66739999999999</v>
      </c>
      <c r="M4831">
        <v>-0.99995210000000001</v>
      </c>
      <c r="N4831">
        <v>-9.6853379999999999E-3</v>
      </c>
      <c r="O4831">
        <v>-1.4582060000000001E-3</v>
      </c>
      <c r="P4831">
        <v>-0.97682360000000001</v>
      </c>
      <c r="Q4831">
        <v>0.18379509999999999</v>
      </c>
      <c r="R4831">
        <v>-0.10970480000000001</v>
      </c>
      <c r="S4831">
        <v>-3.0875849999999998</v>
      </c>
      <c r="T4831">
        <v>-0.13334409999999999</v>
      </c>
      <c r="U4831">
        <v>-7.5714110000000001E-2</v>
      </c>
      <c r="V4831">
        <v>-0.10827009999999999</v>
      </c>
      <c r="W4831">
        <v>0.1932547</v>
      </c>
      <c r="X4831">
        <v>0.97515649999999998</v>
      </c>
      <c r="Y4831">
        <v>-2.303142E-2</v>
      </c>
      <c r="Z4831">
        <v>-5.5982079999999999E-4</v>
      </c>
      <c r="AA4831">
        <v>0.99973460000000003</v>
      </c>
      <c r="AB4831">
        <v>26</v>
      </c>
      <c r="AC4831">
        <v>-25.432700000000001</v>
      </c>
      <c r="AD4831">
        <v>-1.110109094347</v>
      </c>
      <c r="AE4831">
        <v>-0.62999999999999501</v>
      </c>
      <c r="AF4831">
        <v>-0.59178468546762897</v>
      </c>
      <c r="AG4831">
        <v>-1.110109094347</v>
      </c>
      <c r="AH4831">
        <v>25.385256691523999</v>
      </c>
      <c r="AI4831">
        <v>92.503296507752907</v>
      </c>
      <c r="AJ4831">
        <v>91.335445412051399</v>
      </c>
      <c r="AK4831">
        <v>25.416408255492598</v>
      </c>
      <c r="AL4831">
        <v>78.857213933484601</v>
      </c>
      <c r="AM4831">
        <v>96.335512475066906</v>
      </c>
      <c r="AN4831">
        <v>0.99999999655917404</v>
      </c>
    </row>
    <row r="4832" spans="1:40" x14ac:dyDescent="0.25">
      <c r="A4832" t="str">
        <f>"20190304155158510"</f>
        <v>20190304155158510</v>
      </c>
      <c r="B4832" t="str">
        <f>"1551685918501529"</f>
        <v>1551685918501529</v>
      </c>
      <c r="C4832" t="s">
        <v>40</v>
      </c>
      <c r="D4832">
        <v>4.8214829999999997</v>
      </c>
      <c r="E4832">
        <v>0.52683859999999905</v>
      </c>
      <c r="F4832" t="s">
        <v>41</v>
      </c>
      <c r="G4832">
        <v>-388.15109999999999</v>
      </c>
      <c r="H4832" s="1">
        <v>-1.108489E-6</v>
      </c>
      <c r="I4832">
        <v>140.86770000000001</v>
      </c>
      <c r="J4832">
        <v>-360.78980000000001</v>
      </c>
      <c r="K4832">
        <v>1.110101</v>
      </c>
      <c r="L4832">
        <v>141.6671</v>
      </c>
      <c r="M4832">
        <v>-0.99995230000000002</v>
      </c>
      <c r="N4832">
        <v>-9.6733280000000001E-3</v>
      </c>
      <c r="O4832">
        <v>-1.44163E-3</v>
      </c>
      <c r="P4832">
        <v>-0.97678739999999997</v>
      </c>
      <c r="Q4832">
        <v>0.183696</v>
      </c>
      <c r="R4832">
        <v>-0.110191899999999</v>
      </c>
      <c r="S4832">
        <v>-3.0845030000000002</v>
      </c>
      <c r="T4832">
        <v>-0.1239483</v>
      </c>
      <c r="U4832">
        <v>-8.9279170000000005E-2</v>
      </c>
      <c r="V4832">
        <v>-0.1087709</v>
      </c>
      <c r="W4832">
        <v>0.19314529999999999</v>
      </c>
      <c r="X4832">
        <v>0.9751225</v>
      </c>
      <c r="Y4832">
        <v>-2.7464369999999998E-2</v>
      </c>
      <c r="Z4832">
        <v>-6.4045599999999997E-4</v>
      </c>
      <c r="AA4832">
        <v>0.99962260000000003</v>
      </c>
      <c r="AB4832">
        <v>26</v>
      </c>
      <c r="AC4832">
        <v>-27.3612999999999</v>
      </c>
      <c r="AD4832">
        <v>-1.1101021084889999</v>
      </c>
      <c r="AE4832">
        <v>-0.79939999999999101</v>
      </c>
      <c r="AF4832">
        <v>-0.75870463012009004</v>
      </c>
      <c r="AG4832">
        <v>-1.1101021084889999</v>
      </c>
      <c r="AH4832">
        <v>27.3174954745236</v>
      </c>
      <c r="AI4832">
        <v>92.326154401683297</v>
      </c>
      <c r="AJ4832">
        <v>91.590899908456194</v>
      </c>
      <c r="AK4832">
        <v>27.350567058246799</v>
      </c>
      <c r="AL4832">
        <v>78.863603089759494</v>
      </c>
      <c r="AM4832">
        <v>96.364797359634295</v>
      </c>
      <c r="AN4832">
        <v>1.0000000528025701</v>
      </c>
    </row>
    <row r="4833" spans="1:40" x14ac:dyDescent="0.25">
      <c r="A4833" t="str">
        <f>"20190304155158531"</f>
        <v>20190304155158531</v>
      </c>
      <c r="B4833" t="str">
        <f>"1551685918522025"</f>
        <v>1551685918522025</v>
      </c>
      <c r="C4833" t="s">
        <v>40</v>
      </c>
      <c r="D4833">
        <v>4.8206319999999998</v>
      </c>
      <c r="E4833">
        <v>0.52563769999999999</v>
      </c>
      <c r="F4833" t="s">
        <v>41</v>
      </c>
      <c r="G4833">
        <v>-389.7167</v>
      </c>
      <c r="H4833" s="1">
        <v>-3.9651069999999999E-7</v>
      </c>
      <c r="I4833">
        <v>140.71610000000001</v>
      </c>
      <c r="J4833">
        <v>-361.04430000000002</v>
      </c>
      <c r="K4833">
        <v>1.1100920000000001</v>
      </c>
      <c r="L4833">
        <v>141.66669999999999</v>
      </c>
      <c r="M4833">
        <v>-0.99995230000000002</v>
      </c>
      <c r="N4833">
        <v>-9.6636210000000007E-3</v>
      </c>
      <c r="O4833">
        <v>-1.4175479999999901E-3</v>
      </c>
      <c r="P4833">
        <v>-0.97675350000000005</v>
      </c>
      <c r="Q4833">
        <v>0.18389520000000001</v>
      </c>
      <c r="R4833">
        <v>-0.1101607</v>
      </c>
      <c r="S4833">
        <v>-3.0821230000000002</v>
      </c>
      <c r="T4833">
        <v>-0.1182803</v>
      </c>
      <c r="U4833">
        <v>-0.1013184</v>
      </c>
      <c r="V4833">
        <v>-0.1087603</v>
      </c>
      <c r="W4833">
        <v>0.1933357</v>
      </c>
      <c r="X4833">
        <v>0.97508589999999995</v>
      </c>
      <c r="Y4833">
        <v>-3.1409949999999999E-2</v>
      </c>
      <c r="Z4833">
        <v>-7.1352130000000005E-4</v>
      </c>
      <c r="AA4833">
        <v>0.99950640000000002</v>
      </c>
      <c r="AB4833">
        <v>26</v>
      </c>
      <c r="AC4833">
        <v>-28.6723999999999</v>
      </c>
      <c r="AD4833">
        <v>-1.1100923965106999</v>
      </c>
      <c r="AE4833">
        <v>-0.95059999999998002</v>
      </c>
      <c r="AF4833">
        <v>-0.908592195197929</v>
      </c>
      <c r="AG4833">
        <v>-1.1100923965106999</v>
      </c>
      <c r="AH4833">
        <v>28.630849384888801</v>
      </c>
      <c r="AI4833">
        <v>92.219277877302304</v>
      </c>
      <c r="AJ4833">
        <v>91.817655914475395</v>
      </c>
      <c r="AK4833">
        <v>28.666764404204201</v>
      </c>
      <c r="AL4833">
        <v>78.852483852186197</v>
      </c>
      <c r="AM4833">
        <v>96.364419103943803</v>
      </c>
      <c r="AN4833">
        <v>1.0000000040646899</v>
      </c>
    </row>
    <row r="4834" spans="1:40" x14ac:dyDescent="0.25">
      <c r="A4834" t="str">
        <f>"20190304155158554"</f>
        <v>20190304155158554</v>
      </c>
      <c r="B4834" t="str">
        <f>"1551685918541545"</f>
        <v>1551685918541545</v>
      </c>
      <c r="C4834" t="s">
        <v>40</v>
      </c>
      <c r="D4834">
        <v>4.8462050000000003</v>
      </c>
      <c r="E4834">
        <v>0.52493269999999903</v>
      </c>
      <c r="F4834" t="s">
        <v>41</v>
      </c>
      <c r="G4834">
        <v>-390.72190000000001</v>
      </c>
      <c r="H4834" s="1">
        <v>-4.2054410000000001E-6</v>
      </c>
      <c r="I4834">
        <v>140.60329999999999</v>
      </c>
      <c r="J4834">
        <v>-361.30520000000001</v>
      </c>
      <c r="K4834">
        <v>1.110085</v>
      </c>
      <c r="L4834">
        <v>141.66640000000001</v>
      </c>
      <c r="M4834">
        <v>-0.99995250000000002</v>
      </c>
      <c r="N4834">
        <v>-9.6553260000000005E-3</v>
      </c>
      <c r="O4834">
        <v>-1.3852510000000001E-3</v>
      </c>
      <c r="P4834">
        <v>-0.97691819999999896</v>
      </c>
      <c r="Q4834">
        <v>0.18350369999999999</v>
      </c>
      <c r="R4834">
        <v>-0.1093505</v>
      </c>
      <c r="S4834">
        <v>-3.0806580000000001</v>
      </c>
      <c r="T4834">
        <v>-0.1152328</v>
      </c>
      <c r="U4834">
        <v>-0.1103821</v>
      </c>
      <c r="V4834">
        <v>-0.1079784</v>
      </c>
      <c r="W4834">
        <v>0.1929399</v>
      </c>
      <c r="X4834">
        <v>0.97525119999999998</v>
      </c>
      <c r="Y4834">
        <v>-3.439354E-2</v>
      </c>
      <c r="Z4834">
        <v>-7.7057630000000002E-4</v>
      </c>
      <c r="AA4834">
        <v>0.99940810000000002</v>
      </c>
      <c r="AB4834">
        <v>26</v>
      </c>
      <c r="AC4834">
        <v>-29.416699999999899</v>
      </c>
      <c r="AD4834">
        <v>-1.1100892054410001</v>
      </c>
      <c r="AE4834">
        <v>-1.0631000000000199</v>
      </c>
      <c r="AF4834">
        <v>-1.0208956512847001</v>
      </c>
      <c r="AG4834">
        <v>-1.1100892054410001</v>
      </c>
      <c r="AH4834">
        <v>29.376365402406499</v>
      </c>
      <c r="AI4834">
        <v>92.162788303047094</v>
      </c>
      <c r="AJ4834">
        <v>91.990357916819704</v>
      </c>
      <c r="AK4834">
        <v>29.415053462989999</v>
      </c>
      <c r="AL4834">
        <v>78.875596895072306</v>
      </c>
      <c r="AM4834">
        <v>96.317973061240806</v>
      </c>
      <c r="AN4834">
        <v>1.00000002149</v>
      </c>
    </row>
    <row r="4835" spans="1:40" x14ac:dyDescent="0.25">
      <c r="A4835" t="str">
        <f>"20190304155158570"</f>
        <v>20190304155158570</v>
      </c>
      <c r="B4835" t="str">
        <f>"1551685918562041"</f>
        <v>1551685918562041</v>
      </c>
      <c r="C4835" t="s">
        <v>40</v>
      </c>
      <c r="D4835">
        <v>4.7747769999999896</v>
      </c>
      <c r="E4835">
        <v>0.52440439999999999</v>
      </c>
      <c r="F4835" t="s">
        <v>41</v>
      </c>
      <c r="G4835">
        <v>-391.0247</v>
      </c>
      <c r="H4835" s="1">
        <v>-4.0870930000000002E-6</v>
      </c>
      <c r="I4835">
        <v>140.57239999999999</v>
      </c>
      <c r="J4835">
        <v>-361.50389999999999</v>
      </c>
      <c r="K4835">
        <v>1.1100779999999999</v>
      </c>
      <c r="L4835">
        <v>141.6661</v>
      </c>
      <c r="M4835">
        <v>-0.99995250000000002</v>
      </c>
      <c r="N4835">
        <v>-9.6499040000000008E-3</v>
      </c>
      <c r="O4835">
        <v>-1.3562089999999999E-3</v>
      </c>
      <c r="P4835">
        <v>-0.97698490000000004</v>
      </c>
      <c r="Q4835">
        <v>0.18344959999999999</v>
      </c>
      <c r="R4835">
        <v>-0.10884190000000001</v>
      </c>
      <c r="S4835">
        <v>-3.0797729999999999</v>
      </c>
      <c r="T4835">
        <v>-0.1150365</v>
      </c>
      <c r="U4835">
        <v>-0.1133575</v>
      </c>
      <c r="V4835">
        <v>-0.10749589999999901</v>
      </c>
      <c r="W4835">
        <v>0.1928819</v>
      </c>
      <c r="X4835">
        <v>0.97531590000000001</v>
      </c>
      <c r="Y4835">
        <v>-3.539631E-2</v>
      </c>
      <c r="Z4835">
        <v>-7.9399199999999998E-4</v>
      </c>
      <c r="AA4835">
        <v>0.99937299999999996</v>
      </c>
      <c r="AB4835">
        <v>26</v>
      </c>
      <c r="AC4835">
        <v>-29.520800000000001</v>
      </c>
      <c r="AD4835">
        <v>-1.1100820870929999</v>
      </c>
      <c r="AE4835">
        <v>-1.0937000000000101</v>
      </c>
      <c r="AF4835">
        <v>-1.0521750027777701</v>
      </c>
      <c r="AG4835">
        <v>-1.1100820870929999</v>
      </c>
      <c r="AH4835">
        <v>29.480627300531001</v>
      </c>
      <c r="AI4835">
        <v>92.155061700382106</v>
      </c>
      <c r="AJ4835">
        <v>92.044040947101394</v>
      </c>
      <c r="AK4835">
        <v>29.520276768847602</v>
      </c>
      <c r="AL4835">
        <v>78.878982864902994</v>
      </c>
      <c r="AM4835">
        <v>96.289554152880001</v>
      </c>
      <c r="AN4835">
        <v>0.999999950328613</v>
      </c>
    </row>
    <row r="4836" spans="1:40" x14ac:dyDescent="0.25">
      <c r="A4836" t="str">
        <f>"20190304155158589"</f>
        <v>20190304155158589</v>
      </c>
      <c r="B4836" t="str">
        <f>"1551685918581562"</f>
        <v>1551685918581562</v>
      </c>
      <c r="C4836" t="s">
        <v>40</v>
      </c>
      <c r="D4836">
        <v>4.7743359999999999</v>
      </c>
      <c r="E4836">
        <v>0.52406179999999902</v>
      </c>
      <c r="F4836" t="s">
        <v>41</v>
      </c>
      <c r="G4836">
        <v>-391.64839999999998</v>
      </c>
      <c r="H4836" s="1">
        <v>-3.8080050000000001E-6</v>
      </c>
      <c r="I4836">
        <v>140.5291</v>
      </c>
      <c r="J4836">
        <v>-361.71980000000002</v>
      </c>
      <c r="K4836">
        <v>1.1100719999999999</v>
      </c>
      <c r="L4836">
        <v>141.66589999999999</v>
      </c>
      <c r="M4836">
        <v>-0.99995259999999997</v>
      </c>
      <c r="N4836">
        <v>-9.6449819999999999E-3</v>
      </c>
      <c r="O4836">
        <v>-1.320381E-3</v>
      </c>
      <c r="P4836">
        <v>-0.97707290000000002</v>
      </c>
      <c r="Q4836">
        <v>0.18357280000000001</v>
      </c>
      <c r="R4836">
        <v>-0.10784050000000001</v>
      </c>
      <c r="S4836">
        <v>-3.0790099999999998</v>
      </c>
      <c r="T4836">
        <v>-0.11338579999999999</v>
      </c>
      <c r="U4836">
        <v>-0.1161346</v>
      </c>
      <c r="V4836">
        <v>-0.10652830000000001</v>
      </c>
      <c r="W4836">
        <v>0.19300210000000001</v>
      </c>
      <c r="X4836">
        <v>0.9753984</v>
      </c>
      <c r="Y4836">
        <v>-3.6341270000000002E-2</v>
      </c>
      <c r="Z4836">
        <v>-8.0821189999999996E-4</v>
      </c>
      <c r="AA4836">
        <v>0.99933910000000004</v>
      </c>
      <c r="AB4836">
        <v>26</v>
      </c>
      <c r="AC4836">
        <v>-29.9285999999999</v>
      </c>
      <c r="AD4836">
        <v>-1.1100758080049999</v>
      </c>
      <c r="AE4836">
        <v>-1.13679999999999</v>
      </c>
      <c r="AF4836">
        <v>-1.0957746996495099</v>
      </c>
      <c r="AG4836">
        <v>-1.1100758080049999</v>
      </c>
      <c r="AH4836">
        <v>29.889015082338101</v>
      </c>
      <c r="AI4836">
        <v>92.125556752048794</v>
      </c>
      <c r="AJ4836">
        <v>92.099606155435595</v>
      </c>
      <c r="AK4836">
        <v>29.929687821361401</v>
      </c>
      <c r="AL4836">
        <v>78.871965310311595</v>
      </c>
      <c r="AM4836">
        <v>96.232864742471193</v>
      </c>
      <c r="AN4836">
        <v>1.0000000640139199</v>
      </c>
    </row>
    <row r="4837" spans="1:40" x14ac:dyDescent="0.25">
      <c r="A4837" t="str">
        <f>"20190304155158610"</f>
        <v>20190304155158610</v>
      </c>
      <c r="B4837" t="str">
        <f>"1551685918602057"</f>
        <v>1551685918602057</v>
      </c>
      <c r="C4837" t="s">
        <v>40</v>
      </c>
      <c r="D4837">
        <v>4.8680899999999996</v>
      </c>
      <c r="E4837">
        <v>0.52369129999999997</v>
      </c>
      <c r="F4837" t="s">
        <v>41</v>
      </c>
      <c r="G4837">
        <v>-392.57240000000002</v>
      </c>
      <c r="H4837" s="1">
        <v>-3.4058309999999999E-6</v>
      </c>
      <c r="I4837">
        <v>140.50739999999999</v>
      </c>
      <c r="J4837">
        <v>-361.9821</v>
      </c>
      <c r="K4837">
        <v>1.1100699999999999</v>
      </c>
      <c r="L4837">
        <v>141.66560000000001</v>
      </c>
      <c r="M4837">
        <v>-0.99995270000000003</v>
      </c>
      <c r="N4837">
        <v>-9.6403210000000003E-3</v>
      </c>
      <c r="O4837">
        <v>-1.2721659999999999E-3</v>
      </c>
      <c r="P4837">
        <v>-0.97713399999999995</v>
      </c>
      <c r="Q4837">
        <v>0.18361330000000001</v>
      </c>
      <c r="R4837">
        <v>-0.10721550000000001</v>
      </c>
      <c r="S4837">
        <v>-3.0784609999999999</v>
      </c>
      <c r="T4837">
        <v>-0.11076279999999999</v>
      </c>
      <c r="U4837">
        <v>-0.1155853</v>
      </c>
      <c r="V4837">
        <v>-0.1059484</v>
      </c>
      <c r="W4837">
        <v>0.19303899999999999</v>
      </c>
      <c r="X4837">
        <v>0.97545420000000005</v>
      </c>
      <c r="Y4837">
        <v>-3.6219429999999997E-2</v>
      </c>
      <c r="Z4837">
        <v>-7.9238319999999998E-4</v>
      </c>
      <c r="AA4837">
        <v>0.9993436</v>
      </c>
      <c r="AB4837">
        <v>27</v>
      </c>
      <c r="AC4837">
        <v>-30.590299999999999</v>
      </c>
      <c r="AD4837">
        <v>-1.110073405831</v>
      </c>
      <c r="AE4837">
        <v>-1.1582000000000201</v>
      </c>
      <c r="AF4837">
        <v>-1.1178114321887</v>
      </c>
      <c r="AG4837">
        <v>-1.110073405831</v>
      </c>
      <c r="AH4837">
        <v>30.551574519721498</v>
      </c>
      <c r="AI4837">
        <v>92.079502703869494</v>
      </c>
      <c r="AJ4837">
        <v>92.095385353080403</v>
      </c>
      <c r="AK4837">
        <v>30.592163555367598</v>
      </c>
      <c r="AL4837">
        <v>78.869809940330299</v>
      </c>
      <c r="AM4837">
        <v>96.198848402221302</v>
      </c>
      <c r="AN4837">
        <v>1.0000000076405999</v>
      </c>
    </row>
    <row r="4838" spans="1:40" x14ac:dyDescent="0.25">
      <c r="A4838" t="str">
        <f>"20190304155158632"</f>
        <v>20190304155158632</v>
      </c>
      <c r="B4838" t="str">
        <f>"1551685918621578"</f>
        <v>1551685918621578</v>
      </c>
      <c r="C4838" t="s">
        <v>40</v>
      </c>
      <c r="D4838">
        <v>4.8046129999999998</v>
      </c>
      <c r="E4838">
        <v>0.52328419999999998</v>
      </c>
      <c r="F4838" t="s">
        <v>41</v>
      </c>
      <c r="G4838">
        <v>-393.1216</v>
      </c>
      <c r="H4838" s="1">
        <v>-3.164304E-6</v>
      </c>
      <c r="I4838">
        <v>140.48500000000001</v>
      </c>
      <c r="J4838">
        <v>-362.23790000000002</v>
      </c>
      <c r="K4838">
        <v>1.1100650000000001</v>
      </c>
      <c r="L4838">
        <v>141.6653</v>
      </c>
      <c r="M4838">
        <v>-0.99995299999999998</v>
      </c>
      <c r="N4838">
        <v>-9.6368280000000001E-3</v>
      </c>
      <c r="O4838">
        <v>-1.223612E-3</v>
      </c>
      <c r="P4838">
        <v>-0.97715649999999998</v>
      </c>
      <c r="Q4838">
        <v>0.18364929999999999</v>
      </c>
      <c r="R4838">
        <v>-0.10695209999999999</v>
      </c>
      <c r="S4838">
        <v>-3.0780029999999998</v>
      </c>
      <c r="T4838">
        <v>-0.109726</v>
      </c>
      <c r="U4838">
        <v>-0.116684</v>
      </c>
      <c r="V4838">
        <v>-0.10573150000000001</v>
      </c>
      <c r="W4838">
        <v>0.1930723</v>
      </c>
      <c r="X4838">
        <v>0.97547110000000004</v>
      </c>
      <c r="Y4838">
        <v>-3.6629839999999997E-2</v>
      </c>
      <c r="Z4838">
        <v>-7.9728809999999998E-4</v>
      </c>
      <c r="AA4838">
        <v>0.99932860000000001</v>
      </c>
      <c r="AB4838">
        <v>27</v>
      </c>
      <c r="AC4838">
        <v>-30.883699999999902</v>
      </c>
      <c r="AD4838">
        <v>-1.11006816430399</v>
      </c>
      <c r="AE4838">
        <v>-1.1802999999999799</v>
      </c>
      <c r="AF4838">
        <v>-1.14103570856609</v>
      </c>
      <c r="AG4838">
        <v>-1.11006816430399</v>
      </c>
      <c r="AH4838">
        <v>30.845329134948599</v>
      </c>
      <c r="AI4838">
        <v>92.059675459003302</v>
      </c>
      <c r="AJ4838">
        <v>92.118529313859</v>
      </c>
      <c r="AK4838">
        <v>30.8863811939977</v>
      </c>
      <c r="AL4838">
        <v>78.867864929574395</v>
      </c>
      <c r="AM4838">
        <v>96.186150128506</v>
      </c>
      <c r="AN4838">
        <v>0.99999996502737398</v>
      </c>
    </row>
    <row r="4839" spans="1:40" x14ac:dyDescent="0.25">
      <c r="A4839" t="str">
        <f>"20190304155158654"</f>
        <v>20190304155158654</v>
      </c>
      <c r="B4839" t="str">
        <f>"1551685918651261"</f>
        <v>1551685918651261</v>
      </c>
      <c r="C4839" t="s">
        <v>40</v>
      </c>
      <c r="D4839">
        <v>4.8134519999999998</v>
      </c>
      <c r="E4839">
        <v>0.52314910000000003</v>
      </c>
      <c r="F4839" t="s">
        <v>41</v>
      </c>
      <c r="G4839">
        <v>-393.28280000000001</v>
      </c>
      <c r="H4839" s="1">
        <v>-3.089883E-6</v>
      </c>
      <c r="I4839">
        <v>140.46530000000001</v>
      </c>
      <c r="J4839">
        <v>-362.49829999999997</v>
      </c>
      <c r="K4839">
        <v>1.110063</v>
      </c>
      <c r="L4839">
        <v>141.66499999999999</v>
      </c>
      <c r="M4839">
        <v>-0.99995299999999998</v>
      </c>
      <c r="N4839">
        <v>-9.6341699999999992E-3</v>
      </c>
      <c r="O4839">
        <v>-1.1725699999999999E-3</v>
      </c>
      <c r="P4839">
        <v>-0.97710129999999995</v>
      </c>
      <c r="Q4839">
        <v>0.18354590000000001</v>
      </c>
      <c r="R4839">
        <v>-0.1076299</v>
      </c>
      <c r="S4839">
        <v>-3.0777890000000001</v>
      </c>
      <c r="T4839">
        <v>-0.110052</v>
      </c>
      <c r="U4839">
        <v>-0.11895749999999999</v>
      </c>
      <c r="V4839">
        <v>-0.1064589</v>
      </c>
      <c r="W4839">
        <v>0.1929661</v>
      </c>
      <c r="X4839">
        <v>0.97541299999999997</v>
      </c>
      <c r="Y4839">
        <v>-3.7419769999999998E-2</v>
      </c>
      <c r="Z4839">
        <v>-8.1833410000000002E-4</v>
      </c>
      <c r="AA4839">
        <v>0.9992993</v>
      </c>
      <c r="AB4839">
        <v>27</v>
      </c>
      <c r="AC4839">
        <v>-30.784500000000001</v>
      </c>
      <c r="AD4839">
        <v>-1.1100660898829999</v>
      </c>
      <c r="AE4839">
        <v>-1.19969999999997</v>
      </c>
      <c r="AF4839">
        <v>-1.16209178076113</v>
      </c>
      <c r="AG4839">
        <v>-1.1100660898829999</v>
      </c>
      <c r="AH4839">
        <v>30.7459682033418</v>
      </c>
      <c r="AI4839">
        <v>92.066260026435501</v>
      </c>
      <c r="AJ4839">
        <v>92.164552919542999</v>
      </c>
      <c r="AK4839">
        <v>30.787940249255499</v>
      </c>
      <c r="AL4839">
        <v>78.874066380178803</v>
      </c>
      <c r="AM4839">
        <v>96.228743645161103</v>
      </c>
      <c r="AN4839">
        <v>0.99999996685370895</v>
      </c>
    </row>
    <row r="4840" spans="1:40" x14ac:dyDescent="0.25">
      <c r="A4840" t="str">
        <f>"20190304155158677"</f>
        <v>20190304155158677</v>
      </c>
      <c r="B4840" t="str">
        <f>"1551685918671760"</f>
        <v>1551685918671760</v>
      </c>
      <c r="C4840" t="s">
        <v>40</v>
      </c>
      <c r="D4840">
        <v>4.8314260000000004</v>
      </c>
      <c r="E4840">
        <v>0.52301370000000003</v>
      </c>
      <c r="F4840" t="s">
        <v>41</v>
      </c>
      <c r="G4840">
        <v>-393.87849999999997</v>
      </c>
      <c r="H4840" s="1">
        <v>-2.8238049999999999E-6</v>
      </c>
      <c r="I4840">
        <v>140.4256</v>
      </c>
      <c r="J4840">
        <v>-362.77199999999999</v>
      </c>
      <c r="K4840">
        <v>1.11006</v>
      </c>
      <c r="L4840">
        <v>141.66470000000001</v>
      </c>
      <c r="M4840">
        <v>-0.99995299999999998</v>
      </c>
      <c r="N4840">
        <v>-9.6322409999999997E-3</v>
      </c>
      <c r="O4840">
        <v>-1.1192730000000001E-3</v>
      </c>
      <c r="P4840">
        <v>-0.97709749999999995</v>
      </c>
      <c r="Q4840">
        <v>0.1832358</v>
      </c>
      <c r="R4840">
        <v>-0.1081922</v>
      </c>
      <c r="S4840">
        <v>-3.0773929999999998</v>
      </c>
      <c r="T4840">
        <v>-0.108862</v>
      </c>
      <c r="U4840">
        <v>-0.1215363</v>
      </c>
      <c r="V4840">
        <v>-0.1070734</v>
      </c>
      <c r="W4840">
        <v>0.19265399999999999</v>
      </c>
      <c r="X4840">
        <v>0.97540749999999998</v>
      </c>
      <c r="Y4840">
        <v>-3.8313930000000003E-2</v>
      </c>
      <c r="Z4840">
        <v>-8.3308049999999999E-4</v>
      </c>
      <c r="AA4840">
        <v>0.99926539999999997</v>
      </c>
      <c r="AB4840">
        <v>27</v>
      </c>
      <c r="AC4840">
        <v>-31.106499999999901</v>
      </c>
      <c r="AD4840">
        <v>-1.1100628238050001</v>
      </c>
      <c r="AE4840">
        <v>-1.2391000000000001</v>
      </c>
      <c r="AF4840">
        <v>-1.20275168745215</v>
      </c>
      <c r="AG4840">
        <v>-1.1100628238050001</v>
      </c>
      <c r="AH4840">
        <v>31.068365145006201</v>
      </c>
      <c r="AI4840">
        <v>92.044759171457301</v>
      </c>
      <c r="AJ4840">
        <v>92.216988233049705</v>
      </c>
      <c r="AK4840">
        <v>31.111447473203398</v>
      </c>
      <c r="AL4840">
        <v>78.892291100313898</v>
      </c>
      <c r="AM4840">
        <v>96.264447088503303</v>
      </c>
      <c r="AN4840">
        <v>1.0000000338799</v>
      </c>
    </row>
    <row r="4841" spans="1:40" x14ac:dyDescent="0.25">
      <c r="A4841" t="str">
        <f>"20190304155158699"</f>
        <v>20190304155158699</v>
      </c>
      <c r="B4841" t="str">
        <f>"1551685918691276"</f>
        <v>1551685918691276</v>
      </c>
      <c r="C4841" t="s">
        <v>40</v>
      </c>
      <c r="D4841">
        <v>4.8007140000000001</v>
      </c>
      <c r="E4841">
        <v>0.52289679999999905</v>
      </c>
      <c r="F4841" t="s">
        <v>41</v>
      </c>
      <c r="G4841">
        <v>-394.23009999999999</v>
      </c>
      <c r="H4841" s="1">
        <v>-2.6652919999999999E-6</v>
      </c>
      <c r="I4841">
        <v>140.39680000000001</v>
      </c>
      <c r="J4841">
        <v>-363.03339999999997</v>
      </c>
      <c r="K4841">
        <v>1.110061</v>
      </c>
      <c r="L4841">
        <v>141.6645</v>
      </c>
      <c r="M4841">
        <v>-0.99995319999999999</v>
      </c>
      <c r="N4841">
        <v>-9.6311350000000007E-3</v>
      </c>
      <c r="O4841">
        <v>-1.0692E-3</v>
      </c>
      <c r="P4841">
        <v>-0.97698459999999998</v>
      </c>
      <c r="Q4841">
        <v>0.1835137</v>
      </c>
      <c r="R4841">
        <v>-0.1087385</v>
      </c>
      <c r="S4841">
        <v>-3.0769350000000002</v>
      </c>
      <c r="T4841">
        <v>-0.1085759</v>
      </c>
      <c r="U4841">
        <v>-0.1240082</v>
      </c>
      <c r="V4841">
        <v>-0.1076688</v>
      </c>
      <c r="W4841">
        <v>0.19292960000000001</v>
      </c>
      <c r="X4841">
        <v>0.97528740000000003</v>
      </c>
      <c r="Y4841">
        <v>-3.9170759999999999E-2</v>
      </c>
      <c r="Z4841">
        <v>-8.5198999999999995E-4</v>
      </c>
      <c r="AA4841">
        <v>0.99923220000000001</v>
      </c>
      <c r="AB4841">
        <v>27</v>
      </c>
      <c r="AC4841">
        <v>-31.1967</v>
      </c>
      <c r="AD4841">
        <v>-1.110063665292</v>
      </c>
      <c r="AE4841">
        <v>-1.2676999999999901</v>
      </c>
      <c r="AF4841">
        <v>-1.23278392948564</v>
      </c>
      <c r="AG4841">
        <v>-1.110063665292</v>
      </c>
      <c r="AH4841">
        <v>31.158651771811201</v>
      </c>
      <c r="AI4841">
        <v>92.038772943340206</v>
      </c>
      <c r="AJ4841">
        <v>92.265710839492996</v>
      </c>
      <c r="AK4841">
        <v>31.202781571436802</v>
      </c>
      <c r="AL4841">
        <v>78.876197613310694</v>
      </c>
      <c r="AM4841">
        <v>96.299771822182606</v>
      </c>
      <c r="AN4841">
        <v>0.99999995682417897</v>
      </c>
    </row>
    <row r="4842" spans="1:40" x14ac:dyDescent="0.25">
      <c r="A4842" t="str">
        <f>"20190304155158721"</f>
        <v>20190304155158721</v>
      </c>
      <c r="B4842" t="str">
        <f>"1551685918711772"</f>
        <v>1551685918711772</v>
      </c>
      <c r="C4842" t="s">
        <v>40</v>
      </c>
      <c r="D4842">
        <v>4.843629</v>
      </c>
      <c r="E4842">
        <v>0.52275689999999997</v>
      </c>
      <c r="F4842" t="s">
        <v>41</v>
      </c>
      <c r="G4842">
        <v>-395.00779999999997</v>
      </c>
      <c r="H4842" s="1">
        <v>-2.3187619999999999E-6</v>
      </c>
      <c r="I4842">
        <v>140.34819999999999</v>
      </c>
      <c r="J4842">
        <v>-363.3023</v>
      </c>
      <c r="K4842">
        <v>1.11006</v>
      </c>
      <c r="L4842">
        <v>141.6643</v>
      </c>
      <c r="M4842">
        <v>-0.99995310000000004</v>
      </c>
      <c r="N4842">
        <v>-9.6306180000000005E-3</v>
      </c>
      <c r="O4842">
        <v>-1.018417E-3</v>
      </c>
      <c r="P4842">
        <v>-0.97696470000000002</v>
      </c>
      <c r="Q4842">
        <v>0.183445</v>
      </c>
      <c r="R4842">
        <v>-0.1090318</v>
      </c>
      <c r="S4842">
        <v>-3.07666</v>
      </c>
      <c r="T4842">
        <v>-0.1068134</v>
      </c>
      <c r="U4842">
        <v>-0.12664790000000001</v>
      </c>
      <c r="V4842">
        <v>-0.1080117</v>
      </c>
      <c r="W4842">
        <v>0.19286030000000001</v>
      </c>
      <c r="X4842">
        <v>0.9752632</v>
      </c>
      <c r="Y4842">
        <v>-4.0081159999999998E-2</v>
      </c>
      <c r="Z4842">
        <v>-8.6288629999999999E-4</v>
      </c>
      <c r="AA4842">
        <v>0.99919610000000003</v>
      </c>
      <c r="AB4842">
        <v>27</v>
      </c>
      <c r="AC4842">
        <v>-31.705499999999901</v>
      </c>
      <c r="AD4842">
        <v>-1.110062318762</v>
      </c>
      <c r="AE4842">
        <v>-1.3161</v>
      </c>
      <c r="AF4842">
        <v>-1.2822393129427201</v>
      </c>
      <c r="AG4842">
        <v>-1.110062318762</v>
      </c>
      <c r="AH4842">
        <v>31.668071482672499</v>
      </c>
      <c r="AI4842">
        <v>92.005927254966906</v>
      </c>
      <c r="AJ4842">
        <v>92.318637947547501</v>
      </c>
      <c r="AK4842">
        <v>31.7134534139511</v>
      </c>
      <c r="AL4842">
        <v>78.880244311361693</v>
      </c>
      <c r="AM4842">
        <v>96.319828596069897</v>
      </c>
      <c r="AN4842">
        <v>0.99999996596360896</v>
      </c>
    </row>
    <row r="4843" spans="1:40" x14ac:dyDescent="0.25">
      <c r="A4843" t="str">
        <f>"20190304155158743"</f>
        <v>20190304155158743</v>
      </c>
      <c r="B4843" t="str">
        <f>"1551685918731292"</f>
        <v>1551685918731292</v>
      </c>
      <c r="C4843" t="s">
        <v>40</v>
      </c>
      <c r="D4843">
        <v>4.8295529999999998</v>
      </c>
      <c r="E4843">
        <v>0.52257559999999903</v>
      </c>
      <c r="F4843" t="s">
        <v>41</v>
      </c>
      <c r="G4843">
        <v>-395.38189999999997</v>
      </c>
      <c r="H4843" s="1">
        <v>-2.1505949999999999E-6</v>
      </c>
      <c r="I4843">
        <v>140.31950000000001</v>
      </c>
      <c r="J4843">
        <v>-363.57</v>
      </c>
      <c r="K4843">
        <v>1.1100540000000001</v>
      </c>
      <c r="L4843">
        <v>141.66409999999999</v>
      </c>
      <c r="M4843">
        <v>-0.99995330000000004</v>
      </c>
      <c r="N4843">
        <v>-9.630652E-3</v>
      </c>
      <c r="O4843">
        <v>-9.6918459999999998E-4</v>
      </c>
      <c r="P4843">
        <v>-0.97694919999999996</v>
      </c>
      <c r="Q4843">
        <v>0.18345069999999999</v>
      </c>
      <c r="R4843">
        <v>-0.10916289999999999</v>
      </c>
      <c r="S4843">
        <v>-3.0763240000000001</v>
      </c>
      <c r="T4843">
        <v>-0.1064514</v>
      </c>
      <c r="U4843">
        <v>-0.12895200000000001</v>
      </c>
      <c r="V4843">
        <v>-0.1081906</v>
      </c>
      <c r="W4843">
        <v>0.19286600000000001</v>
      </c>
      <c r="X4843">
        <v>0.97524230000000001</v>
      </c>
      <c r="Y4843">
        <v>-4.088145E-2</v>
      </c>
      <c r="Z4843">
        <v>-8.7963709999999999E-4</v>
      </c>
      <c r="AA4843">
        <v>0.99916360000000004</v>
      </c>
      <c r="AB4843">
        <v>27</v>
      </c>
      <c r="AC4843">
        <v>-31.811899999999898</v>
      </c>
      <c r="AD4843">
        <v>-1.110056150595</v>
      </c>
      <c r="AE4843">
        <v>-1.34459999999998</v>
      </c>
      <c r="AF4843">
        <v>-1.31217146651437</v>
      </c>
      <c r="AG4843">
        <v>-1.110056150595</v>
      </c>
      <c r="AH4843">
        <v>31.774568027478601</v>
      </c>
      <c r="AI4843">
        <v>91.999132743209998</v>
      </c>
      <c r="AJ4843">
        <v>92.364758906449296</v>
      </c>
      <c r="AK4843">
        <v>31.821018084716801</v>
      </c>
      <c r="AL4843">
        <v>78.879912105441804</v>
      </c>
      <c r="AM4843">
        <v>96.330345795535493</v>
      </c>
      <c r="AN4843">
        <v>1.0000000217968199</v>
      </c>
    </row>
    <row r="4844" spans="1:40" x14ac:dyDescent="0.25">
      <c r="A4844" t="str">
        <f>"20190304155158767"</f>
        <v>20190304155158767</v>
      </c>
      <c r="B4844" t="str">
        <f>"1551685918761549"</f>
        <v>1551685918761549</v>
      </c>
      <c r="C4844" t="s">
        <v>40</v>
      </c>
      <c r="D4844">
        <v>4.874701</v>
      </c>
      <c r="E4844">
        <v>0.52292749999999999</v>
      </c>
      <c r="F4844" t="s">
        <v>41</v>
      </c>
      <c r="G4844">
        <v>-395.8451</v>
      </c>
      <c r="H4844" s="1">
        <v>-1.9456909999999998E-6</v>
      </c>
      <c r="I4844">
        <v>140.2962</v>
      </c>
      <c r="J4844">
        <v>-363.85070000000002</v>
      </c>
      <c r="K4844">
        <v>1.110055</v>
      </c>
      <c r="L4844">
        <v>141.66380000000001</v>
      </c>
      <c r="M4844">
        <v>-0.99995330000000004</v>
      </c>
      <c r="N4844">
        <v>-9.6312240000000007E-3</v>
      </c>
      <c r="O4844">
        <v>-9.1769089999999996E-4</v>
      </c>
      <c r="P4844">
        <v>-0.97692299999999999</v>
      </c>
      <c r="Q4844">
        <v>0.18344460000000001</v>
      </c>
      <c r="R4844">
        <v>-0.1094067</v>
      </c>
      <c r="S4844">
        <v>-3.07605</v>
      </c>
      <c r="T4844">
        <v>-0.1057963</v>
      </c>
      <c r="U4844">
        <v>-0.13035579999999999</v>
      </c>
      <c r="V4844">
        <v>-0.1084851</v>
      </c>
      <c r="W4844">
        <v>0.19286039999999999</v>
      </c>
      <c r="X4844">
        <v>0.97521069999999999</v>
      </c>
      <c r="Y4844">
        <v>-4.1391749999999998E-2</v>
      </c>
      <c r="Z4844">
        <v>-8.8806559999999896E-4</v>
      </c>
      <c r="AA4844">
        <v>0.99914259999999999</v>
      </c>
      <c r="AB4844">
        <v>27</v>
      </c>
      <c r="AC4844">
        <v>-31.994399999999899</v>
      </c>
      <c r="AD4844">
        <v>-1.1100569456910001</v>
      </c>
      <c r="AE4844">
        <v>-1.3676000000000099</v>
      </c>
      <c r="AF4844">
        <v>-1.3366310371103201</v>
      </c>
      <c r="AG4844">
        <v>-1.1100569456910001</v>
      </c>
      <c r="AH4844">
        <v>31.957242691851398</v>
      </c>
      <c r="AI4844">
        <v>91.9876722567831</v>
      </c>
      <c r="AJ4844">
        <v>92.395034732453894</v>
      </c>
      <c r="AK4844">
        <v>32.004439839152496</v>
      </c>
      <c r="AL4844">
        <v>78.880239194458397</v>
      </c>
      <c r="AM4844">
        <v>96.347640844731998</v>
      </c>
      <c r="AN4844">
        <v>1.00000003010232</v>
      </c>
    </row>
    <row r="4845" spans="1:40" x14ac:dyDescent="0.25">
      <c r="A4845" t="str">
        <f>"20190304155158789"</f>
        <v>20190304155158789</v>
      </c>
      <c r="B4845" t="str">
        <f>"1551685918782045"</f>
        <v>1551685918782045</v>
      </c>
      <c r="C4845" t="s">
        <v>40</v>
      </c>
      <c r="D4845">
        <v>4.6582119999999998</v>
      </c>
      <c r="E4845">
        <v>0.55909330000000002</v>
      </c>
      <c r="F4845" t="s">
        <v>41</v>
      </c>
      <c r="G4845">
        <v>-396.69150000000002</v>
      </c>
      <c r="H4845" s="1">
        <v>-1.5829670000000001E-6</v>
      </c>
      <c r="I4845">
        <v>140.29759999999999</v>
      </c>
      <c r="J4845">
        <v>-364.11369999999999</v>
      </c>
      <c r="K4845">
        <v>1.110052</v>
      </c>
      <c r="L4845">
        <v>141.66370000000001</v>
      </c>
      <c r="M4845">
        <v>-0.99995330000000004</v>
      </c>
      <c r="N4845">
        <v>-9.632201E-3</v>
      </c>
      <c r="O4845">
        <v>-8.7001410000000004E-4</v>
      </c>
      <c r="P4845">
        <v>-0.97681770000000001</v>
      </c>
      <c r="Q4845">
        <v>0.1839383</v>
      </c>
      <c r="R4845">
        <v>-0.10951760000000001</v>
      </c>
      <c r="S4845">
        <v>-3.0759889999999999</v>
      </c>
      <c r="T4845">
        <v>-0.1039721</v>
      </c>
      <c r="U4845">
        <v>-0.1279602</v>
      </c>
      <c r="V4845">
        <v>-0.10864219999999999</v>
      </c>
      <c r="W4845">
        <v>0.19335350000000001</v>
      </c>
      <c r="X4845">
        <v>0.9750955</v>
      </c>
      <c r="Y4845">
        <v>-4.0664890000000002E-2</v>
      </c>
      <c r="Z4845">
        <v>-8.617637E-4</v>
      </c>
      <c r="AA4845">
        <v>0.99917239999999996</v>
      </c>
      <c r="AB4845">
        <v>27</v>
      </c>
      <c r="AC4845">
        <v>-32.577800000000003</v>
      </c>
      <c r="AD4845">
        <v>-1.110053582967</v>
      </c>
      <c r="AE4845">
        <v>-1.3661000000000101</v>
      </c>
      <c r="AF4845">
        <v>-1.3362063687761301</v>
      </c>
      <c r="AG4845">
        <v>-1.110053582967</v>
      </c>
      <c r="AH4845">
        <v>32.5412611075499</v>
      </c>
      <c r="AI4845">
        <v>91.952083048446795</v>
      </c>
      <c r="AJ4845">
        <v>92.351353271416997</v>
      </c>
      <c r="AK4845">
        <v>32.587594892639103</v>
      </c>
      <c r="AL4845">
        <v>78.851443975691097</v>
      </c>
      <c r="AM4845">
        <v>96.357502683704794</v>
      </c>
      <c r="AN4845">
        <v>0.99999996885166897</v>
      </c>
    </row>
    <row r="4846" spans="1:40" x14ac:dyDescent="0.25">
      <c r="A4846" t="str">
        <f>"20190304155158812"</f>
        <v>20190304155158812</v>
      </c>
      <c r="B4846" t="str">
        <f>"1551685918801565"</f>
        <v>1551685918801565</v>
      </c>
      <c r="C4846" t="s">
        <v>40</v>
      </c>
      <c r="D4846">
        <v>4.6804930000000002</v>
      </c>
      <c r="E4846">
        <v>0.56403429999999999</v>
      </c>
      <c r="F4846" t="s">
        <v>86</v>
      </c>
      <c r="G4846">
        <v>-544.02009999999996</v>
      </c>
      <c r="H4846">
        <v>2.588733</v>
      </c>
      <c r="I4846">
        <v>150.69999999999999</v>
      </c>
      <c r="J4846">
        <v>-364.3852</v>
      </c>
      <c r="K4846">
        <v>1.110055</v>
      </c>
      <c r="L4846">
        <v>141.6635</v>
      </c>
      <c r="M4846">
        <v>-0.99995330000000004</v>
      </c>
      <c r="N4846">
        <v>-9.6336140000000004E-3</v>
      </c>
      <c r="O4846">
        <v>-8.2067220000000001E-4</v>
      </c>
      <c r="P4846">
        <v>-0.97684519999999997</v>
      </c>
      <c r="Q4846">
        <v>0.18387110000000001</v>
      </c>
      <c r="R4846">
        <v>-0.1093851</v>
      </c>
      <c r="S4846">
        <v>-3.083771</v>
      </c>
      <c r="T4846">
        <v>2.5346759999999999E-2</v>
      </c>
      <c r="U4846">
        <v>0.154892</v>
      </c>
      <c r="V4846">
        <v>-0.10855860000000001</v>
      </c>
      <c r="W4846">
        <v>0.19328799999999999</v>
      </c>
      <c r="X4846">
        <v>0.97511789999999998</v>
      </c>
      <c r="Y4846">
        <v>5.0984700000000001E-2</v>
      </c>
      <c r="Z4846" s="1">
        <v>2.1704649999999999E-5</v>
      </c>
      <c r="AA4846">
        <v>0.99869940000000001</v>
      </c>
      <c r="AB4846">
        <v>27</v>
      </c>
      <c r="AC4846">
        <v>-179.63489999999899</v>
      </c>
      <c r="AD4846">
        <v>1.4786779999999999</v>
      </c>
      <c r="AE4846">
        <v>9.0364999999999895</v>
      </c>
      <c r="AF4846">
        <v>9.1833044813539502</v>
      </c>
      <c r="AG4846">
        <v>1.4786779999999999</v>
      </c>
      <c r="AH4846">
        <v>179.61528335614099</v>
      </c>
      <c r="AI4846">
        <v>89.528939942413501</v>
      </c>
      <c r="AJ4846">
        <v>87.073150871128206</v>
      </c>
      <c r="AK4846">
        <v>179.855969000008</v>
      </c>
      <c r="AL4846">
        <v>78.855270144996794</v>
      </c>
      <c r="AM4846">
        <v>96.352505867728198</v>
      </c>
      <c r="AN4846">
        <v>1.00000006973918</v>
      </c>
    </row>
    <row r="4847" spans="1:40" x14ac:dyDescent="0.25">
      <c r="A4847" t="str">
        <f>"20190304155158833"</f>
        <v>20190304155158833</v>
      </c>
      <c r="B4847" t="str">
        <f>"1551685918822061"</f>
        <v>1551685918822061</v>
      </c>
      <c r="C4847" t="s">
        <v>40</v>
      </c>
      <c r="D4847">
        <v>4.7215809999999996</v>
      </c>
      <c r="E4847">
        <v>0.56869579999999997</v>
      </c>
      <c r="F4847" t="s">
        <v>86</v>
      </c>
      <c r="G4847">
        <v>-511.05930000000001</v>
      </c>
      <c r="H4847">
        <v>1.9210640000000001</v>
      </c>
      <c r="I4847">
        <v>150.89830000000001</v>
      </c>
      <c r="J4847">
        <v>-364.64839999999998</v>
      </c>
      <c r="K4847">
        <v>1.1100540000000001</v>
      </c>
      <c r="L4847">
        <v>141.66329999999999</v>
      </c>
      <c r="M4847">
        <v>-0.99995339999999999</v>
      </c>
      <c r="N4847">
        <v>-9.6353180000000004E-3</v>
      </c>
      <c r="O4847">
        <v>-7.727608E-4</v>
      </c>
      <c r="P4847">
        <v>-0.97677760000000002</v>
      </c>
      <c r="Q4847">
        <v>0.1843023</v>
      </c>
      <c r="R4847">
        <v>-0.10926279999999999</v>
      </c>
      <c r="S4847">
        <v>-3.0897220000000001</v>
      </c>
      <c r="T4847">
        <v>1.708496E-2</v>
      </c>
      <c r="U4847">
        <v>0.19453429999999999</v>
      </c>
      <c r="V4847">
        <v>-0.1084826</v>
      </c>
      <c r="W4847">
        <v>0.1937198</v>
      </c>
      <c r="X4847">
        <v>0.97504060000000004</v>
      </c>
      <c r="Y4847">
        <v>6.3609209999999999E-2</v>
      </c>
      <c r="Z4847">
        <v>1.193569E-4</v>
      </c>
      <c r="AA4847">
        <v>0.9979749</v>
      </c>
      <c r="AB4847">
        <v>27</v>
      </c>
      <c r="AC4847">
        <v>-146.4109</v>
      </c>
      <c r="AD4847">
        <v>0.81100999999999901</v>
      </c>
      <c r="AE4847">
        <v>9.2350000000000101</v>
      </c>
      <c r="AF4847">
        <v>9.3478573965734206</v>
      </c>
      <c r="AG4847">
        <v>0.81100999999999901</v>
      </c>
      <c r="AH4847">
        <v>146.39924525681701</v>
      </c>
      <c r="AI4847">
        <v>89.683246036288395</v>
      </c>
      <c r="AJ4847">
        <v>86.346520294436203</v>
      </c>
      <c r="AK4847">
        <v>146.699622313394</v>
      </c>
      <c r="AL4847">
        <v>78.830052467519195</v>
      </c>
      <c r="AM4847">
        <v>96.348594066730101</v>
      </c>
      <c r="AN4847">
        <v>1.0000000035315799</v>
      </c>
    </row>
    <row r="4848" spans="1:40" x14ac:dyDescent="0.25">
      <c r="A4848" t="str">
        <f>"20190304155158856"</f>
        <v>20190304155158856</v>
      </c>
      <c r="B4848" t="str">
        <f>"1551685918852317"</f>
        <v>1551685918852317</v>
      </c>
      <c r="C4848" t="s">
        <v>40</v>
      </c>
      <c r="D4848">
        <v>4.6766059999999996</v>
      </c>
      <c r="E4848">
        <v>0.57020139999999997</v>
      </c>
      <c r="F4848" t="s">
        <v>86</v>
      </c>
      <c r="G4848">
        <v>-511.0591</v>
      </c>
      <c r="H4848">
        <v>1.43286</v>
      </c>
      <c r="I4848">
        <v>152.64089999999999</v>
      </c>
      <c r="J4848">
        <v>-364.9144</v>
      </c>
      <c r="K4848">
        <v>1.1100559999999999</v>
      </c>
      <c r="L4848">
        <v>141.66319999999999</v>
      </c>
      <c r="M4848">
        <v>-0.99995339999999999</v>
      </c>
      <c r="N4848">
        <v>-9.6373169999999994E-3</v>
      </c>
      <c r="O4848">
        <v>-7.2449319999999995E-4</v>
      </c>
      <c r="P4848">
        <v>-0.9766167</v>
      </c>
      <c r="Q4848">
        <v>0.1850377</v>
      </c>
      <c r="R4848">
        <v>-0.10945779999999999</v>
      </c>
      <c r="S4848">
        <v>-3.0960079999999999</v>
      </c>
      <c r="T4848">
        <v>6.8269969999999996E-3</v>
      </c>
      <c r="U4848">
        <v>0.23213200000000001</v>
      </c>
      <c r="V4848">
        <v>-0.1087255</v>
      </c>
      <c r="W4848">
        <v>0.19445560000000001</v>
      </c>
      <c r="X4848">
        <v>0.97486700000000004</v>
      </c>
      <c r="Y4848">
        <v>7.5491000000000003E-2</v>
      </c>
      <c r="Z4848">
        <v>2.7259860000000002E-4</v>
      </c>
      <c r="AA4848">
        <v>0.99714639999999999</v>
      </c>
      <c r="AB4848">
        <v>27</v>
      </c>
      <c r="AC4848">
        <v>-146.1447</v>
      </c>
      <c r="AD4848">
        <v>0.32280399999999998</v>
      </c>
      <c r="AE4848">
        <v>10.9777</v>
      </c>
      <c r="AF4848">
        <v>11.0835290957755</v>
      </c>
      <c r="AG4848">
        <v>0.32280399999999998</v>
      </c>
      <c r="AH4848">
        <v>146.13599903800099</v>
      </c>
      <c r="AI4848">
        <v>89.8738003626015</v>
      </c>
      <c r="AJ4848">
        <v>85.662766309776302</v>
      </c>
      <c r="AK4848">
        <v>146.556061063588</v>
      </c>
      <c r="AL4848">
        <v>78.787076310755893</v>
      </c>
      <c r="AM4848">
        <v>96.363816300626993</v>
      </c>
      <c r="AN4848">
        <v>0.999999941205303</v>
      </c>
    </row>
    <row r="4849" spans="1:40" x14ac:dyDescent="0.25">
      <c r="A4849" t="str">
        <f>"20190304155158878"</f>
        <v>20190304155158878</v>
      </c>
      <c r="B4849" t="str">
        <f>"1551685918871840"</f>
        <v>1551685918871840</v>
      </c>
      <c r="C4849" t="s">
        <v>40</v>
      </c>
      <c r="D4849">
        <v>4.7361709999999997</v>
      </c>
      <c r="E4849">
        <v>0.57143189999999999</v>
      </c>
      <c r="F4849" t="s">
        <v>86</v>
      </c>
      <c r="G4849">
        <v>-511.0591</v>
      </c>
      <c r="H4849">
        <v>1.4843360000000001</v>
      </c>
      <c r="I4849">
        <v>153.17500000000001</v>
      </c>
      <c r="J4849">
        <v>-365.19099999999997</v>
      </c>
      <c r="K4849">
        <v>1.1100570000000001</v>
      </c>
      <c r="L4849">
        <v>141.66299999999899</v>
      </c>
      <c r="M4849">
        <v>-0.99995339999999999</v>
      </c>
      <c r="N4849">
        <v>-9.6396339999999994E-3</v>
      </c>
      <c r="O4849">
        <v>-6.7431839999999995E-4</v>
      </c>
      <c r="P4849">
        <v>-0.97647240000000002</v>
      </c>
      <c r="Q4849">
        <v>0.1860068</v>
      </c>
      <c r="R4849">
        <v>-0.10910250000000001</v>
      </c>
      <c r="S4849">
        <v>-3.0976560000000002</v>
      </c>
      <c r="T4849">
        <v>7.9340929999999997E-3</v>
      </c>
      <c r="U4849">
        <v>0.24400330000000001</v>
      </c>
      <c r="V4849">
        <v>-0.10841870000000001</v>
      </c>
      <c r="W4849">
        <v>0.1954256</v>
      </c>
      <c r="X4849">
        <v>0.9747072</v>
      </c>
      <c r="Y4849">
        <v>7.919996E-2</v>
      </c>
      <c r="Z4849">
        <v>2.7284089999999998E-4</v>
      </c>
      <c r="AA4849">
        <v>0.99685869999999999</v>
      </c>
      <c r="AB4849">
        <v>27</v>
      </c>
      <c r="AC4849">
        <v>-145.8681</v>
      </c>
      <c r="AD4849">
        <v>0.37427899999999997</v>
      </c>
      <c r="AE4849">
        <v>11.512</v>
      </c>
      <c r="AF4849">
        <v>11.6102875222291</v>
      </c>
      <c r="AG4849">
        <v>0.37427899999999997</v>
      </c>
      <c r="AH4849">
        <v>145.85934936942201</v>
      </c>
      <c r="AI4849">
        <v>89.853441381668006</v>
      </c>
      <c r="AJ4849">
        <v>85.448897578449802</v>
      </c>
      <c r="AK4849">
        <v>146.32118322235399</v>
      </c>
      <c r="AL4849">
        <v>78.730412433643906</v>
      </c>
      <c r="AM4849">
        <v>96.347037600372104</v>
      </c>
      <c r="AN4849">
        <v>0.99999995268844299</v>
      </c>
    </row>
    <row r="4850" spans="1:40" x14ac:dyDescent="0.25">
      <c r="A4850" t="str">
        <f>"20190304155158901"</f>
        <v>20190304155158901</v>
      </c>
      <c r="B4850" t="str">
        <f>"1551685918891356"</f>
        <v>1551685918891356</v>
      </c>
      <c r="C4850" t="s">
        <v>40</v>
      </c>
      <c r="D4850">
        <v>4.6569529999999997</v>
      </c>
      <c r="E4850">
        <v>0.57248599999999905</v>
      </c>
      <c r="F4850" t="s">
        <v>86</v>
      </c>
      <c r="G4850">
        <v>-511.92570000000001</v>
      </c>
      <c r="H4850">
        <v>1.6110960000000001</v>
      </c>
      <c r="I4850">
        <v>153.68879999999999</v>
      </c>
      <c r="J4850">
        <v>-365.46210000000002</v>
      </c>
      <c r="K4850">
        <v>1.11006</v>
      </c>
      <c r="L4850">
        <v>141.66290000000001</v>
      </c>
      <c r="M4850">
        <v>-0.99995330000000004</v>
      </c>
      <c r="N4850">
        <v>-9.6420819999999997E-3</v>
      </c>
      <c r="O4850">
        <v>-6.2497690000000005E-4</v>
      </c>
      <c r="P4850">
        <v>-0.97654620000000003</v>
      </c>
      <c r="Q4850">
        <v>0.18591360000000001</v>
      </c>
      <c r="R4850">
        <v>-0.1085998</v>
      </c>
      <c r="S4850">
        <v>-3.098633</v>
      </c>
      <c r="T4850">
        <v>1.0581490000000001E-2</v>
      </c>
      <c r="U4850">
        <v>0.25395200000000001</v>
      </c>
      <c r="V4850">
        <v>-0.1079638</v>
      </c>
      <c r="W4850">
        <v>0.19533529999999999</v>
      </c>
      <c r="X4850">
        <v>0.97477590000000003</v>
      </c>
      <c r="Y4850">
        <v>8.2306009999999999E-2</v>
      </c>
      <c r="Z4850">
        <v>2.4902779999999997E-4</v>
      </c>
      <c r="AA4850">
        <v>0.99660709999999997</v>
      </c>
      <c r="AB4850">
        <v>27</v>
      </c>
      <c r="AC4850">
        <v>-146.46360000000001</v>
      </c>
      <c r="AD4850">
        <v>0.50103599999999904</v>
      </c>
      <c r="AE4850">
        <v>12.025899999999901</v>
      </c>
      <c r="AF4850">
        <v>12.117297421899201</v>
      </c>
      <c r="AG4850">
        <v>0.50103599999999904</v>
      </c>
      <c r="AH4850">
        <v>146.45435273001101</v>
      </c>
      <c r="AI4850">
        <v>89.804653257024796</v>
      </c>
      <c r="AJ4850">
        <v>85.270251455700802</v>
      </c>
      <c r="AK4850">
        <v>146.95563060819001</v>
      </c>
      <c r="AL4850">
        <v>78.735689120463604</v>
      </c>
      <c r="AM4850">
        <v>96.320181006729598</v>
      </c>
      <c r="AN4850">
        <v>1.0000000583786599</v>
      </c>
    </row>
    <row r="4851" spans="1:40" x14ac:dyDescent="0.25">
      <c r="A4851" t="str">
        <f>"20190304155158922"</f>
        <v>20190304155158922</v>
      </c>
      <c r="B4851" t="str">
        <f>"1551685918911854"</f>
        <v>1551685918911854</v>
      </c>
      <c r="C4851" t="s">
        <v>40</v>
      </c>
      <c r="D4851">
        <v>4.6378849999999998</v>
      </c>
      <c r="E4851">
        <v>0.57333959999999995</v>
      </c>
      <c r="F4851" t="s">
        <v>86</v>
      </c>
      <c r="G4851">
        <v>-511.92559999999997</v>
      </c>
      <c r="H4851">
        <v>1.284538</v>
      </c>
      <c r="I4851">
        <v>154.1121</v>
      </c>
      <c r="J4851">
        <v>-365.73070000000001</v>
      </c>
      <c r="K4851">
        <v>1.1100559999999999</v>
      </c>
      <c r="L4851">
        <v>141.6628</v>
      </c>
      <c r="M4851">
        <v>-0.99995339999999999</v>
      </c>
      <c r="N4851">
        <v>-9.6447110000000003E-3</v>
      </c>
      <c r="O4851">
        <v>-5.7635189999999999E-4</v>
      </c>
      <c r="P4851">
        <v>-0.9766397</v>
      </c>
      <c r="Q4851">
        <v>0.18578</v>
      </c>
      <c r="R4851">
        <v>-0.107985</v>
      </c>
      <c r="S4851">
        <v>-3.1006469999999999</v>
      </c>
      <c r="T4851">
        <v>3.6946539999999999E-3</v>
      </c>
      <c r="U4851">
        <v>0.2635498</v>
      </c>
      <c r="V4851">
        <v>-0.1073968</v>
      </c>
      <c r="W4851">
        <v>0.1952053</v>
      </c>
      <c r="X4851">
        <v>0.97486450000000002</v>
      </c>
      <c r="Y4851">
        <v>8.5267620000000002E-2</v>
      </c>
      <c r="Z4851">
        <v>3.5499499999999999E-4</v>
      </c>
      <c r="AA4851">
        <v>0.99635799999999997</v>
      </c>
      <c r="AB4851">
        <v>27</v>
      </c>
      <c r="AC4851">
        <v>-146.194899999999</v>
      </c>
      <c r="AD4851">
        <v>0.174482</v>
      </c>
      <c r="AE4851">
        <v>12.4492999999999</v>
      </c>
      <c r="AF4851">
        <v>12.533543828717001</v>
      </c>
      <c r="AG4851">
        <v>0.174482</v>
      </c>
      <c r="AH4851">
        <v>146.187493472547</v>
      </c>
      <c r="AI4851">
        <v>89.931864649029507</v>
      </c>
      <c r="AJ4851">
        <v>85.0996674709818</v>
      </c>
      <c r="AK4851">
        <v>146.72390198144501</v>
      </c>
      <c r="AL4851">
        <v>78.743282965097606</v>
      </c>
      <c r="AM4851">
        <v>96.286688597164002</v>
      </c>
      <c r="AN4851">
        <v>0.99999998757928898</v>
      </c>
    </row>
    <row r="4852" spans="1:40" x14ac:dyDescent="0.25">
      <c r="A4852" t="str">
        <f>"20190304155158945"</f>
        <v>20190304155158945</v>
      </c>
      <c r="B4852" t="str">
        <f>"1551685918942109"</f>
        <v>1551685918942109</v>
      </c>
      <c r="C4852" t="s">
        <v>40</v>
      </c>
      <c r="D4852">
        <v>4.6138820000000003</v>
      </c>
      <c r="E4852">
        <v>0.57465859999999902</v>
      </c>
      <c r="F4852" t="s">
        <v>86</v>
      </c>
      <c r="G4852">
        <v>-511.9255</v>
      </c>
      <c r="H4852">
        <v>1.0177620000000001</v>
      </c>
      <c r="I4852">
        <v>154.51249999999999</v>
      </c>
      <c r="J4852">
        <v>-365.99639999999999</v>
      </c>
      <c r="K4852">
        <v>1.11005</v>
      </c>
      <c r="L4852">
        <v>141.6627</v>
      </c>
      <c r="M4852">
        <v>-0.99995330000000004</v>
      </c>
      <c r="N4852">
        <v>-9.6474739999999996E-3</v>
      </c>
      <c r="O4852">
        <v>-5.280851E-4</v>
      </c>
      <c r="P4852">
        <v>-0.97674609999999995</v>
      </c>
      <c r="Q4852">
        <v>0.1852501</v>
      </c>
      <c r="R4852">
        <v>-0.10793229999999999</v>
      </c>
      <c r="S4852">
        <v>-3.1022949999999998</v>
      </c>
      <c r="T4852">
        <v>-1.9575360000000002E-3</v>
      </c>
      <c r="U4852">
        <v>0.27267459999999999</v>
      </c>
      <c r="V4852">
        <v>-0.107391</v>
      </c>
      <c r="W4852">
        <v>0.19467909999999999</v>
      </c>
      <c r="X4852">
        <v>0.97497029999999996</v>
      </c>
      <c r="Y4852">
        <v>8.8082679999999997E-2</v>
      </c>
      <c r="Z4852">
        <v>4.486998E-4</v>
      </c>
      <c r="AA4852">
        <v>0.99611309999999997</v>
      </c>
      <c r="AB4852">
        <v>27</v>
      </c>
      <c r="AC4852">
        <v>-145.92910000000001</v>
      </c>
      <c r="AD4852">
        <v>-9.2287999999999898E-2</v>
      </c>
      <c r="AE4852">
        <v>12.849799999999901</v>
      </c>
      <c r="AF4852">
        <v>12.926859649395199</v>
      </c>
      <c r="AG4852">
        <v>-9.2287999999999898E-2</v>
      </c>
      <c r="AH4852">
        <v>145.92223563362401</v>
      </c>
      <c r="AI4852">
        <v>90.036095152185297</v>
      </c>
      <c r="AJ4852">
        <v>84.937535819890698</v>
      </c>
      <c r="AK4852">
        <v>146.49372365321699</v>
      </c>
      <c r="AL4852">
        <v>78.7740211088053</v>
      </c>
      <c r="AM4852">
        <v>96.285675090701702</v>
      </c>
      <c r="AN4852">
        <v>0.999999932369947</v>
      </c>
    </row>
    <row r="4853" spans="1:40" x14ac:dyDescent="0.25">
      <c r="A4853" t="str">
        <f>"20190304155158969"</f>
        <v>20190304155158969</v>
      </c>
      <c r="B4853" t="str">
        <f>"1551685918961628"</f>
        <v>1551685918961628</v>
      </c>
      <c r="C4853" t="s">
        <v>40</v>
      </c>
      <c r="D4853">
        <v>4.6690389999999997</v>
      </c>
      <c r="E4853">
        <v>0.57500490000000004</v>
      </c>
      <c r="F4853" t="s">
        <v>86</v>
      </c>
      <c r="G4853">
        <v>-511.92529999999999</v>
      </c>
      <c r="H4853">
        <v>0.43276300000000001</v>
      </c>
      <c r="I4853">
        <v>154.9743</v>
      </c>
      <c r="J4853">
        <v>-366.28809999999999</v>
      </c>
      <c r="K4853">
        <v>1.11005</v>
      </c>
      <c r="L4853">
        <v>141.6626</v>
      </c>
      <c r="M4853">
        <v>-0.99995330000000004</v>
      </c>
      <c r="N4853">
        <v>-9.6506379999999996E-3</v>
      </c>
      <c r="O4853">
        <v>-4.755273E-4</v>
      </c>
      <c r="P4853">
        <v>-0.976885</v>
      </c>
      <c r="Q4853">
        <v>0.18494840000000001</v>
      </c>
      <c r="R4853">
        <v>-0.1071892</v>
      </c>
      <c r="S4853">
        <v>-3.1054689999999998</v>
      </c>
      <c r="T4853">
        <v>-1.441216E-2</v>
      </c>
      <c r="U4853">
        <v>0.28327940000000001</v>
      </c>
      <c r="V4853">
        <v>-0.10669960000000001</v>
      </c>
      <c r="W4853">
        <v>0.1943821</v>
      </c>
      <c r="X4853">
        <v>0.97510549999999996</v>
      </c>
      <c r="Y4853">
        <v>9.1312920000000006E-2</v>
      </c>
      <c r="Z4853">
        <v>6.5061379999999905E-4</v>
      </c>
      <c r="AA4853">
        <v>0.99582199999999998</v>
      </c>
      <c r="AB4853">
        <v>27</v>
      </c>
      <c r="AC4853">
        <v>-145.63720000000001</v>
      </c>
      <c r="AD4853">
        <v>-0.67728699999999997</v>
      </c>
      <c r="AE4853">
        <v>13.3117</v>
      </c>
      <c r="AF4853">
        <v>13.3806691966877</v>
      </c>
      <c r="AG4853">
        <v>-0.67728699999999997</v>
      </c>
      <c r="AH4853">
        <v>145.627729731438</v>
      </c>
      <c r="AI4853">
        <v>90.2653521633748</v>
      </c>
      <c r="AJ4853">
        <v>84.750249441677198</v>
      </c>
      <c r="AK4853">
        <v>146.24273210168201</v>
      </c>
      <c r="AL4853">
        <v>78.791369806126497</v>
      </c>
      <c r="AM4853">
        <v>96.244668649962705</v>
      </c>
      <c r="AN4853">
        <v>0.99999997078540903</v>
      </c>
    </row>
    <row r="4854" spans="1:40" x14ac:dyDescent="0.25">
      <c r="A4854" t="str">
        <f>"20190304155158990"</f>
        <v>20190304155158990</v>
      </c>
      <c r="B4854" t="str">
        <f>"1551685918982124"</f>
        <v>1551685918982124</v>
      </c>
      <c r="C4854" t="s">
        <v>40</v>
      </c>
      <c r="D4854">
        <v>4.6473599999999999</v>
      </c>
      <c r="E4854">
        <v>0.57505539999999999</v>
      </c>
      <c r="F4854" t="s">
        <v>86</v>
      </c>
      <c r="G4854">
        <v>-511.92529999999999</v>
      </c>
      <c r="H4854">
        <v>0.2720417</v>
      </c>
      <c r="I4854">
        <v>155.15459999999999</v>
      </c>
      <c r="J4854">
        <v>-366.55380000000002</v>
      </c>
      <c r="K4854">
        <v>1.110047</v>
      </c>
      <c r="L4854">
        <v>141.6626</v>
      </c>
      <c r="M4854">
        <v>-0.99995330000000004</v>
      </c>
      <c r="N4854">
        <v>-9.6536460000000001E-3</v>
      </c>
      <c r="O4854">
        <v>-4.2714419999999998E-4</v>
      </c>
      <c r="P4854">
        <v>-0.97704669999999905</v>
      </c>
      <c r="Q4854">
        <v>0.1844208</v>
      </c>
      <c r="R4854">
        <v>-0.1066238</v>
      </c>
      <c r="S4854">
        <v>-3.1059269999999999</v>
      </c>
      <c r="T4854">
        <v>-1.7870779999999999E-2</v>
      </c>
      <c r="U4854">
        <v>0.28773500000000002</v>
      </c>
      <c r="V4854">
        <v>-0.1061817</v>
      </c>
      <c r="W4854">
        <v>0.19385820000000001</v>
      </c>
      <c r="X4854">
        <v>0.97526630000000003</v>
      </c>
      <c r="Y4854">
        <v>9.2666860000000004E-2</v>
      </c>
      <c r="Z4854">
        <v>7.1262029999999996E-4</v>
      </c>
      <c r="AA4854">
        <v>0.9956969</v>
      </c>
      <c r="AB4854">
        <v>27</v>
      </c>
      <c r="AC4854">
        <v>-145.371499999999</v>
      </c>
      <c r="AD4854">
        <v>-0.83800529999999995</v>
      </c>
      <c r="AE4854">
        <v>13.4919999999999</v>
      </c>
      <c r="AF4854">
        <v>13.553649710275799</v>
      </c>
      <c r="AG4854">
        <v>-0.83800529999999995</v>
      </c>
      <c r="AH4854">
        <v>145.360934296057</v>
      </c>
      <c r="AI4854">
        <v>90.328879811202697</v>
      </c>
      <c r="AJ4854">
        <v>84.673065922182303</v>
      </c>
      <c r="AK4854">
        <v>145.99385224308099</v>
      </c>
      <c r="AL4854">
        <v>78.821968961207801</v>
      </c>
      <c r="AM4854">
        <v>96.213579296947103</v>
      </c>
      <c r="AN4854">
        <v>0.99999995551890897</v>
      </c>
    </row>
    <row r="4855" spans="1:40" x14ac:dyDescent="0.25">
      <c r="A4855" t="str">
        <f>"20190304155159013"</f>
        <v>20190304155159013</v>
      </c>
      <c r="B4855" t="str">
        <f>"1551685919001644"</f>
        <v>1551685919001644</v>
      </c>
      <c r="C4855" t="s">
        <v>40</v>
      </c>
      <c r="D4855">
        <v>4.6818289999999996</v>
      </c>
      <c r="E4855">
        <v>0.57568180000000002</v>
      </c>
      <c r="F4855" t="s">
        <v>86</v>
      </c>
      <c r="G4855">
        <v>-511.92529999999999</v>
      </c>
      <c r="H4855">
        <v>0.19243089999999999</v>
      </c>
      <c r="I4855">
        <v>155.20570000000001</v>
      </c>
      <c r="J4855">
        <v>-366.82760000000002</v>
      </c>
      <c r="K4855">
        <v>1.110044</v>
      </c>
      <c r="L4855">
        <v>141.66249999999999</v>
      </c>
      <c r="M4855">
        <v>-0.99995339999999999</v>
      </c>
      <c r="N4855">
        <v>-9.656843E-3</v>
      </c>
      <c r="O4855">
        <v>-3.7732869999999998E-4</v>
      </c>
      <c r="P4855">
        <v>-0.97722019999999998</v>
      </c>
      <c r="Q4855">
        <v>0.18383360000000001</v>
      </c>
      <c r="R4855">
        <v>-0.106048</v>
      </c>
      <c r="S4855">
        <v>-3.1057429999999999</v>
      </c>
      <c r="T4855">
        <v>-1.960313E-2</v>
      </c>
      <c r="U4855">
        <v>0.28933720000000002</v>
      </c>
      <c r="V4855">
        <v>-0.1056541</v>
      </c>
      <c r="W4855">
        <v>0.19327620000000001</v>
      </c>
      <c r="X4855">
        <v>0.9754391</v>
      </c>
      <c r="Y4855">
        <v>9.3131329999999998E-2</v>
      </c>
      <c r="Z4855">
        <v>7.4269089999999896E-4</v>
      </c>
      <c r="AA4855">
        <v>0.99565360000000003</v>
      </c>
      <c r="AB4855">
        <v>27</v>
      </c>
      <c r="AC4855">
        <v>-145.09769999999901</v>
      </c>
      <c r="AD4855">
        <v>-0.91761309999999996</v>
      </c>
      <c r="AE4855">
        <v>13.543200000000001</v>
      </c>
      <c r="AF4855">
        <v>13.597411987684</v>
      </c>
      <c r="AG4855">
        <v>-0.91761309999999996</v>
      </c>
      <c r="AH4855">
        <v>145.08682666360099</v>
      </c>
      <c r="AI4855">
        <v>90.360785918300806</v>
      </c>
      <c r="AJ4855">
        <v>84.645927952587201</v>
      </c>
      <c r="AK4855">
        <v>145.72549158564499</v>
      </c>
      <c r="AL4855">
        <v>78.8559579686803</v>
      </c>
      <c r="AM4855">
        <v>96.181857897808598</v>
      </c>
      <c r="AN4855">
        <v>0.99999995807102904</v>
      </c>
    </row>
    <row r="4856" spans="1:40" x14ac:dyDescent="0.25">
      <c r="A4856" t="str">
        <f>"20190304155159033"</f>
        <v>20190304155159033</v>
      </c>
      <c r="B4856" t="str">
        <f>"1551685919031901"</f>
        <v>1551685919031901</v>
      </c>
      <c r="C4856" t="s">
        <v>40</v>
      </c>
      <c r="D4856">
        <v>4.6165900000000004</v>
      </c>
      <c r="E4856">
        <v>0.57541940000000003</v>
      </c>
      <c r="F4856" t="s">
        <v>86</v>
      </c>
      <c r="G4856">
        <v>-511.92520000000002</v>
      </c>
      <c r="H4856">
        <v>8.9676439999999996E-2</v>
      </c>
      <c r="I4856">
        <v>155.47970000000001</v>
      </c>
      <c r="J4856">
        <v>-367.0899</v>
      </c>
      <c r="K4856">
        <v>1.1100369999999999</v>
      </c>
      <c r="L4856">
        <v>141.66249999999999</v>
      </c>
      <c r="M4856">
        <v>-0.99995339999999999</v>
      </c>
      <c r="N4856">
        <v>-9.6599719999999993E-3</v>
      </c>
      <c r="O4856">
        <v>-3.2966030000000001E-4</v>
      </c>
      <c r="P4856">
        <v>-0.97734810000000005</v>
      </c>
      <c r="Q4856">
        <v>0.18332370000000001</v>
      </c>
      <c r="R4856">
        <v>-0.1057519</v>
      </c>
      <c r="S4856">
        <v>-3.1061709999999998</v>
      </c>
      <c r="T4856">
        <v>-2.1842480000000001E-2</v>
      </c>
      <c r="U4856">
        <v>0.29579159999999999</v>
      </c>
      <c r="V4856">
        <v>-0.10540430000000001</v>
      </c>
      <c r="W4856">
        <v>0.19277050000000001</v>
      </c>
      <c r="X4856">
        <v>0.97556620000000005</v>
      </c>
      <c r="Y4856">
        <v>9.5120850000000007E-2</v>
      </c>
      <c r="Z4856">
        <v>7.9331330000000002E-4</v>
      </c>
      <c r="AA4856">
        <v>0.99546539999999994</v>
      </c>
      <c r="AB4856">
        <v>27</v>
      </c>
      <c r="AC4856">
        <v>-144.83529999999999</v>
      </c>
      <c r="AD4856">
        <v>-1.0203605600000001</v>
      </c>
      <c r="AE4856">
        <v>13.8172</v>
      </c>
      <c r="AF4856">
        <v>13.8642660200468</v>
      </c>
      <c r="AG4856">
        <v>-1.0203605600000001</v>
      </c>
      <c r="AH4856">
        <v>144.82361393060901</v>
      </c>
      <c r="AI4856">
        <v>90.401835946209204</v>
      </c>
      <c r="AJ4856">
        <v>84.531620359720193</v>
      </c>
      <c r="AK4856">
        <v>145.489305998307</v>
      </c>
      <c r="AL4856">
        <v>78.885487928314205</v>
      </c>
      <c r="AM4856">
        <v>96.166557469570193</v>
      </c>
      <c r="AN4856">
        <v>0.99999997135558905</v>
      </c>
    </row>
    <row r="4857" spans="1:40" x14ac:dyDescent="0.25">
      <c r="A4857" t="str">
        <f>"20190304155159057"</f>
        <v>20190304155159057</v>
      </c>
      <c r="B4857" t="str">
        <f>"1551685919051435"</f>
        <v>1551685919051435</v>
      </c>
      <c r="C4857" t="s">
        <v>40</v>
      </c>
      <c r="D4857">
        <v>4.6477659999999998</v>
      </c>
      <c r="E4857">
        <v>0.57517969999999996</v>
      </c>
      <c r="F4857" t="s">
        <v>86</v>
      </c>
      <c r="G4857">
        <v>-511.92529999999999</v>
      </c>
      <c r="H4857">
        <v>0.1788371</v>
      </c>
      <c r="I4857">
        <v>155.41290000000001</v>
      </c>
      <c r="J4857">
        <v>-367.36959999999999</v>
      </c>
      <c r="K4857">
        <v>1.1100369999999999</v>
      </c>
      <c r="L4857">
        <v>141.66239999999999</v>
      </c>
      <c r="M4857">
        <v>-0.99995339999999999</v>
      </c>
      <c r="N4857">
        <v>-9.6633840000000006E-3</v>
      </c>
      <c r="O4857">
        <v>-2.7889339999999997E-4</v>
      </c>
      <c r="P4857">
        <v>-0.97726460000000004</v>
      </c>
      <c r="Q4857">
        <v>0.18381990000000001</v>
      </c>
      <c r="R4857">
        <v>-0.1056624</v>
      </c>
      <c r="S4857">
        <v>-3.1051639999999998</v>
      </c>
      <c r="T4857">
        <v>-1.996326E-2</v>
      </c>
      <c r="U4857">
        <v>0.2947998</v>
      </c>
      <c r="V4857">
        <v>-0.1053645</v>
      </c>
      <c r="W4857">
        <v>0.19326879999999999</v>
      </c>
      <c r="X4857">
        <v>0.97547189999999995</v>
      </c>
      <c r="Y4857">
        <v>9.4786350000000005E-2</v>
      </c>
      <c r="Z4857">
        <v>7.6213490000000001E-4</v>
      </c>
      <c r="AA4857">
        <v>0.99549730000000003</v>
      </c>
      <c r="AB4857">
        <v>27</v>
      </c>
      <c r="AC4857">
        <v>-144.5557</v>
      </c>
      <c r="AD4857">
        <v>-0.93119989999999997</v>
      </c>
      <c r="AE4857">
        <v>13.750500000000001</v>
      </c>
      <c r="AF4857">
        <v>13.790249852263701</v>
      </c>
      <c r="AG4857">
        <v>-0.93119989999999997</v>
      </c>
      <c r="AH4857">
        <v>144.54591485829201</v>
      </c>
      <c r="AI4857">
        <v>90.367439856316096</v>
      </c>
      <c r="AJ4857">
        <v>84.550251299550197</v>
      </c>
      <c r="AK4857">
        <v>145.20523277920199</v>
      </c>
      <c r="AL4857">
        <v>78.856390209532904</v>
      </c>
      <c r="AM4857">
        <v>96.164838262276206</v>
      </c>
      <c r="AN4857">
        <v>0.99999996730164897</v>
      </c>
    </row>
    <row r="4858" spans="1:40" x14ac:dyDescent="0.25">
      <c r="A4858" t="str">
        <f>"20190304155159079"</f>
        <v>20190304155159079</v>
      </c>
      <c r="B4858" t="str">
        <f>"1551685919071917"</f>
        <v>1551685919071917</v>
      </c>
      <c r="C4858" t="s">
        <v>40</v>
      </c>
      <c r="D4858">
        <v>4.6065909999999999</v>
      </c>
      <c r="E4858">
        <v>0.57517580000000001</v>
      </c>
      <c r="F4858" t="s">
        <v>86</v>
      </c>
      <c r="G4858">
        <v>-511.92529999999999</v>
      </c>
      <c r="H4858">
        <v>0.32463009999999998</v>
      </c>
      <c r="I4858">
        <v>155.31379999999999</v>
      </c>
      <c r="J4858">
        <v>-367.64580000000001</v>
      </c>
      <c r="K4858">
        <v>1.110033</v>
      </c>
      <c r="L4858">
        <v>141.66239999999999</v>
      </c>
      <c r="M4858">
        <v>-0.99995330000000004</v>
      </c>
      <c r="N4858">
        <v>-9.6668380000000005E-3</v>
      </c>
      <c r="O4858">
        <v>-2.2872189999999999E-4</v>
      </c>
      <c r="P4858">
        <v>-0.97727379999999997</v>
      </c>
      <c r="Q4858">
        <v>0.18405350000000001</v>
      </c>
      <c r="R4858">
        <v>-0.1051684</v>
      </c>
      <c r="S4858">
        <v>-3.1047060000000002</v>
      </c>
      <c r="T4858">
        <v>-1.686764E-2</v>
      </c>
      <c r="U4858">
        <v>0.293197599999999</v>
      </c>
      <c r="V4858">
        <v>-0.104919899999999</v>
      </c>
      <c r="W4858">
        <v>0.1935064</v>
      </c>
      <c r="X4858">
        <v>0.97547269999999997</v>
      </c>
      <c r="Y4858">
        <v>9.4242069999999997E-2</v>
      </c>
      <c r="Z4858">
        <v>7.1101129999999999E-4</v>
      </c>
      <c r="AA4858">
        <v>0.99554909999999996</v>
      </c>
      <c r="AB4858">
        <v>27</v>
      </c>
      <c r="AC4858">
        <v>-144.27949999999899</v>
      </c>
      <c r="AD4858">
        <v>-0.78540290000000001</v>
      </c>
      <c r="AE4858">
        <v>13.651399999999899</v>
      </c>
      <c r="AF4858">
        <v>13.683999164517999</v>
      </c>
      <c r="AG4858">
        <v>-0.78540290000000001</v>
      </c>
      <c r="AH4858">
        <v>144.27213642278301</v>
      </c>
      <c r="AI4858">
        <v>90.310515757247302</v>
      </c>
      <c r="AJ4858">
        <v>84.581788944333397</v>
      </c>
      <c r="AK4858">
        <v>144.92176523505299</v>
      </c>
      <c r="AL4858">
        <v>78.842514606308796</v>
      </c>
      <c r="AM4858">
        <v>96.139018936472098</v>
      </c>
      <c r="AN4858">
        <v>0.99999995035112799</v>
      </c>
    </row>
    <row r="4859" spans="1:40" x14ac:dyDescent="0.25">
      <c r="A4859" t="str">
        <f>"20190304155159101"</f>
        <v>20190304155159101</v>
      </c>
      <c r="B4859" t="str">
        <f>"1551685919091437"</f>
        <v>1551685919091437</v>
      </c>
      <c r="C4859" t="s">
        <v>40</v>
      </c>
      <c r="D4859">
        <v>4.6004310000000004</v>
      </c>
      <c r="E4859">
        <v>0.57535040000000004</v>
      </c>
      <c r="F4859" t="s">
        <v>86</v>
      </c>
      <c r="G4859">
        <v>-511.92529999999999</v>
      </c>
      <c r="H4859">
        <v>0.34918399999999999</v>
      </c>
      <c r="I4859">
        <v>155.33799999999999</v>
      </c>
      <c r="J4859">
        <v>-367.91789999999997</v>
      </c>
      <c r="K4859">
        <v>1.1100350000000001</v>
      </c>
      <c r="L4859">
        <v>141.66239999999999</v>
      </c>
      <c r="M4859">
        <v>-0.99995330000000004</v>
      </c>
      <c r="N4859">
        <v>-9.6702839999999995E-3</v>
      </c>
      <c r="O4859">
        <v>-1.7914720000000001E-4</v>
      </c>
      <c r="P4859">
        <v>-0.97723289999999996</v>
      </c>
      <c r="Q4859">
        <v>0.18429229999999999</v>
      </c>
      <c r="R4859">
        <v>-0.10512929999999999</v>
      </c>
      <c r="S4859">
        <v>-3.1045530000000001</v>
      </c>
      <c r="T4859">
        <v>-1.637065E-2</v>
      </c>
      <c r="U4859">
        <v>0.29426570000000002</v>
      </c>
      <c r="V4859">
        <v>-0.1049288</v>
      </c>
      <c r="W4859">
        <v>0.1937478</v>
      </c>
      <c r="X4859">
        <v>0.97542390000000001</v>
      </c>
      <c r="Y4859">
        <v>9.4536930000000005E-2</v>
      </c>
      <c r="Z4859">
        <v>7.0604800000000003E-4</v>
      </c>
      <c r="AA4859">
        <v>0.99552110000000005</v>
      </c>
      <c r="AB4859">
        <v>27</v>
      </c>
      <c r="AC4859">
        <v>-144.00739999999999</v>
      </c>
      <c r="AD4859">
        <v>-0.76085100000000006</v>
      </c>
      <c r="AE4859">
        <v>13.675599999999999</v>
      </c>
      <c r="AF4859">
        <v>13.7010204687999</v>
      </c>
      <c r="AG4859">
        <v>-0.76085100000000006</v>
      </c>
      <c r="AH4859">
        <v>144.00096384326201</v>
      </c>
      <c r="AI4859">
        <v>90.301367165635497</v>
      </c>
      <c r="AJ4859">
        <v>84.564934805559503</v>
      </c>
      <c r="AK4859">
        <v>144.653290470418</v>
      </c>
      <c r="AL4859">
        <v>78.828417434500395</v>
      </c>
      <c r="AM4859">
        <v>96.139840523793097</v>
      </c>
      <c r="AN4859">
        <v>1.00000002388274</v>
      </c>
    </row>
    <row r="4860" spans="1:40" x14ac:dyDescent="0.25">
      <c r="A4860" t="str">
        <f>"20190304155159123"</f>
        <v>20190304155159123</v>
      </c>
      <c r="B4860" t="str">
        <f>"1551685919111936"</f>
        <v>1551685919111936</v>
      </c>
      <c r="C4860" t="s">
        <v>40</v>
      </c>
      <c r="D4860">
        <v>4.599297</v>
      </c>
      <c r="E4860">
        <v>0.57525029999999999</v>
      </c>
      <c r="F4860" t="s">
        <v>86</v>
      </c>
      <c r="G4860">
        <v>-511.92529999999999</v>
      </c>
      <c r="H4860">
        <v>0.44686670000000001</v>
      </c>
      <c r="I4860">
        <v>155.39840000000001</v>
      </c>
      <c r="J4860">
        <v>-368.18630000000002</v>
      </c>
      <c r="K4860">
        <v>1.1100380000000001</v>
      </c>
      <c r="L4860">
        <v>141.66239999999999</v>
      </c>
      <c r="M4860">
        <v>-0.99995330000000004</v>
      </c>
      <c r="N4860">
        <v>-9.6737049999999995E-3</v>
      </c>
      <c r="O4860">
        <v>-1.3028869999999999E-4</v>
      </c>
      <c r="P4860">
        <v>-0.97699159999999996</v>
      </c>
      <c r="Q4860">
        <v>0.18533949999999999</v>
      </c>
      <c r="R4860">
        <v>-0.10553269999999999</v>
      </c>
      <c r="S4860">
        <v>-3.1044309999999999</v>
      </c>
      <c r="T4860">
        <v>-1.4295220000000001E-2</v>
      </c>
      <c r="U4860">
        <v>0.29611209999999999</v>
      </c>
      <c r="V4860">
        <v>-0.1053795</v>
      </c>
      <c r="W4860">
        <v>0.19479560000000001</v>
      </c>
      <c r="X4860">
        <v>0.97516659999999999</v>
      </c>
      <c r="Y4860">
        <v>9.5079300000000005E-2</v>
      </c>
      <c r="Z4860">
        <v>6.7869779999999997E-4</v>
      </c>
      <c r="AA4860">
        <v>0.99546950000000001</v>
      </c>
      <c r="AB4860">
        <v>27</v>
      </c>
      <c r="AC4860">
        <v>-143.73899999999901</v>
      </c>
      <c r="AD4860">
        <v>-0.66317129999999902</v>
      </c>
      <c r="AE4860">
        <v>13.736000000000001</v>
      </c>
      <c r="AF4860">
        <v>13.7544381923737</v>
      </c>
      <c r="AG4860">
        <v>-0.66317129999999902</v>
      </c>
      <c r="AH4860">
        <v>143.73417715524701</v>
      </c>
      <c r="AI4860">
        <v>90.263151487837106</v>
      </c>
      <c r="AJ4860">
        <v>84.533806227249798</v>
      </c>
      <c r="AK4860">
        <v>144.39230605768699</v>
      </c>
      <c r="AL4860">
        <v>78.7672169920111</v>
      </c>
      <c r="AM4860">
        <v>96.167624599930093</v>
      </c>
      <c r="AN4860">
        <v>1.0000000312775801</v>
      </c>
    </row>
    <row r="4861" spans="1:40" x14ac:dyDescent="0.25">
      <c r="A4861" t="str">
        <f>"20190304155159145"</f>
        <v>20190304155159145</v>
      </c>
      <c r="B4861" t="str">
        <f>"1551685919141886"</f>
        <v>1551685919141886</v>
      </c>
      <c r="C4861" t="s">
        <v>40</v>
      </c>
      <c r="D4861">
        <v>4.7737759999999998</v>
      </c>
      <c r="E4861">
        <v>0.57502690000000001</v>
      </c>
      <c r="F4861" t="s">
        <v>86</v>
      </c>
      <c r="G4861">
        <v>-511.92540000000002</v>
      </c>
      <c r="H4861">
        <v>0.62995369999999995</v>
      </c>
      <c r="I4861">
        <v>155.25790000000001</v>
      </c>
      <c r="J4861">
        <v>-368.46519999999998</v>
      </c>
      <c r="K4861">
        <v>1.1100429999999999</v>
      </c>
      <c r="L4861">
        <v>141.66239999999999</v>
      </c>
      <c r="M4861">
        <v>-0.99995330000000004</v>
      </c>
      <c r="N4861">
        <v>-9.6773129999999999E-3</v>
      </c>
      <c r="O4861" s="1">
        <v>-7.9759910000000003E-5</v>
      </c>
      <c r="P4861">
        <v>-0.97685310000000003</v>
      </c>
      <c r="Q4861">
        <v>0.1860484</v>
      </c>
      <c r="R4861">
        <v>-0.10556690000000001</v>
      </c>
      <c r="S4861">
        <v>-3.1043699999999999</v>
      </c>
      <c r="T4861">
        <v>-1.036751E-2</v>
      </c>
      <c r="U4861">
        <v>0.29362490000000002</v>
      </c>
      <c r="V4861">
        <v>-0.1054633</v>
      </c>
      <c r="W4861">
        <v>0.1955074</v>
      </c>
      <c r="X4861">
        <v>0.97501499999999997</v>
      </c>
      <c r="Y4861">
        <v>9.4241459999999999E-2</v>
      </c>
      <c r="Z4861">
        <v>6.1354469999999996E-4</v>
      </c>
      <c r="AA4861">
        <v>0.99554920000000002</v>
      </c>
      <c r="AB4861">
        <v>28</v>
      </c>
      <c r="AC4861">
        <v>-143.46019999999999</v>
      </c>
      <c r="AD4861">
        <v>-0.4800893</v>
      </c>
      <c r="AE4861">
        <v>13.595499999999999</v>
      </c>
      <c r="AF4861">
        <v>13.606791836974899</v>
      </c>
      <c r="AG4861">
        <v>-0.4800893</v>
      </c>
      <c r="AH4861">
        <v>143.457522829574</v>
      </c>
      <c r="AI4861">
        <v>90.190886376544896</v>
      </c>
      <c r="AJ4861">
        <v>84.5817661566483</v>
      </c>
      <c r="AK4861">
        <v>144.102172524319</v>
      </c>
      <c r="AL4861">
        <v>78.725633430808898</v>
      </c>
      <c r="AM4861">
        <v>96.1734436981518</v>
      </c>
      <c r="AN4861">
        <v>0.99999995066332303</v>
      </c>
    </row>
    <row r="4862" spans="1:40" x14ac:dyDescent="0.25">
      <c r="A4862" t="str">
        <f>"20190304155159159"</f>
        <v>20190304155159159</v>
      </c>
      <c r="B4862" t="str">
        <f>"1551685919151627"</f>
        <v>1551685919151627</v>
      </c>
      <c r="C4862" t="s">
        <v>40</v>
      </c>
      <c r="D4862">
        <v>4.7564929999999999</v>
      </c>
      <c r="E4862">
        <v>0.53158499999999997</v>
      </c>
      <c r="F4862" t="s">
        <v>86</v>
      </c>
      <c r="G4862">
        <v>-511.92540000000002</v>
      </c>
      <c r="H4862">
        <v>0.73406179999999999</v>
      </c>
      <c r="I4862">
        <v>155.1164</v>
      </c>
      <c r="J4862">
        <v>-368.63529999999997</v>
      </c>
      <c r="K4862">
        <v>1.110044</v>
      </c>
      <c r="L4862">
        <v>141.66249999999999</v>
      </c>
      <c r="M4862">
        <v>-0.99995319999999999</v>
      </c>
      <c r="N4862">
        <v>-9.6795340000000001E-3</v>
      </c>
      <c r="O4862" s="1">
        <v>-4.8895160000000003E-5</v>
      </c>
      <c r="P4862">
        <v>-0.97677979999999998</v>
      </c>
      <c r="Q4862">
        <v>0.18631259999999999</v>
      </c>
      <c r="R4862">
        <v>-0.1057772</v>
      </c>
      <c r="S4862">
        <v>-3.104095</v>
      </c>
      <c r="T4862">
        <v>-8.1342459999999995E-3</v>
      </c>
      <c r="U4862">
        <v>0.29110720000000001</v>
      </c>
      <c r="V4862">
        <v>-0.10570350000000001</v>
      </c>
      <c r="W4862">
        <v>0.19577249999999999</v>
      </c>
      <c r="X4862">
        <v>0.97493580000000002</v>
      </c>
      <c r="Y4862">
        <v>9.3419139999999998E-2</v>
      </c>
      <c r="Z4862">
        <v>5.7492019999999999E-4</v>
      </c>
      <c r="AA4862">
        <v>0.99562669999999998</v>
      </c>
      <c r="AB4862">
        <v>28</v>
      </c>
      <c r="AC4862">
        <v>-143.2901</v>
      </c>
      <c r="AD4862">
        <v>-0.37598219999999999</v>
      </c>
      <c r="AE4862">
        <v>13.453900000000001</v>
      </c>
      <c r="AF4862">
        <v>13.460814636732</v>
      </c>
      <c r="AG4862">
        <v>-0.37598219999999999</v>
      </c>
      <c r="AH4862">
        <v>143.28846405136801</v>
      </c>
      <c r="AI4862">
        <v>90.149682062788301</v>
      </c>
      <c r="AJ4862">
        <v>84.633266343132505</v>
      </c>
      <c r="AK4862">
        <v>143.91983471189599</v>
      </c>
      <c r="AL4862">
        <v>78.710145100235096</v>
      </c>
      <c r="AM4862">
        <v>96.187893948686593</v>
      </c>
      <c r="AN4862">
        <v>0.99999995789506901</v>
      </c>
    </row>
    <row r="4863" spans="1:40" x14ac:dyDescent="0.25">
      <c r="A4863" t="str">
        <f>"20190304155159179"</f>
        <v>20190304155159179</v>
      </c>
      <c r="B4863" t="str">
        <f>"1551685919172123"</f>
        <v>1551685919172123</v>
      </c>
      <c r="C4863" t="s">
        <v>40</v>
      </c>
      <c r="D4863">
        <v>4.7265240000000004</v>
      </c>
      <c r="E4863">
        <v>0.52650620000000004</v>
      </c>
      <c r="F4863" t="s">
        <v>84</v>
      </c>
      <c r="G4863">
        <v>-406.23200000000003</v>
      </c>
      <c r="H4863" s="1">
        <v>-8.9363219999999996E-6</v>
      </c>
      <c r="I4863">
        <v>141.02379999999999</v>
      </c>
      <c r="J4863">
        <v>-368.87729999999999</v>
      </c>
      <c r="K4863">
        <v>1.11005</v>
      </c>
      <c r="L4863">
        <v>141.66249999999999</v>
      </c>
      <c r="M4863">
        <v>-0.99995319999999999</v>
      </c>
      <c r="N4863">
        <v>-9.6825890000000001E-3</v>
      </c>
      <c r="O4863" s="1">
        <v>-4.7425620000000004E-6</v>
      </c>
      <c r="P4863">
        <v>-0.97668619999999995</v>
      </c>
      <c r="Q4863">
        <v>0.1868041</v>
      </c>
      <c r="R4863">
        <v>-0.1057776</v>
      </c>
      <c r="S4863">
        <v>-3.0829770000000001</v>
      </c>
      <c r="T4863">
        <v>-9.1025709999999996E-2</v>
      </c>
      <c r="U4863">
        <v>-5.2368159999999997E-2</v>
      </c>
      <c r="V4863">
        <v>-0.1057468</v>
      </c>
      <c r="W4863">
        <v>0.1962663</v>
      </c>
      <c r="X4863">
        <v>0.97483189999999997</v>
      </c>
      <c r="Y4863">
        <v>-1.696922E-2</v>
      </c>
      <c r="Z4863">
        <v>-3.3252830000000001E-4</v>
      </c>
      <c r="AA4863">
        <v>0.99985590000000002</v>
      </c>
      <c r="AB4863">
        <v>28</v>
      </c>
      <c r="AC4863">
        <v>-37.354699999999902</v>
      </c>
      <c r="AD4863">
        <v>-1.1100589363219999</v>
      </c>
      <c r="AE4863">
        <v>-0.63870000000000005</v>
      </c>
      <c r="AF4863">
        <v>-0.63795962801423201</v>
      </c>
      <c r="AG4863">
        <v>-1.1100589363219999</v>
      </c>
      <c r="AH4863">
        <v>37.321754451045003</v>
      </c>
      <c r="AI4863">
        <v>91.703394345735404</v>
      </c>
      <c r="AJ4863">
        <v>90.979290370730098</v>
      </c>
      <c r="AK4863">
        <v>37.343708688789697</v>
      </c>
      <c r="AL4863">
        <v>78.681293645458894</v>
      </c>
      <c r="AM4863">
        <v>96.191063724687496</v>
      </c>
      <c r="AN4863">
        <v>1.0000000397417601</v>
      </c>
    </row>
    <row r="4864" spans="1:40" x14ac:dyDescent="0.25">
      <c r="A4864" t="str">
        <f>"20190304155159203"</f>
        <v>20190304155159203</v>
      </c>
      <c r="B4864" t="str">
        <f>"1551685919191643"</f>
        <v>1551685919191643</v>
      </c>
      <c r="C4864" t="s">
        <v>40</v>
      </c>
      <c r="D4864">
        <v>4.6765780000000001</v>
      </c>
      <c r="E4864">
        <v>0.52473499999999995</v>
      </c>
      <c r="F4864" t="s">
        <v>84</v>
      </c>
      <c r="G4864">
        <v>-408.96809999999999</v>
      </c>
      <c r="H4864" s="1">
        <v>-1.040413E-5</v>
      </c>
      <c r="I4864">
        <v>140.45070000000001</v>
      </c>
      <c r="J4864">
        <v>-369.16520000000003</v>
      </c>
      <c r="K4864">
        <v>1.1100429999999999</v>
      </c>
      <c r="L4864">
        <v>141.6626</v>
      </c>
      <c r="M4864">
        <v>-0.99995330000000004</v>
      </c>
      <c r="N4864">
        <v>-9.6862909999999997E-3</v>
      </c>
      <c r="O4864" s="1">
        <v>4.7512110000000003E-5</v>
      </c>
      <c r="P4864">
        <v>-0.97676909999999895</v>
      </c>
      <c r="Q4864">
        <v>0.1866408</v>
      </c>
      <c r="R4864">
        <v>-0.1052999</v>
      </c>
      <c r="S4864">
        <v>-3.0778500000000002</v>
      </c>
      <c r="T4864">
        <v>-8.5221530000000004E-2</v>
      </c>
      <c r="U4864">
        <v>-9.3032840000000006E-2</v>
      </c>
      <c r="V4864">
        <v>-0.1053202</v>
      </c>
      <c r="W4864">
        <v>0.19610730000000001</v>
      </c>
      <c r="X4864">
        <v>0.97491000000000005</v>
      </c>
      <c r="Y4864">
        <v>-3.0244610000000002E-2</v>
      </c>
      <c r="Z4864">
        <v>-5.6594920000000001E-4</v>
      </c>
      <c r="AA4864">
        <v>0.99954240000000005</v>
      </c>
      <c r="AB4864">
        <v>28</v>
      </c>
      <c r="AC4864">
        <v>-39.802899999999902</v>
      </c>
      <c r="AD4864">
        <v>-1.1100534041299901</v>
      </c>
      <c r="AE4864">
        <v>-1.21189999999998</v>
      </c>
      <c r="AF4864">
        <v>-1.2128487475694301</v>
      </c>
      <c r="AG4864">
        <v>-1.1100534041299901</v>
      </c>
      <c r="AH4864">
        <v>39.771937096076499</v>
      </c>
      <c r="AI4864">
        <v>91.5979945396234</v>
      </c>
      <c r="AJ4864">
        <v>91.746698562095801</v>
      </c>
      <c r="AK4864">
        <v>39.805906609682502</v>
      </c>
      <c r="AL4864">
        <v>78.690583341248001</v>
      </c>
      <c r="AM4864">
        <v>96.165790571716201</v>
      </c>
      <c r="AN4864">
        <v>0.99999996287066395</v>
      </c>
    </row>
    <row r="4865" spans="1:40" x14ac:dyDescent="0.25">
      <c r="A4865" t="str">
        <f>"20190304155159226"</f>
        <v>20190304155159226</v>
      </c>
      <c r="B4865" t="str">
        <f>"1551685919221900"</f>
        <v>1551685919221900</v>
      </c>
      <c r="C4865" t="s">
        <v>40</v>
      </c>
      <c r="D4865">
        <v>4.6597530000000003</v>
      </c>
      <c r="E4865">
        <v>0.52393489999999998</v>
      </c>
      <c r="F4865" t="s">
        <v>84</v>
      </c>
      <c r="G4865">
        <v>-408.20760000000001</v>
      </c>
      <c r="H4865" s="1">
        <v>-9.8746920000000003E-6</v>
      </c>
      <c r="I4865">
        <v>140.31450000000001</v>
      </c>
      <c r="J4865">
        <v>-369.44349999999997</v>
      </c>
      <c r="K4865">
        <v>1.1100399999999999</v>
      </c>
      <c r="L4865">
        <v>141.6626</v>
      </c>
      <c r="M4865">
        <v>-0.99995299999999998</v>
      </c>
      <c r="N4865">
        <v>-9.6901209999999995E-3</v>
      </c>
      <c r="O4865" s="1">
        <v>9.803957E-5</v>
      </c>
      <c r="P4865">
        <v>-0.97687170000000001</v>
      </c>
      <c r="Q4865">
        <v>0.1862838</v>
      </c>
      <c r="R4865">
        <v>-0.10497670000000001</v>
      </c>
      <c r="S4865">
        <v>-3.0766300000000002</v>
      </c>
      <c r="T4865">
        <v>-8.7474579999999996E-2</v>
      </c>
      <c r="U4865">
        <v>-0.1062317</v>
      </c>
      <c r="V4865">
        <v>-0.1050465</v>
      </c>
      <c r="W4865">
        <v>0.1957547</v>
      </c>
      <c r="X4865">
        <v>0.97501040000000005</v>
      </c>
      <c r="Y4865">
        <v>-3.4587279999999998E-2</v>
      </c>
      <c r="Z4865">
        <v>-6.6095929999999904E-4</v>
      </c>
      <c r="AA4865">
        <v>0.99940150000000005</v>
      </c>
      <c r="AB4865">
        <v>28</v>
      </c>
      <c r="AC4865">
        <v>-38.764099999999999</v>
      </c>
      <c r="AD4865">
        <v>-1.110049874692</v>
      </c>
      <c r="AE4865">
        <v>-1.3480999999999801</v>
      </c>
      <c r="AF4865">
        <v>-1.35079424470677</v>
      </c>
      <c r="AG4865">
        <v>-1.110049874692</v>
      </c>
      <c r="AH4865">
        <v>38.732244709483702</v>
      </c>
      <c r="AI4865">
        <v>91.640626746357995</v>
      </c>
      <c r="AJ4865">
        <v>91.997391444455502</v>
      </c>
      <c r="AK4865">
        <v>38.771686009911498</v>
      </c>
      <c r="AL4865">
        <v>78.711185282483896</v>
      </c>
      <c r="AM4865">
        <v>96.1492617962964</v>
      </c>
      <c r="AN4865">
        <v>0.99999997492124904</v>
      </c>
    </row>
    <row r="4866" spans="1:40" x14ac:dyDescent="0.25">
      <c r="A4866" t="str">
        <f>"20190304155159246"</f>
        <v>20190304155159246</v>
      </c>
      <c r="B4866" t="str">
        <f>"1551685919242007"</f>
        <v>1551685919242007</v>
      </c>
      <c r="C4866" t="s">
        <v>40</v>
      </c>
      <c r="D4866">
        <v>4.6557069999999996</v>
      </c>
      <c r="E4866">
        <v>0.52385490000000001</v>
      </c>
      <c r="F4866" t="s">
        <v>84</v>
      </c>
      <c r="G4866">
        <v>-407.8732</v>
      </c>
      <c r="H4866" s="1">
        <v>-9.645644E-6</v>
      </c>
      <c r="I4866">
        <v>140.2637</v>
      </c>
      <c r="J4866">
        <v>-369.71140000000003</v>
      </c>
      <c r="K4866">
        <v>1.1100399999999999</v>
      </c>
      <c r="L4866">
        <v>141.6627</v>
      </c>
      <c r="M4866">
        <v>-0.99995319999999999</v>
      </c>
      <c r="N4866">
        <v>-9.6939060000000004E-3</v>
      </c>
      <c r="O4866">
        <v>1.4659959999999901E-4</v>
      </c>
      <c r="P4866">
        <v>-0.97703859999999998</v>
      </c>
      <c r="Q4866">
        <v>0.18572</v>
      </c>
      <c r="R4866">
        <v>-0.1044226</v>
      </c>
      <c r="S4866">
        <v>-3.0759280000000002</v>
      </c>
      <c r="T4866">
        <v>-8.8848709999999997E-2</v>
      </c>
      <c r="U4866">
        <v>-0.111969</v>
      </c>
      <c r="V4866">
        <v>-0.10453949999999999</v>
      </c>
      <c r="W4866">
        <v>0.19519639999999999</v>
      </c>
      <c r="X4866">
        <v>0.97517679999999995</v>
      </c>
      <c r="Y4866">
        <v>-3.6503769999999998E-2</v>
      </c>
      <c r="Z4866">
        <v>-7.0678039999999998E-4</v>
      </c>
      <c r="AA4866">
        <v>0.99933329999999998</v>
      </c>
      <c r="AB4866">
        <v>28</v>
      </c>
      <c r="AC4866">
        <v>-38.1617999999999</v>
      </c>
      <c r="AD4866">
        <v>-1.1100496456440001</v>
      </c>
      <c r="AE4866">
        <v>-1.399</v>
      </c>
      <c r="AF4866">
        <v>-1.4034089059917201</v>
      </c>
      <c r="AG4866">
        <v>-1.1100496456440001</v>
      </c>
      <c r="AH4866">
        <v>38.129376119940297</v>
      </c>
      <c r="AI4866">
        <v>91.666436911952502</v>
      </c>
      <c r="AJ4866">
        <v>92.107905615186894</v>
      </c>
      <c r="AK4866">
        <v>38.171338594147898</v>
      </c>
      <c r="AL4866">
        <v>78.743802658375401</v>
      </c>
      <c r="AM4866">
        <v>96.118772208858005</v>
      </c>
      <c r="AN4866">
        <v>0.99999996644572398</v>
      </c>
    </row>
    <row r="4867" spans="1:40" x14ac:dyDescent="0.25">
      <c r="A4867" t="str">
        <f>"20190304155159270"</f>
        <v>20190304155159270</v>
      </c>
      <c r="B4867" t="str">
        <f>"1551685919261509"</f>
        <v>1551685919261509</v>
      </c>
      <c r="C4867" t="s">
        <v>40</v>
      </c>
      <c r="D4867">
        <v>4.6598179999999996</v>
      </c>
      <c r="E4867">
        <v>0.52379739999999997</v>
      </c>
      <c r="F4867" t="s">
        <v>84</v>
      </c>
      <c r="G4867">
        <v>-407.5745</v>
      </c>
      <c r="H4867" s="1">
        <v>-9.4728149999999995E-6</v>
      </c>
      <c r="I4867">
        <v>140.29570000000001</v>
      </c>
      <c r="J4867">
        <v>-369.99720000000002</v>
      </c>
      <c r="K4867">
        <v>1.1100350000000001</v>
      </c>
      <c r="L4867">
        <v>141.6628</v>
      </c>
      <c r="M4867">
        <v>-0.99995319999999999</v>
      </c>
      <c r="N4867">
        <v>-9.6979249999999996E-3</v>
      </c>
      <c r="O4867">
        <v>1.9849639999999999E-4</v>
      </c>
      <c r="P4867">
        <v>-0.97720759999999995</v>
      </c>
      <c r="Q4867">
        <v>0.1852</v>
      </c>
      <c r="R4867">
        <v>-0.1037637</v>
      </c>
      <c r="S4867">
        <v>-3.075806</v>
      </c>
      <c r="T4867">
        <v>-9.0174790000000005E-2</v>
      </c>
      <c r="U4867">
        <v>-0.1110535</v>
      </c>
      <c r="V4867">
        <v>-0.10393189999999999</v>
      </c>
      <c r="W4867">
        <v>0.19468189999999999</v>
      </c>
      <c r="X4867">
        <v>0.97534460000000001</v>
      </c>
      <c r="Y4867">
        <v>-3.6259600000000003E-2</v>
      </c>
      <c r="Z4867">
        <v>-7.1105769999999999E-4</v>
      </c>
      <c r="AA4867">
        <v>0.99934210000000001</v>
      </c>
      <c r="AB4867">
        <v>28</v>
      </c>
      <c r="AC4867">
        <v>-37.577299999999902</v>
      </c>
      <c r="AD4867">
        <v>-1.1100444728150001</v>
      </c>
      <c r="AE4867">
        <v>-1.36709999999999</v>
      </c>
      <c r="AF4867">
        <v>-1.37336242910663</v>
      </c>
      <c r="AG4867">
        <v>-1.1100444728150001</v>
      </c>
      <c r="AH4867">
        <v>37.544308937957503</v>
      </c>
      <c r="AI4867">
        <v>91.692396813225002</v>
      </c>
      <c r="AJ4867">
        <v>92.094932745204105</v>
      </c>
      <c r="AK4867">
        <v>37.585814567760899</v>
      </c>
      <c r="AL4867">
        <v>78.773858154130806</v>
      </c>
      <c r="AM4867">
        <v>96.082437627191894</v>
      </c>
      <c r="AN4867">
        <v>0.99999998538718904</v>
      </c>
    </row>
    <row r="4868" spans="1:40" x14ac:dyDescent="0.25">
      <c r="A4868" t="str">
        <f>"20190304155159290"</f>
        <v>20190304155159290</v>
      </c>
      <c r="B4868" t="str">
        <f>"1551685919282005"</f>
        <v>1551685919282005</v>
      </c>
      <c r="C4868" t="s">
        <v>40</v>
      </c>
      <c r="D4868">
        <v>4.6319710000000001</v>
      </c>
      <c r="E4868">
        <v>0.52386290000000002</v>
      </c>
      <c r="F4868" t="s">
        <v>84</v>
      </c>
      <c r="G4868">
        <v>-406.23059999999998</v>
      </c>
      <c r="H4868" s="1">
        <v>-8.6669800000000005E-6</v>
      </c>
      <c r="I4868">
        <v>140.3706</v>
      </c>
      <c r="J4868">
        <v>-370.26760000000002</v>
      </c>
      <c r="K4868">
        <v>1.1100319999999999</v>
      </c>
      <c r="L4868">
        <v>141.66290000000001</v>
      </c>
      <c r="M4868">
        <v>-0.99995290000000003</v>
      </c>
      <c r="N4868">
        <v>-9.7017479999999996E-3</v>
      </c>
      <c r="O4868">
        <v>2.4753310000000001E-4</v>
      </c>
      <c r="P4868">
        <v>-0.97736029999999996</v>
      </c>
      <c r="Q4868">
        <v>0.18474670000000001</v>
      </c>
      <c r="R4868">
        <v>-0.1031285</v>
      </c>
      <c r="S4868">
        <v>-3.0762019999999999</v>
      </c>
      <c r="T4868">
        <v>-9.4242099999999995E-2</v>
      </c>
      <c r="U4868">
        <v>-0.10971069999999999</v>
      </c>
      <c r="V4868">
        <v>-0.10334459999999999</v>
      </c>
      <c r="W4868">
        <v>0.1942334</v>
      </c>
      <c r="X4868">
        <v>0.97549640000000004</v>
      </c>
      <c r="Y4868">
        <v>-3.586686E-2</v>
      </c>
      <c r="Z4868">
        <v>-7.283802E-4</v>
      </c>
      <c r="AA4868">
        <v>0.99935629999999998</v>
      </c>
      <c r="AB4868">
        <v>28</v>
      </c>
      <c r="AC4868">
        <v>-35.962999999999901</v>
      </c>
      <c r="AD4868">
        <v>-1.11004066697999</v>
      </c>
      <c r="AE4868">
        <v>-1.29230000000001</v>
      </c>
      <c r="AF4868">
        <v>-1.2999655044376399</v>
      </c>
      <c r="AG4868">
        <v>-1.11004066697999</v>
      </c>
      <c r="AH4868">
        <v>35.928493291764703</v>
      </c>
      <c r="AI4868">
        <v>91.768481330175504</v>
      </c>
      <c r="AJ4868">
        <v>92.072173168038404</v>
      </c>
      <c r="AK4868">
        <v>35.969135808515802</v>
      </c>
      <c r="AL4868">
        <v>78.800055255169696</v>
      </c>
      <c r="AM4868">
        <v>96.047388159581004</v>
      </c>
      <c r="AN4868">
        <v>0.99999997321883904</v>
      </c>
    </row>
    <row r="4869" spans="1:40" x14ac:dyDescent="0.25">
      <c r="A4869" t="str">
        <f>"20190304155159314"</f>
        <v>20190304155159314</v>
      </c>
      <c r="B4869" t="str">
        <f>"1551685919301529"</f>
        <v>1551685919301529</v>
      </c>
      <c r="C4869" t="s">
        <v>40</v>
      </c>
      <c r="D4869">
        <v>4.6546469999999998</v>
      </c>
      <c r="E4869">
        <v>0.52385400000000004</v>
      </c>
      <c r="F4869" t="s">
        <v>84</v>
      </c>
      <c r="G4869">
        <v>-406.4033</v>
      </c>
      <c r="H4869" s="1">
        <v>-8.7898119999999996E-6</v>
      </c>
      <c r="I4869">
        <v>140.40780000000001</v>
      </c>
      <c r="J4869">
        <v>-370.54509999999999</v>
      </c>
      <c r="K4869">
        <v>1.1100300000000001</v>
      </c>
      <c r="L4869">
        <v>141.66309999999999</v>
      </c>
      <c r="M4869">
        <v>-0.99995299999999998</v>
      </c>
      <c r="N4869">
        <v>-9.7056869999999993E-3</v>
      </c>
      <c r="O4869">
        <v>2.975834E-4</v>
      </c>
      <c r="P4869">
        <v>-0.97758690000000004</v>
      </c>
      <c r="Q4869">
        <v>0.18402840000000001</v>
      </c>
      <c r="R4869">
        <v>-0.1022639</v>
      </c>
      <c r="S4869">
        <v>-3.0760800000000001</v>
      </c>
      <c r="T4869">
        <v>-9.4493030000000006E-2</v>
      </c>
      <c r="U4869">
        <v>-0.10684200000000001</v>
      </c>
      <c r="V4869">
        <v>-0.10252849999999999</v>
      </c>
      <c r="W4869">
        <v>0.19352140000000001</v>
      </c>
      <c r="X4869">
        <v>0.97572400000000004</v>
      </c>
      <c r="Y4869">
        <v>-3.4987890000000001E-2</v>
      </c>
      <c r="Z4869">
        <v>-7.1324989999999998E-4</v>
      </c>
      <c r="AA4869">
        <v>0.99938749999999998</v>
      </c>
      <c r="AB4869">
        <v>28</v>
      </c>
      <c r="AC4869">
        <v>-35.858199999999997</v>
      </c>
      <c r="AD4869">
        <v>-1.1100387898120001</v>
      </c>
      <c r="AE4869">
        <v>-1.2552999999999701</v>
      </c>
      <c r="AF4869">
        <v>-1.2647607198836199</v>
      </c>
      <c r="AG4869">
        <v>-1.1100387898120001</v>
      </c>
      <c r="AH4869">
        <v>35.823537331903999</v>
      </c>
      <c r="AI4869">
        <v>91.773711808514307</v>
      </c>
      <c r="AJ4869">
        <v>92.022004824363606</v>
      </c>
      <c r="AK4869">
        <v>35.863039926416903</v>
      </c>
      <c r="AL4869">
        <v>78.841638888239501</v>
      </c>
      <c r="AM4869">
        <v>95.998593024396897</v>
      </c>
      <c r="AN4869">
        <v>0.99999997487310399</v>
      </c>
    </row>
    <row r="4870" spans="1:40" x14ac:dyDescent="0.25">
      <c r="A4870" t="str">
        <f>"20190304155159335"</f>
        <v>20190304155159335</v>
      </c>
      <c r="B4870" t="str">
        <f>"1551685919331782"</f>
        <v>1551685919331782</v>
      </c>
      <c r="C4870" t="s">
        <v>40</v>
      </c>
      <c r="D4870">
        <v>4.6105559999999999</v>
      </c>
      <c r="E4870">
        <v>0.52388210000000002</v>
      </c>
      <c r="F4870" t="s">
        <v>84</v>
      </c>
      <c r="G4870">
        <v>-406.15210000000002</v>
      </c>
      <c r="H4870" s="1">
        <v>-8.6517689999999993E-6</v>
      </c>
      <c r="I4870">
        <v>140.45259999999999</v>
      </c>
      <c r="J4870">
        <v>-370.8236</v>
      </c>
      <c r="K4870">
        <v>1.1100300000000001</v>
      </c>
      <c r="L4870">
        <v>141.66319999999999</v>
      </c>
      <c r="M4870">
        <v>-0.99995290000000003</v>
      </c>
      <c r="N4870">
        <v>-9.7096379999999996E-3</v>
      </c>
      <c r="O4870">
        <v>3.481089E-4</v>
      </c>
      <c r="P4870">
        <v>-0.97763169999999999</v>
      </c>
      <c r="Q4870">
        <v>0.1840437</v>
      </c>
      <c r="R4870">
        <v>-0.1018057</v>
      </c>
      <c r="S4870">
        <v>-3.0758969999999999</v>
      </c>
      <c r="T4870">
        <v>-9.5890279999999994E-2</v>
      </c>
      <c r="U4870">
        <v>-0.10456849999999999</v>
      </c>
      <c r="V4870">
        <v>-0.1021196</v>
      </c>
      <c r="W4870">
        <v>0.19354060000000001</v>
      </c>
      <c r="X4870">
        <v>0.97576309999999999</v>
      </c>
      <c r="Y4870">
        <v>-3.4302470000000002E-2</v>
      </c>
      <c r="Z4870">
        <v>-7.0850630000000002E-4</v>
      </c>
      <c r="AA4870">
        <v>0.99941120000000006</v>
      </c>
      <c r="AB4870">
        <v>28</v>
      </c>
      <c r="AC4870">
        <v>-35.328499999999998</v>
      </c>
      <c r="AD4870">
        <v>-1.11003865176899</v>
      </c>
      <c r="AE4870">
        <v>-1.2105999999999899</v>
      </c>
      <c r="AF4870">
        <v>-1.2216939713669901</v>
      </c>
      <c r="AG4870">
        <v>-1.11003865176899</v>
      </c>
      <c r="AH4870">
        <v>35.293274106856302</v>
      </c>
      <c r="AI4870">
        <v>91.800386617227105</v>
      </c>
      <c r="AJ4870">
        <v>91.982529882958701</v>
      </c>
      <c r="AK4870">
        <v>35.331854170844103</v>
      </c>
      <c r="AL4870">
        <v>78.840517916445904</v>
      </c>
      <c r="AM4870">
        <v>95.974605393286595</v>
      </c>
      <c r="AN4870">
        <v>1.0000000019370601</v>
      </c>
    </row>
    <row r="4871" spans="1:40" x14ac:dyDescent="0.25">
      <c r="A4871" t="str">
        <f>"20190304155159359"</f>
        <v>20190304155159359</v>
      </c>
      <c r="B4871" t="str">
        <f>"1551685919351904"</f>
        <v>1551685919351904</v>
      </c>
      <c r="C4871" t="s">
        <v>40</v>
      </c>
      <c r="D4871">
        <v>4.616053</v>
      </c>
      <c r="E4871">
        <v>0.52385709999999996</v>
      </c>
      <c r="F4871" t="s">
        <v>84</v>
      </c>
      <c r="G4871">
        <v>-406.65309999999999</v>
      </c>
      <c r="H4871" s="1">
        <v>-8.9687960000000003E-6</v>
      </c>
      <c r="I4871">
        <v>140.465</v>
      </c>
      <c r="J4871">
        <v>-371.1148</v>
      </c>
      <c r="K4871">
        <v>1.1100300000000001</v>
      </c>
      <c r="L4871">
        <v>141.66329999999999</v>
      </c>
      <c r="M4871">
        <v>-0.99995270000000003</v>
      </c>
      <c r="N4871">
        <v>-9.7137620000000008E-3</v>
      </c>
      <c r="O4871">
        <v>4.0101759999999997E-4</v>
      </c>
      <c r="P4871">
        <v>-0.97766200000000003</v>
      </c>
      <c r="Q4871">
        <v>0.18400069999999999</v>
      </c>
      <c r="R4871">
        <v>-0.10159029999999999</v>
      </c>
      <c r="S4871">
        <v>-3.0758670000000001</v>
      </c>
      <c r="T4871">
        <v>-9.5294000000000004E-2</v>
      </c>
      <c r="U4871">
        <v>-0.10285950000000001</v>
      </c>
      <c r="V4871">
        <v>-0.10195609999999999</v>
      </c>
      <c r="W4871">
        <v>0.19350220000000001</v>
      </c>
      <c r="X4871">
        <v>0.97578779999999998</v>
      </c>
      <c r="Y4871">
        <v>-3.3801570000000003E-2</v>
      </c>
      <c r="Z4871">
        <v>-6.9613009999999905E-4</v>
      </c>
      <c r="AA4871">
        <v>0.99942830000000005</v>
      </c>
      <c r="AB4871">
        <v>28</v>
      </c>
      <c r="AC4871">
        <v>-35.5382999999999</v>
      </c>
      <c r="AD4871">
        <v>-1.1100389687959999</v>
      </c>
      <c r="AE4871">
        <v>-1.1982999999999799</v>
      </c>
      <c r="AF4871">
        <v>-1.21137155754856</v>
      </c>
      <c r="AG4871">
        <v>-1.1100389687959999</v>
      </c>
      <c r="AH4871">
        <v>35.5032180709321</v>
      </c>
      <c r="AI4871">
        <v>91.789778124191798</v>
      </c>
      <c r="AJ4871">
        <v>91.954176731321596</v>
      </c>
      <c r="AK4871">
        <v>35.541216931259498</v>
      </c>
      <c r="AL4871">
        <v>78.842760323281794</v>
      </c>
      <c r="AM4871">
        <v>95.9649587904307</v>
      </c>
      <c r="AN4871">
        <v>0.99999998918044397</v>
      </c>
    </row>
    <row r="4872" spans="1:40" x14ac:dyDescent="0.25">
      <c r="A4872" t="str">
        <f>"20190304155159382"</f>
        <v>20190304155159382</v>
      </c>
      <c r="B4872" t="str">
        <f>"1551685919371455"</f>
        <v>1551685919371455</v>
      </c>
      <c r="C4872" t="s">
        <v>40</v>
      </c>
      <c r="D4872">
        <v>4.6101380000000001</v>
      </c>
      <c r="E4872">
        <v>0.52373099999999995</v>
      </c>
      <c r="F4872" t="s">
        <v>84</v>
      </c>
      <c r="G4872">
        <v>-407.12580000000003</v>
      </c>
      <c r="H4872" s="1">
        <v>-9.2628829999999992E-6</v>
      </c>
      <c r="I4872">
        <v>140.46459999999999</v>
      </c>
      <c r="J4872">
        <v>-371.39659999999998</v>
      </c>
      <c r="K4872">
        <v>1.1100300000000001</v>
      </c>
      <c r="L4872">
        <v>141.6635</v>
      </c>
      <c r="M4872">
        <v>-0.99995270000000003</v>
      </c>
      <c r="N4872">
        <v>-9.7208299999999997E-3</v>
      </c>
      <c r="O4872">
        <v>4.5188690000000001E-4</v>
      </c>
      <c r="P4872">
        <v>-0.97762099999999996</v>
      </c>
      <c r="Q4872">
        <v>0.1841719</v>
      </c>
      <c r="R4872">
        <v>-0.10167660000000001</v>
      </c>
      <c r="S4872">
        <v>-3.0757140000000001</v>
      </c>
      <c r="T4872">
        <v>-9.4808939999999994E-2</v>
      </c>
      <c r="U4872">
        <v>-0.10238650000000001</v>
      </c>
      <c r="V4872">
        <v>-0.102092</v>
      </c>
      <c r="W4872">
        <v>0.1936795</v>
      </c>
      <c r="X4872">
        <v>0.97573840000000001</v>
      </c>
      <c r="Y4872">
        <v>-3.370078E-2</v>
      </c>
      <c r="Z4872">
        <v>-6.9257789999999997E-4</v>
      </c>
      <c r="AA4872">
        <v>0.99943170000000003</v>
      </c>
      <c r="AB4872">
        <v>28</v>
      </c>
      <c r="AC4872">
        <v>-35.729199999999999</v>
      </c>
      <c r="AD4872">
        <v>-1.11003926288299</v>
      </c>
      <c r="AE4872">
        <v>-1.1989000000000001</v>
      </c>
      <c r="AF4872">
        <v>-1.21387584738083</v>
      </c>
      <c r="AG4872">
        <v>-1.11003926288299</v>
      </c>
      <c r="AH4872">
        <v>35.6942402130095</v>
      </c>
      <c r="AI4872">
        <v>91.780213362285295</v>
      </c>
      <c r="AJ4872">
        <v>91.947741965181393</v>
      </c>
      <c r="AK4872">
        <v>35.732120929522502</v>
      </c>
      <c r="AL4872">
        <v>78.832405742089904</v>
      </c>
      <c r="AM4872">
        <v>95.973152412559301</v>
      </c>
      <c r="AN4872">
        <v>0.99999997520940398</v>
      </c>
    </row>
    <row r="4873" spans="1:40" x14ac:dyDescent="0.25">
      <c r="A4873" t="str">
        <f>"20190304155159403"</f>
        <v>20190304155159403</v>
      </c>
      <c r="B4873" t="str">
        <f>"1551685919391921"</f>
        <v>1551685919391921</v>
      </c>
      <c r="C4873" t="s">
        <v>40</v>
      </c>
      <c r="D4873">
        <v>4.5922910000000003</v>
      </c>
      <c r="E4873">
        <v>0.52356539999999996</v>
      </c>
      <c r="F4873" t="s">
        <v>84</v>
      </c>
      <c r="G4873">
        <v>-407.58800000000002</v>
      </c>
      <c r="H4873" s="1">
        <v>-9.5426250000000008E-6</v>
      </c>
      <c r="I4873">
        <v>140.4451</v>
      </c>
      <c r="J4873">
        <v>-371.6746</v>
      </c>
      <c r="K4873">
        <v>1.110025</v>
      </c>
      <c r="L4873">
        <v>141.66370000000001</v>
      </c>
      <c r="M4873">
        <v>-0.99995250000000002</v>
      </c>
      <c r="N4873">
        <v>-9.7363650000000003E-3</v>
      </c>
      <c r="O4873">
        <v>5.0223819999999997E-4</v>
      </c>
      <c r="P4873">
        <v>-0.97758339999999999</v>
      </c>
      <c r="Q4873">
        <v>0.1841863</v>
      </c>
      <c r="R4873">
        <v>-0.10200869999999999</v>
      </c>
      <c r="S4873">
        <v>-3.0756839999999999</v>
      </c>
      <c r="T4873">
        <v>-9.433532E-2</v>
      </c>
      <c r="U4873">
        <v>-0.1035461</v>
      </c>
      <c r="V4873">
        <v>-0.10247390000000001</v>
      </c>
      <c r="W4873">
        <v>0.19370899999999999</v>
      </c>
      <c r="X4873">
        <v>0.97569249999999996</v>
      </c>
      <c r="Y4873">
        <v>-3.4127730000000002E-2</v>
      </c>
      <c r="Z4873">
        <v>-6.9985130000000003E-4</v>
      </c>
      <c r="AA4873">
        <v>0.99941720000000001</v>
      </c>
      <c r="AB4873">
        <v>28</v>
      </c>
      <c r="AC4873">
        <v>-35.913400000000003</v>
      </c>
      <c r="AD4873">
        <v>-1.110034542625</v>
      </c>
      <c r="AE4873">
        <v>-1.2185999999999999</v>
      </c>
      <c r="AF4873">
        <v>-1.2354588509217199</v>
      </c>
      <c r="AG4873">
        <v>-1.110034542625</v>
      </c>
      <c r="AH4873">
        <v>35.878546465697497</v>
      </c>
      <c r="AI4873">
        <v>91.771040986077907</v>
      </c>
      <c r="AJ4873">
        <v>91.9721707478501</v>
      </c>
      <c r="AK4873">
        <v>35.916968576835004</v>
      </c>
      <c r="AL4873">
        <v>78.830682781587896</v>
      </c>
      <c r="AM4873">
        <v>95.995613988987699</v>
      </c>
      <c r="AN4873">
        <v>0.999999965709229</v>
      </c>
    </row>
    <row r="4874" spans="1:40" x14ac:dyDescent="0.25">
      <c r="A4874" t="str">
        <f>"20190304155159427"</f>
        <v>20190304155159427</v>
      </c>
      <c r="B4874" t="str">
        <f>"1551685919422176"</f>
        <v>1551685919422176</v>
      </c>
      <c r="C4874" t="s">
        <v>40</v>
      </c>
      <c r="D4874">
        <v>4.5679449999999999</v>
      </c>
      <c r="E4874">
        <v>0.52344820000000003</v>
      </c>
      <c r="F4874" t="s">
        <v>84</v>
      </c>
      <c r="G4874">
        <v>-407.88619999999997</v>
      </c>
      <c r="H4874" s="1">
        <v>-9.7168800000000004E-6</v>
      </c>
      <c r="I4874">
        <v>140.41739999999999</v>
      </c>
      <c r="J4874">
        <v>-371.96210000000002</v>
      </c>
      <c r="K4874">
        <v>1.1100270000000001</v>
      </c>
      <c r="L4874">
        <v>141.66390000000001</v>
      </c>
      <c r="M4874">
        <v>-0.99995219999999996</v>
      </c>
      <c r="N4874">
        <v>-9.7635269999999993E-3</v>
      </c>
      <c r="O4874">
        <v>5.5449839999999998E-4</v>
      </c>
      <c r="P4874">
        <v>-0.97753290000000004</v>
      </c>
      <c r="Q4874">
        <v>0.1843043</v>
      </c>
      <c r="R4874">
        <v>-0.10228089999999999</v>
      </c>
      <c r="S4874">
        <v>-3.0754999999999999</v>
      </c>
      <c r="T4874">
        <v>-9.4276670000000007E-2</v>
      </c>
      <c r="U4874">
        <v>-0.10585020000000001</v>
      </c>
      <c r="V4874">
        <v>-0.1027966</v>
      </c>
      <c r="W4874">
        <v>0.1938531</v>
      </c>
      <c r="X4874">
        <v>0.97563</v>
      </c>
      <c r="Y4874">
        <v>-3.4929330000000001E-2</v>
      </c>
      <c r="Z4874">
        <v>-7.1728059999999895E-4</v>
      </c>
      <c r="AA4874">
        <v>0.99938950000000004</v>
      </c>
      <c r="AB4874">
        <v>28</v>
      </c>
      <c r="AC4874">
        <v>-35.924099999999903</v>
      </c>
      <c r="AD4874">
        <v>-1.1100367168799901</v>
      </c>
      <c r="AE4874">
        <v>-1.2465000000000199</v>
      </c>
      <c r="AF4874">
        <v>-1.2652140661886999</v>
      </c>
      <c r="AG4874">
        <v>-1.1100367168799901</v>
      </c>
      <c r="AH4874">
        <v>35.8891782305395</v>
      </c>
      <c r="AI4874">
        <v>91.770469710415895</v>
      </c>
      <c r="AJ4874">
        <v>92.019032514954503</v>
      </c>
      <c r="AK4874">
        <v>35.928624552152399</v>
      </c>
      <c r="AL4874">
        <v>78.822267676058601</v>
      </c>
      <c r="AM4874">
        <v>96.014739031641994</v>
      </c>
      <c r="AN4874">
        <v>1.0000000311255799</v>
      </c>
    </row>
    <row r="4875" spans="1:40" x14ac:dyDescent="0.25">
      <c r="A4875" t="str">
        <f>"20190304155159449"</f>
        <v>20190304155159449</v>
      </c>
      <c r="B4875" t="str">
        <f>"1551685919442273"</f>
        <v>1551685919442273</v>
      </c>
      <c r="C4875" t="s">
        <v>40</v>
      </c>
      <c r="D4875">
        <v>4.5781700000000001</v>
      </c>
      <c r="E4875">
        <v>0.52336190000000005</v>
      </c>
      <c r="F4875" t="s">
        <v>84</v>
      </c>
      <c r="G4875">
        <v>-408.41449999999998</v>
      </c>
      <c r="H4875" s="1">
        <v>-1.003534E-5</v>
      </c>
      <c r="I4875">
        <v>140.392</v>
      </c>
      <c r="J4875">
        <v>-372.2389</v>
      </c>
      <c r="K4875">
        <v>1.1100319999999999</v>
      </c>
      <c r="L4875">
        <v>141.66409999999999</v>
      </c>
      <c r="M4875">
        <v>-0.99995179999999995</v>
      </c>
      <c r="N4875">
        <v>-9.8054409999999998E-3</v>
      </c>
      <c r="O4875">
        <v>6.0436569999999996E-4</v>
      </c>
      <c r="P4875">
        <v>-0.97752819999999996</v>
      </c>
      <c r="Q4875">
        <v>0.1839047</v>
      </c>
      <c r="R4875">
        <v>-0.10304240000000001</v>
      </c>
      <c r="S4875">
        <v>-3.0753780000000002</v>
      </c>
      <c r="T4875">
        <v>-9.3650339999999999E-2</v>
      </c>
      <c r="U4875">
        <v>-0.1072998</v>
      </c>
      <c r="V4875">
        <v>-0.103607</v>
      </c>
      <c r="W4875">
        <v>0.19349479999999999</v>
      </c>
      <c r="X4875">
        <v>0.97561540000000002</v>
      </c>
      <c r="Y4875">
        <v>-3.5450919999999997E-2</v>
      </c>
      <c r="Z4875">
        <v>-7.2586720000000001E-4</v>
      </c>
      <c r="AA4875">
        <v>0.99937120000000002</v>
      </c>
      <c r="AB4875">
        <v>28</v>
      </c>
      <c r="AC4875">
        <v>-36.175599999999903</v>
      </c>
      <c r="AD4875">
        <v>-1.11004203534</v>
      </c>
      <c r="AE4875">
        <v>-1.27209999999999</v>
      </c>
      <c r="AF4875">
        <v>-1.29274841419153</v>
      </c>
      <c r="AG4875">
        <v>-1.11004203534</v>
      </c>
      <c r="AH4875">
        <v>36.140837850854098</v>
      </c>
      <c r="AI4875">
        <v>91.758125396388706</v>
      </c>
      <c r="AJ4875">
        <v>92.048581796356203</v>
      </c>
      <c r="AK4875">
        <v>36.180983297090499</v>
      </c>
      <c r="AL4875">
        <v>78.843192922704006</v>
      </c>
      <c r="AM4875">
        <v>96.061894758952903</v>
      </c>
      <c r="AN4875">
        <v>1.00000002839659</v>
      </c>
    </row>
    <row r="4876" spans="1:40" x14ac:dyDescent="0.25">
      <c r="A4876" t="str">
        <f>"20190304155159470"</f>
        <v>20190304155159470</v>
      </c>
      <c r="B4876" t="str">
        <f>"1551685919461780"</f>
        <v>1551685919461780</v>
      </c>
      <c r="C4876" t="s">
        <v>40</v>
      </c>
      <c r="D4876">
        <v>4.6067660000000004</v>
      </c>
      <c r="E4876">
        <v>0.52326470000000003</v>
      </c>
      <c r="F4876" t="s">
        <v>84</v>
      </c>
      <c r="G4876">
        <v>-408.15289999999999</v>
      </c>
      <c r="H4876" s="1">
        <v>-9.8665859999999997E-6</v>
      </c>
      <c r="I4876">
        <v>140.3776</v>
      </c>
      <c r="J4876">
        <v>-372.50909999999999</v>
      </c>
      <c r="K4876">
        <v>1.1100460000000001</v>
      </c>
      <c r="L4876">
        <v>141.6643</v>
      </c>
      <c r="M4876">
        <v>-0.99995120000000004</v>
      </c>
      <c r="N4876">
        <v>-9.8592039999999999E-3</v>
      </c>
      <c r="O4876">
        <v>6.5333850000000001E-4</v>
      </c>
      <c r="P4876">
        <v>-0.97749940000000002</v>
      </c>
      <c r="Q4876">
        <v>0.1836662</v>
      </c>
      <c r="R4876">
        <v>-0.1037391</v>
      </c>
      <c r="S4876">
        <v>-3.0751949999999999</v>
      </c>
      <c r="T4876">
        <v>-9.5049019999999998E-2</v>
      </c>
      <c r="U4876">
        <v>-0.11015320000000001</v>
      </c>
      <c r="V4876">
        <v>-0.1043515</v>
      </c>
      <c r="W4876">
        <v>0.19330810000000001</v>
      </c>
      <c r="X4876">
        <v>0.97557309999999997</v>
      </c>
      <c r="Y4876">
        <v>-3.6426819999999999E-2</v>
      </c>
      <c r="Z4876">
        <v>-7.5606269999999997E-4</v>
      </c>
      <c r="AA4876">
        <v>0.99933609999999995</v>
      </c>
      <c r="AB4876">
        <v>28</v>
      </c>
      <c r="AC4876">
        <v>-35.643799999999999</v>
      </c>
      <c r="AD4876">
        <v>-1.1100558665860001</v>
      </c>
      <c r="AE4876">
        <v>-1.28669999999999</v>
      </c>
      <c r="AF4876">
        <v>-1.3087206628896499</v>
      </c>
      <c r="AG4876">
        <v>-1.1100558665860001</v>
      </c>
      <c r="AH4876">
        <v>35.608460421314298</v>
      </c>
      <c r="AI4876">
        <v>91.784352748399101</v>
      </c>
      <c r="AJ4876">
        <v>92.104849083540998</v>
      </c>
      <c r="AK4876">
        <v>35.649788602132297</v>
      </c>
      <c r="AL4876">
        <v>78.854096311916194</v>
      </c>
      <c r="AM4876">
        <v>96.105389277750206</v>
      </c>
      <c r="AN4876">
        <v>1.0000000652607299</v>
      </c>
    </row>
    <row r="4877" spans="1:40" x14ac:dyDescent="0.25">
      <c r="A4877" t="str">
        <f>"20190304155159492"</f>
        <v>20190304155159492</v>
      </c>
      <c r="B4877" t="str">
        <f>"1551685919482272"</f>
        <v>1551685919482272</v>
      </c>
      <c r="C4877" t="s">
        <v>40</v>
      </c>
      <c r="D4877">
        <v>4.607939</v>
      </c>
      <c r="E4877">
        <v>0.5231616</v>
      </c>
      <c r="F4877" t="s">
        <v>84</v>
      </c>
      <c r="G4877">
        <v>-408.25569999999999</v>
      </c>
      <c r="H4877" s="1">
        <v>-9.9210269999999992E-6</v>
      </c>
      <c r="I4877">
        <v>140.35429999999999</v>
      </c>
      <c r="J4877">
        <v>-372.791</v>
      </c>
      <c r="K4877">
        <v>1.1100570000000001</v>
      </c>
      <c r="L4877">
        <v>141.6645</v>
      </c>
      <c r="M4877">
        <v>-0.99995049999999996</v>
      </c>
      <c r="N4877">
        <v>-9.9203869999999993E-3</v>
      </c>
      <c r="O4877">
        <v>7.042417E-4</v>
      </c>
      <c r="P4877">
        <v>-0.97752329999999998</v>
      </c>
      <c r="Q4877">
        <v>0.1831035</v>
      </c>
      <c r="R4877">
        <v>-0.10450570000000001</v>
      </c>
      <c r="S4877">
        <v>-3.0750730000000002</v>
      </c>
      <c r="T4877">
        <v>-9.5491649999999997E-2</v>
      </c>
      <c r="U4877">
        <v>-0.1126862</v>
      </c>
      <c r="V4877">
        <v>-0.1051677</v>
      </c>
      <c r="W4877">
        <v>0.19280559999999999</v>
      </c>
      <c r="X4877">
        <v>0.97558480000000003</v>
      </c>
      <c r="Y4877">
        <v>-3.7300390000000003E-2</v>
      </c>
      <c r="Z4877">
        <v>-7.7883539999999902E-4</v>
      </c>
      <c r="AA4877">
        <v>0.99930379999999996</v>
      </c>
      <c r="AB4877">
        <v>28</v>
      </c>
      <c r="AC4877">
        <v>-35.464699999999901</v>
      </c>
      <c r="AD4877">
        <v>-1.110066921027</v>
      </c>
      <c r="AE4877">
        <v>-1.3102</v>
      </c>
      <c r="AF4877">
        <v>-1.3338715750419099</v>
      </c>
      <c r="AG4877">
        <v>-1.110066921027</v>
      </c>
      <c r="AH4877">
        <v>35.429104868329802</v>
      </c>
      <c r="AI4877">
        <v>91.793338129834595</v>
      </c>
      <c r="AJ4877">
        <v>92.156112410760002</v>
      </c>
      <c r="AK4877">
        <v>35.471579239145399</v>
      </c>
      <c r="AL4877">
        <v>78.883438419432693</v>
      </c>
      <c r="AM4877">
        <v>96.152705341479404</v>
      </c>
      <c r="AN4877">
        <v>0.99999997325284395</v>
      </c>
    </row>
    <row r="4878" spans="1:40" x14ac:dyDescent="0.25">
      <c r="A4878" t="str">
        <f>"20190304155159515"</f>
        <v>20190304155159515</v>
      </c>
      <c r="B4878" t="str">
        <f>"1551685919511553"</f>
        <v>1551685919511553</v>
      </c>
      <c r="C4878" t="s">
        <v>40</v>
      </c>
      <c r="D4878">
        <v>4.6391</v>
      </c>
      <c r="E4878">
        <v>0.49568289999999998</v>
      </c>
      <c r="F4878" t="s">
        <v>84</v>
      </c>
      <c r="G4878">
        <v>-407.84609999999998</v>
      </c>
      <c r="H4878" s="1">
        <v>-9.662669E-6</v>
      </c>
      <c r="I4878">
        <v>140.34630000000001</v>
      </c>
      <c r="J4878">
        <v>-373.07729999999998</v>
      </c>
      <c r="K4878">
        <v>1.1100680000000001</v>
      </c>
      <c r="L4878">
        <v>141.66480000000001</v>
      </c>
      <c r="M4878">
        <v>-0.9999498</v>
      </c>
      <c r="N4878">
        <v>-9.9926029999999992E-3</v>
      </c>
      <c r="O4878">
        <v>7.5598009999999999E-4</v>
      </c>
      <c r="P4878">
        <v>-0.9774756</v>
      </c>
      <c r="Q4878">
        <v>0.18327379999999999</v>
      </c>
      <c r="R4878">
        <v>-0.10465389999999999</v>
      </c>
      <c r="S4878">
        <v>-3.0748600000000001</v>
      </c>
      <c r="T4878">
        <v>-9.7369430000000007E-2</v>
      </c>
      <c r="U4878">
        <v>-0.1156311</v>
      </c>
      <c r="V4878">
        <v>-0.1053664</v>
      </c>
      <c r="W4878">
        <v>0.19304560000000001</v>
      </c>
      <c r="X4878">
        <v>0.97551589999999999</v>
      </c>
      <c r="Y4878">
        <v>-3.830882E-2</v>
      </c>
      <c r="Z4878">
        <v>-8.1409549999999998E-4</v>
      </c>
      <c r="AA4878">
        <v>0.99926559999999998</v>
      </c>
      <c r="AB4878">
        <v>28</v>
      </c>
      <c r="AC4878">
        <v>-34.768799999999999</v>
      </c>
      <c r="AD4878">
        <v>-1.1100776626690001</v>
      </c>
      <c r="AE4878">
        <v>-1.3185</v>
      </c>
      <c r="AF4878">
        <v>-1.3434179969039399</v>
      </c>
      <c r="AG4878">
        <v>-1.1100776626690001</v>
      </c>
      <c r="AH4878">
        <v>34.732439258056701</v>
      </c>
      <c r="AI4878">
        <v>91.829230762152406</v>
      </c>
      <c r="AJ4878">
        <v>92.215042541336103</v>
      </c>
      <c r="AK4878">
        <v>34.776132348870497</v>
      </c>
      <c r="AL4878">
        <v>78.869424188373799</v>
      </c>
      <c r="AM4878">
        <v>96.164672649700904</v>
      </c>
      <c r="AN4878">
        <v>0.99999997654056405</v>
      </c>
    </row>
    <row r="4879" spans="1:40" x14ac:dyDescent="0.25">
      <c r="A4879" t="str">
        <f>"20190304155159536"</f>
        <v>20190304155159536</v>
      </c>
      <c r="B4879" t="str">
        <f>"1551685919532048"</f>
        <v>1551685919532048</v>
      </c>
      <c r="C4879" t="s">
        <v>40</v>
      </c>
      <c r="D4879">
        <v>4.6740830000000004</v>
      </c>
      <c r="E4879">
        <v>0.49048330000000001</v>
      </c>
      <c r="F4879" t="s">
        <v>84</v>
      </c>
      <c r="G4879">
        <v>-400.6293</v>
      </c>
      <c r="H4879" s="1">
        <v>-5.1970590000000001E-6</v>
      </c>
      <c r="I4879">
        <v>138.6568</v>
      </c>
      <c r="J4879">
        <v>-373.3537</v>
      </c>
      <c r="K4879">
        <v>1.110087</v>
      </c>
      <c r="L4879">
        <v>141.66499999999999</v>
      </c>
      <c r="M4879">
        <v>-0.99994899999999998</v>
      </c>
      <c r="N4879">
        <v>-1.00743E-2</v>
      </c>
      <c r="O4879">
        <v>8.0594110000000005E-4</v>
      </c>
      <c r="P4879">
        <v>-0.97745389999999999</v>
      </c>
      <c r="Q4879">
        <v>0.18309719999999999</v>
      </c>
      <c r="R4879">
        <v>-0.1051646</v>
      </c>
      <c r="S4879">
        <v>-3.0564879999999999</v>
      </c>
      <c r="T4879">
        <v>-0.1231463</v>
      </c>
      <c r="U4879">
        <v>-0.33369450000000001</v>
      </c>
      <c r="V4879">
        <v>-0.1059262</v>
      </c>
      <c r="W4879">
        <v>0.1929488</v>
      </c>
      <c r="X4879">
        <v>0.97547450000000002</v>
      </c>
      <c r="Y4879">
        <v>-0.109222</v>
      </c>
      <c r="Z4879">
        <v>-2.7692419999999999E-3</v>
      </c>
      <c r="AA4879">
        <v>0.99401349999999999</v>
      </c>
      <c r="AB4879">
        <v>28</v>
      </c>
      <c r="AC4879">
        <v>-27.275600000000001</v>
      </c>
      <c r="AD4879">
        <v>-1.1100921970590001</v>
      </c>
      <c r="AE4879">
        <v>-3.00819999999998</v>
      </c>
      <c r="AF4879">
        <v>-3.0252318411294001</v>
      </c>
      <c r="AG4879">
        <v>-1.1100921970590001</v>
      </c>
      <c r="AH4879">
        <v>27.228606692206501</v>
      </c>
      <c r="AI4879">
        <v>92.320356025703902</v>
      </c>
      <c r="AJ4879">
        <v>96.3398406670957</v>
      </c>
      <c r="AK4879">
        <v>27.4186315263441</v>
      </c>
      <c r="AL4879">
        <v>78.875077515311403</v>
      </c>
      <c r="AM4879">
        <v>96.197431659467398</v>
      </c>
      <c r="AN4879">
        <v>1.00000004970906</v>
      </c>
    </row>
    <row r="4880" spans="1:40" x14ac:dyDescent="0.25">
      <c r="A4880" t="str">
        <f>"20190304155159559"</f>
        <v>20190304155159559</v>
      </c>
      <c r="B4880" t="str">
        <f>"1551685919551568"</f>
        <v>1551685919551568</v>
      </c>
      <c r="C4880" t="s">
        <v>40</v>
      </c>
      <c r="D4880">
        <v>4.6848000000000001</v>
      </c>
      <c r="E4880">
        <v>0.48832920000000002</v>
      </c>
      <c r="F4880" t="s">
        <v>84</v>
      </c>
      <c r="G4880">
        <v>-401.3897</v>
      </c>
      <c r="H4880" s="1">
        <v>-5.3232500000000002E-6</v>
      </c>
      <c r="I4880">
        <v>138.20480000000001</v>
      </c>
      <c r="J4880">
        <v>-373.63799999999998</v>
      </c>
      <c r="K4880">
        <v>1.110101</v>
      </c>
      <c r="L4880">
        <v>141.6653</v>
      </c>
      <c r="M4880">
        <v>-0.99994799999999995</v>
      </c>
      <c r="N4880">
        <v>-1.0170749999999999E-2</v>
      </c>
      <c r="O4880">
        <v>8.5737589999999896E-4</v>
      </c>
      <c r="P4880">
        <v>-0.97746929999999999</v>
      </c>
      <c r="Q4880">
        <v>0.1827377</v>
      </c>
      <c r="R4880">
        <v>-0.105645</v>
      </c>
      <c r="S4880">
        <v>-3.0512700000000001</v>
      </c>
      <c r="T4880">
        <v>-0.1208158</v>
      </c>
      <c r="U4880">
        <v>-0.3765869</v>
      </c>
      <c r="V4880">
        <v>-0.106457</v>
      </c>
      <c r="W4880">
        <v>0.1926834</v>
      </c>
      <c r="X4880">
        <v>0.97546909999999998</v>
      </c>
      <c r="Y4880">
        <v>-0.1232211</v>
      </c>
      <c r="Z4880">
        <v>-3.0837600000000001E-3</v>
      </c>
      <c r="AA4880">
        <v>0.99237450000000005</v>
      </c>
      <c r="AB4880">
        <v>28</v>
      </c>
      <c r="AC4880">
        <v>-27.7516999999999</v>
      </c>
      <c r="AD4880">
        <v>-1.1101063232499999</v>
      </c>
      <c r="AE4880">
        <v>-3.4604999999999899</v>
      </c>
      <c r="AF4880">
        <v>-3.47881233854336</v>
      </c>
      <c r="AG4880">
        <v>-1.1101063232499999</v>
      </c>
      <c r="AH4880">
        <v>27.705070268646999</v>
      </c>
      <c r="AI4880">
        <v>92.2766815625981</v>
      </c>
      <c r="AJ4880">
        <v>97.156939498556994</v>
      </c>
      <c r="AK4880">
        <v>27.944684466395199</v>
      </c>
      <c r="AL4880">
        <v>78.890573781481805</v>
      </c>
      <c r="AM4880">
        <v>96.228277954590894</v>
      </c>
      <c r="AN4880">
        <v>0.99999997526968398</v>
      </c>
    </row>
    <row r="4881" spans="1:40" x14ac:dyDescent="0.25">
      <c r="A4881" t="str">
        <f>"20190304155159581"</f>
        <v>20190304155159581</v>
      </c>
      <c r="B4881" t="str">
        <f>"1551685919572064"</f>
        <v>1551685919572064</v>
      </c>
      <c r="C4881" t="s">
        <v>40</v>
      </c>
      <c r="D4881">
        <v>4.6368090000000004</v>
      </c>
      <c r="E4881">
        <v>0.48710979999999998</v>
      </c>
      <c r="F4881" t="s">
        <v>84</v>
      </c>
      <c r="G4881">
        <v>-401.65339999999998</v>
      </c>
      <c r="H4881" s="1">
        <v>-5.3609029999999997E-6</v>
      </c>
      <c r="I4881">
        <v>138.0351</v>
      </c>
      <c r="J4881">
        <v>-373.92360000000002</v>
      </c>
      <c r="K4881">
        <v>1.1101179999999999</v>
      </c>
      <c r="L4881">
        <v>141.66560000000001</v>
      </c>
      <c r="M4881">
        <v>-0.99994680000000002</v>
      </c>
      <c r="N4881">
        <v>-1.028225E-2</v>
      </c>
      <c r="O4881">
        <v>9.0920529999999995E-4</v>
      </c>
      <c r="P4881">
        <v>-0.97749169999999996</v>
      </c>
      <c r="Q4881">
        <v>0.1825726</v>
      </c>
      <c r="R4881">
        <v>-0.1057232</v>
      </c>
      <c r="S4881">
        <v>-3.049042</v>
      </c>
      <c r="T4881">
        <v>-0.1208181</v>
      </c>
      <c r="U4881">
        <v>-0.3950958</v>
      </c>
      <c r="V4881">
        <v>-0.1065856</v>
      </c>
      <c r="W4881">
        <v>0.19262779999999999</v>
      </c>
      <c r="X4881">
        <v>0.9754661</v>
      </c>
      <c r="Y4881">
        <v>-0.12928120000000001</v>
      </c>
      <c r="Z4881">
        <v>-3.2440450000000001E-3</v>
      </c>
      <c r="AA4881">
        <v>0.99160269999999995</v>
      </c>
      <c r="AB4881">
        <v>28</v>
      </c>
      <c r="AC4881">
        <v>-27.729799999999901</v>
      </c>
      <c r="AD4881">
        <v>-1.1101233609029999</v>
      </c>
      <c r="AE4881">
        <v>-3.6305000000000098</v>
      </c>
      <c r="AF4881">
        <v>-3.6499607442025801</v>
      </c>
      <c r="AG4881">
        <v>-1.1101233609029999</v>
      </c>
      <c r="AH4881">
        <v>27.682868174482</v>
      </c>
      <c r="AI4881">
        <v>92.276730542663699</v>
      </c>
      <c r="AJ4881">
        <v>97.511071255009597</v>
      </c>
      <c r="AK4881">
        <v>27.944512478774602</v>
      </c>
      <c r="AL4881">
        <v>78.893820926153893</v>
      </c>
      <c r="AM4881">
        <v>96.235761501577699</v>
      </c>
      <c r="AN4881">
        <v>1.0000000358547001</v>
      </c>
    </row>
    <row r="4882" spans="1:40" x14ac:dyDescent="0.25">
      <c r="A4882" t="str">
        <f>"20190304155159603"</f>
        <v>20190304155159603</v>
      </c>
      <c r="B4882" t="str">
        <f>"1551685919591584"</f>
        <v>1551685919591584</v>
      </c>
      <c r="C4882" t="s">
        <v>40</v>
      </c>
      <c r="D4882">
        <v>4.6816269999999998</v>
      </c>
      <c r="E4882">
        <v>0.4864098</v>
      </c>
      <c r="F4882" t="s">
        <v>84</v>
      </c>
      <c r="G4882">
        <v>-401.84719999999999</v>
      </c>
      <c r="H4882" s="1">
        <v>-5.4095100000000003E-6</v>
      </c>
      <c r="I4882">
        <v>137.95509999999999</v>
      </c>
      <c r="J4882">
        <v>-374.19740000000002</v>
      </c>
      <c r="K4882">
        <v>1.1101399999999999</v>
      </c>
      <c r="L4882">
        <v>141.66589999999999</v>
      </c>
      <c r="M4882">
        <v>-0.99994550000000004</v>
      </c>
      <c r="N4882">
        <v>-1.0406769999999999E-2</v>
      </c>
      <c r="O4882">
        <v>9.5797769999999996E-4</v>
      </c>
      <c r="P4882">
        <v>-0.97752530000000004</v>
      </c>
      <c r="Q4882">
        <v>0.18228710000000001</v>
      </c>
      <c r="R4882">
        <v>-0.10590670000000001</v>
      </c>
      <c r="S4882">
        <v>-3.0479129999999999</v>
      </c>
      <c r="T4882">
        <v>-0.12117219999999999</v>
      </c>
      <c r="U4882">
        <v>-0.40501399999999999</v>
      </c>
      <c r="V4882">
        <v>-0.10681649999999999</v>
      </c>
      <c r="W4882">
        <v>0.19246350000000001</v>
      </c>
      <c r="X4882">
        <v>0.97547320000000004</v>
      </c>
      <c r="Y4882">
        <v>-0.13254349999999901</v>
      </c>
      <c r="Z4882">
        <v>-3.3431670000000002E-3</v>
      </c>
      <c r="AA4882">
        <v>0.99117149999999998</v>
      </c>
      <c r="AB4882">
        <v>28</v>
      </c>
      <c r="AC4882">
        <v>-27.6497999999999</v>
      </c>
      <c r="AD4882">
        <v>-1.1101454095099901</v>
      </c>
      <c r="AE4882">
        <v>-3.7107999999999999</v>
      </c>
      <c r="AF4882">
        <v>-3.73137891422884</v>
      </c>
      <c r="AG4882">
        <v>-1.1101454095099901</v>
      </c>
      <c r="AH4882">
        <v>27.6025231595356</v>
      </c>
      <c r="AI4882">
        <v>92.282398723887994</v>
      </c>
      <c r="AJ4882">
        <v>97.698718528967206</v>
      </c>
      <c r="AK4882">
        <v>27.8757044073241</v>
      </c>
      <c r="AL4882">
        <v>78.903413319553593</v>
      </c>
      <c r="AM4882">
        <v>96.249118354341107</v>
      </c>
      <c r="AN4882">
        <v>0.99999996371136901</v>
      </c>
    </row>
    <row r="4883" spans="1:40" x14ac:dyDescent="0.25">
      <c r="A4883" t="str">
        <f>"20190304155159639"</f>
        <v>20190304155159639</v>
      </c>
      <c r="B4883" t="str">
        <f>"1551685919631600"</f>
        <v>1551685919631600</v>
      </c>
      <c r="C4883" t="s">
        <v>40</v>
      </c>
      <c r="D4883">
        <v>4.6837530000000003</v>
      </c>
      <c r="E4883">
        <v>0.48538379999999998</v>
      </c>
      <c r="F4883" t="s">
        <v>84</v>
      </c>
      <c r="G4883">
        <v>-401.73270000000002</v>
      </c>
      <c r="H4883" s="1">
        <v>-5.3544769999999997E-6</v>
      </c>
      <c r="I4883">
        <v>137.94589999999999</v>
      </c>
      <c r="J4883">
        <v>-374.63319999999999</v>
      </c>
      <c r="K4883">
        <v>1.1101840000000001</v>
      </c>
      <c r="L4883">
        <v>141.66640000000001</v>
      </c>
      <c r="M4883">
        <v>-0.99994280000000002</v>
      </c>
      <c r="N4883">
        <v>-1.065293E-2</v>
      </c>
      <c r="O4883">
        <v>1.026746E-3</v>
      </c>
      <c r="P4883">
        <v>-0.97754180000000002</v>
      </c>
      <c r="Q4883">
        <v>0.1821623</v>
      </c>
      <c r="R4883">
        <v>-0.10596709999999999</v>
      </c>
      <c r="S4883">
        <v>-3.047272</v>
      </c>
      <c r="T4883">
        <v>-0.1228572</v>
      </c>
      <c r="U4883">
        <v>-0.4116821</v>
      </c>
      <c r="V4883">
        <v>-0.10694620000000001</v>
      </c>
      <c r="W4883">
        <v>0.19257869999999999</v>
      </c>
      <c r="X4883">
        <v>0.97543630000000003</v>
      </c>
      <c r="Y4883">
        <v>-0.13476299999999999</v>
      </c>
      <c r="Z4883">
        <v>-3.4550079999999999E-3</v>
      </c>
      <c r="AA4883">
        <v>0.99087179999999997</v>
      </c>
      <c r="AB4883">
        <v>28</v>
      </c>
      <c r="AC4883">
        <v>-27.099499999999999</v>
      </c>
      <c r="AD4883">
        <v>-1.1101893544769901</v>
      </c>
      <c r="AE4883">
        <v>-3.7205000000000101</v>
      </c>
      <c r="AF4883">
        <v>-3.7421596127670398</v>
      </c>
      <c r="AG4883">
        <v>-1.1101893544769901</v>
      </c>
      <c r="AH4883">
        <v>27.051105312313702</v>
      </c>
      <c r="AI4883">
        <v>92.3279803180599</v>
      </c>
      <c r="AJ4883">
        <v>97.876118894830896</v>
      </c>
      <c r="AK4883">
        <v>27.331274715755601</v>
      </c>
      <c r="AL4883">
        <v>78.896687540094803</v>
      </c>
      <c r="AM4883">
        <v>96.256880898927406</v>
      </c>
      <c r="AN4883">
        <v>1.0000000103729101</v>
      </c>
    </row>
    <row r="4884" spans="1:40" x14ac:dyDescent="0.25">
      <c r="A4884" t="str">
        <f>"20190304155159659"</f>
        <v>20190304155159659</v>
      </c>
      <c r="B4884" t="str">
        <f>"1551685919652097"</f>
        <v>1551685919652097</v>
      </c>
      <c r="C4884" t="s">
        <v>40</v>
      </c>
      <c r="D4884">
        <v>4.7067389999999998</v>
      </c>
      <c r="E4884">
        <v>0.48500159999999998</v>
      </c>
      <c r="F4884" t="s">
        <v>84</v>
      </c>
      <c r="G4884">
        <v>-402.09660000000002</v>
      </c>
      <c r="H4884" s="1">
        <v>-5.4874329999999996E-6</v>
      </c>
      <c r="I4884">
        <v>137.88499999999999</v>
      </c>
      <c r="J4884">
        <v>-374.90690000000001</v>
      </c>
      <c r="K4884">
        <v>1.110215</v>
      </c>
      <c r="L4884">
        <v>141.66669999999999</v>
      </c>
      <c r="M4884">
        <v>-0.99994079999999996</v>
      </c>
      <c r="N4884">
        <v>-1.0837980000000001E-2</v>
      </c>
      <c r="O4884">
        <v>1.056895E-3</v>
      </c>
      <c r="P4884">
        <v>-0.97758009999999995</v>
      </c>
      <c r="Q4884">
        <v>0.18187590000000001</v>
      </c>
      <c r="R4884">
        <v>-0.1061069</v>
      </c>
      <c r="S4884">
        <v>-3.0463870000000002</v>
      </c>
      <c r="T4884">
        <v>-0.1231478</v>
      </c>
      <c r="U4884">
        <v>-0.41944890000000001</v>
      </c>
      <c r="V4884">
        <v>-0.1071169</v>
      </c>
      <c r="W4884">
        <v>0.192472</v>
      </c>
      <c r="X4884">
        <v>0.97543869999999999</v>
      </c>
      <c r="Y4884">
        <v>-0.13730699999999901</v>
      </c>
      <c r="Z4884">
        <v>-3.540194E-3</v>
      </c>
      <c r="AA4884">
        <v>0.99052220000000002</v>
      </c>
      <c r="AB4884">
        <v>28</v>
      </c>
      <c r="AC4884">
        <v>-27.189699999999998</v>
      </c>
      <c r="AD4884">
        <v>-1.1102204874329999</v>
      </c>
      <c r="AE4884">
        <v>-3.7816999999999998</v>
      </c>
      <c r="AF4884">
        <v>-3.80421389515333</v>
      </c>
      <c r="AG4884">
        <v>-1.1102204874329999</v>
      </c>
      <c r="AH4884">
        <v>27.1412942510904</v>
      </c>
      <c r="AI4884">
        <v>92.319739770430104</v>
      </c>
      <c r="AJ4884">
        <v>97.978787819431304</v>
      </c>
      <c r="AK4884">
        <v>27.429081036649201</v>
      </c>
      <c r="AL4884">
        <v>78.902918324823105</v>
      </c>
      <c r="AM4884">
        <v>96.266772999677301</v>
      </c>
      <c r="AN4884">
        <v>1.0000000792536401</v>
      </c>
    </row>
    <row r="4885" spans="1:40" x14ac:dyDescent="0.25">
      <c r="A4885" t="str">
        <f>"20190304155159682"</f>
        <v>20190304155159682</v>
      </c>
      <c r="B4885" t="str">
        <f>"1551685919671616"</f>
        <v>1551685919671616</v>
      </c>
      <c r="C4885" t="s">
        <v>40</v>
      </c>
      <c r="D4885">
        <v>4.694064</v>
      </c>
      <c r="E4885">
        <v>0.48458099999999998</v>
      </c>
      <c r="F4885" t="s">
        <v>84</v>
      </c>
      <c r="G4885">
        <v>-402.06950000000001</v>
      </c>
      <c r="H4885" s="1">
        <v>-5.4805700000000001E-6</v>
      </c>
      <c r="I4885">
        <v>137.89609999999999</v>
      </c>
      <c r="J4885">
        <v>-375.19139999999999</v>
      </c>
      <c r="K4885">
        <v>1.110249</v>
      </c>
      <c r="L4885">
        <v>141.6671</v>
      </c>
      <c r="M4885">
        <v>-0.9999382</v>
      </c>
      <c r="N4885">
        <v>-1.106627E-2</v>
      </c>
      <c r="O4885">
        <v>1.0788169999999999E-3</v>
      </c>
      <c r="P4885">
        <v>-0.97761370000000003</v>
      </c>
      <c r="Q4885">
        <v>0.18148259999999999</v>
      </c>
      <c r="R4885">
        <v>-0.1064678</v>
      </c>
      <c r="S4885">
        <v>-3.0460820000000002</v>
      </c>
      <c r="T4885">
        <v>-0.12450269999999999</v>
      </c>
      <c r="U4885">
        <v>-0.42285159999999999</v>
      </c>
      <c r="V4885">
        <v>-0.107502399999999</v>
      </c>
      <c r="W4885">
        <v>0.19229979999999999</v>
      </c>
      <c r="X4885">
        <v>0.97543020000000003</v>
      </c>
      <c r="Y4885">
        <v>-0.13842309999999999</v>
      </c>
      <c r="Z4885">
        <v>-3.6162120000000002E-3</v>
      </c>
      <c r="AA4885">
        <v>0.99036659999999999</v>
      </c>
      <c r="AB4885">
        <v>28</v>
      </c>
      <c r="AC4885">
        <v>-26.8781</v>
      </c>
      <c r="AD4885">
        <v>-1.1102544805700001</v>
      </c>
      <c r="AE4885">
        <v>-3.7710000000000101</v>
      </c>
      <c r="AF4885">
        <v>-3.7936480965253998</v>
      </c>
      <c r="AG4885">
        <v>-1.1102544805700001</v>
      </c>
      <c r="AH4885">
        <v>26.829121843717701</v>
      </c>
      <c r="AI4885">
        <v>92.346372778864705</v>
      </c>
      <c r="AJ4885">
        <v>98.048288840251104</v>
      </c>
      <c r="AK4885">
        <v>27.118742776849899</v>
      </c>
      <c r="AL4885">
        <v>78.912971889537701</v>
      </c>
      <c r="AM4885">
        <v>96.289200276045307</v>
      </c>
      <c r="AN4885">
        <v>1.00000002707891</v>
      </c>
    </row>
    <row r="4886" spans="1:40" x14ac:dyDescent="0.25">
      <c r="A4886" t="str">
        <f>"20190304155159704"</f>
        <v>20190304155159704</v>
      </c>
      <c r="B4886" t="str">
        <f>"1551685919701872"</f>
        <v>1551685919701872</v>
      </c>
      <c r="C4886" t="s">
        <v>40</v>
      </c>
      <c r="D4886">
        <v>4.7344679999999997</v>
      </c>
      <c r="E4886">
        <v>0.48422969999999999</v>
      </c>
      <c r="F4886" t="s">
        <v>84</v>
      </c>
      <c r="G4886">
        <v>-401.55529999999999</v>
      </c>
      <c r="H4886" s="1">
        <v>-5.2852069999999998E-6</v>
      </c>
      <c r="I4886">
        <v>137.96610000000001</v>
      </c>
      <c r="J4886">
        <v>-375.47669999999999</v>
      </c>
      <c r="K4886">
        <v>1.1103050000000001</v>
      </c>
      <c r="L4886">
        <v>141.66739999999999</v>
      </c>
      <c r="M4886">
        <v>-0.99993520000000002</v>
      </c>
      <c r="N4886">
        <v>-1.1345589999999999E-2</v>
      </c>
      <c r="O4886">
        <v>1.096309E-3</v>
      </c>
      <c r="P4886">
        <v>-0.97763440000000001</v>
      </c>
      <c r="Q4886">
        <v>0.18085480000000001</v>
      </c>
      <c r="R4886">
        <v>-0.107345</v>
      </c>
      <c r="S4886">
        <v>-3.0459589999999999</v>
      </c>
      <c r="T4886">
        <v>-0.12827359999999999</v>
      </c>
      <c r="U4886">
        <v>-0.427597</v>
      </c>
      <c r="V4886">
        <v>-0.10840130000000001</v>
      </c>
      <c r="W4886">
        <v>0.19194220000000001</v>
      </c>
      <c r="X4886">
        <v>0.97540110000000002</v>
      </c>
      <c r="Y4886">
        <v>-0.13994870000000001</v>
      </c>
      <c r="Z4886">
        <v>-3.7629429999999999E-3</v>
      </c>
      <c r="AA4886">
        <v>0.99015160000000002</v>
      </c>
      <c r="AB4886">
        <v>28</v>
      </c>
      <c r="AC4886">
        <v>-26.078599999999899</v>
      </c>
      <c r="AD4886">
        <v>-1.1103102852069999</v>
      </c>
      <c r="AE4886">
        <v>-3.7012999999999701</v>
      </c>
      <c r="AF4886">
        <v>-3.7232739929421301</v>
      </c>
      <c r="AG4886">
        <v>-1.1103102852069999</v>
      </c>
      <c r="AH4886">
        <v>26.028277096163698</v>
      </c>
      <c r="AI4886">
        <v>92.418049005874906</v>
      </c>
      <c r="AJ4886">
        <v>98.140777707955195</v>
      </c>
      <c r="AK4886">
        <v>26.316663290596601</v>
      </c>
      <c r="AL4886">
        <v>78.933849238375103</v>
      </c>
      <c r="AM4886">
        <v>96.341549512980393</v>
      </c>
      <c r="AN4886">
        <v>0.99999997793186901</v>
      </c>
    </row>
    <row r="4887" spans="1:40" x14ac:dyDescent="0.25">
      <c r="A4887" t="str">
        <f>"20190304155159727"</f>
        <v>20190304155159727</v>
      </c>
      <c r="B4887" t="str">
        <f>"1551685919721395"</f>
        <v>1551685919721395</v>
      </c>
      <c r="C4887" t="s">
        <v>40</v>
      </c>
      <c r="D4887">
        <v>4.7331339999999997</v>
      </c>
      <c r="E4887">
        <v>0.4840428</v>
      </c>
      <c r="F4887" t="s">
        <v>84</v>
      </c>
      <c r="G4887">
        <v>-401.46699999999998</v>
      </c>
      <c r="H4887" s="1">
        <v>-5.2473240000000004E-6</v>
      </c>
      <c r="I4887">
        <v>137.96879999999999</v>
      </c>
      <c r="J4887">
        <v>-375.75130000000001</v>
      </c>
      <c r="K4887">
        <v>1.11036</v>
      </c>
      <c r="L4887">
        <v>141.6678</v>
      </c>
      <c r="M4887">
        <v>-0.99993180000000004</v>
      </c>
      <c r="N4887">
        <v>-1.163203E-2</v>
      </c>
      <c r="O4887">
        <v>1.109014E-3</v>
      </c>
      <c r="P4887">
        <v>-0.97768359999999999</v>
      </c>
      <c r="Q4887">
        <v>0.18012510000000001</v>
      </c>
      <c r="R4887">
        <v>-0.1081202</v>
      </c>
      <c r="S4887">
        <v>-3.0451350000000001</v>
      </c>
      <c r="T4887">
        <v>-0.1300888</v>
      </c>
      <c r="U4887">
        <v>-0.4333496</v>
      </c>
      <c r="V4887">
        <v>-0.10919429999999999</v>
      </c>
      <c r="W4887">
        <v>0.19148970000000001</v>
      </c>
      <c r="X4887">
        <v>0.97540159999999998</v>
      </c>
      <c r="Y4887">
        <v>-0.141824799999999</v>
      </c>
      <c r="Z4887">
        <v>-3.876633E-3</v>
      </c>
      <c r="AA4887">
        <v>0.98988419999999999</v>
      </c>
      <c r="AB4887">
        <v>28</v>
      </c>
      <c r="AC4887">
        <v>-25.715699999999899</v>
      </c>
      <c r="AD4887">
        <v>-1.110365247324</v>
      </c>
      <c r="AE4887">
        <v>-3.6990000000000101</v>
      </c>
      <c r="AF4887">
        <v>-3.7207224917035702</v>
      </c>
      <c r="AG4887">
        <v>-1.110365247324</v>
      </c>
      <c r="AH4887">
        <v>25.6647027903016</v>
      </c>
      <c r="AI4887">
        <v>92.451717731853407</v>
      </c>
      <c r="AJ4887">
        <v>98.248945415582895</v>
      </c>
      <c r="AK4887">
        <v>25.956765132759699</v>
      </c>
      <c r="AL4887">
        <v>78.960265734862602</v>
      </c>
      <c r="AM4887">
        <v>96.387555245731093</v>
      </c>
      <c r="AN4887">
        <v>0.99999999082056901</v>
      </c>
    </row>
    <row r="4888" spans="1:40" x14ac:dyDescent="0.25">
      <c r="A4888" t="str">
        <f>"20190304155159749"</f>
        <v>20190304155159749</v>
      </c>
      <c r="B4888" t="str">
        <f>"1551685919741891"</f>
        <v>1551685919741891</v>
      </c>
      <c r="C4888" t="s">
        <v>40</v>
      </c>
      <c r="D4888">
        <v>4.64011</v>
      </c>
      <c r="E4888">
        <v>0.48391230000000002</v>
      </c>
      <c r="F4888" t="s">
        <v>84</v>
      </c>
      <c r="G4888">
        <v>-401.33960000000002</v>
      </c>
      <c r="H4888" s="1">
        <v>-5.2035009999999996E-6</v>
      </c>
      <c r="I4888">
        <v>137.99590000000001</v>
      </c>
      <c r="J4888">
        <v>-376.03570000000002</v>
      </c>
      <c r="K4888">
        <v>1.1104069999999999</v>
      </c>
      <c r="L4888">
        <v>141.66810000000001</v>
      </c>
      <c r="M4888">
        <v>-0.9999285</v>
      </c>
      <c r="N4888">
        <v>-1.191208E-2</v>
      </c>
      <c r="O4888">
        <v>1.11556E-3</v>
      </c>
      <c r="P4888">
        <v>-0.97768999999999995</v>
      </c>
      <c r="Q4888">
        <v>0.1799888</v>
      </c>
      <c r="R4888">
        <v>-0.1082892</v>
      </c>
      <c r="S4888">
        <v>-3.044495</v>
      </c>
      <c r="T4888">
        <v>-0.13211129999999999</v>
      </c>
      <c r="U4888">
        <v>-0.4368744</v>
      </c>
      <c r="V4888">
        <v>-0.10937230000000001</v>
      </c>
      <c r="W4888">
        <v>0.19162499999999999</v>
      </c>
      <c r="X4888">
        <v>0.97535510000000003</v>
      </c>
      <c r="Y4888">
        <v>-0.14297660000000001</v>
      </c>
      <c r="Z4888">
        <v>-3.9762620000000004E-3</v>
      </c>
      <c r="AA4888">
        <v>0.98971810000000005</v>
      </c>
      <c r="AB4888">
        <v>28</v>
      </c>
      <c r="AC4888">
        <v>-25.303899999999999</v>
      </c>
      <c r="AD4888">
        <v>-1.110412203501</v>
      </c>
      <c r="AE4888">
        <v>-3.6722000000000001</v>
      </c>
      <c r="AF4888">
        <v>-3.6934618623620898</v>
      </c>
      <c r="AG4888">
        <v>-1.110412203501</v>
      </c>
      <c r="AH4888">
        <v>25.252161806447699</v>
      </c>
      <c r="AI4888">
        <v>92.491368907685697</v>
      </c>
      <c r="AJ4888">
        <v>98.321259846827104</v>
      </c>
      <c r="AK4888">
        <v>25.544986821085299</v>
      </c>
      <c r="AL4888">
        <v>78.952367517224303</v>
      </c>
      <c r="AM4888">
        <v>96.398183957793293</v>
      </c>
      <c r="AN4888">
        <v>1.0000000058641501</v>
      </c>
    </row>
    <row r="4889" spans="1:40" x14ac:dyDescent="0.25">
      <c r="A4889" t="str">
        <f>"20190304155159771"</f>
        <v>20190304155159771</v>
      </c>
      <c r="B4889" t="str">
        <f>"1551685919761408"</f>
        <v>1551685919761408</v>
      </c>
      <c r="C4889" t="s">
        <v>40</v>
      </c>
      <c r="D4889">
        <v>4.6776739999999997</v>
      </c>
      <c r="E4889">
        <v>0.48382760000000002</v>
      </c>
      <c r="F4889" t="s">
        <v>84</v>
      </c>
      <c r="G4889">
        <v>-401.21960000000001</v>
      </c>
      <c r="H4889" s="1">
        <v>-5.1712770000000004E-6</v>
      </c>
      <c r="I4889">
        <v>138.04089999999999</v>
      </c>
      <c r="J4889">
        <v>-376.3152</v>
      </c>
      <c r="K4889">
        <v>1.1104419999999999</v>
      </c>
      <c r="L4889">
        <v>141.66839999999999</v>
      </c>
      <c r="M4889">
        <v>-0.99992550000000002</v>
      </c>
      <c r="N4889">
        <v>-1.2164049999999999E-2</v>
      </c>
      <c r="O4889">
        <v>1.1146629999999999E-3</v>
      </c>
      <c r="P4889">
        <v>-0.9775836</v>
      </c>
      <c r="Q4889">
        <v>0.18012829999999999</v>
      </c>
      <c r="R4889">
        <v>-0.10901619999999999</v>
      </c>
      <c r="S4889">
        <v>-3.0446170000000001</v>
      </c>
      <c r="T4889">
        <v>-0.13424359999999999</v>
      </c>
      <c r="U4889">
        <v>-0.43850709999999998</v>
      </c>
      <c r="V4889">
        <v>-0.11009960000000001</v>
      </c>
      <c r="W4889">
        <v>0.19200829999999999</v>
      </c>
      <c r="X4889">
        <v>0.97519789999999995</v>
      </c>
      <c r="Y4889">
        <v>-0.14348379999999999</v>
      </c>
      <c r="Z4889">
        <v>-4.0586169999999996E-3</v>
      </c>
      <c r="AA4889">
        <v>0.98964430000000003</v>
      </c>
      <c r="AB4889">
        <v>28</v>
      </c>
      <c r="AC4889">
        <v>-24.904399999999999</v>
      </c>
      <c r="AD4889">
        <v>-1.1104471712770001</v>
      </c>
      <c r="AE4889">
        <v>-3.6274999999999902</v>
      </c>
      <c r="AF4889">
        <v>-3.6481575003717199</v>
      </c>
      <c r="AG4889">
        <v>-1.1104471712770001</v>
      </c>
      <c r="AH4889">
        <v>24.851958470252999</v>
      </c>
      <c r="AI4889">
        <v>92.531323413675594</v>
      </c>
      <c r="AJ4889">
        <v>98.351121745519094</v>
      </c>
      <c r="AK4889">
        <v>25.142831699609602</v>
      </c>
      <c r="AL4889">
        <v>78.929990754828793</v>
      </c>
      <c r="AM4889">
        <v>96.441403508448303</v>
      </c>
      <c r="AN4889">
        <v>1.0000000266767199</v>
      </c>
    </row>
    <row r="4890" spans="1:40" x14ac:dyDescent="0.25">
      <c r="A4890" t="str">
        <f>"20190304155159793"</f>
        <v>20190304155159793</v>
      </c>
      <c r="B4890" t="str">
        <f>"1551685919781905"</f>
        <v>1551685919781905</v>
      </c>
      <c r="C4890" t="s">
        <v>40</v>
      </c>
      <c r="D4890">
        <v>4.7065679999999999</v>
      </c>
      <c r="E4890">
        <v>0.48370849999999999</v>
      </c>
      <c r="F4890" t="s">
        <v>84</v>
      </c>
      <c r="G4890">
        <v>-401.86380000000003</v>
      </c>
      <c r="H4890" s="1">
        <v>-5.4185860000000001E-6</v>
      </c>
      <c r="I4890">
        <v>137.95869999999999</v>
      </c>
      <c r="J4890">
        <v>-376.58909999999997</v>
      </c>
      <c r="K4890">
        <v>1.110468</v>
      </c>
      <c r="L4890">
        <v>141.6687</v>
      </c>
      <c r="M4890">
        <v>-0.9999228</v>
      </c>
      <c r="N4890">
        <v>-1.2391070000000001E-2</v>
      </c>
      <c r="O4890">
        <v>1.10921E-3</v>
      </c>
      <c r="P4890">
        <v>-0.97749640000000004</v>
      </c>
      <c r="Q4890">
        <v>0.1805832</v>
      </c>
      <c r="R4890">
        <v>-0.1090443</v>
      </c>
      <c r="S4890">
        <v>-3.0438839999999998</v>
      </c>
      <c r="T4890">
        <v>-0.1322999</v>
      </c>
      <c r="U4890">
        <v>-0.4419708</v>
      </c>
      <c r="V4890">
        <v>-0.1101229</v>
      </c>
      <c r="W4890">
        <v>0.19268350000000001</v>
      </c>
      <c r="X4890">
        <v>0.97506210000000004</v>
      </c>
      <c r="Y4890">
        <v>-0.14461740000000001</v>
      </c>
      <c r="Z4890">
        <v>-4.0604889999999996E-3</v>
      </c>
      <c r="AA4890">
        <v>0.98947929999999995</v>
      </c>
      <c r="AB4890">
        <v>28</v>
      </c>
      <c r="AC4890">
        <v>-25.274699999999999</v>
      </c>
      <c r="AD4890">
        <v>-1.1104734185859999</v>
      </c>
      <c r="AE4890">
        <v>-3.71</v>
      </c>
      <c r="AF4890">
        <v>-3.7309844814288402</v>
      </c>
      <c r="AG4890">
        <v>-1.1104734185859999</v>
      </c>
      <c r="AH4890">
        <v>25.222905971371802</v>
      </c>
      <c r="AI4890">
        <v>92.493797940966004</v>
      </c>
      <c r="AJ4890">
        <v>98.414204598839802</v>
      </c>
      <c r="AK4890">
        <v>25.5215278158404</v>
      </c>
      <c r="AL4890">
        <v>78.890568688377897</v>
      </c>
      <c r="AM4890">
        <v>96.443644976423599</v>
      </c>
      <c r="AN4890">
        <v>1.00000004156653</v>
      </c>
    </row>
    <row r="4891" spans="1:40" x14ac:dyDescent="0.25">
      <c r="A4891" t="str">
        <f>"20190304155159817"</f>
        <v>20190304155159817</v>
      </c>
      <c r="B4891" t="str">
        <f>"1551685919812160"</f>
        <v>1551685919812160</v>
      </c>
      <c r="C4891" t="s">
        <v>40</v>
      </c>
      <c r="D4891">
        <v>4.8976319999999998</v>
      </c>
      <c r="E4891">
        <v>0.54000590000000004</v>
      </c>
      <c r="F4891" t="s">
        <v>84</v>
      </c>
      <c r="G4891">
        <v>-402.7604</v>
      </c>
      <c r="H4891" s="1">
        <v>-5.768348E-6</v>
      </c>
      <c r="I4891">
        <v>137.8563</v>
      </c>
      <c r="J4891">
        <v>-376.87650000000002</v>
      </c>
      <c r="K4891">
        <v>1.110492</v>
      </c>
      <c r="L4891">
        <v>141.66899999999899</v>
      </c>
      <c r="M4891">
        <v>-0.99992000000000003</v>
      </c>
      <c r="N4891">
        <v>-1.260783E-2</v>
      </c>
      <c r="O4891">
        <v>1.0968530000000001E-3</v>
      </c>
      <c r="P4891">
        <v>-0.97754549999999996</v>
      </c>
      <c r="Q4891">
        <v>0.18045120000000001</v>
      </c>
      <c r="R4891">
        <v>-0.10882260000000001</v>
      </c>
      <c r="S4891">
        <v>-3.0434570000000001</v>
      </c>
      <c r="T4891">
        <v>-0.12913659999999999</v>
      </c>
      <c r="U4891">
        <v>-0.44334410000000002</v>
      </c>
      <c r="V4891">
        <v>-0.1098901</v>
      </c>
      <c r="W4891">
        <v>0.19276299999999999</v>
      </c>
      <c r="X4891">
        <v>0.97507259999999996</v>
      </c>
      <c r="Y4891">
        <v>-0.14506820000000001</v>
      </c>
      <c r="Z4891">
        <v>-4.0125600000000001E-3</v>
      </c>
      <c r="AA4891">
        <v>0.98941349999999995</v>
      </c>
      <c r="AB4891">
        <v>28</v>
      </c>
      <c r="AC4891">
        <v>-25.883899999999901</v>
      </c>
      <c r="AD4891">
        <v>-1.110497768348</v>
      </c>
      <c r="AE4891">
        <v>-3.8126999999999698</v>
      </c>
      <c r="AF4891">
        <v>-3.8341832036560302</v>
      </c>
      <c r="AG4891">
        <v>-1.110497768348</v>
      </c>
      <c r="AH4891">
        <v>25.833161600076501</v>
      </c>
      <c r="AI4891">
        <v>92.434835673871603</v>
      </c>
      <c r="AJ4891">
        <v>98.442264898702703</v>
      </c>
      <c r="AK4891">
        <v>26.139747596110599</v>
      </c>
      <c r="AL4891">
        <v>78.8859260899102</v>
      </c>
      <c r="AM4891">
        <v>96.430068646355593</v>
      </c>
      <c r="AN4891">
        <v>0.99999999175888499</v>
      </c>
    </row>
    <row r="4892" spans="1:40" x14ac:dyDescent="0.25">
      <c r="A4892" t="str">
        <f>"20190304155159840"</f>
        <v>20190304155159840</v>
      </c>
      <c r="B4892" t="str">
        <f>"1551685919831680"</f>
        <v>1551685919831680</v>
      </c>
      <c r="C4892" t="s">
        <v>40</v>
      </c>
      <c r="D4892">
        <v>4.6733320000000003</v>
      </c>
      <c r="E4892">
        <v>0.63876719999999998</v>
      </c>
      <c r="F4892" t="s">
        <v>84</v>
      </c>
      <c r="G4892">
        <v>-436.16070000000002</v>
      </c>
      <c r="H4892" s="1">
        <v>-9.5601640000000002E-6</v>
      </c>
      <c r="I4892">
        <v>141.72479999999999</v>
      </c>
      <c r="J4892">
        <v>-377.16640000000001</v>
      </c>
      <c r="K4892">
        <v>1.1105149999999999</v>
      </c>
      <c r="L4892">
        <v>141.66929999999999</v>
      </c>
      <c r="M4892">
        <v>-0.99991750000000001</v>
      </c>
      <c r="N4892">
        <v>-1.280303E-2</v>
      </c>
      <c r="O4892">
        <v>1.0709280000000001E-3</v>
      </c>
      <c r="P4892">
        <v>-0.97763840000000002</v>
      </c>
      <c r="Q4892">
        <v>0.18023149999999999</v>
      </c>
      <c r="R4892">
        <v>-0.10835110000000001</v>
      </c>
      <c r="S4892">
        <v>-3.079895</v>
      </c>
      <c r="T4892">
        <v>-5.7692050000000002E-2</v>
      </c>
      <c r="U4892">
        <v>2.89917E-3</v>
      </c>
      <c r="V4892">
        <v>-0.10939690000000001</v>
      </c>
      <c r="W4892">
        <v>0.1927326</v>
      </c>
      <c r="X4892">
        <v>0.9751341</v>
      </c>
      <c r="Y4892">
        <v>-1.2963769999999999E-4</v>
      </c>
      <c r="Z4892" s="1">
        <v>-8.3914629999999997E-6</v>
      </c>
      <c r="AA4892">
        <v>1</v>
      </c>
      <c r="AB4892">
        <v>28</v>
      </c>
      <c r="AC4892">
        <v>-58.994300000000003</v>
      </c>
      <c r="AD4892">
        <v>-1.1105245601639999</v>
      </c>
      <c r="AE4892">
        <v>5.5499999999994998E-2</v>
      </c>
      <c r="AF4892">
        <v>-7.6811341406539703E-3</v>
      </c>
      <c r="AG4892">
        <v>-1.1105245601639999</v>
      </c>
      <c r="AH4892">
        <v>58.973428207592001</v>
      </c>
      <c r="AI4892">
        <v>91.078805359964306</v>
      </c>
      <c r="AJ4892">
        <v>90.007462624761999</v>
      </c>
      <c r="AK4892">
        <v>58.983883886656301</v>
      </c>
      <c r="AL4892">
        <v>78.887701540334604</v>
      </c>
      <c r="AM4892">
        <v>96.401049440654702</v>
      </c>
      <c r="AN4892">
        <v>1.00000002490758</v>
      </c>
    </row>
    <row r="4893" spans="1:40" x14ac:dyDescent="0.25">
      <c r="A4893" t="str">
        <f>"20190304155159861"</f>
        <v>20190304155159861</v>
      </c>
      <c r="B4893" t="str">
        <f>"1551685919852176"</f>
        <v>1551685919852176</v>
      </c>
      <c r="C4893" t="s">
        <v>40</v>
      </c>
      <c r="D4893">
        <v>4.7011250000000002</v>
      </c>
      <c r="E4893">
        <v>0.65771359999999901</v>
      </c>
      <c r="F4893" t="s">
        <v>41</v>
      </c>
      <c r="G4893">
        <v>-394.2953</v>
      </c>
      <c r="H4893" s="1">
        <v>-3.930932E-6</v>
      </c>
      <c r="I4893">
        <v>145.9111</v>
      </c>
      <c r="J4893">
        <v>-377.44139999999999</v>
      </c>
      <c r="K4893">
        <v>1.1105320000000001</v>
      </c>
      <c r="L4893">
        <v>141.6695</v>
      </c>
      <c r="M4893">
        <v>-0.99991540000000001</v>
      </c>
      <c r="N4893">
        <v>-1.296683E-2</v>
      </c>
      <c r="O4893">
        <v>1.027324E-3</v>
      </c>
      <c r="P4893">
        <v>-0.9776762</v>
      </c>
      <c r="Q4893">
        <v>0.18047350000000001</v>
      </c>
      <c r="R4893">
        <v>-0.1076043</v>
      </c>
      <c r="S4893">
        <v>-3.1944889999999999</v>
      </c>
      <c r="T4893">
        <v>-0.20710799999999999</v>
      </c>
      <c r="U4893">
        <v>0.79110719999999901</v>
      </c>
      <c r="V4893">
        <v>-0.1086145</v>
      </c>
      <c r="W4893">
        <v>0.1931312</v>
      </c>
      <c r="X4893">
        <v>0.97514270000000003</v>
      </c>
      <c r="Y4893">
        <v>0.238818</v>
      </c>
      <c r="Z4893">
        <v>9.1396829999999991E-3</v>
      </c>
      <c r="AA4893">
        <v>0.97102129999999998</v>
      </c>
      <c r="AB4893">
        <v>28</v>
      </c>
      <c r="AC4893">
        <v>-16.853899999999999</v>
      </c>
      <c r="AD4893">
        <v>-1.110535930932</v>
      </c>
      <c r="AE4893">
        <v>4.2416</v>
      </c>
      <c r="AF4893">
        <v>4.2071037300574297</v>
      </c>
      <c r="AG4893">
        <v>-1.110535930932</v>
      </c>
      <c r="AH4893">
        <v>16.789694431315901</v>
      </c>
      <c r="AI4893">
        <v>93.671082454288097</v>
      </c>
      <c r="AJ4893">
        <v>75.932669963358705</v>
      </c>
      <c r="AK4893">
        <v>17.344360782292199</v>
      </c>
      <c r="AL4893">
        <v>78.864426179868104</v>
      </c>
      <c r="AM4893">
        <v>96.355589879541697</v>
      </c>
      <c r="AN4893">
        <v>1.00000002769348</v>
      </c>
    </row>
    <row r="4894" spans="1:40" x14ac:dyDescent="0.25">
      <c r="A4894" t="str">
        <f>"20190304155159883"</f>
        <v>20190304155159883</v>
      </c>
      <c r="B4894" t="str">
        <f>"1551685919871697"</f>
        <v>1551685919871697</v>
      </c>
      <c r="C4894" t="s">
        <v>40</v>
      </c>
      <c r="D4894">
        <v>5.2164409999999997</v>
      </c>
      <c r="E4894">
        <v>0.65217069999999999</v>
      </c>
      <c r="F4894" t="s">
        <v>41</v>
      </c>
      <c r="G4894">
        <v>-391.68619999999999</v>
      </c>
      <c r="H4894" s="1">
        <v>-4.8081919999999998E-6</v>
      </c>
      <c r="I4894">
        <v>145.85120000000001</v>
      </c>
      <c r="J4894">
        <v>-377.7124</v>
      </c>
      <c r="K4894">
        <v>1.1105590000000001</v>
      </c>
      <c r="L4894">
        <v>141.66980000000001</v>
      </c>
      <c r="M4894">
        <v>-0.99991359999999996</v>
      </c>
      <c r="N4894">
        <v>-1.3109300000000001E-2</v>
      </c>
      <c r="O4894">
        <v>9.6003539999999995E-4</v>
      </c>
      <c r="P4894">
        <v>-0.97772250000000005</v>
      </c>
      <c r="Q4894">
        <v>0.180286</v>
      </c>
      <c r="R4894">
        <v>-0.1074978</v>
      </c>
      <c r="S4894">
        <v>-3.2187809999999999</v>
      </c>
      <c r="T4894">
        <v>-0.2509402</v>
      </c>
      <c r="U4894">
        <v>0.94491579999999997</v>
      </c>
      <c r="V4894">
        <v>-0.10845150000000001</v>
      </c>
      <c r="W4894">
        <v>0.1930779</v>
      </c>
      <c r="X4894">
        <v>0.97517140000000002</v>
      </c>
      <c r="Y4894">
        <v>0.27983469999999999</v>
      </c>
      <c r="Z4894">
        <v>1.2481870000000001E-2</v>
      </c>
      <c r="AA4894">
        <v>0.95996709999999996</v>
      </c>
      <c r="AB4894">
        <v>28</v>
      </c>
      <c r="AC4894">
        <v>-13.973799999999899</v>
      </c>
      <c r="AD4894">
        <v>-1.110563808192</v>
      </c>
      <c r="AE4894">
        <v>4.1813999999999902</v>
      </c>
      <c r="AF4894">
        <v>4.1439584014043804</v>
      </c>
      <c r="AG4894">
        <v>-1.110563808192</v>
      </c>
      <c r="AH4894">
        <v>13.8972436987601</v>
      </c>
      <c r="AI4894">
        <v>94.379189288598795</v>
      </c>
      <c r="AJ4894">
        <v>73.396175441068806</v>
      </c>
      <c r="AK4894">
        <v>14.544384676821601</v>
      </c>
      <c r="AL4894">
        <v>78.867538667942597</v>
      </c>
      <c r="AM4894">
        <v>96.345944542609203</v>
      </c>
      <c r="AN4894">
        <v>1.0000000313493</v>
      </c>
    </row>
    <row r="4895" spans="1:40" x14ac:dyDescent="0.25">
      <c r="A4895" t="str">
        <f>"20190304155159905"</f>
        <v>20190304155159905</v>
      </c>
      <c r="B4895" t="str">
        <f>"1551685919901953"</f>
        <v>1551685919901953</v>
      </c>
      <c r="C4895" t="s">
        <v>40</v>
      </c>
      <c r="D4895">
        <v>4.7103719999999996</v>
      </c>
      <c r="E4895">
        <v>0.64996339999999997</v>
      </c>
      <c r="F4895" t="s">
        <v>41</v>
      </c>
      <c r="G4895">
        <v>-390.00529999999998</v>
      </c>
      <c r="H4895" s="1">
        <v>-5.2497410000000004E-6</v>
      </c>
      <c r="I4895">
        <v>145.1156</v>
      </c>
      <c r="J4895">
        <v>-377.99340000000001</v>
      </c>
      <c r="K4895">
        <v>1.110582</v>
      </c>
      <c r="L4895">
        <v>141.66990000000001</v>
      </c>
      <c r="M4895">
        <v>-0.99991200000000002</v>
      </c>
      <c r="N4895">
        <v>-1.323937E-2</v>
      </c>
      <c r="O4895">
        <v>8.5918210000000004E-4</v>
      </c>
      <c r="P4895">
        <v>-0.97770880000000004</v>
      </c>
      <c r="Q4895">
        <v>0.1803226</v>
      </c>
      <c r="R4895">
        <v>-0.10755969999999999</v>
      </c>
      <c r="S4895">
        <v>-3.2213440000000002</v>
      </c>
      <c r="T4895">
        <v>-0.29102299999999998</v>
      </c>
      <c r="U4895">
        <v>0.90301509999999996</v>
      </c>
      <c r="V4895">
        <v>-0.1084267</v>
      </c>
      <c r="W4895">
        <v>0.19323509999999999</v>
      </c>
      <c r="X4895">
        <v>0.97514299999999998</v>
      </c>
      <c r="Y4895">
        <v>0.26792300000000002</v>
      </c>
      <c r="Z4895">
        <v>1.359691E-2</v>
      </c>
      <c r="AA4895">
        <v>0.96334439999999999</v>
      </c>
      <c r="AB4895">
        <v>28</v>
      </c>
      <c r="AC4895">
        <v>-12.011899999999899</v>
      </c>
      <c r="AD4895">
        <v>-1.1105872497410001</v>
      </c>
      <c r="AE4895">
        <v>3.44569999999998</v>
      </c>
      <c r="AF4895">
        <v>3.4084560423332202</v>
      </c>
      <c r="AG4895">
        <v>-1.1105872497410001</v>
      </c>
      <c r="AH4895">
        <v>11.920701759382601</v>
      </c>
      <c r="AI4895">
        <v>95.118604903531207</v>
      </c>
      <c r="AJ4895">
        <v>74.0433122614604</v>
      </c>
      <c r="AK4895">
        <v>12.4480563570363</v>
      </c>
      <c r="AL4895">
        <v>78.858358677259204</v>
      </c>
      <c r="AM4895">
        <v>96.344688497107597</v>
      </c>
      <c r="AN4895">
        <v>1.0000000117969401</v>
      </c>
    </row>
    <row r="4896" spans="1:40" x14ac:dyDescent="0.25">
      <c r="A4896" t="str">
        <f>"20190304155159928"</f>
        <v>20190304155159928</v>
      </c>
      <c r="B4896" t="str">
        <f>"1551685919921473"</f>
        <v>1551685919921473</v>
      </c>
      <c r="C4896" t="s">
        <v>40</v>
      </c>
      <c r="D4896">
        <v>4.7294660000000004</v>
      </c>
      <c r="E4896">
        <v>0.65295839999999905</v>
      </c>
      <c r="F4896" t="s">
        <v>41</v>
      </c>
      <c r="G4896">
        <v>-389.79140000000001</v>
      </c>
      <c r="H4896" s="1">
        <v>-1.481934E-6</v>
      </c>
      <c r="I4896">
        <v>144.91589999999999</v>
      </c>
      <c r="J4896">
        <v>-378.26740000000001</v>
      </c>
      <c r="K4896">
        <v>1.110619</v>
      </c>
      <c r="L4896">
        <v>141.66999999999999</v>
      </c>
      <c r="M4896">
        <v>-0.99991070000000004</v>
      </c>
      <c r="N4896">
        <v>-1.334976E-2</v>
      </c>
      <c r="O4896">
        <v>7.2486929999999897E-4</v>
      </c>
      <c r="P4896">
        <v>-0.97776160000000001</v>
      </c>
      <c r="Q4896">
        <v>0.17967230000000001</v>
      </c>
      <c r="R4896">
        <v>-0.1081684</v>
      </c>
      <c r="S4896">
        <v>-3.2218930000000001</v>
      </c>
      <c r="T4896">
        <v>-0.30328870000000002</v>
      </c>
      <c r="U4896">
        <v>0.88645940000000001</v>
      </c>
      <c r="V4896">
        <v>-0.10891579999999999</v>
      </c>
      <c r="W4896">
        <v>0.1926863</v>
      </c>
      <c r="X4896">
        <v>0.97519710000000004</v>
      </c>
      <c r="Y4896">
        <v>0.26333610000000002</v>
      </c>
      <c r="Z4896">
        <v>1.3879580000000001E-2</v>
      </c>
      <c r="AA4896">
        <v>0.96460429999999997</v>
      </c>
      <c r="AB4896">
        <v>28</v>
      </c>
      <c r="AC4896">
        <v>-11.523999999999999</v>
      </c>
      <c r="AD4896">
        <v>-1.110620481934</v>
      </c>
      <c r="AE4896">
        <v>3.2458999999999998</v>
      </c>
      <c r="AF4896">
        <v>3.20992249426835</v>
      </c>
      <c r="AG4896">
        <v>-1.110620481934</v>
      </c>
      <c r="AH4896">
        <v>11.428007995290599</v>
      </c>
      <c r="AI4896">
        <v>95.345221852396406</v>
      </c>
      <c r="AJ4896">
        <v>74.310899808245495</v>
      </c>
      <c r="AK4896">
        <v>11.922099102696899</v>
      </c>
      <c r="AL4896">
        <v>78.890404985029093</v>
      </c>
      <c r="AM4896">
        <v>96.372723031147004</v>
      </c>
      <c r="AN4896">
        <v>1.00000002277286</v>
      </c>
    </row>
    <row r="4897" spans="1:40" x14ac:dyDescent="0.25">
      <c r="A4897" t="str">
        <f>"20190304155159949"</f>
        <v>20190304155159949</v>
      </c>
      <c r="B4897" t="str">
        <f>"1551685919941972"</f>
        <v>1551685919941972</v>
      </c>
      <c r="C4897" t="s">
        <v>40</v>
      </c>
      <c r="D4897">
        <v>4.7271739999999998</v>
      </c>
      <c r="E4897">
        <v>0.65492550000000005</v>
      </c>
      <c r="F4897" t="s">
        <v>41</v>
      </c>
      <c r="G4897">
        <v>-390.01029999999997</v>
      </c>
      <c r="H4897" s="1">
        <v>-5.2233749999999998E-6</v>
      </c>
      <c r="I4897">
        <v>144.97659999999999</v>
      </c>
      <c r="J4897">
        <v>-378.53969999999998</v>
      </c>
      <c r="K4897">
        <v>1.110649</v>
      </c>
      <c r="L4897">
        <v>141.66999999999999</v>
      </c>
      <c r="M4897">
        <v>-0.99990950000000001</v>
      </c>
      <c r="N4897">
        <v>-1.3444670000000001E-2</v>
      </c>
      <c r="O4897">
        <v>5.5226289999999996E-4</v>
      </c>
      <c r="P4897">
        <v>-0.97777429999999999</v>
      </c>
      <c r="Q4897">
        <v>0.17924860000000001</v>
      </c>
      <c r="R4897">
        <v>-0.1087548</v>
      </c>
      <c r="S4897">
        <v>-3.2247309999999998</v>
      </c>
      <c r="T4897">
        <v>-0.30498960000000003</v>
      </c>
      <c r="U4897">
        <v>0.90806580000000003</v>
      </c>
      <c r="V4897">
        <v>-0.1093454</v>
      </c>
      <c r="W4897">
        <v>0.1923484</v>
      </c>
      <c r="X4897">
        <v>0.97521570000000002</v>
      </c>
      <c r="Y4897">
        <v>0.26924049999999999</v>
      </c>
      <c r="Z4897">
        <v>1.4268009999999999E-2</v>
      </c>
      <c r="AA4897">
        <v>0.96296729999999997</v>
      </c>
      <c r="AB4897">
        <v>28</v>
      </c>
      <c r="AC4897">
        <v>-11.4705999999999</v>
      </c>
      <c r="AD4897">
        <v>-1.1106542233750001</v>
      </c>
      <c r="AE4897">
        <v>3.3066</v>
      </c>
      <c r="AF4897">
        <v>3.2719421765805499</v>
      </c>
      <c r="AG4897">
        <v>-1.1106542233750001</v>
      </c>
      <c r="AH4897">
        <v>11.373971333381601</v>
      </c>
      <c r="AI4897">
        <v>95.361107554163596</v>
      </c>
      <c r="AJ4897">
        <v>73.951098396679797</v>
      </c>
      <c r="AK4897">
        <v>11.8872361086745</v>
      </c>
      <c r="AL4897">
        <v>78.9101339535883</v>
      </c>
      <c r="AM4897">
        <v>96.397530146609597</v>
      </c>
      <c r="AN4897">
        <v>0.99999999250510496</v>
      </c>
    </row>
    <row r="4898" spans="1:40" x14ac:dyDescent="0.25">
      <c r="A4898" t="str">
        <f>"20190304155159972"</f>
        <v>20190304155159972</v>
      </c>
      <c r="B4898" t="str">
        <f>"1551685919961489"</f>
        <v>1551685919961489</v>
      </c>
      <c r="C4898" t="s">
        <v>40</v>
      </c>
      <c r="D4898">
        <v>4.7146919999999897</v>
      </c>
      <c r="E4898">
        <v>0.65647509999999998</v>
      </c>
      <c r="F4898" t="s">
        <v>41</v>
      </c>
      <c r="G4898">
        <v>-390.23880000000003</v>
      </c>
      <c r="H4898" s="1">
        <v>-5.1518600000000003E-6</v>
      </c>
      <c r="I4898">
        <v>145.01179999999999</v>
      </c>
      <c r="J4898">
        <v>-378.81779999999998</v>
      </c>
      <c r="K4898">
        <v>1.110668</v>
      </c>
      <c r="L4898">
        <v>141.66999999999999</v>
      </c>
      <c r="M4898">
        <v>-0.99990849999999998</v>
      </c>
      <c r="N4898">
        <v>-1.352857E-2</v>
      </c>
      <c r="O4898">
        <v>3.4536920000000001E-4</v>
      </c>
      <c r="P4898">
        <v>-0.97776149999999995</v>
      </c>
      <c r="Q4898">
        <v>0.17884890000000001</v>
      </c>
      <c r="R4898">
        <v>-0.1095255</v>
      </c>
      <c r="S4898">
        <v>-3.2268680000000001</v>
      </c>
      <c r="T4898">
        <v>-0.30634359999999999</v>
      </c>
      <c r="U4898">
        <v>0.92175289999999999</v>
      </c>
      <c r="V4898">
        <v>-0.10992490000000001</v>
      </c>
      <c r="W4898">
        <v>0.19202459999999999</v>
      </c>
      <c r="X4898">
        <v>0.97521440000000004</v>
      </c>
      <c r="Y4898">
        <v>0.2730245</v>
      </c>
      <c r="Z4898">
        <v>1.453889E-2</v>
      </c>
      <c r="AA4898">
        <v>0.96189720000000001</v>
      </c>
      <c r="AB4898">
        <v>28</v>
      </c>
      <c r="AC4898">
        <v>-11.420999999999999</v>
      </c>
      <c r="AD4898">
        <v>-1.1106731518599999</v>
      </c>
      <c r="AE4898">
        <v>3.3418000000000001</v>
      </c>
      <c r="AF4898">
        <v>3.3090286876138002</v>
      </c>
      <c r="AG4898">
        <v>-1.1106731518599999</v>
      </c>
      <c r="AH4898">
        <v>11.323509892752</v>
      </c>
      <c r="AI4898">
        <v>95.378428603183906</v>
      </c>
      <c r="AJ4898">
        <v>73.710242970325595</v>
      </c>
      <c r="AK4898">
        <v>11.8492675721736</v>
      </c>
      <c r="AL4898">
        <v>78.929039143718896</v>
      </c>
      <c r="AM4898">
        <v>96.431160443653397</v>
      </c>
      <c r="AN4898">
        <v>1.00000002830626</v>
      </c>
    </row>
    <row r="4899" spans="1:40" x14ac:dyDescent="0.25">
      <c r="A4899" t="str">
        <f>"20190304155159994"</f>
        <v>20190304155159994</v>
      </c>
      <c r="B4899" t="str">
        <f>"1551685919991745"</f>
        <v>1551685919991745</v>
      </c>
      <c r="C4899" t="s">
        <v>40</v>
      </c>
      <c r="D4899">
        <v>4.7100059999999999</v>
      </c>
      <c r="E4899">
        <v>0.65906709999999902</v>
      </c>
      <c r="F4899" t="s">
        <v>41</v>
      </c>
      <c r="G4899">
        <v>-390.52420000000001</v>
      </c>
      <c r="H4899" s="1">
        <v>-5.0611879999999996E-6</v>
      </c>
      <c r="I4899">
        <v>145.04820000000001</v>
      </c>
      <c r="J4899">
        <v>-379.09269999999998</v>
      </c>
      <c r="K4899">
        <v>1.110695</v>
      </c>
      <c r="L4899">
        <v>141.66980000000001</v>
      </c>
      <c r="M4899">
        <v>-0.99990769999999995</v>
      </c>
      <c r="N4899">
        <v>-1.3600370000000001E-2</v>
      </c>
      <c r="O4899">
        <v>1.117143E-4</v>
      </c>
      <c r="P4899">
        <v>-0.97768040000000001</v>
      </c>
      <c r="Q4899">
        <v>0.17887999999999901</v>
      </c>
      <c r="R4899">
        <v>-0.110197</v>
      </c>
      <c r="S4899">
        <v>-3.2286380000000001</v>
      </c>
      <c r="T4899">
        <v>-0.30632540000000003</v>
      </c>
      <c r="U4899">
        <v>0.93176270000000005</v>
      </c>
      <c r="V4899">
        <v>-0.11037710000000001</v>
      </c>
      <c r="W4899">
        <v>0.19211919999999999</v>
      </c>
      <c r="X4899">
        <v>0.97514469999999998</v>
      </c>
      <c r="Y4899">
        <v>0.27585130000000002</v>
      </c>
      <c r="Z4899">
        <v>1.470636E-2</v>
      </c>
      <c r="AA4899">
        <v>0.96108780000000005</v>
      </c>
      <c r="AB4899">
        <v>28</v>
      </c>
      <c r="AC4899">
        <v>-11.4315</v>
      </c>
      <c r="AD4899">
        <v>-1.110700061188</v>
      </c>
      <c r="AE4899">
        <v>3.3783999999999899</v>
      </c>
      <c r="AF4899">
        <v>3.3480548660250098</v>
      </c>
      <c r="AG4899">
        <v>-1.110700061188</v>
      </c>
      <c r="AH4899">
        <v>11.333479699926</v>
      </c>
      <c r="AI4899">
        <v>95.369252241712203</v>
      </c>
      <c r="AJ4899">
        <v>73.5421855147207</v>
      </c>
      <c r="AK4899">
        <v>11.8697467589023</v>
      </c>
      <c r="AL4899">
        <v>78.923516244522204</v>
      </c>
      <c r="AM4899">
        <v>96.457851067535501</v>
      </c>
      <c r="AN4899">
        <v>1.0000000385755601</v>
      </c>
    </row>
    <row r="4900" spans="1:40" x14ac:dyDescent="0.25">
      <c r="A4900" t="str">
        <f>"20190304155200019"</f>
        <v>20190304155200019</v>
      </c>
      <c r="B4900" t="str">
        <f>"1551685920012241"</f>
        <v>1551685920012241</v>
      </c>
      <c r="C4900" t="s">
        <v>40</v>
      </c>
      <c r="D4900">
        <v>4.7493379999999998</v>
      </c>
      <c r="E4900">
        <v>0.70627799999999996</v>
      </c>
      <c r="F4900" t="s">
        <v>41</v>
      </c>
      <c r="G4900">
        <v>-390.90159999999997</v>
      </c>
      <c r="H4900" s="1">
        <v>-4.9496379999999998E-6</v>
      </c>
      <c r="I4900">
        <v>145.14340000000001</v>
      </c>
      <c r="J4900">
        <v>-379.38740000000001</v>
      </c>
      <c r="K4900">
        <v>1.1107229999999999</v>
      </c>
      <c r="L4900">
        <v>141.6695</v>
      </c>
      <c r="M4900">
        <v>-0.99990670000000004</v>
      </c>
      <c r="N4900">
        <v>-1.36667E-2</v>
      </c>
      <c r="O4900">
        <v>-1.7230270000000001E-4</v>
      </c>
      <c r="P4900">
        <v>-0.97770009999999996</v>
      </c>
      <c r="Q4900">
        <v>0.1787125</v>
      </c>
      <c r="R4900">
        <v>-0.1102935</v>
      </c>
      <c r="S4900">
        <v>-3.2312620000000001</v>
      </c>
      <c r="T4900">
        <v>-0.30391970000000001</v>
      </c>
      <c r="U4900">
        <v>0.95050049999999997</v>
      </c>
      <c r="V4900">
        <v>-0.1102065</v>
      </c>
      <c r="W4900">
        <v>0.1920115</v>
      </c>
      <c r="X4900">
        <v>0.97518519999999997</v>
      </c>
      <c r="Y4900">
        <v>0.28104679999999999</v>
      </c>
      <c r="Z4900">
        <v>1.4894579999999999E-2</v>
      </c>
      <c r="AA4900">
        <v>0.9595785</v>
      </c>
      <c r="AB4900">
        <v>28</v>
      </c>
      <c r="AC4900">
        <v>-11.514199999999899</v>
      </c>
      <c r="AD4900">
        <v>-1.11072794963799</v>
      </c>
      <c r="AE4900">
        <v>3.4739000000000102</v>
      </c>
      <c r="AF4900">
        <v>3.4464879829704702</v>
      </c>
      <c r="AG4900">
        <v>-1.11072794963799</v>
      </c>
      <c r="AH4900">
        <v>11.4162289404878</v>
      </c>
      <c r="AI4900">
        <v>95.321281848163395</v>
      </c>
      <c r="AJ4900">
        <v>73.201263717512006</v>
      </c>
      <c r="AK4900">
        <v>11.9767390894391</v>
      </c>
      <c r="AL4900">
        <v>78.929803986608604</v>
      </c>
      <c r="AM4900">
        <v>96.447688338626506</v>
      </c>
      <c r="AN4900">
        <v>1.0000000315367601</v>
      </c>
    </row>
    <row r="4901" spans="1:40" x14ac:dyDescent="0.25">
      <c r="A4901" t="str">
        <f>"20190304155200040"</f>
        <v>20190304155200040</v>
      </c>
      <c r="B4901" t="str">
        <f>"1551685920031762"</f>
        <v>1551685920031762</v>
      </c>
      <c r="C4901" t="s">
        <v>40</v>
      </c>
      <c r="D4901">
        <v>4.7420019999999896</v>
      </c>
      <c r="E4901">
        <v>0.70330669999999995</v>
      </c>
      <c r="F4901" t="s">
        <v>41</v>
      </c>
      <c r="G4901">
        <v>-391.14850000000001</v>
      </c>
      <c r="H4901" s="1">
        <v>-5.0935639999999997E-6</v>
      </c>
      <c r="I4901">
        <v>146.42840000000001</v>
      </c>
      <c r="J4901">
        <v>-379.65660000000003</v>
      </c>
      <c r="K4901">
        <v>1.110757</v>
      </c>
      <c r="L4901">
        <v>141.66919999999999</v>
      </c>
      <c r="M4901">
        <v>-0.99990579999999996</v>
      </c>
      <c r="N4901">
        <v>-1.371897E-2</v>
      </c>
      <c r="O4901">
        <v>-4.635617E-4</v>
      </c>
      <c r="P4901">
        <v>-0.97771339999999995</v>
      </c>
      <c r="Q4901">
        <v>0.17845999999999901</v>
      </c>
      <c r="R4901">
        <v>-0.1105836</v>
      </c>
      <c r="S4901">
        <v>-3.2744450000000001</v>
      </c>
      <c r="T4901">
        <v>-0.3092415</v>
      </c>
      <c r="U4901">
        <v>1.324951</v>
      </c>
      <c r="V4901">
        <v>-0.11022270000000001</v>
      </c>
      <c r="W4901">
        <v>0.19180469999999999</v>
      </c>
      <c r="X4901">
        <v>0.97522399999999998</v>
      </c>
      <c r="Y4901">
        <v>0.37385439999999998</v>
      </c>
      <c r="Z4901">
        <v>1.9654439999999999E-2</v>
      </c>
      <c r="AA4901">
        <v>0.92727919999999997</v>
      </c>
      <c r="AB4901">
        <v>28</v>
      </c>
      <c r="AC4901">
        <v>-11.4918999999999</v>
      </c>
      <c r="AD4901">
        <v>-1.1107620935639999</v>
      </c>
      <c r="AE4901">
        <v>4.7592000000000203</v>
      </c>
      <c r="AF4901">
        <v>4.7268322268898801</v>
      </c>
      <c r="AG4901">
        <v>-1.1107620935639999</v>
      </c>
      <c r="AH4901">
        <v>11.398790682801501</v>
      </c>
      <c r="AI4901">
        <v>95.143514956604903</v>
      </c>
      <c r="AJ4901">
        <v>67.477271086837504</v>
      </c>
      <c r="AK4901">
        <v>12.3898815313136</v>
      </c>
      <c r="AL4901">
        <v>78.941876451240901</v>
      </c>
      <c r="AM4901">
        <v>96.448373742466103</v>
      </c>
      <c r="AN4901">
        <v>0.99999996835668903</v>
      </c>
    </row>
    <row r="4902" spans="1:40" x14ac:dyDescent="0.25">
      <c r="A4902" t="str">
        <f>"20190304155200062"</f>
        <v>20190304155200062</v>
      </c>
      <c r="B4902" t="str">
        <f>"1551685920052257"</f>
        <v>1551685920052257</v>
      </c>
      <c r="C4902" t="s">
        <v>40</v>
      </c>
      <c r="D4902">
        <v>4.7230660000000002</v>
      </c>
      <c r="E4902">
        <v>0.70246850000000005</v>
      </c>
      <c r="F4902" t="s">
        <v>41</v>
      </c>
      <c r="G4902">
        <v>-391.40010000000001</v>
      </c>
      <c r="H4902" s="1">
        <v>-4.991668E-6</v>
      </c>
      <c r="I4902">
        <v>146.33670000000001</v>
      </c>
      <c r="J4902">
        <v>-379.93279999999999</v>
      </c>
      <c r="K4902">
        <v>1.110787</v>
      </c>
      <c r="L4902">
        <v>141.6687</v>
      </c>
      <c r="M4902">
        <v>-0.99990500000000004</v>
      </c>
      <c r="N4902">
        <v>-1.376522E-2</v>
      </c>
      <c r="O4902">
        <v>-7.9621499999999997E-4</v>
      </c>
      <c r="P4902">
        <v>-0.97771790000000003</v>
      </c>
      <c r="Q4902">
        <v>0.1783131</v>
      </c>
      <c r="R4902">
        <v>-0.1107815</v>
      </c>
      <c r="S4902">
        <v>-3.271973</v>
      </c>
      <c r="T4902">
        <v>-0.30948009999999998</v>
      </c>
      <c r="U4902">
        <v>1.300476</v>
      </c>
      <c r="V4902">
        <v>-0.11010689999999999</v>
      </c>
      <c r="W4902">
        <v>0.19169559999999999</v>
      </c>
      <c r="X4902">
        <v>0.97525850000000003</v>
      </c>
      <c r="Y4902">
        <v>0.36843870000000001</v>
      </c>
      <c r="Z4902">
        <v>1.9448759999999999E-2</v>
      </c>
      <c r="AA4902">
        <v>0.92944859999999896</v>
      </c>
      <c r="AB4902">
        <v>28</v>
      </c>
      <c r="AC4902">
        <v>-11.4673</v>
      </c>
      <c r="AD4902">
        <v>-1.110791991668</v>
      </c>
      <c r="AE4902">
        <v>4.6680000000000001</v>
      </c>
      <c r="AF4902">
        <v>4.6397831730373902</v>
      </c>
      <c r="AG4902">
        <v>-1.110791991668</v>
      </c>
      <c r="AH4902">
        <v>11.3720431732071</v>
      </c>
      <c r="AI4902">
        <v>95.167749332998596</v>
      </c>
      <c r="AJ4902">
        <v>67.804585571813007</v>
      </c>
      <c r="AK4902">
        <v>12.3322671344259</v>
      </c>
      <c r="AL4902">
        <v>78.948245259342599</v>
      </c>
      <c r="AM4902">
        <v>96.441430092944401</v>
      </c>
      <c r="AN4902">
        <v>0.999999937154608</v>
      </c>
    </row>
    <row r="4903" spans="1:40" x14ac:dyDescent="0.25">
      <c r="A4903" t="str">
        <f>"20190304155200084"</f>
        <v>20190304155200084</v>
      </c>
      <c r="B4903" t="str">
        <f>"1551685920071776"</f>
        <v>1551685920071776</v>
      </c>
      <c r="C4903" t="s">
        <v>40</v>
      </c>
      <c r="D4903">
        <v>4.7455129999999999</v>
      </c>
      <c r="E4903">
        <v>0.70358509999999996</v>
      </c>
      <c r="F4903" t="s">
        <v>41</v>
      </c>
      <c r="G4903">
        <v>-391.66890000000001</v>
      </c>
      <c r="H4903" s="1">
        <v>-4.8948449999999999E-6</v>
      </c>
      <c r="I4903">
        <v>146.3066</v>
      </c>
      <c r="J4903">
        <v>-380.19909999999999</v>
      </c>
      <c r="K4903">
        <v>1.1108180000000001</v>
      </c>
      <c r="L4903">
        <v>141.66810000000001</v>
      </c>
      <c r="M4903">
        <v>-0.99990420000000002</v>
      </c>
      <c r="N4903">
        <v>-1.380349E-2</v>
      </c>
      <c r="O4903">
        <v>-1.1547230000000001E-3</v>
      </c>
      <c r="P4903">
        <v>-0.97769830000000002</v>
      </c>
      <c r="Q4903">
        <v>0.17795999999999901</v>
      </c>
      <c r="R4903">
        <v>-0.111518699999999</v>
      </c>
      <c r="S4903">
        <v>-3.2713619999999999</v>
      </c>
      <c r="T4903">
        <v>-0.30962489999999998</v>
      </c>
      <c r="U4903">
        <v>1.2928010000000001</v>
      </c>
      <c r="V4903">
        <v>-0.11050749999999999</v>
      </c>
      <c r="W4903">
        <v>0.19137270000000001</v>
      </c>
      <c r="X4903">
        <v>0.9752767</v>
      </c>
      <c r="Y4903">
        <v>0.36694769999999999</v>
      </c>
      <c r="Z4903">
        <v>1.9422129999999999E-2</v>
      </c>
      <c r="AA4903">
        <v>0.93003880000000005</v>
      </c>
      <c r="AB4903">
        <v>28</v>
      </c>
      <c r="AC4903">
        <v>-11.469799999999999</v>
      </c>
      <c r="AD4903">
        <v>-1.1108228948450001</v>
      </c>
      <c r="AE4903">
        <v>4.6384999999999899</v>
      </c>
      <c r="AF4903">
        <v>4.6145443401999202</v>
      </c>
      <c r="AG4903">
        <v>-1.1108228948450001</v>
      </c>
      <c r="AH4903">
        <v>11.3727587989236</v>
      </c>
      <c r="AI4903">
        <v>95.1715981719084</v>
      </c>
      <c r="AJ4903">
        <v>67.914940289411106</v>
      </c>
      <c r="AK4903">
        <v>12.323456887979001</v>
      </c>
      <c r="AL4903">
        <v>78.967096087883306</v>
      </c>
      <c r="AM4903">
        <v>96.464548177215207</v>
      </c>
      <c r="AN4903">
        <v>1.00000002971221</v>
      </c>
    </row>
    <row r="4904" spans="1:40" x14ac:dyDescent="0.25">
      <c r="A4904" t="str">
        <f>"20190304155200105"</f>
        <v>20190304155200105</v>
      </c>
      <c r="B4904" t="str">
        <f>"1551685920102033"</f>
        <v>1551685920102033</v>
      </c>
      <c r="C4904" t="s">
        <v>40</v>
      </c>
      <c r="D4904">
        <v>4.6263880000000004</v>
      </c>
      <c r="E4904">
        <v>0.70481870000000002</v>
      </c>
      <c r="F4904" t="s">
        <v>41</v>
      </c>
      <c r="G4904">
        <v>-391.76209999999998</v>
      </c>
      <c r="H4904" s="1">
        <v>-4.8545179999999999E-6</v>
      </c>
      <c r="I4904">
        <v>146.25799999999899</v>
      </c>
      <c r="J4904">
        <v>-380.46940000000001</v>
      </c>
      <c r="K4904">
        <v>1.110851</v>
      </c>
      <c r="L4904">
        <v>141.66739999999999</v>
      </c>
      <c r="M4904">
        <v>-0.99990310000000004</v>
      </c>
      <c r="N4904">
        <v>-1.3836960000000001E-2</v>
      </c>
      <c r="O4904">
        <v>-1.561549E-3</v>
      </c>
      <c r="P4904">
        <v>-0.97767700000000002</v>
      </c>
      <c r="Q4904">
        <v>0.17765690000000001</v>
      </c>
      <c r="R4904">
        <v>-0.11218690000000001</v>
      </c>
      <c r="S4904">
        <v>-3.273895</v>
      </c>
      <c r="T4904">
        <v>-0.3145133</v>
      </c>
      <c r="U4904">
        <v>1.2995760000000001</v>
      </c>
      <c r="V4904">
        <v>-0.1107926</v>
      </c>
      <c r="W4904">
        <v>0.19109329999999999</v>
      </c>
      <c r="X4904">
        <v>0.97529909999999997</v>
      </c>
      <c r="Y4904">
        <v>0.36868800000000002</v>
      </c>
      <c r="Z4904">
        <v>1.980026E-2</v>
      </c>
      <c r="AA4904">
        <v>0.92934229999999995</v>
      </c>
      <c r="AB4904">
        <v>28</v>
      </c>
      <c r="AC4904">
        <v>-11.2926999999999</v>
      </c>
      <c r="AD4904">
        <v>-1.1108558545180001</v>
      </c>
      <c r="AE4904">
        <v>4.5905999999999896</v>
      </c>
      <c r="AF4904">
        <v>4.5702774632383196</v>
      </c>
      <c r="AG4904">
        <v>-1.1108558545180001</v>
      </c>
      <c r="AH4904">
        <v>11.192571177512001</v>
      </c>
      <c r="AI4904">
        <v>95.249847603214803</v>
      </c>
      <c r="AJ4904">
        <v>67.788267744555597</v>
      </c>
      <c r="AK4904">
        <v>12.1406378079643</v>
      </c>
      <c r="AL4904">
        <v>78.983405103506399</v>
      </c>
      <c r="AM4904">
        <v>96.480936855194102</v>
      </c>
      <c r="AN4904">
        <v>0.99999999199022904</v>
      </c>
    </row>
    <row r="4905" spans="1:40" x14ac:dyDescent="0.25">
      <c r="A4905" t="str">
        <f>"20190304155200130"</f>
        <v>20190304155200130</v>
      </c>
      <c r="B4905" t="str">
        <f>"1551685920121552"</f>
        <v>1551685920121552</v>
      </c>
      <c r="C4905" t="s">
        <v>40</v>
      </c>
      <c r="D4905">
        <v>4.6191680000000002</v>
      </c>
      <c r="E4905">
        <v>0.70715649999999997</v>
      </c>
      <c r="F4905" t="s">
        <v>41</v>
      </c>
      <c r="G4905">
        <v>-392.19670000000002</v>
      </c>
      <c r="H4905" s="1">
        <v>-4.7225000000000001E-6</v>
      </c>
      <c r="I4905">
        <v>146.3475</v>
      </c>
      <c r="J4905">
        <v>-380.75020000000001</v>
      </c>
      <c r="K4905">
        <v>1.1108990000000001</v>
      </c>
      <c r="L4905">
        <v>141.66640000000001</v>
      </c>
      <c r="M4905">
        <v>-0.99990179999999995</v>
      </c>
      <c r="N4905">
        <v>-1.386654E-2</v>
      </c>
      <c r="O4905">
        <v>-2.0394860000000001E-3</v>
      </c>
      <c r="P4905">
        <v>-0.97758900000000004</v>
      </c>
      <c r="Q4905">
        <v>0.17789650000000001</v>
      </c>
      <c r="R4905">
        <v>-0.1125734</v>
      </c>
      <c r="S4905">
        <v>-3.2748409999999999</v>
      </c>
      <c r="T4905">
        <v>-0.31020560000000003</v>
      </c>
      <c r="U4905">
        <v>1.306961</v>
      </c>
      <c r="V4905">
        <v>-0.1107298</v>
      </c>
      <c r="W4905">
        <v>0.1913511</v>
      </c>
      <c r="X4905">
        <v>0.97525569999999895</v>
      </c>
      <c r="Y4905">
        <v>0.37088179999999998</v>
      </c>
      <c r="Z4905">
        <v>1.9713959999999999E-2</v>
      </c>
      <c r="AA4905">
        <v>0.92847080000000004</v>
      </c>
      <c r="AB4905">
        <v>28</v>
      </c>
      <c r="AC4905">
        <v>-11.4465</v>
      </c>
      <c r="AD4905">
        <v>-1.1109037225</v>
      </c>
      <c r="AE4905">
        <v>4.6810999999999803</v>
      </c>
      <c r="AF4905">
        <v>4.6667789829008104</v>
      </c>
      <c r="AG4905">
        <v>-1.1109037225</v>
      </c>
      <c r="AH4905">
        <v>11.3453768917104</v>
      </c>
      <c r="AI4905">
        <v>95.174317633727895</v>
      </c>
      <c r="AJ4905">
        <v>67.640796667129706</v>
      </c>
      <c r="AK4905">
        <v>12.317893893473199</v>
      </c>
      <c r="AL4905">
        <v>78.968356716224406</v>
      </c>
      <c r="AM4905">
        <v>96.477580324631504</v>
      </c>
      <c r="AN4905">
        <v>1.0000000062308601</v>
      </c>
    </row>
    <row r="4906" spans="1:40" x14ac:dyDescent="0.25">
      <c r="A4906" t="str">
        <f>"20190304155200151"</f>
        <v>20190304155200151</v>
      </c>
      <c r="B4906" t="str">
        <f>"1551685920142049"</f>
        <v>1551685920142049</v>
      </c>
      <c r="C4906" t="s">
        <v>40</v>
      </c>
      <c r="D4906">
        <v>4.5927670000000003</v>
      </c>
      <c r="E4906">
        <v>0.70978629999999998</v>
      </c>
      <c r="F4906" t="s">
        <v>41</v>
      </c>
      <c r="G4906">
        <v>-392.61059999999998</v>
      </c>
      <c r="H4906" s="1">
        <v>-4.6012509999999996E-6</v>
      </c>
      <c r="I4906">
        <v>146.4579</v>
      </c>
      <c r="J4906">
        <v>-381.02769999999998</v>
      </c>
      <c r="K4906">
        <v>1.110946</v>
      </c>
      <c r="L4906">
        <v>141.6653</v>
      </c>
      <c r="M4906">
        <v>-0.99990029999999996</v>
      </c>
      <c r="N4906">
        <v>-1.389118E-2</v>
      </c>
      <c r="O4906">
        <v>-2.570601E-3</v>
      </c>
      <c r="P4906">
        <v>-0.97753489999999998</v>
      </c>
      <c r="Q4906">
        <v>0.177626799999999</v>
      </c>
      <c r="R4906">
        <v>-0.11346589999999999</v>
      </c>
      <c r="S4906">
        <v>-3.2770389999999998</v>
      </c>
      <c r="T4906">
        <v>-0.30694579999999999</v>
      </c>
      <c r="U4906">
        <v>1.3239289999999999</v>
      </c>
      <c r="V4906">
        <v>-0.1111214</v>
      </c>
      <c r="W4906">
        <v>0.19109470000000001</v>
      </c>
      <c r="X4906">
        <v>0.97526139999999995</v>
      </c>
      <c r="Y4906">
        <v>0.37531249999999999</v>
      </c>
      <c r="Z4906">
        <v>1.9788E-2</v>
      </c>
      <c r="AA4906">
        <v>0.92668709999999999</v>
      </c>
      <c r="AB4906">
        <v>27</v>
      </c>
      <c r="AC4906">
        <v>-11.582899999999899</v>
      </c>
      <c r="AD4906">
        <v>-1.110950601251</v>
      </c>
      <c r="AE4906">
        <v>4.7925999999999904</v>
      </c>
      <c r="AF4906">
        <v>4.7847795897081102</v>
      </c>
      <c r="AG4906">
        <v>-1.110950601251</v>
      </c>
      <c r="AH4906">
        <v>11.480367154756999</v>
      </c>
      <c r="AI4906">
        <v>95.104240152841498</v>
      </c>
      <c r="AJ4906">
        <v>67.374635640297001</v>
      </c>
      <c r="AK4906">
        <v>12.4870796012731</v>
      </c>
      <c r="AL4906">
        <v>78.983323184100797</v>
      </c>
      <c r="AM4906">
        <v>96.500255133515395</v>
      </c>
      <c r="AN4906">
        <v>0.99999997411800401</v>
      </c>
    </row>
    <row r="4907" spans="1:40" x14ac:dyDescent="0.25">
      <c r="A4907" t="str">
        <f>"20190304155200174"</f>
        <v>20190304155200174</v>
      </c>
      <c r="B4907" t="str">
        <f>"1551685920161568"</f>
        <v>1551685920161568</v>
      </c>
      <c r="C4907" t="s">
        <v>40</v>
      </c>
      <c r="D4907">
        <v>4.5390189999999997</v>
      </c>
      <c r="E4907">
        <v>0.71173690000000001</v>
      </c>
      <c r="F4907" t="s">
        <v>41</v>
      </c>
      <c r="G4907">
        <v>-392.97210000000001</v>
      </c>
      <c r="H4907" s="1">
        <v>-4.4948370000000001E-6</v>
      </c>
      <c r="I4907">
        <v>146.55170000000001</v>
      </c>
      <c r="J4907">
        <v>-381.29750000000001</v>
      </c>
      <c r="K4907">
        <v>1.1109910000000001</v>
      </c>
      <c r="L4907">
        <v>141.66399999999999</v>
      </c>
      <c r="M4907">
        <v>-0.99989839999999997</v>
      </c>
      <c r="N4907">
        <v>-1.3911629999999999E-2</v>
      </c>
      <c r="O4907">
        <v>-3.1334510000000002E-3</v>
      </c>
      <c r="P4907">
        <v>-0.97743429999999998</v>
      </c>
      <c r="Q4907">
        <v>0.17745449999999999</v>
      </c>
      <c r="R4907">
        <v>-0.1145953</v>
      </c>
      <c r="S4907">
        <v>-3.2801819999999999</v>
      </c>
      <c r="T4907">
        <v>-0.30508950000000001</v>
      </c>
      <c r="U4907">
        <v>1.341934</v>
      </c>
      <c r="V4907">
        <v>-0.111717</v>
      </c>
      <c r="W4907">
        <v>0.1909313</v>
      </c>
      <c r="X4907">
        <v>0.97522540000000002</v>
      </c>
      <c r="Y4907">
        <v>0.37988949999999999</v>
      </c>
      <c r="Z4907">
        <v>1.9939370000000001E-2</v>
      </c>
      <c r="AA4907">
        <v>0.924817</v>
      </c>
      <c r="AB4907">
        <v>27</v>
      </c>
      <c r="AC4907">
        <v>-11.6745999999999</v>
      </c>
      <c r="AD4907">
        <v>-1.110995494837</v>
      </c>
      <c r="AE4907">
        <v>4.8877000000000201</v>
      </c>
      <c r="AF4907">
        <v>4.8866076136366603</v>
      </c>
      <c r="AG4907">
        <v>-1.110995494837</v>
      </c>
      <c r="AH4907">
        <v>11.570072733949599</v>
      </c>
      <c r="AI4907">
        <v>95.055073781837194</v>
      </c>
      <c r="AJ4907">
        <v>67.103288155986803</v>
      </c>
      <c r="AK4907">
        <v>12.6087203168317</v>
      </c>
      <c r="AL4907">
        <v>78.992861385191304</v>
      </c>
      <c r="AM4907">
        <v>96.535034449994498</v>
      </c>
      <c r="AN4907">
        <v>1.0000000151069199</v>
      </c>
    </row>
    <row r="4908" spans="1:40" x14ac:dyDescent="0.25">
      <c r="A4908" t="str">
        <f>"20190304155200195"</f>
        <v>20190304155200195</v>
      </c>
      <c r="B4908" t="str">
        <f>"1551685920191826"</f>
        <v>1551685920191826</v>
      </c>
      <c r="C4908" t="s">
        <v>40</v>
      </c>
      <c r="D4908">
        <v>5.2122010000000003</v>
      </c>
      <c r="E4908">
        <v>0.71091530000000003</v>
      </c>
      <c r="F4908" t="s">
        <v>41</v>
      </c>
      <c r="G4908">
        <v>-393.28</v>
      </c>
      <c r="H4908" s="1">
        <v>-4.3991620000000004E-6</v>
      </c>
      <c r="I4908">
        <v>146.6028</v>
      </c>
      <c r="J4908">
        <v>-381.5652</v>
      </c>
      <c r="K4908">
        <v>1.1110249999999999</v>
      </c>
      <c r="L4908">
        <v>141.66239999999999</v>
      </c>
      <c r="M4908">
        <v>-0.99989609999999995</v>
      </c>
      <c r="N4908">
        <v>-1.39287E-2</v>
      </c>
      <c r="O4908">
        <v>-3.7397490000000001E-3</v>
      </c>
      <c r="P4908">
        <v>-0.97727969999999997</v>
      </c>
      <c r="Q4908">
        <v>0.1774212</v>
      </c>
      <c r="R4908">
        <v>-0.11595900000000001</v>
      </c>
      <c r="S4908">
        <v>-3.2832029999999999</v>
      </c>
      <c r="T4908">
        <v>-0.30441489999999999</v>
      </c>
      <c r="U4908">
        <v>1.3532869999999999</v>
      </c>
      <c r="V4908">
        <v>-0.1125044</v>
      </c>
      <c r="W4908">
        <v>0.19090370000000001</v>
      </c>
      <c r="X4908">
        <v>0.97514029999999996</v>
      </c>
      <c r="Y4908">
        <v>0.38288309999999998</v>
      </c>
      <c r="Z4908">
        <v>2.0081410000000001E-2</v>
      </c>
      <c r="AA4908">
        <v>0.92357849999999997</v>
      </c>
      <c r="AB4908">
        <v>27</v>
      </c>
      <c r="AC4908">
        <v>-11.714799999999901</v>
      </c>
      <c r="AD4908">
        <v>-1.1110293991619999</v>
      </c>
      <c r="AE4908">
        <v>4.9404000000000101</v>
      </c>
      <c r="AF4908">
        <v>4.9464071336525999</v>
      </c>
      <c r="AG4908">
        <v>-1.1110293991619999</v>
      </c>
      <c r="AH4908">
        <v>11.607599613102099</v>
      </c>
      <c r="AI4908">
        <v>95.032148514569002</v>
      </c>
      <c r="AJ4908">
        <v>66.919437743470297</v>
      </c>
      <c r="AK4908">
        <v>12.666400381945101</v>
      </c>
      <c r="AL4908">
        <v>78.994472588256698</v>
      </c>
      <c r="AM4908">
        <v>96.581261106605794</v>
      </c>
      <c r="AN4908">
        <v>1.0000000336885599</v>
      </c>
    </row>
    <row r="4909" spans="1:40" x14ac:dyDescent="0.25">
      <c r="A4909" t="str">
        <f>"20190304155200218"</f>
        <v>20190304155200218</v>
      </c>
      <c r="B4909" t="str">
        <f>"1551685920211344"</f>
        <v>1551685920211344</v>
      </c>
      <c r="C4909" t="s">
        <v>40</v>
      </c>
      <c r="D4909">
        <v>5.5437450000000004</v>
      </c>
      <c r="E4909">
        <v>0.5500138</v>
      </c>
      <c r="F4909" t="s">
        <v>41</v>
      </c>
      <c r="G4909">
        <v>-393.709</v>
      </c>
      <c r="H4909" s="1">
        <v>-4.2576809999999996E-6</v>
      </c>
      <c r="I4909">
        <v>146.6283</v>
      </c>
      <c r="J4909">
        <v>-381.84269999999998</v>
      </c>
      <c r="K4909">
        <v>1.111067</v>
      </c>
      <c r="L4909">
        <v>141.66069999999999</v>
      </c>
      <c r="M4909">
        <v>-0.99989309999999998</v>
      </c>
      <c r="N4909">
        <v>-1.394369E-2</v>
      </c>
      <c r="O4909">
        <v>-4.4230830000000004E-3</v>
      </c>
      <c r="P4909">
        <v>-0.97698090000000004</v>
      </c>
      <c r="Q4909">
        <v>0.177841</v>
      </c>
      <c r="R4909">
        <v>-0.117818699999999</v>
      </c>
      <c r="S4909">
        <v>-3.283569</v>
      </c>
      <c r="T4909">
        <v>-0.30041299999999999</v>
      </c>
      <c r="U4909">
        <v>1.342743</v>
      </c>
      <c r="V4909">
        <v>-0.1137145</v>
      </c>
      <c r="W4909">
        <v>0.1913241</v>
      </c>
      <c r="X4909">
        <v>0.97491749999999999</v>
      </c>
      <c r="Y4909">
        <v>0.38098310000000002</v>
      </c>
      <c r="Z4909">
        <v>1.9817290000000001E-2</v>
      </c>
      <c r="AA4909">
        <v>0.92436960000000001</v>
      </c>
      <c r="AB4909">
        <v>27</v>
      </c>
      <c r="AC4909">
        <v>-11.866300000000001</v>
      </c>
      <c r="AD4909">
        <v>-1.111071257681</v>
      </c>
      <c r="AE4909">
        <v>4.9676</v>
      </c>
      <c r="AF4909">
        <v>4.98287132545929</v>
      </c>
      <c r="AG4909">
        <v>-1.111071257681</v>
      </c>
      <c r="AH4909">
        <v>11.7565094511266</v>
      </c>
      <c r="AI4909">
        <v>94.973005552890996</v>
      </c>
      <c r="AJ4909">
        <v>67.030857902897296</v>
      </c>
      <c r="AK4909">
        <v>12.817136983747901</v>
      </c>
      <c r="AL4909">
        <v>78.969932922989798</v>
      </c>
      <c r="AM4909">
        <v>96.652924790986205</v>
      </c>
      <c r="AN4909">
        <v>1.0000000152786499</v>
      </c>
    </row>
    <row r="4910" spans="1:40" x14ac:dyDescent="0.25">
      <c r="A4910" t="str">
        <f>"20190304155200241"</f>
        <v>20190304155200241</v>
      </c>
      <c r="B4910" t="str">
        <f>"1551685920231841"</f>
        <v>1551685920231841</v>
      </c>
      <c r="C4910" t="s">
        <v>40</v>
      </c>
      <c r="D4910">
        <v>4.6018999999999997</v>
      </c>
      <c r="E4910">
        <v>0.49554799999999899</v>
      </c>
      <c r="F4910" t="s">
        <v>84</v>
      </c>
      <c r="G4910">
        <v>-419.3716</v>
      </c>
      <c r="H4910" s="1">
        <v>-1.080973E-5</v>
      </c>
      <c r="I4910">
        <v>142.3486</v>
      </c>
      <c r="J4910">
        <v>-382.11900000000003</v>
      </c>
      <c r="K4910">
        <v>1.111113</v>
      </c>
      <c r="L4910">
        <v>141.65870000000001</v>
      </c>
      <c r="M4910">
        <v>-0.99988940000000004</v>
      </c>
      <c r="N4910">
        <v>-1.3956349999999999E-2</v>
      </c>
      <c r="O4910">
        <v>-5.1594989999999997E-3</v>
      </c>
      <c r="P4910">
        <v>-0.97676909999999895</v>
      </c>
      <c r="Q4910">
        <v>0.17798329999999901</v>
      </c>
      <c r="R4910">
        <v>-0.11934980000000001</v>
      </c>
      <c r="S4910">
        <v>-3.0942080000000001</v>
      </c>
      <c r="T4910">
        <v>-9.1607090000000002E-2</v>
      </c>
      <c r="U4910">
        <v>5.6716919999999997E-2</v>
      </c>
      <c r="V4910">
        <v>-0.1145447</v>
      </c>
      <c r="W4910">
        <v>0.19146540000000001</v>
      </c>
      <c r="X4910">
        <v>0.97479249999999995</v>
      </c>
      <c r="Y4910">
        <v>2.3470080000000001E-2</v>
      </c>
      <c r="Z4910">
        <v>5.9188600000000002E-4</v>
      </c>
      <c r="AA4910">
        <v>0.99972439999999996</v>
      </c>
      <c r="AB4910">
        <v>27</v>
      </c>
      <c r="AC4910">
        <v>-37.252599999999902</v>
      </c>
      <c r="AD4910">
        <v>-1.11112380972999</v>
      </c>
      <c r="AE4910">
        <v>0.68989999999999396</v>
      </c>
      <c r="AF4910">
        <v>0.881330475612774</v>
      </c>
      <c r="AG4910">
        <v>-1.11112380972999</v>
      </c>
      <c r="AH4910">
        <v>37.215447372149598</v>
      </c>
      <c r="AI4910">
        <v>91.709665589862894</v>
      </c>
      <c r="AJ4910">
        <v>88.643383772996799</v>
      </c>
      <c r="AK4910">
        <v>37.242460480438602</v>
      </c>
      <c r="AL4910">
        <v>78.961683845366494</v>
      </c>
      <c r="AM4910">
        <v>96.701907405342396</v>
      </c>
      <c r="AN4910">
        <v>0.99999995287574805</v>
      </c>
    </row>
    <row r="4911" spans="1:40" x14ac:dyDescent="0.25">
      <c r="A4911" t="str">
        <f>"20190304155200263"</f>
        <v>20190304155200263</v>
      </c>
      <c r="B4911" t="str">
        <f>"1551685920251361"</f>
        <v>1551685920251361</v>
      </c>
      <c r="C4911" t="s">
        <v>40</v>
      </c>
      <c r="D4911">
        <v>4.4934019999999997</v>
      </c>
      <c r="E4911">
        <v>0.46184819999999999</v>
      </c>
      <c r="F4911" t="s">
        <v>53</v>
      </c>
      <c r="G4911">
        <v>0</v>
      </c>
      <c r="H4911">
        <v>0</v>
      </c>
      <c r="I4911">
        <v>0</v>
      </c>
      <c r="J4911">
        <v>-382.3861</v>
      </c>
      <c r="K4911">
        <v>1.111151</v>
      </c>
      <c r="L4911">
        <v>141.65639999999999</v>
      </c>
      <c r="M4911">
        <v>-0.99988489999999997</v>
      </c>
      <c r="N4911">
        <v>-1.3966660000000001E-2</v>
      </c>
      <c r="O4911">
        <v>-5.9254909999999997E-3</v>
      </c>
      <c r="P4911">
        <v>-0.97655270000000005</v>
      </c>
      <c r="Q4911">
        <v>0.1778507</v>
      </c>
      <c r="R4911">
        <v>-0.1213014</v>
      </c>
      <c r="S4911">
        <v>-2.9344790000000001</v>
      </c>
      <c r="T4911">
        <v>0.48789660000000001</v>
      </c>
      <c r="U4911">
        <v>-0.39228819999999998</v>
      </c>
      <c r="V4911">
        <v>-0.1157675</v>
      </c>
      <c r="W4911">
        <v>0.19132830000000001</v>
      </c>
      <c r="X4911">
        <v>0.97467499999999996</v>
      </c>
      <c r="Y4911">
        <v>-0.12517890000000001</v>
      </c>
      <c r="Z4911">
        <v>8.3511839999999993E-3</v>
      </c>
      <c r="AA4911">
        <v>0.99209899999999995</v>
      </c>
      <c r="AB4911">
        <v>27</v>
      </c>
      <c r="AC4911">
        <v>-2.9344790000000001</v>
      </c>
      <c r="AD4911">
        <v>0.48789660000000001</v>
      </c>
      <c r="AE4911">
        <v>-0.39228819999999998</v>
      </c>
      <c r="AF4911">
        <v>-0.36497921142983702</v>
      </c>
      <c r="AG4911">
        <v>0.48789660000000001</v>
      </c>
      <c r="AH4911">
        <v>2.85910410444259</v>
      </c>
      <c r="AI4911">
        <v>80.392442259380402</v>
      </c>
      <c r="AJ4911">
        <v>97.274752524487795</v>
      </c>
      <c r="AK4911">
        <v>2.9233079203374999</v>
      </c>
      <c r="AL4911">
        <v>78.969687514240405</v>
      </c>
      <c r="AM4911">
        <v>96.773600081225695</v>
      </c>
      <c r="AN4911">
        <v>0.99999999403106998</v>
      </c>
    </row>
    <row r="4912" spans="1:40" x14ac:dyDescent="0.25">
      <c r="A4912" t="str">
        <f>"20190304155200285"</f>
        <v>20190304155200285</v>
      </c>
      <c r="B4912" t="str">
        <f>"1551685920281617"</f>
        <v>1551685920281617</v>
      </c>
      <c r="C4912" t="s">
        <v>40</v>
      </c>
      <c r="D4912">
        <v>4.4784560000000004</v>
      </c>
      <c r="E4912">
        <v>0.46321040000000002</v>
      </c>
      <c r="F4912" t="s">
        <v>84</v>
      </c>
      <c r="G4912">
        <v>-405.68189999999998</v>
      </c>
      <c r="H4912" s="1">
        <v>-6.6626520000000001E-6</v>
      </c>
      <c r="I4912">
        <v>136.6266</v>
      </c>
      <c r="J4912">
        <v>-382.65410000000003</v>
      </c>
      <c r="K4912">
        <v>1.1112010000000001</v>
      </c>
      <c r="L4912">
        <v>141.654</v>
      </c>
      <c r="M4912">
        <v>-0.99987950000000003</v>
      </c>
      <c r="N4912">
        <v>-1.3975339999999999E-2</v>
      </c>
      <c r="O4912">
        <v>-6.7466940000000001E-3</v>
      </c>
      <c r="P4912">
        <v>-0.97623190000000004</v>
      </c>
      <c r="Q4912">
        <v>0.17813579999999901</v>
      </c>
      <c r="R4912">
        <v>-0.123444899999999</v>
      </c>
      <c r="S4912">
        <v>-3.017334</v>
      </c>
      <c r="T4912">
        <v>-0.1439202</v>
      </c>
      <c r="U4912">
        <v>-0.651474</v>
      </c>
      <c r="V4912">
        <v>-0.1171301</v>
      </c>
      <c r="W4912">
        <v>0.19160530000000001</v>
      </c>
      <c r="X4912">
        <v>0.97445769999999998</v>
      </c>
      <c r="Y4912">
        <v>-0.2041615</v>
      </c>
      <c r="Z4912">
        <v>-6.0301670000000003E-3</v>
      </c>
      <c r="AA4912">
        <v>0.97891870000000003</v>
      </c>
      <c r="AB4912">
        <v>27</v>
      </c>
      <c r="AC4912">
        <v>-23.0277999999999</v>
      </c>
      <c r="AD4912">
        <v>-1.111207662652</v>
      </c>
      <c r="AE4912">
        <v>-5.0274000000000001</v>
      </c>
      <c r="AF4912">
        <v>-4.8611044957779104</v>
      </c>
      <c r="AG4912">
        <v>-1.111207662652</v>
      </c>
      <c r="AH4912">
        <v>23.010054992163699</v>
      </c>
      <c r="AI4912">
        <v>92.705178429224503</v>
      </c>
      <c r="AJ4912">
        <v>101.928905687995</v>
      </c>
      <c r="AK4912">
        <v>23.5441659468074</v>
      </c>
      <c r="AL4912">
        <v>78.953516707780693</v>
      </c>
      <c r="AM4912">
        <v>96.854086119077195</v>
      </c>
      <c r="AN4912">
        <v>0.99999993020169198</v>
      </c>
    </row>
    <row r="4913" spans="1:40" x14ac:dyDescent="0.25">
      <c r="A4913" t="str">
        <f>"20190304155200307"</f>
        <v>20190304155200307</v>
      </c>
      <c r="B4913" t="str">
        <f>"1551685920302113"</f>
        <v>1551685920302113</v>
      </c>
      <c r="C4913" t="s">
        <v>40</v>
      </c>
      <c r="D4913">
        <v>4.3631779999999996</v>
      </c>
      <c r="E4913">
        <v>0.46420719999999999</v>
      </c>
      <c r="F4913" t="s">
        <v>84</v>
      </c>
      <c r="G4913">
        <v>-404.94450000000001</v>
      </c>
      <c r="H4913" s="1">
        <v>-6.2774509999999997E-6</v>
      </c>
      <c r="I4913">
        <v>136.8723</v>
      </c>
      <c r="J4913">
        <v>-382.92669999999998</v>
      </c>
      <c r="K4913">
        <v>1.111256</v>
      </c>
      <c r="L4913">
        <v>141.65119999999999</v>
      </c>
      <c r="M4913">
        <v>-0.99987320000000002</v>
      </c>
      <c r="N4913">
        <v>-1.398253E-2</v>
      </c>
      <c r="O4913">
        <v>-7.6365440000000003E-3</v>
      </c>
      <c r="P4913">
        <v>-0.97588180000000002</v>
      </c>
      <c r="Q4913">
        <v>0.17867759999999999</v>
      </c>
      <c r="R4913">
        <v>-0.12541679999999999</v>
      </c>
      <c r="S4913">
        <v>-3.0186160000000002</v>
      </c>
      <c r="T4913">
        <v>-0.1504828</v>
      </c>
      <c r="U4913">
        <v>-0.64755249999999998</v>
      </c>
      <c r="V4913">
        <v>-0.118255399999999</v>
      </c>
      <c r="W4913">
        <v>0.1921369</v>
      </c>
      <c r="X4913">
        <v>0.97421720000000001</v>
      </c>
      <c r="Y4913">
        <v>-0.20196939999999999</v>
      </c>
      <c r="Z4913">
        <v>-6.1331500000000004E-3</v>
      </c>
      <c r="AA4913">
        <v>0.97937260000000004</v>
      </c>
      <c r="AB4913">
        <v>27</v>
      </c>
      <c r="AC4913">
        <v>-22.017800000000001</v>
      </c>
      <c r="AD4913">
        <v>-1.1112622774509999</v>
      </c>
      <c r="AE4913">
        <v>-4.7788999999999904</v>
      </c>
      <c r="AF4913">
        <v>-4.5994151911588101</v>
      </c>
      <c r="AG4913">
        <v>-1.1112622774509999</v>
      </c>
      <c r="AH4913">
        <v>22.000135400823702</v>
      </c>
      <c r="AI4913">
        <v>92.830550871248093</v>
      </c>
      <c r="AJ4913">
        <v>101.808353062333</v>
      </c>
      <c r="AK4913">
        <v>22.5032326923161</v>
      </c>
      <c r="AL4913">
        <v>78.922482877285105</v>
      </c>
      <c r="AM4913">
        <v>96.920991336612502</v>
      </c>
      <c r="AN4913">
        <v>1.0000000403733</v>
      </c>
    </row>
    <row r="4914" spans="1:40" x14ac:dyDescent="0.25">
      <c r="A4914" t="str">
        <f>"20190304155200330"</f>
        <v>20190304155200330</v>
      </c>
      <c r="B4914" t="str">
        <f>"1551685920321633"</f>
        <v>1551685920321633</v>
      </c>
      <c r="C4914" t="s">
        <v>40</v>
      </c>
      <c r="D4914">
        <v>4.4357259999999998</v>
      </c>
      <c r="E4914">
        <v>0.46462229999999999</v>
      </c>
      <c r="F4914" t="s">
        <v>84</v>
      </c>
      <c r="G4914">
        <v>-404.26609999999999</v>
      </c>
      <c r="H4914" s="1">
        <v>-6.0753449999999999E-6</v>
      </c>
      <c r="I4914">
        <v>137.08369999999999</v>
      </c>
      <c r="J4914">
        <v>-383.19920000000002</v>
      </c>
      <c r="K4914">
        <v>1.1113</v>
      </c>
      <c r="L4914">
        <v>141.648</v>
      </c>
      <c r="M4914">
        <v>-0.99986520000000001</v>
      </c>
      <c r="N4914">
        <v>-1.3988459999999999E-2</v>
      </c>
      <c r="O4914">
        <v>-8.5881050000000004E-3</v>
      </c>
      <c r="P4914">
        <v>-0.97561370000000003</v>
      </c>
      <c r="Q4914">
        <v>0.17868800000000001</v>
      </c>
      <c r="R4914">
        <v>-0.12747039999999901</v>
      </c>
      <c r="S4914">
        <v>-3.0198969999999998</v>
      </c>
      <c r="T4914">
        <v>-0.15726319999999999</v>
      </c>
      <c r="U4914">
        <v>-0.6463776</v>
      </c>
      <c r="V4914">
        <v>-0.11939950000000001</v>
      </c>
      <c r="W4914">
        <v>0.1921378</v>
      </c>
      <c r="X4914">
        <v>0.97407739999999998</v>
      </c>
      <c r="Y4914">
        <v>-0.2005662</v>
      </c>
      <c r="Z4914">
        <v>-6.2571349999999996E-3</v>
      </c>
      <c r="AA4914">
        <v>0.97966019999999998</v>
      </c>
      <c r="AB4914">
        <v>27</v>
      </c>
      <c r="AC4914">
        <v>-21.066899999999901</v>
      </c>
      <c r="AD4914">
        <v>-1.1113060753449999</v>
      </c>
      <c r="AE4914">
        <v>-4.5643000000000002</v>
      </c>
      <c r="AF4914">
        <v>-4.3715698333679098</v>
      </c>
      <c r="AG4914">
        <v>-1.1113060753449999</v>
      </c>
      <c r="AH4914">
        <v>21.049377610178201</v>
      </c>
      <c r="AI4914">
        <v>92.959110064507399</v>
      </c>
      <c r="AJ4914">
        <v>101.732499704696</v>
      </c>
      <c r="AK4914">
        <v>21.527236742716902</v>
      </c>
      <c r="AL4914">
        <v>78.922429632267907</v>
      </c>
      <c r="AM4914">
        <v>96.988284811899504</v>
      </c>
      <c r="AN4914">
        <v>0.99999997798992402</v>
      </c>
    </row>
    <row r="4915" spans="1:40" x14ac:dyDescent="0.25">
      <c r="A4915" t="str">
        <f>"20190304155200351"</f>
        <v>20190304155200351</v>
      </c>
      <c r="B4915" t="str">
        <f>"1551685920342130"</f>
        <v>1551685920342130</v>
      </c>
      <c r="C4915" t="s">
        <v>40</v>
      </c>
      <c r="D4915">
        <v>4.3994499999999999</v>
      </c>
      <c r="E4915">
        <v>0.46499299999999999</v>
      </c>
      <c r="F4915" t="s">
        <v>84</v>
      </c>
      <c r="G4915">
        <v>-404.08120000000002</v>
      </c>
      <c r="H4915" s="1">
        <v>-6.0290110000000003E-6</v>
      </c>
      <c r="I4915">
        <v>137.1601</v>
      </c>
      <c r="J4915">
        <v>-383.46589999999998</v>
      </c>
      <c r="K4915">
        <v>1.1113379999999999</v>
      </c>
      <c r="L4915">
        <v>141.6447</v>
      </c>
      <c r="M4915">
        <v>-0.99985630000000003</v>
      </c>
      <c r="N4915">
        <v>-1.3993240000000001E-2</v>
      </c>
      <c r="O4915">
        <v>-9.5735909999999994E-3</v>
      </c>
      <c r="P4915">
        <v>-0.9753733</v>
      </c>
      <c r="Q4915">
        <v>0.17857089999999901</v>
      </c>
      <c r="R4915">
        <v>-0.12945889999999999</v>
      </c>
      <c r="S4915">
        <v>-3.0195919999999998</v>
      </c>
      <c r="T4915">
        <v>-0.16069729999999999</v>
      </c>
      <c r="U4915">
        <v>-0.64897159999999998</v>
      </c>
      <c r="V4915">
        <v>-0.1204452</v>
      </c>
      <c r="W4915">
        <v>0.1920115</v>
      </c>
      <c r="X4915">
        <v>0.97397359999999999</v>
      </c>
      <c r="Y4915">
        <v>-0.2004138</v>
      </c>
      <c r="Z4915">
        <v>-6.3175250000000001E-3</v>
      </c>
      <c r="AA4915">
        <v>0.97969099999999998</v>
      </c>
      <c r="AB4915">
        <v>27</v>
      </c>
      <c r="AC4915">
        <v>-20.615300000000001</v>
      </c>
      <c r="AD4915">
        <v>-1.1113440290109999</v>
      </c>
      <c r="AE4915">
        <v>-4.4846000000000004</v>
      </c>
      <c r="AF4915">
        <v>-4.2751498339782898</v>
      </c>
      <c r="AG4915">
        <v>-1.1113440290109999</v>
      </c>
      <c r="AH4915">
        <v>20.600131009681299</v>
      </c>
      <c r="AI4915">
        <v>93.023717759524402</v>
      </c>
      <c r="AJ4915">
        <v>101.724181267668</v>
      </c>
      <c r="AK4915">
        <v>21.068397880945199</v>
      </c>
      <c r="AL4915">
        <v>78.929803833920602</v>
      </c>
      <c r="AM4915">
        <v>97.049618766886795</v>
      </c>
      <c r="AN4915">
        <v>1.0000000179161199</v>
      </c>
    </row>
    <row r="4916" spans="1:40" x14ac:dyDescent="0.25">
      <c r="A4916" t="str">
        <f>"20190304155200375"</f>
        <v>20190304155200375</v>
      </c>
      <c r="B4916" t="str">
        <f>"1551685920371410"</f>
        <v>1551685920371410</v>
      </c>
      <c r="C4916" t="s">
        <v>40</v>
      </c>
      <c r="D4916">
        <v>4.4695809999999998</v>
      </c>
      <c r="E4916">
        <v>0.46536</v>
      </c>
      <c r="F4916" t="s">
        <v>84</v>
      </c>
      <c r="G4916">
        <v>-404.05650000000003</v>
      </c>
      <c r="H4916" s="1">
        <v>-6.0350760000000002E-6</v>
      </c>
      <c r="I4916">
        <v>137.19649999999999</v>
      </c>
      <c r="J4916">
        <v>-383.73950000000002</v>
      </c>
      <c r="K4916">
        <v>1.11137</v>
      </c>
      <c r="L4916">
        <v>141.64089999999999</v>
      </c>
      <c r="M4916">
        <v>-0.9998456</v>
      </c>
      <c r="N4916">
        <v>-1.3997229999999999E-2</v>
      </c>
      <c r="O4916">
        <v>-1.062922E-2</v>
      </c>
      <c r="P4916">
        <v>-0.97515419999999997</v>
      </c>
      <c r="Q4916">
        <v>0.178617</v>
      </c>
      <c r="R4916">
        <v>-0.1310357</v>
      </c>
      <c r="S4916">
        <v>-3.019012</v>
      </c>
      <c r="T4916">
        <v>-0.1629466</v>
      </c>
      <c r="U4916">
        <v>-0.65219119999999997</v>
      </c>
      <c r="V4916">
        <v>-0.12100859999999999</v>
      </c>
      <c r="W4916">
        <v>0.19204940000000001</v>
      </c>
      <c r="X4916">
        <v>0.97389630000000005</v>
      </c>
      <c r="Y4916">
        <v>-0.2004089</v>
      </c>
      <c r="Z4916">
        <v>-6.3433169999999898E-3</v>
      </c>
      <c r="AA4916">
        <v>0.9796918</v>
      </c>
      <c r="AB4916">
        <v>27</v>
      </c>
      <c r="AC4916">
        <v>-20.317</v>
      </c>
      <c r="AD4916">
        <v>-1.111376035076</v>
      </c>
      <c r="AE4916">
        <v>-4.4443999999999999</v>
      </c>
      <c r="AF4916">
        <v>-4.2161341333227798</v>
      </c>
      <c r="AG4916">
        <v>-1.111376035076</v>
      </c>
      <c r="AH4916">
        <v>20.305113180421799</v>
      </c>
      <c r="AI4916">
        <v>93.067588644772599</v>
      </c>
      <c r="AJ4916">
        <v>101.73015811760899</v>
      </c>
      <c r="AK4916">
        <v>20.767969688711698</v>
      </c>
      <c r="AL4916">
        <v>78.927591259151697</v>
      </c>
      <c r="AM4916">
        <v>97.082816710251294</v>
      </c>
      <c r="AN4916">
        <v>1.000000028234</v>
      </c>
    </row>
    <row r="4917" spans="1:40" x14ac:dyDescent="0.25">
      <c r="A4917" t="str">
        <f>"20190304155200397"</f>
        <v>20190304155200397</v>
      </c>
      <c r="B4917" t="str">
        <f>"1551685920391905"</f>
        <v>1551685920391905</v>
      </c>
      <c r="C4917" t="s">
        <v>40</v>
      </c>
      <c r="D4917">
        <v>4.4621420000000001</v>
      </c>
      <c r="E4917">
        <v>0.46554200000000001</v>
      </c>
      <c r="F4917" t="s">
        <v>84</v>
      </c>
      <c r="G4917">
        <v>-404.166</v>
      </c>
      <c r="H4917" s="1">
        <v>-6.0918690000000003E-6</v>
      </c>
      <c r="I4917">
        <v>137.2141</v>
      </c>
      <c r="J4917">
        <v>-384.00959999999998</v>
      </c>
      <c r="K4917">
        <v>1.1114029999999999</v>
      </c>
      <c r="L4917">
        <v>141.63679999999999</v>
      </c>
      <c r="M4917">
        <v>-0.99983339999999998</v>
      </c>
      <c r="N4917">
        <v>-1.400028E-2</v>
      </c>
      <c r="O4917">
        <v>-1.171782E-2</v>
      </c>
      <c r="P4917">
        <v>-0.97500659999999895</v>
      </c>
      <c r="Q4917">
        <v>0.17825929999999901</v>
      </c>
      <c r="R4917">
        <v>-0.1326116</v>
      </c>
      <c r="S4917">
        <v>-3.0185849999999999</v>
      </c>
      <c r="T4917">
        <v>-0.164236299999999</v>
      </c>
      <c r="U4917">
        <v>-0.65417479999999995</v>
      </c>
      <c r="V4917">
        <v>-0.12153750000000001</v>
      </c>
      <c r="W4917">
        <v>0.19168489999999999</v>
      </c>
      <c r="X4917">
        <v>0.97390220000000005</v>
      </c>
      <c r="Y4917">
        <v>-0.19998270000000001</v>
      </c>
      <c r="Z4917">
        <v>-6.3239739999999996E-3</v>
      </c>
      <c r="AA4917">
        <v>0.97977899999999996</v>
      </c>
      <c r="AB4917">
        <v>27</v>
      </c>
      <c r="AC4917">
        <v>-20.156400000000001</v>
      </c>
      <c r="AD4917">
        <v>-1.1114090918690001</v>
      </c>
      <c r="AE4917">
        <v>-4.4226999999999901</v>
      </c>
      <c r="AF4917">
        <v>-4.1740764104530204</v>
      </c>
      <c r="AG4917">
        <v>-1.1114090918690001</v>
      </c>
      <c r="AH4917">
        <v>20.148401168626499</v>
      </c>
      <c r="AI4917">
        <v>93.091783534553102</v>
      </c>
      <c r="AJ4917">
        <v>101.704207628791</v>
      </c>
      <c r="AK4917">
        <v>20.606217840780499</v>
      </c>
      <c r="AL4917">
        <v>78.948870387258594</v>
      </c>
      <c r="AM4917">
        <v>97.113414916085901</v>
      </c>
      <c r="AN4917">
        <v>0.99999997997954904</v>
      </c>
    </row>
    <row r="4918" spans="1:40" x14ac:dyDescent="0.25">
      <c r="A4918" t="str">
        <f>"20190304155200420"</f>
        <v>20190304155200420</v>
      </c>
      <c r="B4918" t="str">
        <f>"1551685920411425"</f>
        <v>1551685920411425</v>
      </c>
      <c r="C4918" t="s">
        <v>40</v>
      </c>
      <c r="D4918">
        <v>4.461373</v>
      </c>
      <c r="E4918">
        <v>0.46579589999999998</v>
      </c>
      <c r="F4918" t="s">
        <v>84</v>
      </c>
      <c r="G4918">
        <v>-404.0942</v>
      </c>
      <c r="H4918" s="1">
        <v>-6.0814370000000003E-6</v>
      </c>
      <c r="I4918">
        <v>137.26</v>
      </c>
      <c r="J4918">
        <v>-384.28390000000002</v>
      </c>
      <c r="K4918">
        <v>1.1114389999999901</v>
      </c>
      <c r="L4918">
        <v>141.63229999999999</v>
      </c>
      <c r="M4918">
        <v>-0.99981909999999896</v>
      </c>
      <c r="N4918">
        <v>-1.4002590000000001E-2</v>
      </c>
      <c r="O4918">
        <v>-1.2874999999999999E-2</v>
      </c>
      <c r="P4918">
        <v>-0.97480489999999997</v>
      </c>
      <c r="Q4918">
        <v>0.178138299999999</v>
      </c>
      <c r="R4918">
        <v>-0.1342469</v>
      </c>
      <c r="S4918">
        <v>-3.0179749999999999</v>
      </c>
      <c r="T4918">
        <v>-0.16700400000000001</v>
      </c>
      <c r="U4918">
        <v>-0.65766910000000001</v>
      </c>
      <c r="V4918">
        <v>-0.1220603</v>
      </c>
      <c r="W4918">
        <v>0.1915548</v>
      </c>
      <c r="X4918">
        <v>0.97386249999999996</v>
      </c>
      <c r="Y4918">
        <v>-0.19996349999999999</v>
      </c>
      <c r="Z4918">
        <v>-6.3567869999999896E-3</v>
      </c>
      <c r="AA4918">
        <v>0.97978270000000001</v>
      </c>
      <c r="AB4918">
        <v>27</v>
      </c>
      <c r="AC4918">
        <v>-19.810299999999899</v>
      </c>
      <c r="AD4918">
        <v>-1.1114450814369901</v>
      </c>
      <c r="AE4918">
        <v>-4.3722999999999903</v>
      </c>
      <c r="AF4918">
        <v>-4.1045351725866901</v>
      </c>
      <c r="AG4918">
        <v>-1.1114450814369901</v>
      </c>
      <c r="AH4918">
        <v>19.805510421112601</v>
      </c>
      <c r="AI4918">
        <v>93.145259297471696</v>
      </c>
      <c r="AJ4918">
        <v>101.70835251773801</v>
      </c>
      <c r="AK4918">
        <v>20.256869506240399</v>
      </c>
      <c r="AL4918">
        <v>78.956466242897605</v>
      </c>
      <c r="AM4918">
        <v>97.143986393179802</v>
      </c>
      <c r="AN4918">
        <v>1.00000006357268</v>
      </c>
    </row>
    <row r="4919" spans="1:40" x14ac:dyDescent="0.25">
      <c r="A4919" t="str">
        <f>"20190304155200442"</f>
        <v>20190304155200442</v>
      </c>
      <c r="B4919" t="str">
        <f>"1551685920431921"</f>
        <v>1551685920431921</v>
      </c>
      <c r="C4919" t="s">
        <v>40</v>
      </c>
      <c r="D4919">
        <v>4.5117820000000002</v>
      </c>
      <c r="E4919">
        <v>0.46614060000000002</v>
      </c>
      <c r="F4919" t="s">
        <v>84</v>
      </c>
      <c r="G4919">
        <v>-404.19420000000002</v>
      </c>
      <c r="H4919" s="1">
        <v>-6.1304109999999999E-6</v>
      </c>
      <c r="I4919">
        <v>137.26990000000001</v>
      </c>
      <c r="J4919">
        <v>-384.55450000000002</v>
      </c>
      <c r="K4919">
        <v>1.1114759999999999</v>
      </c>
      <c r="L4919">
        <v>141.6275</v>
      </c>
      <c r="M4919">
        <v>-0.99980290000000005</v>
      </c>
      <c r="N4919">
        <v>-1.400444E-2</v>
      </c>
      <c r="O4919">
        <v>-1.407424E-2</v>
      </c>
      <c r="P4919">
        <v>-0.97451480000000001</v>
      </c>
      <c r="Q4919">
        <v>0.17850489999999999</v>
      </c>
      <c r="R4919">
        <v>-0.13585649999999999</v>
      </c>
      <c r="S4919">
        <v>-3.017242</v>
      </c>
      <c r="T4919">
        <v>-0.16843060000000001</v>
      </c>
      <c r="U4919">
        <v>-0.66108699999999998</v>
      </c>
      <c r="V4919">
        <v>-0.12252109999999999</v>
      </c>
      <c r="W4919">
        <v>0.191909</v>
      </c>
      <c r="X4919">
        <v>0.97373480000000001</v>
      </c>
      <c r="Y4919">
        <v>-0.19989280000000001</v>
      </c>
      <c r="Z4919">
        <v>-6.3464359999999996E-3</v>
      </c>
      <c r="AA4919">
        <v>0.97979720000000003</v>
      </c>
      <c r="AB4919">
        <v>27</v>
      </c>
      <c r="AC4919">
        <v>-19.639700000000001</v>
      </c>
      <c r="AD4919">
        <v>-1.1114821304109901</v>
      </c>
      <c r="AE4919">
        <v>-4.3575999999999899</v>
      </c>
      <c r="AF4919">
        <v>-4.0683085807079697</v>
      </c>
      <c r="AG4919">
        <v>-1.1114821304109901</v>
      </c>
      <c r="AH4919">
        <v>19.639140550523098</v>
      </c>
      <c r="AI4919">
        <v>93.172011168961703</v>
      </c>
      <c r="AJ4919">
        <v>101.703463462805</v>
      </c>
      <c r="AK4919">
        <v>20.086870557587801</v>
      </c>
      <c r="AL4919">
        <v>78.935787430337001</v>
      </c>
      <c r="AM4919">
        <v>97.171606635974101</v>
      </c>
      <c r="AN4919">
        <v>0.99999997247862404</v>
      </c>
    </row>
    <row r="4920" spans="1:40" x14ac:dyDescent="0.25">
      <c r="A4920" t="str">
        <f>"20190304155200465"</f>
        <v>20190304155200465</v>
      </c>
      <c r="B4920" t="str">
        <f>"1551685920462177"</f>
        <v>1551685920462177</v>
      </c>
      <c r="C4920" t="s">
        <v>40</v>
      </c>
      <c r="D4920">
        <v>4.5006029999999999</v>
      </c>
      <c r="E4920">
        <v>0.46639819999999999</v>
      </c>
      <c r="F4920" t="s">
        <v>84</v>
      </c>
      <c r="G4920">
        <v>-404.45080000000002</v>
      </c>
      <c r="H4920" s="1">
        <v>-6.2353969999999998E-6</v>
      </c>
      <c r="I4920">
        <v>137.25110000000001</v>
      </c>
      <c r="J4920">
        <v>-384.82069999999999</v>
      </c>
      <c r="K4920">
        <v>1.1115330000000001</v>
      </c>
      <c r="L4920">
        <v>141.6224</v>
      </c>
      <c r="M4920">
        <v>-0.99978460000000002</v>
      </c>
      <c r="N4920">
        <v>-1.400595E-2</v>
      </c>
      <c r="O4920">
        <v>-1.5317839999999999E-2</v>
      </c>
      <c r="P4920">
        <v>-0.97423899999999997</v>
      </c>
      <c r="Q4920">
        <v>0.17854049999999999</v>
      </c>
      <c r="R4920">
        <v>-0.13777529999999999</v>
      </c>
      <c r="S4920">
        <v>-3.0168460000000001</v>
      </c>
      <c r="T4920">
        <v>-0.16853270000000001</v>
      </c>
      <c r="U4920">
        <v>-0.66358950000000005</v>
      </c>
      <c r="V4920">
        <v>-0.1232505</v>
      </c>
      <c r="W4920">
        <v>0.19192960000000001</v>
      </c>
      <c r="X4920">
        <v>0.97363869999999997</v>
      </c>
      <c r="Y4920">
        <v>-0.19947780000000001</v>
      </c>
      <c r="Z4920">
        <v>-6.2840719999999999E-3</v>
      </c>
      <c r="AA4920">
        <v>0.97988220000000004</v>
      </c>
      <c r="AB4920">
        <v>27</v>
      </c>
      <c r="AC4920">
        <v>-19.630099999999999</v>
      </c>
      <c r="AD4920">
        <v>-1.1115392353969999</v>
      </c>
      <c r="AE4920">
        <v>-4.37129999999999</v>
      </c>
      <c r="AF4920">
        <v>-4.0576713573251597</v>
      </c>
      <c r="AG4920">
        <v>-1.1115392353969999</v>
      </c>
      <c r="AH4920">
        <v>19.634781150809602</v>
      </c>
      <c r="AI4920">
        <v>93.173188142859999</v>
      </c>
      <c r="AJ4920">
        <v>101.676224537792</v>
      </c>
      <c r="AK4920">
        <v>20.080459336282001</v>
      </c>
      <c r="AL4920">
        <v>78.934584950528702</v>
      </c>
      <c r="AM4920">
        <v>97.214557132775198</v>
      </c>
      <c r="AN4920">
        <v>0.999999987622049</v>
      </c>
    </row>
    <row r="4921" spans="1:40" x14ac:dyDescent="0.25">
      <c r="A4921" t="str">
        <f>"20190304155200486"</f>
        <v>20190304155200486</v>
      </c>
      <c r="B4921" t="str">
        <f>"1551685920481697"</f>
        <v>1551685920481697</v>
      </c>
      <c r="C4921" t="s">
        <v>40</v>
      </c>
      <c r="D4921">
        <v>4.4954910000000003</v>
      </c>
      <c r="E4921">
        <v>0.46659410000000001</v>
      </c>
      <c r="F4921" t="s">
        <v>84</v>
      </c>
      <c r="G4921">
        <v>-404.52760000000001</v>
      </c>
      <c r="H4921" s="1">
        <v>-6.274398E-6</v>
      </c>
      <c r="I4921">
        <v>137.26169999999999</v>
      </c>
      <c r="J4921">
        <v>-385.08390000000003</v>
      </c>
      <c r="K4921">
        <v>1.111586</v>
      </c>
      <c r="L4921">
        <v>141.61699999999999</v>
      </c>
      <c r="M4921">
        <v>-0.99976399999999999</v>
      </c>
      <c r="N4921">
        <v>-1.400735E-2</v>
      </c>
      <c r="O4921">
        <v>-1.6617940000000001E-2</v>
      </c>
      <c r="P4921">
        <v>-0.9739854</v>
      </c>
      <c r="Q4921">
        <v>0.17870629999999901</v>
      </c>
      <c r="R4921">
        <v>-0.13934469999999999</v>
      </c>
      <c r="S4921">
        <v>-3.0161129999999998</v>
      </c>
      <c r="T4921">
        <v>-0.17011960000000001</v>
      </c>
      <c r="U4921">
        <v>-0.667404199999999</v>
      </c>
      <c r="V4921">
        <v>-0.1235783</v>
      </c>
      <c r="W4921">
        <v>0.19207979999999999</v>
      </c>
      <c r="X4921">
        <v>0.97356750000000003</v>
      </c>
      <c r="Y4921">
        <v>-0.19943050000000001</v>
      </c>
      <c r="Z4921">
        <v>-6.2727089999999996E-3</v>
      </c>
      <c r="AA4921">
        <v>0.97989190000000004</v>
      </c>
      <c r="AB4921">
        <v>27</v>
      </c>
      <c r="AC4921">
        <v>-19.4436999999999</v>
      </c>
      <c r="AD4921">
        <v>-1.111592274398</v>
      </c>
      <c r="AE4921">
        <v>-4.3553000000000202</v>
      </c>
      <c r="AF4921">
        <v>-4.0190443952555297</v>
      </c>
      <c r="AG4921">
        <v>-1.111592274398</v>
      </c>
      <c r="AH4921">
        <v>19.4528559405273</v>
      </c>
      <c r="AI4921">
        <v>93.202988717781395</v>
      </c>
      <c r="AJ4921">
        <v>101.67331281927</v>
      </c>
      <c r="AK4921">
        <v>19.8947721645272</v>
      </c>
      <c r="AL4921">
        <v>78.925815674953995</v>
      </c>
      <c r="AM4921">
        <v>97.234065574351902</v>
      </c>
      <c r="AN4921">
        <v>0.99999996142758896</v>
      </c>
    </row>
    <row r="4922" spans="1:40" x14ac:dyDescent="0.25">
      <c r="A4922" t="str">
        <f>"20190304155200509"</f>
        <v>20190304155200509</v>
      </c>
      <c r="B4922" t="str">
        <f>"1551685920502193"</f>
        <v>1551685920502193</v>
      </c>
      <c r="C4922" t="s">
        <v>40</v>
      </c>
      <c r="D4922">
        <v>4.4814790000000002</v>
      </c>
      <c r="E4922">
        <v>0.46678839999999999</v>
      </c>
      <c r="F4922" t="s">
        <v>84</v>
      </c>
      <c r="G4922">
        <v>-404.82310000000001</v>
      </c>
      <c r="H4922" s="1">
        <v>-6.386837E-6</v>
      </c>
      <c r="I4922">
        <v>137.22190000000001</v>
      </c>
      <c r="J4922">
        <v>-385.3494</v>
      </c>
      <c r="K4922">
        <v>1.111645</v>
      </c>
      <c r="L4922">
        <v>141.61099999999999</v>
      </c>
      <c r="M4922">
        <v>-0.99973970000000001</v>
      </c>
      <c r="N4922">
        <v>-1.400829E-2</v>
      </c>
      <c r="O4922">
        <v>-1.8011019999999999E-2</v>
      </c>
      <c r="P4922">
        <v>-0.97371909999999895</v>
      </c>
      <c r="Q4922">
        <v>0.17879300000000001</v>
      </c>
      <c r="R4922">
        <v>-0.1410836</v>
      </c>
      <c r="S4922">
        <v>-3.015228</v>
      </c>
      <c r="T4922">
        <v>-0.16980000000000001</v>
      </c>
      <c r="U4922">
        <v>-0.67137150000000001</v>
      </c>
      <c r="V4922">
        <v>-0.1239883</v>
      </c>
      <c r="W4922">
        <v>0.1921486</v>
      </c>
      <c r="X4922">
        <v>0.97350179999999997</v>
      </c>
      <c r="Y4922">
        <v>-0.19935700000000001</v>
      </c>
      <c r="Z4922">
        <v>-6.2043460000000003E-3</v>
      </c>
      <c r="AA4922">
        <v>0.97990730000000004</v>
      </c>
      <c r="AB4922">
        <v>27</v>
      </c>
      <c r="AC4922">
        <v>-19.473700000000001</v>
      </c>
      <c r="AD4922">
        <v>-1.1116513868369999</v>
      </c>
      <c r="AE4922">
        <v>-4.3890999999999796</v>
      </c>
      <c r="AF4922">
        <v>-4.0251298245872702</v>
      </c>
      <c r="AG4922">
        <v>-1.1116513868369999</v>
      </c>
      <c r="AH4922">
        <v>19.489161918546301</v>
      </c>
      <c r="AI4922">
        <v>93.197249892514805</v>
      </c>
      <c r="AJ4922">
        <v>101.669321600217</v>
      </c>
      <c r="AK4922">
        <v>19.9315044890735</v>
      </c>
      <c r="AL4922">
        <v>78.921798985884195</v>
      </c>
      <c r="AM4922">
        <v>97.2582953733952</v>
      </c>
      <c r="AN4922">
        <v>0.99999996881104403</v>
      </c>
    </row>
    <row r="4923" spans="1:40" x14ac:dyDescent="0.25">
      <c r="A4923" t="str">
        <f>"20190304155200532"</f>
        <v>20190304155200532</v>
      </c>
      <c r="B4923" t="str">
        <f>"1551685920521713"</f>
        <v>1551685920521713</v>
      </c>
      <c r="C4923" t="s">
        <v>40</v>
      </c>
      <c r="D4923">
        <v>4.466164</v>
      </c>
      <c r="E4923">
        <v>0.46693309999999999</v>
      </c>
      <c r="F4923" t="s">
        <v>84</v>
      </c>
      <c r="G4923">
        <v>-405.03339999999997</v>
      </c>
      <c r="H4923" s="1">
        <v>-6.4883399999999996E-6</v>
      </c>
      <c r="I4923">
        <v>137.20079999999999</v>
      </c>
      <c r="J4923">
        <v>-385.62670000000003</v>
      </c>
      <c r="K4923">
        <v>1.1117060000000001</v>
      </c>
      <c r="L4923">
        <v>141.60429999999999</v>
      </c>
      <c r="M4923">
        <v>-0.99971069999999995</v>
      </c>
      <c r="N4923">
        <v>-1.400913E-2</v>
      </c>
      <c r="O4923">
        <v>-1.9557720000000001E-2</v>
      </c>
      <c r="P4923">
        <v>-0.97334359999999998</v>
      </c>
      <c r="Q4923">
        <v>0.1790098</v>
      </c>
      <c r="R4923">
        <v>-0.14338110000000001</v>
      </c>
      <c r="S4923">
        <v>-3.0143740000000001</v>
      </c>
      <c r="T4923">
        <v>-0.17023679999999999</v>
      </c>
      <c r="U4923">
        <v>-0.67536929999999995</v>
      </c>
      <c r="V4923">
        <v>-0.12481109999999999</v>
      </c>
      <c r="W4923">
        <v>0.19234370000000001</v>
      </c>
      <c r="X4923">
        <v>0.97335819999999995</v>
      </c>
      <c r="Y4923">
        <v>-0.19913790000000001</v>
      </c>
      <c r="Z4923">
        <v>-6.1445349999999996E-3</v>
      </c>
      <c r="AA4923">
        <v>0.97995220000000005</v>
      </c>
      <c r="AB4923">
        <v>27</v>
      </c>
      <c r="AC4923">
        <v>-19.406699999999901</v>
      </c>
      <c r="AD4923">
        <v>-1.11171248833999</v>
      </c>
      <c r="AE4923">
        <v>-4.4035000000000002</v>
      </c>
      <c r="AF4923">
        <v>-4.0105530873868904</v>
      </c>
      <c r="AG4923">
        <v>-1.11171248833999</v>
      </c>
      <c r="AH4923">
        <v>19.4284841186706</v>
      </c>
      <c r="AI4923">
        <v>93.207457154768605</v>
      </c>
      <c r="AJ4923">
        <v>101.66353780403701</v>
      </c>
      <c r="AK4923">
        <v>19.869233399226001</v>
      </c>
      <c r="AL4923">
        <v>78.910408986124196</v>
      </c>
      <c r="AM4923">
        <v>97.307009689722193</v>
      </c>
      <c r="AN4923">
        <v>1.0000000475600599</v>
      </c>
    </row>
    <row r="4924" spans="1:40" x14ac:dyDescent="0.25">
      <c r="A4924" t="str">
        <f>"20190304155200552"</f>
        <v>20190304155200552</v>
      </c>
      <c r="B4924" t="str">
        <f>"1551685920542209"</f>
        <v>1551685920542209</v>
      </c>
      <c r="C4924" t="s">
        <v>40</v>
      </c>
      <c r="D4924">
        <v>4.4758490000000002</v>
      </c>
      <c r="E4924">
        <v>0.46711160000000002</v>
      </c>
      <c r="F4924" t="s">
        <v>84</v>
      </c>
      <c r="G4924">
        <v>-405.28949999999998</v>
      </c>
      <c r="H4924" s="1">
        <v>-6.6446379999999997E-6</v>
      </c>
      <c r="I4924">
        <v>137.16139999999999</v>
      </c>
      <c r="J4924">
        <v>-385.87830000000002</v>
      </c>
      <c r="K4924">
        <v>1.111758</v>
      </c>
      <c r="L4924">
        <v>141.5977</v>
      </c>
      <c r="M4924">
        <v>-0.99968080000000004</v>
      </c>
      <c r="N4924">
        <v>-1.40097E-2</v>
      </c>
      <c r="O4924">
        <v>-2.1024560000000001E-2</v>
      </c>
      <c r="P4924">
        <v>-0.97289820000000005</v>
      </c>
      <c r="Q4924">
        <v>0.17929690000000001</v>
      </c>
      <c r="R4924">
        <v>-0.14601919999999999</v>
      </c>
      <c r="S4924">
        <v>-3.0132140000000001</v>
      </c>
      <c r="T4924">
        <v>-0.170364299999999</v>
      </c>
      <c r="U4924">
        <v>-0.68084719999999999</v>
      </c>
      <c r="V4924">
        <v>-0.12604949999999901</v>
      </c>
      <c r="W4924">
        <v>0.19261049999999999</v>
      </c>
      <c r="X4924">
        <v>0.97314579999999995</v>
      </c>
      <c r="Y4924">
        <v>-0.1994763</v>
      </c>
      <c r="Z4924">
        <v>-6.0993879999999999E-3</v>
      </c>
      <c r="AA4924">
        <v>0.97988370000000002</v>
      </c>
      <c r="AB4924">
        <v>27</v>
      </c>
      <c r="AC4924">
        <v>-19.411199999999901</v>
      </c>
      <c r="AD4924">
        <v>-1.1117646446380001</v>
      </c>
      <c r="AE4924">
        <v>-4.4363000000000099</v>
      </c>
      <c r="AF4924">
        <v>-4.0146514500692696</v>
      </c>
      <c r="AG4924">
        <v>-1.1117646446380001</v>
      </c>
      <c r="AH4924">
        <v>19.439585584867402</v>
      </c>
      <c r="AI4924">
        <v>93.205720476809006</v>
      </c>
      <c r="AJ4924">
        <v>101.668645174415</v>
      </c>
      <c r="AK4924">
        <v>19.8809188570849</v>
      </c>
      <c r="AL4924">
        <v>78.894830820331094</v>
      </c>
      <c r="AM4924">
        <v>97.380308878739896</v>
      </c>
      <c r="AN4924">
        <v>1.00000001460907</v>
      </c>
    </row>
    <row r="4925" spans="1:40" x14ac:dyDescent="0.25">
      <c r="A4925" t="str">
        <f>"20190304155200575"</f>
        <v>20190304155200575</v>
      </c>
      <c r="B4925" t="str">
        <f>"1551685920571489"</f>
        <v>1551685920571489</v>
      </c>
      <c r="C4925" t="s">
        <v>40</v>
      </c>
      <c r="D4925">
        <v>4.4707429999999997</v>
      </c>
      <c r="E4925">
        <v>0.46730899999999997</v>
      </c>
      <c r="F4925" t="s">
        <v>84</v>
      </c>
      <c r="G4925">
        <v>-405.62950000000001</v>
      </c>
      <c r="H4925" s="1">
        <v>-6.840599E-6</v>
      </c>
      <c r="I4925">
        <v>137.08430000000001</v>
      </c>
      <c r="J4925">
        <v>-386.14460000000003</v>
      </c>
      <c r="K4925">
        <v>1.1118059999999901</v>
      </c>
      <c r="L4925">
        <v>141.59030000000001</v>
      </c>
      <c r="M4925">
        <v>-0.99964540000000002</v>
      </c>
      <c r="N4925">
        <v>-1.4009850000000001E-2</v>
      </c>
      <c r="O4925">
        <v>-2.2646889999999999E-2</v>
      </c>
      <c r="P4925">
        <v>-0.97253699999999998</v>
      </c>
      <c r="Q4925">
        <v>0.1793855</v>
      </c>
      <c r="R4925">
        <v>-0.1482996</v>
      </c>
      <c r="S4925">
        <v>-3.0115050000000001</v>
      </c>
      <c r="T4925">
        <v>-0.16951260000000001</v>
      </c>
      <c r="U4925">
        <v>-0.68817139999999999</v>
      </c>
      <c r="V4925">
        <v>-0.12677529999999901</v>
      </c>
      <c r="W4925">
        <v>0.19268160000000001</v>
      </c>
      <c r="X4925">
        <v>0.97303740000000005</v>
      </c>
      <c r="Y4925">
        <v>-0.2002746</v>
      </c>
      <c r="Z4925">
        <v>-6.0393749999999996E-3</v>
      </c>
      <c r="AA4925">
        <v>0.97972119999999996</v>
      </c>
      <c r="AB4925">
        <v>27</v>
      </c>
      <c r="AC4925">
        <v>-19.4848999999999</v>
      </c>
      <c r="AD4925">
        <v>-1.11181284059899</v>
      </c>
      <c r="AE4925">
        <v>-4.5060000000000002</v>
      </c>
      <c r="AF4925">
        <v>-4.0510084277915501</v>
      </c>
      <c r="AG4925">
        <v>-1.11181284059899</v>
      </c>
      <c r="AH4925">
        <v>19.521625269886702</v>
      </c>
      <c r="AI4925">
        <v>93.191785579731103</v>
      </c>
      <c r="AJ4925">
        <v>101.723284036373</v>
      </c>
      <c r="AK4925">
        <v>19.968491436571799</v>
      </c>
      <c r="AL4925">
        <v>78.890678922348201</v>
      </c>
      <c r="AM4925">
        <v>97.423150246766795</v>
      </c>
      <c r="AN4925">
        <v>0.99999997873370405</v>
      </c>
    </row>
    <row r="4926" spans="1:40" x14ac:dyDescent="0.25">
      <c r="A4926" t="str">
        <f>"20190304155200598"</f>
        <v>20190304155200598</v>
      </c>
      <c r="B4926" t="str">
        <f>"1551685920591985"</f>
        <v>1551685920591985</v>
      </c>
      <c r="C4926" t="s">
        <v>40</v>
      </c>
      <c r="D4926">
        <v>4.4848280000000003</v>
      </c>
      <c r="E4926">
        <v>0.46746670000000001</v>
      </c>
      <c r="F4926" t="s">
        <v>84</v>
      </c>
      <c r="G4926">
        <v>-405.88830000000002</v>
      </c>
      <c r="H4926" s="1">
        <v>-6.9974159999999997E-6</v>
      </c>
      <c r="I4926">
        <v>137.0421</v>
      </c>
      <c r="J4926">
        <v>-386.41860000000003</v>
      </c>
      <c r="K4926">
        <v>1.111853</v>
      </c>
      <c r="L4926">
        <v>141.5822</v>
      </c>
      <c r="M4926">
        <v>-0.9996043</v>
      </c>
      <c r="N4926">
        <v>-1.400996E-2</v>
      </c>
      <c r="O4926">
        <v>-2.4391059999999999E-2</v>
      </c>
      <c r="P4926">
        <v>-0.97214699999999998</v>
      </c>
      <c r="Q4926">
        <v>0.1790098</v>
      </c>
      <c r="R4926">
        <v>-0.15128029999999901</v>
      </c>
      <c r="S4926">
        <v>-3.0102229999999999</v>
      </c>
      <c r="T4926">
        <v>-0.1695122</v>
      </c>
      <c r="U4926">
        <v>-0.69345089999999998</v>
      </c>
      <c r="V4926">
        <v>-0.1280821</v>
      </c>
      <c r="W4926">
        <v>0.1922876</v>
      </c>
      <c r="X4926">
        <v>0.97294420000000004</v>
      </c>
      <c r="Y4926">
        <v>-0.20028950000000001</v>
      </c>
      <c r="Z4926">
        <v>-5.9684959999999898E-3</v>
      </c>
      <c r="AA4926">
        <v>0.9797186</v>
      </c>
      <c r="AB4926">
        <v>27</v>
      </c>
      <c r="AC4926">
        <v>-19.4696999999999</v>
      </c>
      <c r="AD4926">
        <v>-1.1118599974159999</v>
      </c>
      <c r="AE4926">
        <v>-4.54009999999999</v>
      </c>
      <c r="AF4926">
        <v>-4.0512849869584304</v>
      </c>
      <c r="AG4926">
        <v>-1.1118599974159999</v>
      </c>
      <c r="AH4926">
        <v>19.514296676602999</v>
      </c>
      <c r="AI4926">
        <v>93.193058522637997</v>
      </c>
      <c r="AJ4926">
        <v>101.72834324821901</v>
      </c>
      <c r="AK4926">
        <v>19.961385660366499</v>
      </c>
      <c r="AL4926">
        <v>78.913683672797603</v>
      </c>
      <c r="AM4926">
        <v>97.499511794138996</v>
      </c>
      <c r="AN4926">
        <v>0.99999998088390396</v>
      </c>
    </row>
    <row r="4927" spans="1:40" x14ac:dyDescent="0.25">
      <c r="A4927" t="str">
        <f>"20190304155200620"</f>
        <v>20190304155200620</v>
      </c>
      <c r="B4927" t="str">
        <f>"1551685920611505"</f>
        <v>1551685920611505</v>
      </c>
      <c r="C4927" t="s">
        <v>40</v>
      </c>
      <c r="D4927">
        <v>4.4981739999999997</v>
      </c>
      <c r="E4927">
        <v>0.46763949999999999</v>
      </c>
      <c r="F4927" t="s">
        <v>84</v>
      </c>
      <c r="G4927">
        <v>-405.96519999999998</v>
      </c>
      <c r="H4927" s="1">
        <v>-7.04372899999999E-6</v>
      </c>
      <c r="I4927">
        <v>137.029</v>
      </c>
      <c r="J4927">
        <v>-386.67500000000001</v>
      </c>
      <c r="K4927">
        <v>1.1118969999999999</v>
      </c>
      <c r="L4927">
        <v>141.57409999999999</v>
      </c>
      <c r="M4927">
        <v>-0.99956140000000004</v>
      </c>
      <c r="N4927">
        <v>-1.4010140000000001E-2</v>
      </c>
      <c r="O4927">
        <v>-2.6093149999999999E-2</v>
      </c>
      <c r="P4927">
        <v>-0.97172530000000001</v>
      </c>
      <c r="Q4927">
        <v>0.17870129999999901</v>
      </c>
      <c r="R4927">
        <v>-0.15432390000000001</v>
      </c>
      <c r="S4927">
        <v>-3.0083920000000002</v>
      </c>
      <c r="T4927">
        <v>-0.1711251</v>
      </c>
      <c r="U4927">
        <v>-0.70077509999999998</v>
      </c>
      <c r="V4927">
        <v>-0.12949479999999999</v>
      </c>
      <c r="W4927">
        <v>0.19195909999999999</v>
      </c>
      <c r="X4927">
        <v>0.97282210000000002</v>
      </c>
      <c r="Y4927">
        <v>-0.2010094</v>
      </c>
      <c r="Z4927">
        <v>-5.9637580000000004E-3</v>
      </c>
      <c r="AA4927">
        <v>0.97957119999999998</v>
      </c>
      <c r="AB4927">
        <v>27</v>
      </c>
      <c r="AC4927">
        <v>-19.290199999999899</v>
      </c>
      <c r="AD4927">
        <v>-1.111904043729</v>
      </c>
      <c r="AE4927">
        <v>-4.5450999999999899</v>
      </c>
      <c r="AF4927">
        <v>-4.02748330147144</v>
      </c>
      <c r="AG4927">
        <v>-1.111904043729</v>
      </c>
      <c r="AH4927">
        <v>19.341357066540301</v>
      </c>
      <c r="AI4927">
        <v>93.221275675536006</v>
      </c>
      <c r="AJ4927">
        <v>101.762706861323</v>
      </c>
      <c r="AK4927">
        <v>19.7874972020592</v>
      </c>
      <c r="AL4927">
        <v>78.932863050299005</v>
      </c>
      <c r="AM4927">
        <v>97.582212255116204</v>
      </c>
      <c r="AN4927">
        <v>1.00000001877412</v>
      </c>
    </row>
    <row r="4928" spans="1:40" x14ac:dyDescent="0.25">
      <c r="A4928" t="str">
        <f>"20190304155200643"</f>
        <v>20190304155200643</v>
      </c>
      <c r="B4928" t="str">
        <f>"1551685920632002"</f>
        <v>1551685920632002</v>
      </c>
      <c r="C4928" t="s">
        <v>40</v>
      </c>
      <c r="D4928">
        <v>4.5334539999999999</v>
      </c>
      <c r="E4928">
        <v>0.46779320000000002</v>
      </c>
      <c r="F4928" t="s">
        <v>84</v>
      </c>
      <c r="G4928">
        <v>-406.05149999999998</v>
      </c>
      <c r="H4928" s="1">
        <v>-7.0926279999999996E-6</v>
      </c>
      <c r="I4928">
        <v>137.0076</v>
      </c>
      <c r="J4928">
        <v>-386.95409999999998</v>
      </c>
      <c r="K4928">
        <v>1.1119460000000001</v>
      </c>
      <c r="L4928">
        <v>141.56469999999999</v>
      </c>
      <c r="M4928">
        <v>-0.99950919999999999</v>
      </c>
      <c r="N4928">
        <v>-1.401022E-2</v>
      </c>
      <c r="O4928">
        <v>-2.802288E-2</v>
      </c>
      <c r="P4928">
        <v>-0.97130760000000005</v>
      </c>
      <c r="Q4928">
        <v>0.17837069999999999</v>
      </c>
      <c r="R4928">
        <v>-0.15730759999999999</v>
      </c>
      <c r="S4928">
        <v>-3.0065</v>
      </c>
      <c r="T4928">
        <v>-0.17252500000000001</v>
      </c>
      <c r="U4928">
        <v>-0.70854189999999995</v>
      </c>
      <c r="V4928">
        <v>-0.1306292</v>
      </c>
      <c r="W4928">
        <v>0.19160669999999999</v>
      </c>
      <c r="X4928">
        <v>0.97273989999999999</v>
      </c>
      <c r="Y4928">
        <v>-0.2016483</v>
      </c>
      <c r="Z4928">
        <v>-5.9399369999999898E-3</v>
      </c>
      <c r="AA4928">
        <v>0.97943999999999998</v>
      </c>
      <c r="AB4928">
        <v>27</v>
      </c>
      <c r="AC4928">
        <v>-19.0974</v>
      </c>
      <c r="AD4928">
        <v>-1.1119530926279999</v>
      </c>
      <c r="AE4928">
        <v>-4.5570999999999904</v>
      </c>
      <c r="AF4928">
        <v>-4.0072399459928096</v>
      </c>
      <c r="AG4928">
        <v>-1.1119530926279999</v>
      </c>
      <c r="AH4928">
        <v>19.1561698408773</v>
      </c>
      <c r="AI4928">
        <v>93.251872486719805</v>
      </c>
      <c r="AJ4928">
        <v>101.81521012587</v>
      </c>
      <c r="AK4928">
        <v>19.602378800479901</v>
      </c>
      <c r="AL4928">
        <v>78.953435919142905</v>
      </c>
      <c r="AM4928">
        <v>97.648489752672702</v>
      </c>
      <c r="AN4928">
        <v>1.00000001421477</v>
      </c>
    </row>
    <row r="4929" spans="1:40" x14ac:dyDescent="0.25">
      <c r="A4929" t="str">
        <f>"20190304155200666"</f>
        <v>20190304155200666</v>
      </c>
      <c r="B4929" t="str">
        <f>"1551685920661281"</f>
        <v>1551685920661281</v>
      </c>
      <c r="C4929" t="s">
        <v>40</v>
      </c>
      <c r="D4929">
        <v>4.5160169999999997</v>
      </c>
      <c r="E4929">
        <v>0.46805340000000001</v>
      </c>
      <c r="F4929" t="s">
        <v>84</v>
      </c>
      <c r="G4929">
        <v>-406.12689999999998</v>
      </c>
      <c r="H4929" s="1">
        <v>-7.1366639999999996E-6</v>
      </c>
      <c r="I4929">
        <v>136.99180000000001</v>
      </c>
      <c r="J4929">
        <v>-387.22109999999998</v>
      </c>
      <c r="K4929">
        <v>1.1120000000000001</v>
      </c>
      <c r="L4929">
        <v>141.55510000000001</v>
      </c>
      <c r="M4929">
        <v>-0.99945320000000004</v>
      </c>
      <c r="N4929">
        <v>-1.4010409999999999E-2</v>
      </c>
      <c r="O4929">
        <v>-2.9948860000000001E-2</v>
      </c>
      <c r="P4929">
        <v>-0.97074119999999997</v>
      </c>
      <c r="Q4929">
        <v>0.17803759999999999</v>
      </c>
      <c r="R4929">
        <v>-0.16113369999999999</v>
      </c>
      <c r="S4929">
        <v>-3.004578</v>
      </c>
      <c r="T4929">
        <v>-0.17425470000000001</v>
      </c>
      <c r="U4929">
        <v>-0.71661379999999997</v>
      </c>
      <c r="V4929">
        <v>-0.1326167</v>
      </c>
      <c r="W4929">
        <v>0.19124630000000001</v>
      </c>
      <c r="X4929">
        <v>0.97254189999999996</v>
      </c>
      <c r="Y4929">
        <v>-0.2023858</v>
      </c>
      <c r="Z4929">
        <v>-5.9259959999999898E-3</v>
      </c>
      <c r="AA4929">
        <v>0.97928789999999999</v>
      </c>
      <c r="AB4929">
        <v>27</v>
      </c>
      <c r="AC4929">
        <v>-18.905799999999999</v>
      </c>
      <c r="AD4929">
        <v>-1.1120071366640001</v>
      </c>
      <c r="AE4929">
        <v>-4.5632999999999901</v>
      </c>
      <c r="AF4929">
        <v>-3.9819722880860402</v>
      </c>
      <c r="AG4929">
        <v>-1.1120071366640001</v>
      </c>
      <c r="AH4929">
        <v>18.971974917706898</v>
      </c>
      <c r="AI4929">
        <v>93.283074982479107</v>
      </c>
      <c r="AJ4929">
        <v>101.85358203578301</v>
      </c>
      <c r="AK4929">
        <v>19.417221620334299</v>
      </c>
      <c r="AL4929">
        <v>78.9744746914144</v>
      </c>
      <c r="AM4929">
        <v>97.765012747850506</v>
      </c>
      <c r="AN4929">
        <v>1.00000004181909</v>
      </c>
    </row>
    <row r="4930" spans="1:40" x14ac:dyDescent="0.25">
      <c r="A4930" t="str">
        <f>"20190304155200699"</f>
        <v>20190304155200699</v>
      </c>
      <c r="B4930" t="str">
        <f>"1551685920691538"</f>
        <v>1551685920691538</v>
      </c>
      <c r="C4930" t="s">
        <v>40</v>
      </c>
      <c r="D4930">
        <v>4.5166969999999997</v>
      </c>
      <c r="E4930">
        <v>0.46832980000000002</v>
      </c>
      <c r="F4930" t="s">
        <v>84</v>
      </c>
      <c r="G4930">
        <v>-406.16140000000001</v>
      </c>
      <c r="H4930" s="1">
        <v>-7.1532460000000004E-6</v>
      </c>
      <c r="I4930">
        <v>136.9769</v>
      </c>
      <c r="J4930">
        <v>-387.60590000000002</v>
      </c>
      <c r="K4930">
        <v>1.1120840000000001</v>
      </c>
      <c r="L4930">
        <v>141.5401</v>
      </c>
      <c r="M4930">
        <v>-0.99936060000000004</v>
      </c>
      <c r="N4930">
        <v>-1.4010999999999999E-2</v>
      </c>
      <c r="O4930">
        <v>-3.2895969999999997E-2</v>
      </c>
      <c r="P4930">
        <v>-0.97042819999999996</v>
      </c>
      <c r="Q4930">
        <v>0.17496929999999999</v>
      </c>
      <c r="R4930">
        <v>-0.16629910000000001</v>
      </c>
      <c r="S4930">
        <v>-3.002319</v>
      </c>
      <c r="T4930">
        <v>-0.1762695</v>
      </c>
      <c r="U4930">
        <v>-0.72570800000000002</v>
      </c>
      <c r="V4930">
        <v>-0.13494510000000001</v>
      </c>
      <c r="W4930">
        <v>0.18814510000000001</v>
      </c>
      <c r="X4930">
        <v>0.97282639999999998</v>
      </c>
      <c r="Y4930">
        <v>-0.2024639</v>
      </c>
      <c r="Z4930">
        <v>-5.8486179999999999E-3</v>
      </c>
      <c r="AA4930">
        <v>0.97927220000000004</v>
      </c>
      <c r="AB4930">
        <v>27</v>
      </c>
      <c r="AC4930">
        <v>-18.555499999999899</v>
      </c>
      <c r="AD4930">
        <v>-1.1120911532460001</v>
      </c>
      <c r="AE4930">
        <v>-4.5631999999999904</v>
      </c>
      <c r="AF4930">
        <v>-3.9369337784565301</v>
      </c>
      <c r="AG4930">
        <v>-1.1120911532460001</v>
      </c>
      <c r="AH4930">
        <v>18.6324701545213</v>
      </c>
      <c r="AI4930">
        <v>93.342067569367799</v>
      </c>
      <c r="AJ4930">
        <v>101.93078346788501</v>
      </c>
      <c r="AK4930">
        <v>19.076297816091198</v>
      </c>
      <c r="AL4930">
        <v>79.155445691240004</v>
      </c>
      <c r="AM4930">
        <v>97.897358218696695</v>
      </c>
      <c r="AN4930">
        <v>0.99999998160248904</v>
      </c>
    </row>
    <row r="4931" spans="1:40" x14ac:dyDescent="0.25">
      <c r="A4931" t="str">
        <f>"20190304155200720"</f>
        <v>20190304155200720</v>
      </c>
      <c r="B4931" t="str">
        <f>"1551685920712038"</f>
        <v>1551685920712038</v>
      </c>
      <c r="C4931" t="s">
        <v>40</v>
      </c>
      <c r="D4931">
        <v>4.5011599999999996</v>
      </c>
      <c r="E4931">
        <v>0.46852729999999998</v>
      </c>
      <c r="F4931" t="s">
        <v>84</v>
      </c>
      <c r="G4931">
        <v>-405.50450000000001</v>
      </c>
      <c r="H4931" s="1">
        <v>-6.776099E-6</v>
      </c>
      <c r="I4931">
        <v>137.12880000000001</v>
      </c>
      <c r="J4931">
        <v>-387.87119999999999</v>
      </c>
      <c r="K4931">
        <v>1.1121399999999999</v>
      </c>
      <c r="L4931">
        <v>141.529</v>
      </c>
      <c r="M4931">
        <v>-0.99928779999999995</v>
      </c>
      <c r="N4931">
        <v>-1.401144E-2</v>
      </c>
      <c r="O4931">
        <v>-3.503394E-2</v>
      </c>
      <c r="P4931">
        <v>-0.97027330000000001</v>
      </c>
      <c r="Q4931">
        <v>0.17308799999999999</v>
      </c>
      <c r="R4931">
        <v>-0.16914499999999999</v>
      </c>
      <c r="S4931">
        <v>-2.998383</v>
      </c>
      <c r="T4931">
        <v>-0.18629709999999999</v>
      </c>
      <c r="U4931">
        <v>-0.73898319999999995</v>
      </c>
      <c r="V4931">
        <v>-0.1357294</v>
      </c>
      <c r="W4931">
        <v>0.1862443</v>
      </c>
      <c r="X4931">
        <v>0.97308300000000003</v>
      </c>
      <c r="Y4931">
        <v>-0.20471200000000001</v>
      </c>
      <c r="Z4931">
        <v>-6.0609419999999997E-3</v>
      </c>
      <c r="AA4931">
        <v>0.97880350000000005</v>
      </c>
      <c r="AB4931">
        <v>27</v>
      </c>
      <c r="AC4931">
        <v>-17.633299999999998</v>
      </c>
      <c r="AD4931">
        <v>-1.11214677609899</v>
      </c>
      <c r="AE4931">
        <v>-4.4001999999999803</v>
      </c>
      <c r="AF4931">
        <v>-3.7655724980032899</v>
      </c>
      <c r="AG4931">
        <v>-1.11214677609899</v>
      </c>
      <c r="AH4931">
        <v>17.710324051928701</v>
      </c>
      <c r="AI4931">
        <v>93.514889862602502</v>
      </c>
      <c r="AJ4931">
        <v>102.003488101299</v>
      </c>
      <c r="AK4931">
        <v>18.140341361551901</v>
      </c>
      <c r="AL4931">
        <v>79.266313198774597</v>
      </c>
      <c r="AM4931">
        <v>97.940605741933197</v>
      </c>
      <c r="AN4931">
        <v>0.99999996709792405</v>
      </c>
    </row>
    <row r="4932" spans="1:40" x14ac:dyDescent="0.25">
      <c r="A4932" t="str">
        <f>"20190304155200743"</f>
        <v>20190304155200743</v>
      </c>
      <c r="B4932" t="str">
        <f>"1551685920731553"</f>
        <v>1551685920731553</v>
      </c>
      <c r="C4932" t="s">
        <v>40</v>
      </c>
      <c r="D4932">
        <v>4.5001340000000001</v>
      </c>
      <c r="E4932">
        <v>0.46874519999999997</v>
      </c>
      <c r="F4932" t="s">
        <v>84</v>
      </c>
      <c r="G4932">
        <v>-405.1694</v>
      </c>
      <c r="H4932" s="1">
        <v>-6.5892380000000002E-6</v>
      </c>
      <c r="I4932">
        <v>137.2182</v>
      </c>
      <c r="J4932">
        <v>-388.12779999999998</v>
      </c>
      <c r="K4932">
        <v>1.1121989999999999</v>
      </c>
      <c r="L4932">
        <v>141.51759999999999</v>
      </c>
      <c r="M4932">
        <v>-0.99921000000000004</v>
      </c>
      <c r="N4932">
        <v>-1.401202E-2</v>
      </c>
      <c r="O4932">
        <v>-3.7190920000000002E-2</v>
      </c>
      <c r="P4932">
        <v>-0.96979820000000005</v>
      </c>
      <c r="Q4932">
        <v>0.17262379999999999</v>
      </c>
      <c r="R4932">
        <v>-0.17231540000000001</v>
      </c>
      <c r="S4932">
        <v>-2.9960939999999998</v>
      </c>
      <c r="T4932">
        <v>-0.19262599999999999</v>
      </c>
      <c r="U4932">
        <v>-0.7466431</v>
      </c>
      <c r="V4932">
        <v>-0.1368345</v>
      </c>
      <c r="W4932">
        <v>0.1857557</v>
      </c>
      <c r="X4932">
        <v>0.97302169999999999</v>
      </c>
      <c r="Y4932">
        <v>-0.2051067</v>
      </c>
      <c r="Z4932">
        <v>-6.1120280000000003E-3</v>
      </c>
      <c r="AA4932">
        <v>0.97872049999999999</v>
      </c>
      <c r="AB4932">
        <v>27</v>
      </c>
      <c r="AC4932">
        <v>-17.041599999999999</v>
      </c>
      <c r="AD4932">
        <v>-1.1122055892379901</v>
      </c>
      <c r="AE4932">
        <v>-4.2993999999999897</v>
      </c>
      <c r="AF4932">
        <v>-3.64796167913308</v>
      </c>
      <c r="AG4932">
        <v>-1.1122055892379901</v>
      </c>
      <c r="AH4932">
        <v>17.121160177191602</v>
      </c>
      <c r="AI4932">
        <v>93.635384839821199</v>
      </c>
      <c r="AJ4932">
        <v>102.02800266062999</v>
      </c>
      <c r="AK4932">
        <v>17.540773970900101</v>
      </c>
      <c r="AL4932">
        <v>79.2948059481988</v>
      </c>
      <c r="AM4932">
        <v>98.004920760790597</v>
      </c>
      <c r="AN4932">
        <v>1.00000004457181</v>
      </c>
    </row>
    <row r="4933" spans="1:40" x14ac:dyDescent="0.25">
      <c r="A4933" t="str">
        <f>"20190304155200766"</f>
        <v>20190304155200766</v>
      </c>
      <c r="B4933" t="str">
        <f>"1551685920761810"</f>
        <v>1551685920761810</v>
      </c>
      <c r="C4933" t="s">
        <v>40</v>
      </c>
      <c r="D4933">
        <v>4.564476</v>
      </c>
      <c r="E4933">
        <v>0.4741611</v>
      </c>
      <c r="F4933" t="s">
        <v>84</v>
      </c>
      <c r="G4933">
        <v>-405.255</v>
      </c>
      <c r="H4933" s="1">
        <v>-6.6364100000000004E-6</v>
      </c>
      <c r="I4933">
        <v>137.19409999999999</v>
      </c>
      <c r="J4933">
        <v>-388.39839999999998</v>
      </c>
      <c r="K4933">
        <v>1.112266</v>
      </c>
      <c r="L4933">
        <v>141.50489999999999</v>
      </c>
      <c r="M4933">
        <v>-0.99911859999999997</v>
      </c>
      <c r="N4933">
        <v>-1.401267E-2</v>
      </c>
      <c r="O4933">
        <v>-3.9570859999999999E-2</v>
      </c>
      <c r="P4933">
        <v>-0.96911809999999998</v>
      </c>
      <c r="Q4933">
        <v>0.17324700000000001</v>
      </c>
      <c r="R4933">
        <v>-0.17548720000000001</v>
      </c>
      <c r="S4933">
        <v>-2.9937740000000002</v>
      </c>
      <c r="T4933">
        <v>-0.1944091</v>
      </c>
      <c r="U4933">
        <v>-0.75573729999999995</v>
      </c>
      <c r="V4933">
        <v>-0.1377391</v>
      </c>
      <c r="W4933">
        <v>0.18635019999999999</v>
      </c>
      <c r="X4933">
        <v>0.97278030000000004</v>
      </c>
      <c r="Y4933">
        <v>-0.20574439999999999</v>
      </c>
      <c r="Z4933">
        <v>-6.0586320000000004E-3</v>
      </c>
      <c r="AA4933">
        <v>0.97858699999999998</v>
      </c>
      <c r="AB4933">
        <v>26</v>
      </c>
      <c r="AC4933">
        <v>-16.8566</v>
      </c>
      <c r="AD4933">
        <v>-1.11227263641</v>
      </c>
      <c r="AE4933">
        <v>-4.3108000000000004</v>
      </c>
      <c r="AF4933">
        <v>-3.6255111003864098</v>
      </c>
      <c r="AG4933">
        <v>-1.11227263641</v>
      </c>
      <c r="AH4933">
        <v>16.9447459081007</v>
      </c>
      <c r="AI4933">
        <v>93.672682889228795</v>
      </c>
      <c r="AJ4933">
        <v>102.076956035378</v>
      </c>
      <c r="AK4933">
        <v>17.363925104849599</v>
      </c>
      <c r="AL4933">
        <v>79.260137647389101</v>
      </c>
      <c r="AM4933">
        <v>98.059121020884504</v>
      </c>
      <c r="AN4933">
        <v>0.99999998438846904</v>
      </c>
    </row>
    <row r="4934" spans="1:40" x14ac:dyDescent="0.25">
      <c r="A4934" t="str">
        <f>"20190304155200789"</f>
        <v>20190304155200789</v>
      </c>
      <c r="B4934" t="str">
        <f>"1551685920781329"</f>
        <v>1551685920781329</v>
      </c>
      <c r="C4934" t="s">
        <v>40</v>
      </c>
      <c r="D4934">
        <v>4.619326</v>
      </c>
      <c r="E4934">
        <v>0.4740993</v>
      </c>
      <c r="F4934" t="s">
        <v>84</v>
      </c>
      <c r="G4934">
        <v>-405.67779999999999</v>
      </c>
      <c r="H4934" s="1">
        <v>-6.9918999999999999E-6</v>
      </c>
      <c r="I4934">
        <v>137.33789999999999</v>
      </c>
      <c r="J4934">
        <v>-388.65719999999999</v>
      </c>
      <c r="K4934">
        <v>1.1123400000000001</v>
      </c>
      <c r="L4934">
        <v>141.49209999999999</v>
      </c>
      <c r="M4934">
        <v>-0.99902100000000005</v>
      </c>
      <c r="N4934">
        <v>-1.4013660000000001E-2</v>
      </c>
      <c r="O4934">
        <v>-4.1961999999999999E-2</v>
      </c>
      <c r="P4934">
        <v>-0.96824509999999997</v>
      </c>
      <c r="Q4934">
        <v>0.17450160000000001</v>
      </c>
      <c r="R4934">
        <v>-0.179027399999999</v>
      </c>
      <c r="S4934">
        <v>-2.9991460000000001</v>
      </c>
      <c r="T4934">
        <v>-0.193055</v>
      </c>
      <c r="U4934">
        <v>-0.72326659999999998</v>
      </c>
      <c r="V4934">
        <v>-0.1390151</v>
      </c>
      <c r="W4934">
        <v>0.1875714</v>
      </c>
      <c r="X4934">
        <v>0.97236400000000001</v>
      </c>
      <c r="Y4934">
        <v>-0.1930209</v>
      </c>
      <c r="Z4934">
        <v>-5.415586E-3</v>
      </c>
      <c r="AA4934">
        <v>0.98117969999999999</v>
      </c>
      <c r="AB4934">
        <v>26</v>
      </c>
      <c r="AC4934">
        <v>-17.020600000000002</v>
      </c>
      <c r="AD4934">
        <v>-1.1123469919</v>
      </c>
      <c r="AE4934">
        <v>-4.1542000000000003</v>
      </c>
      <c r="AF4934">
        <v>-3.4224562323364598</v>
      </c>
      <c r="AG4934">
        <v>-1.1123469919</v>
      </c>
      <c r="AH4934">
        <v>17.110968591204401</v>
      </c>
      <c r="AI4934">
        <v>93.6473980351156</v>
      </c>
      <c r="AJ4934">
        <v>101.31077768678</v>
      </c>
      <c r="AK4934">
        <v>17.4853015021712</v>
      </c>
      <c r="AL4934">
        <v>79.188912185616303</v>
      </c>
      <c r="AM4934">
        <v>98.136220832800703</v>
      </c>
      <c r="AN4934">
        <v>0.99999998831098402</v>
      </c>
    </row>
    <row r="4935" spans="1:40" x14ac:dyDescent="0.25">
      <c r="A4935" t="str">
        <f>"20190304155200810"</f>
        <v>20190304155200810</v>
      </c>
      <c r="B4935" t="str">
        <f>"1551685920801825"</f>
        <v>1551685920801825</v>
      </c>
      <c r="C4935" t="s">
        <v>40</v>
      </c>
      <c r="D4935">
        <v>4.5739869999999998</v>
      </c>
      <c r="E4935">
        <v>0.474468</v>
      </c>
      <c r="F4935" t="s">
        <v>84</v>
      </c>
      <c r="G4935">
        <v>-405.84469999999999</v>
      </c>
      <c r="H4935" s="1">
        <v>-7.0785059999999998E-6</v>
      </c>
      <c r="I4935">
        <v>137.27950000000001</v>
      </c>
      <c r="J4935">
        <v>-388.92009999999999</v>
      </c>
      <c r="K4935">
        <v>1.112436</v>
      </c>
      <c r="L4935">
        <v>141.47819999999999</v>
      </c>
      <c r="M4935">
        <v>-0.99891019999999997</v>
      </c>
      <c r="N4935">
        <v>-1.401499E-2</v>
      </c>
      <c r="O4935">
        <v>-4.4519700000000002E-2</v>
      </c>
      <c r="P4935">
        <v>-0.96752839999999996</v>
      </c>
      <c r="Q4935">
        <v>0.17517539999999901</v>
      </c>
      <c r="R4935">
        <v>-0.18221599999999999</v>
      </c>
      <c r="S4935">
        <v>-2.9975589999999999</v>
      </c>
      <c r="T4935">
        <v>-0.19399749999999999</v>
      </c>
      <c r="U4935">
        <v>-0.73468020000000001</v>
      </c>
      <c r="V4935">
        <v>-0.1397766</v>
      </c>
      <c r="W4935">
        <v>0.18821260000000001</v>
      </c>
      <c r="X4935">
        <v>0.97213099999999997</v>
      </c>
      <c r="Y4935">
        <v>-0.1941514</v>
      </c>
      <c r="Z4935">
        <v>-5.3503700000000001E-3</v>
      </c>
      <c r="AA4935">
        <v>0.98095699999999997</v>
      </c>
      <c r="AB4935">
        <v>26</v>
      </c>
      <c r="AC4935">
        <v>-16.924599999999899</v>
      </c>
      <c r="AD4935">
        <v>-1.112443078506</v>
      </c>
      <c r="AE4935">
        <v>-4.1986999999999703</v>
      </c>
      <c r="AF4935">
        <v>-3.4270364910512798</v>
      </c>
      <c r="AG4935">
        <v>-1.112443078506</v>
      </c>
      <c r="AH4935">
        <v>17.025467884990999</v>
      </c>
      <c r="AI4935">
        <v>93.665083038702605</v>
      </c>
      <c r="AJ4935">
        <v>101.380919125395</v>
      </c>
      <c r="AK4935">
        <v>17.4025476702917</v>
      </c>
      <c r="AL4935">
        <v>79.151508966761199</v>
      </c>
      <c r="AM4935">
        <v>98.182122107730393</v>
      </c>
      <c r="AN4935">
        <v>1.00000008093365</v>
      </c>
    </row>
    <row r="4936" spans="1:40" x14ac:dyDescent="0.25">
      <c r="A4936" t="str">
        <f>"20190304155200832"</f>
        <v>20190304155200832</v>
      </c>
      <c r="B4936" t="str">
        <f>"1551685920821345"</f>
        <v>1551685920821345</v>
      </c>
      <c r="C4936" t="s">
        <v>40</v>
      </c>
      <c r="D4936">
        <v>4.611434</v>
      </c>
      <c r="E4936">
        <v>0.47506290000000001</v>
      </c>
      <c r="F4936" t="s">
        <v>84</v>
      </c>
      <c r="G4936">
        <v>-406.06200000000001</v>
      </c>
      <c r="H4936" s="1">
        <v>-7.204637E-6</v>
      </c>
      <c r="I4936">
        <v>137.2321</v>
      </c>
      <c r="J4936">
        <v>-389.1771</v>
      </c>
      <c r="K4936">
        <v>1.1125149999999999</v>
      </c>
      <c r="L4936">
        <v>141.46379999999999</v>
      </c>
      <c r="M4936">
        <v>-0.99879099999999998</v>
      </c>
      <c r="N4936">
        <v>-1.4016829999999999E-2</v>
      </c>
      <c r="O4936">
        <v>-4.7118319999999998E-2</v>
      </c>
      <c r="P4936">
        <v>-0.96673430000000005</v>
      </c>
      <c r="Q4936">
        <v>0.17637539999999999</v>
      </c>
      <c r="R4936">
        <v>-0.1852483</v>
      </c>
      <c r="S4936">
        <v>-2.996124</v>
      </c>
      <c r="T4936">
        <v>-0.19443659999999999</v>
      </c>
      <c r="U4936">
        <v>-0.74214169999999902</v>
      </c>
      <c r="V4936">
        <v>-0.14034749999999999</v>
      </c>
      <c r="W4936">
        <v>0.1893813</v>
      </c>
      <c r="X4936">
        <v>0.97182170000000001</v>
      </c>
      <c r="Y4936">
        <v>-0.19401299999999999</v>
      </c>
      <c r="Z4936">
        <v>-5.2242679999999998E-3</v>
      </c>
      <c r="AA4936">
        <v>0.980985</v>
      </c>
      <c r="AB4936">
        <v>26</v>
      </c>
      <c r="AC4936">
        <v>-16.884899999999899</v>
      </c>
      <c r="AD4936">
        <v>-1.112522204637</v>
      </c>
      <c r="AE4936">
        <v>-4.2316999999999796</v>
      </c>
      <c r="AF4936">
        <v>-3.41737364439369</v>
      </c>
      <c r="AG4936">
        <v>-1.112522204637</v>
      </c>
      <c r="AH4936">
        <v>16.9961279089902</v>
      </c>
      <c r="AI4936">
        <v>93.671809617034896</v>
      </c>
      <c r="AJ4936">
        <v>101.368746410574</v>
      </c>
      <c r="AK4936">
        <v>17.3719461252896</v>
      </c>
      <c r="AL4936">
        <v>79.083320846309107</v>
      </c>
      <c r="AM4936">
        <v>98.2176646298675</v>
      </c>
      <c r="AN4936">
        <v>1.00000005706841</v>
      </c>
    </row>
    <row r="4937" spans="1:40" x14ac:dyDescent="0.25">
      <c r="A4937" t="str">
        <f>"20190304155200855"</f>
        <v>20190304155200855</v>
      </c>
      <c r="B4937" t="str">
        <f>"1551685920851603"</f>
        <v>1551685920851603</v>
      </c>
      <c r="C4937" t="s">
        <v>40</v>
      </c>
      <c r="D4937">
        <v>4.639723</v>
      </c>
      <c r="E4937">
        <v>0.47563650000000002</v>
      </c>
      <c r="F4937" t="s">
        <v>84</v>
      </c>
      <c r="G4937">
        <v>-407.05930000000001</v>
      </c>
      <c r="H4937" s="1">
        <v>-7.7285200000000003E-6</v>
      </c>
      <c r="I4937">
        <v>136.9983</v>
      </c>
      <c r="J4937">
        <v>-389.44170000000003</v>
      </c>
      <c r="K4937">
        <v>1.1125969999999901</v>
      </c>
      <c r="L4937">
        <v>141.44820000000001</v>
      </c>
      <c r="M4937">
        <v>-0.99865539999999997</v>
      </c>
      <c r="N4937">
        <v>-1.4018579999999999E-2</v>
      </c>
      <c r="O4937">
        <v>-4.9909729999999999E-2</v>
      </c>
      <c r="P4937">
        <v>-0.96578589999999997</v>
      </c>
      <c r="Q4937">
        <v>0.177541899999999</v>
      </c>
      <c r="R4937">
        <v>-0.1890413</v>
      </c>
      <c r="S4937">
        <v>-2.9938959999999999</v>
      </c>
      <c r="T4937">
        <v>-0.18626139999999999</v>
      </c>
      <c r="U4937">
        <v>-0.74763489999999999</v>
      </c>
      <c r="V4937">
        <v>-0.1415003</v>
      </c>
      <c r="W4937">
        <v>0.1905124</v>
      </c>
      <c r="X4937">
        <v>0.97143330000000006</v>
      </c>
      <c r="Y4937">
        <v>-0.19317049999999999</v>
      </c>
      <c r="Z4937">
        <v>-4.9289240000000003E-3</v>
      </c>
      <c r="AA4937">
        <v>0.98115280000000005</v>
      </c>
      <c r="AB4937">
        <v>26</v>
      </c>
      <c r="AC4937">
        <v>-17.6175999999999</v>
      </c>
      <c r="AD4937">
        <v>-1.11260472851999</v>
      </c>
      <c r="AE4937">
        <v>-4.4499000000000102</v>
      </c>
      <c r="AF4937">
        <v>-3.55166152333797</v>
      </c>
      <c r="AG4937">
        <v>-1.11260472851999</v>
      </c>
      <c r="AH4937">
        <v>17.751203208123201</v>
      </c>
      <c r="AI4937">
        <v>93.516952132280693</v>
      </c>
      <c r="AJ4937">
        <v>101.314342211506</v>
      </c>
      <c r="AK4937">
        <v>18.137182917817402</v>
      </c>
      <c r="AL4937">
        <v>79.017311030310495</v>
      </c>
      <c r="AM4937">
        <v>98.2874968301537</v>
      </c>
      <c r="AN4937">
        <v>0.99999998290136904</v>
      </c>
    </row>
    <row r="4938" spans="1:40" x14ac:dyDescent="0.25">
      <c r="A4938" t="str">
        <f>"20190304155200877"</f>
        <v>20190304155200877</v>
      </c>
      <c r="B4938" t="str">
        <f>"1551685920872098"</f>
        <v>1551685920872098</v>
      </c>
      <c r="C4938" t="s">
        <v>40</v>
      </c>
      <c r="D4938">
        <v>4.6670170000000004</v>
      </c>
      <c r="E4938">
        <v>0.47618749999999999</v>
      </c>
      <c r="F4938" t="s">
        <v>84</v>
      </c>
      <c r="G4938">
        <v>-407.58420000000001</v>
      </c>
      <c r="H4938" s="1">
        <v>-8.0006969999999996E-6</v>
      </c>
      <c r="I4938">
        <v>136.8734</v>
      </c>
      <c r="J4938">
        <v>-389.70319999999998</v>
      </c>
      <c r="K4938">
        <v>1.1126819999999999</v>
      </c>
      <c r="L4938">
        <v>141.43199999999999</v>
      </c>
      <c r="M4938">
        <v>-0.99850669999999997</v>
      </c>
      <c r="N4938">
        <v>-1.402042E-2</v>
      </c>
      <c r="O4938">
        <v>-5.2801389999999997E-2</v>
      </c>
      <c r="P4938">
        <v>-0.96478529999999996</v>
      </c>
      <c r="Q4938">
        <v>0.17817249999999901</v>
      </c>
      <c r="R4938">
        <v>-0.19350519999999999</v>
      </c>
      <c r="S4938">
        <v>-2.9922789999999999</v>
      </c>
      <c r="T4938">
        <v>-0.18350430000000001</v>
      </c>
      <c r="U4938">
        <v>-0.75453190000000003</v>
      </c>
      <c r="V4938">
        <v>-0.143231</v>
      </c>
      <c r="W4938">
        <v>0.19110360000000001</v>
      </c>
      <c r="X4938">
        <v>0.97106349999999997</v>
      </c>
      <c r="Y4938">
        <v>-0.19259519999999999</v>
      </c>
      <c r="Z4938">
        <v>-4.7327020000000001E-3</v>
      </c>
      <c r="AA4938">
        <v>0.98126690000000005</v>
      </c>
      <c r="AB4938">
        <v>26</v>
      </c>
      <c r="AC4938">
        <v>-17.881</v>
      </c>
      <c r="AD4938">
        <v>-1.112690000697</v>
      </c>
      <c r="AE4938">
        <v>-4.55860000000001</v>
      </c>
      <c r="AF4938">
        <v>-3.59493430020453</v>
      </c>
      <c r="AG4938">
        <v>-1.112690000697</v>
      </c>
      <c r="AH4938">
        <v>18.031215262639702</v>
      </c>
      <c r="AI4938">
        <v>93.463204225986402</v>
      </c>
      <c r="AJ4938">
        <v>101.275375849143</v>
      </c>
      <c r="AK4938">
        <v>18.4197273461929</v>
      </c>
      <c r="AL4938">
        <v>78.982804113075801</v>
      </c>
      <c r="AM4938">
        <v>98.390576990106396</v>
      </c>
      <c r="AN4938">
        <v>1.0000000131630999</v>
      </c>
    </row>
    <row r="4939" spans="1:40" x14ac:dyDescent="0.25">
      <c r="A4939" t="str">
        <f>"20190304155200899"</f>
        <v>20190304155200899</v>
      </c>
      <c r="B4939" t="str">
        <f>"1551685920891617"</f>
        <v>1551685920891617</v>
      </c>
      <c r="C4939" t="s">
        <v>40</v>
      </c>
      <c r="D4939">
        <v>4.6361589999999904</v>
      </c>
      <c r="E4939">
        <v>0.47629630000000001</v>
      </c>
      <c r="F4939" t="s">
        <v>84</v>
      </c>
      <c r="G4939">
        <v>-407.85950000000003</v>
      </c>
      <c r="H4939" s="1">
        <v>-8.1384490000000006E-6</v>
      </c>
      <c r="I4939">
        <v>136.79650000000001</v>
      </c>
      <c r="J4939">
        <v>-389.95749999999998</v>
      </c>
      <c r="K4939">
        <v>1.1127609999999999</v>
      </c>
      <c r="L4939">
        <v>141.4153</v>
      </c>
      <c r="M4939">
        <v>-0.99834599999999996</v>
      </c>
      <c r="N4939">
        <v>-1.402311E-2</v>
      </c>
      <c r="O4939">
        <v>-5.5755970000000002E-2</v>
      </c>
      <c r="P4939">
        <v>-0.96389899999999995</v>
      </c>
      <c r="Q4939">
        <v>0.1781809</v>
      </c>
      <c r="R4939">
        <v>-0.19786500000000001</v>
      </c>
      <c r="S4939">
        <v>-2.9902340000000001</v>
      </c>
      <c r="T4939">
        <v>-0.1832532</v>
      </c>
      <c r="U4939">
        <v>-0.76344299999999998</v>
      </c>
      <c r="V4939">
        <v>-0.14479310000000001</v>
      </c>
      <c r="W4939">
        <v>0.1910722</v>
      </c>
      <c r="X4939">
        <v>0.97083799999999998</v>
      </c>
      <c r="Y4939">
        <v>-0.19260169999999999</v>
      </c>
      <c r="Z4939">
        <v>-4.5945450000000002E-3</v>
      </c>
      <c r="AA4939">
        <v>0.98126630000000004</v>
      </c>
      <c r="AB4939">
        <v>26</v>
      </c>
      <c r="AC4939">
        <v>-17.902000000000001</v>
      </c>
      <c r="AD4939">
        <v>-1.1127691384489999</v>
      </c>
      <c r="AE4939">
        <v>-4.6187999999999896</v>
      </c>
      <c r="AF4939">
        <v>-3.6003297094773301</v>
      </c>
      <c r="AG4939">
        <v>-1.1127691384489999</v>
      </c>
      <c r="AH4939">
        <v>18.0662510077915</v>
      </c>
      <c r="AI4939">
        <v>93.456807773921</v>
      </c>
      <c r="AJ4939">
        <v>101.270526689973</v>
      </c>
      <c r="AK4939">
        <v>18.4550820818808</v>
      </c>
      <c r="AL4939">
        <v>78.984637104948703</v>
      </c>
      <c r="AM4939">
        <v>98.482703426601901</v>
      </c>
      <c r="AN4939">
        <v>1.0000000248322201</v>
      </c>
    </row>
    <row r="4940" spans="1:40" x14ac:dyDescent="0.25">
      <c r="A4940" t="str">
        <f>"20190304155200921"</f>
        <v>20190304155200921</v>
      </c>
      <c r="B4940" t="str">
        <f>"1551685920912114"</f>
        <v>1551685920912114</v>
      </c>
      <c r="C4940" t="s">
        <v>40</v>
      </c>
      <c r="D4940">
        <v>4.3985349999999999</v>
      </c>
      <c r="E4940">
        <v>0.44189879999999998</v>
      </c>
      <c r="F4940" t="s">
        <v>84</v>
      </c>
      <c r="G4940">
        <v>-408.05700000000002</v>
      </c>
      <c r="H4940" s="1">
        <v>-8.2267579999999905E-6</v>
      </c>
      <c r="I4940">
        <v>136.71719999999999</v>
      </c>
      <c r="J4940">
        <v>-390.21749999999997</v>
      </c>
      <c r="K4940">
        <v>1.1128640000000001</v>
      </c>
      <c r="L4940">
        <v>141.3973</v>
      </c>
      <c r="M4940">
        <v>-0.99816369999999999</v>
      </c>
      <c r="N4940">
        <v>-1.4026810000000001E-2</v>
      </c>
      <c r="O4940">
        <v>-5.892824E-2</v>
      </c>
      <c r="P4940">
        <v>-0.96315220000000001</v>
      </c>
      <c r="Q4940">
        <v>0.1772726</v>
      </c>
      <c r="R4940">
        <v>-0.20226910000000001</v>
      </c>
      <c r="S4940">
        <v>-2.987152</v>
      </c>
      <c r="T4940">
        <v>-0.18365190000000001</v>
      </c>
      <c r="U4940">
        <v>-0.77537539999999905</v>
      </c>
      <c r="V4940">
        <v>-0.1461828</v>
      </c>
      <c r="W4940">
        <v>0.1901225</v>
      </c>
      <c r="X4940">
        <v>0.97081620000000002</v>
      </c>
      <c r="Y4940">
        <v>-0.19340209999999999</v>
      </c>
      <c r="Z4940">
        <v>-4.4852080000000001E-3</v>
      </c>
      <c r="AA4940">
        <v>0.98110929999999996</v>
      </c>
      <c r="AB4940">
        <v>26</v>
      </c>
      <c r="AC4940">
        <v>-17.839499999999902</v>
      </c>
      <c r="AD4940">
        <v>-1.11287222675799</v>
      </c>
      <c r="AE4940">
        <v>-4.6801000000000004</v>
      </c>
      <c r="AF4940">
        <v>-3.6074769178069102</v>
      </c>
      <c r="AG4940">
        <v>-1.11287222675799</v>
      </c>
      <c r="AH4940">
        <v>18.018704167956301</v>
      </c>
      <c r="AI4940">
        <v>93.465614857324198</v>
      </c>
      <c r="AJ4940">
        <v>101.32135507675299</v>
      </c>
      <c r="AK4940">
        <v>18.40994498085</v>
      </c>
      <c r="AL4940">
        <v>79.040067146497705</v>
      </c>
      <c r="AM4940">
        <v>98.563107124825606</v>
      </c>
      <c r="AN4940">
        <v>1.00000003510226</v>
      </c>
    </row>
    <row r="4941" spans="1:40" x14ac:dyDescent="0.25">
      <c r="A4941" t="str">
        <f>"20190304155200944"</f>
        <v>20190304155200944</v>
      </c>
      <c r="B4941" t="str">
        <f>"1551685920931634"</f>
        <v>1551685920931634</v>
      </c>
      <c r="C4941" t="s">
        <v>40</v>
      </c>
      <c r="D4941">
        <v>4.4547179999999997</v>
      </c>
      <c r="E4941">
        <v>0.43350329999999898</v>
      </c>
      <c r="F4941" t="s">
        <v>84</v>
      </c>
      <c r="G4941">
        <v>-415.44049999999999</v>
      </c>
      <c r="H4941" s="1">
        <v>-7.0610349999999997E-6</v>
      </c>
      <c r="I4941">
        <v>132.2508</v>
      </c>
      <c r="J4941">
        <v>-390.47230000000002</v>
      </c>
      <c r="K4941">
        <v>1.1129819999999999</v>
      </c>
      <c r="L4941">
        <v>141.37870000000001</v>
      </c>
      <c r="M4941">
        <v>-0.99796549999999995</v>
      </c>
      <c r="N4941">
        <v>-1.4031210000000001E-2</v>
      </c>
      <c r="O4941">
        <v>-6.219479E-2</v>
      </c>
      <c r="P4941">
        <v>-0.96234660000000005</v>
      </c>
      <c r="Q4941">
        <v>0.1766498</v>
      </c>
      <c r="R4941">
        <v>-0.20660129999999999</v>
      </c>
      <c r="S4941">
        <v>-2.9163209999999999</v>
      </c>
      <c r="T4941">
        <v>-0.12867200000000001</v>
      </c>
      <c r="U4941">
        <v>-1.057526</v>
      </c>
      <c r="V4941">
        <v>-0.14741899999999999</v>
      </c>
      <c r="W4941">
        <v>0.18945670000000001</v>
      </c>
      <c r="X4941">
        <v>0.97075940000000005</v>
      </c>
      <c r="Y4941">
        <v>-0.28146520000000003</v>
      </c>
      <c r="Z4941">
        <v>-6.2504969999999998E-3</v>
      </c>
      <c r="AA4941">
        <v>0.95955109999999999</v>
      </c>
      <c r="AB4941">
        <v>26</v>
      </c>
      <c r="AC4941">
        <v>-24.9681999999999</v>
      </c>
      <c r="AD4941">
        <v>-1.1129890610349999</v>
      </c>
      <c r="AE4941">
        <v>-9.1279000000000092</v>
      </c>
      <c r="AF4941">
        <v>-7.54395756747736</v>
      </c>
      <c r="AG4941">
        <v>-1.1129890610349999</v>
      </c>
      <c r="AH4941">
        <v>25.443020322630801</v>
      </c>
      <c r="AI4941">
        <v>92.401557654897104</v>
      </c>
      <c r="AJ4941">
        <v>106.515301419106</v>
      </c>
      <c r="AK4941">
        <v>26.561199588265701</v>
      </c>
      <c r="AL4941">
        <v>79.078920547550496</v>
      </c>
      <c r="AM4941">
        <v>98.634932006674703</v>
      </c>
      <c r="AN4941">
        <v>1.0000000077121201</v>
      </c>
    </row>
    <row r="4942" spans="1:40" x14ac:dyDescent="0.25">
      <c r="A4942" t="str">
        <f>"20190304155200967"</f>
        <v>20190304155200967</v>
      </c>
      <c r="B4942" t="str">
        <f>"1551685920962128"</f>
        <v>1551685920962128</v>
      </c>
      <c r="C4942" t="s">
        <v>40</v>
      </c>
      <c r="D4942">
        <v>4.3489579999999997</v>
      </c>
      <c r="E4942">
        <v>0.42586990000000002</v>
      </c>
      <c r="F4942" t="s">
        <v>84</v>
      </c>
      <c r="G4942">
        <v>-416.38889999999998</v>
      </c>
      <c r="H4942" s="1">
        <v>-6.5828090000000004E-6</v>
      </c>
      <c r="I4942">
        <v>131.21190000000001</v>
      </c>
      <c r="J4942">
        <v>-390.74689999999998</v>
      </c>
      <c r="K4942">
        <v>1.113103</v>
      </c>
      <c r="L4942">
        <v>141.35749999999999</v>
      </c>
      <c r="M4942">
        <v>-0.9977279</v>
      </c>
      <c r="N4942">
        <v>-1.403651E-2</v>
      </c>
      <c r="O4942">
        <v>-6.5893960000000001E-2</v>
      </c>
      <c r="P4942">
        <v>-0.96118579999999998</v>
      </c>
      <c r="Q4942">
        <v>0.17654639999999999</v>
      </c>
      <c r="R4942">
        <v>-0.21202219999999999</v>
      </c>
      <c r="S4942">
        <v>-2.8963320000000001</v>
      </c>
      <c r="T4942">
        <v>-0.1243829</v>
      </c>
      <c r="U4942">
        <v>-1.1362000000000001</v>
      </c>
      <c r="V4942">
        <v>-0.14935219999999999</v>
      </c>
      <c r="W4942">
        <v>0.18929889999999999</v>
      </c>
      <c r="X4942">
        <v>0.97049459999999999</v>
      </c>
      <c r="Y4942">
        <v>-0.30274580000000001</v>
      </c>
      <c r="Z4942">
        <v>-6.645204E-3</v>
      </c>
      <c r="AA4942">
        <v>0.95304820000000001</v>
      </c>
      <c r="AB4942">
        <v>26</v>
      </c>
      <c r="AC4942">
        <v>-25.641999999999999</v>
      </c>
      <c r="AD4942">
        <v>-1.1131095828090001</v>
      </c>
      <c r="AE4942">
        <v>-10.1455999999999</v>
      </c>
      <c r="AF4942">
        <v>-8.4200071908191099</v>
      </c>
      <c r="AG4942">
        <v>-1.1131095828090001</v>
      </c>
      <c r="AH4942">
        <v>26.212150989866199</v>
      </c>
      <c r="AI4942">
        <v>92.315245806831598</v>
      </c>
      <c r="AJ4942">
        <v>107.808334530509</v>
      </c>
      <c r="AK4942">
        <v>27.5538090570492</v>
      </c>
      <c r="AL4942">
        <v>79.088127927878801</v>
      </c>
      <c r="AM4942">
        <v>98.748777034643396</v>
      </c>
      <c r="AN4942">
        <v>0.99999996090760401</v>
      </c>
    </row>
    <row r="4943" spans="1:40" x14ac:dyDescent="0.25">
      <c r="A4943" t="str">
        <f>"20190304155200989"</f>
        <v>20190304155200989</v>
      </c>
      <c r="B4943" t="str">
        <f>"1551685920981648"</f>
        <v>1551685920981648</v>
      </c>
      <c r="C4943" t="s">
        <v>40</v>
      </c>
      <c r="D4943">
        <v>4.3146440000000004</v>
      </c>
      <c r="E4943">
        <v>0.4233788</v>
      </c>
      <c r="F4943" t="s">
        <v>84</v>
      </c>
      <c r="G4943">
        <v>-419.66759999999999</v>
      </c>
      <c r="H4943" s="1">
        <v>-5.5146370000000001E-6</v>
      </c>
      <c r="I4943">
        <v>129.1688</v>
      </c>
      <c r="J4943">
        <v>-390.99369999999999</v>
      </c>
      <c r="K4943">
        <v>1.1132139999999999</v>
      </c>
      <c r="L4943">
        <v>141.3373</v>
      </c>
      <c r="M4943">
        <v>-0.99749010000000005</v>
      </c>
      <c r="N4943">
        <v>-1.404185E-2</v>
      </c>
      <c r="O4943">
        <v>-6.9399500000000003E-2</v>
      </c>
      <c r="P4943">
        <v>-0.96007540000000002</v>
      </c>
      <c r="Q4943">
        <v>0.1767299</v>
      </c>
      <c r="R4943">
        <v>-0.21684519999999999</v>
      </c>
      <c r="S4943">
        <v>-2.8742369999999999</v>
      </c>
      <c r="T4943">
        <v>-0.1106244</v>
      </c>
      <c r="U4943">
        <v>-1.211349</v>
      </c>
      <c r="V4943">
        <v>-0.1508729</v>
      </c>
      <c r="W4943">
        <v>0.18943380000000001</v>
      </c>
      <c r="X4943">
        <v>0.97023309999999996</v>
      </c>
      <c r="Y4943">
        <v>-0.3232042</v>
      </c>
      <c r="Z4943">
        <v>-6.7148249999999998E-3</v>
      </c>
      <c r="AA4943">
        <v>0.94630539999999996</v>
      </c>
      <c r="AB4943">
        <v>26</v>
      </c>
      <c r="AC4943">
        <v>-28.6739</v>
      </c>
      <c r="AD4943">
        <v>-1.1132195146370001</v>
      </c>
      <c r="AE4943">
        <v>-12.1684999999999</v>
      </c>
      <c r="AF4943">
        <v>-10.136058606776199</v>
      </c>
      <c r="AG4943">
        <v>-1.1132195146370001</v>
      </c>
      <c r="AH4943">
        <v>29.411757417839802</v>
      </c>
      <c r="AI4943">
        <v>92.049402914278701</v>
      </c>
      <c r="AJ4943">
        <v>109.015286775246</v>
      </c>
      <c r="AK4943">
        <v>31.1292533828491</v>
      </c>
      <c r="AL4943">
        <v>79.080257092347395</v>
      </c>
      <c r="AM4943">
        <v>98.838801946592497</v>
      </c>
      <c r="AN4943">
        <v>1.0000000324362199</v>
      </c>
    </row>
    <row r="4944" spans="1:40" x14ac:dyDescent="0.25">
      <c r="A4944" t="str">
        <f>"20190304155201011"</f>
        <v>20190304155201011</v>
      </c>
      <c r="B4944" t="str">
        <f>"1551685921002144"</f>
        <v>1551685921002144</v>
      </c>
      <c r="C4944" t="s">
        <v>40</v>
      </c>
      <c r="D4944">
        <v>4.3308160000000004</v>
      </c>
      <c r="E4944">
        <v>0.42219820000000002</v>
      </c>
      <c r="F4944" t="s">
        <v>84</v>
      </c>
      <c r="G4944">
        <v>-421.04079999999999</v>
      </c>
      <c r="H4944" s="1">
        <v>-5.2844020000000002E-6</v>
      </c>
      <c r="I4944">
        <v>128.27869999999999</v>
      </c>
      <c r="J4944">
        <v>-391.25229999999999</v>
      </c>
      <c r="K4944">
        <v>1.113335</v>
      </c>
      <c r="L4944">
        <v>141.315</v>
      </c>
      <c r="M4944">
        <v>-0.99721530000000003</v>
      </c>
      <c r="N4944">
        <v>-1.40479E-2</v>
      </c>
      <c r="O4944">
        <v>-7.3240639999999996E-2</v>
      </c>
      <c r="P4944">
        <v>-0.95869550000000003</v>
      </c>
      <c r="Q4944">
        <v>0.17735310000000001</v>
      </c>
      <c r="R4944">
        <v>-0.22237019999999999</v>
      </c>
      <c r="S4944">
        <v>-2.863159</v>
      </c>
      <c r="T4944">
        <v>-0.1060778</v>
      </c>
      <c r="U4944">
        <v>-1.2443390000000001</v>
      </c>
      <c r="V4944">
        <v>-0.15279209999999999</v>
      </c>
      <c r="W4944">
        <v>0.19000449999999999</v>
      </c>
      <c r="X4944">
        <v>0.96982100000000004</v>
      </c>
      <c r="Y4944">
        <v>-0.33008280000000001</v>
      </c>
      <c r="Z4944">
        <v>-6.6735519999999897E-3</v>
      </c>
      <c r="AA4944">
        <v>0.9439284</v>
      </c>
      <c r="AB4944">
        <v>26</v>
      </c>
      <c r="AC4944">
        <v>-29.788499999999999</v>
      </c>
      <c r="AD4944">
        <v>-1.1133402844019999</v>
      </c>
      <c r="AE4944">
        <v>-13.036300000000001</v>
      </c>
      <c r="AF4944">
        <v>-10.8066680161294</v>
      </c>
      <c r="AG4944">
        <v>-1.1133402844019999</v>
      </c>
      <c r="AH4944">
        <v>30.627456241546199</v>
      </c>
      <c r="AI4944">
        <v>91.963316386151604</v>
      </c>
      <c r="AJ4944">
        <v>109.435006834221</v>
      </c>
      <c r="AK4944">
        <v>32.497148736889699</v>
      </c>
      <c r="AL4944">
        <v>79.046952675503704</v>
      </c>
      <c r="AM4944">
        <v>98.953169689820498</v>
      </c>
      <c r="AN4944">
        <v>0.99999995394182795</v>
      </c>
    </row>
    <row r="4945" spans="1:40" x14ac:dyDescent="0.25">
      <c r="A4945" t="str">
        <f>"20190304155201033"</f>
        <v>20190304155201033</v>
      </c>
      <c r="B4945" t="str">
        <f>"1551685921021665"</f>
        <v>1551685921021665</v>
      </c>
      <c r="C4945" t="s">
        <v>40</v>
      </c>
      <c r="D4945">
        <v>4.4296939999999996</v>
      </c>
      <c r="E4945">
        <v>0.42122150000000003</v>
      </c>
      <c r="F4945" t="s">
        <v>84</v>
      </c>
      <c r="G4945">
        <v>-421.94760000000002</v>
      </c>
      <c r="H4945" s="1">
        <v>-5.1668479999999999E-6</v>
      </c>
      <c r="I4945">
        <v>127.6534</v>
      </c>
      <c r="J4945">
        <v>-391.5068</v>
      </c>
      <c r="K4945">
        <v>1.113429</v>
      </c>
      <c r="L4945">
        <v>141.2919</v>
      </c>
      <c r="M4945">
        <v>-0.99692029999999998</v>
      </c>
      <c r="N4945">
        <v>-1.4053380000000001E-2</v>
      </c>
      <c r="O4945">
        <v>-7.7152719999999994E-2</v>
      </c>
      <c r="P4945">
        <v>-0.95735369999999997</v>
      </c>
      <c r="Q4945">
        <v>0.1779308</v>
      </c>
      <c r="R4945">
        <v>-0.22762850000000001</v>
      </c>
      <c r="S4945">
        <v>-2.85379</v>
      </c>
      <c r="T4945">
        <v>-0.103509199999999</v>
      </c>
      <c r="U4945">
        <v>-1.2701420000000001</v>
      </c>
      <c r="V4945">
        <v>-0.1543678</v>
      </c>
      <c r="W4945">
        <v>0.19053819999999999</v>
      </c>
      <c r="X4945">
        <v>0.96946670000000001</v>
      </c>
      <c r="Y4945">
        <v>-0.3346616</v>
      </c>
      <c r="Z4945">
        <v>-6.6345469999999898E-3</v>
      </c>
      <c r="AA4945">
        <v>0.94231500000000001</v>
      </c>
      <c r="AB4945">
        <v>26</v>
      </c>
      <c r="AC4945">
        <v>-30.440799999999999</v>
      </c>
      <c r="AD4945">
        <v>-1.1134341668479999</v>
      </c>
      <c r="AE4945">
        <v>-13.638499999999899</v>
      </c>
      <c r="AF4945">
        <v>-11.2364972684972</v>
      </c>
      <c r="AG4945">
        <v>-1.1134341668479999</v>
      </c>
      <c r="AH4945">
        <v>31.367447817702701</v>
      </c>
      <c r="AI4945">
        <v>91.913946288365807</v>
      </c>
      <c r="AJ4945">
        <v>109.708620818138</v>
      </c>
      <c r="AK4945">
        <v>33.337897190812001</v>
      </c>
      <c r="AL4945">
        <v>79.015804882154001</v>
      </c>
      <c r="AM4945">
        <v>99.047233178789497</v>
      </c>
      <c r="AN4945">
        <v>0.999999952872483</v>
      </c>
    </row>
    <row r="4946" spans="1:40" x14ac:dyDescent="0.25">
      <c r="A4946" t="str">
        <f>"20190304155201056"</f>
        <v>20190304155201056</v>
      </c>
      <c r="B4946" t="str">
        <f>"1551685921051921"</f>
        <v>1551685921051921</v>
      </c>
      <c r="C4946" t="s">
        <v>40</v>
      </c>
      <c r="D4946">
        <v>4.3860440000000001</v>
      </c>
      <c r="E4946">
        <v>0.42052430000000002</v>
      </c>
      <c r="F4946" t="s">
        <v>84</v>
      </c>
      <c r="G4946">
        <v>-423.07940000000002</v>
      </c>
      <c r="H4946" s="1">
        <v>-5.049597E-6</v>
      </c>
      <c r="I4946">
        <v>126.9308</v>
      </c>
      <c r="J4946">
        <v>-391.76859999999999</v>
      </c>
      <c r="K4946">
        <v>1.1135090000000001</v>
      </c>
      <c r="L4946">
        <v>141.267</v>
      </c>
      <c r="M4946">
        <v>-0.99659030000000004</v>
      </c>
      <c r="N4946">
        <v>-1.405816E-2</v>
      </c>
      <c r="O4946">
        <v>-8.1302070000000004E-2</v>
      </c>
      <c r="P4946">
        <v>-0.95600779999999996</v>
      </c>
      <c r="Q4946">
        <v>0.1781093</v>
      </c>
      <c r="R4946">
        <v>-0.23308019999999999</v>
      </c>
      <c r="S4946">
        <v>-2.8446349999999998</v>
      </c>
      <c r="T4946">
        <v>-0.1003184</v>
      </c>
      <c r="U4946">
        <v>-1.2939149999999999</v>
      </c>
      <c r="V4946">
        <v>-0.15590129999999999</v>
      </c>
      <c r="W4946">
        <v>0.19067719999999999</v>
      </c>
      <c r="X4946">
        <v>0.969194</v>
      </c>
      <c r="Y4946">
        <v>-0.33841769999999999</v>
      </c>
      <c r="Z4946">
        <v>-6.5547849999999996E-3</v>
      </c>
      <c r="AA4946">
        <v>0.94097319999999995</v>
      </c>
      <c r="AB4946">
        <v>26</v>
      </c>
      <c r="AC4946">
        <v>-31.3108</v>
      </c>
      <c r="AD4946">
        <v>-1.113514049597</v>
      </c>
      <c r="AE4946">
        <v>-14.3361999999999</v>
      </c>
      <c r="AF4946">
        <v>-11.730581179587301</v>
      </c>
      <c r="AG4946">
        <v>-1.113514049597</v>
      </c>
      <c r="AH4946">
        <v>32.3389911556038</v>
      </c>
      <c r="AI4946">
        <v>91.853949268001998</v>
      </c>
      <c r="AJ4946">
        <v>109.937632668771</v>
      </c>
      <c r="AK4946">
        <v>34.418843637050898</v>
      </c>
      <c r="AL4946">
        <v>79.007692663152099</v>
      </c>
      <c r="AM4946">
        <v>99.138127795535596</v>
      </c>
      <c r="AN4946">
        <v>1.00000000978876</v>
      </c>
    </row>
    <row r="4947" spans="1:40" x14ac:dyDescent="0.25">
      <c r="A4947" t="str">
        <f>"20190304155201079"</f>
        <v>20190304155201079</v>
      </c>
      <c r="B4947" t="str">
        <f>"1551685921071440"</f>
        <v>1551685921071440</v>
      </c>
      <c r="C4947" t="s">
        <v>40</v>
      </c>
      <c r="D4947">
        <v>4.350015</v>
      </c>
      <c r="E4947">
        <v>0.42062359999999999</v>
      </c>
      <c r="F4947" t="s">
        <v>84</v>
      </c>
      <c r="G4947">
        <v>-422.9162</v>
      </c>
      <c r="H4947" s="1">
        <v>-4.9628119999999996E-6</v>
      </c>
      <c r="I4947">
        <v>126.83150000000001</v>
      </c>
      <c r="J4947">
        <v>-392.02569999999997</v>
      </c>
      <c r="K4947">
        <v>1.1135839999999999</v>
      </c>
      <c r="L4947">
        <v>141.2414</v>
      </c>
      <c r="M4947">
        <v>-0.99623910000000004</v>
      </c>
      <c r="N4947">
        <v>-1.4062460000000001E-2</v>
      </c>
      <c r="O4947">
        <v>-8.5497799999999999E-2</v>
      </c>
      <c r="P4947">
        <v>-0.95461600000000002</v>
      </c>
      <c r="Q4947">
        <v>0.17849010000000001</v>
      </c>
      <c r="R4947">
        <v>-0.2384319</v>
      </c>
      <c r="S4947">
        <v>-2.8364560000000001</v>
      </c>
      <c r="T4947">
        <v>-0.1014023</v>
      </c>
      <c r="U4947">
        <v>-1.314575</v>
      </c>
      <c r="V4947">
        <v>-0.15729389999999999</v>
      </c>
      <c r="W4947">
        <v>0.19102169999999999</v>
      </c>
      <c r="X4947">
        <v>0.96890109999999996</v>
      </c>
      <c r="Y4947">
        <v>-0.3411283</v>
      </c>
      <c r="Z4947">
        <v>-6.5757029999999996E-3</v>
      </c>
      <c r="AA4947">
        <v>0.93999370000000004</v>
      </c>
      <c r="AB4947">
        <v>26</v>
      </c>
      <c r="AC4947">
        <v>-30.890499999999999</v>
      </c>
      <c r="AD4947">
        <v>-1.1135889628119999</v>
      </c>
      <c r="AE4947">
        <v>-14.409899999999899</v>
      </c>
      <c r="AF4947">
        <v>-11.703303537511999</v>
      </c>
      <c r="AG4947">
        <v>-1.1135889628119999</v>
      </c>
      <c r="AH4947">
        <v>31.975376445664899</v>
      </c>
      <c r="AI4947">
        <v>91.873171882628299</v>
      </c>
      <c r="AJ4947">
        <v>110.10312474425101</v>
      </c>
      <c r="AK4947">
        <v>34.068050911539103</v>
      </c>
      <c r="AL4947">
        <v>78.987584572961694</v>
      </c>
      <c r="AM4947">
        <v>99.221098316993306</v>
      </c>
      <c r="AN4947">
        <v>1.0000000012146499</v>
      </c>
    </row>
    <row r="4948" spans="1:40" x14ac:dyDescent="0.25">
      <c r="A4948" t="str">
        <f>"20190304155201101"</f>
        <v>20190304155201101</v>
      </c>
      <c r="B4948" t="str">
        <f>"1551685921091936"</f>
        <v>1551685921091936</v>
      </c>
      <c r="C4948" t="s">
        <v>40</v>
      </c>
      <c r="D4948">
        <v>4.3775209999999998</v>
      </c>
      <c r="E4948">
        <v>0.4203692</v>
      </c>
      <c r="F4948" t="s">
        <v>84</v>
      </c>
      <c r="G4948">
        <v>-422.69740000000002</v>
      </c>
      <c r="H4948" s="1">
        <v>-4.9150899999999999E-6</v>
      </c>
      <c r="I4948">
        <v>126.833</v>
      </c>
      <c r="J4948">
        <v>-392.2801</v>
      </c>
      <c r="K4948">
        <v>1.1136520000000001</v>
      </c>
      <c r="L4948">
        <v>141.2148</v>
      </c>
      <c r="M4948">
        <v>-0.99586410000000003</v>
      </c>
      <c r="N4948">
        <v>-1.406693E-2</v>
      </c>
      <c r="O4948">
        <v>-8.9760019999999996E-2</v>
      </c>
      <c r="P4948">
        <v>-0.95324869999999995</v>
      </c>
      <c r="Q4948">
        <v>0.1791876</v>
      </c>
      <c r="R4948">
        <v>-0.24332860000000001</v>
      </c>
      <c r="S4948">
        <v>-2.829834</v>
      </c>
      <c r="T4948">
        <v>-0.1027421</v>
      </c>
      <c r="U4948">
        <v>-1.3293459999999999</v>
      </c>
      <c r="V4948">
        <v>-0.1581716</v>
      </c>
      <c r="W4948">
        <v>0.19168769999999999</v>
      </c>
      <c r="X4948">
        <v>0.96862669999999995</v>
      </c>
      <c r="Y4948">
        <v>-0.34196729999999997</v>
      </c>
      <c r="Z4948">
        <v>-6.5533980000000002E-3</v>
      </c>
      <c r="AA4948">
        <v>0.939689</v>
      </c>
      <c r="AB4948">
        <v>26</v>
      </c>
      <c r="AC4948">
        <v>-30.417300000000001</v>
      </c>
      <c r="AD4948">
        <v>-1.11365691509</v>
      </c>
      <c r="AE4948">
        <v>-14.381799999999901</v>
      </c>
      <c r="AF4948">
        <v>-11.5805204691993</v>
      </c>
      <c r="AG4948">
        <v>-1.11365691509</v>
      </c>
      <c r="AH4948">
        <v>31.5509661192485</v>
      </c>
      <c r="AI4948">
        <v>91.897834056872995</v>
      </c>
      <c r="AJ4948">
        <v>110.155242774611</v>
      </c>
      <c r="AK4948">
        <v>33.627550447810499</v>
      </c>
      <c r="AL4948">
        <v>78.948707786068695</v>
      </c>
      <c r="AM4948">
        <v>99.274241820301498</v>
      </c>
      <c r="AN4948">
        <v>1.00000005666536</v>
      </c>
    </row>
    <row r="4949" spans="1:40" x14ac:dyDescent="0.25">
      <c r="A4949" t="str">
        <f>"20190304155201123"</f>
        <v>20190304155201123</v>
      </c>
      <c r="B4949" t="str">
        <f>"1551685921111457"</f>
        <v>1551685921111457</v>
      </c>
      <c r="C4949" t="s">
        <v>40</v>
      </c>
      <c r="D4949">
        <v>4.4015740000000001</v>
      </c>
      <c r="E4949">
        <v>0.42021839999999999</v>
      </c>
      <c r="F4949" t="s">
        <v>84</v>
      </c>
      <c r="G4949">
        <v>-423.46179999999998</v>
      </c>
      <c r="H4949" s="1">
        <v>-4.8366699999999901E-6</v>
      </c>
      <c r="I4949">
        <v>126.34650000000001</v>
      </c>
      <c r="J4949">
        <v>-392.53160000000003</v>
      </c>
      <c r="K4949">
        <v>1.113721</v>
      </c>
      <c r="L4949">
        <v>141.1874</v>
      </c>
      <c r="M4949">
        <v>-0.9954653</v>
      </c>
      <c r="N4949">
        <v>-1.407188E-2</v>
      </c>
      <c r="O4949">
        <v>-9.4078819999999994E-2</v>
      </c>
      <c r="P4949">
        <v>-0.95207350000000002</v>
      </c>
      <c r="Q4949">
        <v>0.17873049999999999</v>
      </c>
      <c r="R4949">
        <v>-0.24821689999999999</v>
      </c>
      <c r="S4949">
        <v>-2.82254</v>
      </c>
      <c r="T4949">
        <v>-0.10080740000000001</v>
      </c>
      <c r="U4949">
        <v>-1.34587099999999</v>
      </c>
      <c r="V4949">
        <v>-0.15896370000000001</v>
      </c>
      <c r="W4949">
        <v>0.19120229999999999</v>
      </c>
      <c r="X4949">
        <v>0.96859289999999998</v>
      </c>
      <c r="Y4949">
        <v>-0.34332459999999998</v>
      </c>
      <c r="Z4949">
        <v>-6.4538590000000002E-3</v>
      </c>
      <c r="AA4949">
        <v>0.93919459999999999</v>
      </c>
      <c r="AB4949">
        <v>26</v>
      </c>
      <c r="AC4949">
        <v>-30.9301999999999</v>
      </c>
      <c r="AD4949">
        <v>-1.11372583667</v>
      </c>
      <c r="AE4949">
        <v>-14.8408999999999</v>
      </c>
      <c r="AF4949">
        <v>-11.8524075623053</v>
      </c>
      <c r="AG4949">
        <v>-1.11372583667</v>
      </c>
      <c r="AH4949">
        <v>32.155453124334898</v>
      </c>
      <c r="AI4949">
        <v>91.861359817663697</v>
      </c>
      <c r="AJ4949">
        <v>110.233741444584</v>
      </c>
      <c r="AK4949">
        <v>34.288381645880499</v>
      </c>
      <c r="AL4949">
        <v>78.977042542589203</v>
      </c>
      <c r="AM4949">
        <v>99.320192426251197</v>
      </c>
      <c r="AN4949">
        <v>0.99999999168669396</v>
      </c>
    </row>
    <row r="4950" spans="1:40" x14ac:dyDescent="0.25">
      <c r="A4950" t="str">
        <f>"20190304155201144"</f>
        <v>20190304155201144</v>
      </c>
      <c r="B4950" t="str">
        <f>"1551685921141713"</f>
        <v>1551685921141713</v>
      </c>
      <c r="C4950" t="s">
        <v>40</v>
      </c>
      <c r="D4950">
        <v>4.3751119999999997</v>
      </c>
      <c r="E4950">
        <v>0.42008180000000001</v>
      </c>
      <c r="F4950" t="s">
        <v>84</v>
      </c>
      <c r="G4950">
        <v>-423.13459999999998</v>
      </c>
      <c r="H4950" s="1">
        <v>-4.7824799999999998E-6</v>
      </c>
      <c r="I4950">
        <v>126.38249999999999</v>
      </c>
      <c r="J4950">
        <v>-392.77969999999999</v>
      </c>
      <c r="K4950">
        <v>1.113783</v>
      </c>
      <c r="L4950">
        <v>141.1591</v>
      </c>
      <c r="M4950">
        <v>-0.99504320000000002</v>
      </c>
      <c r="N4950">
        <v>-1.407683E-2</v>
      </c>
      <c r="O4950">
        <v>-9.8442160000000001E-2</v>
      </c>
      <c r="P4950">
        <v>-0.95108139999999997</v>
      </c>
      <c r="Q4950">
        <v>0.17730589999999999</v>
      </c>
      <c r="R4950">
        <v>-0.252996</v>
      </c>
      <c r="S4950">
        <v>-2.8151860000000002</v>
      </c>
      <c r="T4950">
        <v>-0.1024523</v>
      </c>
      <c r="U4950">
        <v>-1.3619079999999999</v>
      </c>
      <c r="V4950">
        <v>-0.15958079999999999</v>
      </c>
      <c r="W4950">
        <v>0.18975210000000001</v>
      </c>
      <c r="X4950">
        <v>0.96877659999999999</v>
      </c>
      <c r="Y4950">
        <v>-0.34449839999999998</v>
      </c>
      <c r="Z4950">
        <v>-6.443196E-3</v>
      </c>
      <c r="AA4950">
        <v>0.93876479999999995</v>
      </c>
      <c r="AB4950">
        <v>26</v>
      </c>
      <c r="AC4950">
        <v>-30.354899999999901</v>
      </c>
      <c r="AD4950">
        <v>-1.11378778248</v>
      </c>
      <c r="AE4950">
        <v>-14.7766</v>
      </c>
      <c r="AF4950">
        <v>-11.7035762313216</v>
      </c>
      <c r="AG4950">
        <v>-1.11378778248</v>
      </c>
      <c r="AH4950">
        <v>31.627790994704501</v>
      </c>
      <c r="AI4950">
        <v>91.891609459049505</v>
      </c>
      <c r="AJ4950">
        <v>110.30653487802</v>
      </c>
      <c r="AK4950">
        <v>33.7421306830418</v>
      </c>
      <c r="AL4950">
        <v>79.061682559063598</v>
      </c>
      <c r="AM4950">
        <v>99.353992390596403</v>
      </c>
      <c r="AN4950">
        <v>0.99999999594530498</v>
      </c>
    </row>
    <row r="4951" spans="1:40" x14ac:dyDescent="0.25">
      <c r="A4951" t="str">
        <f>"20190304155201168"</f>
        <v>20190304155201168</v>
      </c>
      <c r="B4951" t="str">
        <f>"1551685921162209"</f>
        <v>1551685921162209</v>
      </c>
      <c r="C4951" t="s">
        <v>40</v>
      </c>
      <c r="D4951">
        <v>4.3418349999999997</v>
      </c>
      <c r="E4951">
        <v>0.42000399999999999</v>
      </c>
      <c r="F4951" t="s">
        <v>84</v>
      </c>
      <c r="G4951">
        <v>-421.8116</v>
      </c>
      <c r="H4951" s="1">
        <v>-4.7632350000000003E-6</v>
      </c>
      <c r="I4951">
        <v>126.9205</v>
      </c>
      <c r="J4951">
        <v>-393.03840000000002</v>
      </c>
      <c r="K4951">
        <v>1.1138619999999999</v>
      </c>
      <c r="L4951">
        <v>141.1283</v>
      </c>
      <c r="M4951">
        <v>-0.99457130000000005</v>
      </c>
      <c r="N4951">
        <v>-1.408234E-2</v>
      </c>
      <c r="O4951">
        <v>-0.1031017</v>
      </c>
      <c r="P4951">
        <v>-0.94988139999999999</v>
      </c>
      <c r="Q4951">
        <v>0.17616809999999999</v>
      </c>
      <c r="R4951">
        <v>-0.25824550000000002</v>
      </c>
      <c r="S4951">
        <v>-2.8080440000000002</v>
      </c>
      <c r="T4951">
        <v>-0.1077284</v>
      </c>
      <c r="U4951">
        <v>-1.377197</v>
      </c>
      <c r="V4951">
        <v>-0.16040090000000001</v>
      </c>
      <c r="W4951">
        <v>0.18858530000000001</v>
      </c>
      <c r="X4951">
        <v>0.96886899999999998</v>
      </c>
      <c r="Y4951">
        <v>-0.34514620000000001</v>
      </c>
      <c r="Z4951">
        <v>-6.4949430000000004E-3</v>
      </c>
      <c r="AA4951">
        <v>0.93852650000000004</v>
      </c>
      <c r="AB4951">
        <v>26</v>
      </c>
      <c r="AC4951">
        <v>-28.7731999999999</v>
      </c>
      <c r="AD4951">
        <v>-1.1138667632349999</v>
      </c>
      <c r="AE4951">
        <v>-14.207799999999899</v>
      </c>
      <c r="AF4951">
        <v>-11.151773362752101</v>
      </c>
      <c r="AG4951">
        <v>-1.1138667632349999</v>
      </c>
      <c r="AH4951">
        <v>30.048621415452399</v>
      </c>
      <c r="AI4951">
        <v>91.9903816261983</v>
      </c>
      <c r="AJ4951">
        <v>110.361113371776</v>
      </c>
      <c r="AK4951">
        <v>32.070584610661697</v>
      </c>
      <c r="AL4951">
        <v>79.129764588746099</v>
      </c>
      <c r="AM4951">
        <v>99.400326772743398</v>
      </c>
      <c r="AN4951">
        <v>1.0000000016289501</v>
      </c>
    </row>
    <row r="4952" spans="1:40" x14ac:dyDescent="0.25">
      <c r="A4952" t="str">
        <f>"20190304155201189"</f>
        <v>20190304155201189</v>
      </c>
      <c r="B4952" t="str">
        <f>"1551685921181728"</f>
        <v>1551685921181728</v>
      </c>
      <c r="C4952" t="s">
        <v>40</v>
      </c>
      <c r="D4952">
        <v>4.3600960000000004</v>
      </c>
      <c r="E4952">
        <v>0.41992010000000002</v>
      </c>
      <c r="F4952" t="s">
        <v>84</v>
      </c>
      <c r="G4952">
        <v>-420.8603</v>
      </c>
      <c r="H4952" s="1">
        <v>-4.7405669999999997E-6</v>
      </c>
      <c r="I4952">
        <v>127.2899</v>
      </c>
      <c r="J4952">
        <v>-393.2903</v>
      </c>
      <c r="K4952">
        <v>1.1139330000000001</v>
      </c>
      <c r="L4952">
        <v>141.09690000000001</v>
      </c>
      <c r="M4952">
        <v>-0.99407659999999998</v>
      </c>
      <c r="N4952">
        <v>-1.4087540000000001E-2</v>
      </c>
      <c r="O4952">
        <v>-0.10776570000000001</v>
      </c>
      <c r="P4952">
        <v>-0.94841209999999998</v>
      </c>
      <c r="Q4952">
        <v>0.175502399999999</v>
      </c>
      <c r="R4952">
        <v>-0.26403320000000002</v>
      </c>
      <c r="S4952">
        <v>-2.800354</v>
      </c>
      <c r="T4952">
        <v>-0.11211359999999999</v>
      </c>
      <c r="U4952">
        <v>-1.392868</v>
      </c>
      <c r="V4952">
        <v>-0.1617835</v>
      </c>
      <c r="W4952">
        <v>0.18788379999999999</v>
      </c>
      <c r="X4952">
        <v>0.96877539999999995</v>
      </c>
      <c r="Y4952">
        <v>-0.34596519999999997</v>
      </c>
      <c r="Z4952">
        <v>-6.5165880000000002E-3</v>
      </c>
      <c r="AA4952">
        <v>0.93822470000000002</v>
      </c>
      <c r="AB4952">
        <v>26</v>
      </c>
      <c r="AC4952">
        <v>-27.57</v>
      </c>
      <c r="AD4952">
        <v>-1.1139377405669999</v>
      </c>
      <c r="AE4952">
        <v>-13.807</v>
      </c>
      <c r="AF4952">
        <v>-10.7411626758861</v>
      </c>
      <c r="AG4952">
        <v>-1.1139377405669999</v>
      </c>
      <c r="AH4952">
        <v>28.859811310359099</v>
      </c>
      <c r="AI4952">
        <v>92.071715973715101</v>
      </c>
      <c r="AJ4952">
        <v>110.414465995648</v>
      </c>
      <c r="AK4952">
        <v>30.813992629797902</v>
      </c>
      <c r="AL4952">
        <v>79.170689117723697</v>
      </c>
      <c r="AM4952">
        <v>99.480789014106804</v>
      </c>
      <c r="AN4952">
        <v>0.99999999940992401</v>
      </c>
    </row>
    <row r="4953" spans="1:40" x14ac:dyDescent="0.25">
      <c r="A4953" t="str">
        <f>"20190304155201211"</f>
        <v>20190304155201211</v>
      </c>
      <c r="B4953" t="str">
        <f>"1551685921202225"</f>
        <v>1551685921202225</v>
      </c>
      <c r="C4953" t="s">
        <v>40</v>
      </c>
      <c r="D4953">
        <v>4.3308239999999998</v>
      </c>
      <c r="E4953">
        <v>0.41982209999999998</v>
      </c>
      <c r="F4953" t="s">
        <v>84</v>
      </c>
      <c r="G4953">
        <v>-420.35289999999998</v>
      </c>
      <c r="H4953" s="1">
        <v>-4.6989610000000002E-6</v>
      </c>
      <c r="I4953">
        <v>127.42910000000001</v>
      </c>
      <c r="J4953">
        <v>-393.54129999999998</v>
      </c>
      <c r="K4953">
        <v>1.113985</v>
      </c>
      <c r="L4953">
        <v>141.0643</v>
      </c>
      <c r="M4953">
        <v>-0.99355079999999996</v>
      </c>
      <c r="N4953">
        <v>-1.409272E-2</v>
      </c>
      <c r="O4953">
        <v>-0.1125081</v>
      </c>
      <c r="P4953">
        <v>-0.94679080000000004</v>
      </c>
      <c r="Q4953">
        <v>0.17516809999999999</v>
      </c>
      <c r="R4953">
        <v>-0.27000669999999999</v>
      </c>
      <c r="S4953">
        <v>-2.7919010000000002</v>
      </c>
      <c r="T4953">
        <v>-0.1149189</v>
      </c>
      <c r="U4953">
        <v>-1.410034</v>
      </c>
      <c r="V4953">
        <v>-0.163290299999999</v>
      </c>
      <c r="W4953">
        <v>0.18751519999999999</v>
      </c>
      <c r="X4953">
        <v>0.96859399999999996</v>
      </c>
      <c r="Y4953">
        <v>-0.34721639999999998</v>
      </c>
      <c r="Z4953">
        <v>-6.5030629999999999E-3</v>
      </c>
      <c r="AA4953">
        <v>0.93776250000000005</v>
      </c>
      <c r="AB4953">
        <v>26</v>
      </c>
      <c r="AC4953">
        <v>-26.811599999999999</v>
      </c>
      <c r="AD4953">
        <v>-1.1139896989610001</v>
      </c>
      <c r="AE4953">
        <v>-13.6351999999999</v>
      </c>
      <c r="AF4953">
        <v>-10.5173629288246</v>
      </c>
      <c r="AG4953">
        <v>-1.1139896989610001</v>
      </c>
      <c r="AH4953">
        <v>28.136965036401001</v>
      </c>
      <c r="AI4953">
        <v>92.123872541959699</v>
      </c>
      <c r="AJ4953">
        <v>110.49532399438201</v>
      </c>
      <c r="AK4953">
        <v>30.059020234958702</v>
      </c>
      <c r="AL4953">
        <v>79.192190553408494</v>
      </c>
      <c r="AM4953">
        <v>99.569223752000198</v>
      </c>
      <c r="AN4953">
        <v>1.0000000045705599</v>
      </c>
    </row>
    <row r="4954" spans="1:40" x14ac:dyDescent="0.25">
      <c r="A4954" t="str">
        <f>"20190304155201234"</f>
        <v>20190304155201234</v>
      </c>
      <c r="B4954" t="str">
        <f>"1551685921231505"</f>
        <v>1551685921231505</v>
      </c>
      <c r="C4954" t="s">
        <v>40</v>
      </c>
      <c r="D4954">
        <v>4.3456130000000002</v>
      </c>
      <c r="E4954">
        <v>0.4198151</v>
      </c>
      <c r="F4954" t="s">
        <v>84</v>
      </c>
      <c r="G4954">
        <v>-420.1773</v>
      </c>
      <c r="H4954" s="1">
        <v>-4.641941E-6</v>
      </c>
      <c r="I4954">
        <v>127.39360000000001</v>
      </c>
      <c r="J4954">
        <v>-393.79149999999998</v>
      </c>
      <c r="K4954">
        <v>1.1140429999999999</v>
      </c>
      <c r="L4954">
        <v>141.03049999999999</v>
      </c>
      <c r="M4954">
        <v>-0.99299219999999999</v>
      </c>
      <c r="N4954">
        <v>-1.4097510000000001E-2</v>
      </c>
      <c r="O4954">
        <v>-0.1173358</v>
      </c>
      <c r="P4954">
        <v>-0.94504500000000002</v>
      </c>
      <c r="Q4954">
        <v>0.17483370000000001</v>
      </c>
      <c r="R4954">
        <v>-0.2762655</v>
      </c>
      <c r="S4954">
        <v>-2.7828059999999999</v>
      </c>
      <c r="T4954">
        <v>-0.1163843</v>
      </c>
      <c r="U4954">
        <v>-1.428253</v>
      </c>
      <c r="V4954">
        <v>-0.16501160000000001</v>
      </c>
      <c r="W4954">
        <v>0.1871456</v>
      </c>
      <c r="X4954">
        <v>0.9683737</v>
      </c>
      <c r="Y4954">
        <v>-0.34875669999999998</v>
      </c>
      <c r="Z4954">
        <v>-6.4615660000000002E-3</v>
      </c>
      <c r="AA4954">
        <v>0.937191</v>
      </c>
      <c r="AB4954">
        <v>26</v>
      </c>
      <c r="AC4954">
        <v>-26.3858</v>
      </c>
      <c r="AD4954">
        <v>-1.1140476419409999</v>
      </c>
      <c r="AE4954">
        <v>-13.636899999999899</v>
      </c>
      <c r="AF4954">
        <v>-10.431698809934799</v>
      </c>
      <c r="AG4954">
        <v>-1.1140476419409999</v>
      </c>
      <c r="AH4954">
        <v>27.7646928179309</v>
      </c>
      <c r="AI4954">
        <v>92.151074021173002</v>
      </c>
      <c r="AJ4954">
        <v>110.592110368833</v>
      </c>
      <c r="AK4954">
        <v>29.680626837783802</v>
      </c>
      <c r="AL4954">
        <v>79.213748268007706</v>
      </c>
      <c r="AM4954">
        <v>99.670359905085604</v>
      </c>
      <c r="AN4954">
        <v>0.99999996329280405</v>
      </c>
    </row>
    <row r="4955" spans="1:40" x14ac:dyDescent="0.25">
      <c r="A4955" t="str">
        <f>"20190304155201257"</f>
        <v>20190304155201257</v>
      </c>
      <c r="B4955" t="str">
        <f>"1551685921252000"</f>
        <v>1551685921252000</v>
      </c>
      <c r="C4955" t="s">
        <v>40</v>
      </c>
      <c r="D4955">
        <v>4.2994389999999996</v>
      </c>
      <c r="E4955">
        <v>0.41984559999999999</v>
      </c>
      <c r="F4955" t="s">
        <v>84</v>
      </c>
      <c r="G4955">
        <v>-419.83089999999999</v>
      </c>
      <c r="H4955" s="1">
        <v>-4.6301069999999999E-6</v>
      </c>
      <c r="I4955">
        <v>127.4515</v>
      </c>
      <c r="J4955">
        <v>-394.05090000000001</v>
      </c>
      <c r="K4955">
        <v>1.1141030000000001</v>
      </c>
      <c r="L4955">
        <v>140.9941</v>
      </c>
      <c r="M4955">
        <v>-0.99237399999999998</v>
      </c>
      <c r="N4955">
        <v>-1.410256E-2</v>
      </c>
      <c r="O4955">
        <v>-0.1224543</v>
      </c>
      <c r="P4955">
        <v>-0.94322910000000004</v>
      </c>
      <c r="Q4955">
        <v>0.17447109999999999</v>
      </c>
      <c r="R4955">
        <v>-0.2826284</v>
      </c>
      <c r="S4955">
        <v>-2.7736209999999999</v>
      </c>
      <c r="T4955">
        <v>-0.11866450000000001</v>
      </c>
      <c r="U4955">
        <v>-1.446396</v>
      </c>
      <c r="V4955">
        <v>-0.16656470000000001</v>
      </c>
      <c r="W4955">
        <v>0.18674840000000001</v>
      </c>
      <c r="X4955">
        <v>0.9681845</v>
      </c>
      <c r="Y4955">
        <v>-0.35000769999999998</v>
      </c>
      <c r="Z4955">
        <v>-6.4155760000000001E-3</v>
      </c>
      <c r="AA4955">
        <v>0.93672480000000002</v>
      </c>
      <c r="AB4955">
        <v>26</v>
      </c>
      <c r="AC4955">
        <v>-25.779999999999902</v>
      </c>
      <c r="AD4955">
        <v>-1.1141076301070001</v>
      </c>
      <c r="AE4955">
        <v>-13.5426</v>
      </c>
      <c r="AF4955">
        <v>-10.268444489483199</v>
      </c>
      <c r="AG4955">
        <v>-1.1141076301070001</v>
      </c>
      <c r="AH4955">
        <v>27.2046398742837</v>
      </c>
      <c r="AI4955">
        <v>92.194178842674006</v>
      </c>
      <c r="AJ4955">
        <v>110.679112191678</v>
      </c>
      <c r="AK4955">
        <v>29.099392068126299</v>
      </c>
      <c r="AL4955">
        <v>79.236914921212005</v>
      </c>
      <c r="AM4955">
        <v>99.761505991118298</v>
      </c>
      <c r="AN4955">
        <v>0.99999999511445004</v>
      </c>
    </row>
    <row r="4956" spans="1:40" x14ac:dyDescent="0.25">
      <c r="A4956" t="str">
        <f>"20190304155201281"</f>
        <v>20190304155201281</v>
      </c>
      <c r="B4956" t="str">
        <f>"1551685921271520"</f>
        <v>1551685921271520</v>
      </c>
      <c r="C4956" t="s">
        <v>40</v>
      </c>
      <c r="D4956">
        <v>4.3110790000000003</v>
      </c>
      <c r="E4956">
        <v>0.41988760000000003</v>
      </c>
      <c r="F4956" t="s">
        <v>84</v>
      </c>
      <c r="G4956">
        <v>-419.66370000000001</v>
      </c>
      <c r="H4956" s="1">
        <v>-4.6213080000000003E-6</v>
      </c>
      <c r="I4956">
        <v>127.4152</v>
      </c>
      <c r="J4956">
        <v>-394.31139999999999</v>
      </c>
      <c r="K4956">
        <v>1.114179</v>
      </c>
      <c r="L4956">
        <v>140.95599999999999</v>
      </c>
      <c r="M4956">
        <v>-0.99170939999999996</v>
      </c>
      <c r="N4956">
        <v>-1.410864E-2</v>
      </c>
      <c r="O4956">
        <v>-0.1277238</v>
      </c>
      <c r="P4956">
        <v>-0.9412876</v>
      </c>
      <c r="Q4956">
        <v>0.17372409999999999</v>
      </c>
      <c r="R4956">
        <v>-0.28947790000000001</v>
      </c>
      <c r="S4956">
        <v>-2.763763</v>
      </c>
      <c r="T4956">
        <v>-0.1202183</v>
      </c>
      <c r="U4956">
        <v>-1.4652400000000001</v>
      </c>
      <c r="V4956">
        <v>-0.16847319999999999</v>
      </c>
      <c r="W4956">
        <v>0.1859595</v>
      </c>
      <c r="X4956">
        <v>0.96800609999999998</v>
      </c>
      <c r="Y4956">
        <v>-0.35139389999999998</v>
      </c>
      <c r="Z4956">
        <v>-6.3510390000000002E-3</v>
      </c>
      <c r="AA4956">
        <v>0.93620619999999999</v>
      </c>
      <c r="AB4956">
        <v>26</v>
      </c>
      <c r="AC4956">
        <v>-25.3523</v>
      </c>
      <c r="AD4956">
        <v>-1.1141836213079901</v>
      </c>
      <c r="AE4956">
        <v>-13.540800000000001</v>
      </c>
      <c r="AF4956">
        <v>-10.1761689691809</v>
      </c>
      <c r="AG4956">
        <v>-1.1141836213079901</v>
      </c>
      <c r="AH4956">
        <v>26.833947531169098</v>
      </c>
      <c r="AI4956">
        <v>92.2233056997473</v>
      </c>
      <c r="AJ4956">
        <v>110.76810145464</v>
      </c>
      <c r="AK4956">
        <v>28.7203161566311</v>
      </c>
      <c r="AL4956">
        <v>79.282921334965593</v>
      </c>
      <c r="AM4956">
        <v>99.872948797454399</v>
      </c>
      <c r="AN4956">
        <v>0.99999998219784902</v>
      </c>
    </row>
    <row r="4957" spans="1:40" x14ac:dyDescent="0.25">
      <c r="A4957" t="str">
        <f>"20190304155201301"</f>
        <v>20190304155201301</v>
      </c>
      <c r="B4957" t="str">
        <f>"1551685921292017"</f>
        <v>1551685921292017</v>
      </c>
      <c r="C4957" t="s">
        <v>40</v>
      </c>
      <c r="D4957">
        <v>4.3031940000000004</v>
      </c>
      <c r="E4957">
        <v>0.41989070000000001</v>
      </c>
      <c r="F4957" t="s">
        <v>84</v>
      </c>
      <c r="G4957">
        <v>-419.32319999999999</v>
      </c>
      <c r="H4957" s="1">
        <v>-4.6647329999999998E-6</v>
      </c>
      <c r="I4957">
        <v>127.4616</v>
      </c>
      <c r="J4957">
        <v>-394.54790000000003</v>
      </c>
      <c r="K4957">
        <v>1.1142639999999999</v>
      </c>
      <c r="L4957">
        <v>140.91999999999999</v>
      </c>
      <c r="M4957">
        <v>-0.99106439999999996</v>
      </c>
      <c r="N4957">
        <v>-1.4115300000000001E-2</v>
      </c>
      <c r="O4957">
        <v>-0.13263520000000001</v>
      </c>
      <c r="P4957">
        <v>-0.93925110000000001</v>
      </c>
      <c r="Q4957">
        <v>0.1746095</v>
      </c>
      <c r="R4957">
        <v>-0.29549829999999999</v>
      </c>
      <c r="S4957">
        <v>-2.7529910000000002</v>
      </c>
      <c r="T4957">
        <v>-0.12263540000000001</v>
      </c>
      <c r="U4957">
        <v>-1.4852909999999999</v>
      </c>
      <c r="V4957">
        <v>-0.16994319999999999</v>
      </c>
      <c r="W4957">
        <v>0.18680089999999999</v>
      </c>
      <c r="X4957">
        <v>0.96758710000000003</v>
      </c>
      <c r="Y4957">
        <v>-0.35355629999999999</v>
      </c>
      <c r="Z4957">
        <v>-6.3271580000000003E-3</v>
      </c>
      <c r="AA4957">
        <v>0.9353918</v>
      </c>
      <c r="AB4957">
        <v>26</v>
      </c>
      <c r="AC4957">
        <v>-24.775299999999898</v>
      </c>
      <c r="AD4957">
        <v>-1.114268664733</v>
      </c>
      <c r="AE4957">
        <v>-13.4583999999999</v>
      </c>
      <c r="AF4957">
        <v>-10.037388842157799</v>
      </c>
      <c r="AG4957">
        <v>-1.114268664733</v>
      </c>
      <c r="AH4957">
        <v>26.300522087639401</v>
      </c>
      <c r="AI4957">
        <v>92.266707075569002</v>
      </c>
      <c r="AJ4957">
        <v>110.88896437938099</v>
      </c>
      <c r="AK4957">
        <v>28.1728278933494</v>
      </c>
      <c r="AL4957">
        <v>79.233853411112406</v>
      </c>
      <c r="AM4957">
        <v>99.961603124650694</v>
      </c>
      <c r="AN4957">
        <v>1.0000000317767199</v>
      </c>
    </row>
    <row r="4958" spans="1:40" x14ac:dyDescent="0.25">
      <c r="A4958" t="str">
        <f>"20190304155201323"</f>
        <v>20190304155201323</v>
      </c>
      <c r="B4958" t="str">
        <f>"1551685921311537"</f>
        <v>1551685921311537</v>
      </c>
      <c r="C4958" t="s">
        <v>40</v>
      </c>
      <c r="D4958">
        <v>4.249587</v>
      </c>
      <c r="E4958">
        <v>0.41994599999999999</v>
      </c>
      <c r="F4958" t="s">
        <v>84</v>
      </c>
      <c r="G4958">
        <v>-420.09269999999998</v>
      </c>
      <c r="H4958" s="1">
        <v>-4.3806769999999998E-6</v>
      </c>
      <c r="I4958">
        <v>126.9177</v>
      </c>
      <c r="J4958">
        <v>-394.79039999999998</v>
      </c>
      <c r="K4958">
        <v>1.1143639999999999</v>
      </c>
      <c r="L4958">
        <v>140.8817</v>
      </c>
      <c r="M4958">
        <v>-0.99035779999999995</v>
      </c>
      <c r="N4958">
        <v>-1.412326E-2</v>
      </c>
      <c r="O4958">
        <v>-0.1378114</v>
      </c>
      <c r="P4958">
        <v>-0.93712629999999997</v>
      </c>
      <c r="Q4958">
        <v>0.17547779999999999</v>
      </c>
      <c r="R4958">
        <v>-0.30166530000000003</v>
      </c>
      <c r="S4958">
        <v>-2.7432249999999998</v>
      </c>
      <c r="T4958">
        <v>-0.11966010000000001</v>
      </c>
      <c r="U4958">
        <v>-1.5036929999999999</v>
      </c>
      <c r="V4958">
        <v>-0.17132439999999999</v>
      </c>
      <c r="W4958">
        <v>0.18762010000000001</v>
      </c>
      <c r="X4958">
        <v>0.96718490000000001</v>
      </c>
      <c r="Y4958">
        <v>-0.35491</v>
      </c>
      <c r="Z4958">
        <v>-6.1906869999999899E-3</v>
      </c>
      <c r="AA4958">
        <v>0.93488000000000004</v>
      </c>
      <c r="AB4958">
        <v>26</v>
      </c>
      <c r="AC4958">
        <v>-25.302299999999999</v>
      </c>
      <c r="AD4958">
        <v>-1.1143683806769999</v>
      </c>
      <c r="AE4958">
        <v>-13.964</v>
      </c>
      <c r="AF4958">
        <v>-10.328086145701601</v>
      </c>
      <c r="AG4958">
        <v>-1.1143683806769999</v>
      </c>
      <c r="AH4958">
        <v>26.945356043440398</v>
      </c>
      <c r="AI4958">
        <v>92.211493971257298</v>
      </c>
      <c r="AJ4958">
        <v>110.971700629216</v>
      </c>
      <c r="AK4958">
        <v>28.8784243446324</v>
      </c>
      <c r="AL4958">
        <v>79.186071481086501</v>
      </c>
      <c r="AM4958">
        <v>100.04501466054801</v>
      </c>
      <c r="AN4958">
        <v>0.99999999137369</v>
      </c>
    </row>
    <row r="4959" spans="1:40" x14ac:dyDescent="0.25">
      <c r="A4959" t="str">
        <f>"20190304155201346"</f>
        <v>20190304155201346</v>
      </c>
      <c r="B4959" t="str">
        <f>"1551685921341793"</f>
        <v>1551685921341793</v>
      </c>
      <c r="C4959" t="s">
        <v>40</v>
      </c>
      <c r="D4959">
        <v>4.334104</v>
      </c>
      <c r="E4959">
        <v>0.42017339999999997</v>
      </c>
      <c r="F4959" t="s">
        <v>84</v>
      </c>
      <c r="G4959">
        <v>-420.74029999999999</v>
      </c>
      <c r="H4959" s="1">
        <v>-4.2780390000000004E-6</v>
      </c>
      <c r="I4959">
        <v>126.4344</v>
      </c>
      <c r="J4959">
        <v>-395.04090000000002</v>
      </c>
      <c r="K4959">
        <v>1.1144829999999999</v>
      </c>
      <c r="L4959">
        <v>140.8407</v>
      </c>
      <c r="M4959">
        <v>-0.98957530000000005</v>
      </c>
      <c r="N4959">
        <v>-1.413264E-2</v>
      </c>
      <c r="O4959">
        <v>-0.14332210000000001</v>
      </c>
      <c r="P4959">
        <v>-0.93499080000000001</v>
      </c>
      <c r="Q4959">
        <v>0.17633979999999999</v>
      </c>
      <c r="R4959">
        <v>-0.30772909999999998</v>
      </c>
      <c r="S4959">
        <v>-2.7333980000000002</v>
      </c>
      <c r="T4959">
        <v>-0.1173806</v>
      </c>
      <c r="U4959">
        <v>-1.52179</v>
      </c>
      <c r="V4959">
        <v>-0.17228859999999999</v>
      </c>
      <c r="W4959">
        <v>0.18843270000000001</v>
      </c>
      <c r="X4959">
        <v>0.96685560000000004</v>
      </c>
      <c r="Y4959">
        <v>-0.3558693</v>
      </c>
      <c r="Z4959">
        <v>-6.0525199999999996E-3</v>
      </c>
      <c r="AA4959">
        <v>0.93451609999999996</v>
      </c>
      <c r="AB4959">
        <v>26</v>
      </c>
      <c r="AC4959">
        <v>-25.699399999999901</v>
      </c>
      <c r="AD4959">
        <v>-1.1144872780389901</v>
      </c>
      <c r="AE4959">
        <v>-14.4063</v>
      </c>
      <c r="AF4959">
        <v>-10.558772197419399</v>
      </c>
      <c r="AG4959">
        <v>-1.1144872780389901</v>
      </c>
      <c r="AH4959">
        <v>27.4596818614746</v>
      </c>
      <c r="AI4959">
        <v>92.1694573894748</v>
      </c>
      <c r="AJ4959">
        <v>111.032705159424</v>
      </c>
      <c r="AK4959">
        <v>29.440853930266801</v>
      </c>
      <c r="AL4959">
        <v>79.138667498268006</v>
      </c>
      <c r="AM4959">
        <v>100.103755601459</v>
      </c>
      <c r="AN4959">
        <v>0.99999999768530501</v>
      </c>
    </row>
    <row r="4960" spans="1:40" x14ac:dyDescent="0.25">
      <c r="A4960" t="str">
        <f>"20190304155201371"</f>
        <v>20190304155201371</v>
      </c>
      <c r="B4960" t="str">
        <f>"1551685921362288"</f>
        <v>1551685921362288</v>
      </c>
      <c r="C4960" t="s">
        <v>40</v>
      </c>
      <c r="D4960">
        <v>4.3098850000000004</v>
      </c>
      <c r="E4960">
        <v>0.42033039999999999</v>
      </c>
      <c r="F4960" t="s">
        <v>84</v>
      </c>
      <c r="G4960">
        <v>-421.2133</v>
      </c>
      <c r="H4960" s="1">
        <v>-4.1925570000000002E-6</v>
      </c>
      <c r="I4960">
        <v>126.0608</v>
      </c>
      <c r="J4960">
        <v>-395.30200000000002</v>
      </c>
      <c r="K4960">
        <v>1.1146069999999999</v>
      </c>
      <c r="L4960">
        <v>140.7961</v>
      </c>
      <c r="M4960">
        <v>-0.98869530000000005</v>
      </c>
      <c r="N4960">
        <v>-1.4143910000000001E-2</v>
      </c>
      <c r="O4960">
        <v>-0.14927079999999901</v>
      </c>
      <c r="P4960">
        <v>-0.93285019999999996</v>
      </c>
      <c r="Q4960">
        <v>0.17612130000000001</v>
      </c>
      <c r="R4960">
        <v>-0.3142798</v>
      </c>
      <c r="S4960">
        <v>-2.7241520000000001</v>
      </c>
      <c r="T4960">
        <v>-0.1160014</v>
      </c>
      <c r="U4960">
        <v>-1.5383610000000001</v>
      </c>
      <c r="V4960">
        <v>-0.1733073</v>
      </c>
      <c r="W4960">
        <v>0.18816240000000001</v>
      </c>
      <c r="X4960">
        <v>0.96672619999999998</v>
      </c>
      <c r="Y4960">
        <v>-0.35592459999999998</v>
      </c>
      <c r="Z4960">
        <v>-5.8959700000000004E-3</v>
      </c>
      <c r="AA4960">
        <v>0.93449610000000005</v>
      </c>
      <c r="AB4960">
        <v>25</v>
      </c>
      <c r="AC4960">
        <v>-25.911300000000001</v>
      </c>
      <c r="AD4960">
        <v>-1.1146111925569999</v>
      </c>
      <c r="AE4960">
        <v>-14.735299999999899</v>
      </c>
      <c r="AF4960">
        <v>-10.687047819521799</v>
      </c>
      <c r="AG4960">
        <v>-1.1146111925569999</v>
      </c>
      <c r="AH4960">
        <v>27.7818650931844</v>
      </c>
      <c r="AI4960">
        <v>92.144446820423099</v>
      </c>
      <c r="AJ4960">
        <v>111.04059225805101</v>
      </c>
      <c r="AK4960">
        <v>29.7873694250301</v>
      </c>
      <c r="AL4960">
        <v>79.154436951319695</v>
      </c>
      <c r="AM4960">
        <v>100.16358701716401</v>
      </c>
      <c r="AN4960">
        <v>1.00000002738674</v>
      </c>
    </row>
    <row r="4961" spans="1:40" x14ac:dyDescent="0.25">
      <c r="A4961" t="str">
        <f>"20190304155201391"</f>
        <v>20190304155201391</v>
      </c>
      <c r="B4961" t="str">
        <f>"1551685921381809"</f>
        <v>1551685921381809</v>
      </c>
      <c r="C4961" t="s">
        <v>40</v>
      </c>
      <c r="D4961">
        <v>4.376423</v>
      </c>
      <c r="E4961">
        <v>0.42027320000000001</v>
      </c>
      <c r="F4961" t="s">
        <v>84</v>
      </c>
      <c r="G4961">
        <v>-421.04340000000002</v>
      </c>
      <c r="H4961" s="1">
        <v>-4.1396799999999998E-6</v>
      </c>
      <c r="I4961">
        <v>126.03100000000001</v>
      </c>
      <c r="J4961">
        <v>-395.54250000000002</v>
      </c>
      <c r="K4961">
        <v>1.1147229999999999</v>
      </c>
      <c r="L4961">
        <v>140.7533</v>
      </c>
      <c r="M4961">
        <v>-0.98782170000000002</v>
      </c>
      <c r="N4961">
        <v>-1.41557E-2</v>
      </c>
      <c r="O4961">
        <v>-0.15494569999999999</v>
      </c>
      <c r="P4961">
        <v>-0.9308824</v>
      </c>
      <c r="Q4961">
        <v>0.1759</v>
      </c>
      <c r="R4961">
        <v>-0.32018350000000001</v>
      </c>
      <c r="S4961">
        <v>-2.713654</v>
      </c>
      <c r="T4961">
        <v>-0.1175022</v>
      </c>
      <c r="U4961">
        <v>-1.5565340000000001</v>
      </c>
      <c r="V4961">
        <v>-0.17392750000000001</v>
      </c>
      <c r="W4961">
        <v>0.18789639999999999</v>
      </c>
      <c r="X4961">
        <v>0.96666649999999998</v>
      </c>
      <c r="Y4961">
        <v>-0.35682219999999998</v>
      </c>
      <c r="Z4961">
        <v>-5.7998869999999897E-3</v>
      </c>
      <c r="AA4961">
        <v>0.93415429999999999</v>
      </c>
      <c r="AB4961">
        <v>25</v>
      </c>
      <c r="AC4961">
        <v>-25.500900000000001</v>
      </c>
      <c r="AD4961">
        <v>-1.11472713967999</v>
      </c>
      <c r="AE4961">
        <v>-14.722299999999899</v>
      </c>
      <c r="AF4961">
        <v>-10.5776530272343</v>
      </c>
      <c r="AG4961">
        <v>-1.11472713967999</v>
      </c>
      <c r="AH4961">
        <v>27.434929811947001</v>
      </c>
      <c r="AI4961">
        <v>92.171126700183194</v>
      </c>
      <c r="AJ4961">
        <v>111.084355829809</v>
      </c>
      <c r="AK4961">
        <v>29.424560046786699</v>
      </c>
      <c r="AL4961">
        <v>79.169953858001705</v>
      </c>
      <c r="AM4961">
        <v>100.199813064818</v>
      </c>
      <c r="AN4961">
        <v>0.99999997730572898</v>
      </c>
    </row>
    <row r="4962" spans="1:40" x14ac:dyDescent="0.25">
      <c r="A4962" t="str">
        <f>"20190304155201414"</f>
        <v>20190304155201414</v>
      </c>
      <c r="B4962" t="str">
        <f>"1551685921402306"</f>
        <v>1551685921402306</v>
      </c>
      <c r="C4962" t="s">
        <v>40</v>
      </c>
      <c r="D4962">
        <v>4.5427999999999997</v>
      </c>
      <c r="E4962">
        <v>0.43846790000000002</v>
      </c>
      <c r="F4962" t="s">
        <v>84</v>
      </c>
      <c r="G4962">
        <v>-421.12900000000002</v>
      </c>
      <c r="H4962" s="1">
        <v>-4.0670290000000004E-6</v>
      </c>
      <c r="I4962">
        <v>125.85120000000001</v>
      </c>
      <c r="J4962">
        <v>-395.7876</v>
      </c>
      <c r="K4962">
        <v>1.114832</v>
      </c>
      <c r="L4962">
        <v>140.7081</v>
      </c>
      <c r="M4962">
        <v>-0.98687060000000004</v>
      </c>
      <c r="N4962">
        <v>-1.4167910000000001E-2</v>
      </c>
      <c r="O4962">
        <v>-0.160890899999999</v>
      </c>
      <c r="P4962">
        <v>-0.92891900000000005</v>
      </c>
      <c r="Q4962">
        <v>0.17548349999999999</v>
      </c>
      <c r="R4962">
        <v>-0.32606079999999998</v>
      </c>
      <c r="S4962">
        <v>-2.7033999999999998</v>
      </c>
      <c r="T4962">
        <v>-0.1177793</v>
      </c>
      <c r="U4962">
        <v>-1.574524</v>
      </c>
      <c r="V4962">
        <v>-0.1742494</v>
      </c>
      <c r="W4962">
        <v>0.18744350000000001</v>
      </c>
      <c r="X4962">
        <v>0.96669649999999996</v>
      </c>
      <c r="Y4962">
        <v>-0.35738039999999999</v>
      </c>
      <c r="Z4962">
        <v>-5.6735529999999996E-3</v>
      </c>
      <c r="AA4962">
        <v>0.93394169999999999</v>
      </c>
      <c r="AB4962">
        <v>25</v>
      </c>
      <c r="AC4962">
        <v>-25.3414</v>
      </c>
      <c r="AD4962">
        <v>-1.1148360670290001</v>
      </c>
      <c r="AE4962">
        <v>-14.8568999999999</v>
      </c>
      <c r="AF4962">
        <v>-10.570473922826199</v>
      </c>
      <c r="AG4962">
        <v>-1.1148360670290001</v>
      </c>
      <c r="AH4962">
        <v>27.3623601631855</v>
      </c>
      <c r="AI4962">
        <v>92.176536568008004</v>
      </c>
      <c r="AJ4962">
        <v>111.12226480397</v>
      </c>
      <c r="AK4962">
        <v>29.3543273148846</v>
      </c>
      <c r="AL4962">
        <v>79.196372999179005</v>
      </c>
      <c r="AM4962">
        <v>100.217982768577</v>
      </c>
      <c r="AN4962">
        <v>1.00000002110242</v>
      </c>
    </row>
    <row r="4963" spans="1:40" x14ac:dyDescent="0.25">
      <c r="A4963" t="str">
        <f>"20190304155201436"</f>
        <v>20190304155201436</v>
      </c>
      <c r="B4963" t="str">
        <f>"1551685921431586"</f>
        <v>1551685921431586</v>
      </c>
      <c r="C4963" t="s">
        <v>40</v>
      </c>
      <c r="D4963">
        <v>4.4645510000000002</v>
      </c>
      <c r="E4963">
        <v>0.44469710000000001</v>
      </c>
      <c r="F4963" t="s">
        <v>84</v>
      </c>
      <c r="G4963">
        <v>-415.96940000000001</v>
      </c>
      <c r="H4963" s="1">
        <v>-6.1200550000000003E-6</v>
      </c>
      <c r="I4963">
        <v>130.01589999999999</v>
      </c>
      <c r="J4963">
        <v>-396.03559999999999</v>
      </c>
      <c r="K4963">
        <v>1.11493</v>
      </c>
      <c r="L4963">
        <v>140.66059999999999</v>
      </c>
      <c r="M4963">
        <v>-0.98584139999999998</v>
      </c>
      <c r="N4963">
        <v>-1.417969E-2</v>
      </c>
      <c r="O4963">
        <v>-0.16707959999999999</v>
      </c>
      <c r="P4963">
        <v>-0.92678199999999999</v>
      </c>
      <c r="Q4963">
        <v>0.17621489999999901</v>
      </c>
      <c r="R4963">
        <v>-0.33169729999999997</v>
      </c>
      <c r="S4963">
        <v>-2.7473139999999998</v>
      </c>
      <c r="T4963">
        <v>-0.1517609</v>
      </c>
      <c r="U4963">
        <v>-1.4555049999999901</v>
      </c>
      <c r="V4963">
        <v>-0.17413339999999999</v>
      </c>
      <c r="W4963">
        <v>0.18814320000000001</v>
      </c>
      <c r="X4963">
        <v>0.96658140000000003</v>
      </c>
      <c r="Y4963">
        <v>-0.3135366</v>
      </c>
      <c r="Z4963">
        <v>-4.2030089999999997E-3</v>
      </c>
      <c r="AA4963">
        <v>0.94956680000000004</v>
      </c>
      <c r="AB4963">
        <v>25</v>
      </c>
      <c r="AC4963">
        <v>-19.933800000000002</v>
      </c>
      <c r="AD4963">
        <v>-1.1149361200550001</v>
      </c>
      <c r="AE4963">
        <v>-10.6447</v>
      </c>
      <c r="AF4963">
        <v>-7.1467782041696202</v>
      </c>
      <c r="AG4963">
        <v>-1.1149361200550001</v>
      </c>
      <c r="AH4963">
        <v>21.380188615359401</v>
      </c>
      <c r="AI4963">
        <v>92.831433027979699</v>
      </c>
      <c r="AJ4963">
        <v>108.48328995583201</v>
      </c>
      <c r="AK4963">
        <v>22.570600046957999</v>
      </c>
      <c r="AL4963">
        <v>79.155556227141901</v>
      </c>
      <c r="AM4963">
        <v>100.212514071987</v>
      </c>
      <c r="AN4963">
        <v>0.99999995376387896</v>
      </c>
    </row>
    <row r="4964" spans="1:40" x14ac:dyDescent="0.25">
      <c r="A4964" t="str">
        <f>"20190304155201458"</f>
        <v>20190304155201458</v>
      </c>
      <c r="B4964" t="str">
        <f>"1551685921452080"</f>
        <v>1551685921452080</v>
      </c>
      <c r="C4964" t="s">
        <v>40</v>
      </c>
      <c r="D4964">
        <v>4.5102510000000002</v>
      </c>
      <c r="E4964">
        <v>0.4462892</v>
      </c>
      <c r="F4964" t="s">
        <v>84</v>
      </c>
      <c r="G4964">
        <v>-412.68709999999999</v>
      </c>
      <c r="H4964" s="1">
        <v>-7.1428840000000002E-6</v>
      </c>
      <c r="I4964">
        <v>132.05940000000001</v>
      </c>
      <c r="J4964">
        <v>-396.28320000000002</v>
      </c>
      <c r="K4964">
        <v>1.115032</v>
      </c>
      <c r="L4964">
        <v>140.6113</v>
      </c>
      <c r="M4964">
        <v>-0.98474209999999995</v>
      </c>
      <c r="N4964">
        <v>-1.4191799999999999E-2</v>
      </c>
      <c r="O4964">
        <v>-0.17344100000000001</v>
      </c>
      <c r="P4964">
        <v>-0.92478090000000002</v>
      </c>
      <c r="Q4964">
        <v>0.176376</v>
      </c>
      <c r="R4964">
        <v>-0.33715279999999997</v>
      </c>
      <c r="S4964">
        <v>-2.7615970000000001</v>
      </c>
      <c r="T4964">
        <v>-0.18490799999999999</v>
      </c>
      <c r="U4964">
        <v>-1.4264680000000001</v>
      </c>
      <c r="V4964">
        <v>-0.17364070000000001</v>
      </c>
      <c r="W4964">
        <v>0.18827949999999999</v>
      </c>
      <c r="X4964">
        <v>0.96664349999999999</v>
      </c>
      <c r="Y4964">
        <v>-0.29739310000000002</v>
      </c>
      <c r="Z4964">
        <v>-3.1854819999999999E-3</v>
      </c>
      <c r="AA4964">
        <v>0.95474979999999998</v>
      </c>
      <c r="AB4964">
        <v>25</v>
      </c>
      <c r="AC4964">
        <v>-16.403899999999901</v>
      </c>
      <c r="AD4964">
        <v>-1.1150391428839901</v>
      </c>
      <c r="AE4964">
        <v>-8.5518999999999892</v>
      </c>
      <c r="AF4964">
        <v>-5.5566805642857204</v>
      </c>
      <c r="AG4964">
        <v>-1.1150391428839901</v>
      </c>
      <c r="AH4964">
        <v>17.574785661286199</v>
      </c>
      <c r="AI4964">
        <v>93.461817902523094</v>
      </c>
      <c r="AJ4964">
        <v>107.545571255414</v>
      </c>
      <c r="AK4964">
        <v>18.465998543913798</v>
      </c>
      <c r="AL4964">
        <v>79.147604769316999</v>
      </c>
      <c r="AM4964">
        <v>100.183583428858</v>
      </c>
      <c r="AN4964">
        <v>0.99999995945449405</v>
      </c>
    </row>
    <row r="4965" spans="1:40" x14ac:dyDescent="0.25">
      <c r="A4965" t="str">
        <f>"20190304155201481"</f>
        <v>20190304155201481</v>
      </c>
      <c r="B4965" t="str">
        <f>"1551685921471601"</f>
        <v>1551685921471601</v>
      </c>
      <c r="C4965" t="s">
        <v>40</v>
      </c>
      <c r="D4965">
        <v>4.4054820000000001</v>
      </c>
      <c r="E4965">
        <v>0.44778810000000002</v>
      </c>
      <c r="F4965" t="s">
        <v>84</v>
      </c>
      <c r="G4965">
        <v>-412.79239999999999</v>
      </c>
      <c r="H4965" s="1">
        <v>-7.1315299999999998E-6</v>
      </c>
      <c r="I4965">
        <v>132.04650000000001</v>
      </c>
      <c r="J4965">
        <v>-396.52760000000001</v>
      </c>
      <c r="K4965">
        <v>1.1151409999999999</v>
      </c>
      <c r="L4965">
        <v>140.5609</v>
      </c>
      <c r="M4965">
        <v>-0.98358210000000001</v>
      </c>
      <c r="N4965">
        <v>-1.4205250000000001E-2</v>
      </c>
      <c r="O4965">
        <v>-0.17990149999999999</v>
      </c>
      <c r="P4965">
        <v>-0.9227533</v>
      </c>
      <c r="Q4965">
        <v>0.17645060000000001</v>
      </c>
      <c r="R4965">
        <v>-0.342624599999999</v>
      </c>
      <c r="S4965">
        <v>-2.7579349999999998</v>
      </c>
      <c r="T4965">
        <v>-0.1862724</v>
      </c>
      <c r="U4965">
        <v>-1.4307859999999999</v>
      </c>
      <c r="V4965">
        <v>-0.17307249999999999</v>
      </c>
      <c r="W4965">
        <v>0.18832960000000001</v>
      </c>
      <c r="X4965">
        <v>0.96673569999999998</v>
      </c>
      <c r="Y4965">
        <v>-0.29282979999999997</v>
      </c>
      <c r="Z4965">
        <v>-2.6924649999999998E-3</v>
      </c>
      <c r="AA4965">
        <v>0.95616080000000003</v>
      </c>
      <c r="AB4965">
        <v>25</v>
      </c>
      <c r="AC4965">
        <v>-16.264799999999902</v>
      </c>
      <c r="AD4965">
        <v>-1.11514813153</v>
      </c>
      <c r="AE4965">
        <v>-8.5143999999999895</v>
      </c>
      <c r="AF4965">
        <v>-5.4290677257089301</v>
      </c>
      <c r="AG4965">
        <v>-1.11514813153</v>
      </c>
      <c r="AH4965">
        <v>17.466841064430501</v>
      </c>
      <c r="AI4965">
        <v>93.488811630203799</v>
      </c>
      <c r="AJ4965">
        <v>107.266361961418</v>
      </c>
      <c r="AK4965">
        <v>18.325088498985899</v>
      </c>
      <c r="AL4965">
        <v>79.144682640662793</v>
      </c>
      <c r="AM4965">
        <v>100.150006005462</v>
      </c>
      <c r="AN4965">
        <v>1.0000000210734401</v>
      </c>
    </row>
    <row r="4966" spans="1:40" x14ac:dyDescent="0.25">
      <c r="A4966" t="str">
        <f>"20190304155201502"</f>
        <v>20190304155201502</v>
      </c>
      <c r="B4966" t="str">
        <f>"1551685921492096"</f>
        <v>1551685921492096</v>
      </c>
      <c r="C4966" t="s">
        <v>40</v>
      </c>
      <c r="D4966">
        <v>4.543793</v>
      </c>
      <c r="E4966">
        <v>0.44839780000000001</v>
      </c>
      <c r="F4966" t="s">
        <v>84</v>
      </c>
      <c r="G4966">
        <v>-412.31810000000002</v>
      </c>
      <c r="H4966" s="1">
        <v>-7.2849670000000003E-6</v>
      </c>
      <c r="I4966">
        <v>132.32980000000001</v>
      </c>
      <c r="J4966">
        <v>-396.76530000000002</v>
      </c>
      <c r="K4966">
        <v>1.115256</v>
      </c>
      <c r="L4966">
        <v>140.51009999999999</v>
      </c>
      <c r="M4966">
        <v>-0.9823769</v>
      </c>
      <c r="N4966">
        <v>-1.422006E-2</v>
      </c>
      <c r="O4966">
        <v>-0.18636839999999999</v>
      </c>
      <c r="P4966">
        <v>-0.92039629999999995</v>
      </c>
      <c r="Q4966">
        <v>0.17641189999999901</v>
      </c>
      <c r="R4966">
        <v>-0.34892649999999997</v>
      </c>
      <c r="S4966">
        <v>-2.7551269999999999</v>
      </c>
      <c r="T4966">
        <v>-0.19457050000000001</v>
      </c>
      <c r="U4966">
        <v>-1.4361569999999999</v>
      </c>
      <c r="V4966">
        <v>-0.17337520000000001</v>
      </c>
      <c r="W4966">
        <v>0.18825330000000001</v>
      </c>
      <c r="X4966">
        <v>0.96669629999999995</v>
      </c>
      <c r="Y4966">
        <v>-0.28838989999999998</v>
      </c>
      <c r="Z4966">
        <v>-2.1048460000000001E-3</v>
      </c>
      <c r="AA4966">
        <v>0.9575108</v>
      </c>
      <c r="AB4966">
        <v>25</v>
      </c>
      <c r="AC4966">
        <v>-15.5527999999999</v>
      </c>
      <c r="AD4966">
        <v>-1.1152632849669999</v>
      </c>
      <c r="AE4966">
        <v>-8.1802999999999795</v>
      </c>
      <c r="AF4966">
        <v>-5.1174951806484996</v>
      </c>
      <c r="AG4966">
        <v>-1.1152632849669999</v>
      </c>
      <c r="AH4966">
        <v>16.737546528215699</v>
      </c>
      <c r="AI4966">
        <v>93.6459904075559</v>
      </c>
      <c r="AJ4966">
        <v>107.000981975351</v>
      </c>
      <c r="AK4966">
        <v>17.5379027509831</v>
      </c>
      <c r="AL4966">
        <v>79.149133703928698</v>
      </c>
      <c r="AM4966">
        <v>100.16779386889699</v>
      </c>
      <c r="AN4966">
        <v>1.00000000068481</v>
      </c>
    </row>
    <row r="4967" spans="1:40" x14ac:dyDescent="0.25">
      <c r="A4967" t="str">
        <f>"20190304155201525"</f>
        <v>20190304155201525</v>
      </c>
      <c r="B4967" t="str">
        <f>"1551685921522353"</f>
        <v>1551685921522353</v>
      </c>
      <c r="C4967" t="s">
        <v>40</v>
      </c>
      <c r="D4967">
        <v>4.5817059999999996</v>
      </c>
      <c r="E4967">
        <v>0.449131</v>
      </c>
      <c r="F4967" t="s">
        <v>84</v>
      </c>
      <c r="G4967">
        <v>-412.55180000000001</v>
      </c>
      <c r="H4967" s="1">
        <v>-7.1986199999999997E-6</v>
      </c>
      <c r="I4967">
        <v>132.17699999999999</v>
      </c>
      <c r="J4967">
        <v>-397.005</v>
      </c>
      <c r="K4967">
        <v>1.1153820000000001</v>
      </c>
      <c r="L4967">
        <v>140.45699999999999</v>
      </c>
      <c r="M4967">
        <v>-0.98108010000000001</v>
      </c>
      <c r="N4967">
        <v>-1.42361E-2</v>
      </c>
      <c r="O4967">
        <v>-0.1930781</v>
      </c>
      <c r="P4967">
        <v>-0.91783139999999996</v>
      </c>
      <c r="Q4967">
        <v>0.1767349</v>
      </c>
      <c r="R4967">
        <v>-0.35545789999999999</v>
      </c>
      <c r="S4967">
        <v>-2.7469480000000002</v>
      </c>
      <c r="T4967">
        <v>-0.1940625</v>
      </c>
      <c r="U4967">
        <v>-1.4500120000000001</v>
      </c>
      <c r="V4967">
        <v>-0.1737109</v>
      </c>
      <c r="W4967">
        <v>0.18853420000000001</v>
      </c>
      <c r="X4967">
        <v>0.96658129999999998</v>
      </c>
      <c r="Y4967">
        <v>-0.2868115</v>
      </c>
      <c r="Z4967">
        <v>-1.71494299999999E-3</v>
      </c>
      <c r="AA4967">
        <v>0.95798550000000005</v>
      </c>
      <c r="AB4967">
        <v>25</v>
      </c>
      <c r="AC4967">
        <v>-15.546799999999999</v>
      </c>
      <c r="AD4967">
        <v>-1.11538919862</v>
      </c>
      <c r="AE4967">
        <v>-8.2799999999999692</v>
      </c>
      <c r="AF4967">
        <v>-5.1016589900677696</v>
      </c>
      <c r="AG4967">
        <v>-1.11538919862</v>
      </c>
      <c r="AH4967">
        <v>16.7857429332911</v>
      </c>
      <c r="AI4967">
        <v>93.637801837243401</v>
      </c>
      <c r="AJ4967">
        <v>106.905500778789</v>
      </c>
      <c r="AK4967">
        <v>17.579311230474001</v>
      </c>
      <c r="AL4967">
        <v>79.132746034150102</v>
      </c>
      <c r="AM4967">
        <v>100.188256114761</v>
      </c>
      <c r="AN4967">
        <v>1.00000001542906</v>
      </c>
    </row>
    <row r="4968" spans="1:40" x14ac:dyDescent="0.25">
      <c r="A4968" t="str">
        <f>"20190304155201548"</f>
        <v>20190304155201548</v>
      </c>
      <c r="B4968" t="str">
        <f>"1551685921541873"</f>
        <v>1551685921541873</v>
      </c>
      <c r="C4968" t="s">
        <v>40</v>
      </c>
      <c r="D4968">
        <v>4.7868170000000001</v>
      </c>
      <c r="E4968">
        <v>0.44993699999999998</v>
      </c>
      <c r="F4968" t="s">
        <v>84</v>
      </c>
      <c r="G4968">
        <v>-412.63</v>
      </c>
      <c r="H4968" s="1">
        <v>-7.165131E-6</v>
      </c>
      <c r="I4968">
        <v>132.10589999999999</v>
      </c>
      <c r="J4968">
        <v>-397.25490000000002</v>
      </c>
      <c r="K4968">
        <v>1.1155200000000001</v>
      </c>
      <c r="L4968">
        <v>140.39959999999999</v>
      </c>
      <c r="M4968">
        <v>-0.97963610000000001</v>
      </c>
      <c r="N4968">
        <v>-1.42538E-2</v>
      </c>
      <c r="O4968">
        <v>-0.2002747</v>
      </c>
      <c r="P4968">
        <v>-0.9149081</v>
      </c>
      <c r="Q4968">
        <v>0.177123</v>
      </c>
      <c r="R4968">
        <v>-0.3627264</v>
      </c>
      <c r="S4968">
        <v>-2.7392270000000001</v>
      </c>
      <c r="T4968">
        <v>-0.19553980000000001</v>
      </c>
      <c r="U4968">
        <v>-1.464035</v>
      </c>
      <c r="V4968">
        <v>-0.174365299999999</v>
      </c>
      <c r="W4968">
        <v>0.18887329999999999</v>
      </c>
      <c r="X4968">
        <v>0.96639719999999996</v>
      </c>
      <c r="Y4968">
        <v>-0.28472380000000003</v>
      </c>
      <c r="Z4968">
        <v>-1.2466790000000001E-3</v>
      </c>
      <c r="AA4968">
        <v>0.95860869999999998</v>
      </c>
      <c r="AB4968">
        <v>25</v>
      </c>
      <c r="AC4968">
        <v>-15.3750999999999</v>
      </c>
      <c r="AD4968">
        <v>-1.1155271651309999</v>
      </c>
      <c r="AE4968">
        <v>-8.2936999999999994</v>
      </c>
      <c r="AF4968">
        <v>-5.0255846173863601</v>
      </c>
      <c r="AG4968">
        <v>-1.1155271651309999</v>
      </c>
      <c r="AH4968">
        <v>16.656800336020599</v>
      </c>
      <c r="AI4968">
        <v>93.6685848470905</v>
      </c>
      <c r="AJ4968">
        <v>106.789281458692</v>
      </c>
      <c r="AK4968">
        <v>17.434158971304299</v>
      </c>
      <c r="AL4968">
        <v>79.112961030693796</v>
      </c>
      <c r="AM4968">
        <v>100.22773562434899</v>
      </c>
      <c r="AN4968">
        <v>0.99999996473240904</v>
      </c>
    </row>
    <row r="4969" spans="1:40" x14ac:dyDescent="0.25">
      <c r="A4969" t="str">
        <f>"20190304155201590"</f>
        <v>20190304155201590</v>
      </c>
      <c r="B4969" t="str">
        <f>"1551685921581889"</f>
        <v>1551685921581889</v>
      </c>
      <c r="C4969" t="s">
        <v>40</v>
      </c>
      <c r="D4969">
        <v>4.8059149999999997</v>
      </c>
      <c r="E4969">
        <v>0.45021099999999997</v>
      </c>
      <c r="F4969" t="s">
        <v>84</v>
      </c>
      <c r="G4969">
        <v>-413.42450000000002</v>
      </c>
      <c r="H4969" s="1">
        <v>-6.9263460000000001E-6</v>
      </c>
      <c r="I4969">
        <v>131.63290000000001</v>
      </c>
      <c r="J4969">
        <v>-397.71010000000001</v>
      </c>
      <c r="K4969">
        <v>1.1157539999999999</v>
      </c>
      <c r="L4969">
        <v>140.28899999999999</v>
      </c>
      <c r="M4969">
        <v>-0.97674139999999998</v>
      </c>
      <c r="N4969">
        <v>-1.428771E-2</v>
      </c>
      <c r="O4969">
        <v>-0.21394460000000001</v>
      </c>
      <c r="P4969">
        <v>-0.90948890000000004</v>
      </c>
      <c r="Q4969">
        <v>0.17716089999999901</v>
      </c>
      <c r="R4969">
        <v>-0.3760906</v>
      </c>
      <c r="S4969">
        <v>-2.728882</v>
      </c>
      <c r="T4969">
        <v>-0.18826290000000001</v>
      </c>
      <c r="U4969">
        <v>-1.4795229999999999</v>
      </c>
      <c r="V4969">
        <v>-0.1751259</v>
      </c>
      <c r="W4969">
        <v>0.18883820000000001</v>
      </c>
      <c r="X4969">
        <v>0.96626659999999998</v>
      </c>
      <c r="Y4969">
        <v>-0.27709820000000002</v>
      </c>
      <c r="Z4969">
        <v>-4.3019E-4</v>
      </c>
      <c r="AA4969">
        <v>0.96084150000000002</v>
      </c>
      <c r="AB4969">
        <v>25</v>
      </c>
      <c r="AC4969">
        <v>-15.714399999999999</v>
      </c>
      <c r="AD4969">
        <v>-1.115760926346</v>
      </c>
      <c r="AE4969">
        <v>-8.6560999999999808</v>
      </c>
      <c r="AF4969">
        <v>-5.0736558532549303</v>
      </c>
      <c r="AG4969">
        <v>-1.115760926346</v>
      </c>
      <c r="AH4969">
        <v>17.1363058173905</v>
      </c>
      <c r="AI4969">
        <v>93.572452345787198</v>
      </c>
      <c r="AJ4969">
        <v>106.49277874738</v>
      </c>
      <c r="AK4969">
        <v>17.906420167894002</v>
      </c>
      <c r="AL4969">
        <v>79.115009843892096</v>
      </c>
      <c r="AM4969">
        <v>100.272761061369</v>
      </c>
      <c r="AN4969">
        <v>1.0000000444528001</v>
      </c>
    </row>
    <row r="4970" spans="1:40" x14ac:dyDescent="0.25">
      <c r="A4970" t="str">
        <f>"20190304155201615"</f>
        <v>20190304155201615</v>
      </c>
      <c r="B4970" t="str">
        <f>"1551685921612145"</f>
        <v>1551685921612145</v>
      </c>
      <c r="C4970" t="s">
        <v>40</v>
      </c>
      <c r="D4970">
        <v>4.8187749999999996</v>
      </c>
      <c r="E4970">
        <v>0.45015349999999998</v>
      </c>
      <c r="F4970" t="s">
        <v>84</v>
      </c>
      <c r="G4970">
        <v>-413.22770000000003</v>
      </c>
      <c r="H4970" s="1">
        <v>-6.9210250000000004E-6</v>
      </c>
      <c r="I4970">
        <v>131.59180000000001</v>
      </c>
      <c r="J4970">
        <v>-397.96980000000002</v>
      </c>
      <c r="K4970">
        <v>1.1158509999999999</v>
      </c>
      <c r="L4970">
        <v>140.2225</v>
      </c>
      <c r="M4970">
        <v>-0.97493989999999997</v>
      </c>
      <c r="N4970">
        <v>-1.430531E-2</v>
      </c>
      <c r="O4970">
        <v>-0.22200810000000001</v>
      </c>
      <c r="P4970">
        <v>-0.90549380000000002</v>
      </c>
      <c r="Q4970">
        <v>0.17812979999999901</v>
      </c>
      <c r="R4970">
        <v>-0.38516359999999999</v>
      </c>
      <c r="S4970">
        <v>-2.70871</v>
      </c>
      <c r="T4970">
        <v>-0.1947641</v>
      </c>
      <c r="U4970">
        <v>-1.518173</v>
      </c>
      <c r="V4970">
        <v>-0.17690449999999999</v>
      </c>
      <c r="W4970">
        <v>0.18975349999999999</v>
      </c>
      <c r="X4970">
        <v>0.96576309999999999</v>
      </c>
      <c r="Y4970">
        <v>-0.28262120000000002</v>
      </c>
      <c r="Z4970" s="1">
        <v>-9.0055629999999994E-5</v>
      </c>
      <c r="AA4970">
        <v>0.95923159999999996</v>
      </c>
      <c r="AB4970">
        <v>25</v>
      </c>
      <c r="AC4970">
        <v>-15.257899999999999</v>
      </c>
      <c r="AD4970">
        <v>-1.1158579210249999</v>
      </c>
      <c r="AE4970">
        <v>-8.6306999999999903</v>
      </c>
      <c r="AF4970">
        <v>-5.0072614820636998</v>
      </c>
      <c r="AG4970">
        <v>-1.1158579210249999</v>
      </c>
      <c r="AH4970">
        <v>16.7255673737263</v>
      </c>
      <c r="AI4970">
        <v>93.656970407923595</v>
      </c>
      <c r="AJ4970">
        <v>106.666526187378</v>
      </c>
      <c r="AK4970">
        <v>17.4946394767863</v>
      </c>
      <c r="AL4970">
        <v>79.061600674157503</v>
      </c>
      <c r="AM4970">
        <v>100.38012919183799</v>
      </c>
      <c r="AN4970">
        <v>0.99999997910205396</v>
      </c>
    </row>
    <row r="4971" spans="1:40" x14ac:dyDescent="0.25">
      <c r="A4971" t="str">
        <f>"20190304155201635"</f>
        <v>20190304155201635</v>
      </c>
      <c r="B4971" t="str">
        <f>"1551685921631678"</f>
        <v>1551685921631678</v>
      </c>
      <c r="C4971" t="s">
        <v>40</v>
      </c>
      <c r="D4971">
        <v>4.8391349999999997</v>
      </c>
      <c r="E4971">
        <v>0.4503317</v>
      </c>
      <c r="F4971" t="s">
        <v>84</v>
      </c>
      <c r="G4971">
        <v>-413.37689999999998</v>
      </c>
      <c r="H4971" s="1">
        <v>-6.8249240000000003E-6</v>
      </c>
      <c r="I4971">
        <v>131.37710000000001</v>
      </c>
      <c r="J4971">
        <v>-398.19630000000001</v>
      </c>
      <c r="K4971">
        <v>1.115923</v>
      </c>
      <c r="L4971">
        <v>140.1626</v>
      </c>
      <c r="M4971">
        <v>-0.9732807</v>
      </c>
      <c r="N4971">
        <v>-1.4318930000000001E-2</v>
      </c>
      <c r="O4971">
        <v>-0.2291715</v>
      </c>
      <c r="P4971">
        <v>-0.90232069999999998</v>
      </c>
      <c r="Q4971">
        <v>0.1783267</v>
      </c>
      <c r="R4971">
        <v>-0.39244980000000002</v>
      </c>
      <c r="S4971">
        <v>-2.6936339999999999</v>
      </c>
      <c r="T4971">
        <v>-0.19508619999999999</v>
      </c>
      <c r="U4971">
        <v>-1.5464629999999999</v>
      </c>
      <c r="V4971">
        <v>-0.1776326</v>
      </c>
      <c r="W4971">
        <v>0.18992249999999999</v>
      </c>
      <c r="X4971">
        <v>0.96559629999999996</v>
      </c>
      <c r="Y4971">
        <v>-0.28546460000000001</v>
      </c>
      <c r="Z4971">
        <v>1.6388619999999901E-4</v>
      </c>
      <c r="AA4971">
        <v>0.95838920000000005</v>
      </c>
      <c r="AB4971">
        <v>25</v>
      </c>
      <c r="AC4971">
        <v>-15.180599999999901</v>
      </c>
      <c r="AD4971">
        <v>-1.1159298249239999</v>
      </c>
      <c r="AE4971">
        <v>-8.7854999999999794</v>
      </c>
      <c r="AF4971">
        <v>-5.0518671165617803</v>
      </c>
      <c r="AG4971">
        <v>-1.1159298249239999</v>
      </c>
      <c r="AH4971">
        <v>16.722401385137498</v>
      </c>
      <c r="AI4971">
        <v>93.6551562726073</v>
      </c>
      <c r="AJ4971">
        <v>106.809659816194</v>
      </c>
      <c r="AK4971">
        <v>17.504438546357399</v>
      </c>
      <c r="AL4971">
        <v>79.051739192613795</v>
      </c>
      <c r="AM4971">
        <v>100.423678089524</v>
      </c>
      <c r="AN4971">
        <v>1.00000005558134</v>
      </c>
    </row>
    <row r="4972" spans="1:40" x14ac:dyDescent="0.25">
      <c r="A4972" t="str">
        <f>"20190304155201659"</f>
        <v>20190304155201659</v>
      </c>
      <c r="B4972" t="str">
        <f>"1551685921652161"</f>
        <v>1551685921652161</v>
      </c>
      <c r="C4972" t="s">
        <v>40</v>
      </c>
      <c r="D4972">
        <v>4.6867910000000004</v>
      </c>
      <c r="E4972">
        <v>0.45087440000000001</v>
      </c>
      <c r="F4972" t="s">
        <v>84</v>
      </c>
      <c r="G4972">
        <v>-413.44389999999999</v>
      </c>
      <c r="H4972" s="1">
        <v>-6.7709039999999999E-6</v>
      </c>
      <c r="I4972">
        <v>131.25399999999999</v>
      </c>
      <c r="J4972">
        <v>-398.44709999999998</v>
      </c>
      <c r="K4972">
        <v>1.1160030000000001</v>
      </c>
      <c r="L4972">
        <v>140.09399999999999</v>
      </c>
      <c r="M4972">
        <v>-0.97133769999999997</v>
      </c>
      <c r="N4972">
        <v>-1.433397E-2</v>
      </c>
      <c r="O4972">
        <v>-0.2372708</v>
      </c>
      <c r="P4972">
        <v>-0.89866650000000003</v>
      </c>
      <c r="Q4972">
        <v>0.17863119999999999</v>
      </c>
      <c r="R4972">
        <v>-0.40061200000000002</v>
      </c>
      <c r="S4972">
        <v>-2.6820369999999998</v>
      </c>
      <c r="T4972">
        <v>-0.19629070000000001</v>
      </c>
      <c r="U4972">
        <v>-1.5670170000000001</v>
      </c>
      <c r="V4972">
        <v>-0.1783979</v>
      </c>
      <c r="W4972">
        <v>0.190195</v>
      </c>
      <c r="X4972">
        <v>0.96540150000000002</v>
      </c>
      <c r="Y4972">
        <v>-0.28477029999999998</v>
      </c>
      <c r="Z4972">
        <v>6.3667680000000003E-4</v>
      </c>
      <c r="AA4972">
        <v>0.95859559999999999</v>
      </c>
      <c r="AB4972">
        <v>25</v>
      </c>
      <c r="AC4972">
        <v>-14.9968</v>
      </c>
      <c r="AD4972">
        <v>-1.116009770904</v>
      </c>
      <c r="AE4972">
        <v>-8.84</v>
      </c>
      <c r="AF4972">
        <v>-5.0082566187411803</v>
      </c>
      <c r="AG4972">
        <v>-1.116009770904</v>
      </c>
      <c r="AH4972">
        <v>16.597930370861299</v>
      </c>
      <c r="AI4972">
        <v>93.683122757700204</v>
      </c>
      <c r="AJ4972">
        <v>106.790654215285</v>
      </c>
      <c r="AK4972">
        <v>17.372950375911401</v>
      </c>
      <c r="AL4972">
        <v>79.035835636222004</v>
      </c>
      <c r="AM4972">
        <v>100.4696616321</v>
      </c>
      <c r="AN4972">
        <v>1.00000000247583</v>
      </c>
    </row>
    <row r="4973" spans="1:40" x14ac:dyDescent="0.25">
      <c r="A4973" t="str">
        <f>"20190304155201682"</f>
        <v>20190304155201682</v>
      </c>
      <c r="B4973" t="str">
        <f>"1551685921671681"</f>
        <v>1551685921671681</v>
      </c>
      <c r="C4973" t="s">
        <v>40</v>
      </c>
      <c r="D4973">
        <v>4.6560059999999996</v>
      </c>
      <c r="E4973">
        <v>0.4514436</v>
      </c>
      <c r="F4973" t="s">
        <v>84</v>
      </c>
      <c r="G4973">
        <v>-413.5847</v>
      </c>
      <c r="H4973" s="1">
        <v>-6.69421399999999E-6</v>
      </c>
      <c r="I4973">
        <v>131.08580000000001</v>
      </c>
      <c r="J4973">
        <v>-398.6857</v>
      </c>
      <c r="K4973">
        <v>1.116093</v>
      </c>
      <c r="L4973">
        <v>140.0264</v>
      </c>
      <c r="M4973">
        <v>-0.96938290000000005</v>
      </c>
      <c r="N4973">
        <v>-1.435023E-2</v>
      </c>
      <c r="O4973">
        <v>-0.2451342</v>
      </c>
      <c r="P4973">
        <v>-0.89543130000000004</v>
      </c>
      <c r="Q4973">
        <v>0.17852390000000001</v>
      </c>
      <c r="R4973">
        <v>-0.40783789999999998</v>
      </c>
      <c r="S4973">
        <v>-2.6692809999999998</v>
      </c>
      <c r="T4973">
        <v>-0.19679089999999999</v>
      </c>
      <c r="U4973">
        <v>-1.588455</v>
      </c>
      <c r="V4973">
        <v>-0.1783844</v>
      </c>
      <c r="W4973">
        <v>0.19006770000000001</v>
      </c>
      <c r="X4973">
        <v>0.96542910000000004</v>
      </c>
      <c r="Y4973">
        <v>-0.2847092</v>
      </c>
      <c r="Z4973">
        <v>1.0555950000000001E-3</v>
      </c>
      <c r="AA4973">
        <v>0.95861339999999995</v>
      </c>
      <c r="AB4973">
        <v>25</v>
      </c>
      <c r="AC4973">
        <v>-14.898999999999999</v>
      </c>
      <c r="AD4973">
        <v>-1.116099694214</v>
      </c>
      <c r="AE4973">
        <v>-8.9405999999999892</v>
      </c>
      <c r="AF4973">
        <v>-4.99451989305404</v>
      </c>
      <c r="AG4973">
        <v>-1.116099694214</v>
      </c>
      <c r="AH4973">
        <v>16.567838655273398</v>
      </c>
      <c r="AI4973">
        <v>93.690376292943995</v>
      </c>
      <c r="AJ4973">
        <v>106.775892393094</v>
      </c>
      <c r="AK4973">
        <v>17.340247552924598</v>
      </c>
      <c r="AL4973">
        <v>79.043265279973497</v>
      </c>
      <c r="AM4973">
        <v>100.468594201333</v>
      </c>
      <c r="AN4973">
        <v>1.00000003593672</v>
      </c>
    </row>
    <row r="4974" spans="1:40" x14ac:dyDescent="0.25">
      <c r="A4974" t="str">
        <f>"20190304155201703"</f>
        <v>20190304155201703</v>
      </c>
      <c r="B4974" t="str">
        <f>"1551685921692177"</f>
        <v>1551685921692177</v>
      </c>
      <c r="C4974" t="s">
        <v>40</v>
      </c>
      <c r="D4974">
        <v>4.6866909999999997</v>
      </c>
      <c r="E4974">
        <v>0.45196999999999998</v>
      </c>
      <c r="F4974" t="s">
        <v>84</v>
      </c>
      <c r="G4974">
        <v>-413.5788</v>
      </c>
      <c r="H4974" s="1">
        <v>-6.671431E-6</v>
      </c>
      <c r="I4974">
        <v>131.029</v>
      </c>
      <c r="J4974">
        <v>-398.9135</v>
      </c>
      <c r="K4974">
        <v>1.1161779999999999</v>
      </c>
      <c r="L4974">
        <v>139.9598</v>
      </c>
      <c r="M4974">
        <v>-0.96741730000000004</v>
      </c>
      <c r="N4974">
        <v>-1.436749E-2</v>
      </c>
      <c r="O4974">
        <v>-0.25277949999999999</v>
      </c>
      <c r="P4974">
        <v>-0.89214159999999998</v>
      </c>
      <c r="Q4974">
        <v>0.178304399999999</v>
      </c>
      <c r="R4974">
        <v>-0.41507959999999999</v>
      </c>
      <c r="S4974">
        <v>-2.6585079999999999</v>
      </c>
      <c r="T4974">
        <v>-0.19923150000000001</v>
      </c>
      <c r="U4974">
        <v>-1.6061099999999999</v>
      </c>
      <c r="V4974">
        <v>-0.1786131</v>
      </c>
      <c r="W4974">
        <v>0.1898233</v>
      </c>
      <c r="X4974">
        <v>0.96543480000000004</v>
      </c>
      <c r="Y4974">
        <v>-0.2835297</v>
      </c>
      <c r="Z4974">
        <v>1.581161E-3</v>
      </c>
      <c r="AA4974">
        <v>0.95896210000000004</v>
      </c>
      <c r="AB4974">
        <v>25</v>
      </c>
      <c r="AC4974">
        <v>-14.6653</v>
      </c>
      <c r="AD4974">
        <v>-1.116184671431</v>
      </c>
      <c r="AE4974">
        <v>-8.9307999999999996</v>
      </c>
      <c r="AF4974">
        <v>-4.91247338239301</v>
      </c>
      <c r="AG4974">
        <v>-1.116184671431</v>
      </c>
      <c r="AH4974">
        <v>16.377478044083698</v>
      </c>
      <c r="AI4974">
        <v>93.734979752345197</v>
      </c>
      <c r="AJ4974">
        <v>106.696772721312</v>
      </c>
      <c r="AK4974">
        <v>17.1347614526115</v>
      </c>
      <c r="AL4974">
        <v>79.0575269513851</v>
      </c>
      <c r="AM4974">
        <v>100.481657813472</v>
      </c>
      <c r="AN4974">
        <v>0.99999993888276795</v>
      </c>
    </row>
    <row r="4975" spans="1:40" x14ac:dyDescent="0.25">
      <c r="A4975" t="str">
        <f>"20190304155201725"</f>
        <v>20190304155201725</v>
      </c>
      <c r="B4975" t="str">
        <f>"1551685921722433"</f>
        <v>1551685921722433</v>
      </c>
      <c r="C4975" t="s">
        <v>40</v>
      </c>
      <c r="D4975">
        <v>4.6295679999999999</v>
      </c>
      <c r="E4975">
        <v>0.45278109999999999</v>
      </c>
      <c r="F4975" t="s">
        <v>84</v>
      </c>
      <c r="G4975">
        <v>-413.57010000000002</v>
      </c>
      <c r="H4975" s="1">
        <v>-6.6477989999999999E-6</v>
      </c>
      <c r="I4975">
        <v>130.96969999999999</v>
      </c>
      <c r="J4975">
        <v>-399.14519999999999</v>
      </c>
      <c r="K4975">
        <v>1.116268</v>
      </c>
      <c r="L4975">
        <v>139.88999999999999</v>
      </c>
      <c r="M4975">
        <v>-0.96531429999999996</v>
      </c>
      <c r="N4975">
        <v>-1.4384799999999901E-2</v>
      </c>
      <c r="O4975">
        <v>-0.26069409999999998</v>
      </c>
      <c r="P4975">
        <v>-0.88896500000000001</v>
      </c>
      <c r="Q4975">
        <v>0.17796199999999901</v>
      </c>
      <c r="R4975">
        <v>-0.42198439999999998</v>
      </c>
      <c r="S4975">
        <v>-2.647491</v>
      </c>
      <c r="T4975">
        <v>-0.20162240000000001</v>
      </c>
      <c r="U4975">
        <v>-1.6239319999999999</v>
      </c>
      <c r="V4975">
        <v>-0.17821119999999999</v>
      </c>
      <c r="W4975">
        <v>0.1894651</v>
      </c>
      <c r="X4975">
        <v>0.96557950000000003</v>
      </c>
      <c r="Y4975">
        <v>-0.28215200000000001</v>
      </c>
      <c r="Z4975">
        <v>2.14094E-3</v>
      </c>
      <c r="AA4975">
        <v>0.95936730000000003</v>
      </c>
      <c r="AB4975">
        <v>25</v>
      </c>
      <c r="AC4975">
        <v>-14.424899999999999</v>
      </c>
      <c r="AD4975">
        <v>-1.116274647799</v>
      </c>
      <c r="AE4975">
        <v>-8.9202999999999903</v>
      </c>
      <c r="AF4975">
        <v>-4.8299856325851902</v>
      </c>
      <c r="AG4975">
        <v>-1.116274647799</v>
      </c>
      <c r="AH4975">
        <v>16.181615902802498</v>
      </c>
      <c r="AI4975">
        <v>93.7818803818692</v>
      </c>
      <c r="AJ4975">
        <v>106.619627238695</v>
      </c>
      <c r="AK4975">
        <v>16.923933453134602</v>
      </c>
      <c r="AL4975">
        <v>79.078430447891407</v>
      </c>
      <c r="AM4975">
        <v>100.45706113049999</v>
      </c>
      <c r="AN4975">
        <v>1.0000000133718501</v>
      </c>
    </row>
    <row r="4976" spans="1:40" x14ac:dyDescent="0.25">
      <c r="A4976" t="str">
        <f>"20190304155201748"</f>
        <v>20190304155201748</v>
      </c>
      <c r="B4976" t="str">
        <f>"1551685921741953"</f>
        <v>1551685921741953</v>
      </c>
      <c r="C4976" t="s">
        <v>40</v>
      </c>
      <c r="D4976">
        <v>4.7256330000000002</v>
      </c>
      <c r="E4976">
        <v>0.45333109999999999</v>
      </c>
      <c r="F4976" t="s">
        <v>84</v>
      </c>
      <c r="G4976">
        <v>-413.43959999999998</v>
      </c>
      <c r="H4976" s="1">
        <v>-6.671399E-6</v>
      </c>
      <c r="I4976">
        <v>131.00909999999999</v>
      </c>
      <c r="J4976">
        <v>-399.38659999999999</v>
      </c>
      <c r="K4976">
        <v>1.116357</v>
      </c>
      <c r="L4976">
        <v>139.81469999999999</v>
      </c>
      <c r="M4976">
        <v>-0.96300770000000002</v>
      </c>
      <c r="N4976">
        <v>-1.440229E-2</v>
      </c>
      <c r="O4976">
        <v>-0.2690883</v>
      </c>
      <c r="P4976">
        <v>-0.88523680000000005</v>
      </c>
      <c r="Q4976">
        <v>0.1783177</v>
      </c>
      <c r="R4976">
        <v>-0.42960290000000001</v>
      </c>
      <c r="S4976">
        <v>-2.6379700000000001</v>
      </c>
      <c r="T4976">
        <v>-0.20600399999999999</v>
      </c>
      <c r="U4976">
        <v>-1.6389309999999999</v>
      </c>
      <c r="V4976">
        <v>-0.17816270000000001</v>
      </c>
      <c r="W4976">
        <v>0.189799</v>
      </c>
      <c r="X4976">
        <v>0.96552289999999996</v>
      </c>
      <c r="Y4976">
        <v>-0.27929470000000001</v>
      </c>
      <c r="Z4976">
        <v>2.885894E-3</v>
      </c>
      <c r="AA4976">
        <v>0.96020110000000003</v>
      </c>
      <c r="AB4976">
        <v>25</v>
      </c>
      <c r="AC4976">
        <v>-14.0529999999999</v>
      </c>
      <c r="AD4976">
        <v>-1.1163636713989999</v>
      </c>
      <c r="AE4976">
        <v>-8.8055999999999894</v>
      </c>
      <c r="AF4976">
        <v>-4.6776539989064903</v>
      </c>
      <c r="AG4976">
        <v>-1.1163636713989999</v>
      </c>
      <c r="AH4976">
        <v>15.832537958296101</v>
      </c>
      <c r="AI4976">
        <v>93.868519782083894</v>
      </c>
      <c r="AJ4976">
        <v>106.45954449584301</v>
      </c>
      <c r="AK4976">
        <v>16.5467813480807</v>
      </c>
      <c r="AL4976">
        <v>79.058946130148598</v>
      </c>
      <c r="AM4976">
        <v>100.454877332867</v>
      </c>
      <c r="AN4976">
        <v>1.0000000392483399</v>
      </c>
    </row>
    <row r="4977" spans="1:40" x14ac:dyDescent="0.25">
      <c r="A4977" t="str">
        <f>"20190304155201769"</f>
        <v>20190304155201769</v>
      </c>
      <c r="B4977" t="str">
        <f>"1551685921761473"</f>
        <v>1551685921761473</v>
      </c>
      <c r="C4977" t="s">
        <v>40</v>
      </c>
      <c r="D4977">
        <v>4.7262620000000002</v>
      </c>
      <c r="E4977">
        <v>0.45381919999999998</v>
      </c>
      <c r="F4977" t="s">
        <v>84</v>
      </c>
      <c r="G4977">
        <v>-413.62799999999999</v>
      </c>
      <c r="H4977" s="1">
        <v>-6.5845999999999996E-6</v>
      </c>
      <c r="I4977">
        <v>130.8228</v>
      </c>
      <c r="J4977">
        <v>-399.60410000000002</v>
      </c>
      <c r="K4977">
        <v>1.1164339999999999</v>
      </c>
      <c r="L4977">
        <v>139.74469999999999</v>
      </c>
      <c r="M4977">
        <v>-0.96082230000000002</v>
      </c>
      <c r="N4977">
        <v>-1.4417579999999999E-2</v>
      </c>
      <c r="O4977">
        <v>-0.27679019999999999</v>
      </c>
      <c r="P4977">
        <v>-0.88182689999999997</v>
      </c>
      <c r="Q4977">
        <v>0.17844299999999999</v>
      </c>
      <c r="R4977">
        <v>-0.43650850000000002</v>
      </c>
      <c r="S4977">
        <v>-2.6258240000000002</v>
      </c>
      <c r="T4977">
        <v>-0.20583499999999999</v>
      </c>
      <c r="U4977">
        <v>-1.6579279999999901</v>
      </c>
      <c r="V4977">
        <v>-0.17802019999999999</v>
      </c>
      <c r="W4977">
        <v>0.18991040000000001</v>
      </c>
      <c r="X4977">
        <v>0.96552720000000003</v>
      </c>
      <c r="Y4977">
        <v>-0.27859020000000001</v>
      </c>
      <c r="Z4977">
        <v>3.3261990000000002E-3</v>
      </c>
      <c r="AA4977">
        <v>0.96040429999999999</v>
      </c>
      <c r="AB4977">
        <v>25</v>
      </c>
      <c r="AC4977">
        <v>-14.023899999999999</v>
      </c>
      <c r="AD4977">
        <v>-1.1164405845999901</v>
      </c>
      <c r="AE4977">
        <v>-8.9218999999999902</v>
      </c>
      <c r="AF4977">
        <v>-4.6700996278700702</v>
      </c>
      <c r="AG4977">
        <v>-1.1164405845999901</v>
      </c>
      <c r="AH4977">
        <v>15.874008025255799</v>
      </c>
      <c r="AI4977">
        <v>93.860011279888695</v>
      </c>
      <c r="AJ4977">
        <v>106.39377164490099</v>
      </c>
      <c r="AK4977">
        <v>16.584342039980399</v>
      </c>
      <c r="AL4977">
        <v>79.052444294490897</v>
      </c>
      <c r="AM4977">
        <v>100.446653870256</v>
      </c>
      <c r="AN4977">
        <v>0.99999996278801895</v>
      </c>
    </row>
    <row r="4978" spans="1:40" x14ac:dyDescent="0.25">
      <c r="A4978" t="str">
        <f>"20190304155201794"</f>
        <v>20190304155201794</v>
      </c>
      <c r="B4978" t="str">
        <f>"1551685921791729"</f>
        <v>1551685921791729</v>
      </c>
      <c r="C4978" t="s">
        <v>40</v>
      </c>
      <c r="D4978">
        <v>4.7384440000000003</v>
      </c>
      <c r="E4978">
        <v>0.46653339999999999</v>
      </c>
      <c r="F4978" t="s">
        <v>84</v>
      </c>
      <c r="G4978">
        <v>-413.67689999999999</v>
      </c>
      <c r="H4978" s="1">
        <v>-6.5426989999999998E-6</v>
      </c>
      <c r="I4978">
        <v>130.7269</v>
      </c>
      <c r="J4978">
        <v>-399.85890000000001</v>
      </c>
      <c r="K4978">
        <v>1.116495</v>
      </c>
      <c r="L4978">
        <v>139.65989999999999</v>
      </c>
      <c r="M4978">
        <v>-0.95813619999999999</v>
      </c>
      <c r="N4978">
        <v>-1.4434219999999999E-2</v>
      </c>
      <c r="O4978">
        <v>-0.2859486</v>
      </c>
      <c r="P4978">
        <v>-0.8777876</v>
      </c>
      <c r="Q4978">
        <v>0.1778902</v>
      </c>
      <c r="R4978">
        <v>-0.44479679999999999</v>
      </c>
      <c r="S4978">
        <v>-2.614655</v>
      </c>
      <c r="T4978">
        <v>-0.2074288</v>
      </c>
      <c r="U4978">
        <v>-1.6754610000000001</v>
      </c>
      <c r="V4978">
        <v>-0.1778902</v>
      </c>
      <c r="W4978">
        <v>0.1893495</v>
      </c>
      <c r="X4978">
        <v>0.96566129999999994</v>
      </c>
      <c r="Y4978">
        <v>-0.27586709999999998</v>
      </c>
      <c r="Z4978">
        <v>4.0134760000000002E-3</v>
      </c>
      <c r="AA4978">
        <v>0.96118740000000003</v>
      </c>
      <c r="AB4978">
        <v>25</v>
      </c>
      <c r="AC4978">
        <v>-13.8179999999999</v>
      </c>
      <c r="AD4978">
        <v>-1.1165015426989999</v>
      </c>
      <c r="AE4978">
        <v>-8.9329999999999892</v>
      </c>
      <c r="AF4978">
        <v>-4.5871520800583996</v>
      </c>
      <c r="AG4978">
        <v>-1.1165015426989999</v>
      </c>
      <c r="AH4978">
        <v>15.723155265588</v>
      </c>
      <c r="AI4978">
        <v>93.899716052265305</v>
      </c>
      <c r="AJ4978">
        <v>106.26434141211701</v>
      </c>
      <c r="AK4978">
        <v>16.4166425132005</v>
      </c>
      <c r="AL4978">
        <v>79.085175257633495</v>
      </c>
      <c r="AM4978">
        <v>100.437775116644</v>
      </c>
      <c r="AN4978">
        <v>0.99999995136198905</v>
      </c>
    </row>
    <row r="4979" spans="1:40" x14ac:dyDescent="0.25">
      <c r="A4979" t="str">
        <f>"20190304155201816"</f>
        <v>20190304155201816</v>
      </c>
      <c r="B4979" t="str">
        <f>"1551685921812226"</f>
        <v>1551685921812226</v>
      </c>
      <c r="C4979" t="s">
        <v>40</v>
      </c>
      <c r="D4979">
        <v>4.741212</v>
      </c>
      <c r="E4979">
        <v>0.46695880000000001</v>
      </c>
      <c r="F4979" t="s">
        <v>84</v>
      </c>
      <c r="G4979">
        <v>-412.99860000000001</v>
      </c>
      <c r="H4979" s="1">
        <v>-6.9656559999999997E-6</v>
      </c>
      <c r="I4979">
        <v>131.6687</v>
      </c>
      <c r="J4979">
        <v>-400.0813</v>
      </c>
      <c r="K4979">
        <v>1.1165389999999999</v>
      </c>
      <c r="L4979">
        <v>139.58369999999999</v>
      </c>
      <c r="M4979">
        <v>-0.95568430000000004</v>
      </c>
      <c r="N4979">
        <v>-1.444717E-2</v>
      </c>
      <c r="O4979">
        <v>-0.29403899999999999</v>
      </c>
      <c r="P4979">
        <v>-0.87386609999999998</v>
      </c>
      <c r="Q4979">
        <v>0.1776662</v>
      </c>
      <c r="R4979">
        <v>-0.45254030000000001</v>
      </c>
      <c r="S4979">
        <v>-2.6474000000000002</v>
      </c>
      <c r="T4979">
        <v>-0.2249545</v>
      </c>
      <c r="U4979">
        <v>-1.6100920000000001</v>
      </c>
      <c r="V4979">
        <v>-0.17826819999999999</v>
      </c>
      <c r="W4979">
        <v>0.18911439999999999</v>
      </c>
      <c r="X4979">
        <v>0.96563770000000004</v>
      </c>
      <c r="Y4979">
        <v>-0.24512680000000001</v>
      </c>
      <c r="Z4979">
        <v>6.7286819999999997E-3</v>
      </c>
      <c r="AA4979">
        <v>0.96946770000000004</v>
      </c>
      <c r="AB4979">
        <v>25</v>
      </c>
      <c r="AC4979">
        <v>-12.917299999999999</v>
      </c>
      <c r="AD4979">
        <v>-1.116545965656</v>
      </c>
      <c r="AE4979">
        <v>-7.9149999999999903</v>
      </c>
      <c r="AF4979">
        <v>-3.7460951421086501</v>
      </c>
      <c r="AG4979">
        <v>-1.116545965656</v>
      </c>
      <c r="AH4979">
        <v>14.594432346428899</v>
      </c>
      <c r="AI4979">
        <v>94.238028862110497</v>
      </c>
      <c r="AJ4979">
        <v>104.39588156322</v>
      </c>
      <c r="AK4979">
        <v>15.1088503606874</v>
      </c>
      <c r="AL4979">
        <v>79.098893748090106</v>
      </c>
      <c r="AM4979">
        <v>100.45971541656399</v>
      </c>
      <c r="AN4979">
        <v>0.99999998753994501</v>
      </c>
    </row>
    <row r="4980" spans="1:40" x14ac:dyDescent="0.25">
      <c r="A4980" t="str">
        <f>"20190304155201837"</f>
        <v>20190304155201837</v>
      </c>
      <c r="B4980" t="str">
        <f>"1551685921831745"</f>
        <v>1551685921831745</v>
      </c>
      <c r="C4980" t="s">
        <v>40</v>
      </c>
      <c r="D4980">
        <v>4.7177049999999996</v>
      </c>
      <c r="E4980">
        <v>0.46744649999999999</v>
      </c>
      <c r="F4980" t="s">
        <v>84</v>
      </c>
      <c r="G4980">
        <v>-412.9443</v>
      </c>
      <c r="H4980" s="1">
        <v>-6.9512910000000002E-6</v>
      </c>
      <c r="I4980">
        <v>131.62569999999999</v>
      </c>
      <c r="J4980">
        <v>-400.30520000000001</v>
      </c>
      <c r="K4980">
        <v>1.1165769999999999</v>
      </c>
      <c r="L4980">
        <v>139.50470000000001</v>
      </c>
      <c r="M4980">
        <v>-0.95311179999999995</v>
      </c>
      <c r="N4980">
        <v>-1.4459069999999999E-2</v>
      </c>
      <c r="O4980">
        <v>-0.30227290000000001</v>
      </c>
      <c r="P4980">
        <v>-0.86980569999999902</v>
      </c>
      <c r="Q4980">
        <v>0.17714189999999999</v>
      </c>
      <c r="R4980">
        <v>-0.46049889999999999</v>
      </c>
      <c r="S4980">
        <v>-2.6352229999999999</v>
      </c>
      <c r="T4980">
        <v>-0.22874549999999999</v>
      </c>
      <c r="U4980">
        <v>-1.6303559999999999</v>
      </c>
      <c r="V4980">
        <v>-0.17873029999999901</v>
      </c>
      <c r="W4980">
        <v>0.18857969999999999</v>
      </c>
      <c r="X4980">
        <v>0.96565690000000004</v>
      </c>
      <c r="Y4980">
        <v>-0.24417220000000001</v>
      </c>
      <c r="Z4980">
        <v>7.4945050000000003E-3</v>
      </c>
      <c r="AA4980">
        <v>0.96970299999999998</v>
      </c>
      <c r="AB4980">
        <v>25</v>
      </c>
      <c r="AC4980">
        <v>-12.6390999999999</v>
      </c>
      <c r="AD4980">
        <v>-1.1165839512909901</v>
      </c>
      <c r="AE4980">
        <v>-7.8790000000000102</v>
      </c>
      <c r="AF4980">
        <v>-3.6688752762649099</v>
      </c>
      <c r="AG4980">
        <v>-1.1165839512909901</v>
      </c>
      <c r="AH4980">
        <v>14.348943870575001</v>
      </c>
      <c r="AI4980">
        <v>94.311432496748694</v>
      </c>
      <c r="AJ4980">
        <v>104.34264287765301</v>
      </c>
      <c r="AK4980">
        <v>14.8525955884478</v>
      </c>
      <c r="AL4980">
        <v>79.130091684958103</v>
      </c>
      <c r="AM4980">
        <v>100.486024154159</v>
      </c>
      <c r="AN4980">
        <v>1.0000000359538901</v>
      </c>
    </row>
    <row r="4981" spans="1:40" x14ac:dyDescent="0.25">
      <c r="A4981" t="str">
        <f>"20190304155201862"</f>
        <v>20190304155201862</v>
      </c>
      <c r="B4981" t="str">
        <f>"1551685921852241"</f>
        <v>1551685921852241</v>
      </c>
      <c r="C4981" t="s">
        <v>40</v>
      </c>
      <c r="D4981">
        <v>4.8011030000000003</v>
      </c>
      <c r="E4981">
        <v>0.46810220000000002</v>
      </c>
      <c r="F4981" t="s">
        <v>84</v>
      </c>
      <c r="G4981">
        <v>-413.01060000000001</v>
      </c>
      <c r="H4981" s="1">
        <v>-6.8986549999999999E-6</v>
      </c>
      <c r="I4981">
        <v>131.5059</v>
      </c>
      <c r="J4981">
        <v>-400.54140000000001</v>
      </c>
      <c r="K4981">
        <v>1.1166100000000001</v>
      </c>
      <c r="L4981">
        <v>139.41899999999899</v>
      </c>
      <c r="M4981">
        <v>-0.95028500000000005</v>
      </c>
      <c r="N4981">
        <v>-1.447098E-2</v>
      </c>
      <c r="O4981">
        <v>-0.31104480000000001</v>
      </c>
      <c r="P4981">
        <v>-0.86512869999999997</v>
      </c>
      <c r="Q4981">
        <v>0.1777165</v>
      </c>
      <c r="R4981">
        <v>-0.46900890000000001</v>
      </c>
      <c r="S4981">
        <v>-2.6220400000000001</v>
      </c>
      <c r="T4981">
        <v>-0.230432</v>
      </c>
      <c r="U4981">
        <v>-1.6507419999999999</v>
      </c>
      <c r="V4981">
        <v>-0.17936489999999999</v>
      </c>
      <c r="W4981">
        <v>0.1891388</v>
      </c>
      <c r="X4981">
        <v>0.9654298</v>
      </c>
      <c r="Y4981">
        <v>-0.24284849999999999</v>
      </c>
      <c r="Z4981">
        <v>8.2051490000000001E-3</v>
      </c>
      <c r="AA4981">
        <v>0.97002949999999999</v>
      </c>
      <c r="AB4981">
        <v>25</v>
      </c>
      <c r="AC4981">
        <v>-12.469200000000001</v>
      </c>
      <c r="AD4981">
        <v>-1.116616898655</v>
      </c>
      <c r="AE4981">
        <v>-7.9130999999999796</v>
      </c>
      <c r="AF4981">
        <v>-3.6209018453051498</v>
      </c>
      <c r="AG4981">
        <v>-1.116616898655</v>
      </c>
      <c r="AH4981">
        <v>14.230766862744201</v>
      </c>
      <c r="AI4981">
        <v>94.348521426039994</v>
      </c>
      <c r="AJ4981">
        <v>104.275517677247</v>
      </c>
      <c r="AK4981">
        <v>14.726591220424201</v>
      </c>
      <c r="AL4981">
        <v>79.097469908167099</v>
      </c>
      <c r="AM4981">
        <v>100.524845643204</v>
      </c>
      <c r="AN4981">
        <v>0.99999997587274403</v>
      </c>
    </row>
    <row r="4982" spans="1:40" x14ac:dyDescent="0.25">
      <c r="A4982" t="str">
        <f>"20190304155201883"</f>
        <v>20190304155201883</v>
      </c>
      <c r="B4982" t="str">
        <f>"1551685921871761"</f>
        <v>1551685921871761</v>
      </c>
      <c r="C4982" t="s">
        <v>40</v>
      </c>
      <c r="D4982">
        <v>4.7765139999999997</v>
      </c>
      <c r="E4982">
        <v>0.46806900000000001</v>
      </c>
      <c r="F4982" t="s">
        <v>84</v>
      </c>
      <c r="G4982">
        <v>-413.4366</v>
      </c>
      <c r="H4982" s="1">
        <v>-6.7277500000000001E-6</v>
      </c>
      <c r="I4982">
        <v>131.14699999999999</v>
      </c>
      <c r="J4982">
        <v>-400.76350000000002</v>
      </c>
      <c r="K4982">
        <v>1.1166430000000001</v>
      </c>
      <c r="L4982">
        <v>139.33600000000001</v>
      </c>
      <c r="M4982">
        <v>-0.94752040000000004</v>
      </c>
      <c r="N4982">
        <v>-1.448178E-2</v>
      </c>
      <c r="O4982">
        <v>-0.31936730000000002</v>
      </c>
      <c r="P4982">
        <v>-0.86096609999999996</v>
      </c>
      <c r="Q4982">
        <v>0.17724329999999999</v>
      </c>
      <c r="R4982">
        <v>-0.47678379999999998</v>
      </c>
      <c r="S4982">
        <v>-2.607361</v>
      </c>
      <c r="T4982">
        <v>-0.22577520000000001</v>
      </c>
      <c r="U4982">
        <v>-1.6725620000000001</v>
      </c>
      <c r="V4982">
        <v>-0.17957190000000001</v>
      </c>
      <c r="W4982">
        <v>0.1886602</v>
      </c>
      <c r="X4982">
        <v>0.96548500000000004</v>
      </c>
      <c r="Y4982">
        <v>-0.2425881</v>
      </c>
      <c r="Z4982">
        <v>8.4396279999999994E-3</v>
      </c>
      <c r="AA4982">
        <v>0.97009270000000003</v>
      </c>
      <c r="AB4982">
        <v>25</v>
      </c>
      <c r="AC4982">
        <v>-12.6730999999999</v>
      </c>
      <c r="AD4982">
        <v>-1.11664972775</v>
      </c>
      <c r="AE4982">
        <v>-8.1889999999999894</v>
      </c>
      <c r="AF4982">
        <v>-3.6920390596962398</v>
      </c>
      <c r="AG4982">
        <v>-1.11664972775</v>
      </c>
      <c r="AH4982">
        <v>14.5451901966397</v>
      </c>
      <c r="AI4982">
        <v>94.255609960444005</v>
      </c>
      <c r="AJ4982">
        <v>104.242714775556</v>
      </c>
      <c r="AK4982">
        <v>15.047943942254401</v>
      </c>
      <c r="AL4982">
        <v>79.125394805318805</v>
      </c>
      <c r="AM4982">
        <v>100.536131283597</v>
      </c>
      <c r="AN4982">
        <v>1.00000001177932</v>
      </c>
    </row>
    <row r="4983" spans="1:40" x14ac:dyDescent="0.25">
      <c r="A4983" t="str">
        <f>"20190304155201905"</f>
        <v>20190304155201905</v>
      </c>
      <c r="B4983" t="str">
        <f>"1551685921902017"</f>
        <v>1551685921902017</v>
      </c>
      <c r="C4983" t="s">
        <v>40</v>
      </c>
      <c r="D4983">
        <v>4.8076869999999996</v>
      </c>
      <c r="E4983">
        <v>0.47710229999999998</v>
      </c>
      <c r="F4983" t="s">
        <v>84</v>
      </c>
      <c r="G4983">
        <v>-413.33690000000001</v>
      </c>
      <c r="H4983" s="1">
        <v>-6.7146949999999999E-6</v>
      </c>
      <c r="I4983">
        <v>131.10069999999999</v>
      </c>
      <c r="J4983">
        <v>-400.98880000000003</v>
      </c>
      <c r="K4983">
        <v>1.1166700000000001</v>
      </c>
      <c r="L4983">
        <v>139.24959999999999</v>
      </c>
      <c r="M4983">
        <v>-0.94461070000000003</v>
      </c>
      <c r="N4983">
        <v>-1.449188E-2</v>
      </c>
      <c r="O4983">
        <v>-0.32787270000000002</v>
      </c>
      <c r="P4983">
        <v>-0.85673889999999997</v>
      </c>
      <c r="Q4983">
        <v>0.17660319999999999</v>
      </c>
      <c r="R4983">
        <v>-0.48457210000000001</v>
      </c>
      <c r="S4983">
        <v>-2.5918269999999999</v>
      </c>
      <c r="T4983">
        <v>-0.2301812</v>
      </c>
      <c r="U4983">
        <v>-1.697586</v>
      </c>
      <c r="V4983">
        <v>-0.17961060000000001</v>
      </c>
      <c r="W4983">
        <v>0.1880173</v>
      </c>
      <c r="X4983">
        <v>0.96560319999999999</v>
      </c>
      <c r="Y4983">
        <v>-0.2430988</v>
      </c>
      <c r="Z4983">
        <v>9.2367960000000002E-3</v>
      </c>
      <c r="AA4983">
        <v>0.96995759999999998</v>
      </c>
      <c r="AB4983">
        <v>25</v>
      </c>
      <c r="AC4983">
        <v>-12.348099999999899</v>
      </c>
      <c r="AD4983">
        <v>-1.1166767146950001</v>
      </c>
      <c r="AE4983">
        <v>-8.1488999999999905</v>
      </c>
      <c r="AF4983">
        <v>-3.6286441632600801</v>
      </c>
      <c r="AG4983">
        <v>-1.1166767146950001</v>
      </c>
      <c r="AH4983">
        <v>14.256237367191201</v>
      </c>
      <c r="AI4983">
        <v>94.340922165126599</v>
      </c>
      <c r="AJ4983">
        <v>104.280279482425</v>
      </c>
      <c r="AK4983">
        <v>14.753112526460299</v>
      </c>
      <c r="AL4983">
        <v>79.162901416701303</v>
      </c>
      <c r="AM4983">
        <v>100.537089979233</v>
      </c>
      <c r="AN4983">
        <v>1.00000000629094</v>
      </c>
    </row>
    <row r="4984" spans="1:40" x14ac:dyDescent="0.25">
      <c r="A4984" t="str">
        <f>"20190304155201927"</f>
        <v>20190304155201927</v>
      </c>
      <c r="B4984" t="str">
        <f>"1551685921921537"</f>
        <v>1551685921921537</v>
      </c>
      <c r="C4984" t="s">
        <v>40</v>
      </c>
      <c r="D4984">
        <v>4.7655459999999996</v>
      </c>
      <c r="E4984">
        <v>0.4784351</v>
      </c>
      <c r="F4984" t="s">
        <v>84</v>
      </c>
      <c r="G4984">
        <v>-413.55020000000002</v>
      </c>
      <c r="H4984" s="1">
        <v>-6.7684719999999997E-6</v>
      </c>
      <c r="I4984">
        <v>131.26320000000001</v>
      </c>
      <c r="J4984">
        <v>-401.20519999999999</v>
      </c>
      <c r="K4984">
        <v>1.116703</v>
      </c>
      <c r="L4984">
        <v>139.16409999999999</v>
      </c>
      <c r="M4984">
        <v>-0.94171119999999997</v>
      </c>
      <c r="N4984">
        <v>-1.450075E-2</v>
      </c>
      <c r="O4984">
        <v>-0.3361093</v>
      </c>
      <c r="P4984">
        <v>-0.85237339999999995</v>
      </c>
      <c r="Q4984">
        <v>0.176788</v>
      </c>
      <c r="R4984">
        <v>-0.49214350000000001</v>
      </c>
      <c r="S4984">
        <v>-2.610687</v>
      </c>
      <c r="T4984">
        <v>-0.23208239999999999</v>
      </c>
      <c r="U4984">
        <v>-1.6598360000000001</v>
      </c>
      <c r="V4984">
        <v>-0.17976220000000001</v>
      </c>
      <c r="W4984">
        <v>0.18819569999999999</v>
      </c>
      <c r="X4984">
        <v>0.96554019999999996</v>
      </c>
      <c r="Y4984">
        <v>-0.22150980000000001</v>
      </c>
      <c r="Z4984">
        <v>1.0862739999999999E-2</v>
      </c>
      <c r="AA4984">
        <v>0.97509769999999896</v>
      </c>
      <c r="AB4984">
        <v>25</v>
      </c>
      <c r="AC4984">
        <v>-12.345000000000001</v>
      </c>
      <c r="AD4984">
        <v>-1.116709768472</v>
      </c>
      <c r="AE4984">
        <v>-7.9008999999999698</v>
      </c>
      <c r="AF4984">
        <v>-3.27244681518266</v>
      </c>
      <c r="AG4984">
        <v>-1.116709768472</v>
      </c>
      <c r="AH4984">
        <v>14.2000636065665</v>
      </c>
      <c r="AI4984">
        <v>94.382158692945197</v>
      </c>
      <c r="AJ4984">
        <v>102.977411327616</v>
      </c>
      <c r="AK4984">
        <v>14.6149839307381</v>
      </c>
      <c r="AL4984">
        <v>79.152493708986</v>
      </c>
      <c r="AM4984">
        <v>100.546457020169</v>
      </c>
      <c r="AN4984">
        <v>0.99999997393168405</v>
      </c>
    </row>
    <row r="4985" spans="1:40" x14ac:dyDescent="0.25">
      <c r="A4985" t="str">
        <f>"20190304155201949"</f>
        <v>20190304155201949</v>
      </c>
      <c r="B4985" t="str">
        <f>"1551685921942036"</f>
        <v>1551685921942036</v>
      </c>
      <c r="C4985" t="s">
        <v>40</v>
      </c>
      <c r="D4985">
        <v>4.6792959999999999</v>
      </c>
      <c r="E4985">
        <v>0.47913790000000001</v>
      </c>
      <c r="F4985" t="s">
        <v>84</v>
      </c>
      <c r="G4985">
        <v>-414.20859999999999</v>
      </c>
      <c r="H4985" s="1">
        <v>-6.5373400000000003E-6</v>
      </c>
      <c r="I4985">
        <v>130.7895</v>
      </c>
      <c r="J4985">
        <v>-401.428</v>
      </c>
      <c r="K4985">
        <v>1.116724</v>
      </c>
      <c r="L4985">
        <v>139.0737</v>
      </c>
      <c r="M4985">
        <v>-0.93861890000000003</v>
      </c>
      <c r="N4985">
        <v>-1.450857E-2</v>
      </c>
      <c r="O4985">
        <v>-0.34465050000000003</v>
      </c>
      <c r="P4985">
        <v>-0.84773770000000004</v>
      </c>
      <c r="Q4985">
        <v>0.17796380000000001</v>
      </c>
      <c r="R4985">
        <v>-0.49966969999999999</v>
      </c>
      <c r="S4985">
        <v>-2.5993040000000001</v>
      </c>
      <c r="T4985">
        <v>-0.2232239</v>
      </c>
      <c r="U4985">
        <v>-1.67404199999999</v>
      </c>
      <c r="V4985">
        <v>-0.17964869999999999</v>
      </c>
      <c r="W4985">
        <v>0.18936819999999999</v>
      </c>
      <c r="X4985">
        <v>0.96533210000000003</v>
      </c>
      <c r="Y4985">
        <v>-0.21837480000000001</v>
      </c>
      <c r="Z4985">
        <v>1.086645E-2</v>
      </c>
      <c r="AA4985">
        <v>0.97580440000000002</v>
      </c>
      <c r="AB4985">
        <v>25</v>
      </c>
      <c r="AC4985">
        <v>-12.7805999999999</v>
      </c>
      <c r="AD4985">
        <v>-1.1167305373400001</v>
      </c>
      <c r="AE4985">
        <v>-8.2841999999999896</v>
      </c>
      <c r="AF4985">
        <v>-3.3531946298617399</v>
      </c>
      <c r="AG4985">
        <v>-1.1167305373400001</v>
      </c>
      <c r="AH4985">
        <v>14.7734081212097</v>
      </c>
      <c r="AI4985">
        <v>94.215967352068105</v>
      </c>
      <c r="AJ4985">
        <v>102.788045536388</v>
      </c>
      <c r="AK4985">
        <v>15.190279419239999</v>
      </c>
      <c r="AL4985">
        <v>79.084084809549793</v>
      </c>
      <c r="AM4985">
        <v>100.542168557129</v>
      </c>
      <c r="AN4985">
        <v>1.0000000169366601</v>
      </c>
    </row>
    <row r="4986" spans="1:40" x14ac:dyDescent="0.25">
      <c r="A4986" t="str">
        <f>"20190304155201971"</f>
        <v>20190304155201971</v>
      </c>
      <c r="B4986" t="str">
        <f>"1551685921961553"</f>
        <v>1551685921961553</v>
      </c>
      <c r="C4986" t="s">
        <v>40</v>
      </c>
      <c r="D4986">
        <v>4.7637159999999996</v>
      </c>
      <c r="E4986">
        <v>0.48024349999999999</v>
      </c>
      <c r="F4986" t="s">
        <v>84</v>
      </c>
      <c r="G4986">
        <v>-414.38380000000001</v>
      </c>
      <c r="H4986" s="1">
        <v>-6.4487249999999998E-6</v>
      </c>
      <c r="I4986">
        <v>130.59690000000001</v>
      </c>
      <c r="J4986">
        <v>-401.65129999999999</v>
      </c>
      <c r="K4986">
        <v>1.116733</v>
      </c>
      <c r="L4986">
        <v>138.98070000000001</v>
      </c>
      <c r="M4986">
        <v>-0.93541379999999996</v>
      </c>
      <c r="N4986">
        <v>-1.451537E-2</v>
      </c>
      <c r="O4986">
        <v>-0.35325669999999998</v>
      </c>
      <c r="P4986">
        <v>-0.84292259999999997</v>
      </c>
      <c r="Q4986">
        <v>0.1793216</v>
      </c>
      <c r="R4986">
        <v>-0.5072721</v>
      </c>
      <c r="S4986">
        <v>-2.5877080000000001</v>
      </c>
      <c r="T4986">
        <v>-0.2230499</v>
      </c>
      <c r="U4986">
        <v>-1.6931149999999999</v>
      </c>
      <c r="V4986">
        <v>-0.1795901</v>
      </c>
      <c r="W4986">
        <v>0.1907249</v>
      </c>
      <c r="X4986">
        <v>0.96507589999999999</v>
      </c>
      <c r="Y4986">
        <v>-0.21647159999999999</v>
      </c>
      <c r="Z4986">
        <v>1.145177E-2</v>
      </c>
      <c r="AA4986">
        <v>0.97622169999999997</v>
      </c>
      <c r="AB4986">
        <v>24</v>
      </c>
      <c r="AC4986">
        <v>-12.7325</v>
      </c>
      <c r="AD4986">
        <v>-1.116739448725</v>
      </c>
      <c r="AE4986">
        <v>-8.3838000000000008</v>
      </c>
      <c r="AF4986">
        <v>-3.3269808082714998</v>
      </c>
      <c r="AG4986">
        <v>-1.116739448725</v>
      </c>
      <c r="AH4986">
        <v>14.7939709686867</v>
      </c>
      <c r="AI4986">
        <v>94.212044690387103</v>
      </c>
      <c r="AJ4986">
        <v>102.674254289506</v>
      </c>
      <c r="AK4986">
        <v>15.2045218707229</v>
      </c>
      <c r="AL4986">
        <v>79.004908921119195</v>
      </c>
      <c r="AM4986">
        <v>100.541541884176</v>
      </c>
      <c r="AN4986">
        <v>1.00000004212941</v>
      </c>
    </row>
    <row r="4987" spans="1:40" x14ac:dyDescent="0.25">
      <c r="A4987" t="str">
        <f>"20190304155201993"</f>
        <v>20190304155201993</v>
      </c>
      <c r="B4987" t="str">
        <f>"1551685921982050"</f>
        <v>1551685921982050</v>
      </c>
      <c r="C4987" t="s">
        <v>40</v>
      </c>
      <c r="D4987">
        <v>4.7708579999999996</v>
      </c>
      <c r="E4987">
        <v>0.48212700000000003</v>
      </c>
      <c r="F4987" t="s">
        <v>84</v>
      </c>
      <c r="G4987">
        <v>-414.9239</v>
      </c>
      <c r="H4987" s="1">
        <v>-6.2468589999999998E-6</v>
      </c>
      <c r="I4987">
        <v>130.17830000000001</v>
      </c>
      <c r="J4987">
        <v>-401.86660000000001</v>
      </c>
      <c r="K4987">
        <v>1.1167370000000001</v>
      </c>
      <c r="L4987">
        <v>138.8886</v>
      </c>
      <c r="M4987">
        <v>-0.93222660000000002</v>
      </c>
      <c r="N4987">
        <v>-1.452027E-2</v>
      </c>
      <c r="O4987">
        <v>-0.36158370000000001</v>
      </c>
      <c r="P4987">
        <v>-0.83831919999999904</v>
      </c>
      <c r="Q4987">
        <v>0.17876929999999999</v>
      </c>
      <c r="R4987">
        <v>-0.51503670000000001</v>
      </c>
      <c r="S4987">
        <v>-2.5767820000000001</v>
      </c>
      <c r="T4987">
        <v>-0.21680749999999999</v>
      </c>
      <c r="U4987">
        <v>-1.708923</v>
      </c>
      <c r="V4987">
        <v>-0.17984990000000001</v>
      </c>
      <c r="W4987">
        <v>0.19017300000000001</v>
      </c>
      <c r="X4987">
        <v>0.96513640000000001</v>
      </c>
      <c r="Y4987">
        <v>-0.2138446</v>
      </c>
      <c r="Z4987">
        <v>1.1546600000000001E-2</v>
      </c>
      <c r="AA4987">
        <v>0.97679939999999998</v>
      </c>
      <c r="AB4987">
        <v>24</v>
      </c>
      <c r="AC4987">
        <v>-13.0572999999999</v>
      </c>
      <c r="AD4987">
        <v>-1.1167432468589999</v>
      </c>
      <c r="AE4987">
        <v>-8.7102999999999895</v>
      </c>
      <c r="AF4987">
        <v>-3.3819051725440001</v>
      </c>
      <c r="AG4987">
        <v>-1.1167432468589999</v>
      </c>
      <c r="AH4987">
        <v>15.2463014510107</v>
      </c>
      <c r="AI4987">
        <v>94.090185742812395</v>
      </c>
      <c r="AJ4987">
        <v>102.506739345182</v>
      </c>
      <c r="AK4987">
        <v>15.656759115812401</v>
      </c>
      <c r="AL4987">
        <v>79.037119699972905</v>
      </c>
      <c r="AM4987">
        <v>100.55580216931401</v>
      </c>
      <c r="AN4987">
        <v>1.00000001353198</v>
      </c>
    </row>
    <row r="4988" spans="1:40" x14ac:dyDescent="0.25">
      <c r="A4988" t="str">
        <f>"20190304155202016"</f>
        <v>20190304155202016</v>
      </c>
      <c r="B4988" t="str">
        <f>"1551685922012305"</f>
        <v>1551685922012305</v>
      </c>
      <c r="C4988" t="s">
        <v>40</v>
      </c>
      <c r="D4988">
        <v>4.8146300000000002</v>
      </c>
      <c r="E4988">
        <v>0.48214390000000001</v>
      </c>
      <c r="F4988" t="s">
        <v>84</v>
      </c>
      <c r="G4988">
        <v>-415.02510000000001</v>
      </c>
      <c r="H4988" s="1">
        <v>-6.2016900000000004E-6</v>
      </c>
      <c r="I4988">
        <v>130.08179999999999</v>
      </c>
      <c r="J4988">
        <v>-402.08819999999997</v>
      </c>
      <c r="K4988">
        <v>1.1167279999999999</v>
      </c>
      <c r="L4988">
        <v>138.79140000000001</v>
      </c>
      <c r="M4988">
        <v>-0.92884469999999997</v>
      </c>
      <c r="N4988">
        <v>-1.4523690000000001E-2</v>
      </c>
      <c r="O4988">
        <v>-0.37018469999999998</v>
      </c>
      <c r="P4988">
        <v>-0.83331999999999995</v>
      </c>
      <c r="Q4988">
        <v>0.17870239999999901</v>
      </c>
      <c r="R4988">
        <v>-0.52310920000000005</v>
      </c>
      <c r="S4988">
        <v>-2.5688170000000001</v>
      </c>
      <c r="T4988">
        <v>-0.2180125</v>
      </c>
      <c r="U4988">
        <v>-1.719284</v>
      </c>
      <c r="V4988">
        <v>-0.1802416</v>
      </c>
      <c r="W4988">
        <v>0.190107</v>
      </c>
      <c r="X4988">
        <v>0.9650763</v>
      </c>
      <c r="Y4988">
        <v>-0.20895939999999999</v>
      </c>
      <c r="Z4988">
        <v>1.2363010000000001E-2</v>
      </c>
      <c r="AA4988">
        <v>0.97784610000000005</v>
      </c>
      <c r="AB4988">
        <v>24</v>
      </c>
      <c r="AC4988">
        <v>-12.9369</v>
      </c>
      <c r="AD4988">
        <v>-1.1167342016899999</v>
      </c>
      <c r="AE4988">
        <v>-8.7096000000000195</v>
      </c>
      <c r="AF4988">
        <v>-3.28433116766948</v>
      </c>
      <c r="AG4988">
        <v>-1.1167342016899999</v>
      </c>
      <c r="AH4988">
        <v>15.1643840907784</v>
      </c>
      <c r="AI4988">
        <v>94.116662355324095</v>
      </c>
      <c r="AJ4988">
        <v>102.220483773956</v>
      </c>
      <c r="AK4988">
        <v>15.5561072042077</v>
      </c>
      <c r="AL4988">
        <v>79.040971176623898</v>
      </c>
      <c r="AM4988">
        <v>100.57891749378901</v>
      </c>
      <c r="AN4988">
        <v>0.99999998532062495</v>
      </c>
    </row>
    <row r="4989" spans="1:40" x14ac:dyDescent="0.25">
      <c r="A4989" t="str">
        <f>"20190304155202038"</f>
        <v>20190304155202038</v>
      </c>
      <c r="B4989" t="str">
        <f>"1551685922031825"</f>
        <v>1551685922031825</v>
      </c>
      <c r="C4989" t="s">
        <v>40</v>
      </c>
      <c r="D4989">
        <v>4.5951589999999998</v>
      </c>
      <c r="E4989">
        <v>0.44716329999999999</v>
      </c>
      <c r="F4989" t="s">
        <v>84</v>
      </c>
      <c r="G4989">
        <v>-415.15019999999998</v>
      </c>
      <c r="H4989" s="1">
        <v>-6.1052609999999998E-6</v>
      </c>
      <c r="I4989">
        <v>129.8629</v>
      </c>
      <c r="J4989">
        <v>-402.30860000000001</v>
      </c>
      <c r="K4989">
        <v>1.116711</v>
      </c>
      <c r="L4989">
        <v>138.69229999999999</v>
      </c>
      <c r="M4989">
        <v>-0.92538450000000005</v>
      </c>
      <c r="N4989">
        <v>-1.452553E-2</v>
      </c>
      <c r="O4989">
        <v>-0.37875130000000001</v>
      </c>
      <c r="P4989">
        <v>-0.82824959999999903</v>
      </c>
      <c r="Q4989">
        <v>0.1781382</v>
      </c>
      <c r="R4989">
        <v>-0.53129059999999995</v>
      </c>
      <c r="S4989">
        <v>-2.5518489999999998</v>
      </c>
      <c r="T4989">
        <v>-0.21817059999999999</v>
      </c>
      <c r="U4989">
        <v>-1.744324</v>
      </c>
      <c r="V4989">
        <v>-0.1807687</v>
      </c>
      <c r="W4989">
        <v>0.18954289999999999</v>
      </c>
      <c r="X4989">
        <v>0.96508870000000002</v>
      </c>
      <c r="Y4989">
        <v>-0.2095031</v>
      </c>
      <c r="Z4989">
        <v>1.2864550000000001E-2</v>
      </c>
      <c r="AA4989">
        <v>0.97772340000000002</v>
      </c>
      <c r="AB4989">
        <v>24</v>
      </c>
      <c r="AC4989">
        <v>-12.8415999999999</v>
      </c>
      <c r="AD4989">
        <v>-1.1167171052609901</v>
      </c>
      <c r="AE4989">
        <v>-8.8293999999999908</v>
      </c>
      <c r="AF4989">
        <v>-3.2902712987656</v>
      </c>
      <c r="AG4989">
        <v>-1.1167171052609901</v>
      </c>
      <c r="AH4989">
        <v>15.151372046996901</v>
      </c>
      <c r="AI4989">
        <v>94.119631145871594</v>
      </c>
      <c r="AJ4989">
        <v>102.252116041185</v>
      </c>
      <c r="AK4989">
        <v>15.5446780995678</v>
      </c>
      <c r="AL4989">
        <v>79.073890606533496</v>
      </c>
      <c r="AM4989">
        <v>100.609020030422</v>
      </c>
      <c r="AN4989">
        <v>1.00000001635389</v>
      </c>
    </row>
    <row r="4990" spans="1:40" x14ac:dyDescent="0.25">
      <c r="A4990" t="str">
        <f>"20190304155202061"</f>
        <v>20190304155202061</v>
      </c>
      <c r="B4990" t="str">
        <f>"1551685922052321"</f>
        <v>1551685922052321</v>
      </c>
      <c r="C4990" t="s">
        <v>40</v>
      </c>
      <c r="D4990">
        <v>4.6918290000000002</v>
      </c>
      <c r="E4990">
        <v>0.44464009999999998</v>
      </c>
      <c r="F4990" t="s">
        <v>84</v>
      </c>
      <c r="G4990">
        <v>-417.14280000000002</v>
      </c>
      <c r="H4990" s="1">
        <v>-4.1502480000000001E-6</v>
      </c>
      <c r="I4990">
        <v>126.20350000000001</v>
      </c>
      <c r="J4990">
        <v>-402.52839999999998</v>
      </c>
      <c r="K4990">
        <v>1.1166929999999999</v>
      </c>
      <c r="L4990">
        <v>138.59110000000001</v>
      </c>
      <c r="M4990">
        <v>-0.92184129999999997</v>
      </c>
      <c r="N4990">
        <v>-1.4526300000000001E-2</v>
      </c>
      <c r="O4990">
        <v>-0.38729590000000003</v>
      </c>
      <c r="P4990">
        <v>-0.82332349999999999</v>
      </c>
      <c r="Q4990">
        <v>0.17765639999999999</v>
      </c>
      <c r="R4990">
        <v>-0.53905179999999997</v>
      </c>
      <c r="S4990">
        <v>-2.3769230000000001</v>
      </c>
      <c r="T4990">
        <v>-0.17893419999999999</v>
      </c>
      <c r="U4990">
        <v>-2.0011139999999998</v>
      </c>
      <c r="V4990">
        <v>-0.18085590000000001</v>
      </c>
      <c r="W4990">
        <v>0.1890705</v>
      </c>
      <c r="X4990">
        <v>0.96516500000000005</v>
      </c>
      <c r="Y4990">
        <v>-0.29721049999999999</v>
      </c>
      <c r="Z4990">
        <v>6.5584220000000004E-3</v>
      </c>
      <c r="AA4990">
        <v>0.95478949999999996</v>
      </c>
      <c r="AB4990">
        <v>24</v>
      </c>
      <c r="AC4990">
        <v>-14.6144</v>
      </c>
      <c r="AD4990">
        <v>-1.1166971502480001</v>
      </c>
      <c r="AE4990">
        <v>-12.387600000000001</v>
      </c>
      <c r="AF4990">
        <v>-5.7404070633362796</v>
      </c>
      <c r="AG4990">
        <v>-1.1166971502480001</v>
      </c>
      <c r="AH4990">
        <v>18.209878523151101</v>
      </c>
      <c r="AI4990">
        <v>93.347216991927993</v>
      </c>
      <c r="AJ4990">
        <v>107.4967214026</v>
      </c>
      <c r="AK4990">
        <v>19.125871525399699</v>
      </c>
      <c r="AL4990">
        <v>79.101455313995004</v>
      </c>
      <c r="AM4990">
        <v>100.613201385652</v>
      </c>
      <c r="AN4990">
        <v>0.99999999388003002</v>
      </c>
    </row>
    <row r="4991" spans="1:40" x14ac:dyDescent="0.25">
      <c r="A4991" t="str">
        <f>"20190304155202084"</f>
        <v>20190304155202084</v>
      </c>
      <c r="B4991" t="str">
        <f>"1551685922071841"</f>
        <v>1551685922071841</v>
      </c>
      <c r="C4991" t="s">
        <v>40</v>
      </c>
      <c r="D4991">
        <v>4.7110339999999997</v>
      </c>
      <c r="E4991">
        <v>0.44504589999999999</v>
      </c>
      <c r="F4991" t="s">
        <v>84</v>
      </c>
      <c r="G4991">
        <v>-416.21289999999999</v>
      </c>
      <c r="H4991" s="1">
        <v>-4.4557819999999997E-6</v>
      </c>
      <c r="I4991">
        <v>126.6972</v>
      </c>
      <c r="J4991">
        <v>-402.74630000000002</v>
      </c>
      <c r="K4991">
        <v>1.1166739999999999</v>
      </c>
      <c r="L4991">
        <v>138.48830000000001</v>
      </c>
      <c r="M4991">
        <v>-0.91823339999999998</v>
      </c>
      <c r="N4991">
        <v>-1.4525969999999999E-2</v>
      </c>
      <c r="O4991">
        <v>-0.39577319999999999</v>
      </c>
      <c r="P4991">
        <v>-0.81861600000000001</v>
      </c>
      <c r="Q4991">
        <v>0.17743129999999999</v>
      </c>
      <c r="R4991">
        <v>-0.5462475</v>
      </c>
      <c r="S4991">
        <v>-2.348633</v>
      </c>
      <c r="T4991">
        <v>-0.19165479999999999</v>
      </c>
      <c r="U4991">
        <v>-2.0413060000000001</v>
      </c>
      <c r="V4991">
        <v>-0.18038879999999999</v>
      </c>
      <c r="W4991">
        <v>0.18886249999999999</v>
      </c>
      <c r="X4991">
        <v>0.96529310000000002</v>
      </c>
      <c r="Y4991">
        <v>-0.30341659999999998</v>
      </c>
      <c r="Z4991">
        <v>7.7528279999999998E-3</v>
      </c>
      <c r="AA4991">
        <v>0.95282650000000002</v>
      </c>
      <c r="AB4991">
        <v>24</v>
      </c>
      <c r="AC4991">
        <v>-13.4665999999999</v>
      </c>
      <c r="AD4991">
        <v>-1.116678455782</v>
      </c>
      <c r="AE4991">
        <v>-11.7911</v>
      </c>
      <c r="AF4991">
        <v>-5.4765269416643303</v>
      </c>
      <c r="AG4991">
        <v>-1.116678455782</v>
      </c>
      <c r="AH4991">
        <v>16.9678387235864</v>
      </c>
      <c r="AI4991">
        <v>93.583758155398002</v>
      </c>
      <c r="AJ4991">
        <v>107.88796504522</v>
      </c>
      <c r="AK4991">
        <v>17.864682170864899</v>
      </c>
      <c r="AL4991">
        <v>79.113591179847106</v>
      </c>
      <c r="AM4991">
        <v>100.58503772304501</v>
      </c>
      <c r="AN4991">
        <v>0.99999996598964902</v>
      </c>
    </row>
    <row r="4992" spans="1:40" x14ac:dyDescent="0.25">
      <c r="A4992" t="str">
        <f>"20190304155202106"</f>
        <v>20190304155202106</v>
      </c>
      <c r="B4992" t="str">
        <f>"1551685922102097"</f>
        <v>1551685922102097</v>
      </c>
      <c r="C4992" t="s">
        <v>40</v>
      </c>
      <c r="D4992">
        <v>4.7096850000000003</v>
      </c>
      <c r="E4992">
        <v>0.44556889999999999</v>
      </c>
      <c r="F4992" t="s">
        <v>84</v>
      </c>
      <c r="G4992">
        <v>-415.25040000000001</v>
      </c>
      <c r="H4992" s="1">
        <v>-4.899598E-6</v>
      </c>
      <c r="I4992">
        <v>127.4586</v>
      </c>
      <c r="J4992">
        <v>-402.9579</v>
      </c>
      <c r="K4992">
        <v>1.1166510000000001</v>
      </c>
      <c r="L4992">
        <v>138.3862</v>
      </c>
      <c r="M4992">
        <v>-0.91464299999999998</v>
      </c>
      <c r="N4992">
        <v>-1.452493E-2</v>
      </c>
      <c r="O4992">
        <v>-0.40400150000000001</v>
      </c>
      <c r="P4992">
        <v>-0.81420000000000003</v>
      </c>
      <c r="Q4992">
        <v>0.17774200000000001</v>
      </c>
      <c r="R4992">
        <v>-0.55270769999999902</v>
      </c>
      <c r="S4992">
        <v>-2.3353579999999998</v>
      </c>
      <c r="T4992">
        <v>-0.20855989999999999</v>
      </c>
      <c r="U4992">
        <v>-2.0599980000000002</v>
      </c>
      <c r="V4992">
        <v>-0.17937990000000001</v>
      </c>
      <c r="W4992">
        <v>0.1891978</v>
      </c>
      <c r="X4992">
        <v>0.96541549999999998</v>
      </c>
      <c r="Y4992">
        <v>-0.30184440000000001</v>
      </c>
      <c r="Z4992">
        <v>9.6509569999999999E-3</v>
      </c>
      <c r="AA4992">
        <v>0.9533083</v>
      </c>
      <c r="AB4992">
        <v>24</v>
      </c>
      <c r="AC4992">
        <v>-12.2925</v>
      </c>
      <c r="AD4992">
        <v>-1.116655899598</v>
      </c>
      <c r="AE4992">
        <v>-10.927599999999901</v>
      </c>
      <c r="AF4992">
        <v>-5.0061198306695003</v>
      </c>
      <c r="AG4992">
        <v>-1.116655899598</v>
      </c>
      <c r="AH4992">
        <v>15.587817636976601</v>
      </c>
      <c r="AI4992">
        <v>93.901836398610797</v>
      </c>
      <c r="AJ4992">
        <v>107.804728584681</v>
      </c>
      <c r="AK4992">
        <v>16.4100034991089</v>
      </c>
      <c r="AL4992">
        <v>79.094027807203801</v>
      </c>
      <c r="AM4992">
        <v>100.525858575402</v>
      </c>
      <c r="AN4992">
        <v>1.00000002184454</v>
      </c>
    </row>
    <row r="4993" spans="1:40" x14ac:dyDescent="0.25">
      <c r="A4993" t="str">
        <f>"20190304155202128"</f>
        <v>20190304155202128</v>
      </c>
      <c r="B4993" t="str">
        <f>"1551685922121617"</f>
        <v>1551685922121617</v>
      </c>
      <c r="C4993" t="s">
        <v>40</v>
      </c>
      <c r="D4993">
        <v>4.5408460000000002</v>
      </c>
      <c r="E4993">
        <v>0.44622919999999999</v>
      </c>
      <c r="F4993" t="s">
        <v>84</v>
      </c>
      <c r="G4993">
        <v>-414.82010000000002</v>
      </c>
      <c r="H4993" s="1">
        <v>-5.0895390000000002E-6</v>
      </c>
      <c r="I4993">
        <v>127.7824</v>
      </c>
      <c r="J4993">
        <v>-403.16800000000001</v>
      </c>
      <c r="K4993">
        <v>1.1166309999999999</v>
      </c>
      <c r="L4993">
        <v>138.28229999999999</v>
      </c>
      <c r="M4993">
        <v>-0.91099110000000005</v>
      </c>
      <c r="N4993">
        <v>-1.4523070000000001E-2</v>
      </c>
      <c r="O4993">
        <v>-0.41217029999999899</v>
      </c>
      <c r="P4993">
        <v>-0.80980090000000005</v>
      </c>
      <c r="Q4993">
        <v>0.17758929999999901</v>
      </c>
      <c r="R4993">
        <v>-0.55918250000000003</v>
      </c>
      <c r="S4993">
        <v>-2.322784</v>
      </c>
      <c r="T4993">
        <v>-0.21865680000000001</v>
      </c>
      <c r="U4993">
        <v>-2.0763699999999998</v>
      </c>
      <c r="V4993">
        <v>-0.17841019999999999</v>
      </c>
      <c r="W4993">
        <v>0.18906899999999999</v>
      </c>
      <c r="X4993">
        <v>0.96562029999999999</v>
      </c>
      <c r="Y4993">
        <v>-0.29962719999999998</v>
      </c>
      <c r="Z4993">
        <v>1.108543E-2</v>
      </c>
      <c r="AA4993">
        <v>0.9539919</v>
      </c>
      <c r="AB4993">
        <v>24</v>
      </c>
      <c r="AC4993">
        <v>-11.652100000000001</v>
      </c>
      <c r="AD4993">
        <v>-1.116636089539</v>
      </c>
      <c r="AE4993">
        <v>-10.499899999999901</v>
      </c>
      <c r="AF4993">
        <v>-4.73914913017693</v>
      </c>
      <c r="AG4993">
        <v>-1.116636089539</v>
      </c>
      <c r="AH4993">
        <v>14.8689232492182</v>
      </c>
      <c r="AI4993">
        <v>94.092660240659896</v>
      </c>
      <c r="AJ4993">
        <v>107.678561069669</v>
      </c>
      <c r="AK4993">
        <v>15.6458074008872</v>
      </c>
      <c r="AL4993">
        <v>79.101542076357305</v>
      </c>
      <c r="AM4993">
        <v>100.46804748903099</v>
      </c>
      <c r="AN4993">
        <v>0.99999992499856205</v>
      </c>
    </row>
    <row r="4994" spans="1:40" x14ac:dyDescent="0.25">
      <c r="A4994" t="str">
        <f>"20190304155202149"</f>
        <v>20190304155202149</v>
      </c>
      <c r="B4994" t="str">
        <f>"1551685922142114"</f>
        <v>1551685922142114</v>
      </c>
      <c r="C4994" t="s">
        <v>40</v>
      </c>
      <c r="D4994">
        <v>4.5555079999999997</v>
      </c>
      <c r="E4994">
        <v>0.44677060000000002</v>
      </c>
      <c r="F4994" t="s">
        <v>84</v>
      </c>
      <c r="G4994">
        <v>-414.54349999999999</v>
      </c>
      <c r="H4994" s="1">
        <v>-5.2083700000000004E-6</v>
      </c>
      <c r="I4994">
        <v>127.9841</v>
      </c>
      <c r="J4994">
        <v>-403.3784</v>
      </c>
      <c r="K4994">
        <v>1.1166130000000001</v>
      </c>
      <c r="L4994">
        <v>138.17590000000001</v>
      </c>
      <c r="M4994">
        <v>-0.90724389999999999</v>
      </c>
      <c r="N4994">
        <v>-1.452082E-2</v>
      </c>
      <c r="O4994">
        <v>-0.42035450000000002</v>
      </c>
      <c r="P4994">
        <v>-0.80512209999999995</v>
      </c>
      <c r="Q4994">
        <v>0.1773634</v>
      </c>
      <c r="R4994">
        <v>-0.5659691</v>
      </c>
      <c r="S4994">
        <v>-2.310181</v>
      </c>
      <c r="T4994">
        <v>-0.2267711</v>
      </c>
      <c r="U4994">
        <v>-2.091415</v>
      </c>
      <c r="V4994">
        <v>-0.1777986</v>
      </c>
      <c r="W4994">
        <v>0.18886069999999999</v>
      </c>
      <c r="X4994">
        <v>0.96577389999999996</v>
      </c>
      <c r="Y4994">
        <v>-0.29706110000000002</v>
      </c>
      <c r="Z4994">
        <v>1.2424070000000001E-2</v>
      </c>
      <c r="AA4994">
        <v>0.9547776</v>
      </c>
      <c r="AB4994">
        <v>24</v>
      </c>
      <c r="AC4994">
        <v>-11.165099999999899</v>
      </c>
      <c r="AD4994">
        <v>-1.11661820836999</v>
      </c>
      <c r="AE4994">
        <v>-10.191800000000001</v>
      </c>
      <c r="AF4994">
        <v>-4.5289188015215398</v>
      </c>
      <c r="AG4994">
        <v>-1.11661820836999</v>
      </c>
      <c r="AH4994">
        <v>14.336935777039301</v>
      </c>
      <c r="AI4994">
        <v>94.247369491377896</v>
      </c>
      <c r="AJ4994">
        <v>107.53089345091</v>
      </c>
      <c r="AK4994">
        <v>15.076659749725399</v>
      </c>
      <c r="AL4994">
        <v>79.113696202864304</v>
      </c>
      <c r="AM4994">
        <v>100.43132885946</v>
      </c>
      <c r="AN4994">
        <v>0.99999996604382901</v>
      </c>
    </row>
    <row r="4995" spans="1:40" x14ac:dyDescent="0.25">
      <c r="A4995" t="str">
        <f>"20190304155202172"</f>
        <v>20190304155202172</v>
      </c>
      <c r="B4995" t="str">
        <f>"1551685922161634"</f>
        <v>1551685922161634</v>
      </c>
      <c r="C4995" t="s">
        <v>40</v>
      </c>
      <c r="D4995">
        <v>4.6826759999999998</v>
      </c>
      <c r="E4995">
        <v>0.44738709999999998</v>
      </c>
      <c r="F4995" t="s">
        <v>84</v>
      </c>
      <c r="G4995">
        <v>-414.40550000000002</v>
      </c>
      <c r="H4995" s="1">
        <v>-5.2514469999999996E-6</v>
      </c>
      <c r="I4995">
        <v>128.05289999999999</v>
      </c>
      <c r="J4995">
        <v>-403.58800000000002</v>
      </c>
      <c r="K4995">
        <v>1.116595</v>
      </c>
      <c r="L4995">
        <v>138.06739999999999</v>
      </c>
      <c r="M4995">
        <v>-0.90342089999999997</v>
      </c>
      <c r="N4995">
        <v>-1.451831E-2</v>
      </c>
      <c r="O4995">
        <v>-0.42850919999999998</v>
      </c>
      <c r="P4995">
        <v>-0.80055149999999997</v>
      </c>
      <c r="Q4995">
        <v>0.17722079999999901</v>
      </c>
      <c r="R4995">
        <v>-0.57246009999999903</v>
      </c>
      <c r="S4995">
        <v>-2.2958069999999999</v>
      </c>
      <c r="T4995">
        <v>-0.23247619999999999</v>
      </c>
      <c r="U4995">
        <v>-2.1075740000000001</v>
      </c>
      <c r="V4995">
        <v>-0.17688119999999999</v>
      </c>
      <c r="W4995">
        <v>0.18873989999999999</v>
      </c>
      <c r="X4995">
        <v>0.96596599999999999</v>
      </c>
      <c r="Y4995">
        <v>-0.29510449999999999</v>
      </c>
      <c r="Z4995">
        <v>1.35637E-2</v>
      </c>
      <c r="AA4995">
        <v>0.95536869999999996</v>
      </c>
      <c r="AB4995">
        <v>24</v>
      </c>
      <c r="AC4995">
        <v>-10.8174999999999</v>
      </c>
      <c r="AD4995">
        <v>-1.1166002514469999</v>
      </c>
      <c r="AE4995">
        <v>-10.0144999999999</v>
      </c>
      <c r="AF4995">
        <v>-4.3872035056238703</v>
      </c>
      <c r="AG4995">
        <v>-1.1166002514469999</v>
      </c>
      <c r="AH4995">
        <v>13.985301817884601</v>
      </c>
      <c r="AI4995">
        <v>94.356408207320797</v>
      </c>
      <c r="AJ4995">
        <v>107.416694598372</v>
      </c>
      <c r="AK4995">
        <v>14.699762503476601</v>
      </c>
      <c r="AL4995">
        <v>79.120744784198607</v>
      </c>
      <c r="AM4995">
        <v>100.376659054261</v>
      </c>
      <c r="AN4995">
        <v>1.0000000109607201</v>
      </c>
    </row>
    <row r="4996" spans="1:40" x14ac:dyDescent="0.25">
      <c r="A4996" t="str">
        <f>"20190304155202194"</f>
        <v>20190304155202194</v>
      </c>
      <c r="B4996" t="str">
        <f>"1551685922191889"</f>
        <v>1551685922191889</v>
      </c>
      <c r="C4996" t="s">
        <v>40</v>
      </c>
      <c r="D4996">
        <v>4.5466839999999999</v>
      </c>
      <c r="E4996">
        <v>0.44859660000000001</v>
      </c>
      <c r="F4996" t="s">
        <v>84</v>
      </c>
      <c r="G4996">
        <v>-414.32650000000001</v>
      </c>
      <c r="H4996" s="1">
        <v>-5.2689520000000002E-6</v>
      </c>
      <c r="I4996">
        <v>128.07820000000001</v>
      </c>
      <c r="J4996">
        <v>-403.7937</v>
      </c>
      <c r="K4996">
        <v>1.116568</v>
      </c>
      <c r="L4996">
        <v>137.9588</v>
      </c>
      <c r="M4996">
        <v>-0.89958150000000003</v>
      </c>
      <c r="N4996">
        <v>-1.4513379999999999E-2</v>
      </c>
      <c r="O4996">
        <v>-0.43651180000000001</v>
      </c>
      <c r="P4996">
        <v>-0.79598719999999901</v>
      </c>
      <c r="Q4996">
        <v>0.17658779999999999</v>
      </c>
      <c r="R4996">
        <v>-0.57898289999999997</v>
      </c>
      <c r="S4996">
        <v>-2.2819820000000002</v>
      </c>
      <c r="T4996">
        <v>-0.23728369999999999</v>
      </c>
      <c r="U4996">
        <v>-2.122757</v>
      </c>
      <c r="V4996">
        <v>-0.17611979999999999</v>
      </c>
      <c r="W4996">
        <v>0.18812400000000001</v>
      </c>
      <c r="X4996">
        <v>0.96622520000000001</v>
      </c>
      <c r="Y4996">
        <v>-0.29293799999999998</v>
      </c>
      <c r="Z4996">
        <v>1.465315E-2</v>
      </c>
      <c r="AA4996">
        <v>0.95601919999999996</v>
      </c>
      <c r="AB4996">
        <v>24</v>
      </c>
      <c r="AC4996">
        <v>-10.5328</v>
      </c>
      <c r="AD4996">
        <v>-1.116573268952</v>
      </c>
      <c r="AE4996">
        <v>-9.8805999999999798</v>
      </c>
      <c r="AF4996">
        <v>-4.26566663521126</v>
      </c>
      <c r="AG4996">
        <v>-1.116573268952</v>
      </c>
      <c r="AH4996">
        <v>13.7076230403233</v>
      </c>
      <c r="AI4996">
        <v>94.447365832120994</v>
      </c>
      <c r="AJ4996">
        <v>107.285586704712</v>
      </c>
      <c r="AK4996">
        <v>14.399360302572299</v>
      </c>
      <c r="AL4996">
        <v>79.1566765972903</v>
      </c>
      <c r="AM4996">
        <v>100.330243850741</v>
      </c>
      <c r="AN4996">
        <v>0.99999998022153902</v>
      </c>
    </row>
    <row r="4997" spans="1:40" x14ac:dyDescent="0.25">
      <c r="A4997" t="str">
        <f>"20190304155202218"</f>
        <v>20190304155202218</v>
      </c>
      <c r="B4997" t="str">
        <f>"1551685922212385"</f>
        <v>1551685922212385</v>
      </c>
      <c r="C4997" t="s">
        <v>40</v>
      </c>
      <c r="D4997">
        <v>4.5371629999999996</v>
      </c>
      <c r="E4997">
        <v>0.44924360000000002</v>
      </c>
      <c r="F4997" t="s">
        <v>84</v>
      </c>
      <c r="G4997">
        <v>-413.95909999999998</v>
      </c>
      <c r="H4997" s="1">
        <v>-5.4583650000000002E-6</v>
      </c>
      <c r="I4997">
        <v>128.40809999999999</v>
      </c>
      <c r="J4997">
        <v>-404.00970000000001</v>
      </c>
      <c r="K4997">
        <v>1.1165480000000001</v>
      </c>
      <c r="L4997">
        <v>137.84209999999999</v>
      </c>
      <c r="M4997">
        <v>-0.89544959999999996</v>
      </c>
      <c r="N4997">
        <v>-1.449991E-2</v>
      </c>
      <c r="O4997">
        <v>-0.44492730000000003</v>
      </c>
      <c r="P4997">
        <v>-0.79107669999999997</v>
      </c>
      <c r="Q4997">
        <v>0.175597799999999</v>
      </c>
      <c r="R4997">
        <v>-0.58597239999999995</v>
      </c>
      <c r="S4997">
        <v>-2.2717589999999999</v>
      </c>
      <c r="T4997">
        <v>-0.249531</v>
      </c>
      <c r="U4997">
        <v>-2.134369</v>
      </c>
      <c r="V4997">
        <v>-0.17544969999999999</v>
      </c>
      <c r="W4997">
        <v>0.1871428</v>
      </c>
      <c r="X4997">
        <v>0.96653770000000006</v>
      </c>
      <c r="Y4997">
        <v>-0.2887499</v>
      </c>
      <c r="Z4997">
        <v>1.6635629999999998E-2</v>
      </c>
      <c r="AA4997">
        <v>0.95726</v>
      </c>
      <c r="AB4997">
        <v>24</v>
      </c>
      <c r="AC4997">
        <v>-9.9493999999999598</v>
      </c>
      <c r="AD4997">
        <v>-1.1165534583650001</v>
      </c>
      <c r="AE4997">
        <v>-9.4339999999999904</v>
      </c>
      <c r="AF4997">
        <v>-3.9948411065782201</v>
      </c>
      <c r="AG4997">
        <v>-1.1165534583650001</v>
      </c>
      <c r="AH4997">
        <v>13.0216497815846</v>
      </c>
      <c r="AI4997">
        <v>94.686345684311306</v>
      </c>
      <c r="AJ4997">
        <v>107.055204945949</v>
      </c>
      <c r="AK4997">
        <v>13.666338577923399</v>
      </c>
      <c r="AL4997">
        <v>79.213912802740893</v>
      </c>
      <c r="AM4997">
        <v>100.288524486177</v>
      </c>
      <c r="AN4997">
        <v>1.0000000751716001</v>
      </c>
    </row>
    <row r="4998" spans="1:40" x14ac:dyDescent="0.25">
      <c r="A4998" t="str">
        <f>"20190304155202239"</f>
        <v>20190304155202239</v>
      </c>
      <c r="B4998" t="str">
        <f>"1551685922231909"</f>
        <v>1551685922231909</v>
      </c>
      <c r="C4998" t="s">
        <v>40</v>
      </c>
      <c r="D4998">
        <v>4.6584409999999998</v>
      </c>
      <c r="E4998">
        <v>0.44939459999999998</v>
      </c>
      <c r="F4998" t="s">
        <v>84</v>
      </c>
      <c r="G4998">
        <v>-413.80650000000003</v>
      </c>
      <c r="H4998" s="1">
        <v>-5.5162340000000003E-6</v>
      </c>
      <c r="I4998">
        <v>128.5043</v>
      </c>
      <c r="J4998">
        <v>-404.21050000000002</v>
      </c>
      <c r="K4998">
        <v>1.1165229999999999</v>
      </c>
      <c r="L4998">
        <v>137.7313</v>
      </c>
      <c r="M4998">
        <v>-0.89151919999999996</v>
      </c>
      <c r="N4998">
        <v>-1.448293E-2</v>
      </c>
      <c r="O4998">
        <v>-0.45275130000000002</v>
      </c>
      <c r="P4998">
        <v>-0.78597499999999998</v>
      </c>
      <c r="Q4998">
        <v>0.17536460000000001</v>
      </c>
      <c r="R4998">
        <v>-0.59286619999999901</v>
      </c>
      <c r="S4998">
        <v>-2.256348</v>
      </c>
      <c r="T4998">
        <v>-0.25715719999999997</v>
      </c>
      <c r="U4998">
        <v>-2.150604</v>
      </c>
      <c r="V4998">
        <v>-0.17540259999999999</v>
      </c>
      <c r="W4998">
        <v>0.18690019999999999</v>
      </c>
      <c r="X4998">
        <v>0.96659309999999998</v>
      </c>
      <c r="Y4998">
        <v>-0.28726839999999998</v>
      </c>
      <c r="Z4998">
        <v>1.8062379999999999E-2</v>
      </c>
      <c r="AA4998">
        <v>0.95767979999999997</v>
      </c>
      <c r="AB4998">
        <v>24</v>
      </c>
      <c r="AC4998">
        <v>-9.5960000000000001</v>
      </c>
      <c r="AD4998">
        <v>-1.116528516234</v>
      </c>
      <c r="AE4998">
        <v>-9.2270000000000003</v>
      </c>
      <c r="AF4998">
        <v>-3.85473772206515</v>
      </c>
      <c r="AG4998">
        <v>-1.116528516234</v>
      </c>
      <c r="AH4998">
        <v>12.644941025249</v>
      </c>
      <c r="AI4998">
        <v>94.827807418044301</v>
      </c>
      <c r="AJ4998">
        <v>106.953541859851</v>
      </c>
      <c r="AK4998">
        <v>13.266505657689301</v>
      </c>
      <c r="AL4998">
        <v>79.228061475781999</v>
      </c>
      <c r="AM4998">
        <v>100.28524452414401</v>
      </c>
      <c r="AN4998">
        <v>0.99999998890720398</v>
      </c>
    </row>
    <row r="4999" spans="1:40" x14ac:dyDescent="0.25">
      <c r="A4999" t="str">
        <f>"20190304155202261"</f>
        <v>20190304155202261</v>
      </c>
      <c r="B4999" t="str">
        <f>"1551685922252401"</f>
        <v>1551685922252401</v>
      </c>
      <c r="C4999" t="s">
        <v>40</v>
      </c>
      <c r="D4999">
        <v>4.556095</v>
      </c>
      <c r="E4999">
        <v>0.44971749999999999</v>
      </c>
      <c r="F4999" t="s">
        <v>84</v>
      </c>
      <c r="G4999">
        <v>-413.95359999999999</v>
      </c>
      <c r="H4999" s="1">
        <v>-5.3968910000000003E-6</v>
      </c>
      <c r="I4999">
        <v>128.2869</v>
      </c>
      <c r="J4999">
        <v>-404.4153</v>
      </c>
      <c r="K4999">
        <v>1.1164940000000001</v>
      </c>
      <c r="L4999">
        <v>137.61590000000001</v>
      </c>
      <c r="M4999">
        <v>-0.88741949999999903</v>
      </c>
      <c r="N4999">
        <v>-1.4465759999999999E-2</v>
      </c>
      <c r="O4999">
        <v>-0.46073589999999998</v>
      </c>
      <c r="P4999">
        <v>-0.78086929999999999</v>
      </c>
      <c r="Q4999">
        <v>0.17463319999999999</v>
      </c>
      <c r="R4999">
        <v>-0.59978849999999995</v>
      </c>
      <c r="S4999">
        <v>-2.237854</v>
      </c>
      <c r="T4999">
        <v>-0.2564514</v>
      </c>
      <c r="U4999">
        <v>-2.1692499999999999</v>
      </c>
      <c r="V4999">
        <v>-0.175174</v>
      </c>
      <c r="W4999">
        <v>0.1861651</v>
      </c>
      <c r="X4999">
        <v>0.96677639999999998</v>
      </c>
      <c r="Y4999">
        <v>-0.28675620000000002</v>
      </c>
      <c r="Z4999">
        <v>1.8625039999999999E-2</v>
      </c>
      <c r="AA4999">
        <v>0.95782259999999997</v>
      </c>
      <c r="AB4999">
        <v>24</v>
      </c>
      <c r="AC4999">
        <v>-9.5382999999999907</v>
      </c>
      <c r="AD4999">
        <v>-1.116499396891</v>
      </c>
      <c r="AE4999">
        <v>-9.3290000000000006</v>
      </c>
      <c r="AF4999">
        <v>-3.8574919637393101</v>
      </c>
      <c r="AG4999">
        <v>-1.116499396891</v>
      </c>
      <c r="AH4999">
        <v>12.675250215639799</v>
      </c>
      <c r="AI4999">
        <v>94.816876134400999</v>
      </c>
      <c r="AJ4999">
        <v>106.92671508215101</v>
      </c>
      <c r="AK4999">
        <v>13.296194312007</v>
      </c>
      <c r="AL4999">
        <v>79.270932060790201</v>
      </c>
      <c r="AM4999">
        <v>100.270219337304</v>
      </c>
      <c r="AN4999">
        <v>0.99999999116548499</v>
      </c>
    </row>
    <row r="5000" spans="1:40" x14ac:dyDescent="0.25">
      <c r="A5000" t="str">
        <f>"20190304155202285"</f>
        <v>20190304155202285</v>
      </c>
      <c r="B5000" t="str">
        <f>"1551685922281684"</f>
        <v>1551685922281684</v>
      </c>
      <c r="C5000" t="s">
        <v>40</v>
      </c>
      <c r="D5000">
        <v>4.6774389999999997</v>
      </c>
      <c r="E5000">
        <v>0.45028170000000001</v>
      </c>
      <c r="F5000" t="s">
        <v>84</v>
      </c>
      <c r="G5000">
        <v>-413.98689999999999</v>
      </c>
      <c r="H5000" s="1">
        <v>-5.3465460000000004E-6</v>
      </c>
      <c r="I5000">
        <v>128.1918</v>
      </c>
      <c r="J5000">
        <v>-404.62400000000002</v>
      </c>
      <c r="K5000">
        <v>1.116465</v>
      </c>
      <c r="L5000">
        <v>137.4958</v>
      </c>
      <c r="M5000">
        <v>-0.88314199999999998</v>
      </c>
      <c r="N5000">
        <v>-1.444956E-2</v>
      </c>
      <c r="O5000">
        <v>-0.46888350000000001</v>
      </c>
      <c r="P5000">
        <v>-0.77559639999999996</v>
      </c>
      <c r="Q5000">
        <v>0.17364769999999999</v>
      </c>
      <c r="R5000">
        <v>-0.6068751</v>
      </c>
      <c r="S5000">
        <v>-2.2204899999999999</v>
      </c>
      <c r="T5000">
        <v>-0.25901289999999999</v>
      </c>
      <c r="U5000">
        <v>-2.1862490000000001</v>
      </c>
      <c r="V5000">
        <v>-0.1749541</v>
      </c>
      <c r="W5000">
        <v>0.18517790000000001</v>
      </c>
      <c r="X5000">
        <v>0.96700580000000003</v>
      </c>
      <c r="Y5000">
        <v>-0.28543069999999998</v>
      </c>
      <c r="Z5000">
        <v>1.958961E-2</v>
      </c>
      <c r="AA5000">
        <v>0.95819909999999997</v>
      </c>
      <c r="AB5000">
        <v>24</v>
      </c>
      <c r="AC5000">
        <v>-9.3628999999999607</v>
      </c>
      <c r="AD5000">
        <v>-1.116470346546</v>
      </c>
      <c r="AE5000">
        <v>-9.3040000000000003</v>
      </c>
      <c r="AF5000">
        <v>-3.7998569318428199</v>
      </c>
      <c r="AG5000">
        <v>-1.116470346546</v>
      </c>
      <c r="AH5000">
        <v>12.5428421358497</v>
      </c>
      <c r="AI5000">
        <v>94.869218202456494</v>
      </c>
      <c r="AJ5000">
        <v>106.854196777025</v>
      </c>
      <c r="AK5000">
        <v>13.153262241057799</v>
      </c>
      <c r="AL5000">
        <v>79.328495519581296</v>
      </c>
      <c r="AM5000">
        <v>100.255219041902</v>
      </c>
      <c r="AN5000">
        <v>1.0000000044944299</v>
      </c>
    </row>
    <row r="5001" spans="1:40" x14ac:dyDescent="0.25">
      <c r="A5001" t="str">
        <f>"20190304155202307"</f>
        <v>20190304155202307</v>
      </c>
      <c r="B5001" t="str">
        <f>"1551685922302177"</f>
        <v>1551685922302177</v>
      </c>
      <c r="C5001" t="s">
        <v>40</v>
      </c>
      <c r="D5001">
        <v>4.4995919999999998</v>
      </c>
      <c r="E5001">
        <v>0.45074110000000001</v>
      </c>
      <c r="F5001" t="s">
        <v>84</v>
      </c>
      <c r="G5001">
        <v>-414.04669999999999</v>
      </c>
      <c r="H5001" s="1">
        <v>-5.2826869999999997E-6</v>
      </c>
      <c r="I5001">
        <v>128.07329999999999</v>
      </c>
      <c r="J5001">
        <v>-404.82600000000002</v>
      </c>
      <c r="K5001">
        <v>1.1164459999999901</v>
      </c>
      <c r="L5001">
        <v>137.37710000000001</v>
      </c>
      <c r="M5001">
        <v>-0.87890869999999999</v>
      </c>
      <c r="N5001">
        <v>-1.443443E-2</v>
      </c>
      <c r="O5001">
        <v>-0.47677160000000002</v>
      </c>
      <c r="P5001">
        <v>-0.77067209999999997</v>
      </c>
      <c r="Q5001">
        <v>0.17261219999999999</v>
      </c>
      <c r="R5001">
        <v>-0.61340850000000002</v>
      </c>
      <c r="S5001">
        <v>-2.20282</v>
      </c>
      <c r="T5001">
        <v>-0.26100610000000002</v>
      </c>
      <c r="U5001">
        <v>-2.2027589999999999</v>
      </c>
      <c r="V5001">
        <v>-0.17433409999999999</v>
      </c>
      <c r="W5001">
        <v>0.1841479</v>
      </c>
      <c r="X5001">
        <v>0.96731440000000002</v>
      </c>
      <c r="Y5001">
        <v>-0.28430529999999998</v>
      </c>
      <c r="Z5001">
        <v>2.0481099999999999E-2</v>
      </c>
      <c r="AA5001">
        <v>0.95851500000000001</v>
      </c>
      <c r="AB5001">
        <v>24</v>
      </c>
      <c r="AC5001">
        <v>-9.2207000000000203</v>
      </c>
      <c r="AD5001">
        <v>-1.1164512826869999</v>
      </c>
      <c r="AE5001">
        <v>-9.3038000000000203</v>
      </c>
      <c r="AF5001">
        <v>-3.7541446833381298</v>
      </c>
      <c r="AG5001">
        <v>-1.1164512826869999</v>
      </c>
      <c r="AH5001">
        <v>12.4507982825862</v>
      </c>
      <c r="AI5001">
        <v>94.906891942464895</v>
      </c>
      <c r="AJ5001">
        <v>106.779025044374</v>
      </c>
      <c r="AK5001">
        <v>13.0522964892658</v>
      </c>
      <c r="AL5001">
        <v>79.388542697065901</v>
      </c>
      <c r="AM5001">
        <v>100.216452302257</v>
      </c>
      <c r="AN5001">
        <v>0.99999998797228995</v>
      </c>
    </row>
    <row r="5002" spans="1:40" x14ac:dyDescent="0.25">
      <c r="A5002" t="str">
        <f>"20190304155202329"</f>
        <v>20190304155202329</v>
      </c>
      <c r="B5002" t="str">
        <f>"1551685922321697"</f>
        <v>1551685922321697</v>
      </c>
      <c r="C5002" t="s">
        <v>40</v>
      </c>
      <c r="D5002">
        <v>4.6556069999999998</v>
      </c>
      <c r="E5002">
        <v>0.45108229999999999</v>
      </c>
      <c r="F5002" t="s">
        <v>84</v>
      </c>
      <c r="G5002">
        <v>-414.12110000000001</v>
      </c>
      <c r="H5002" s="1">
        <v>-5.2101749999999996E-6</v>
      </c>
      <c r="I5002">
        <v>127.9395</v>
      </c>
      <c r="J5002">
        <v>-405.0274</v>
      </c>
      <c r="K5002">
        <v>1.1164240000000001</v>
      </c>
      <c r="L5002">
        <v>137.25620000000001</v>
      </c>
      <c r="M5002">
        <v>-0.87459100000000001</v>
      </c>
      <c r="N5002">
        <v>-1.441956E-2</v>
      </c>
      <c r="O5002">
        <v>-0.4846473</v>
      </c>
      <c r="P5002">
        <v>-0.76555909999999905</v>
      </c>
      <c r="Q5002">
        <v>0.17163719999999999</v>
      </c>
      <c r="R5002">
        <v>-0.62004879999999996</v>
      </c>
      <c r="S5002">
        <v>-2.1853639999999999</v>
      </c>
      <c r="T5002">
        <v>-0.262488</v>
      </c>
      <c r="U5002">
        <v>-2.2188720000000002</v>
      </c>
      <c r="V5002">
        <v>-0.17388049999999999</v>
      </c>
      <c r="W5002">
        <v>0.18317520000000001</v>
      </c>
      <c r="X5002">
        <v>0.96758069999999896</v>
      </c>
      <c r="Y5002">
        <v>-0.28302270000000002</v>
      </c>
      <c r="Z5002">
        <v>2.133264E-2</v>
      </c>
      <c r="AA5002">
        <v>0.95887599999999995</v>
      </c>
      <c r="AB5002">
        <v>24</v>
      </c>
      <c r="AC5002">
        <v>-9.0937000000000108</v>
      </c>
      <c r="AD5002">
        <v>-1.116429210175</v>
      </c>
      <c r="AE5002">
        <v>-9.3167000000000098</v>
      </c>
      <c r="AF5002">
        <v>-3.7141407140177898</v>
      </c>
      <c r="AG5002">
        <v>-1.116429210175</v>
      </c>
      <c r="AH5002">
        <v>12.3788464268706</v>
      </c>
      <c r="AI5002">
        <v>94.937179459948396</v>
      </c>
      <c r="AJ5002">
        <v>106.70131127598501</v>
      </c>
      <c r="AK5002">
        <v>12.972166136960499</v>
      </c>
      <c r="AL5002">
        <v>79.445238822677695</v>
      </c>
      <c r="AM5002">
        <v>100.187681971141</v>
      </c>
      <c r="AN5002">
        <v>0.99999999659388905</v>
      </c>
    </row>
    <row r="5003" spans="1:40" x14ac:dyDescent="0.25">
      <c r="A5003" t="str">
        <f>"20190304155202350"</f>
        <v>20190304155202350</v>
      </c>
      <c r="B5003" t="str">
        <f>"1551685922342195"</f>
        <v>1551685922342195</v>
      </c>
      <c r="C5003" t="s">
        <v>40</v>
      </c>
      <c r="D5003">
        <v>4.8091379999999999</v>
      </c>
      <c r="E5003">
        <v>0.45135839999999999</v>
      </c>
      <c r="F5003" t="s">
        <v>84</v>
      </c>
      <c r="G5003">
        <v>-414.13810000000001</v>
      </c>
      <c r="H5003" s="1">
        <v>-5.1704560000000004E-6</v>
      </c>
      <c r="I5003">
        <v>127.8635</v>
      </c>
      <c r="J5003">
        <v>-405.22539999999998</v>
      </c>
      <c r="K5003">
        <v>1.116404</v>
      </c>
      <c r="L5003">
        <v>137.13489999999999</v>
      </c>
      <c r="M5003">
        <v>-0.87025370000000002</v>
      </c>
      <c r="N5003">
        <v>-1.4405660000000001E-2</v>
      </c>
      <c r="O5003">
        <v>-0.49239319999999998</v>
      </c>
      <c r="P5003">
        <v>-0.76069569999999997</v>
      </c>
      <c r="Q5003">
        <v>0.1709444</v>
      </c>
      <c r="R5003">
        <v>-0.62619519999999995</v>
      </c>
      <c r="S5003">
        <v>-2.167999</v>
      </c>
      <c r="T5003">
        <v>-0.26566790000000001</v>
      </c>
      <c r="U5003">
        <v>-2.2351230000000002</v>
      </c>
      <c r="V5003">
        <v>-0.1729888</v>
      </c>
      <c r="W5003">
        <v>0.18249170000000001</v>
      </c>
      <c r="X5003">
        <v>0.9678696</v>
      </c>
      <c r="Y5003">
        <v>-0.28185510000000003</v>
      </c>
      <c r="Z5003">
        <v>2.2373810000000001E-2</v>
      </c>
      <c r="AA5003">
        <v>0.9591961</v>
      </c>
      <c r="AB5003">
        <v>24</v>
      </c>
      <c r="AC5003">
        <v>-8.9127000000000294</v>
      </c>
      <c r="AD5003">
        <v>-1.116409170456</v>
      </c>
      <c r="AE5003">
        <v>-9.2713999999999803</v>
      </c>
      <c r="AF5003">
        <v>-3.6527727721876699</v>
      </c>
      <c r="AG5003">
        <v>-1.116409170456</v>
      </c>
      <c r="AH5003">
        <v>12.2305963805389</v>
      </c>
      <c r="AI5003">
        <v>94.998519927933202</v>
      </c>
      <c r="AJ5003">
        <v>106.62870753778699</v>
      </c>
      <c r="AK5003">
        <v>12.8131419325927</v>
      </c>
      <c r="AL5003">
        <v>79.485071467174606</v>
      </c>
      <c r="AM5003">
        <v>100.133560244894</v>
      </c>
      <c r="AN5003">
        <v>0.99999995404924302</v>
      </c>
    </row>
    <row r="5004" spans="1:40" x14ac:dyDescent="0.25">
      <c r="A5004" t="str">
        <f>"20190304155202374"</f>
        <v>20190304155202374</v>
      </c>
      <c r="B5004" t="str">
        <f>"1551685922362349"</f>
        <v>1551685922362349</v>
      </c>
      <c r="C5004" t="s">
        <v>40</v>
      </c>
      <c r="D5004">
        <v>4.7686440000000001</v>
      </c>
      <c r="E5004">
        <v>0.45154490000000003</v>
      </c>
      <c r="F5004" t="s">
        <v>84</v>
      </c>
      <c r="G5004">
        <v>-414.21570000000003</v>
      </c>
      <c r="H5004" s="1">
        <v>-5.0952699999999998E-6</v>
      </c>
      <c r="I5004">
        <v>127.7248</v>
      </c>
      <c r="J5004">
        <v>-405.42579999999998</v>
      </c>
      <c r="K5004">
        <v>1.116393</v>
      </c>
      <c r="L5004">
        <v>137.00970000000001</v>
      </c>
      <c r="M5004">
        <v>-0.86576810000000004</v>
      </c>
      <c r="N5004">
        <v>-1.439271E-2</v>
      </c>
      <c r="O5004">
        <v>-0.50023869999999904</v>
      </c>
      <c r="P5004">
        <v>-0.75530169999999996</v>
      </c>
      <c r="Q5004">
        <v>0.16992449999999901</v>
      </c>
      <c r="R5004">
        <v>-0.63296529999999995</v>
      </c>
      <c r="S5004">
        <v>-2.1506959999999999</v>
      </c>
      <c r="T5004">
        <v>-0.26707199999999998</v>
      </c>
      <c r="U5004">
        <v>-2.251144</v>
      </c>
      <c r="V5004">
        <v>-0.1727506</v>
      </c>
      <c r="W5004">
        <v>0.18147150000000001</v>
      </c>
      <c r="X5004">
        <v>0.96810399999999996</v>
      </c>
      <c r="Y5004">
        <v>-0.28047119999999998</v>
      </c>
      <c r="Z5004">
        <v>2.323766E-2</v>
      </c>
      <c r="AA5004">
        <v>0.95958109999999996</v>
      </c>
      <c r="AB5004">
        <v>24</v>
      </c>
      <c r="AC5004">
        <v>-8.7899000000000402</v>
      </c>
      <c r="AD5004">
        <v>-1.1163980952699999</v>
      </c>
      <c r="AE5004">
        <v>-9.2849000000000004</v>
      </c>
      <c r="AF5004">
        <v>-3.6143421977946799</v>
      </c>
      <c r="AG5004">
        <v>-1.1163980952699999</v>
      </c>
      <c r="AH5004">
        <v>12.163213853842301</v>
      </c>
      <c r="AI5004">
        <v>95.028079587566197</v>
      </c>
      <c r="AJ5004">
        <v>106.549503897826</v>
      </c>
      <c r="AK5004">
        <v>12.737879944644799</v>
      </c>
      <c r="AL5004">
        <v>79.544517900764802</v>
      </c>
      <c r="AM5004">
        <v>100.11749561672499</v>
      </c>
      <c r="AN5004">
        <v>1.0000000149643</v>
      </c>
    </row>
    <row r="5005" spans="1:40" x14ac:dyDescent="0.25">
      <c r="A5005" t="str">
        <f>"20190304155202396"</f>
        <v>20190304155202396</v>
      </c>
      <c r="B5005" t="str">
        <f>"1551685922391616"</f>
        <v>1551685922391616</v>
      </c>
      <c r="C5005" t="s">
        <v>40</v>
      </c>
      <c r="D5005">
        <v>4.9347089999999998</v>
      </c>
      <c r="E5005">
        <v>0.45226939999999999</v>
      </c>
      <c r="F5005" t="s">
        <v>84</v>
      </c>
      <c r="G5005">
        <v>-414.22570000000002</v>
      </c>
      <c r="H5005" s="1">
        <v>-5.0517509999999998E-6</v>
      </c>
      <c r="I5005">
        <v>127.6405</v>
      </c>
      <c r="J5005">
        <v>-405.62</v>
      </c>
      <c r="K5005">
        <v>1.116379</v>
      </c>
      <c r="L5005">
        <v>136.88589999999999</v>
      </c>
      <c r="M5005">
        <v>-0.86132809999999904</v>
      </c>
      <c r="N5005">
        <v>-1.4381E-2</v>
      </c>
      <c r="O5005">
        <v>-0.50784589999999996</v>
      </c>
      <c r="P5005">
        <v>-0.75001269999999998</v>
      </c>
      <c r="Q5005">
        <v>0.16927519999999999</v>
      </c>
      <c r="R5005">
        <v>-0.63939609999999902</v>
      </c>
      <c r="S5005">
        <v>-2.1312259999999998</v>
      </c>
      <c r="T5005">
        <v>-0.27037749999999999</v>
      </c>
      <c r="U5005">
        <v>-2.269104</v>
      </c>
      <c r="V5005">
        <v>-0.17240449999999999</v>
      </c>
      <c r="W5005">
        <v>0.18082380000000001</v>
      </c>
      <c r="X5005">
        <v>0.96828689999999995</v>
      </c>
      <c r="Y5005">
        <v>-0.28020479999999998</v>
      </c>
      <c r="Z5005">
        <v>2.427195E-2</v>
      </c>
      <c r="AA5005">
        <v>0.95963339999999997</v>
      </c>
      <c r="AB5005">
        <v>24</v>
      </c>
      <c r="AC5005">
        <v>-8.6057000000000095</v>
      </c>
      <c r="AD5005">
        <v>-1.116384051751</v>
      </c>
      <c r="AE5005">
        <v>-9.2453999999999894</v>
      </c>
      <c r="AF5005">
        <v>-3.5654703393367102</v>
      </c>
      <c r="AG5005">
        <v>-1.116384051751</v>
      </c>
      <c r="AH5005">
        <v>12.0149571792921</v>
      </c>
      <c r="AI5005">
        <v>95.090289109363994</v>
      </c>
      <c r="AJ5005">
        <v>106.528395108607</v>
      </c>
      <c r="AK5005">
        <v>12.5824515938634</v>
      </c>
      <c r="AL5005">
        <v>79.582252922958205</v>
      </c>
      <c r="AM5005">
        <v>100.095774971792</v>
      </c>
      <c r="AN5005">
        <v>1.00000003948914</v>
      </c>
    </row>
    <row r="5006" spans="1:40" x14ac:dyDescent="0.25">
      <c r="A5006" t="str">
        <f>"20190304155202418"</f>
        <v>20190304155202418</v>
      </c>
      <c r="B5006" t="str">
        <f>"1551685922412112"</f>
        <v>1551685922412112</v>
      </c>
      <c r="C5006" t="s">
        <v>40</v>
      </c>
      <c r="D5006">
        <v>4.5938869999999996</v>
      </c>
      <c r="E5006">
        <v>0.4527023</v>
      </c>
      <c r="F5006" t="s">
        <v>84</v>
      </c>
      <c r="G5006">
        <v>-414.40309999999999</v>
      </c>
      <c r="H5006" s="1">
        <v>-4.921269E-6</v>
      </c>
      <c r="I5006">
        <v>127.4046</v>
      </c>
      <c r="J5006">
        <v>-405.81920000000002</v>
      </c>
      <c r="K5006">
        <v>1.1163639999999999</v>
      </c>
      <c r="L5006">
        <v>136.75640000000001</v>
      </c>
      <c r="M5006">
        <v>-0.85667559999999998</v>
      </c>
      <c r="N5006">
        <v>-1.436992E-2</v>
      </c>
      <c r="O5006">
        <v>-0.51565569999999905</v>
      </c>
      <c r="P5006">
        <v>-0.74446179999999995</v>
      </c>
      <c r="Q5006">
        <v>0.16869500000000001</v>
      </c>
      <c r="R5006">
        <v>-0.64600239999999998</v>
      </c>
      <c r="S5006">
        <v>-2.1145939999999999</v>
      </c>
      <c r="T5006">
        <v>-0.26877679999999998</v>
      </c>
      <c r="U5006">
        <v>-2.2826840000000002</v>
      </c>
      <c r="V5006">
        <v>-0.1720795</v>
      </c>
      <c r="W5006">
        <v>0.18024509999999999</v>
      </c>
      <c r="X5006">
        <v>0.9684526</v>
      </c>
      <c r="Y5006">
        <v>-0.27810400000000002</v>
      </c>
      <c r="Z5006">
        <v>2.4821019999999999E-2</v>
      </c>
      <c r="AA5006">
        <v>0.96023020000000003</v>
      </c>
      <c r="AB5006">
        <v>24</v>
      </c>
      <c r="AC5006">
        <v>-8.5838999999999697</v>
      </c>
      <c r="AD5006">
        <v>-1.116368921269</v>
      </c>
      <c r="AE5006">
        <v>-9.3518000000000097</v>
      </c>
      <c r="AF5006">
        <v>-3.5579734888946701</v>
      </c>
      <c r="AG5006">
        <v>-1.116368921269</v>
      </c>
      <c r="AH5006">
        <v>12.083724153694501</v>
      </c>
      <c r="AI5006">
        <v>95.064565287274405</v>
      </c>
      <c r="AJ5006">
        <v>106.406719977934</v>
      </c>
      <c r="AK5006">
        <v>12.6460208895381</v>
      </c>
      <c r="AL5006">
        <v>79.615963958081494</v>
      </c>
      <c r="AM5006">
        <v>100.07544497445799</v>
      </c>
      <c r="AN5006">
        <v>1.0000000444204999</v>
      </c>
    </row>
    <row r="5007" spans="1:40" x14ac:dyDescent="0.25">
      <c r="A5007" t="str">
        <f>"20190304155202440"</f>
        <v>20190304155202440</v>
      </c>
      <c r="B5007" t="str">
        <f>"1551685922431632"</f>
        <v>1551685922431632</v>
      </c>
      <c r="C5007" t="s">
        <v>40</v>
      </c>
      <c r="D5007">
        <v>4.5811650000000004</v>
      </c>
      <c r="E5007">
        <v>0.45319290000000001</v>
      </c>
      <c r="F5007" t="s">
        <v>84</v>
      </c>
      <c r="G5007">
        <v>-414.52980000000002</v>
      </c>
      <c r="H5007" s="1">
        <v>-4.8308499999999997E-6</v>
      </c>
      <c r="I5007">
        <v>127.20010000000001</v>
      </c>
      <c r="J5007">
        <v>-406.01069999999999</v>
      </c>
      <c r="K5007">
        <v>1.116355</v>
      </c>
      <c r="L5007">
        <v>136.62950000000001</v>
      </c>
      <c r="M5007">
        <v>-0.85210620000000004</v>
      </c>
      <c r="N5007">
        <v>-1.436022E-2</v>
      </c>
      <c r="O5007">
        <v>-0.52317190000000002</v>
      </c>
      <c r="P5007">
        <v>-0.73877630000000005</v>
      </c>
      <c r="Q5007">
        <v>0.16843129999999901</v>
      </c>
      <c r="R5007">
        <v>-0.6525647</v>
      </c>
      <c r="S5007">
        <v>-2.095612</v>
      </c>
      <c r="T5007">
        <v>-0.26857779999999998</v>
      </c>
      <c r="U5007">
        <v>-2.2990719999999998</v>
      </c>
      <c r="V5007">
        <v>-0.17208950000000001</v>
      </c>
      <c r="W5007">
        <v>0.17997729999999901</v>
      </c>
      <c r="X5007">
        <v>0.96850060000000004</v>
      </c>
      <c r="Y5007">
        <v>-0.2774083</v>
      </c>
      <c r="Z5007">
        <v>2.5446699999999999E-2</v>
      </c>
      <c r="AA5007">
        <v>0.96041509999999997</v>
      </c>
      <c r="AB5007">
        <v>24</v>
      </c>
      <c r="AC5007">
        <v>-8.5191000000000301</v>
      </c>
      <c r="AD5007">
        <v>-1.11635983085</v>
      </c>
      <c r="AE5007">
        <v>-9.4293999999999993</v>
      </c>
      <c r="AF5007">
        <v>-3.5508622504151801</v>
      </c>
      <c r="AG5007">
        <v>-1.11635983085</v>
      </c>
      <c r="AH5007">
        <v>12.1002507075778</v>
      </c>
      <c r="AI5007">
        <v>95.058990722869297</v>
      </c>
      <c r="AJ5007">
        <v>106.354516696304</v>
      </c>
      <c r="AK5007">
        <v>12.659816316977</v>
      </c>
      <c r="AL5007">
        <v>79.631562594604304</v>
      </c>
      <c r="AM5007">
        <v>100.07552934118399</v>
      </c>
      <c r="AN5007">
        <v>1.0000000183629401</v>
      </c>
    </row>
    <row r="5008" spans="1:40" x14ac:dyDescent="0.25">
      <c r="A5008" t="str">
        <f>"20190304155202461"</f>
        <v>20190304155202461</v>
      </c>
      <c r="B5008" t="str">
        <f>"1551685922452128"</f>
        <v>1551685922452128</v>
      </c>
      <c r="C5008" t="s">
        <v>40</v>
      </c>
      <c r="D5008">
        <v>4.5634350000000001</v>
      </c>
      <c r="E5008">
        <v>0.45372590000000002</v>
      </c>
      <c r="F5008" t="s">
        <v>84</v>
      </c>
      <c r="G5008">
        <v>-414.61720000000003</v>
      </c>
      <c r="H5008" s="1">
        <v>-4.7622879999999998E-6</v>
      </c>
      <c r="I5008">
        <v>127.0377</v>
      </c>
      <c r="J5008">
        <v>-406.19670000000002</v>
      </c>
      <c r="K5008">
        <v>1.116339</v>
      </c>
      <c r="L5008">
        <v>136.50399999999999</v>
      </c>
      <c r="M5008">
        <v>-0.84757680000000002</v>
      </c>
      <c r="N5008">
        <v>-1.435175E-2</v>
      </c>
      <c r="O5008">
        <v>-0.53047880000000003</v>
      </c>
      <c r="P5008">
        <v>-0.73333760000000003</v>
      </c>
      <c r="Q5008">
        <v>0.16812579999999999</v>
      </c>
      <c r="R5008">
        <v>-0.65874860000000002</v>
      </c>
      <c r="S5008">
        <v>-2.0772710000000001</v>
      </c>
      <c r="T5008">
        <v>-0.26944489999999999</v>
      </c>
      <c r="U5008">
        <v>-2.3150940000000002</v>
      </c>
      <c r="V5008">
        <v>-0.1718536</v>
      </c>
      <c r="W5008">
        <v>0.17967239999999901</v>
      </c>
      <c r="X5008">
        <v>0.96859910000000005</v>
      </c>
      <c r="Y5008">
        <v>-0.2766866</v>
      </c>
      <c r="Z5008">
        <v>2.6192090000000001E-2</v>
      </c>
      <c r="AA5008">
        <v>0.96060319999999999</v>
      </c>
      <c r="AB5008">
        <v>24</v>
      </c>
      <c r="AC5008">
        <v>-8.4205000000000005</v>
      </c>
      <c r="AD5008">
        <v>-1.1163437622879999</v>
      </c>
      <c r="AE5008">
        <v>-9.4662999999999897</v>
      </c>
      <c r="AF5008">
        <v>-3.5294831044995201</v>
      </c>
      <c r="AG5008">
        <v>-1.1163437622879999</v>
      </c>
      <c r="AH5008">
        <v>12.0662623517272</v>
      </c>
      <c r="AI5008">
        <v>95.074381266235605</v>
      </c>
      <c r="AJ5008">
        <v>106.304641399571</v>
      </c>
      <c r="AK5008">
        <v>12.621337548820099</v>
      </c>
      <c r="AL5008">
        <v>79.649321630233999</v>
      </c>
      <c r="AM5008">
        <v>100.060997902125</v>
      </c>
      <c r="AN5008">
        <v>1.00000002383776</v>
      </c>
    </row>
    <row r="5009" spans="1:40" x14ac:dyDescent="0.25">
      <c r="A5009" t="str">
        <f>"20190304155202486"</f>
        <v>20190304155202486</v>
      </c>
      <c r="B5009" t="str">
        <f>"1551685922482384"</f>
        <v>1551685922482384</v>
      </c>
      <c r="C5009" t="s">
        <v>40</v>
      </c>
      <c r="D5009">
        <v>4.5358720000000003</v>
      </c>
      <c r="E5009">
        <v>0.45454309999999998</v>
      </c>
      <c r="F5009" t="s">
        <v>84</v>
      </c>
      <c r="G5009">
        <v>-414.7593</v>
      </c>
      <c r="H5009" s="1">
        <v>-4.6669119999999996E-6</v>
      </c>
      <c r="I5009">
        <v>126.8199</v>
      </c>
      <c r="J5009">
        <v>-406.39670000000001</v>
      </c>
      <c r="K5009">
        <v>1.1163289999999999</v>
      </c>
      <c r="L5009">
        <v>136.3663</v>
      </c>
      <c r="M5009">
        <v>-0.84259740000000005</v>
      </c>
      <c r="N5009">
        <v>-1.4343470000000001E-2</v>
      </c>
      <c r="O5009">
        <v>-0.53835310000000003</v>
      </c>
      <c r="P5009">
        <v>-0.72758500000000004</v>
      </c>
      <c r="Q5009">
        <v>0.168270899999999</v>
      </c>
      <c r="R5009">
        <v>-0.66506069999999995</v>
      </c>
      <c r="S5009">
        <v>-2.0598450000000001</v>
      </c>
      <c r="T5009">
        <v>-0.26854800000000001</v>
      </c>
      <c r="U5009">
        <v>-2.3296049999999999</v>
      </c>
      <c r="V5009">
        <v>-0.1712118</v>
      </c>
      <c r="W5009">
        <v>0.17982339999999999</v>
      </c>
      <c r="X5009">
        <v>0.96868469999999995</v>
      </c>
      <c r="Y5009">
        <v>-0.27475339999999998</v>
      </c>
      <c r="Z5009">
        <v>2.6811000000000001E-2</v>
      </c>
      <c r="AA5009">
        <v>0.96114089999999996</v>
      </c>
      <c r="AB5009">
        <v>24</v>
      </c>
      <c r="AC5009">
        <v>-8.3625999999999792</v>
      </c>
      <c r="AD5009">
        <v>-1.1163336669120001</v>
      </c>
      <c r="AE5009">
        <v>-9.5463999999999896</v>
      </c>
      <c r="AF5009">
        <v>-3.5149088296705502</v>
      </c>
      <c r="AG5009">
        <v>-1.1163336669120001</v>
      </c>
      <c r="AH5009">
        <v>12.0933236361016</v>
      </c>
      <c r="AI5009">
        <v>95.065557605511799</v>
      </c>
      <c r="AJ5009">
        <v>106.206437671269</v>
      </c>
      <c r="AK5009">
        <v>12.643150774402301</v>
      </c>
      <c r="AL5009">
        <v>79.640526387263407</v>
      </c>
      <c r="AM5009">
        <v>100.023319948204</v>
      </c>
      <c r="AN5009">
        <v>0.99999999183044497</v>
      </c>
    </row>
    <row r="5010" spans="1:40" x14ac:dyDescent="0.25">
      <c r="A5010" t="str">
        <f>"20190304155202508"</f>
        <v>20190304155202508</v>
      </c>
      <c r="B5010" t="str">
        <f>"1551685922501903"</f>
        <v>1551685922501903</v>
      </c>
      <c r="C5010" t="s">
        <v>40</v>
      </c>
      <c r="D5010">
        <v>4.5497719999999999</v>
      </c>
      <c r="E5010">
        <v>0.45514890000000002</v>
      </c>
      <c r="F5010" t="s">
        <v>84</v>
      </c>
      <c r="G5010">
        <v>-414.98020000000002</v>
      </c>
      <c r="H5010" s="1">
        <v>-4.5333890000000004E-6</v>
      </c>
      <c r="I5010">
        <v>126.5239</v>
      </c>
      <c r="J5010">
        <v>-406.5899</v>
      </c>
      <c r="K5010">
        <v>1.1163289999999999</v>
      </c>
      <c r="L5010">
        <v>136.23070000000001</v>
      </c>
      <c r="M5010">
        <v>-0.83768189999999998</v>
      </c>
      <c r="N5010">
        <v>-1.4336130000000001E-2</v>
      </c>
      <c r="O5010">
        <v>-0.54597050000000003</v>
      </c>
      <c r="P5010">
        <v>-0.72227640000000004</v>
      </c>
      <c r="Q5010">
        <v>0.16807449999999999</v>
      </c>
      <c r="R5010">
        <v>-0.67087129999999995</v>
      </c>
      <c r="S5010">
        <v>-2.0431520000000001</v>
      </c>
      <c r="T5010">
        <v>-0.26572489999999999</v>
      </c>
      <c r="U5010">
        <v>-2.3428339999999999</v>
      </c>
      <c r="V5010">
        <v>-0.1701597</v>
      </c>
      <c r="W5010">
        <v>0.17964140000000001</v>
      </c>
      <c r="X5010">
        <v>0.96890379999999998</v>
      </c>
      <c r="Y5010">
        <v>-0.27262609999999998</v>
      </c>
      <c r="Z5010">
        <v>2.7151850000000002E-2</v>
      </c>
      <c r="AA5010">
        <v>0.96173690000000001</v>
      </c>
      <c r="AB5010">
        <v>24</v>
      </c>
      <c r="AC5010">
        <v>-8.3903000000000194</v>
      </c>
      <c r="AD5010">
        <v>-1.1163335333890001</v>
      </c>
      <c r="AE5010">
        <v>-9.7068000000000101</v>
      </c>
      <c r="AF5010">
        <v>-3.52404106955778</v>
      </c>
      <c r="AG5010">
        <v>-1.1163335333890001</v>
      </c>
      <c r="AH5010">
        <v>12.2366601959174</v>
      </c>
      <c r="AI5010">
        <v>95.010060163067394</v>
      </c>
      <c r="AJ5010">
        <v>106.065894374019</v>
      </c>
      <c r="AK5010">
        <v>12.7828368826348</v>
      </c>
      <c r="AL5010">
        <v>79.651126559895701</v>
      </c>
      <c r="AM5010">
        <v>99.960756413301993</v>
      </c>
      <c r="AN5010">
        <v>0.99999996487624399</v>
      </c>
    </row>
    <row r="5011" spans="1:40" x14ac:dyDescent="0.25">
      <c r="A5011" t="str">
        <f>"20190304155202530"</f>
        <v>20190304155202530</v>
      </c>
      <c r="B5011" t="str">
        <f>"1551685922522400"</f>
        <v>1551685922522400</v>
      </c>
      <c r="C5011" t="s">
        <v>40</v>
      </c>
      <c r="D5011">
        <v>4.5229799999999996</v>
      </c>
      <c r="E5011">
        <v>0.47218450000000001</v>
      </c>
      <c r="F5011" t="s">
        <v>84</v>
      </c>
      <c r="G5011">
        <v>-415.14600000000002</v>
      </c>
      <c r="H5011" s="1">
        <v>-4.4274509999999997E-6</v>
      </c>
      <c r="I5011">
        <v>126.2852</v>
      </c>
      <c r="J5011">
        <v>-406.77409999999998</v>
      </c>
      <c r="K5011">
        <v>1.116317</v>
      </c>
      <c r="L5011">
        <v>136.09880000000001</v>
      </c>
      <c r="M5011">
        <v>-0.83289579999999996</v>
      </c>
      <c r="N5011">
        <v>-1.4329649999999999E-2</v>
      </c>
      <c r="O5011">
        <v>-0.55324430000000002</v>
      </c>
      <c r="P5011">
        <v>-0.71679820000000005</v>
      </c>
      <c r="Q5011">
        <v>0.1677099</v>
      </c>
      <c r="R5011">
        <v>-0.67681139999999995</v>
      </c>
      <c r="S5011">
        <v>-2.0268250000000001</v>
      </c>
      <c r="T5011">
        <v>-0.26444659999999998</v>
      </c>
      <c r="U5011">
        <v>-2.355972</v>
      </c>
      <c r="V5011">
        <v>-0.16966410000000001</v>
      </c>
      <c r="W5011">
        <v>0.179283</v>
      </c>
      <c r="X5011">
        <v>0.9690571</v>
      </c>
      <c r="Y5011">
        <v>-0.2707446</v>
      </c>
      <c r="Z5011">
        <v>2.7650850000000001E-2</v>
      </c>
      <c r="AA5011">
        <v>0.96225400000000005</v>
      </c>
      <c r="AB5011">
        <v>24</v>
      </c>
      <c r="AC5011">
        <v>-8.3718999999999806</v>
      </c>
      <c r="AD5011">
        <v>-1.116321427451</v>
      </c>
      <c r="AE5011">
        <v>-9.8135999999999992</v>
      </c>
      <c r="AF5011">
        <v>-3.5160316017044999</v>
      </c>
      <c r="AG5011">
        <v>-1.116321427451</v>
      </c>
      <c r="AH5011">
        <v>12.311309878751199</v>
      </c>
      <c r="AI5011">
        <v>94.982929090495304</v>
      </c>
      <c r="AJ5011">
        <v>105.939004044954</v>
      </c>
      <c r="AK5011">
        <v>12.8521205520415</v>
      </c>
      <c r="AL5011">
        <v>79.672000433990306</v>
      </c>
      <c r="AM5011">
        <v>99.930783712913396</v>
      </c>
      <c r="AN5011">
        <v>0.999999981989109</v>
      </c>
    </row>
    <row r="5012" spans="1:40" x14ac:dyDescent="0.25">
      <c r="A5012" t="str">
        <f>"20190304155202552"</f>
        <v>20190304155202552</v>
      </c>
      <c r="B5012" t="str">
        <f>"1551685922541920"</f>
        <v>1551685922541920</v>
      </c>
      <c r="C5012" t="s">
        <v>40</v>
      </c>
      <c r="D5012">
        <v>4.495012</v>
      </c>
      <c r="E5012">
        <v>0.47223910000000002</v>
      </c>
      <c r="F5012" t="s">
        <v>84</v>
      </c>
      <c r="G5012">
        <v>-416.69029999999998</v>
      </c>
      <c r="H5012" s="1">
        <v>-3.8916719999999996E-6</v>
      </c>
      <c r="I5012">
        <v>125.3612</v>
      </c>
      <c r="J5012">
        <v>-406.96</v>
      </c>
      <c r="K5012">
        <v>1.116304</v>
      </c>
      <c r="L5012">
        <v>135.9631</v>
      </c>
      <c r="M5012">
        <v>-0.82796289999999995</v>
      </c>
      <c r="N5012">
        <v>-1.432338E-2</v>
      </c>
      <c r="O5012">
        <v>-0.56060030000000005</v>
      </c>
      <c r="P5012">
        <v>-0.7114163</v>
      </c>
      <c r="Q5012">
        <v>0.16651820000000001</v>
      </c>
      <c r="R5012">
        <v>-0.68275819999999998</v>
      </c>
      <c r="S5012">
        <v>-2.0967410000000002</v>
      </c>
      <c r="T5012">
        <v>-0.2360401</v>
      </c>
      <c r="U5012">
        <v>-2.2704010000000001</v>
      </c>
      <c r="V5012">
        <v>-0.16897209999999999</v>
      </c>
      <c r="W5012">
        <v>0.17810399999999901</v>
      </c>
      <c r="X5012">
        <v>0.96939529999999996</v>
      </c>
      <c r="Y5012">
        <v>-0.22812730000000001</v>
      </c>
      <c r="Z5012">
        <v>2.6050150000000001E-2</v>
      </c>
      <c r="AA5012">
        <v>0.9732828</v>
      </c>
      <c r="AB5012">
        <v>24</v>
      </c>
      <c r="AC5012">
        <v>-9.7302999999999997</v>
      </c>
      <c r="AD5012">
        <v>-1.116307891672</v>
      </c>
      <c r="AE5012">
        <v>-10.601900000000001</v>
      </c>
      <c r="AF5012">
        <v>-3.3036306950967602</v>
      </c>
      <c r="AG5012">
        <v>-1.116307891672</v>
      </c>
      <c r="AH5012">
        <v>13.917437873912901</v>
      </c>
      <c r="AI5012">
        <v>94.462362557953796</v>
      </c>
      <c r="AJ5012">
        <v>103.353356381002</v>
      </c>
      <c r="AK5012">
        <v>14.347654723083499</v>
      </c>
      <c r="AL5012">
        <v>79.740656633889898</v>
      </c>
      <c r="AM5012">
        <v>99.887698428072795</v>
      </c>
      <c r="AN5012">
        <v>0.99999992652824699</v>
      </c>
    </row>
    <row r="5013" spans="1:40" x14ac:dyDescent="0.25">
      <c r="A5013" t="str">
        <f>"20190304155202575"</f>
        <v>20190304155202575</v>
      </c>
      <c r="B5013" t="str">
        <f>"1551685922572176"</f>
        <v>1551685922572176</v>
      </c>
      <c r="C5013" t="s">
        <v>40</v>
      </c>
      <c r="D5013">
        <v>4.5311579999999996</v>
      </c>
      <c r="E5013">
        <v>0.47224549999999998</v>
      </c>
      <c r="F5013" t="s">
        <v>84</v>
      </c>
      <c r="G5013">
        <v>-416.53089999999997</v>
      </c>
      <c r="H5013" s="1">
        <v>-3.9382699999999996E-6</v>
      </c>
      <c r="I5013">
        <v>125.4315</v>
      </c>
      <c r="J5013">
        <v>-407.1474</v>
      </c>
      <c r="K5013">
        <v>1.1162890000000001</v>
      </c>
      <c r="L5013">
        <v>135.82380000000001</v>
      </c>
      <c r="M5013">
        <v>-0.82288919999999999</v>
      </c>
      <c r="N5013">
        <v>-1.431726E-2</v>
      </c>
      <c r="O5013">
        <v>-0.56802140000000001</v>
      </c>
      <c r="P5013">
        <v>-0.7057078</v>
      </c>
      <c r="Q5013">
        <v>0.16586239999999999</v>
      </c>
      <c r="R5013">
        <v>-0.68881510000000001</v>
      </c>
      <c r="S5013">
        <v>-2.0785830000000001</v>
      </c>
      <c r="T5013">
        <v>-0.24243870000000001</v>
      </c>
      <c r="U5013">
        <v>-2.2872469999999998</v>
      </c>
      <c r="V5013">
        <v>-0.16844110000000001</v>
      </c>
      <c r="W5013">
        <v>0.1774579</v>
      </c>
      <c r="X5013">
        <v>0.96960630000000003</v>
      </c>
      <c r="Y5013">
        <v>-0.22721189999999999</v>
      </c>
      <c r="Z5013">
        <v>2.757507E-2</v>
      </c>
      <c r="AA5013">
        <v>0.97345479999999995</v>
      </c>
      <c r="AB5013">
        <v>24</v>
      </c>
      <c r="AC5013">
        <v>-9.3834999999999695</v>
      </c>
      <c r="AD5013">
        <v>-1.11629293826999</v>
      </c>
      <c r="AE5013">
        <v>-10.392300000000001</v>
      </c>
      <c r="AF5013">
        <v>-3.2016629499991498</v>
      </c>
      <c r="AG5013">
        <v>-1.11629293826999</v>
      </c>
      <c r="AH5013">
        <v>13.5399655612168</v>
      </c>
      <c r="AI5013">
        <v>94.5871169412125</v>
      </c>
      <c r="AJ5013">
        <v>103.3038101035</v>
      </c>
      <c r="AK5013">
        <v>13.9580594270252</v>
      </c>
      <c r="AL5013">
        <v>79.778275903806602</v>
      </c>
      <c r="AM5013">
        <v>99.855133458571402</v>
      </c>
      <c r="AN5013">
        <v>1.00000004372065</v>
      </c>
    </row>
    <row r="5014" spans="1:40" x14ac:dyDescent="0.25">
      <c r="A5014" t="str">
        <f>"20190304155202597"</f>
        <v>20190304155202597</v>
      </c>
      <c r="B5014" t="str">
        <f>"1551685922591696"</f>
        <v>1551685922591696</v>
      </c>
      <c r="C5014" t="s">
        <v>40</v>
      </c>
      <c r="D5014">
        <v>4.455552</v>
      </c>
      <c r="E5014">
        <v>0.44790609999999997</v>
      </c>
      <c r="F5014" t="s">
        <v>84</v>
      </c>
      <c r="G5014">
        <v>-416.86489999999998</v>
      </c>
      <c r="H5014" s="1">
        <v>-3.72089E-6</v>
      </c>
      <c r="I5014">
        <v>124.9393</v>
      </c>
      <c r="J5014">
        <v>-407.33170000000001</v>
      </c>
      <c r="K5014">
        <v>1.1162669999999999</v>
      </c>
      <c r="L5014">
        <v>135.6842</v>
      </c>
      <c r="M5014">
        <v>-0.81779780000000002</v>
      </c>
      <c r="N5014">
        <v>-1.4311519999999999E-2</v>
      </c>
      <c r="O5014">
        <v>-0.575327699999999</v>
      </c>
      <c r="P5014">
        <v>-0.69979499999999994</v>
      </c>
      <c r="Q5014">
        <v>0.16482040000000001</v>
      </c>
      <c r="R5014">
        <v>-0.69506939999999995</v>
      </c>
      <c r="S5014">
        <v>-2.0573429999999999</v>
      </c>
      <c r="T5014">
        <v>-0.23633599999999999</v>
      </c>
      <c r="U5014">
        <v>-2.3044129999999998</v>
      </c>
      <c r="V5014">
        <v>-0.1682737</v>
      </c>
      <c r="W5014">
        <v>0.17642070000000001</v>
      </c>
      <c r="X5014">
        <v>0.96982460000000004</v>
      </c>
      <c r="Y5014">
        <v>-0.22711890000000001</v>
      </c>
      <c r="Z5014">
        <v>2.717611E-2</v>
      </c>
      <c r="AA5014">
        <v>0.97348780000000001</v>
      </c>
      <c r="AB5014">
        <v>23</v>
      </c>
      <c r="AC5014">
        <v>-9.5331999999999599</v>
      </c>
      <c r="AD5014">
        <v>-1.11627072088999</v>
      </c>
      <c r="AE5014">
        <v>-10.744899999999999</v>
      </c>
      <c r="AF5014">
        <v>-3.2829539348744401</v>
      </c>
      <c r="AG5014">
        <v>-1.11627072088999</v>
      </c>
      <c r="AH5014">
        <v>13.8955843926428</v>
      </c>
      <c r="AI5014">
        <v>94.470316583576306</v>
      </c>
      <c r="AJ5014">
        <v>103.29288071853099</v>
      </c>
      <c r="AK5014">
        <v>14.3217007535377</v>
      </c>
      <c r="AL5014">
        <v>79.838655614319194</v>
      </c>
      <c r="AM5014">
        <v>99.843358198365195</v>
      </c>
      <c r="AN5014">
        <v>1.00000002813266</v>
      </c>
    </row>
    <row r="5015" spans="1:40" x14ac:dyDescent="0.25">
      <c r="A5015" t="str">
        <f>"20190304155202620"</f>
        <v>20190304155202620</v>
      </c>
      <c r="B5015" t="str">
        <f>"1551685922612192"</f>
        <v>1551685922612192</v>
      </c>
      <c r="C5015" t="s">
        <v>40</v>
      </c>
      <c r="D5015">
        <v>4.398282</v>
      </c>
      <c r="E5015">
        <v>0.43917509999999998</v>
      </c>
      <c r="F5015" t="s">
        <v>41</v>
      </c>
      <c r="G5015">
        <v>-420.7559</v>
      </c>
      <c r="H5015" s="1">
        <v>-3.9232629999999998E-6</v>
      </c>
      <c r="I5015">
        <v>118.2655</v>
      </c>
      <c r="J5015">
        <v>-407.51530000000002</v>
      </c>
      <c r="K5015">
        <v>1.11625</v>
      </c>
      <c r="L5015">
        <v>135.54259999999999</v>
      </c>
      <c r="M5015">
        <v>-0.81262670000000004</v>
      </c>
      <c r="N5015">
        <v>-1.4305989999999999E-2</v>
      </c>
      <c r="O5015">
        <v>-0.58260919999999905</v>
      </c>
      <c r="P5015">
        <v>-0.6934361</v>
      </c>
      <c r="Q5015">
        <v>0.16411589999999901</v>
      </c>
      <c r="R5015">
        <v>-0.70157860000000005</v>
      </c>
      <c r="S5015">
        <v>-1.8891910000000001</v>
      </c>
      <c r="T5015">
        <v>-0.1570935</v>
      </c>
      <c r="U5015">
        <v>-2.4513400000000001</v>
      </c>
      <c r="V5015">
        <v>-0.1685622</v>
      </c>
      <c r="W5015">
        <v>0.1757138</v>
      </c>
      <c r="X5015">
        <v>0.96990279999999995</v>
      </c>
      <c r="Y5015">
        <v>-0.28794710000000001</v>
      </c>
      <c r="Z5015">
        <v>1.344514E-2</v>
      </c>
      <c r="AA5015">
        <v>0.95755199999999996</v>
      </c>
      <c r="AB5015">
        <v>23</v>
      </c>
      <c r="AC5015">
        <v>-13.240599999999899</v>
      </c>
      <c r="AD5015">
        <v>-1.116253923263</v>
      </c>
      <c r="AE5015">
        <v>-17.277099999999901</v>
      </c>
      <c r="AF5015">
        <v>-6.3097904763847001</v>
      </c>
      <c r="AG5015">
        <v>-1.116253923263</v>
      </c>
      <c r="AH5015">
        <v>20.772962408673301</v>
      </c>
      <c r="AI5015">
        <v>92.943344436961297</v>
      </c>
      <c r="AJ5015">
        <v>106.896166669095</v>
      </c>
      <c r="AK5015">
        <v>21.738800470799401</v>
      </c>
      <c r="AL5015">
        <v>79.879800457390104</v>
      </c>
      <c r="AM5015">
        <v>99.859124018288796</v>
      </c>
      <c r="AN5015">
        <v>0.999999998113559</v>
      </c>
    </row>
    <row r="5016" spans="1:40" x14ac:dyDescent="0.25">
      <c r="A5016" t="str">
        <f>"20190304155202642"</f>
        <v>20190304155202642</v>
      </c>
      <c r="B5016" t="str">
        <f>"1551685922631712"</f>
        <v>1551685922631712</v>
      </c>
      <c r="C5016" t="s">
        <v>40</v>
      </c>
      <c r="D5016">
        <v>4.4111529999999997</v>
      </c>
      <c r="E5016">
        <v>0.43604799999999999</v>
      </c>
      <c r="F5016" t="s">
        <v>41</v>
      </c>
      <c r="G5016">
        <v>-419.9896</v>
      </c>
      <c r="H5016" s="1">
        <v>-3.7135690000000001E-6</v>
      </c>
      <c r="I5016">
        <v>118.252</v>
      </c>
      <c r="J5016">
        <v>-407.69560000000001</v>
      </c>
      <c r="K5016">
        <v>1.116242</v>
      </c>
      <c r="L5016">
        <v>135.40100000000001</v>
      </c>
      <c r="M5016">
        <v>-0.80744749999999998</v>
      </c>
      <c r="N5016">
        <v>-1.430389E-2</v>
      </c>
      <c r="O5016">
        <v>-0.58976619999999902</v>
      </c>
      <c r="P5016">
        <v>-0.68711429999999996</v>
      </c>
      <c r="Q5016">
        <v>0.1634911</v>
      </c>
      <c r="R5016">
        <v>-0.70791579999999998</v>
      </c>
      <c r="S5016">
        <v>-1.816864</v>
      </c>
      <c r="T5016">
        <v>-0.1625808</v>
      </c>
      <c r="U5016">
        <v>-2.5183559999999998</v>
      </c>
      <c r="V5016">
        <v>-0.16879630000000001</v>
      </c>
      <c r="W5016">
        <v>0.17509079999999999</v>
      </c>
      <c r="X5016">
        <v>0.96997480000000003</v>
      </c>
      <c r="Y5016">
        <v>-0.30967260000000002</v>
      </c>
      <c r="Z5016">
        <v>1.3880119999999999E-2</v>
      </c>
      <c r="AA5016">
        <v>0.95074190000000003</v>
      </c>
      <c r="AB5016">
        <v>23</v>
      </c>
      <c r="AC5016">
        <v>-12.293999999999899</v>
      </c>
      <c r="AD5016">
        <v>-1.116245713569</v>
      </c>
      <c r="AE5016">
        <v>-17.149000000000001</v>
      </c>
      <c r="AF5016">
        <v>-6.5785950540091802</v>
      </c>
      <c r="AG5016">
        <v>-1.116245713569</v>
      </c>
      <c r="AH5016">
        <v>19.9867740589745</v>
      </c>
      <c r="AI5016">
        <v>93.036663782275497</v>
      </c>
      <c r="AJ5016">
        <v>108.218826636175</v>
      </c>
      <c r="AK5016">
        <v>21.071190157705701</v>
      </c>
      <c r="AL5016">
        <v>79.916058319319006</v>
      </c>
      <c r="AM5016">
        <v>99.871828774238097</v>
      </c>
      <c r="AN5016">
        <v>1.00000004588668</v>
      </c>
    </row>
    <row r="5017" spans="1:40" x14ac:dyDescent="0.25">
      <c r="A5017" t="str">
        <f>"20190304155202663"</f>
        <v>20190304155202663</v>
      </c>
      <c r="B5017" t="str">
        <f>"1551685922652208"</f>
        <v>1551685922652208</v>
      </c>
      <c r="C5017" t="s">
        <v>40</v>
      </c>
      <c r="D5017">
        <v>4.3914470000000003</v>
      </c>
      <c r="E5017">
        <v>0.43533159999999999</v>
      </c>
      <c r="F5017" t="s">
        <v>41</v>
      </c>
      <c r="G5017">
        <v>-419.51620000000003</v>
      </c>
      <c r="H5017" s="1">
        <v>-3.8551489999999996E-6</v>
      </c>
      <c r="I5017">
        <v>118.4192</v>
      </c>
      <c r="J5017">
        <v>-407.86950000000002</v>
      </c>
      <c r="K5017">
        <v>1.116231</v>
      </c>
      <c r="L5017">
        <v>135.2619</v>
      </c>
      <c r="M5017">
        <v>-0.80235699999999999</v>
      </c>
      <c r="N5017">
        <v>-1.430735E-2</v>
      </c>
      <c r="O5017">
        <v>-0.59667289999999995</v>
      </c>
      <c r="P5017">
        <v>-0.68125459999999904</v>
      </c>
      <c r="Q5017">
        <v>0.16347700000000001</v>
      </c>
      <c r="R5017">
        <v>-0.71355990000000002</v>
      </c>
      <c r="S5017">
        <v>-1.7765200000000001</v>
      </c>
      <c r="T5017">
        <v>-0.16776050000000001</v>
      </c>
      <c r="U5017">
        <v>-2.5522</v>
      </c>
      <c r="V5017">
        <v>-0.16846459999999999</v>
      </c>
      <c r="W5017">
        <v>0.17509229999999901</v>
      </c>
      <c r="X5017">
        <v>0.97003220000000001</v>
      </c>
      <c r="Y5017">
        <v>-0.31755739999999999</v>
      </c>
      <c r="Z5017">
        <v>1.470697E-2</v>
      </c>
      <c r="AA5017">
        <v>0.948125</v>
      </c>
      <c r="AB5017">
        <v>23</v>
      </c>
      <c r="AC5017">
        <v>-11.646699999999999</v>
      </c>
      <c r="AD5017">
        <v>-1.116234855149</v>
      </c>
      <c r="AE5017">
        <v>-16.842699999999901</v>
      </c>
      <c r="AF5017">
        <v>-6.5458096334260896</v>
      </c>
      <c r="AG5017">
        <v>-1.116234855149</v>
      </c>
      <c r="AH5017">
        <v>19.338915250124799</v>
      </c>
      <c r="AI5017">
        <v>93.129397283948805</v>
      </c>
      <c r="AJ5017">
        <v>108.699861670635</v>
      </c>
      <c r="AK5017">
        <v>20.447181885541401</v>
      </c>
      <c r="AL5017">
        <v>79.9159710895172</v>
      </c>
      <c r="AM5017">
        <v>99.852238687137799</v>
      </c>
      <c r="AN5017">
        <v>1.0000000520046399</v>
      </c>
    </row>
    <row r="5018" spans="1:40" x14ac:dyDescent="0.25">
      <c r="A5018" t="str">
        <f>"20190304155202687"</f>
        <v>20190304155202687</v>
      </c>
      <c r="B5018" t="str">
        <f>"1551685922682465"</f>
        <v>1551685922682465</v>
      </c>
      <c r="C5018" t="s">
        <v>40</v>
      </c>
      <c r="D5018">
        <v>4.3507870000000004</v>
      </c>
      <c r="E5018">
        <v>0.43509949999999997</v>
      </c>
      <c r="F5018" t="s">
        <v>41</v>
      </c>
      <c r="G5018">
        <v>-418.96890000000002</v>
      </c>
      <c r="H5018" s="1">
        <v>-4.1879530000000002E-6</v>
      </c>
      <c r="I5018">
        <v>118.9687</v>
      </c>
      <c r="J5018">
        <v>-408.05509999999998</v>
      </c>
      <c r="K5018">
        <v>1.116217</v>
      </c>
      <c r="L5018">
        <v>135.11080000000001</v>
      </c>
      <c r="M5018">
        <v>-0.79682209999999998</v>
      </c>
      <c r="N5018">
        <v>-1.431339E-2</v>
      </c>
      <c r="O5018">
        <v>-0.60404480000000005</v>
      </c>
      <c r="P5018">
        <v>-0.67520179999999996</v>
      </c>
      <c r="Q5018">
        <v>0.16384870000000001</v>
      </c>
      <c r="R5018">
        <v>-0.71920550000000005</v>
      </c>
      <c r="S5018">
        <v>-1.752075</v>
      </c>
      <c r="T5018">
        <v>-0.17620060000000001</v>
      </c>
      <c r="U5018">
        <v>-2.57193</v>
      </c>
      <c r="V5018">
        <v>-0.1676454</v>
      </c>
      <c r="W5018">
        <v>0.1754889</v>
      </c>
      <c r="X5018">
        <v>0.97010240000000003</v>
      </c>
      <c r="Y5018">
        <v>-0.31837149999999997</v>
      </c>
      <c r="Z5018">
        <v>1.629423E-2</v>
      </c>
      <c r="AA5018">
        <v>0.94782599999999995</v>
      </c>
      <c r="AB5018">
        <v>23</v>
      </c>
      <c r="AC5018">
        <v>-10.9138</v>
      </c>
      <c r="AD5018">
        <v>-1.116221187953</v>
      </c>
      <c r="AE5018">
        <v>-16.142099999999999</v>
      </c>
      <c r="AF5018">
        <v>-6.2500885927393801</v>
      </c>
      <c r="AG5018">
        <v>-1.116221187953</v>
      </c>
      <c r="AH5018">
        <v>18.388450957008398</v>
      </c>
      <c r="AI5018">
        <v>93.289351471840803</v>
      </c>
      <c r="AJ5018">
        <v>108.772489706786</v>
      </c>
      <c r="AK5018">
        <v>19.453654817432898</v>
      </c>
      <c r="AL5018">
        <v>79.892889689380894</v>
      </c>
      <c r="AM5018">
        <v>99.804566153088601</v>
      </c>
      <c r="AN5018">
        <v>1.00000000032506</v>
      </c>
    </row>
    <row r="5019" spans="1:40" x14ac:dyDescent="0.25">
      <c r="A5019" t="str">
        <f>"20190304155202709"</f>
        <v>20190304155202709</v>
      </c>
      <c r="B5019" t="str">
        <f>"1551685922701984"</f>
        <v>1551685922701984</v>
      </c>
      <c r="C5019" t="s">
        <v>40</v>
      </c>
      <c r="D5019">
        <v>4.3654710000000003</v>
      </c>
      <c r="E5019">
        <v>0.43521880000000002</v>
      </c>
      <c r="F5019" t="s">
        <v>41</v>
      </c>
      <c r="G5019">
        <v>-418.55020000000002</v>
      </c>
      <c r="H5019" s="1">
        <v>-4.4488819999999998E-6</v>
      </c>
      <c r="I5019">
        <v>119.4037</v>
      </c>
      <c r="J5019">
        <v>-408.2296</v>
      </c>
      <c r="K5019">
        <v>1.1162069999999999</v>
      </c>
      <c r="L5019">
        <v>134.9659</v>
      </c>
      <c r="M5019">
        <v>-0.79150969999999998</v>
      </c>
      <c r="N5019">
        <v>-1.431791E-2</v>
      </c>
      <c r="O5019">
        <v>-0.6109888</v>
      </c>
      <c r="P5019">
        <v>-0.66926149999999995</v>
      </c>
      <c r="Q5019">
        <v>0.16413249999999999</v>
      </c>
      <c r="R5019">
        <v>-0.72467199999999998</v>
      </c>
      <c r="S5019">
        <v>-1.7299800000000001</v>
      </c>
      <c r="T5019">
        <v>-0.18399470000000001</v>
      </c>
      <c r="U5019">
        <v>-2.5891109999999999</v>
      </c>
      <c r="V5019">
        <v>-0.167090299999999</v>
      </c>
      <c r="W5019">
        <v>0.1757917</v>
      </c>
      <c r="X5019">
        <v>0.97014330000000004</v>
      </c>
      <c r="Y5019">
        <v>-0.31859710000000002</v>
      </c>
      <c r="Z5019">
        <v>1.7824309999999999E-2</v>
      </c>
      <c r="AA5019">
        <v>0.94772259999999997</v>
      </c>
      <c r="AB5019">
        <v>23</v>
      </c>
      <c r="AC5019">
        <v>-10.320600000000001</v>
      </c>
      <c r="AD5019">
        <v>-1.1162114488820001</v>
      </c>
      <c r="AE5019">
        <v>-15.562200000000001</v>
      </c>
      <c r="AF5019">
        <v>-5.9910711146945301</v>
      </c>
      <c r="AG5019">
        <v>-1.1162114488820001</v>
      </c>
      <c r="AH5019">
        <v>17.616053934562402</v>
      </c>
      <c r="AI5019">
        <v>93.433001164290602</v>
      </c>
      <c r="AJ5019">
        <v>108.782735060677</v>
      </c>
      <c r="AK5019">
        <v>18.640392091513402</v>
      </c>
      <c r="AL5019">
        <v>79.875266115370295</v>
      </c>
      <c r="AM5019">
        <v>99.772324657553099</v>
      </c>
      <c r="AN5019">
        <v>0.99999995633893402</v>
      </c>
    </row>
    <row r="5020" spans="1:40" x14ac:dyDescent="0.25">
      <c r="A5020" t="str">
        <f>"20190304155202732"</f>
        <v>20190304155202732</v>
      </c>
      <c r="B5020" t="str">
        <f>"1551685922721504"</f>
        <v>1551685922721504</v>
      </c>
      <c r="C5020" t="s">
        <v>40</v>
      </c>
      <c r="D5020">
        <v>4.397856</v>
      </c>
      <c r="E5020">
        <v>0.43514399999999998</v>
      </c>
      <c r="F5020" t="s">
        <v>41</v>
      </c>
      <c r="G5020">
        <v>-418.46339999999998</v>
      </c>
      <c r="H5020" s="1">
        <v>-4.45568499999999E-6</v>
      </c>
      <c r="I5020">
        <v>119.3837</v>
      </c>
      <c r="J5020">
        <v>-408.40600000000001</v>
      </c>
      <c r="K5020">
        <v>1.116195</v>
      </c>
      <c r="L5020">
        <v>134.8168</v>
      </c>
      <c r="M5020">
        <v>-0.78604130000000005</v>
      </c>
      <c r="N5020">
        <v>-1.4321550000000001E-2</v>
      </c>
      <c r="O5020">
        <v>-0.61800809999999995</v>
      </c>
      <c r="P5020">
        <v>-0.66318529999999998</v>
      </c>
      <c r="Q5020">
        <v>0.1646907</v>
      </c>
      <c r="R5020">
        <v>-0.73011139999999997</v>
      </c>
      <c r="S5020">
        <v>-1.709625</v>
      </c>
      <c r="T5020">
        <v>-0.18647030000000001</v>
      </c>
      <c r="U5020">
        <v>-2.6031040000000001</v>
      </c>
      <c r="V5020">
        <v>-0.16646129999999901</v>
      </c>
      <c r="W5020">
        <v>0.17636769999999999</v>
      </c>
      <c r="X5020">
        <v>0.97014699999999998</v>
      </c>
      <c r="Y5020">
        <v>-0.31768750000000001</v>
      </c>
      <c r="Z5020">
        <v>1.8613620000000001E-2</v>
      </c>
      <c r="AA5020">
        <v>0.94801279999999999</v>
      </c>
      <c r="AB5020">
        <v>23</v>
      </c>
      <c r="AC5020">
        <v>-10.0573999999999</v>
      </c>
      <c r="AD5020">
        <v>-1.1161994556849999</v>
      </c>
      <c r="AE5020">
        <v>-15.4330999999999</v>
      </c>
      <c r="AF5020">
        <v>-5.8944636483265898</v>
      </c>
      <c r="AG5020">
        <v>-1.1161994556849999</v>
      </c>
      <c r="AH5020">
        <v>17.381283692784599</v>
      </c>
      <c r="AI5020">
        <v>93.480239925833303</v>
      </c>
      <c r="AJ5020">
        <v>108.73318825768899</v>
      </c>
      <c r="AK5020">
        <v>18.3874855740358</v>
      </c>
      <c r="AL5020">
        <v>79.841741052108304</v>
      </c>
      <c r="AM5020">
        <v>99.736206378990204</v>
      </c>
      <c r="AN5020">
        <v>1.0000000658049799</v>
      </c>
    </row>
    <row r="5021" spans="1:40" x14ac:dyDescent="0.25">
      <c r="A5021" t="str">
        <f>"20190304155202752"</f>
        <v>20190304155202752</v>
      </c>
      <c r="B5021" t="str">
        <f>"1551685922742002"</f>
        <v>1551685922742002</v>
      </c>
      <c r="C5021" t="s">
        <v>40</v>
      </c>
      <c r="D5021">
        <v>4.3644170000000004</v>
      </c>
      <c r="E5021">
        <v>0.43517810000000001</v>
      </c>
      <c r="F5021" t="s">
        <v>41</v>
      </c>
      <c r="G5021">
        <v>-418.56020000000001</v>
      </c>
      <c r="H5021" s="1">
        <v>-4.3039840000000002E-6</v>
      </c>
      <c r="I5021">
        <v>119.0701</v>
      </c>
      <c r="J5021">
        <v>-408.57319999999999</v>
      </c>
      <c r="K5021">
        <v>1.1161859999999999</v>
      </c>
      <c r="L5021">
        <v>134.673</v>
      </c>
      <c r="M5021">
        <v>-0.78075950000000005</v>
      </c>
      <c r="N5021">
        <v>-1.43248E-2</v>
      </c>
      <c r="O5021">
        <v>-0.62466769999999905</v>
      </c>
      <c r="P5021">
        <v>-0.65734510000000002</v>
      </c>
      <c r="Q5021">
        <v>0.165223799999999</v>
      </c>
      <c r="R5021">
        <v>-0.73525399999999996</v>
      </c>
      <c r="S5021">
        <v>-1.6879580000000001</v>
      </c>
      <c r="T5021">
        <v>-0.18554760000000001</v>
      </c>
      <c r="U5021">
        <v>-2.6175989999999998</v>
      </c>
      <c r="V5021">
        <v>-0.1658529</v>
      </c>
      <c r="W5021">
        <v>0.1769182</v>
      </c>
      <c r="X5021">
        <v>0.97015090000000004</v>
      </c>
      <c r="Y5021">
        <v>-0.31756610000000002</v>
      </c>
      <c r="Z5021">
        <v>1.883162E-2</v>
      </c>
      <c r="AA5021">
        <v>0.94804909999999998</v>
      </c>
      <c r="AB5021">
        <v>23</v>
      </c>
      <c r="AC5021">
        <v>-9.9870000000000196</v>
      </c>
      <c r="AD5021">
        <v>-1.116190303984</v>
      </c>
      <c r="AE5021">
        <v>-15.6029</v>
      </c>
      <c r="AF5021">
        <v>-5.9226640237727599</v>
      </c>
      <c r="AG5021">
        <v>-1.116190303984</v>
      </c>
      <c r="AH5021">
        <v>17.482404011402899</v>
      </c>
      <c r="AI5021">
        <v>93.460496266634706</v>
      </c>
      <c r="AJ5021">
        <v>108.71527938123801</v>
      </c>
      <c r="AK5021">
        <v>18.492113993568001</v>
      </c>
      <c r="AL5021">
        <v>79.809695151887198</v>
      </c>
      <c r="AM5021">
        <v>99.701260664367794</v>
      </c>
      <c r="AN5021">
        <v>1.0000000013502299</v>
      </c>
    </row>
    <row r="5022" spans="1:40" x14ac:dyDescent="0.25">
      <c r="A5022" t="str">
        <f>"20190304155202776"</f>
        <v>20190304155202776</v>
      </c>
      <c r="B5022" t="str">
        <f>"1551685922772256"</f>
        <v>1551685922772256</v>
      </c>
      <c r="C5022" t="s">
        <v>40</v>
      </c>
      <c r="D5022">
        <v>4.3641069999999997</v>
      </c>
      <c r="E5022">
        <v>0.43537979999999998</v>
      </c>
      <c r="F5022" t="s">
        <v>41</v>
      </c>
      <c r="G5022">
        <v>-418.68049999999999</v>
      </c>
      <c r="H5022" s="1">
        <v>-4.1340730000000003E-6</v>
      </c>
      <c r="I5022">
        <v>118.7238</v>
      </c>
      <c r="J5022">
        <v>-408.74450000000002</v>
      </c>
      <c r="K5022">
        <v>1.116174</v>
      </c>
      <c r="L5022">
        <v>134.523</v>
      </c>
      <c r="M5022">
        <v>-0.7752483</v>
      </c>
      <c r="N5022">
        <v>-1.4327950000000001E-2</v>
      </c>
      <c r="O5022">
        <v>-0.63149429999999995</v>
      </c>
      <c r="P5022">
        <v>-0.65118189999999998</v>
      </c>
      <c r="Q5022">
        <v>0.16535359999999999</v>
      </c>
      <c r="R5022">
        <v>-0.74068909999999999</v>
      </c>
      <c r="S5022">
        <v>-1.667297</v>
      </c>
      <c r="T5022">
        <v>-0.18412590000000001</v>
      </c>
      <c r="U5022">
        <v>-2.6309659999999999</v>
      </c>
      <c r="V5022">
        <v>-0.16541459999999999</v>
      </c>
      <c r="W5022">
        <v>0.17706369999999999</v>
      </c>
      <c r="X5022">
        <v>0.97019920000000004</v>
      </c>
      <c r="Y5022">
        <v>-0.31674069999999999</v>
      </c>
      <c r="Z5022">
        <v>1.8998190000000002E-2</v>
      </c>
      <c r="AA5022">
        <v>0.94832190000000005</v>
      </c>
      <c r="AB5022">
        <v>23</v>
      </c>
      <c r="AC5022">
        <v>-9.9359999999999804</v>
      </c>
      <c r="AD5022">
        <v>-1.1161781340729999</v>
      </c>
      <c r="AE5022">
        <v>-15.799200000000001</v>
      </c>
      <c r="AF5022">
        <v>-5.9530964609703201</v>
      </c>
      <c r="AG5022">
        <v>-1.1161781340729999</v>
      </c>
      <c r="AH5022">
        <v>17.618769992511201</v>
      </c>
      <c r="AI5022">
        <v>93.434670317865496</v>
      </c>
      <c r="AJ5022">
        <v>108.669276457929</v>
      </c>
      <c r="AK5022">
        <v>18.630788151594999</v>
      </c>
      <c r="AL5022">
        <v>79.801225039635597</v>
      </c>
      <c r="AM5022">
        <v>99.675635818647095</v>
      </c>
      <c r="AN5022">
        <v>1.00000001571574</v>
      </c>
    </row>
    <row r="5023" spans="1:40" x14ac:dyDescent="0.25">
      <c r="A5023" t="str">
        <f>"20190304155202798"</f>
        <v>20190304155202798</v>
      </c>
      <c r="B5023" t="str">
        <f>"1551685922791776"</f>
        <v>1551685922791776</v>
      </c>
      <c r="C5023" t="s">
        <v>40</v>
      </c>
      <c r="D5023">
        <v>4.362514</v>
      </c>
      <c r="E5023">
        <v>0.43567299999999998</v>
      </c>
      <c r="F5023" t="s">
        <v>41</v>
      </c>
      <c r="G5023">
        <v>-418.69819999999999</v>
      </c>
      <c r="H5023" s="1">
        <v>-4.056804E-6</v>
      </c>
      <c r="I5023">
        <v>118.551</v>
      </c>
      <c r="J5023">
        <v>-408.91739999999999</v>
      </c>
      <c r="K5023">
        <v>1.1161650000000001</v>
      </c>
      <c r="L5023">
        <v>134.369</v>
      </c>
      <c r="M5023">
        <v>-0.76958000000000004</v>
      </c>
      <c r="N5023">
        <v>-1.433044E-2</v>
      </c>
      <c r="O5023">
        <v>-0.6383896</v>
      </c>
      <c r="P5023">
        <v>-0.64491999999999905</v>
      </c>
      <c r="Q5023">
        <v>0.16547510000000001</v>
      </c>
      <c r="R5023">
        <v>-0.74612119999999904</v>
      </c>
      <c r="S5023">
        <v>-1.647308</v>
      </c>
      <c r="T5023">
        <v>-0.18472350000000001</v>
      </c>
      <c r="U5023">
        <v>-2.6433110000000002</v>
      </c>
      <c r="V5023">
        <v>-0.1648983</v>
      </c>
      <c r="W5023">
        <v>0.1772021</v>
      </c>
      <c r="X5023">
        <v>0.97026179999999995</v>
      </c>
      <c r="Y5023">
        <v>-0.31543389999999999</v>
      </c>
      <c r="Z5023">
        <v>1.951218E-2</v>
      </c>
      <c r="AA5023">
        <v>0.94874689999999995</v>
      </c>
      <c r="AB5023">
        <v>23</v>
      </c>
      <c r="AC5023">
        <v>-9.7807999999999993</v>
      </c>
      <c r="AD5023">
        <v>-1.1161690568039999</v>
      </c>
      <c r="AE5023">
        <v>-15.8179999999999</v>
      </c>
      <c r="AF5023">
        <v>-5.9085816171441499</v>
      </c>
      <c r="AG5023">
        <v>-1.1161690568039999</v>
      </c>
      <c r="AH5023">
        <v>17.563700272917998</v>
      </c>
      <c r="AI5023">
        <v>93.446920813819006</v>
      </c>
      <c r="AJ5023">
        <v>108.593387339831</v>
      </c>
      <c r="AK5023">
        <v>18.564502076994199</v>
      </c>
      <c r="AL5023">
        <v>79.793167703362599</v>
      </c>
      <c r="AM5023">
        <v>99.645393384471603</v>
      </c>
      <c r="AN5023">
        <v>0.99999999706326903</v>
      </c>
    </row>
    <row r="5024" spans="1:40" x14ac:dyDescent="0.25">
      <c r="A5024" t="str">
        <f>"20190304155202821"</f>
        <v>20190304155202821</v>
      </c>
      <c r="B5024" t="str">
        <f>"1551685922812272"</f>
        <v>1551685922812272</v>
      </c>
      <c r="C5024" t="s">
        <v>40</v>
      </c>
      <c r="D5024">
        <v>4.3449309999999999</v>
      </c>
      <c r="E5024">
        <v>0.43606780000000001</v>
      </c>
      <c r="F5024" t="s">
        <v>41</v>
      </c>
      <c r="G5024">
        <v>-418.6807</v>
      </c>
      <c r="H5024" s="1">
        <v>-4.0147139999999998E-6</v>
      </c>
      <c r="I5024">
        <v>118.4457</v>
      </c>
      <c r="J5024">
        <v>-409.08589999999998</v>
      </c>
      <c r="K5024">
        <v>1.1161479999999999</v>
      </c>
      <c r="L5024">
        <v>134.21610000000001</v>
      </c>
      <c r="M5024">
        <v>-0.76394879999999998</v>
      </c>
      <c r="N5024">
        <v>-1.4332080000000001E-2</v>
      </c>
      <c r="O5024">
        <v>-0.64511770000000002</v>
      </c>
      <c r="P5024">
        <v>-0.63877169999999905</v>
      </c>
      <c r="Q5024">
        <v>0.16589309999999999</v>
      </c>
      <c r="R5024">
        <v>-0.75129889999999999</v>
      </c>
      <c r="S5024">
        <v>-1.627899</v>
      </c>
      <c r="T5024">
        <v>-0.1861053</v>
      </c>
      <c r="U5024">
        <v>-2.6549839999999998</v>
      </c>
      <c r="V5024">
        <v>-0.1642786</v>
      </c>
      <c r="W5024">
        <v>0.17763670000000001</v>
      </c>
      <c r="X5024">
        <v>0.97028740000000002</v>
      </c>
      <c r="Y5024">
        <v>-0.31401509999999999</v>
      </c>
      <c r="Z5024">
        <v>2.0156819999999999E-2</v>
      </c>
      <c r="AA5024">
        <v>0.94920400000000005</v>
      </c>
      <c r="AB5024">
        <v>23</v>
      </c>
      <c r="AC5024">
        <v>-9.59480000000001</v>
      </c>
      <c r="AD5024">
        <v>-1.1161520147139901</v>
      </c>
      <c r="AE5024">
        <v>-15.7704</v>
      </c>
      <c r="AF5024">
        <v>-5.83726422788998</v>
      </c>
      <c r="AG5024">
        <v>-1.1161520147139901</v>
      </c>
      <c r="AH5024">
        <v>17.4417331705958</v>
      </c>
      <c r="AI5024">
        <v>93.4727266564865</v>
      </c>
      <c r="AJ5024">
        <v>108.50396433936299</v>
      </c>
      <c r="AK5024">
        <v>18.426434950375398</v>
      </c>
      <c r="AL5024">
        <v>79.767865030323406</v>
      </c>
      <c r="AM5024">
        <v>99.609573686269101</v>
      </c>
      <c r="AN5024">
        <v>0.99999994710180296</v>
      </c>
    </row>
    <row r="5025" spans="1:40" x14ac:dyDescent="0.25">
      <c r="A5025" t="str">
        <f>"20190304155202842"</f>
        <v>20190304155202842</v>
      </c>
      <c r="B5025" t="str">
        <f>"1551685922831792"</f>
        <v>1551685922831792</v>
      </c>
      <c r="C5025" t="s">
        <v>40</v>
      </c>
      <c r="D5025">
        <v>4.3711060000000002</v>
      </c>
      <c r="E5025">
        <v>0.43655349999999998</v>
      </c>
      <c r="F5025" t="s">
        <v>41</v>
      </c>
      <c r="G5025">
        <v>-418.71780000000001</v>
      </c>
      <c r="H5025" s="1">
        <v>-3.9253170000000002E-6</v>
      </c>
      <c r="I5025">
        <v>118.2526</v>
      </c>
      <c r="J5025">
        <v>-409.2525</v>
      </c>
      <c r="K5025">
        <v>1.1161219999999901</v>
      </c>
      <c r="L5025">
        <v>134.0624</v>
      </c>
      <c r="M5025">
        <v>-0.75828079999999998</v>
      </c>
      <c r="N5025">
        <v>-1.433306E-2</v>
      </c>
      <c r="O5025">
        <v>-0.65177039999999997</v>
      </c>
      <c r="P5025">
        <v>-0.6324592</v>
      </c>
      <c r="Q5025">
        <v>0.1653664</v>
      </c>
      <c r="R5025">
        <v>-0.75673599999999996</v>
      </c>
      <c r="S5025">
        <v>-1.6088260000000001</v>
      </c>
      <c r="T5025">
        <v>-0.18643299999999999</v>
      </c>
      <c r="U5025">
        <v>-2.6664119999999998</v>
      </c>
      <c r="V5025">
        <v>-0.1639929</v>
      </c>
      <c r="W5025">
        <v>0.17712329999999901</v>
      </c>
      <c r="X5025">
        <v>0.97042969999999895</v>
      </c>
      <c r="Y5025">
        <v>-0.31250129999999998</v>
      </c>
      <c r="Z5025">
        <v>2.062831E-2</v>
      </c>
      <c r="AA5025">
        <v>0.94969329999999996</v>
      </c>
      <c r="AB5025">
        <v>23</v>
      </c>
      <c r="AC5025">
        <v>-9.4653000000000098</v>
      </c>
      <c r="AD5025">
        <v>-1.1161259253169999</v>
      </c>
      <c r="AE5025">
        <v>-15.8097999999999</v>
      </c>
      <c r="AF5025">
        <v>-5.7983900542489604</v>
      </c>
      <c r="AG5025">
        <v>-1.1161259253169999</v>
      </c>
      <c r="AH5025">
        <v>17.4196016990029</v>
      </c>
      <c r="AI5025">
        <v>93.478929000173693</v>
      </c>
      <c r="AJ5025">
        <v>108.410837705803</v>
      </c>
      <c r="AK5025">
        <v>18.393194057973801</v>
      </c>
      <c r="AL5025">
        <v>79.797755915544798</v>
      </c>
      <c r="AM5025">
        <v>99.5917917798985</v>
      </c>
      <c r="AN5025">
        <v>1.00000006864769</v>
      </c>
    </row>
    <row r="5026" spans="1:40" x14ac:dyDescent="0.25">
      <c r="A5026" t="str">
        <f>"20190304155202864"</f>
        <v>20190304155202864</v>
      </c>
      <c r="B5026" t="str">
        <f>"1551685922862048"</f>
        <v>1551685922862048</v>
      </c>
      <c r="C5026" t="s">
        <v>40</v>
      </c>
      <c r="D5026">
        <v>4.368557</v>
      </c>
      <c r="E5026">
        <v>0.43718299999999999</v>
      </c>
      <c r="F5026" t="s">
        <v>41</v>
      </c>
      <c r="G5026">
        <v>-418.60570000000001</v>
      </c>
      <c r="H5026" s="1">
        <v>-3.9685810000000001E-6</v>
      </c>
      <c r="I5026">
        <v>118.30710000000001</v>
      </c>
      <c r="J5026">
        <v>-409.41500000000002</v>
      </c>
      <c r="K5026">
        <v>1.1161080000000001</v>
      </c>
      <c r="L5026">
        <v>133.90969999999999</v>
      </c>
      <c r="M5026">
        <v>-0.75265119999999996</v>
      </c>
      <c r="N5026">
        <v>-1.433335E-2</v>
      </c>
      <c r="O5026">
        <v>-0.65826340000000005</v>
      </c>
      <c r="P5026">
        <v>-0.6256254</v>
      </c>
      <c r="Q5026">
        <v>0.1650499</v>
      </c>
      <c r="R5026">
        <v>-0.76246389999999997</v>
      </c>
      <c r="S5026">
        <v>-1.5894469999999901</v>
      </c>
      <c r="T5026">
        <v>-0.18967059999999999</v>
      </c>
      <c r="U5026">
        <v>-2.6773989999999999</v>
      </c>
      <c r="V5026">
        <v>-0.1644243</v>
      </c>
      <c r="W5026">
        <v>0.17680839999999901</v>
      </c>
      <c r="X5026">
        <v>0.970414</v>
      </c>
      <c r="Y5026">
        <v>-0.31114069999999999</v>
      </c>
      <c r="Z5026">
        <v>2.1594260000000001E-2</v>
      </c>
      <c r="AA5026">
        <v>0.95011849999999998</v>
      </c>
      <c r="AB5026">
        <v>23</v>
      </c>
      <c r="AC5026">
        <v>-9.1906999999999908</v>
      </c>
      <c r="AD5026">
        <v>-1.1161119685809999</v>
      </c>
      <c r="AE5026">
        <v>-15.602599999999899</v>
      </c>
      <c r="AF5026">
        <v>-5.6724499649898004</v>
      </c>
      <c r="AG5026">
        <v>-1.1161119685809999</v>
      </c>
      <c r="AH5026">
        <v>17.124722428452301</v>
      </c>
      <c r="AI5026">
        <v>93.540352551257897</v>
      </c>
      <c r="AJ5026">
        <v>108.32710744623699</v>
      </c>
      <c r="AK5026">
        <v>18.074249992275199</v>
      </c>
      <c r="AL5026">
        <v>79.816086424140295</v>
      </c>
      <c r="AM5026">
        <v>99.6167060356631</v>
      </c>
      <c r="AN5026">
        <v>0.99999994606852305</v>
      </c>
    </row>
    <row r="5027" spans="1:40" x14ac:dyDescent="0.25">
      <c r="A5027" t="str">
        <f>"20190304155202888"</f>
        <v>20190304155202888</v>
      </c>
      <c r="B5027" t="str">
        <f>"1551685922881568"</f>
        <v>1551685922881568</v>
      </c>
      <c r="C5027" t="s">
        <v>40</v>
      </c>
      <c r="D5027">
        <v>4.378044</v>
      </c>
      <c r="E5027">
        <v>0.43766110000000003</v>
      </c>
      <c r="F5027" t="s">
        <v>41</v>
      </c>
      <c r="G5027">
        <v>-418.50639999999999</v>
      </c>
      <c r="H5027" s="1">
        <v>-4.0022000000000004E-6</v>
      </c>
      <c r="I5027">
        <v>118.34439999999999</v>
      </c>
      <c r="J5027">
        <v>-409.58170000000001</v>
      </c>
      <c r="K5027">
        <v>1.1160840000000001</v>
      </c>
      <c r="L5027">
        <v>133.75059999999999</v>
      </c>
      <c r="M5027">
        <v>-0.7467819</v>
      </c>
      <c r="N5027">
        <v>-1.4332499999999899E-2</v>
      </c>
      <c r="O5027">
        <v>-0.66491449999999996</v>
      </c>
      <c r="P5027">
        <v>-0.61888240000000005</v>
      </c>
      <c r="Q5027">
        <v>0.16512249999999901</v>
      </c>
      <c r="R5027">
        <v>-0.767931699999999</v>
      </c>
      <c r="S5027">
        <v>-1.5700379999999901</v>
      </c>
      <c r="T5027">
        <v>-0.1927468</v>
      </c>
      <c r="U5027">
        <v>-2.6880489999999999</v>
      </c>
      <c r="V5027">
        <v>-0.16434599999999999</v>
      </c>
      <c r="W5027">
        <v>0.17688999999999999</v>
      </c>
      <c r="X5027">
        <v>0.97041239999999995</v>
      </c>
      <c r="Y5027">
        <v>-0.30947570000000002</v>
      </c>
      <c r="Z5027">
        <v>2.2570260000000002E-2</v>
      </c>
      <c r="AA5027">
        <v>0.95063949999999997</v>
      </c>
      <c r="AB5027">
        <v>23</v>
      </c>
      <c r="AC5027">
        <v>-8.9246999999999694</v>
      </c>
      <c r="AD5027">
        <v>-1.1160880021999999</v>
      </c>
      <c r="AE5027">
        <v>-15.406199999999901</v>
      </c>
      <c r="AF5027">
        <v>-5.5496740000204996</v>
      </c>
      <c r="AG5027">
        <v>-1.1160880021999999</v>
      </c>
      <c r="AH5027">
        <v>16.844158926236801</v>
      </c>
      <c r="AI5027">
        <v>93.600986000520194</v>
      </c>
      <c r="AJ5027">
        <v>108.23558989995</v>
      </c>
      <c r="AK5027">
        <v>17.76992470067</v>
      </c>
      <c r="AL5027">
        <v>79.811336286093606</v>
      </c>
      <c r="AM5027">
        <v>99.612227510714803</v>
      </c>
      <c r="AN5027">
        <v>0.99999995294487898</v>
      </c>
    </row>
    <row r="5028" spans="1:40" x14ac:dyDescent="0.25">
      <c r="A5028" t="str">
        <f>"20190304155202910"</f>
        <v>20190304155202910</v>
      </c>
      <c r="B5028" t="str">
        <f>"1551685922902065"</f>
        <v>1551685922902065</v>
      </c>
      <c r="C5028" t="s">
        <v>40</v>
      </c>
      <c r="D5028">
        <v>4.3439670000000001</v>
      </c>
      <c r="E5028">
        <v>0.4381022</v>
      </c>
      <c r="F5028" t="s">
        <v>41</v>
      </c>
      <c r="G5028">
        <v>-418.50069999999999</v>
      </c>
      <c r="H5028" s="1">
        <v>-3.9464580000000004E-6</v>
      </c>
      <c r="I5028">
        <v>118.21210000000001</v>
      </c>
      <c r="J5028">
        <v>-409.74430000000001</v>
      </c>
      <c r="K5028">
        <v>1.116055</v>
      </c>
      <c r="L5028">
        <v>133.59219999999999</v>
      </c>
      <c r="M5028">
        <v>-0.74096200000000001</v>
      </c>
      <c r="N5028">
        <v>-1.4329929999999999E-2</v>
      </c>
      <c r="O5028">
        <v>-0.6713943</v>
      </c>
      <c r="P5028">
        <v>-0.61183849999999995</v>
      </c>
      <c r="Q5028">
        <v>0.16608809999999999</v>
      </c>
      <c r="R5028">
        <v>-0.77334899999999995</v>
      </c>
      <c r="S5028">
        <v>-1.5495300000000001</v>
      </c>
      <c r="T5028">
        <v>-0.1939013</v>
      </c>
      <c r="U5028">
        <v>-2.6995390000000001</v>
      </c>
      <c r="V5028">
        <v>-0.1646087</v>
      </c>
      <c r="W5028">
        <v>0.17785860000000001</v>
      </c>
      <c r="X5028">
        <v>0.97019080000000002</v>
      </c>
      <c r="Y5028">
        <v>-0.30837989999999998</v>
      </c>
      <c r="Z5028">
        <v>2.3192190000000001E-2</v>
      </c>
      <c r="AA5028">
        <v>0.95098050000000001</v>
      </c>
      <c r="AB5028">
        <v>23</v>
      </c>
      <c r="AC5028">
        <v>-8.7563999999999798</v>
      </c>
      <c r="AD5028">
        <v>-1.116058946458</v>
      </c>
      <c r="AE5028">
        <v>-15.380099999999899</v>
      </c>
      <c r="AF5028">
        <v>-5.4957831795343699</v>
      </c>
      <c r="AG5028">
        <v>-1.116058946458</v>
      </c>
      <c r="AH5028">
        <v>16.749387768617101</v>
      </c>
      <c r="AI5028">
        <v>93.622663436511999</v>
      </c>
      <c r="AJ5028">
        <v>108.165617801116</v>
      </c>
      <c r="AK5028">
        <v>17.6632729399713</v>
      </c>
      <c r="AL5028">
        <v>79.754945364214393</v>
      </c>
      <c r="AM5028">
        <v>99.629462683569599</v>
      </c>
      <c r="AN5028">
        <v>0.99999994705714301</v>
      </c>
    </row>
    <row r="5029" spans="1:40" x14ac:dyDescent="0.25">
      <c r="A5029" t="str">
        <f>"20190304155202933"</f>
        <v>20190304155202933</v>
      </c>
      <c r="B5029" t="str">
        <f>"1551685922921584"</f>
        <v>1551685922921584</v>
      </c>
      <c r="C5029" t="s">
        <v>40</v>
      </c>
      <c r="D5029">
        <v>4.3726240000000001</v>
      </c>
      <c r="E5029">
        <v>0.44611119999999999</v>
      </c>
      <c r="F5029" t="s">
        <v>41</v>
      </c>
      <c r="G5029">
        <v>-418.63639999999998</v>
      </c>
      <c r="H5029" s="1">
        <v>-3.7477410000000002E-6</v>
      </c>
      <c r="I5029">
        <v>117.80500000000001</v>
      </c>
      <c r="J5029">
        <v>-409.90699999999998</v>
      </c>
      <c r="K5029">
        <v>1.1160110000000001</v>
      </c>
      <c r="L5029">
        <v>133.43109999999999</v>
      </c>
      <c r="M5029">
        <v>-0.73505679999999995</v>
      </c>
      <c r="N5029">
        <v>-1.432576E-2</v>
      </c>
      <c r="O5029">
        <v>-0.67785439999999997</v>
      </c>
      <c r="P5029">
        <v>-0.60461860000000001</v>
      </c>
      <c r="Q5029">
        <v>0.16632160000000001</v>
      </c>
      <c r="R5029">
        <v>-0.77895689999999995</v>
      </c>
      <c r="S5029">
        <v>-1.527496</v>
      </c>
      <c r="T5029">
        <v>-0.19171759999999999</v>
      </c>
      <c r="U5029">
        <v>-2.7119450000000001</v>
      </c>
      <c r="V5029">
        <v>-0.1650915</v>
      </c>
      <c r="W5029">
        <v>0.17809559999999999</v>
      </c>
      <c r="X5029">
        <v>0.97006539999999997</v>
      </c>
      <c r="Y5029">
        <v>-0.30778119999999998</v>
      </c>
      <c r="Z5029">
        <v>2.3202649999999998E-2</v>
      </c>
      <c r="AA5029">
        <v>0.95117419999999997</v>
      </c>
      <c r="AB5029">
        <v>23</v>
      </c>
      <c r="AC5029">
        <v>-8.7293999999999894</v>
      </c>
      <c r="AD5029">
        <v>-1.1160147477410001</v>
      </c>
      <c r="AE5029">
        <v>-15.6260999999999</v>
      </c>
      <c r="AF5029">
        <v>-5.5478120174151702</v>
      </c>
      <c r="AG5029">
        <v>-1.1160147477410001</v>
      </c>
      <c r="AH5029">
        <v>16.9446947565703</v>
      </c>
      <c r="AI5029">
        <v>93.581628042113806</v>
      </c>
      <c r="AJ5029">
        <v>108.128809988021</v>
      </c>
      <c r="AK5029">
        <v>17.864668692452501</v>
      </c>
      <c r="AL5029">
        <v>79.741147155277005</v>
      </c>
      <c r="AM5029">
        <v>99.658399796275106</v>
      </c>
      <c r="AN5029">
        <v>1.00000006319438</v>
      </c>
    </row>
    <row r="5030" spans="1:40" x14ac:dyDescent="0.25">
      <c r="A5030" t="str">
        <f>"20190304155202954"</f>
        <v>20190304155202954</v>
      </c>
      <c r="B5030" t="str">
        <f>"1551685922951840"</f>
        <v>1551685922951840</v>
      </c>
      <c r="C5030" t="s">
        <v>40</v>
      </c>
      <c r="D5030">
        <v>4.3535599999999999</v>
      </c>
      <c r="E5030">
        <v>0.4470095</v>
      </c>
      <c r="F5030" t="s">
        <v>41</v>
      </c>
      <c r="G5030">
        <v>-418.1182</v>
      </c>
      <c r="H5030" s="1">
        <v>-4.4484950000000003E-6</v>
      </c>
      <c r="I5030">
        <v>119.2242</v>
      </c>
      <c r="J5030">
        <v>-410.0591</v>
      </c>
      <c r="K5030">
        <v>1.1159680000000001</v>
      </c>
      <c r="L5030">
        <v>133.27809999999999</v>
      </c>
      <c r="M5030">
        <v>-0.72946599999999995</v>
      </c>
      <c r="N5030">
        <v>-1.4320680000000001E-2</v>
      </c>
      <c r="O5030">
        <v>-0.68386709999999995</v>
      </c>
      <c r="P5030">
        <v>-0.59761940000000002</v>
      </c>
      <c r="Q5030">
        <v>0.16597000000000001</v>
      </c>
      <c r="R5030">
        <v>-0.78441380000000005</v>
      </c>
      <c r="S5030">
        <v>-1.5545960000000001</v>
      </c>
      <c r="T5030">
        <v>-0.2112918</v>
      </c>
      <c r="U5030">
        <v>-2.689743</v>
      </c>
      <c r="V5030">
        <v>-0.1658454</v>
      </c>
      <c r="W5030">
        <v>0.17774509999999999</v>
      </c>
      <c r="X5030">
        <v>0.970001</v>
      </c>
      <c r="Y5030">
        <v>-0.28942639999999997</v>
      </c>
      <c r="Z5030">
        <v>2.7783140000000001E-2</v>
      </c>
      <c r="AA5030">
        <v>0.95679689999999995</v>
      </c>
      <c r="AB5030">
        <v>23</v>
      </c>
      <c r="AC5030">
        <v>-8.0591000000000008</v>
      </c>
      <c r="AD5030">
        <v>-1.115972448495</v>
      </c>
      <c r="AE5030">
        <v>-14.053900000000001</v>
      </c>
      <c r="AF5030">
        <v>-4.7185852122815497</v>
      </c>
      <c r="AG5030">
        <v>-1.115972448495</v>
      </c>
      <c r="AH5030">
        <v>15.418267721160101</v>
      </c>
      <c r="AI5030">
        <v>93.959199762303101</v>
      </c>
      <c r="AJ5030">
        <v>107.01613343781599</v>
      </c>
      <c r="AK5030">
        <v>16.162716987955001</v>
      </c>
      <c r="AL5030">
        <v>79.761554058046997</v>
      </c>
      <c r="AM5030">
        <v>99.702300936274099</v>
      </c>
      <c r="AN5030">
        <v>0.99999997863808399</v>
      </c>
    </row>
    <row r="5031" spans="1:40" x14ac:dyDescent="0.25">
      <c r="A5031" t="str">
        <f>"20190304155202977"</f>
        <v>20190304155202977</v>
      </c>
      <c r="B5031" t="str">
        <f>"1551685922971360"</f>
        <v>1551685922971360</v>
      </c>
      <c r="C5031" t="s">
        <v>40</v>
      </c>
      <c r="D5031">
        <v>4.3702909999999999</v>
      </c>
      <c r="E5031">
        <v>0.44765969999999999</v>
      </c>
      <c r="F5031" t="s">
        <v>41</v>
      </c>
      <c r="G5031">
        <v>-418.06450000000001</v>
      </c>
      <c r="H5031" s="1">
        <v>-4.4511700000000003E-6</v>
      </c>
      <c r="I5031">
        <v>119.20829999999999</v>
      </c>
      <c r="J5031">
        <v>-410.21929999999998</v>
      </c>
      <c r="K5031">
        <v>1.115917</v>
      </c>
      <c r="L5031">
        <v>133.11410000000001</v>
      </c>
      <c r="M5031">
        <v>-0.72350619999999999</v>
      </c>
      <c r="N5031">
        <v>-1.431406E-2</v>
      </c>
      <c r="O5031">
        <v>-0.69016940000000004</v>
      </c>
      <c r="P5031">
        <v>-0.58982290000000004</v>
      </c>
      <c r="Q5031">
        <v>0.1650722</v>
      </c>
      <c r="R5031">
        <v>-0.79048099999999999</v>
      </c>
      <c r="S5031">
        <v>-1.536041</v>
      </c>
      <c r="T5031">
        <v>-0.21412529999999999</v>
      </c>
      <c r="U5031">
        <v>-2.6996150000000001</v>
      </c>
      <c r="V5031">
        <v>-0.1671406</v>
      </c>
      <c r="W5031">
        <v>0.176844</v>
      </c>
      <c r="X5031">
        <v>0.96994340000000001</v>
      </c>
      <c r="Y5031">
        <v>-0.28760999999999998</v>
      </c>
      <c r="Z5031">
        <v>2.8794819999999999E-2</v>
      </c>
      <c r="AA5031">
        <v>0.95731469999999996</v>
      </c>
      <c r="AB5031">
        <v>23</v>
      </c>
      <c r="AC5031">
        <v>-7.8452000000000304</v>
      </c>
      <c r="AD5031">
        <v>-1.11592145117</v>
      </c>
      <c r="AE5031">
        <v>-13.905799999999999</v>
      </c>
      <c r="AF5031">
        <v>-4.6243020282877199</v>
      </c>
      <c r="AG5031">
        <v>-1.11592145117</v>
      </c>
      <c r="AH5031">
        <v>15.2007183239747</v>
      </c>
      <c r="AI5031">
        <v>94.017532725086596</v>
      </c>
      <c r="AJ5031">
        <v>106.92060108891</v>
      </c>
      <c r="AK5031">
        <v>15.9276893333223</v>
      </c>
      <c r="AL5031">
        <v>79.814014488558698</v>
      </c>
      <c r="AM5031">
        <v>99.7771854595957</v>
      </c>
      <c r="AN5031">
        <v>0.99999998985395999</v>
      </c>
    </row>
    <row r="5032" spans="1:40" x14ac:dyDescent="0.25">
      <c r="A5032" t="str">
        <f>"20190304155202999"</f>
        <v>20190304155202999</v>
      </c>
      <c r="B5032" t="str">
        <f>"1551685922991856"</f>
        <v>1551685922991856</v>
      </c>
      <c r="C5032" t="s">
        <v>40</v>
      </c>
      <c r="D5032">
        <v>4.3860599999999996</v>
      </c>
      <c r="E5032">
        <v>0.44818619999999998</v>
      </c>
      <c r="F5032" t="s">
        <v>41</v>
      </c>
      <c r="G5032">
        <v>-417.90410000000003</v>
      </c>
      <c r="H5032" s="1">
        <v>-4.5409370000000004E-6</v>
      </c>
      <c r="I5032">
        <v>119.35120000000001</v>
      </c>
      <c r="J5032">
        <v>-410.37470000000002</v>
      </c>
      <c r="K5032">
        <v>1.1158600000000001</v>
      </c>
      <c r="L5032">
        <v>132.95240000000001</v>
      </c>
      <c r="M5032">
        <v>-0.71767389999999998</v>
      </c>
      <c r="N5032">
        <v>-1.4306060000000001E-2</v>
      </c>
      <c r="O5032">
        <v>-0.69623259999999998</v>
      </c>
      <c r="P5032">
        <v>-0.58231199999999905</v>
      </c>
      <c r="Q5032">
        <v>0.16483010000000001</v>
      </c>
      <c r="R5032">
        <v>-0.79608059999999903</v>
      </c>
      <c r="S5032">
        <v>-1.5139769999999999</v>
      </c>
      <c r="T5032">
        <v>-0.21984860000000001</v>
      </c>
      <c r="U5032">
        <v>-2.7114410000000002</v>
      </c>
      <c r="V5032">
        <v>-0.1681743</v>
      </c>
      <c r="W5032">
        <v>0.17660229999999999</v>
      </c>
      <c r="X5032">
        <v>0.96980880000000003</v>
      </c>
      <c r="Y5032">
        <v>-0.28728880000000001</v>
      </c>
      <c r="Z5032">
        <v>3.0303940000000001E-2</v>
      </c>
      <c r="AA5032">
        <v>0.95736449999999995</v>
      </c>
      <c r="AB5032">
        <v>23</v>
      </c>
      <c r="AC5032">
        <v>-7.5294000000000096</v>
      </c>
      <c r="AD5032">
        <v>-1.115864540937</v>
      </c>
      <c r="AE5032">
        <v>-13.6012</v>
      </c>
      <c r="AF5032">
        <v>-4.4963093935868699</v>
      </c>
      <c r="AG5032">
        <v>-1.115864540937</v>
      </c>
      <c r="AH5032">
        <v>14.7985308039462</v>
      </c>
      <c r="AI5032">
        <v>94.126573657157707</v>
      </c>
      <c r="AJ5032">
        <v>106.900609535866</v>
      </c>
      <c r="AK5032">
        <v>15.5067232448355</v>
      </c>
      <c r="AL5032">
        <v>79.828084824987002</v>
      </c>
      <c r="AM5032">
        <v>99.837814464547293</v>
      </c>
      <c r="AN5032">
        <v>1.0000000380516001</v>
      </c>
    </row>
    <row r="5033" spans="1:40" x14ac:dyDescent="0.25">
      <c r="A5033" t="str">
        <f>"20190304155203029"</f>
        <v>20190304155203029</v>
      </c>
      <c r="B5033" t="str">
        <f>"1551685923022112"</f>
        <v>1551685923022112</v>
      </c>
      <c r="C5033" t="s">
        <v>40</v>
      </c>
      <c r="D5033">
        <v>4.406244</v>
      </c>
      <c r="E5033">
        <v>0.45268419999999998</v>
      </c>
      <c r="F5033" t="s">
        <v>41</v>
      </c>
      <c r="G5033">
        <v>-417.88339999999999</v>
      </c>
      <c r="H5033" s="1">
        <v>-4.501079E-6</v>
      </c>
      <c r="I5033">
        <v>119.2497</v>
      </c>
      <c r="J5033">
        <v>-410.53320000000002</v>
      </c>
      <c r="K5033">
        <v>1.1157919999999999</v>
      </c>
      <c r="L5033">
        <v>132.78489999999999</v>
      </c>
      <c r="M5033">
        <v>-0.7116825</v>
      </c>
      <c r="N5033">
        <v>-1.429596E-2</v>
      </c>
      <c r="O5033">
        <v>-0.70235599999999998</v>
      </c>
      <c r="P5033">
        <v>-0.57450519999999905</v>
      </c>
      <c r="Q5033">
        <v>0.16467329999999999</v>
      </c>
      <c r="R5033">
        <v>-0.80176499999999995</v>
      </c>
      <c r="S5033">
        <v>-1.4921260000000001</v>
      </c>
      <c r="T5033">
        <v>-0.22174430000000001</v>
      </c>
      <c r="U5033">
        <v>-2.7229920000000001</v>
      </c>
      <c r="V5033">
        <v>-0.1693355</v>
      </c>
      <c r="W5033">
        <v>0.17644649999999901</v>
      </c>
      <c r="X5033">
        <v>0.96963509999999997</v>
      </c>
      <c r="Y5033">
        <v>-0.28671419999999997</v>
      </c>
      <c r="Z5033">
        <v>3.1119999999999998E-2</v>
      </c>
      <c r="AA5033">
        <v>0.95751059999999999</v>
      </c>
      <c r="AB5033">
        <v>23</v>
      </c>
      <c r="AC5033">
        <v>-7.3501999999999699</v>
      </c>
      <c r="AD5033">
        <v>-1.1157965010789901</v>
      </c>
      <c r="AE5033">
        <v>-13.5351999999999</v>
      </c>
      <c r="AF5033">
        <v>-4.4474233794654898</v>
      </c>
      <c r="AG5033">
        <v>-1.1157965010789901</v>
      </c>
      <c r="AH5033">
        <v>14.662092834107099</v>
      </c>
      <c r="AI5033">
        <v>94.165170590901496</v>
      </c>
      <c r="AJ5033">
        <v>106.874020009869</v>
      </c>
      <c r="AK5033">
        <v>15.362341710299599</v>
      </c>
      <c r="AL5033">
        <v>79.837154079770798</v>
      </c>
      <c r="AM5033">
        <v>99.906140471558004</v>
      </c>
      <c r="AN5033">
        <v>1.0000000530372499</v>
      </c>
    </row>
    <row r="5034" spans="1:40" x14ac:dyDescent="0.25">
      <c r="A5034" t="str">
        <f>"20190304155203043"</f>
        <v>20190304155203043</v>
      </c>
      <c r="B5034" t="str">
        <f>"1551685923031872"</f>
        <v>1551685923031872</v>
      </c>
      <c r="C5034" t="s">
        <v>40</v>
      </c>
      <c r="D5034">
        <v>4.5078019999999999</v>
      </c>
      <c r="E5034">
        <v>0.45268419999999998</v>
      </c>
      <c r="F5034" t="s">
        <v>84</v>
      </c>
      <c r="G5034">
        <v>-417.75700000000001</v>
      </c>
      <c r="H5034" s="1">
        <v>-6.0264309999999897E-7</v>
      </c>
      <c r="I5034">
        <v>119.661</v>
      </c>
      <c r="J5034">
        <v>-410.67919999999998</v>
      </c>
      <c r="K5034">
        <v>1.115721</v>
      </c>
      <c r="L5034">
        <v>132.62819999999999</v>
      </c>
      <c r="M5034">
        <v>-0.70613490000000001</v>
      </c>
      <c r="N5034">
        <v>-1.4284939999999999E-2</v>
      </c>
      <c r="O5034">
        <v>-0.70793319999999904</v>
      </c>
      <c r="P5034">
        <v>-0.56799140000000004</v>
      </c>
      <c r="Q5034">
        <v>0.1640131</v>
      </c>
      <c r="R5034">
        <v>-0.80652690000000005</v>
      </c>
      <c r="S5034">
        <v>-1.4957579999999999</v>
      </c>
      <c r="T5034">
        <v>-0.2310362</v>
      </c>
      <c r="U5034">
        <v>-2.717422</v>
      </c>
      <c r="V5034">
        <v>-0.16961799999999999</v>
      </c>
      <c r="W5034">
        <v>0.1758016</v>
      </c>
      <c r="X5034">
        <v>0.96970279999999998</v>
      </c>
      <c r="Y5034">
        <v>-0.2774085</v>
      </c>
      <c r="Z5034">
        <v>3.3670760000000001E-2</v>
      </c>
      <c r="AA5034">
        <v>0.96016190000000001</v>
      </c>
      <c r="AB5034">
        <v>23</v>
      </c>
      <c r="AC5034">
        <v>-7.0777999999999599</v>
      </c>
      <c r="AD5034">
        <v>-1.1157216026431001</v>
      </c>
      <c r="AE5034">
        <v>-12.967199999999901</v>
      </c>
      <c r="AF5034">
        <v>-4.1228895450274203</v>
      </c>
      <c r="AG5034">
        <v>-1.1157216026431001</v>
      </c>
      <c r="AH5034">
        <v>14.0988219861856</v>
      </c>
      <c r="AI5034">
        <v>94.343549999489099</v>
      </c>
      <c r="AJ5034">
        <v>106.30039487663601</v>
      </c>
      <c r="AK5034">
        <v>14.7315930670532</v>
      </c>
      <c r="AL5034">
        <v>79.874690303167498</v>
      </c>
      <c r="AM5034">
        <v>99.921659601282997</v>
      </c>
      <c r="AN5034">
        <v>0.9999999944072</v>
      </c>
    </row>
    <row r="5035" spans="1:40" x14ac:dyDescent="0.25">
      <c r="A5035" t="str">
        <f>"20190304155203066"</f>
        <v>20190304155203066</v>
      </c>
      <c r="B5035" t="str">
        <f>"1551685923062128"</f>
        <v>1551685923062128</v>
      </c>
      <c r="C5035" t="s">
        <v>40</v>
      </c>
      <c r="D5035">
        <v>4.4680609999999996</v>
      </c>
      <c r="E5035">
        <v>0.45585249999999999</v>
      </c>
      <c r="F5035" t="s">
        <v>41</v>
      </c>
      <c r="G5035">
        <v>-417.72910000000002</v>
      </c>
      <c r="H5035" s="1">
        <v>-4.6669810000000001E-6</v>
      </c>
      <c r="I5035">
        <v>119.57259999999999</v>
      </c>
      <c r="J5035">
        <v>-410.8322</v>
      </c>
      <c r="K5035">
        <v>1.115637</v>
      </c>
      <c r="L5035">
        <v>132.46129999999999</v>
      </c>
      <c r="M5035">
        <v>-0.70028519999999905</v>
      </c>
      <c r="N5035">
        <v>-1.427231E-2</v>
      </c>
      <c r="O5035">
        <v>-0.71372060000000004</v>
      </c>
      <c r="P5035">
        <v>-0.56100939999999999</v>
      </c>
      <c r="Q5035">
        <v>0.1635723</v>
      </c>
      <c r="R5035">
        <v>-0.81148819999999999</v>
      </c>
      <c r="S5035">
        <v>-1.4737549999999999</v>
      </c>
      <c r="T5035">
        <v>-0.23323579999999999</v>
      </c>
      <c r="U5035">
        <v>-2.729187</v>
      </c>
      <c r="V5035">
        <v>-0.1700315</v>
      </c>
      <c r="W5035">
        <v>0.175375799999999</v>
      </c>
      <c r="X5035">
        <v>0.96970749999999994</v>
      </c>
      <c r="Y5035">
        <v>-0.27724009999999999</v>
      </c>
      <c r="Z5035">
        <v>3.4543690000000002E-2</v>
      </c>
      <c r="AA5035">
        <v>0.96017949999999996</v>
      </c>
      <c r="AB5035">
        <v>23</v>
      </c>
      <c r="AC5035">
        <v>-6.8969000000000102</v>
      </c>
      <c r="AD5035">
        <v>-1.1156416669810001</v>
      </c>
      <c r="AE5035">
        <v>-12.8887</v>
      </c>
      <c r="AF5035">
        <v>-4.0799593663226998</v>
      </c>
      <c r="AG5035">
        <v>-1.1156416669810001</v>
      </c>
      <c r="AH5035">
        <v>13.9489074045376</v>
      </c>
      <c r="AI5035">
        <v>94.389660305404604</v>
      </c>
      <c r="AJ5035">
        <v>106.30383456942199</v>
      </c>
      <c r="AK5035">
        <v>14.5761017607696</v>
      </c>
      <c r="AL5035">
        <v>79.899472010075598</v>
      </c>
      <c r="AM5035">
        <v>99.945317336928895</v>
      </c>
      <c r="AN5035">
        <v>1.00000000888707</v>
      </c>
    </row>
    <row r="5036" spans="1:40" x14ac:dyDescent="0.25">
      <c r="A5036" t="str">
        <f>"20190304155203089"</f>
        <v>20190304155203089</v>
      </c>
      <c r="B5036" t="str">
        <f>"1551685923081653"</f>
        <v>1551685923081653</v>
      </c>
      <c r="C5036" t="s">
        <v>40</v>
      </c>
      <c r="D5036">
        <v>4.4957469999999997</v>
      </c>
      <c r="E5036">
        <v>0.45645340000000001</v>
      </c>
      <c r="F5036" t="s">
        <v>84</v>
      </c>
      <c r="G5036">
        <v>-417.52769999999998</v>
      </c>
      <c r="H5036" s="1">
        <v>-8.0935400000000004E-7</v>
      </c>
      <c r="I5036">
        <v>120.0425</v>
      </c>
      <c r="J5036">
        <v>-410.98390000000001</v>
      </c>
      <c r="K5036">
        <v>1.1155619999999999</v>
      </c>
      <c r="L5036">
        <v>132.29339999999999</v>
      </c>
      <c r="M5036">
        <v>-0.69445809999999997</v>
      </c>
      <c r="N5036">
        <v>-1.4259310000000001E-2</v>
      </c>
      <c r="O5036">
        <v>-0.71939189999999997</v>
      </c>
      <c r="P5036">
        <v>-0.55456749999999999</v>
      </c>
      <c r="Q5036">
        <v>0.1630027</v>
      </c>
      <c r="R5036">
        <v>-0.81601780000000002</v>
      </c>
      <c r="S5036">
        <v>-1.4713750000000001</v>
      </c>
      <c r="T5036">
        <v>-0.24516840000000001</v>
      </c>
      <c r="U5036">
        <v>-2.7291259999999999</v>
      </c>
      <c r="V5036">
        <v>-0.16986109999999999</v>
      </c>
      <c r="W5036">
        <v>0.17482839999999999</v>
      </c>
      <c r="X5036">
        <v>0.96983620000000004</v>
      </c>
      <c r="Y5036">
        <v>-0.27012419999999998</v>
      </c>
      <c r="Z5036">
        <v>3.7610560000000001E-2</v>
      </c>
      <c r="AA5036">
        <v>0.96209060000000002</v>
      </c>
      <c r="AB5036">
        <v>23</v>
      </c>
      <c r="AC5036">
        <v>-6.5437999999999699</v>
      </c>
      <c r="AD5036">
        <v>-1.115562809354</v>
      </c>
      <c r="AE5036">
        <v>-12.2508999999999</v>
      </c>
      <c r="AF5036">
        <v>-3.7762050857575198</v>
      </c>
      <c r="AG5036">
        <v>-1.115562809354</v>
      </c>
      <c r="AH5036">
        <v>13.273321491405101</v>
      </c>
      <c r="AI5036">
        <v>94.621610515045205</v>
      </c>
      <c r="AJ5036">
        <v>105.88083351768999</v>
      </c>
      <c r="AK5036">
        <v>13.845044913091201</v>
      </c>
      <c r="AL5036">
        <v>79.931327883223204</v>
      </c>
      <c r="AM5036">
        <v>99.934256961101397</v>
      </c>
      <c r="AN5036">
        <v>1.0000000087851</v>
      </c>
    </row>
    <row r="5037" spans="1:40" x14ac:dyDescent="0.25">
      <c r="A5037" t="str">
        <f>"20190304155203111"</f>
        <v>20190304155203111</v>
      </c>
      <c r="B5037" t="str">
        <f>"1551685923102144"</f>
        <v>1551685923102144</v>
      </c>
      <c r="C5037" t="s">
        <v>40</v>
      </c>
      <c r="D5037">
        <v>4.4859530000000003</v>
      </c>
      <c r="E5037">
        <v>0.4567639</v>
      </c>
      <c r="F5037" t="s">
        <v>84</v>
      </c>
      <c r="G5037">
        <v>-417.50369999999998</v>
      </c>
      <c r="H5037" s="1">
        <v>-8.0205309999999898E-7</v>
      </c>
      <c r="I5037">
        <v>120.0067</v>
      </c>
      <c r="J5037">
        <v>-411.13729999999998</v>
      </c>
      <c r="K5037">
        <v>1.1154959999999901</v>
      </c>
      <c r="L5037">
        <v>132.12049999999999</v>
      </c>
      <c r="M5037">
        <v>-0.68852469999999999</v>
      </c>
      <c r="N5037">
        <v>-1.424605E-2</v>
      </c>
      <c r="O5037">
        <v>-0.72507319999999997</v>
      </c>
      <c r="P5037">
        <v>-0.54777189999999998</v>
      </c>
      <c r="Q5037">
        <v>0.1631869</v>
      </c>
      <c r="R5037">
        <v>-0.82055840000000002</v>
      </c>
      <c r="S5037">
        <v>-1.4531559999999999</v>
      </c>
      <c r="T5037">
        <v>-0.2486399</v>
      </c>
      <c r="U5037">
        <v>-2.7384949999999999</v>
      </c>
      <c r="V5037">
        <v>-0.16989609999999999</v>
      </c>
      <c r="W5037">
        <v>0.1750265</v>
      </c>
      <c r="X5037">
        <v>0.9697943</v>
      </c>
      <c r="Y5037">
        <v>-0.26859499999999997</v>
      </c>
      <c r="Z5037">
        <v>3.8823440000000001E-2</v>
      </c>
      <c r="AA5037">
        <v>0.96247050000000001</v>
      </c>
      <c r="AB5037">
        <v>23</v>
      </c>
      <c r="AC5037">
        <v>-6.3663999999999898</v>
      </c>
      <c r="AD5037">
        <v>-1.11549680205309</v>
      </c>
      <c r="AE5037">
        <v>-12.1137999999999</v>
      </c>
      <c r="AF5037">
        <v>-3.7003352864614301</v>
      </c>
      <c r="AG5037">
        <v>-1.11549680205309</v>
      </c>
      <c r="AH5037">
        <v>13.081232265493499</v>
      </c>
      <c r="AI5037">
        <v>94.690887791939005</v>
      </c>
      <c r="AJ5037">
        <v>105.794807762744</v>
      </c>
      <c r="AK5037">
        <v>13.640214511928001</v>
      </c>
      <c r="AL5037">
        <v>79.919799471726705</v>
      </c>
      <c r="AM5037">
        <v>99.936683871304496</v>
      </c>
      <c r="AN5037">
        <v>0.99999997240497396</v>
      </c>
    </row>
    <row r="5038" spans="1:40" x14ac:dyDescent="0.25">
      <c r="A5038" t="str">
        <f>"20190304155203134"</f>
        <v>20190304155203134</v>
      </c>
      <c r="B5038" t="str">
        <f>"1551685923121664"</f>
        <v>1551685923121664</v>
      </c>
      <c r="C5038" t="s">
        <v>40</v>
      </c>
      <c r="D5038">
        <v>4.4996999999999998</v>
      </c>
      <c r="E5038">
        <v>0.4612097</v>
      </c>
      <c r="F5038" t="s">
        <v>84</v>
      </c>
      <c r="G5038">
        <v>-417.61349999999999</v>
      </c>
      <c r="H5038" s="1">
        <v>-6.5092500000000004E-7</v>
      </c>
      <c r="I5038">
        <v>119.6875</v>
      </c>
      <c r="J5038">
        <v>-411.28339999999997</v>
      </c>
      <c r="K5038">
        <v>1.115445</v>
      </c>
      <c r="L5038">
        <v>131.95349999999999</v>
      </c>
      <c r="M5038">
        <v>-0.68282849999999995</v>
      </c>
      <c r="N5038">
        <v>-1.4234180000000001E-2</v>
      </c>
      <c r="O5038">
        <v>-0.73044019999999898</v>
      </c>
      <c r="P5038">
        <v>-0.54205729999999996</v>
      </c>
      <c r="Q5038">
        <v>0.16320219999999999</v>
      </c>
      <c r="R5038">
        <v>-0.82434180000000001</v>
      </c>
      <c r="S5038">
        <v>-1.432007</v>
      </c>
      <c r="T5038">
        <v>-0.24665780000000001</v>
      </c>
      <c r="U5038">
        <v>-2.7491910000000002</v>
      </c>
      <c r="V5038">
        <v>-0.16901769999999999</v>
      </c>
      <c r="W5038">
        <v>0.17506360000000001</v>
      </c>
      <c r="X5038">
        <v>0.9699411</v>
      </c>
      <c r="Y5038">
        <v>-0.26841310000000002</v>
      </c>
      <c r="Z5038">
        <v>3.8866850000000001E-2</v>
      </c>
      <c r="AA5038">
        <v>0.96251949999999997</v>
      </c>
      <c r="AB5038">
        <v>23</v>
      </c>
      <c r="AC5038">
        <v>-6.3301000000000096</v>
      </c>
      <c r="AD5038">
        <v>-1.1154456509249999</v>
      </c>
      <c r="AE5038">
        <v>-12.265999999999901</v>
      </c>
      <c r="AF5038">
        <v>-3.7278498802999498</v>
      </c>
      <c r="AG5038">
        <v>-1.1154456509249999</v>
      </c>
      <c r="AH5038">
        <v>13.1971127443567</v>
      </c>
      <c r="AI5038">
        <v>94.650150879313898</v>
      </c>
      <c r="AJ5038">
        <v>105.773641154816</v>
      </c>
      <c r="AK5038">
        <v>13.7588105778618</v>
      </c>
      <c r="AL5038">
        <v>79.917640665891994</v>
      </c>
      <c r="AM5038">
        <v>99.8848584917761</v>
      </c>
      <c r="AN5038">
        <v>0.99999999221373004</v>
      </c>
    </row>
    <row r="5039" spans="1:40" x14ac:dyDescent="0.25">
      <c r="A5039" t="str">
        <f>"20190304155203155"</f>
        <v>20190304155203155</v>
      </c>
      <c r="B5039" t="str">
        <f>"1551685923151920"</f>
        <v>1551685923151920</v>
      </c>
      <c r="C5039" t="s">
        <v>40</v>
      </c>
      <c r="D5039">
        <v>4.4999169999999999</v>
      </c>
      <c r="E5039">
        <v>0.46206730000000001</v>
      </c>
      <c r="F5039" t="s">
        <v>84</v>
      </c>
      <c r="G5039">
        <v>-417.77350000000001</v>
      </c>
      <c r="H5039" s="1">
        <v>-5.8174259999999897E-7</v>
      </c>
      <c r="I5039">
        <v>119.6178</v>
      </c>
      <c r="J5039">
        <v>-411.42599999999999</v>
      </c>
      <c r="K5039">
        <v>1.1154090000000001</v>
      </c>
      <c r="L5039">
        <v>131.78799999999899</v>
      </c>
      <c r="M5039">
        <v>-0.67721369999999903</v>
      </c>
      <c r="N5039">
        <v>-1.4223390000000001E-2</v>
      </c>
      <c r="O5039">
        <v>-0.73564879999999999</v>
      </c>
      <c r="P5039">
        <v>-0.53668769999999999</v>
      </c>
      <c r="Q5039">
        <v>0.16350010000000001</v>
      </c>
      <c r="R5039">
        <v>-0.82778890000000005</v>
      </c>
      <c r="S5039">
        <v>-1.4417420000000001</v>
      </c>
      <c r="T5039">
        <v>-0.24778929999999999</v>
      </c>
      <c r="U5039">
        <v>-2.7402950000000001</v>
      </c>
      <c r="V5039">
        <v>-0.16783679999999901</v>
      </c>
      <c r="W5039">
        <v>0.17538239999999999</v>
      </c>
      <c r="X5039">
        <v>0.97008850000000002</v>
      </c>
      <c r="Y5039">
        <v>-0.25709159999999998</v>
      </c>
      <c r="Z5039">
        <v>3.9955709999999998E-2</v>
      </c>
      <c r="AA5039">
        <v>0.96556070000000005</v>
      </c>
      <c r="AB5039">
        <v>23</v>
      </c>
      <c r="AC5039">
        <v>-6.3475000000000197</v>
      </c>
      <c r="AD5039">
        <v>-1.1154095817426</v>
      </c>
      <c r="AE5039">
        <v>-12.1701999999999</v>
      </c>
      <c r="AF5039">
        <v>-3.5492196237462399</v>
      </c>
      <c r="AG5039">
        <v>-1.1154095817426</v>
      </c>
      <c r="AH5039">
        <v>13.1660061992055</v>
      </c>
      <c r="AI5039">
        <v>94.676317230910101</v>
      </c>
      <c r="AJ5039">
        <v>105.086850179557</v>
      </c>
      <c r="AK5039">
        <v>13.6815502670621</v>
      </c>
      <c r="AL5039">
        <v>79.899087178569005</v>
      </c>
      <c r="AM5039">
        <v>99.815680278213506</v>
      </c>
      <c r="AN5039">
        <v>0.99999993774812301</v>
      </c>
    </row>
    <row r="5040" spans="1:40" x14ac:dyDescent="0.25">
      <c r="A5040" t="str">
        <f>"20190304155203178"</f>
        <v>20190304155203178</v>
      </c>
      <c r="B5040" t="str">
        <f>"1551685923171444"</f>
        <v>1551685923171444</v>
      </c>
      <c r="C5040" t="s">
        <v>40</v>
      </c>
      <c r="D5040">
        <v>4.4952480000000001</v>
      </c>
      <c r="E5040">
        <v>0.46549289999999999</v>
      </c>
      <c r="F5040" t="s">
        <v>41</v>
      </c>
      <c r="G5040">
        <v>-417.93299999999999</v>
      </c>
      <c r="H5040" s="1">
        <v>-4.507767E-6</v>
      </c>
      <c r="I5040">
        <v>119.28579999999999</v>
      </c>
      <c r="J5040">
        <v>-411.56979999999999</v>
      </c>
      <c r="K5040">
        <v>1.115381</v>
      </c>
      <c r="L5040">
        <v>131.61850000000001</v>
      </c>
      <c r="M5040">
        <v>-0.67148549999999996</v>
      </c>
      <c r="N5040">
        <v>-1.421331E-2</v>
      </c>
      <c r="O5040">
        <v>-0.74088140000000002</v>
      </c>
      <c r="P5040">
        <v>-0.53164060000000002</v>
      </c>
      <c r="Q5040">
        <v>0.16339000000000001</v>
      </c>
      <c r="R5040">
        <v>-0.83106100000000005</v>
      </c>
      <c r="S5040">
        <v>-1.4291689999999999</v>
      </c>
      <c r="T5040">
        <v>-0.2449846</v>
      </c>
      <c r="U5040">
        <v>-2.7459259999999999</v>
      </c>
      <c r="V5040">
        <v>-0.16620950000000001</v>
      </c>
      <c r="W5040">
        <v>0.17529790000000001</v>
      </c>
      <c r="X5040">
        <v>0.97038400000000002</v>
      </c>
      <c r="Y5040">
        <v>-0.25388240000000001</v>
      </c>
      <c r="Z5040">
        <v>3.9909239999999999E-2</v>
      </c>
      <c r="AA5040">
        <v>0.96641140000000003</v>
      </c>
      <c r="AB5040">
        <v>23</v>
      </c>
      <c r="AC5040">
        <v>-6.3632000000000604</v>
      </c>
      <c r="AD5040">
        <v>-1.1153855077670001</v>
      </c>
      <c r="AE5040">
        <v>-12.332700000000001</v>
      </c>
      <c r="AF5040">
        <v>-3.5443170325588902</v>
      </c>
      <c r="AG5040">
        <v>-1.1153855077670001</v>
      </c>
      <c r="AH5040">
        <v>13.3251399477676</v>
      </c>
      <c r="AI5040">
        <v>94.624740389382893</v>
      </c>
      <c r="AJ5040">
        <v>104.89506654237999</v>
      </c>
      <c r="AK5040">
        <v>13.833496401337401</v>
      </c>
      <c r="AL5040">
        <v>79.904005793852306</v>
      </c>
      <c r="AM5040">
        <v>99.719430945936793</v>
      </c>
      <c r="AN5040">
        <v>1.00000002954532</v>
      </c>
    </row>
    <row r="5041" spans="1:40" x14ac:dyDescent="0.25">
      <c r="A5041" t="str">
        <f>"20190304155203200"</f>
        <v>20190304155203200</v>
      </c>
      <c r="B5041" t="str">
        <f>"1551685923191936"</f>
        <v>1551685923191936</v>
      </c>
      <c r="C5041" t="s">
        <v>40</v>
      </c>
      <c r="D5041">
        <v>4.4895110000000003</v>
      </c>
      <c r="E5041">
        <v>0.46547270000000002</v>
      </c>
      <c r="F5041" t="s">
        <v>41</v>
      </c>
      <c r="G5041">
        <v>-418.28050000000002</v>
      </c>
      <c r="H5041" s="1">
        <v>-4.2390450000000002E-6</v>
      </c>
      <c r="I5041">
        <v>118.8031</v>
      </c>
      <c r="J5041">
        <v>-411.71</v>
      </c>
      <c r="K5041">
        <v>1.115354</v>
      </c>
      <c r="L5041">
        <v>131.45070000000001</v>
      </c>
      <c r="M5041">
        <v>-0.66582519999999901</v>
      </c>
      <c r="N5041">
        <v>-1.4204339999999999E-2</v>
      </c>
      <c r="O5041">
        <v>-0.74597279999999999</v>
      </c>
      <c r="P5041">
        <v>-0.52675249999999996</v>
      </c>
      <c r="Q5041">
        <v>0.16383029999999901</v>
      </c>
      <c r="R5041">
        <v>-0.83408139999999997</v>
      </c>
      <c r="S5041">
        <v>-1.434326</v>
      </c>
      <c r="T5041">
        <v>-0.2384009</v>
      </c>
      <c r="U5041">
        <v>-2.7391510000000001</v>
      </c>
      <c r="V5041">
        <v>-0.1644515</v>
      </c>
      <c r="W5041">
        <v>0.17576169999999999</v>
      </c>
      <c r="X5041">
        <v>0.97059960000000001</v>
      </c>
      <c r="Y5041">
        <v>-0.24409629999999999</v>
      </c>
      <c r="Z5041">
        <v>3.9289589999999999E-2</v>
      </c>
      <c r="AA5041">
        <v>0.96895469999999895</v>
      </c>
      <c r="AB5041">
        <v>23</v>
      </c>
      <c r="AC5041">
        <v>-6.5705000000000302</v>
      </c>
      <c r="AD5041">
        <v>-1.1153582390449901</v>
      </c>
      <c r="AE5041">
        <v>-12.647600000000001</v>
      </c>
      <c r="AF5041">
        <v>-3.4986048997310899</v>
      </c>
      <c r="AG5041">
        <v>-1.1153582390449901</v>
      </c>
      <c r="AH5041">
        <v>13.7268948571464</v>
      </c>
      <c r="AI5041">
        <v>94.501974456083403</v>
      </c>
      <c r="AJ5041">
        <v>104.29868025611199</v>
      </c>
      <c r="AK5041">
        <v>14.209570812131499</v>
      </c>
      <c r="AL5041">
        <v>79.877012900565802</v>
      </c>
      <c r="AM5041">
        <v>99.616462294111599</v>
      </c>
      <c r="AN5041">
        <v>1.0000000272796401</v>
      </c>
    </row>
    <row r="5042" spans="1:40" x14ac:dyDescent="0.25">
      <c r="A5042" t="str">
        <f>"20190304155203222"</f>
        <v>20190304155203222</v>
      </c>
      <c r="B5042" t="str">
        <f>"1551685923211456"</f>
        <v>1551685923211456</v>
      </c>
      <c r="C5042" t="s">
        <v>40</v>
      </c>
      <c r="D5042">
        <v>4.4423760000000003</v>
      </c>
      <c r="E5042">
        <v>0.46590759999999998</v>
      </c>
      <c r="F5042" t="s">
        <v>41</v>
      </c>
      <c r="G5042">
        <v>-418.3272</v>
      </c>
      <c r="H5042" s="1">
        <v>-4.1499860000000001E-6</v>
      </c>
      <c r="I5042">
        <v>118.6148</v>
      </c>
      <c r="J5042">
        <v>-411.8501</v>
      </c>
      <c r="K5042">
        <v>1.1153390000000001</v>
      </c>
      <c r="L5042">
        <v>131.28049999999999</v>
      </c>
      <c r="M5042">
        <v>-0.66008359999999899</v>
      </c>
      <c r="N5042">
        <v>-1.4196220000000001E-2</v>
      </c>
      <c r="O5042">
        <v>-0.75105809999999995</v>
      </c>
      <c r="P5042">
        <v>-0.52174359999999997</v>
      </c>
      <c r="Q5042">
        <v>0.16322239999999999</v>
      </c>
      <c r="R5042">
        <v>-0.83734229999999998</v>
      </c>
      <c r="S5042">
        <v>-1.4170529999999999</v>
      </c>
      <c r="T5042">
        <v>-0.23885129999999999</v>
      </c>
      <c r="U5042">
        <v>-2.7487789999999999</v>
      </c>
      <c r="V5042">
        <v>-0.16288339999999901</v>
      </c>
      <c r="W5042">
        <v>0.17517539999999901</v>
      </c>
      <c r="X5042">
        <v>0.97096990000000005</v>
      </c>
      <c r="Y5042">
        <v>-0.24286170000000001</v>
      </c>
      <c r="Z5042">
        <v>3.9806029999999999E-2</v>
      </c>
      <c r="AA5042">
        <v>0.96924390000000005</v>
      </c>
      <c r="AB5042">
        <v>23</v>
      </c>
      <c r="AC5042">
        <v>-6.4771000000000001</v>
      </c>
      <c r="AD5042">
        <v>-1.11534314998599</v>
      </c>
      <c r="AE5042">
        <v>-12.6656999999999</v>
      </c>
      <c r="AF5042">
        <v>-3.47473517696741</v>
      </c>
      <c r="AG5042">
        <v>-1.11534314998599</v>
      </c>
      <c r="AH5042">
        <v>13.7052460610499</v>
      </c>
      <c r="AI5042">
        <v>94.510431663105607</v>
      </c>
      <c r="AJ5042">
        <v>104.226614991735</v>
      </c>
      <c r="AK5042">
        <v>14.1827904336981</v>
      </c>
      <c r="AL5042">
        <v>79.911134382213504</v>
      </c>
      <c r="AM5042">
        <v>99.522888044939293</v>
      </c>
      <c r="AN5042">
        <v>0.99999998473336504</v>
      </c>
    </row>
    <row r="5043" spans="1:40" x14ac:dyDescent="0.25">
      <c r="A5043" t="str">
        <f>"20190304155203244"</f>
        <v>20190304155203244</v>
      </c>
      <c r="B5043" t="str">
        <f>"1551685923241712"</f>
        <v>1551685923241712</v>
      </c>
      <c r="C5043" t="s">
        <v>40</v>
      </c>
      <c r="D5043">
        <v>4.451301</v>
      </c>
      <c r="E5043">
        <v>0.46709210000000001</v>
      </c>
      <c r="F5043" t="s">
        <v>41</v>
      </c>
      <c r="G5043">
        <v>-418.28230000000002</v>
      </c>
      <c r="H5043" s="1">
        <v>-4.174976E-6</v>
      </c>
      <c r="I5043">
        <v>118.6545</v>
      </c>
      <c r="J5043">
        <v>-411.98829999999998</v>
      </c>
      <c r="K5043">
        <v>1.1153280000000001</v>
      </c>
      <c r="L5043">
        <v>131.11000000000001</v>
      </c>
      <c r="M5043">
        <v>-0.65432800000000002</v>
      </c>
      <c r="N5043">
        <v>-1.418907E-2</v>
      </c>
      <c r="O5043">
        <v>-0.75607760000000002</v>
      </c>
      <c r="P5043">
        <v>-0.51602099999999995</v>
      </c>
      <c r="Q5043">
        <v>0.1625471</v>
      </c>
      <c r="R5043">
        <v>-0.84101179999999998</v>
      </c>
      <c r="S5043">
        <v>-1.403778</v>
      </c>
      <c r="T5043">
        <v>-0.24341399999999999</v>
      </c>
      <c r="U5043">
        <v>-2.7555079999999998</v>
      </c>
      <c r="V5043">
        <v>-0.16215969999999999</v>
      </c>
      <c r="W5043">
        <v>0.1745101</v>
      </c>
      <c r="X5043">
        <v>0.97121080000000004</v>
      </c>
      <c r="Y5043">
        <v>-0.24014769999999999</v>
      </c>
      <c r="Z5043">
        <v>4.1269439999999998E-2</v>
      </c>
      <c r="AA5043">
        <v>0.96985869999999996</v>
      </c>
      <c r="AB5043">
        <v>23</v>
      </c>
      <c r="AC5043">
        <v>-6.2940000000000396</v>
      </c>
      <c r="AD5043">
        <v>-1.1153321749759999</v>
      </c>
      <c r="AE5043">
        <v>-12.455500000000001</v>
      </c>
      <c r="AF5043">
        <v>-3.3700460204062401</v>
      </c>
      <c r="AG5043">
        <v>-1.1153321749759999</v>
      </c>
      <c r="AH5043">
        <v>13.4511118488716</v>
      </c>
      <c r="AI5043">
        <v>94.598487819759498</v>
      </c>
      <c r="AJ5043">
        <v>104.065377370034</v>
      </c>
      <c r="AK5043">
        <v>13.911634915100599</v>
      </c>
      <c r="AL5043">
        <v>79.949849579663507</v>
      </c>
      <c r="AM5043">
        <v>99.479038111578703</v>
      </c>
      <c r="AN5043">
        <v>0.99999998067136897</v>
      </c>
    </row>
    <row r="5044" spans="1:40" x14ac:dyDescent="0.25">
      <c r="A5044" t="str">
        <f>"20190304155203268"</f>
        <v>20190304155203268</v>
      </c>
      <c r="B5044" t="str">
        <f>"1551685923262209"</f>
        <v>1551685923262209</v>
      </c>
      <c r="C5044" t="s">
        <v>40</v>
      </c>
      <c r="D5044">
        <v>4.4711550000000004</v>
      </c>
      <c r="E5044">
        <v>0.46742119999999998</v>
      </c>
      <c r="F5044" t="s">
        <v>41</v>
      </c>
      <c r="G5044">
        <v>-418.32220000000001</v>
      </c>
      <c r="H5044" s="1">
        <v>-4.1269469999999996E-6</v>
      </c>
      <c r="I5044">
        <v>118.559</v>
      </c>
      <c r="J5044">
        <v>-412.1318</v>
      </c>
      <c r="K5044">
        <v>1.1153120000000001</v>
      </c>
      <c r="L5044">
        <v>130.93010000000001</v>
      </c>
      <c r="M5044">
        <v>-0.64824499999999996</v>
      </c>
      <c r="N5044">
        <v>-1.41826E-2</v>
      </c>
      <c r="O5044">
        <v>-0.76129979999999997</v>
      </c>
      <c r="P5044">
        <v>-0.50985320000000001</v>
      </c>
      <c r="Q5044">
        <v>0.16158420000000001</v>
      </c>
      <c r="R5044">
        <v>-0.84495010000000004</v>
      </c>
      <c r="S5044">
        <v>-1.392822</v>
      </c>
      <c r="T5044">
        <v>-0.24526010000000001</v>
      </c>
      <c r="U5044">
        <v>-2.7599330000000002</v>
      </c>
      <c r="V5044">
        <v>-0.161582</v>
      </c>
      <c r="W5044">
        <v>0.17355499999999999</v>
      </c>
      <c r="X5044">
        <v>0.97147819999999996</v>
      </c>
      <c r="Y5044">
        <v>-0.23607800000000001</v>
      </c>
      <c r="Z5044">
        <v>4.2229990000000002E-2</v>
      </c>
      <c r="AA5044">
        <v>0.97081609999999996</v>
      </c>
      <c r="AB5044">
        <v>23</v>
      </c>
      <c r="AC5044">
        <v>-6.1904000000000101</v>
      </c>
      <c r="AD5044">
        <v>-1.115316126947</v>
      </c>
      <c r="AE5044">
        <v>-12.3711</v>
      </c>
      <c r="AF5044">
        <v>-3.28572767390316</v>
      </c>
      <c r="AG5044">
        <v>-1.115316126947</v>
      </c>
      <c r="AH5044">
        <v>13.345611641518801</v>
      </c>
      <c r="AI5044">
        <v>94.639300435699397</v>
      </c>
      <c r="AJ5044">
        <v>103.831298464361</v>
      </c>
      <c r="AK5044">
        <v>13.7893178401371</v>
      </c>
      <c r="AL5044">
        <v>80.005420867550896</v>
      </c>
      <c r="AM5044">
        <v>99.443325162677993</v>
      </c>
      <c r="AN5044">
        <v>0.999999986912119</v>
      </c>
    </row>
    <row r="5045" spans="1:40" x14ac:dyDescent="0.25">
      <c r="A5045" t="str">
        <f>"20190304155203288"</f>
        <v>20190304155203288</v>
      </c>
      <c r="B5045" t="str">
        <f>"1551685923281728"</f>
        <v>1551685923281728</v>
      </c>
      <c r="C5045" t="s">
        <v>40</v>
      </c>
      <c r="D5045">
        <v>4.4766789999999999</v>
      </c>
      <c r="E5045">
        <v>0.47176829999999997</v>
      </c>
      <c r="F5045" t="s">
        <v>41</v>
      </c>
      <c r="G5045">
        <v>-418.32619999999997</v>
      </c>
      <c r="H5045" s="1">
        <v>-4.0830100000000004E-6</v>
      </c>
      <c r="I5045">
        <v>118.45829999999999</v>
      </c>
      <c r="J5045">
        <v>-412.26</v>
      </c>
      <c r="K5045">
        <v>1.1153</v>
      </c>
      <c r="L5045">
        <v>130.76660000000001</v>
      </c>
      <c r="M5045">
        <v>-0.64271339999999999</v>
      </c>
      <c r="N5045">
        <v>-1.41774E-2</v>
      </c>
      <c r="O5045">
        <v>-0.76597559999999998</v>
      </c>
      <c r="P5045">
        <v>-0.50403409999999904</v>
      </c>
      <c r="Q5045">
        <v>0.16121479999999999</v>
      </c>
      <c r="R5045">
        <v>-0.848504699999999</v>
      </c>
      <c r="S5045">
        <v>-1.374908</v>
      </c>
      <c r="T5045">
        <v>-0.2475531</v>
      </c>
      <c r="U5045">
        <v>-2.7682039999999999</v>
      </c>
      <c r="V5045">
        <v>-0.16125909999999999</v>
      </c>
      <c r="W5045">
        <v>0.17318819999999999</v>
      </c>
      <c r="X5045">
        <v>0.9715973</v>
      </c>
      <c r="Y5045">
        <v>-0.23525080000000001</v>
      </c>
      <c r="Z5045">
        <v>4.3144399999999999E-2</v>
      </c>
      <c r="AA5045">
        <v>0.97097670000000003</v>
      </c>
      <c r="AB5045">
        <v>22</v>
      </c>
      <c r="AC5045">
        <v>-6.0661999999999798</v>
      </c>
      <c r="AD5045">
        <v>-1.1153040830100001</v>
      </c>
      <c r="AE5045">
        <v>-12.308299999999999</v>
      </c>
      <c r="AF5045">
        <v>-3.24305175448551</v>
      </c>
      <c r="AG5045">
        <v>-1.1153040830100001</v>
      </c>
      <c r="AH5045">
        <v>13.2405542686461</v>
      </c>
      <c r="AI5045">
        <v>94.677267204727301</v>
      </c>
      <c r="AJ5045">
        <v>103.762691745723</v>
      </c>
      <c r="AK5045">
        <v>13.6774838775563</v>
      </c>
      <c r="AL5045">
        <v>80.026760058212204</v>
      </c>
      <c r="AM5045">
        <v>99.423658264312706</v>
      </c>
      <c r="AN5045">
        <v>0.99999998165966897</v>
      </c>
    </row>
    <row r="5046" spans="1:40" x14ac:dyDescent="0.25">
      <c r="A5046" t="str">
        <f>"20190304155203314"</f>
        <v>20190304155203314</v>
      </c>
      <c r="B5046" t="str">
        <f>"1551685923311984"</f>
        <v>1551685923311984</v>
      </c>
      <c r="C5046" t="s">
        <v>40</v>
      </c>
      <c r="D5046">
        <v>4.5562050000000003</v>
      </c>
      <c r="E5046">
        <v>0.47658260000000002</v>
      </c>
      <c r="F5046" t="s">
        <v>41</v>
      </c>
      <c r="G5046">
        <v>-418.63670000000002</v>
      </c>
      <c r="H5046" s="1">
        <v>-3.8576699999999999E-6</v>
      </c>
      <c r="I5046">
        <v>118.06140000000001</v>
      </c>
      <c r="J5046">
        <v>-412.41489999999999</v>
      </c>
      <c r="K5046">
        <v>1.115294</v>
      </c>
      <c r="L5046">
        <v>130.56559999999999</v>
      </c>
      <c r="M5046">
        <v>-0.63590219999999997</v>
      </c>
      <c r="N5046">
        <v>-1.417128E-2</v>
      </c>
      <c r="O5046">
        <v>-0.77163970000000004</v>
      </c>
      <c r="P5046">
        <v>-0.49699700000000002</v>
      </c>
      <c r="Q5046">
        <v>0.16028609999999999</v>
      </c>
      <c r="R5046">
        <v>-0.85282060000000004</v>
      </c>
      <c r="S5046">
        <v>-1.3847659999999999</v>
      </c>
      <c r="T5046">
        <v>-0.2421991</v>
      </c>
      <c r="U5046">
        <v>-2.759064</v>
      </c>
      <c r="V5046">
        <v>-0.1607856</v>
      </c>
      <c r="W5046">
        <v>0.1722658</v>
      </c>
      <c r="X5046">
        <v>0.97183969999999997</v>
      </c>
      <c r="Y5046">
        <v>-0.22257150000000001</v>
      </c>
      <c r="Z5046">
        <v>4.2854719999999999E-2</v>
      </c>
      <c r="AA5046">
        <v>0.97397400000000001</v>
      </c>
      <c r="AB5046">
        <v>22</v>
      </c>
      <c r="AC5046">
        <v>-6.2218000000000302</v>
      </c>
      <c r="AD5046">
        <v>-1.1152978576699999</v>
      </c>
      <c r="AE5046">
        <v>-12.5041999999999</v>
      </c>
      <c r="AF5046">
        <v>-3.1308119286576899</v>
      </c>
      <c r="AG5046">
        <v>-1.1152978576699999</v>
      </c>
      <c r="AH5046">
        <v>13.5203419402623</v>
      </c>
      <c r="AI5046">
        <v>94.594636789593906</v>
      </c>
      <c r="AJ5046">
        <v>103.03779334408</v>
      </c>
      <c r="AK5046">
        <v>13.9228416217942</v>
      </c>
      <c r="AL5046">
        <v>80.080415924062905</v>
      </c>
      <c r="AM5046">
        <v>99.394180140516099</v>
      </c>
      <c r="AN5046">
        <v>0.99999995875654402</v>
      </c>
    </row>
    <row r="5047" spans="1:40" x14ac:dyDescent="0.25">
      <c r="A5047" t="str">
        <f>"20190304155203334"</f>
        <v>20190304155203334</v>
      </c>
      <c r="B5047" t="str">
        <f>"1551685923331504"</f>
        <v>1551685923331504</v>
      </c>
      <c r="C5047" t="s">
        <v>40</v>
      </c>
      <c r="D5047">
        <v>4.5238209999999999</v>
      </c>
      <c r="E5047">
        <v>0.47724729999999999</v>
      </c>
      <c r="F5047" t="s">
        <v>41</v>
      </c>
      <c r="G5047">
        <v>-419.45060000000001</v>
      </c>
      <c r="H5047" s="1">
        <v>-3.1211250000000001E-6</v>
      </c>
      <c r="I5047">
        <v>116.681</v>
      </c>
      <c r="J5047">
        <v>-412.5335</v>
      </c>
      <c r="K5047">
        <v>1.1152799999999901</v>
      </c>
      <c r="L5047">
        <v>130.40940000000001</v>
      </c>
      <c r="M5047">
        <v>-0.63060269999999996</v>
      </c>
      <c r="N5047">
        <v>-1.416676E-2</v>
      </c>
      <c r="O5047">
        <v>-0.77597649999999996</v>
      </c>
      <c r="P5047">
        <v>-0.49112879999999998</v>
      </c>
      <c r="Q5047">
        <v>0.1598194</v>
      </c>
      <c r="R5047">
        <v>-0.85630039999999996</v>
      </c>
      <c r="S5047">
        <v>-1.3923650000000001</v>
      </c>
      <c r="T5047">
        <v>-0.22071850000000001</v>
      </c>
      <c r="U5047">
        <v>-2.7477719999999999</v>
      </c>
      <c r="V5047">
        <v>-0.16084989999999999</v>
      </c>
      <c r="W5047">
        <v>0.1717979</v>
      </c>
      <c r="X5047">
        <v>0.97191190000000005</v>
      </c>
      <c r="Y5047">
        <v>-0.21205840000000001</v>
      </c>
      <c r="Z5047">
        <v>3.871836E-2</v>
      </c>
      <c r="AA5047">
        <v>0.97648970000000002</v>
      </c>
      <c r="AB5047">
        <v>22</v>
      </c>
      <c r="AC5047">
        <v>-6.9170999999999996</v>
      </c>
      <c r="AD5047">
        <v>-1.1152831211249901</v>
      </c>
      <c r="AE5047">
        <v>-13.728400000000001</v>
      </c>
      <c r="AF5047">
        <v>-3.2727628933954498</v>
      </c>
      <c r="AG5047">
        <v>-1.1152831211249901</v>
      </c>
      <c r="AH5047">
        <v>14.937739235980599</v>
      </c>
      <c r="AI5047">
        <v>94.171320717092101</v>
      </c>
      <c r="AJ5047">
        <v>102.357873105829</v>
      </c>
      <c r="AK5047">
        <v>15.3326738333145</v>
      </c>
      <c r="AL5047">
        <v>80.107630513012595</v>
      </c>
      <c r="AM5047">
        <v>99.397184290642898</v>
      </c>
      <c r="AN5047">
        <v>0.99999997506801397</v>
      </c>
    </row>
    <row r="5048" spans="1:40" x14ac:dyDescent="0.25">
      <c r="A5048" t="str">
        <f>"20190304155203356"</f>
        <v>20190304155203356</v>
      </c>
      <c r="B5048" t="str">
        <f>"1551685923352004"</f>
        <v>1551685923352004</v>
      </c>
      <c r="C5048" t="s">
        <v>40</v>
      </c>
      <c r="D5048">
        <v>4.503533</v>
      </c>
      <c r="E5048">
        <v>0.47407949999999999</v>
      </c>
      <c r="F5048" t="s">
        <v>41</v>
      </c>
      <c r="G5048">
        <v>-419.43900000000002</v>
      </c>
      <c r="H5048" s="1">
        <v>-3.0896640000000001E-6</v>
      </c>
      <c r="I5048">
        <v>116.60290000000001</v>
      </c>
      <c r="J5048">
        <v>-412.66480000000001</v>
      </c>
      <c r="K5048">
        <v>1.1152709999999999</v>
      </c>
      <c r="L5048">
        <v>130.2337</v>
      </c>
      <c r="M5048">
        <v>-0.62463959999999996</v>
      </c>
      <c r="N5048">
        <v>-1.4161740000000001E-2</v>
      </c>
      <c r="O5048">
        <v>-0.7807847</v>
      </c>
      <c r="P5048">
        <v>-0.48450510000000002</v>
      </c>
      <c r="Q5048">
        <v>0.15894539999999999</v>
      </c>
      <c r="R5048">
        <v>-0.86022749999999903</v>
      </c>
      <c r="S5048">
        <v>-1.3778079999999999</v>
      </c>
      <c r="T5048">
        <v>-0.22252559999999999</v>
      </c>
      <c r="U5048">
        <v>-2.7547299999999999</v>
      </c>
      <c r="V5048">
        <v>-0.16099249999999901</v>
      </c>
      <c r="W5048">
        <v>0.17092370000000001</v>
      </c>
      <c r="X5048">
        <v>0.97204239999999997</v>
      </c>
      <c r="Y5048">
        <v>-0.20970140000000001</v>
      </c>
      <c r="Z5048">
        <v>3.9540529999999997E-2</v>
      </c>
      <c r="AA5048">
        <v>0.97696570000000005</v>
      </c>
      <c r="AB5048">
        <v>22</v>
      </c>
      <c r="AC5048">
        <v>-6.7742000000000004</v>
      </c>
      <c r="AD5048">
        <v>-1.1152740896640001</v>
      </c>
      <c r="AE5048">
        <v>-13.630799999999899</v>
      </c>
      <c r="AF5048">
        <v>-3.20824561516203</v>
      </c>
      <c r="AG5048">
        <v>-1.1152740896640001</v>
      </c>
      <c r="AH5048">
        <v>14.796211413553801</v>
      </c>
      <c r="AI5048">
        <v>94.213020864823605</v>
      </c>
      <c r="AJ5048">
        <v>102.233998537817</v>
      </c>
      <c r="AK5048">
        <v>15.1810588700809</v>
      </c>
      <c r="AL5048">
        <v>80.158470362678898</v>
      </c>
      <c r="AM5048">
        <v>99.404126339561401</v>
      </c>
      <c r="AN5048">
        <v>0.99999996183784901</v>
      </c>
    </row>
    <row r="5049" spans="1:40" x14ac:dyDescent="0.25">
      <c r="A5049" t="str">
        <f>"20190304155203379"</f>
        <v>20190304155203379</v>
      </c>
      <c r="B5049" t="str">
        <f>"1551685923371922"</f>
        <v>1551685923371922</v>
      </c>
      <c r="C5049" t="s">
        <v>40</v>
      </c>
      <c r="D5049">
        <v>4.4867670000000004</v>
      </c>
      <c r="E5049">
        <v>0.46965240000000003</v>
      </c>
      <c r="F5049" t="s">
        <v>41</v>
      </c>
      <c r="G5049">
        <v>-419.12079999999997</v>
      </c>
      <c r="H5049" s="1">
        <v>-3.2310920000000001E-6</v>
      </c>
      <c r="I5049">
        <v>116.801</v>
      </c>
      <c r="J5049">
        <v>-412.79669999999999</v>
      </c>
      <c r="K5049">
        <v>1.115256</v>
      </c>
      <c r="L5049">
        <v>130.05459999999999</v>
      </c>
      <c r="M5049">
        <v>-0.61855919999999998</v>
      </c>
      <c r="N5049">
        <v>-1.4156520000000001E-2</v>
      </c>
      <c r="O5049">
        <v>-0.78561110000000001</v>
      </c>
      <c r="P5049">
        <v>-0.47745549999999998</v>
      </c>
      <c r="Q5049">
        <v>0.15920680000000001</v>
      </c>
      <c r="R5049">
        <v>-0.8641124</v>
      </c>
      <c r="S5049">
        <v>-1.335175</v>
      </c>
      <c r="T5049">
        <v>-0.23065279999999999</v>
      </c>
      <c r="U5049">
        <v>-2.7780610000000001</v>
      </c>
      <c r="V5049">
        <v>-0.16136110000000001</v>
      </c>
      <c r="W5049">
        <v>0.17117969999999999</v>
      </c>
      <c r="X5049">
        <v>0.97193629999999998</v>
      </c>
      <c r="Y5049">
        <v>-0.21752550000000001</v>
      </c>
      <c r="Z5049">
        <v>4.1508469999999999E-2</v>
      </c>
      <c r="AA5049">
        <v>0.97517160000000003</v>
      </c>
      <c r="AB5049">
        <v>22</v>
      </c>
      <c r="AC5049">
        <v>-6.3240999999999801</v>
      </c>
      <c r="AD5049">
        <v>-1.115259231092</v>
      </c>
      <c r="AE5049">
        <v>-13.253599999999899</v>
      </c>
      <c r="AF5049">
        <v>-3.2116519899941598</v>
      </c>
      <c r="AG5049">
        <v>-1.115259231092</v>
      </c>
      <c r="AH5049">
        <v>14.2432859991477</v>
      </c>
      <c r="AI5049">
        <v>94.367940698105699</v>
      </c>
      <c r="AJ5049">
        <v>102.706847979494</v>
      </c>
      <c r="AK5049">
        <v>14.643418580061301</v>
      </c>
      <c r="AL5049">
        <v>80.143583942983</v>
      </c>
      <c r="AM5049">
        <v>99.426282055849498</v>
      </c>
      <c r="AN5049">
        <v>1.00000003277149</v>
      </c>
    </row>
    <row r="5050" spans="1:40" x14ac:dyDescent="0.25">
      <c r="A5050" t="str">
        <f>"20190304155203402"</f>
        <v>20190304155203402</v>
      </c>
      <c r="B5050" t="str">
        <f>"1551685923391442"</f>
        <v>1551685923391442</v>
      </c>
      <c r="C5050" t="s">
        <v>40</v>
      </c>
      <c r="D5050">
        <v>4.5488140000000001</v>
      </c>
      <c r="E5050">
        <v>0.46694229999999998</v>
      </c>
      <c r="F5050" t="s">
        <v>41</v>
      </c>
      <c r="G5050">
        <v>-419.04640000000001</v>
      </c>
      <c r="H5050" s="1">
        <v>-3.061805E-6</v>
      </c>
      <c r="I5050">
        <v>116.37560000000001</v>
      </c>
      <c r="J5050">
        <v>-412.92720000000003</v>
      </c>
      <c r="K5050">
        <v>1.11524</v>
      </c>
      <c r="L5050">
        <v>129.87430000000001</v>
      </c>
      <c r="M5050">
        <v>-0.61244829999999995</v>
      </c>
      <c r="N5050">
        <v>-1.4150950000000001E-2</v>
      </c>
      <c r="O5050">
        <v>-0.79038409999999903</v>
      </c>
      <c r="P5050">
        <v>-0.47082780000000002</v>
      </c>
      <c r="Q5050">
        <v>0.15955039999999901</v>
      </c>
      <c r="R5050">
        <v>-0.86767839999999996</v>
      </c>
      <c r="S5050">
        <v>-1.28186</v>
      </c>
      <c r="T5050">
        <v>-0.2287476</v>
      </c>
      <c r="U5050">
        <v>-2.8056489999999998</v>
      </c>
      <c r="V5050">
        <v>-0.16121959999999999</v>
      </c>
      <c r="W5050">
        <v>0.17152690000000001</v>
      </c>
      <c r="X5050">
        <v>0.97189859999999995</v>
      </c>
      <c r="Y5050">
        <v>-0.2288895</v>
      </c>
      <c r="Z5050">
        <v>4.1057860000000002E-2</v>
      </c>
      <c r="AA5050">
        <v>0.97258619999999996</v>
      </c>
      <c r="AB5050">
        <v>22</v>
      </c>
      <c r="AC5050">
        <v>-6.11919999999997</v>
      </c>
      <c r="AD5050">
        <v>-1.115243061805</v>
      </c>
      <c r="AE5050">
        <v>-13.498699999999999</v>
      </c>
      <c r="AF5050">
        <v>-3.4117624485650802</v>
      </c>
      <c r="AG5050">
        <v>-1.115243061805</v>
      </c>
      <c r="AH5050">
        <v>14.337113458678401</v>
      </c>
      <c r="AI5050">
        <v>94.327552562301406</v>
      </c>
      <c r="AJ5050">
        <v>103.38555395117299</v>
      </c>
      <c r="AK5050">
        <v>14.779604609710001</v>
      </c>
      <c r="AL5050">
        <v>80.123392505159103</v>
      </c>
      <c r="AM5050">
        <v>99.4185229515641</v>
      </c>
      <c r="AN5050">
        <v>1.00000006276486</v>
      </c>
    </row>
    <row r="5051" spans="1:40" x14ac:dyDescent="0.25">
      <c r="A5051" t="str">
        <f>"20190304155203423"</f>
        <v>20190304155203423</v>
      </c>
      <c r="B5051" t="str">
        <f>"1551685923411938"</f>
        <v>1551685923411938</v>
      </c>
      <c r="C5051" t="s">
        <v>40</v>
      </c>
      <c r="D5051">
        <v>4.5658960000000004</v>
      </c>
      <c r="E5051">
        <v>0.46539930000000002</v>
      </c>
      <c r="F5051" t="s">
        <v>41</v>
      </c>
      <c r="G5051">
        <v>-419.10700000000003</v>
      </c>
      <c r="H5051" s="1">
        <v>-2.8059749999999998E-6</v>
      </c>
      <c r="I5051">
        <v>115.8043</v>
      </c>
      <c r="J5051">
        <v>-413.05079999999998</v>
      </c>
      <c r="K5051">
        <v>1.115218</v>
      </c>
      <c r="L5051">
        <v>129.70079999999999</v>
      </c>
      <c r="M5051">
        <v>-0.60658259999999997</v>
      </c>
      <c r="N5051">
        <v>-1.414523E-2</v>
      </c>
      <c r="O5051">
        <v>-0.79489449999999995</v>
      </c>
      <c r="P5051">
        <v>-0.46399570000000001</v>
      </c>
      <c r="Q5051">
        <v>0.1601322</v>
      </c>
      <c r="R5051">
        <v>-0.87124380000000001</v>
      </c>
      <c r="S5051">
        <v>-1.240936</v>
      </c>
      <c r="T5051">
        <v>-0.22394790000000001</v>
      </c>
      <c r="U5051">
        <v>-2.8253330000000001</v>
      </c>
      <c r="V5051">
        <v>-0.1615964</v>
      </c>
      <c r="W5051">
        <v>0.1721066</v>
      </c>
      <c r="X5051">
        <v>0.97173350000000003</v>
      </c>
      <c r="Y5051">
        <v>-0.23596410000000001</v>
      </c>
      <c r="Z5051">
        <v>4.005703E-2</v>
      </c>
      <c r="AA5051">
        <v>0.97093580000000002</v>
      </c>
      <c r="AB5051">
        <v>22</v>
      </c>
      <c r="AC5051">
        <v>-6.0561999999999898</v>
      </c>
      <c r="AD5051">
        <v>-1.115220805975</v>
      </c>
      <c r="AE5051">
        <v>-13.8964999999999</v>
      </c>
      <c r="AF5051">
        <v>-3.5962328699715198</v>
      </c>
      <c r="AG5051">
        <v>-1.115220805975</v>
      </c>
      <c r="AH5051">
        <v>14.6420625147707</v>
      </c>
      <c r="AI5051">
        <v>94.2303057442615</v>
      </c>
      <c r="AJ5051">
        <v>103.799252209125</v>
      </c>
      <c r="AK5051">
        <v>15.1184193283424</v>
      </c>
      <c r="AL5051">
        <v>80.089676492506598</v>
      </c>
      <c r="AM5051">
        <v>99.441715034680598</v>
      </c>
      <c r="AN5051">
        <v>1.00000003663938</v>
      </c>
    </row>
    <row r="5052" spans="1:40" x14ac:dyDescent="0.25">
      <c r="A5052" t="str">
        <f>"20190304155203446"</f>
        <v>20190304155203446</v>
      </c>
      <c r="B5052" t="str">
        <f>"1551685923442193"</f>
        <v>1551685923442193</v>
      </c>
      <c r="C5052" t="s">
        <v>40</v>
      </c>
      <c r="D5052">
        <v>4.5708640000000003</v>
      </c>
      <c r="E5052">
        <v>0.4640995</v>
      </c>
      <c r="F5052" t="s">
        <v>41</v>
      </c>
      <c r="G5052">
        <v>-419.15839999999997</v>
      </c>
      <c r="H5052" s="1">
        <v>-2.6014920000000002E-6</v>
      </c>
      <c r="I5052">
        <v>115.3489</v>
      </c>
      <c r="J5052">
        <v>-413.17489999999998</v>
      </c>
      <c r="K5052">
        <v>1.115194</v>
      </c>
      <c r="L5052">
        <v>129.524</v>
      </c>
      <c r="M5052">
        <v>-0.60062199999999999</v>
      </c>
      <c r="N5052">
        <v>-1.413881E-2</v>
      </c>
      <c r="O5052">
        <v>-0.79940829999999996</v>
      </c>
      <c r="P5052">
        <v>-0.45744750000000001</v>
      </c>
      <c r="Q5052">
        <v>0.16100220000000001</v>
      </c>
      <c r="R5052">
        <v>-0.87454019999999999</v>
      </c>
      <c r="S5052">
        <v>-1.2086790000000001</v>
      </c>
      <c r="T5052">
        <v>-0.22070090000000001</v>
      </c>
      <c r="U5052">
        <v>-2.8402250000000002</v>
      </c>
      <c r="V5052">
        <v>-0.16151989999999999</v>
      </c>
      <c r="W5052">
        <v>0.17298069999999999</v>
      </c>
      <c r="X5052">
        <v>0.97159099999999998</v>
      </c>
      <c r="Y5052">
        <v>-0.23985580000000001</v>
      </c>
      <c r="Z5052">
        <v>3.9506930000000003E-2</v>
      </c>
      <c r="AA5052">
        <v>0.97000430000000004</v>
      </c>
      <c r="AB5052">
        <v>22</v>
      </c>
      <c r="AC5052">
        <v>-5.9834999999999896</v>
      </c>
      <c r="AD5052">
        <v>-1.1151966014920001</v>
      </c>
      <c r="AE5052">
        <v>-14.1751</v>
      </c>
      <c r="AF5052">
        <v>-3.71149180104586</v>
      </c>
      <c r="AG5052">
        <v>-1.1151966014920001</v>
      </c>
      <c r="AH5052">
        <v>14.848996527621299</v>
      </c>
      <c r="AI5052">
        <v>94.167263398470197</v>
      </c>
      <c r="AJ5052">
        <v>104.033493121162</v>
      </c>
      <c r="AK5052">
        <v>15.3463850051574</v>
      </c>
      <c r="AL5052">
        <v>80.038831667982606</v>
      </c>
      <c r="AM5052">
        <v>99.438684971684907</v>
      </c>
      <c r="AN5052">
        <v>1.0000000359747401</v>
      </c>
    </row>
    <row r="5053" spans="1:40" x14ac:dyDescent="0.25">
      <c r="A5053" t="str">
        <f>"20190304155203469"</f>
        <v>20190304155203469</v>
      </c>
      <c r="B5053" t="str">
        <f>"1551685923461714"</f>
        <v>1551685923461714</v>
      </c>
      <c r="C5053" t="s">
        <v>40</v>
      </c>
      <c r="D5053">
        <v>4.600733</v>
      </c>
      <c r="E5053">
        <v>0.46379219999999999</v>
      </c>
      <c r="F5053" t="s">
        <v>41</v>
      </c>
      <c r="G5053">
        <v>-419.24959999999999</v>
      </c>
      <c r="H5053" s="1">
        <v>-2.351506E-6</v>
      </c>
      <c r="I5053">
        <v>114.8039</v>
      </c>
      <c r="J5053">
        <v>-413.30419999999998</v>
      </c>
      <c r="K5053">
        <v>1.1151629999999999</v>
      </c>
      <c r="L5053">
        <v>129.33680000000001</v>
      </c>
      <c r="M5053">
        <v>-0.59433239999999998</v>
      </c>
      <c r="N5053">
        <v>-1.413179E-2</v>
      </c>
      <c r="O5053">
        <v>-0.80409540000000002</v>
      </c>
      <c r="P5053">
        <v>-0.45139990000000002</v>
      </c>
      <c r="Q5053">
        <v>0.16148119999999999</v>
      </c>
      <c r="R5053">
        <v>-0.87758890000000001</v>
      </c>
      <c r="S5053">
        <v>-1.177826</v>
      </c>
      <c r="T5053">
        <v>-0.21622530000000001</v>
      </c>
      <c r="U5053">
        <v>-2.8540800000000002</v>
      </c>
      <c r="V5053">
        <v>-0.16054089999999999</v>
      </c>
      <c r="W5053">
        <v>0.17347850000000001</v>
      </c>
      <c r="X5053">
        <v>0.97166450000000004</v>
      </c>
      <c r="Y5053">
        <v>-0.24284620000000001</v>
      </c>
      <c r="Z5053">
        <v>3.8698929999999999E-2</v>
      </c>
      <c r="AA5053">
        <v>0.96929259999999995</v>
      </c>
      <c r="AB5053">
        <v>22</v>
      </c>
      <c r="AC5053">
        <v>-5.9454000000000002</v>
      </c>
      <c r="AD5053">
        <v>-1.1151653515059901</v>
      </c>
      <c r="AE5053">
        <v>-14.5329</v>
      </c>
      <c r="AF5053">
        <v>-3.8377322548317201</v>
      </c>
      <c r="AG5053">
        <v>-1.1151653515059901</v>
      </c>
      <c r="AH5053">
        <v>15.1445131712637</v>
      </c>
      <c r="AI5053">
        <v>94.082779108233495</v>
      </c>
      <c r="AJ5053">
        <v>104.219843131416</v>
      </c>
      <c r="AK5053">
        <v>15.662951887034399</v>
      </c>
      <c r="AL5053">
        <v>80.009871997715294</v>
      </c>
      <c r="AM5053">
        <v>99.381798656886104</v>
      </c>
      <c r="AN5053">
        <v>1.0000000355476499</v>
      </c>
    </row>
    <row r="5054" spans="1:40" x14ac:dyDescent="0.25">
      <c r="A5054" t="str">
        <f>"20190304155203490"</f>
        <v>20190304155203490</v>
      </c>
      <c r="B5054" t="str">
        <f>"1551685923482210"</f>
        <v>1551685923482210</v>
      </c>
      <c r="C5054" t="s">
        <v>40</v>
      </c>
      <c r="D5054">
        <v>4.5669639999999996</v>
      </c>
      <c r="E5054">
        <v>0.46357569999999998</v>
      </c>
      <c r="F5054" t="s">
        <v>41</v>
      </c>
      <c r="G5054">
        <v>-419.33109999999999</v>
      </c>
      <c r="H5054" s="1">
        <v>-2.1696770000000002E-6</v>
      </c>
      <c r="I5054">
        <v>114.41370000000001</v>
      </c>
      <c r="J5054">
        <v>-413.42259999999999</v>
      </c>
      <c r="K5054">
        <v>1.115129</v>
      </c>
      <c r="L5054">
        <v>129.16249999999999</v>
      </c>
      <c r="M5054">
        <v>-0.58850340000000001</v>
      </c>
      <c r="N5054">
        <v>-1.4124930000000001E-2</v>
      </c>
      <c r="O5054">
        <v>-0.80837169999999903</v>
      </c>
      <c r="P5054">
        <v>-0.44572980000000001</v>
      </c>
      <c r="Q5054">
        <v>0.16141129999999901</v>
      </c>
      <c r="R5054">
        <v>-0.88049549999999999</v>
      </c>
      <c r="S5054">
        <v>-1.1562809999999999</v>
      </c>
      <c r="T5054">
        <v>-0.21394920000000001</v>
      </c>
      <c r="U5054">
        <v>-2.8630520000000002</v>
      </c>
      <c r="V5054">
        <v>-0.15977379999999999</v>
      </c>
      <c r="W5054">
        <v>0.17342489999999999</v>
      </c>
      <c r="X5054">
        <v>0.97180040000000001</v>
      </c>
      <c r="Y5054">
        <v>-0.24315439999999999</v>
      </c>
      <c r="Z5054">
        <v>3.8453380000000002E-2</v>
      </c>
      <c r="AA5054">
        <v>0.96922509999999995</v>
      </c>
      <c r="AB5054">
        <v>22</v>
      </c>
      <c r="AC5054">
        <v>-5.9085000000000001</v>
      </c>
      <c r="AD5054">
        <v>-1.1151311696770001</v>
      </c>
      <c r="AE5054">
        <v>-14.7487999999999</v>
      </c>
      <c r="AF5054">
        <v>-3.8847068684962398</v>
      </c>
      <c r="AG5054">
        <v>-1.1151311696770001</v>
      </c>
      <c r="AH5054">
        <v>15.3257217800964</v>
      </c>
      <c r="AI5054">
        <v>94.034476246515794</v>
      </c>
      <c r="AJ5054">
        <v>104.223549251226</v>
      </c>
      <c r="AK5054">
        <v>15.849675487550201</v>
      </c>
      <c r="AL5054">
        <v>80.012989356442503</v>
      </c>
      <c r="AM5054">
        <v>99.336478931669404</v>
      </c>
      <c r="AN5054">
        <v>0.99999994027330297</v>
      </c>
    </row>
    <row r="5055" spans="1:40" x14ac:dyDescent="0.25">
      <c r="A5055" t="str">
        <f>"20190304155203514"</f>
        <v>20190304155203514</v>
      </c>
      <c r="B5055" t="str">
        <f>"1551685923501731"</f>
        <v>1551685923501731</v>
      </c>
      <c r="C5055" t="s">
        <v>40</v>
      </c>
      <c r="D5055">
        <v>4.5833029999999999</v>
      </c>
      <c r="E5055">
        <v>0.4635222</v>
      </c>
      <c r="F5055" t="s">
        <v>41</v>
      </c>
      <c r="G5055">
        <v>-419.36579999999998</v>
      </c>
      <c r="H5055" s="1">
        <v>-2.0474129999999998E-6</v>
      </c>
      <c r="I5055">
        <v>114.1431</v>
      </c>
      <c r="J5055">
        <v>-413.54660000000001</v>
      </c>
      <c r="K5055">
        <v>1.1150990000000001</v>
      </c>
      <c r="L5055">
        <v>128.977</v>
      </c>
      <c r="M5055">
        <v>-0.58232099999999998</v>
      </c>
      <c r="N5055">
        <v>-1.4117599999999999E-2</v>
      </c>
      <c r="O5055">
        <v>-0.81283649999999996</v>
      </c>
      <c r="P5055">
        <v>-0.44091590000000003</v>
      </c>
      <c r="Q5055">
        <v>0.16113160000000001</v>
      </c>
      <c r="R5055">
        <v>-0.88296659999999905</v>
      </c>
      <c r="S5055">
        <v>-1.1361079999999999</v>
      </c>
      <c r="T5055">
        <v>-0.21316950000000001</v>
      </c>
      <c r="U5055">
        <v>-2.871124</v>
      </c>
      <c r="V5055">
        <v>-0.1576747</v>
      </c>
      <c r="W5055">
        <v>0.17317879999999899</v>
      </c>
      <c r="X5055">
        <v>0.97218709999999997</v>
      </c>
      <c r="Y5055">
        <v>-0.2425784</v>
      </c>
      <c r="Z5055">
        <v>3.8597199999999998E-2</v>
      </c>
      <c r="AA5055">
        <v>0.96936369999999905</v>
      </c>
      <c r="AB5055">
        <v>22</v>
      </c>
      <c r="AC5055">
        <v>-5.8191999999999604</v>
      </c>
      <c r="AD5055">
        <v>-1.1151010474130001</v>
      </c>
      <c r="AE5055">
        <v>-14.8339</v>
      </c>
      <c r="AF5055">
        <v>-3.8893751222234001</v>
      </c>
      <c r="AG5055">
        <v>-1.1151010474130001</v>
      </c>
      <c r="AH5055">
        <v>15.372432736279301</v>
      </c>
      <c r="AI5055">
        <v>94.022594147164895</v>
      </c>
      <c r="AJ5055">
        <v>104.19842942404</v>
      </c>
      <c r="AK5055">
        <v>15.89598620466</v>
      </c>
      <c r="AL5055">
        <v>80.027306911038494</v>
      </c>
      <c r="AM5055">
        <v>99.212332253016797</v>
      </c>
      <c r="AN5055">
        <v>0.99999998259796896</v>
      </c>
    </row>
    <row r="5056" spans="1:40" x14ac:dyDescent="0.25">
      <c r="A5056" t="str">
        <f>"20190304155203535"</f>
        <v>20190304155203535</v>
      </c>
      <c r="B5056" t="str">
        <f>"1551685923531986"</f>
        <v>1551685923531986</v>
      </c>
      <c r="C5056" t="s">
        <v>40</v>
      </c>
      <c r="D5056">
        <v>4.544422</v>
      </c>
      <c r="E5056">
        <v>0.46367059999999999</v>
      </c>
      <c r="F5056" t="s">
        <v>41</v>
      </c>
      <c r="G5056">
        <v>-419.41640000000001</v>
      </c>
      <c r="H5056" s="1">
        <v>-1.9361809999999999E-6</v>
      </c>
      <c r="I5056">
        <v>113.90479999999999</v>
      </c>
      <c r="J5056">
        <v>-413.6653</v>
      </c>
      <c r="K5056">
        <v>1.11507</v>
      </c>
      <c r="L5056">
        <v>128.79660000000001</v>
      </c>
      <c r="M5056">
        <v>-0.57633319999999999</v>
      </c>
      <c r="N5056">
        <v>-1.4110640000000001E-2</v>
      </c>
      <c r="O5056">
        <v>-0.81709299999999996</v>
      </c>
      <c r="P5056">
        <v>-0.4365985</v>
      </c>
      <c r="Q5056">
        <v>0.16101190000000001</v>
      </c>
      <c r="R5056">
        <v>-0.885131</v>
      </c>
      <c r="S5056">
        <v>-1.120422</v>
      </c>
      <c r="T5056">
        <v>-0.2128485</v>
      </c>
      <c r="U5056">
        <v>-2.8769529999999999</v>
      </c>
      <c r="V5056">
        <v>-0.1552724</v>
      </c>
      <c r="W5056">
        <v>0.17309530000000001</v>
      </c>
      <c r="X5056">
        <v>0.97258849999999997</v>
      </c>
      <c r="Y5056">
        <v>-0.24070800000000001</v>
      </c>
      <c r="Z5056">
        <v>3.8872230000000001E-2</v>
      </c>
      <c r="AA5056">
        <v>0.96981879999999998</v>
      </c>
      <c r="AB5056">
        <v>22</v>
      </c>
      <c r="AC5056">
        <v>-5.7511000000000001</v>
      </c>
      <c r="AD5056">
        <v>-1.115071936181</v>
      </c>
      <c r="AE5056">
        <v>-14.8918</v>
      </c>
      <c r="AF5056">
        <v>-3.8649842824033298</v>
      </c>
      <c r="AG5056">
        <v>-1.115071936181</v>
      </c>
      <c r="AH5056">
        <v>15.408895680800001</v>
      </c>
      <c r="AI5056">
        <v>94.015069611624497</v>
      </c>
      <c r="AJ5056">
        <v>104.080891310517</v>
      </c>
      <c r="AK5056">
        <v>15.9253117717632</v>
      </c>
      <c r="AL5056">
        <v>80.032164097338693</v>
      </c>
      <c r="AM5056">
        <v>99.070645103123397</v>
      </c>
      <c r="AN5056">
        <v>0.99999994570804795</v>
      </c>
    </row>
    <row r="5057" spans="1:40" x14ac:dyDescent="0.25">
      <c r="A5057" t="str">
        <f>"20190304155203557"</f>
        <v>20190304155203557</v>
      </c>
      <c r="B5057" t="str">
        <f>"1551685923552482"</f>
        <v>1551685923552482</v>
      </c>
      <c r="C5057" t="s">
        <v>40</v>
      </c>
      <c r="D5057">
        <v>4.6092599999999999</v>
      </c>
      <c r="E5057">
        <v>0.46397949999999999</v>
      </c>
      <c r="F5057" t="s">
        <v>41</v>
      </c>
      <c r="G5057">
        <v>-419.44650000000001</v>
      </c>
      <c r="H5057" s="1">
        <v>-1.8636010000000001E-6</v>
      </c>
      <c r="I5057">
        <v>113.748</v>
      </c>
      <c r="J5057">
        <v>-413.78250000000003</v>
      </c>
      <c r="K5057">
        <v>1.1150420000000001</v>
      </c>
      <c r="L5057">
        <v>128.61580000000001</v>
      </c>
      <c r="M5057">
        <v>-0.57034619999999903</v>
      </c>
      <c r="N5057">
        <v>-1.4103799999999901E-2</v>
      </c>
      <c r="O5057">
        <v>-0.82128349999999894</v>
      </c>
      <c r="P5057">
        <v>-0.4327008</v>
      </c>
      <c r="Q5057">
        <v>0.16152049999999901</v>
      </c>
      <c r="R5057">
        <v>-0.88695089999999999</v>
      </c>
      <c r="S5057">
        <v>-1.107208</v>
      </c>
      <c r="T5057">
        <v>-0.2135551</v>
      </c>
      <c r="U5057">
        <v>-2.8820649999999999</v>
      </c>
      <c r="V5057">
        <v>-0.15237539999999999</v>
      </c>
      <c r="W5057">
        <v>0.1736442</v>
      </c>
      <c r="X5057">
        <v>0.97294879999999995</v>
      </c>
      <c r="Y5057">
        <v>-0.23807310000000001</v>
      </c>
      <c r="Z5057">
        <v>3.9404359999999999E-2</v>
      </c>
      <c r="AA5057">
        <v>0.97044750000000002</v>
      </c>
      <c r="AB5057">
        <v>22</v>
      </c>
      <c r="AC5057">
        <v>-5.6639999999999802</v>
      </c>
      <c r="AD5057">
        <v>-1.1150438636010001</v>
      </c>
      <c r="AE5057">
        <v>-14.867800000000001</v>
      </c>
      <c r="AF5057">
        <v>-3.8097113690451301</v>
      </c>
      <c r="AG5057">
        <v>-1.1150438636010001</v>
      </c>
      <c r="AH5057">
        <v>15.367173712501399</v>
      </c>
      <c r="AI5057">
        <v>94.028581475224598</v>
      </c>
      <c r="AJ5057">
        <v>103.923608106744</v>
      </c>
      <c r="AK5057">
        <v>15.871586292597801</v>
      </c>
      <c r="AL5057">
        <v>80.000231106753503</v>
      </c>
      <c r="AM5057">
        <v>98.900901495124302</v>
      </c>
      <c r="AN5057">
        <v>0.99999996907011901</v>
      </c>
    </row>
    <row r="5058" spans="1:40" x14ac:dyDescent="0.25">
      <c r="A5058" t="str">
        <f>"20190304155203579"</f>
        <v>20190304155203579</v>
      </c>
      <c r="B5058" t="str">
        <f>"1551685923572002"</f>
        <v>1551685923572002</v>
      </c>
      <c r="C5058" t="s">
        <v>40</v>
      </c>
      <c r="D5058">
        <v>4.5458780000000001</v>
      </c>
      <c r="E5058">
        <v>0.4644105</v>
      </c>
      <c r="F5058" t="s">
        <v>41</v>
      </c>
      <c r="G5058">
        <v>-419.59269999999998</v>
      </c>
      <c r="H5058" s="1">
        <v>-1.6567259999999901E-6</v>
      </c>
      <c r="I5058">
        <v>113.3262</v>
      </c>
      <c r="J5058">
        <v>-413.89850000000001</v>
      </c>
      <c r="K5058">
        <v>1.115005</v>
      </c>
      <c r="L5058">
        <v>128.43389999999999</v>
      </c>
      <c r="M5058">
        <v>-0.56434719999999905</v>
      </c>
      <c r="N5058">
        <v>-1.4096930000000001E-2</v>
      </c>
      <c r="O5058">
        <v>-0.82541739999999997</v>
      </c>
      <c r="P5058">
        <v>-0.42845070000000002</v>
      </c>
      <c r="Q5058">
        <v>0.16102169999999999</v>
      </c>
      <c r="R5058">
        <v>-0.88910199999999995</v>
      </c>
      <c r="S5058">
        <v>-1.096619</v>
      </c>
      <c r="T5058">
        <v>-0.2104509</v>
      </c>
      <c r="U5058">
        <v>-2.8857119999999998</v>
      </c>
      <c r="V5058">
        <v>-0.1499712</v>
      </c>
      <c r="W5058">
        <v>0.17318069999999999</v>
      </c>
      <c r="X5058">
        <v>0.97340490000000002</v>
      </c>
      <c r="Y5058">
        <v>-0.2345111</v>
      </c>
      <c r="Z5058">
        <v>3.9032509999999999E-2</v>
      </c>
      <c r="AA5058">
        <v>0.97132949999999996</v>
      </c>
      <c r="AB5058">
        <v>22</v>
      </c>
      <c r="AC5058">
        <v>-5.6941999999999604</v>
      </c>
      <c r="AD5058">
        <v>-1.115006656726</v>
      </c>
      <c r="AE5058">
        <v>-15.1076999999999</v>
      </c>
      <c r="AF5058">
        <v>-3.80811326758948</v>
      </c>
      <c r="AG5058">
        <v>-1.115006656726</v>
      </c>
      <c r="AH5058">
        <v>15.6107649683192</v>
      </c>
      <c r="AI5058">
        <v>93.969431368479803</v>
      </c>
      <c r="AJ5058">
        <v>103.70907281606</v>
      </c>
      <c r="AK5058">
        <v>16.107170744716001</v>
      </c>
      <c r="AL5058">
        <v>80.027196629953806</v>
      </c>
      <c r="AM5058">
        <v>98.758616399239898</v>
      </c>
      <c r="AN5058">
        <v>1.00000000751297</v>
      </c>
    </row>
    <row r="5059" spans="1:40" x14ac:dyDescent="0.25">
      <c r="A5059" t="str">
        <f>"20190304155203602"</f>
        <v>20190304155203602</v>
      </c>
      <c r="B5059" t="str">
        <f>"1551685923592498"</f>
        <v>1551685923592498</v>
      </c>
      <c r="C5059" t="s">
        <v>40</v>
      </c>
      <c r="D5059">
        <v>4.608492</v>
      </c>
      <c r="E5059">
        <v>0.46477059999999998</v>
      </c>
      <c r="F5059" t="s">
        <v>41</v>
      </c>
      <c r="G5059">
        <v>-419.6327</v>
      </c>
      <c r="H5059" s="1">
        <v>-1.580379E-6</v>
      </c>
      <c r="I5059">
        <v>113.1648</v>
      </c>
      <c r="J5059">
        <v>-414.0154</v>
      </c>
      <c r="K5059">
        <v>1.11497</v>
      </c>
      <c r="L5059">
        <v>128.24770000000001</v>
      </c>
      <c r="M5059">
        <v>-0.55822649999999996</v>
      </c>
      <c r="N5059">
        <v>-1.408968E-2</v>
      </c>
      <c r="O5059">
        <v>-0.82956909999999895</v>
      </c>
      <c r="P5059">
        <v>-0.4231338</v>
      </c>
      <c r="Q5059">
        <v>0.15978899999999999</v>
      </c>
      <c r="R5059">
        <v>-0.89186659999999995</v>
      </c>
      <c r="S5059">
        <v>-1.0851139999999999</v>
      </c>
      <c r="T5059">
        <v>-0.2109982</v>
      </c>
      <c r="U5059">
        <v>-2.8894500000000001</v>
      </c>
      <c r="V5059">
        <v>-0.148677799999999</v>
      </c>
      <c r="W5059">
        <v>0.17197170000000001</v>
      </c>
      <c r="X5059">
        <v>0.9738175</v>
      </c>
      <c r="Y5059">
        <v>-0.23113120000000001</v>
      </c>
      <c r="Z5059">
        <v>3.954767E-2</v>
      </c>
      <c r="AA5059">
        <v>0.9721185</v>
      </c>
      <c r="AB5059">
        <v>22</v>
      </c>
      <c r="AC5059">
        <v>-5.6173000000000002</v>
      </c>
      <c r="AD5059">
        <v>-1.1149715803789999</v>
      </c>
      <c r="AE5059">
        <v>-15.0829</v>
      </c>
      <c r="AF5059">
        <v>-3.7421503291170102</v>
      </c>
      <c r="AG5059">
        <v>-1.1149715803789999</v>
      </c>
      <c r="AH5059">
        <v>15.574841995651401</v>
      </c>
      <c r="AI5059">
        <v>93.981764839862706</v>
      </c>
      <c r="AJ5059">
        <v>103.510300734406</v>
      </c>
      <c r="AK5059">
        <v>16.056853798309</v>
      </c>
      <c r="AL5059">
        <v>80.097521697609096</v>
      </c>
      <c r="AM5059">
        <v>98.680612331673998</v>
      </c>
      <c r="AN5059">
        <v>0.99999993855998803</v>
      </c>
    </row>
    <row r="5060" spans="1:40" x14ac:dyDescent="0.25">
      <c r="A5060" t="str">
        <f>"20190304155203624"</f>
        <v>20190304155203624</v>
      </c>
      <c r="B5060" t="str">
        <f>"1551685923621778"</f>
        <v>1551685923621778</v>
      </c>
      <c r="C5060" t="s">
        <v>40</v>
      </c>
      <c r="D5060">
        <v>4.6157959999999996</v>
      </c>
      <c r="E5060">
        <v>0.46544489999999999</v>
      </c>
      <c r="F5060" t="s">
        <v>41</v>
      </c>
      <c r="G5060">
        <v>-419.58179999999999</v>
      </c>
      <c r="H5060" s="1">
        <v>-1.5948430000000001E-6</v>
      </c>
      <c r="I5060">
        <v>113.17749999999999</v>
      </c>
      <c r="J5060">
        <v>-414.12700000000001</v>
      </c>
      <c r="K5060">
        <v>1.1149340000000001</v>
      </c>
      <c r="L5060">
        <v>128.0669</v>
      </c>
      <c r="M5060">
        <v>-0.55231209999999997</v>
      </c>
      <c r="N5060">
        <v>-1.4082290000000001E-2</v>
      </c>
      <c r="O5060">
        <v>-0.8335186</v>
      </c>
      <c r="P5060">
        <v>-0.41744389999999998</v>
      </c>
      <c r="Q5060">
        <v>0.15857929999999901</v>
      </c>
      <c r="R5060">
        <v>-0.89475890000000002</v>
      </c>
      <c r="S5060">
        <v>-1.0692440000000001</v>
      </c>
      <c r="T5060">
        <v>-0.21417269999999999</v>
      </c>
      <c r="U5060">
        <v>-2.894806</v>
      </c>
      <c r="V5060">
        <v>-0.14804500000000001</v>
      </c>
      <c r="W5060">
        <v>0.1707776</v>
      </c>
      <c r="X5060">
        <v>0.97412410000000005</v>
      </c>
      <c r="Y5060">
        <v>-0.22950000000000001</v>
      </c>
      <c r="Z5060">
        <v>4.0659649999999999E-2</v>
      </c>
      <c r="AA5060">
        <v>0.97245899999999996</v>
      </c>
      <c r="AB5060">
        <v>22</v>
      </c>
      <c r="AC5060">
        <v>-5.4548000000000298</v>
      </c>
      <c r="AD5060">
        <v>-1.114935594843</v>
      </c>
      <c r="AE5060">
        <v>-14.8894</v>
      </c>
      <c r="AF5060">
        <v>-3.6591929085443602</v>
      </c>
      <c r="AG5060">
        <v>-1.114935594843</v>
      </c>
      <c r="AH5060">
        <v>15.348991343882499</v>
      </c>
      <c r="AI5060">
        <v>94.041735664346902</v>
      </c>
      <c r="AJ5060">
        <v>103.40899799962899</v>
      </c>
      <c r="AK5060">
        <v>15.818479996421001</v>
      </c>
      <c r="AL5060">
        <v>80.166966931988796</v>
      </c>
      <c r="AM5060">
        <v>98.641545671289506</v>
      </c>
      <c r="AN5060">
        <v>1.00000003644378</v>
      </c>
    </row>
    <row r="5061" spans="1:40" x14ac:dyDescent="0.25">
      <c r="A5061" t="str">
        <f>"20190304155203647"</f>
        <v>20190304155203647</v>
      </c>
      <c r="B5061" t="str">
        <f>"1551685923642274"</f>
        <v>1551685923642274</v>
      </c>
      <c r="C5061" t="s">
        <v>40</v>
      </c>
      <c r="D5061">
        <v>4.6200449999999904</v>
      </c>
      <c r="E5061">
        <v>0.46573900000000001</v>
      </c>
      <c r="F5061" t="s">
        <v>41</v>
      </c>
      <c r="G5061">
        <v>-419.56990000000002</v>
      </c>
      <c r="H5061" s="1">
        <v>-1.5690670000000001E-6</v>
      </c>
      <c r="I5061">
        <v>113.1125</v>
      </c>
      <c r="J5061">
        <v>-414.23829999999998</v>
      </c>
      <c r="K5061">
        <v>1.114889</v>
      </c>
      <c r="L5061">
        <v>127.8841</v>
      </c>
      <c r="M5061">
        <v>-0.5463597</v>
      </c>
      <c r="N5061">
        <v>-1.4074440000000001E-2</v>
      </c>
      <c r="O5061">
        <v>-0.83743230000000002</v>
      </c>
      <c r="P5061">
        <v>-0.41073349999999997</v>
      </c>
      <c r="Q5061">
        <v>0.15765709999999999</v>
      </c>
      <c r="R5061">
        <v>-0.89802119999999996</v>
      </c>
      <c r="S5061">
        <v>-1.0550839999999999</v>
      </c>
      <c r="T5061">
        <v>-0.21612690000000001</v>
      </c>
      <c r="U5061">
        <v>-2.8988800000000001</v>
      </c>
      <c r="V5061">
        <v>-0.14846099999999901</v>
      </c>
      <c r="W5061">
        <v>0.1698585</v>
      </c>
      <c r="X5061">
        <v>0.97422149999999996</v>
      </c>
      <c r="Y5061">
        <v>-0.2272102</v>
      </c>
      <c r="Z5061">
        <v>4.1500629999999997E-2</v>
      </c>
      <c r="AA5061">
        <v>0.97296110000000002</v>
      </c>
      <c r="AB5061">
        <v>22</v>
      </c>
      <c r="AC5061">
        <v>-5.3316000000000301</v>
      </c>
      <c r="AD5061">
        <v>-1.1148905690669999</v>
      </c>
      <c r="AE5061">
        <v>-14.771599999999999</v>
      </c>
      <c r="AF5061">
        <v>-3.5880268734572498</v>
      </c>
      <c r="AG5061">
        <v>-1.1148905690669999</v>
      </c>
      <c r="AH5061">
        <v>15.208053605333401</v>
      </c>
      <c r="AI5061">
        <v>94.081156953100603</v>
      </c>
      <c r="AJ5061">
        <v>103.275004251768</v>
      </c>
      <c r="AK5061">
        <v>15.6653060068529</v>
      </c>
      <c r="AL5061">
        <v>80.220408488678899</v>
      </c>
      <c r="AM5061">
        <v>98.664606745902603</v>
      </c>
      <c r="AN5061">
        <v>1.0000000548027399</v>
      </c>
    </row>
    <row r="5062" spans="1:40" x14ac:dyDescent="0.25">
      <c r="A5062" t="str">
        <f>"20190304155203669"</f>
        <v>20190304155203669</v>
      </c>
      <c r="B5062" t="str">
        <f>"1551685923661794"</f>
        <v>1551685923661794</v>
      </c>
      <c r="C5062" t="s">
        <v>40</v>
      </c>
      <c r="D5062">
        <v>4.6186379999999998</v>
      </c>
      <c r="E5062">
        <v>0.46607949999999998</v>
      </c>
      <c r="F5062" t="s">
        <v>41</v>
      </c>
      <c r="G5062">
        <v>-419.51949999999999</v>
      </c>
      <c r="H5062" s="1">
        <v>-1.5563649999999999E-6</v>
      </c>
      <c r="I5062">
        <v>113.062</v>
      </c>
      <c r="J5062">
        <v>-414.3503</v>
      </c>
      <c r="K5062">
        <v>1.1148400000000001</v>
      </c>
      <c r="L5062">
        <v>127.69710000000001</v>
      </c>
      <c r="M5062">
        <v>-0.5403078</v>
      </c>
      <c r="N5062">
        <v>-1.406605E-2</v>
      </c>
      <c r="O5062">
        <v>-0.84135000000000004</v>
      </c>
      <c r="P5062">
        <v>-0.40422469999999999</v>
      </c>
      <c r="Q5062">
        <v>0.15651109999999999</v>
      </c>
      <c r="R5062">
        <v>-0.90116969999999996</v>
      </c>
      <c r="S5062">
        <v>-1.0352479999999999</v>
      </c>
      <c r="T5062">
        <v>-0.21854960000000001</v>
      </c>
      <c r="U5062">
        <v>-2.905548</v>
      </c>
      <c r="V5062">
        <v>-0.14856469999999999</v>
      </c>
      <c r="W5062">
        <v>0.1687217</v>
      </c>
      <c r="X5062">
        <v>0.97440309999999997</v>
      </c>
      <c r="Y5062">
        <v>-0.22680020000000001</v>
      </c>
      <c r="Z5062">
        <v>4.2411490000000003E-2</v>
      </c>
      <c r="AA5062">
        <v>0.97301749999999998</v>
      </c>
      <c r="AB5062">
        <v>22</v>
      </c>
      <c r="AC5062">
        <v>-5.1691999999999796</v>
      </c>
      <c r="AD5062">
        <v>-1.114841556365</v>
      </c>
      <c r="AE5062">
        <v>-14.6350999999999</v>
      </c>
      <c r="AF5062">
        <v>-3.5404383701090301</v>
      </c>
      <c r="AG5062">
        <v>-1.114841556365</v>
      </c>
      <c r="AH5062">
        <v>15.030150976446899</v>
      </c>
      <c r="AI5062">
        <v>94.129459452308893</v>
      </c>
      <c r="AJ5062">
        <v>103.254722714731</v>
      </c>
      <c r="AK5062">
        <v>15.4816993228497</v>
      </c>
      <c r="AL5062">
        <v>80.286495114823495</v>
      </c>
      <c r="AM5062">
        <v>98.668975639790403</v>
      </c>
      <c r="AN5062">
        <v>0.99999994171329298</v>
      </c>
    </row>
    <row r="5063" spans="1:40" x14ac:dyDescent="0.25">
      <c r="A5063" t="str">
        <f>"20190304155203691"</f>
        <v>20190304155203691</v>
      </c>
      <c r="B5063" t="str">
        <f>"1551685923682290"</f>
        <v>1551685923682290</v>
      </c>
      <c r="C5063" t="s">
        <v>40</v>
      </c>
      <c r="D5063">
        <v>4.6485219999999998</v>
      </c>
      <c r="E5063">
        <v>0.46652680000000002</v>
      </c>
      <c r="F5063" t="s">
        <v>41</v>
      </c>
      <c r="G5063">
        <v>-419.45319999999998</v>
      </c>
      <c r="H5063" s="1">
        <v>-1.5666369999999999E-6</v>
      </c>
      <c r="I5063">
        <v>113.0585</v>
      </c>
      <c r="J5063">
        <v>-414.4579</v>
      </c>
      <c r="K5063">
        <v>1.1147940000000001</v>
      </c>
      <c r="L5063">
        <v>127.51439999999999</v>
      </c>
      <c r="M5063">
        <v>-0.53443640000000003</v>
      </c>
      <c r="N5063">
        <v>-1.4057480000000001E-2</v>
      </c>
      <c r="O5063">
        <v>-0.84509159999999905</v>
      </c>
      <c r="P5063">
        <v>-0.39819949999999998</v>
      </c>
      <c r="Q5063">
        <v>0.15545209999999901</v>
      </c>
      <c r="R5063">
        <v>-0.90403069999999996</v>
      </c>
      <c r="S5063">
        <v>-1.0151669999999999</v>
      </c>
      <c r="T5063">
        <v>-0.2217885</v>
      </c>
      <c r="U5063">
        <v>-2.9122159999999999</v>
      </c>
      <c r="V5063">
        <v>-0.14835319999999999</v>
      </c>
      <c r="W5063">
        <v>0.16767489999999999</v>
      </c>
      <c r="X5063">
        <v>0.97461609999999999</v>
      </c>
      <c r="Y5063">
        <v>-0.2267073</v>
      </c>
      <c r="Z5063">
        <v>4.3515619999999998E-2</v>
      </c>
      <c r="AA5063">
        <v>0.97299029999999997</v>
      </c>
      <c r="AB5063">
        <v>22</v>
      </c>
      <c r="AC5063">
        <v>-4.9952999999999799</v>
      </c>
      <c r="AD5063">
        <v>-1.114795566637</v>
      </c>
      <c r="AE5063">
        <v>-14.4559</v>
      </c>
      <c r="AF5063">
        <v>-3.4860994693643401</v>
      </c>
      <c r="AG5063">
        <v>-1.114795566637</v>
      </c>
      <c r="AH5063">
        <v>14.809027885764401</v>
      </c>
      <c r="AI5063">
        <v>94.190870389966193</v>
      </c>
      <c r="AJ5063">
        <v>103.24646721643801</v>
      </c>
      <c r="AK5063">
        <v>15.2546047338842</v>
      </c>
      <c r="AL5063">
        <v>80.347340166980501</v>
      </c>
      <c r="AM5063">
        <v>98.654958113785995</v>
      </c>
      <c r="AN5063">
        <v>1.00000004320972</v>
      </c>
    </row>
    <row r="5064" spans="1:40" x14ac:dyDescent="0.25">
      <c r="A5064" t="str">
        <f>"20190304155203714"</f>
        <v>20190304155203714</v>
      </c>
      <c r="B5064" t="str">
        <f>"1551685923701810"</f>
        <v>1551685923701810</v>
      </c>
      <c r="C5064" t="s">
        <v>40</v>
      </c>
      <c r="D5064">
        <v>4.6368780000000003</v>
      </c>
      <c r="E5064">
        <v>0.46683469999999999</v>
      </c>
      <c r="F5064" t="s">
        <v>41</v>
      </c>
      <c r="G5064">
        <v>-419.42669999999998</v>
      </c>
      <c r="H5064" s="1">
        <v>-1.5417110000000001E-6</v>
      </c>
      <c r="I5064">
        <v>112.98950000000001</v>
      </c>
      <c r="J5064">
        <v>-414.56799999999998</v>
      </c>
      <c r="K5064">
        <v>1.114749</v>
      </c>
      <c r="L5064">
        <v>127.32470000000001</v>
      </c>
      <c r="M5064">
        <v>-0.5283698</v>
      </c>
      <c r="N5064">
        <v>-1.404884E-2</v>
      </c>
      <c r="O5064">
        <v>-0.84889820000000005</v>
      </c>
      <c r="P5064">
        <v>-0.3920302</v>
      </c>
      <c r="Q5064">
        <v>0.1553292</v>
      </c>
      <c r="R5064">
        <v>-0.90674449999999995</v>
      </c>
      <c r="S5064">
        <v>-0.99798580000000003</v>
      </c>
      <c r="T5064">
        <v>-0.22390850000000001</v>
      </c>
      <c r="U5064">
        <v>-2.9173580000000001</v>
      </c>
      <c r="V5064">
        <v>-0.14800659999999999</v>
      </c>
      <c r="W5064">
        <v>0.1675625</v>
      </c>
      <c r="X5064">
        <v>0.97468809999999995</v>
      </c>
      <c r="Y5064">
        <v>-0.22539719999999999</v>
      </c>
      <c r="Z5064">
        <v>4.4386229999999999E-2</v>
      </c>
      <c r="AA5064">
        <v>0.97325530000000005</v>
      </c>
      <c r="AB5064">
        <v>22</v>
      </c>
      <c r="AC5064">
        <v>-4.8586999999999403</v>
      </c>
      <c r="AD5064">
        <v>-1.114750541711</v>
      </c>
      <c r="AE5064">
        <v>-14.3352</v>
      </c>
      <c r="AF5064">
        <v>-3.4314729048043802</v>
      </c>
      <c r="AG5064">
        <v>-1.114750541711</v>
      </c>
      <c r="AH5064">
        <v>14.6582623938491</v>
      </c>
      <c r="AI5064">
        <v>94.234874052643306</v>
      </c>
      <c r="AJ5064">
        <v>103.175576373678</v>
      </c>
      <c r="AK5064">
        <v>15.095771973423</v>
      </c>
      <c r="AL5064">
        <v>80.353872395290097</v>
      </c>
      <c r="AM5064">
        <v>98.634414288282699</v>
      </c>
      <c r="AN5064">
        <v>1.0000000186657001</v>
      </c>
    </row>
    <row r="5065" spans="1:40" x14ac:dyDescent="0.25">
      <c r="A5065" t="str">
        <f>"20190304155203736"</f>
        <v>20190304155203736</v>
      </c>
      <c r="B5065" t="str">
        <f>"1551685923732066"</f>
        <v>1551685923732066</v>
      </c>
      <c r="C5065" t="s">
        <v>40</v>
      </c>
      <c r="D5065">
        <v>4.6292039999999997</v>
      </c>
      <c r="E5065">
        <v>0.47918040000000001</v>
      </c>
      <c r="F5065" t="s">
        <v>41</v>
      </c>
      <c r="G5065">
        <v>-419.452</v>
      </c>
      <c r="H5065" s="1">
        <v>-1.429913E-6</v>
      </c>
      <c r="I5065">
        <v>112.7393</v>
      </c>
      <c r="J5065">
        <v>-414.67599999999999</v>
      </c>
      <c r="K5065">
        <v>1.114716</v>
      </c>
      <c r="L5065">
        <v>127.1354</v>
      </c>
      <c r="M5065">
        <v>-0.5223449</v>
      </c>
      <c r="N5065">
        <v>-1.4040789999999999E-2</v>
      </c>
      <c r="O5065">
        <v>-0.85261869999999995</v>
      </c>
      <c r="P5065">
        <v>-0.38619490000000001</v>
      </c>
      <c r="Q5065">
        <v>0.15566189999999999</v>
      </c>
      <c r="R5065">
        <v>-0.9091882</v>
      </c>
      <c r="S5065">
        <v>-0.97897339999999999</v>
      </c>
      <c r="T5065">
        <v>-0.22344639999999999</v>
      </c>
      <c r="U5065">
        <v>-2.9235690000000001</v>
      </c>
      <c r="V5065">
        <v>-0.14732579999999901</v>
      </c>
      <c r="W5065">
        <v>0.16790620000000001</v>
      </c>
      <c r="X5065">
        <v>0.97473209999999999</v>
      </c>
      <c r="Y5065">
        <v>-0.22481300000000001</v>
      </c>
      <c r="Z5065">
        <v>4.4569600000000001E-2</v>
      </c>
      <c r="AA5065">
        <v>0.97338210000000003</v>
      </c>
      <c r="AB5065">
        <v>22</v>
      </c>
      <c r="AC5065">
        <v>-4.7760000000000096</v>
      </c>
      <c r="AD5065">
        <v>-1.114717429913</v>
      </c>
      <c r="AE5065">
        <v>-14.396100000000001</v>
      </c>
      <c r="AF5065">
        <v>-3.4294392346617899</v>
      </c>
      <c r="AG5065">
        <v>-1.114717429913</v>
      </c>
      <c r="AH5065">
        <v>14.691208882660201</v>
      </c>
      <c r="AI5065">
        <v>94.225905427708895</v>
      </c>
      <c r="AJ5065">
        <v>103.139534979969</v>
      </c>
      <c r="AK5065">
        <v>15.127302034624099</v>
      </c>
      <c r="AL5065">
        <v>80.333896889278407</v>
      </c>
      <c r="AM5065">
        <v>98.5949100895144</v>
      </c>
      <c r="AN5065">
        <v>1.0000000250572401</v>
      </c>
    </row>
    <row r="5066" spans="1:40" x14ac:dyDescent="0.25">
      <c r="A5066" t="str">
        <f>"20190304155203759"</f>
        <v>20190304155203759</v>
      </c>
      <c r="B5066" t="str">
        <f>"1551685923752562"</f>
        <v>1551685923752562</v>
      </c>
      <c r="C5066" t="s">
        <v>40</v>
      </c>
      <c r="D5066">
        <v>4.6125350000000003</v>
      </c>
      <c r="E5066">
        <v>0.48045060000000001</v>
      </c>
      <c r="F5066" t="s">
        <v>41</v>
      </c>
      <c r="G5066">
        <v>-420.28699999999998</v>
      </c>
      <c r="H5066" s="1">
        <v>-9.7675009999999995E-7</v>
      </c>
      <c r="I5066">
        <v>111.6879</v>
      </c>
      <c r="J5066">
        <v>-414.7799</v>
      </c>
      <c r="K5066">
        <v>1.1146959999999999</v>
      </c>
      <c r="L5066">
        <v>126.95059999999999</v>
      </c>
      <c r="M5066">
        <v>-0.51648660000000002</v>
      </c>
      <c r="N5066">
        <v>-1.4033510000000001E-2</v>
      </c>
      <c r="O5066">
        <v>-0.85618050000000001</v>
      </c>
      <c r="P5066">
        <v>-0.38111919999999999</v>
      </c>
      <c r="Q5066">
        <v>0.1558129</v>
      </c>
      <c r="R5066">
        <v>-0.91130199999999995</v>
      </c>
      <c r="S5066">
        <v>-1.049561</v>
      </c>
      <c r="T5066">
        <v>-0.2085127</v>
      </c>
      <c r="U5066">
        <v>-2.889526</v>
      </c>
      <c r="V5066">
        <v>-0.14605209999999999</v>
      </c>
      <c r="W5066">
        <v>0.1680749</v>
      </c>
      <c r="X5066">
        <v>0.97489459999999994</v>
      </c>
      <c r="Y5066">
        <v>-0.19338929999999999</v>
      </c>
      <c r="Z5066">
        <v>4.1841179999999999E-2</v>
      </c>
      <c r="AA5066">
        <v>0.98022949999999998</v>
      </c>
      <c r="AB5066">
        <v>22</v>
      </c>
      <c r="AC5066">
        <v>-5.5070999999999799</v>
      </c>
      <c r="AD5066">
        <v>-1.1146969767500901</v>
      </c>
      <c r="AE5066">
        <v>-15.262699999999899</v>
      </c>
      <c r="AF5066">
        <v>-3.1533374870987099</v>
      </c>
      <c r="AG5066">
        <v>-1.1146969767500901</v>
      </c>
      <c r="AH5066">
        <v>15.8387817834919</v>
      </c>
      <c r="AI5066">
        <v>93.948467932346901</v>
      </c>
      <c r="AJ5066">
        <v>101.259770495423</v>
      </c>
      <c r="AK5066">
        <v>16.188054084496699</v>
      </c>
      <c r="AL5066">
        <v>80.324090862278894</v>
      </c>
      <c r="AM5066">
        <v>98.520299154190695</v>
      </c>
      <c r="AN5066">
        <v>0.99999993451678704</v>
      </c>
    </row>
    <row r="5067" spans="1:40" x14ac:dyDescent="0.25">
      <c r="A5067" t="str">
        <f>"20190304155203781"</f>
        <v>20190304155203781</v>
      </c>
      <c r="B5067" t="str">
        <f>"1551685923772089"</f>
        <v>1551685923772089</v>
      </c>
      <c r="C5067" t="s">
        <v>40</v>
      </c>
      <c r="D5067">
        <v>4.6325539999999998</v>
      </c>
      <c r="E5067">
        <v>0.48051680000000002</v>
      </c>
      <c r="F5067" t="s">
        <v>41</v>
      </c>
      <c r="G5067">
        <v>-420.48680000000002</v>
      </c>
      <c r="H5067" s="1">
        <v>-7.8621969999999903E-7</v>
      </c>
      <c r="I5067">
        <v>111.1198</v>
      </c>
      <c r="J5067">
        <v>-414.88560000000001</v>
      </c>
      <c r="K5067">
        <v>1.114671</v>
      </c>
      <c r="L5067">
        <v>126.7595</v>
      </c>
      <c r="M5067">
        <v>-0.51044599999999996</v>
      </c>
      <c r="N5067">
        <v>-1.4026169999999999E-2</v>
      </c>
      <c r="O5067">
        <v>-0.85979550000000005</v>
      </c>
      <c r="P5067">
        <v>-0.37617060000000002</v>
      </c>
      <c r="Q5067">
        <v>0.1557993</v>
      </c>
      <c r="R5067">
        <v>-0.91335789999999994</v>
      </c>
      <c r="S5067">
        <v>-1.0421750000000001</v>
      </c>
      <c r="T5067">
        <v>-0.20356070000000001</v>
      </c>
      <c r="U5067">
        <v>-2.8909449999999999</v>
      </c>
      <c r="V5067">
        <v>-0.1444637</v>
      </c>
      <c r="W5067">
        <v>0.16808100000000001</v>
      </c>
      <c r="X5067">
        <v>0.97513030000000001</v>
      </c>
      <c r="Y5067">
        <v>-0.18883800000000001</v>
      </c>
      <c r="Z5067">
        <v>4.0907899999999997E-2</v>
      </c>
      <c r="AA5067">
        <v>0.98115580000000002</v>
      </c>
      <c r="AB5067">
        <v>22</v>
      </c>
      <c r="AC5067">
        <v>-5.6012000000000004</v>
      </c>
      <c r="AD5067">
        <v>-1.1146717862197</v>
      </c>
      <c r="AE5067">
        <v>-15.639699999999999</v>
      </c>
      <c r="AF5067">
        <v>-3.1534496005308301</v>
      </c>
      <c r="AG5067">
        <v>-1.1146717862197</v>
      </c>
      <c r="AH5067">
        <v>16.2345652392736</v>
      </c>
      <c r="AI5067">
        <v>93.855940930724501</v>
      </c>
      <c r="AJ5067">
        <v>100.992415413023</v>
      </c>
      <c r="AK5067">
        <v>16.575519481521901</v>
      </c>
      <c r="AL5067">
        <v>80.323737369782293</v>
      </c>
      <c r="AM5067">
        <v>98.426966253195403</v>
      </c>
      <c r="AN5067">
        <v>1.0000000425783799</v>
      </c>
    </row>
    <row r="5068" spans="1:40" x14ac:dyDescent="0.25">
      <c r="A5068" t="str">
        <f>"20190304155203803"</f>
        <v>20190304155203803</v>
      </c>
      <c r="B5068" t="str">
        <f>"1551685923791601"</f>
        <v>1551685923791601</v>
      </c>
      <c r="C5068" t="s">
        <v>40</v>
      </c>
      <c r="D5068">
        <v>4.665705</v>
      </c>
      <c r="E5068">
        <v>0.48082550000000002</v>
      </c>
      <c r="F5068" t="s">
        <v>41</v>
      </c>
      <c r="G5068">
        <v>-420.43599999999998</v>
      </c>
      <c r="H5068" s="1">
        <v>-7.5953119999999998E-7</v>
      </c>
      <c r="I5068">
        <v>111.08920000000001</v>
      </c>
      <c r="J5068">
        <v>-414.9862</v>
      </c>
      <c r="K5068">
        <v>1.1146590000000001</v>
      </c>
      <c r="L5068">
        <v>126.5746</v>
      </c>
      <c r="M5068">
        <v>-0.50461739999999999</v>
      </c>
      <c r="N5068">
        <v>-1.401941E-2</v>
      </c>
      <c r="O5068">
        <v>-0.86322960000000004</v>
      </c>
      <c r="P5068">
        <v>-0.37112640000000002</v>
      </c>
      <c r="Q5068">
        <v>0.1559547</v>
      </c>
      <c r="R5068">
        <v>-0.91539289999999995</v>
      </c>
      <c r="S5068">
        <v>-1.026154</v>
      </c>
      <c r="T5068">
        <v>-0.20608029999999999</v>
      </c>
      <c r="U5068">
        <v>-2.897125</v>
      </c>
      <c r="V5068">
        <v>-0.1432235</v>
      </c>
      <c r="W5068">
        <v>0.1682507</v>
      </c>
      <c r="X5068">
        <v>0.97528389999999998</v>
      </c>
      <c r="Y5068">
        <v>-0.1876872</v>
      </c>
      <c r="Z5068">
        <v>4.1818830000000001E-2</v>
      </c>
      <c r="AA5068">
        <v>0.98133820000000005</v>
      </c>
      <c r="AB5068">
        <v>22</v>
      </c>
      <c r="AC5068">
        <v>-5.4497999999999802</v>
      </c>
      <c r="AD5068">
        <v>-1.1146597595312</v>
      </c>
      <c r="AE5068">
        <v>-15.485399999999901</v>
      </c>
      <c r="AF5068">
        <v>-3.09580572318943</v>
      </c>
      <c r="AG5068">
        <v>-1.1146597595312</v>
      </c>
      <c r="AH5068">
        <v>16.0451259504514</v>
      </c>
      <c r="AI5068">
        <v>93.902227986540893</v>
      </c>
      <c r="AJ5068">
        <v>100.920663028292</v>
      </c>
      <c r="AK5068">
        <v>16.379027633565499</v>
      </c>
      <c r="AL5068">
        <v>80.313873168232803</v>
      </c>
      <c r="AM5068">
        <v>98.354350272368194</v>
      </c>
      <c r="AN5068">
        <v>0.99999997730097401</v>
      </c>
    </row>
    <row r="5069" spans="1:40" x14ac:dyDescent="0.25">
      <c r="A5069" t="str">
        <f>"20190304155203825"</f>
        <v>20190304155203825</v>
      </c>
      <c r="B5069" t="str">
        <f>"1551685923821857"</f>
        <v>1551685923821857</v>
      </c>
      <c r="C5069" t="s">
        <v>40</v>
      </c>
      <c r="D5069">
        <v>4.7741680000000004</v>
      </c>
      <c r="E5069">
        <v>0.48093849999999999</v>
      </c>
      <c r="F5069" t="s">
        <v>41</v>
      </c>
      <c r="G5069">
        <v>-420.39139999999998</v>
      </c>
      <c r="H5069" s="1">
        <v>-7.3753969999999899E-7</v>
      </c>
      <c r="I5069">
        <v>111.0656</v>
      </c>
      <c r="J5069">
        <v>-415.08659999999998</v>
      </c>
      <c r="K5069">
        <v>1.114641</v>
      </c>
      <c r="L5069">
        <v>126.3871</v>
      </c>
      <c r="M5069">
        <v>-0.49871270000000001</v>
      </c>
      <c r="N5069">
        <v>-1.4013090000000001E-2</v>
      </c>
      <c r="O5069">
        <v>-0.86665429999999999</v>
      </c>
      <c r="P5069">
        <v>-0.36559659999999999</v>
      </c>
      <c r="Q5069">
        <v>0.15630920000000001</v>
      </c>
      <c r="R5069">
        <v>-0.91755469999999895</v>
      </c>
      <c r="S5069">
        <v>-1.0116270000000001</v>
      </c>
      <c r="T5069">
        <v>-0.2086201</v>
      </c>
      <c r="U5069">
        <v>-2.902679</v>
      </c>
      <c r="V5069">
        <v>-0.1424137</v>
      </c>
      <c r="W5069">
        <v>0.16861409999999999</v>
      </c>
      <c r="X5069">
        <v>0.97533979999999998</v>
      </c>
      <c r="Y5069">
        <v>-0.1859584</v>
      </c>
      <c r="Z5069">
        <v>4.2753039999999999E-2</v>
      </c>
      <c r="AA5069">
        <v>0.98162700000000003</v>
      </c>
      <c r="AB5069">
        <v>22</v>
      </c>
      <c r="AC5069">
        <v>-5.3048000000000002</v>
      </c>
      <c r="AD5069">
        <v>-1.1146417375397</v>
      </c>
      <c r="AE5069">
        <v>-15.3215</v>
      </c>
      <c r="AF5069">
        <v>-3.0295792445059102</v>
      </c>
      <c r="AG5069">
        <v>-1.1146417375397</v>
      </c>
      <c r="AH5069">
        <v>15.8506645734061</v>
      </c>
      <c r="AI5069">
        <v>93.951208466484303</v>
      </c>
      <c r="AJ5069">
        <v>100.820588024458</v>
      </c>
      <c r="AK5069">
        <v>16.1760422854429</v>
      </c>
      <c r="AL5069">
        <v>80.292750823427198</v>
      </c>
      <c r="AM5069">
        <v>98.307305570787804</v>
      </c>
      <c r="AN5069">
        <v>1.00000005106526</v>
      </c>
    </row>
    <row r="5070" spans="1:40" x14ac:dyDescent="0.25">
      <c r="A5070" t="str">
        <f>"20190304155203848"</f>
        <v>20190304155203848</v>
      </c>
      <c r="B5070" t="str">
        <f>"1551685923842352"</f>
        <v>1551685923842352</v>
      </c>
      <c r="C5070" t="s">
        <v>40</v>
      </c>
      <c r="D5070">
        <v>4.7048709999999998</v>
      </c>
      <c r="E5070">
        <v>0.44665519999999997</v>
      </c>
      <c r="F5070" t="s">
        <v>41</v>
      </c>
      <c r="G5070">
        <v>-420.37860000000001</v>
      </c>
      <c r="H5070" s="1">
        <v>-6.6870049999999996E-7</v>
      </c>
      <c r="I5070">
        <v>110.913</v>
      </c>
      <c r="J5070">
        <v>-415.18599999999998</v>
      </c>
      <c r="K5070">
        <v>1.114627</v>
      </c>
      <c r="L5070">
        <v>126.1986</v>
      </c>
      <c r="M5070">
        <v>-0.49278</v>
      </c>
      <c r="N5070">
        <v>-1.40071E-2</v>
      </c>
      <c r="O5070">
        <v>-0.87004130000000002</v>
      </c>
      <c r="P5070">
        <v>-0.36060049999999999</v>
      </c>
      <c r="Q5070">
        <v>0.15595709999999999</v>
      </c>
      <c r="R5070">
        <v>-0.91958960000000001</v>
      </c>
      <c r="S5070">
        <v>-0.99481200000000003</v>
      </c>
      <c r="T5070">
        <v>-0.20953630000000001</v>
      </c>
      <c r="U5070">
        <v>-2.9089049999999999</v>
      </c>
      <c r="V5070">
        <v>-0.14107069999999999</v>
      </c>
      <c r="W5070">
        <v>0.16827839999999999</v>
      </c>
      <c r="X5070">
        <v>0.97559289999999999</v>
      </c>
      <c r="Y5070">
        <v>-0.18497620000000001</v>
      </c>
      <c r="Z5070">
        <v>4.3243179999999999E-2</v>
      </c>
      <c r="AA5070">
        <v>0.98179110000000003</v>
      </c>
      <c r="AB5070">
        <v>22</v>
      </c>
      <c r="AC5070">
        <v>-5.1926000000000201</v>
      </c>
      <c r="AD5070">
        <v>-1.1146276687004999</v>
      </c>
      <c r="AE5070">
        <v>-15.285600000000001</v>
      </c>
      <c r="AF5070">
        <v>-3.0006522714439701</v>
      </c>
      <c r="AG5070">
        <v>-1.1146276687004999</v>
      </c>
      <c r="AH5070">
        <v>15.784220423583101</v>
      </c>
      <c r="AI5070">
        <v>93.968486229040096</v>
      </c>
      <c r="AJ5070">
        <v>100.763749064992</v>
      </c>
      <c r="AK5070">
        <v>16.105524619651799</v>
      </c>
      <c r="AL5070">
        <v>80.312263677481099</v>
      </c>
      <c r="AM5070">
        <v>98.227937660237004</v>
      </c>
      <c r="AN5070">
        <v>1.00000003441772</v>
      </c>
    </row>
    <row r="5071" spans="1:40" x14ac:dyDescent="0.25">
      <c r="A5071" t="str">
        <f>"20190304155203870"</f>
        <v>20190304155203870</v>
      </c>
      <c r="B5071" t="str">
        <f>"1551685923861872"</f>
        <v>1551685923861872</v>
      </c>
      <c r="C5071" t="s">
        <v>40</v>
      </c>
      <c r="D5071">
        <v>4.6654989999999996</v>
      </c>
      <c r="E5071">
        <v>0.44067070000000003</v>
      </c>
      <c r="F5071" t="s">
        <v>41</v>
      </c>
      <c r="G5071">
        <v>-420.43459999999999</v>
      </c>
      <c r="H5071" s="1">
        <v>-2.343397E-6</v>
      </c>
      <c r="I5071">
        <v>104.3044</v>
      </c>
      <c r="J5071">
        <v>-415.28309999999999</v>
      </c>
      <c r="K5071">
        <v>1.1146100000000001</v>
      </c>
      <c r="L5071">
        <v>126.0111</v>
      </c>
      <c r="M5071">
        <v>-0.48689300000000002</v>
      </c>
      <c r="N5071">
        <v>-1.400128E-2</v>
      </c>
      <c r="O5071">
        <v>-0.87334940000000005</v>
      </c>
      <c r="P5071">
        <v>-0.355197599999999</v>
      </c>
      <c r="Q5071">
        <v>0.1554982</v>
      </c>
      <c r="R5071">
        <v>-0.92176749999999996</v>
      </c>
      <c r="S5071">
        <v>-0.72055049999999998</v>
      </c>
      <c r="T5071">
        <v>-0.1530223</v>
      </c>
      <c r="U5071">
        <v>-3.0057529999999999</v>
      </c>
      <c r="V5071">
        <v>-0.14023160000000001</v>
      </c>
      <c r="W5071">
        <v>0.16783049999999999</v>
      </c>
      <c r="X5071">
        <v>0.97579099999999996</v>
      </c>
      <c r="Y5071">
        <v>-0.26986759999999999</v>
      </c>
      <c r="Z5071">
        <v>2.6725990000000002E-2</v>
      </c>
      <c r="AA5071">
        <v>0.9625264</v>
      </c>
      <c r="AB5071">
        <v>22</v>
      </c>
      <c r="AC5071">
        <v>-5.1514999999999898</v>
      </c>
      <c r="AD5071">
        <v>-1.1146123433969899</v>
      </c>
      <c r="AE5071">
        <v>-21.706700000000001</v>
      </c>
      <c r="AF5071">
        <v>-6.0552612758274602</v>
      </c>
      <c r="AG5071">
        <v>-1.1146123433969899</v>
      </c>
      <c r="AH5071">
        <v>21.4144142812479</v>
      </c>
      <c r="AI5071">
        <v>92.867308373223807</v>
      </c>
      <c r="AJ5071">
        <v>105.789081918748</v>
      </c>
      <c r="AK5071">
        <v>22.281958818818001</v>
      </c>
      <c r="AL5071">
        <v>80.338296633510097</v>
      </c>
      <c r="AM5071">
        <v>98.178023293007001</v>
      </c>
      <c r="AN5071">
        <v>1.0000000270249001</v>
      </c>
    </row>
    <row r="5072" spans="1:40" x14ac:dyDescent="0.25">
      <c r="A5072" t="str">
        <f>"20190304155203892"</f>
        <v>20190304155203892</v>
      </c>
      <c r="B5072" t="str">
        <f>"1551685923881968"</f>
        <v>1551685923881968</v>
      </c>
      <c r="C5072" t="s">
        <v>40</v>
      </c>
      <c r="D5072">
        <v>4.6618659999999998</v>
      </c>
      <c r="E5072">
        <v>0.43850149999999999</v>
      </c>
      <c r="F5072" t="s">
        <v>41</v>
      </c>
      <c r="G5072">
        <v>-420.31139999999999</v>
      </c>
      <c r="H5072" s="1">
        <v>-1.626874E-6</v>
      </c>
      <c r="I5072">
        <v>102.8579</v>
      </c>
      <c r="J5072">
        <v>-415.38139999999999</v>
      </c>
      <c r="K5072">
        <v>1.11459</v>
      </c>
      <c r="L5072">
        <v>125.818</v>
      </c>
      <c r="M5072">
        <v>-0.48083599999999999</v>
      </c>
      <c r="N5072">
        <v>-1.399542E-2</v>
      </c>
      <c r="O5072">
        <v>-0.87669900000000001</v>
      </c>
      <c r="P5072">
        <v>-0.34979650000000001</v>
      </c>
      <c r="Q5072">
        <v>0.15460079999999901</v>
      </c>
      <c r="R5072">
        <v>-0.92398139999999995</v>
      </c>
      <c r="S5072">
        <v>-0.65716549999999996</v>
      </c>
      <c r="T5072">
        <v>-0.14567099999999999</v>
      </c>
      <c r="U5072">
        <v>-3.0259399999999999</v>
      </c>
      <c r="V5072">
        <v>-0.13924159999999999</v>
      </c>
      <c r="W5072">
        <v>0.1669476</v>
      </c>
      <c r="X5072">
        <v>0.97608419999999896</v>
      </c>
      <c r="Y5072">
        <v>-0.28378300000000001</v>
      </c>
      <c r="Z5072">
        <v>2.4694890000000001E-2</v>
      </c>
      <c r="AA5072">
        <v>0.95857049999999999</v>
      </c>
      <c r="AB5072">
        <v>22</v>
      </c>
      <c r="AC5072">
        <v>-4.93</v>
      </c>
      <c r="AD5072">
        <v>-1.1145916268739999</v>
      </c>
      <c r="AE5072">
        <v>-22.960100000000001</v>
      </c>
      <c r="AF5072">
        <v>-6.7034725954433201</v>
      </c>
      <c r="AG5072">
        <v>-1.1145916268739999</v>
      </c>
      <c r="AH5072">
        <v>22.451242478456098</v>
      </c>
      <c r="AI5072">
        <v>92.723497706294296</v>
      </c>
      <c r="AJ5072">
        <v>106.624527466077</v>
      </c>
      <c r="AK5072">
        <v>23.457134269961202</v>
      </c>
      <c r="AL5072">
        <v>80.389607193470596</v>
      </c>
      <c r="AM5072">
        <v>98.118654426086593</v>
      </c>
      <c r="AN5072">
        <v>1.00000004490297</v>
      </c>
    </row>
    <row r="5073" spans="1:40" x14ac:dyDescent="0.25">
      <c r="A5073" t="str">
        <f>"20190304155203916"</f>
        <v>20190304155203916</v>
      </c>
      <c r="B5073" t="str">
        <f>"1551685923912223"</f>
        <v>1551685923912223</v>
      </c>
      <c r="C5073" t="s">
        <v>40</v>
      </c>
      <c r="D5073">
        <v>4.6153700000000004</v>
      </c>
      <c r="E5073">
        <v>0.43772660000000002</v>
      </c>
      <c r="F5073" t="s">
        <v>41</v>
      </c>
      <c r="G5073">
        <v>-420.09350000000001</v>
      </c>
      <c r="H5073" s="1">
        <v>-1.564076E-6</v>
      </c>
      <c r="I5073">
        <v>102.8477</v>
      </c>
      <c r="J5073">
        <v>-415.47789999999998</v>
      </c>
      <c r="K5073">
        <v>1.114568</v>
      </c>
      <c r="L5073">
        <v>125.6254</v>
      </c>
      <c r="M5073">
        <v>-0.4748039</v>
      </c>
      <c r="N5073">
        <v>-1.3989639999999999E-2</v>
      </c>
      <c r="O5073">
        <v>-0.87998069999999895</v>
      </c>
      <c r="P5073">
        <v>-0.34487839999999997</v>
      </c>
      <c r="Q5073">
        <v>0.15430050000000001</v>
      </c>
      <c r="R5073">
        <v>-0.92587819999999998</v>
      </c>
      <c r="S5073">
        <v>-0.62274169999999995</v>
      </c>
      <c r="T5073">
        <v>-0.1473014</v>
      </c>
      <c r="U5073">
        <v>-3.0356900000000002</v>
      </c>
      <c r="V5073">
        <v>-0.13773729999999901</v>
      </c>
      <c r="W5073">
        <v>0.1666665</v>
      </c>
      <c r="X5073">
        <v>0.97634560000000004</v>
      </c>
      <c r="Y5073">
        <v>-0.28823949999999998</v>
      </c>
      <c r="Z5073">
        <v>2.518859E-2</v>
      </c>
      <c r="AA5073">
        <v>0.95722700000000005</v>
      </c>
      <c r="AB5073">
        <v>22</v>
      </c>
      <c r="AC5073">
        <v>-4.6156000000000201</v>
      </c>
      <c r="AD5073">
        <v>-1.1145695640760001</v>
      </c>
      <c r="AE5073">
        <v>-22.777699999999999</v>
      </c>
      <c r="AF5073">
        <v>-6.7384630546105297</v>
      </c>
      <c r="AG5073">
        <v>-1.1145695640760001</v>
      </c>
      <c r="AH5073">
        <v>22.1865840298886</v>
      </c>
      <c r="AI5073">
        <v>92.751979995995598</v>
      </c>
      <c r="AJ5073">
        <v>106.894475691453</v>
      </c>
      <c r="AK5073">
        <v>23.214083237699199</v>
      </c>
      <c r="AL5073">
        <v>80.405941538630103</v>
      </c>
      <c r="AM5073">
        <v>98.029972686273098</v>
      </c>
      <c r="AN5073">
        <v>1.00000000833645</v>
      </c>
    </row>
    <row r="5074" spans="1:40" x14ac:dyDescent="0.25">
      <c r="A5074" t="str">
        <f>"20190304155203938"</f>
        <v>20190304155203938</v>
      </c>
      <c r="B5074" t="str">
        <f>"1551685923931744"</f>
        <v>1551685923931744</v>
      </c>
      <c r="C5074" t="s">
        <v>40</v>
      </c>
      <c r="D5074">
        <v>4.6333440000000001</v>
      </c>
      <c r="E5074">
        <v>0.43787389999999998</v>
      </c>
      <c r="F5074" t="s">
        <v>41</v>
      </c>
      <c r="G5074">
        <v>-419.94869999999997</v>
      </c>
      <c r="H5074" s="1">
        <v>-1.586302E-6</v>
      </c>
      <c r="I5074">
        <v>102.9678</v>
      </c>
      <c r="J5074">
        <v>-415.57240000000002</v>
      </c>
      <c r="K5074">
        <v>1.114549</v>
      </c>
      <c r="L5074">
        <v>125.4336</v>
      </c>
      <c r="M5074">
        <v>-0.46882030000000002</v>
      </c>
      <c r="N5074">
        <v>-1.3983600000000001E-2</v>
      </c>
      <c r="O5074">
        <v>-0.88318280000000005</v>
      </c>
      <c r="P5074">
        <v>-0.3393158</v>
      </c>
      <c r="Q5074">
        <v>0.15467979999999901</v>
      </c>
      <c r="R5074">
        <v>-0.92786820000000003</v>
      </c>
      <c r="S5074">
        <v>-0.60015869999999905</v>
      </c>
      <c r="T5074">
        <v>-0.14962029999999901</v>
      </c>
      <c r="U5074">
        <v>-3.0415649999999999</v>
      </c>
      <c r="V5074">
        <v>-0.136932</v>
      </c>
      <c r="W5074">
        <v>0.16705619999999999</v>
      </c>
      <c r="X5074">
        <v>0.97639229999999999</v>
      </c>
      <c r="Y5074">
        <v>-0.28893720000000001</v>
      </c>
      <c r="Z5074">
        <v>2.5936109999999998E-2</v>
      </c>
      <c r="AA5074">
        <v>0.95699670000000003</v>
      </c>
      <c r="AB5074">
        <v>22</v>
      </c>
      <c r="AC5074">
        <v>-4.3762999999999499</v>
      </c>
      <c r="AD5074">
        <v>-1.114550586302</v>
      </c>
      <c r="AE5074">
        <v>-22.465800000000002</v>
      </c>
      <c r="AF5074">
        <v>-6.65222837299138</v>
      </c>
      <c r="AG5074">
        <v>-1.114550586302</v>
      </c>
      <c r="AH5074">
        <v>21.843451926455099</v>
      </c>
      <c r="AI5074">
        <v>92.794455049000604</v>
      </c>
      <c r="AJ5074">
        <v>106.937646306365</v>
      </c>
      <c r="AK5074">
        <v>22.861118900859001</v>
      </c>
      <c r="AL5074">
        <v>80.383296149015095</v>
      </c>
      <c r="AM5074">
        <v>97.983254504799902</v>
      </c>
      <c r="AN5074">
        <v>1.00000003504086</v>
      </c>
    </row>
    <row r="5075" spans="1:40" x14ac:dyDescent="0.25">
      <c r="A5075" t="str">
        <f>"20190304155203960"</f>
        <v>20190304155203960</v>
      </c>
      <c r="B5075" t="str">
        <f>"1551685923952241"</f>
        <v>1551685923952241</v>
      </c>
      <c r="C5075" t="s">
        <v>40</v>
      </c>
      <c r="D5075">
        <v>4.6247020000000001</v>
      </c>
      <c r="E5075">
        <v>0.4381179</v>
      </c>
      <c r="F5075" t="s">
        <v>41</v>
      </c>
      <c r="G5075">
        <v>-419.91739999999999</v>
      </c>
      <c r="H5075" s="1">
        <v>-1.459823E-6</v>
      </c>
      <c r="I5075">
        <v>102.6885</v>
      </c>
      <c r="J5075">
        <v>-415.6635</v>
      </c>
      <c r="K5075">
        <v>1.1145179999999999</v>
      </c>
      <c r="L5075">
        <v>125.2456</v>
      </c>
      <c r="M5075">
        <v>-0.46298919999999999</v>
      </c>
      <c r="N5075">
        <v>-1.397692E-2</v>
      </c>
      <c r="O5075">
        <v>-0.88625399999999999</v>
      </c>
      <c r="P5075">
        <v>-0.33410190000000001</v>
      </c>
      <c r="Q5075">
        <v>0.15485589999999999</v>
      </c>
      <c r="R5075">
        <v>-0.92972940000000004</v>
      </c>
      <c r="S5075">
        <v>-0.58175659999999996</v>
      </c>
      <c r="T5075">
        <v>-0.14922679999999999</v>
      </c>
      <c r="U5075">
        <v>-3.045334</v>
      </c>
      <c r="V5075">
        <v>-0.13595019999999999</v>
      </c>
      <c r="W5075">
        <v>0.16724800000000001</v>
      </c>
      <c r="X5075">
        <v>0.97649660000000005</v>
      </c>
      <c r="Y5075">
        <v>-0.28842620000000002</v>
      </c>
      <c r="Z5075">
        <v>2.600295E-2</v>
      </c>
      <c r="AA5075">
        <v>0.95714900000000003</v>
      </c>
      <c r="AB5075">
        <v>22</v>
      </c>
      <c r="AC5075">
        <v>-4.2538999999999803</v>
      </c>
      <c r="AD5075">
        <v>-1.1145194598229999</v>
      </c>
      <c r="AE5075">
        <v>-22.557099999999899</v>
      </c>
      <c r="AF5075">
        <v>-6.6586111018409602</v>
      </c>
      <c r="AG5075">
        <v>-1.1145194598229999</v>
      </c>
      <c r="AH5075">
        <v>21.9113161120538</v>
      </c>
      <c r="AI5075">
        <v>92.786240919874302</v>
      </c>
      <c r="AJ5075">
        <v>106.903457391182</v>
      </c>
      <c r="AK5075">
        <v>22.927822164222899</v>
      </c>
      <c r="AL5075">
        <v>80.372149471113502</v>
      </c>
      <c r="AM5075">
        <v>97.925908980699205</v>
      </c>
      <c r="AN5075">
        <v>0.999999980097799</v>
      </c>
    </row>
    <row r="5076" spans="1:40" x14ac:dyDescent="0.25">
      <c r="A5076" t="str">
        <f>"20190304155203982"</f>
        <v>20190304155203982</v>
      </c>
      <c r="B5076" t="str">
        <f>"1551685923971760"</f>
        <v>1551685923971760</v>
      </c>
      <c r="C5076" t="s">
        <v>40</v>
      </c>
      <c r="D5076">
        <v>4.6239189999999999</v>
      </c>
      <c r="E5076">
        <v>0.43850709999999998</v>
      </c>
      <c r="F5076" t="s">
        <v>41</v>
      </c>
      <c r="G5076">
        <v>-419.85070000000002</v>
      </c>
      <c r="H5076" s="1">
        <v>-1.468094E-6</v>
      </c>
      <c r="I5076">
        <v>102.68089999999999</v>
      </c>
      <c r="J5076">
        <v>-415.75479999999999</v>
      </c>
      <c r="K5076">
        <v>1.114466</v>
      </c>
      <c r="L5076">
        <v>125.054</v>
      </c>
      <c r="M5076">
        <v>-0.4570979</v>
      </c>
      <c r="N5076">
        <v>-1.396882E-2</v>
      </c>
      <c r="O5076">
        <v>-0.88930679999999995</v>
      </c>
      <c r="P5076">
        <v>-0.32857989999999998</v>
      </c>
      <c r="Q5076">
        <v>0.15499009999999999</v>
      </c>
      <c r="R5076">
        <v>-0.93167270000000002</v>
      </c>
      <c r="S5076">
        <v>-0.56570430000000005</v>
      </c>
      <c r="T5076">
        <v>-0.1505734</v>
      </c>
      <c r="U5076">
        <v>-3.0485229999999999</v>
      </c>
      <c r="V5076">
        <v>-0.13523279999999999</v>
      </c>
      <c r="W5076">
        <v>0.1673975</v>
      </c>
      <c r="X5076">
        <v>0.97657059999999996</v>
      </c>
      <c r="Y5076">
        <v>-0.28712659999999901</v>
      </c>
      <c r="Z5076">
        <v>2.6542449999999999E-2</v>
      </c>
      <c r="AA5076">
        <v>0.95752479999999995</v>
      </c>
      <c r="AB5076">
        <v>21</v>
      </c>
      <c r="AC5076">
        <v>-4.0959000000000199</v>
      </c>
      <c r="AD5076">
        <v>-1.1144674680940001</v>
      </c>
      <c r="AE5076">
        <v>-22.373100000000001</v>
      </c>
      <c r="AF5076">
        <v>-6.5690557774578702</v>
      </c>
      <c r="AG5076">
        <v>-1.1144674680940001</v>
      </c>
      <c r="AH5076">
        <v>21.718755683375601</v>
      </c>
      <c r="AI5076">
        <v>92.811887353121193</v>
      </c>
      <c r="AJ5076">
        <v>106.828468520204</v>
      </c>
      <c r="AK5076">
        <v>22.717809753120001</v>
      </c>
      <c r="AL5076">
        <v>80.363461314731296</v>
      </c>
      <c r="AM5076">
        <v>97.884021945895896</v>
      </c>
      <c r="AN5076">
        <v>0.99999998499322396</v>
      </c>
    </row>
    <row r="5077" spans="1:40" x14ac:dyDescent="0.25">
      <c r="A5077" t="str">
        <f>"20190304155204003"</f>
        <v>20190304155204003</v>
      </c>
      <c r="B5077" t="str">
        <f>"1551685924001993"</f>
        <v>1551685924001993</v>
      </c>
      <c r="C5077" t="s">
        <v>40</v>
      </c>
      <c r="D5077">
        <v>4.6368780000000003</v>
      </c>
      <c r="E5077">
        <v>0.43926660000000001</v>
      </c>
      <c r="F5077" t="s">
        <v>41</v>
      </c>
      <c r="G5077">
        <v>-419.81470000000002</v>
      </c>
      <c r="H5077" s="1">
        <v>-1.384308E-6</v>
      </c>
      <c r="I5077">
        <v>102.4902</v>
      </c>
      <c r="J5077">
        <v>-415.84210000000002</v>
      </c>
      <c r="K5077">
        <v>1.1144050000000001</v>
      </c>
      <c r="L5077">
        <v>124.86790000000001</v>
      </c>
      <c r="M5077">
        <v>-0.45145180000000001</v>
      </c>
      <c r="N5077">
        <v>-1.395921E-2</v>
      </c>
      <c r="O5077">
        <v>-0.89218629999999999</v>
      </c>
      <c r="P5077">
        <v>-0.32250450000000003</v>
      </c>
      <c r="Q5077">
        <v>0.157250799999999</v>
      </c>
      <c r="R5077">
        <v>-0.93341479999999999</v>
      </c>
      <c r="S5077">
        <v>-0.54904169999999997</v>
      </c>
      <c r="T5077">
        <v>-0.15071679999999901</v>
      </c>
      <c r="U5077">
        <v>-3.051453</v>
      </c>
      <c r="V5077">
        <v>-0.13522709999999999</v>
      </c>
      <c r="W5077">
        <v>0.16966489999999901</v>
      </c>
      <c r="X5077">
        <v>0.97618000000000005</v>
      </c>
      <c r="Y5077">
        <v>-0.28628110000000001</v>
      </c>
      <c r="Z5077">
        <v>2.675512E-2</v>
      </c>
      <c r="AA5077">
        <v>0.95777210000000002</v>
      </c>
      <c r="AB5077">
        <v>21</v>
      </c>
      <c r="AC5077">
        <v>-3.9725999999999999</v>
      </c>
      <c r="AD5077">
        <v>-1.1144063843080001</v>
      </c>
      <c r="AE5077">
        <v>-22.377700000000001</v>
      </c>
      <c r="AF5077">
        <v>-6.54306156946899</v>
      </c>
      <c r="AG5077">
        <v>-1.1144063843080001</v>
      </c>
      <c r="AH5077">
        <v>21.708442576292899</v>
      </c>
      <c r="AI5077">
        <v>92.813886140135494</v>
      </c>
      <c r="AJ5077">
        <v>106.773138178005</v>
      </c>
      <c r="AK5077">
        <v>22.700441303627901</v>
      </c>
      <c r="AL5077">
        <v>80.231663487773005</v>
      </c>
      <c r="AM5077">
        <v>97.886808639129001</v>
      </c>
      <c r="AN5077">
        <v>0.99999996963320903</v>
      </c>
    </row>
    <row r="5078" spans="1:40" x14ac:dyDescent="0.25">
      <c r="A5078" t="str">
        <f>"20190304155204026"</f>
        <v>20190304155204026</v>
      </c>
      <c r="B5078" t="str">
        <f>"1551685924022490"</f>
        <v>1551685924022490</v>
      </c>
      <c r="C5078" t="s">
        <v>40</v>
      </c>
      <c r="D5078">
        <v>4.826765</v>
      </c>
      <c r="E5078">
        <v>0.43990109999999899</v>
      </c>
      <c r="F5078" t="s">
        <v>41</v>
      </c>
      <c r="G5078">
        <v>-419.8931</v>
      </c>
      <c r="H5078" s="1">
        <v>-1.0116509999999999E-6</v>
      </c>
      <c r="I5078">
        <v>101.7313</v>
      </c>
      <c r="J5078">
        <v>-415.93090000000001</v>
      </c>
      <c r="K5078">
        <v>1.1143149999999999</v>
      </c>
      <c r="L5078">
        <v>124.6759</v>
      </c>
      <c r="M5078">
        <v>-0.44573489999999999</v>
      </c>
      <c r="N5078">
        <v>-1.3947080000000001E-2</v>
      </c>
      <c r="O5078">
        <v>-0.89505639999999997</v>
      </c>
      <c r="P5078">
        <v>-0.314337799999999</v>
      </c>
      <c r="Q5078">
        <v>0.15900339999999999</v>
      </c>
      <c r="R5078">
        <v>-0.93590059999999997</v>
      </c>
      <c r="S5078">
        <v>-0.53472900000000001</v>
      </c>
      <c r="T5078">
        <v>-0.1471015</v>
      </c>
      <c r="U5078">
        <v>-3.0540310000000002</v>
      </c>
      <c r="V5078">
        <v>-0.13736080000000001</v>
      </c>
      <c r="W5078">
        <v>0.17140849999999999</v>
      </c>
      <c r="X5078">
        <v>0.97557740000000004</v>
      </c>
      <c r="Y5078">
        <v>-0.2846436</v>
      </c>
      <c r="Z5078">
        <v>2.5976389999999999E-2</v>
      </c>
      <c r="AA5078">
        <v>0.95828139999999995</v>
      </c>
      <c r="AB5078">
        <v>21</v>
      </c>
      <c r="AC5078">
        <v>-3.96219999999999</v>
      </c>
      <c r="AD5078">
        <v>-1.114316011651</v>
      </c>
      <c r="AE5078">
        <v>-22.944599999999902</v>
      </c>
      <c r="AF5078">
        <v>-6.6661984586242697</v>
      </c>
      <c r="AG5078">
        <v>-1.114316011651</v>
      </c>
      <c r="AH5078">
        <v>22.254001919192799</v>
      </c>
      <c r="AI5078">
        <v>92.746189976944805</v>
      </c>
      <c r="AJ5078">
        <v>106.67561587005299</v>
      </c>
      <c r="AK5078">
        <v>23.257697725334399</v>
      </c>
      <c r="AL5078">
        <v>80.130278311030494</v>
      </c>
      <c r="AM5078">
        <v>98.014532268862396</v>
      </c>
      <c r="AN5078">
        <v>1.0000000633198201</v>
      </c>
    </row>
    <row r="5079" spans="1:40" x14ac:dyDescent="0.25">
      <c r="A5079" t="str">
        <f>"20190304155204050"</f>
        <v>20190304155204050</v>
      </c>
      <c r="B5079" t="str">
        <f>"1551685924042008"</f>
        <v>1551685924042008</v>
      </c>
      <c r="C5079" t="s">
        <v>40</v>
      </c>
      <c r="D5079">
        <v>4.637982</v>
      </c>
      <c r="E5079">
        <v>0.4405269</v>
      </c>
      <c r="F5079" t="s">
        <v>41</v>
      </c>
      <c r="G5079">
        <v>-419.95940000000002</v>
      </c>
      <c r="H5079" s="1">
        <v>-5.2250699999999996E-7</v>
      </c>
      <c r="I5079">
        <v>100.71980000000001</v>
      </c>
      <c r="J5079">
        <v>-416.02109999999999</v>
      </c>
      <c r="K5079">
        <v>1.114187</v>
      </c>
      <c r="L5079">
        <v>124.4776</v>
      </c>
      <c r="M5079">
        <v>-0.4399943</v>
      </c>
      <c r="N5079">
        <v>-1.3931789999999999E-2</v>
      </c>
      <c r="O5079">
        <v>-0.89789269999999999</v>
      </c>
      <c r="P5079">
        <v>-0.30576779999999998</v>
      </c>
      <c r="Q5079">
        <v>0.157862</v>
      </c>
      <c r="R5079">
        <v>-0.93892810000000004</v>
      </c>
      <c r="S5079">
        <v>-0.51406859999999999</v>
      </c>
      <c r="T5079">
        <v>-0.1421936</v>
      </c>
      <c r="U5079">
        <v>-3.0569459999999999</v>
      </c>
      <c r="V5079">
        <v>-0.14006189999999999</v>
      </c>
      <c r="W5079">
        <v>0.17026729999999901</v>
      </c>
      <c r="X5079">
        <v>0.97539310000000001</v>
      </c>
      <c r="Y5079">
        <v>-0.28494989999999998</v>
      </c>
      <c r="Z5079">
        <v>2.4823459999999999E-2</v>
      </c>
      <c r="AA5079">
        <v>0.95822090000000004</v>
      </c>
      <c r="AB5079">
        <v>21</v>
      </c>
      <c r="AC5079">
        <v>-3.9383000000000199</v>
      </c>
      <c r="AD5079">
        <v>-1.1141875225069999</v>
      </c>
      <c r="AE5079">
        <v>-23.7577999999999</v>
      </c>
      <c r="AF5079">
        <v>-6.9030193820304699</v>
      </c>
      <c r="AG5079">
        <v>-1.1141875225069999</v>
      </c>
      <c r="AH5079">
        <v>23.017747778791701</v>
      </c>
      <c r="AI5079">
        <v>92.654641601773406</v>
      </c>
      <c r="AJ5079">
        <v>106.693980340568</v>
      </c>
      <c r="AK5079">
        <v>24.056387992216699</v>
      </c>
      <c r="AL5079">
        <v>80.196639142822804</v>
      </c>
      <c r="AM5079">
        <v>98.171547512438295</v>
      </c>
      <c r="AN5079">
        <v>0.99999999440425502</v>
      </c>
    </row>
    <row r="5080" spans="1:40" x14ac:dyDescent="0.25">
      <c r="A5080" t="str">
        <f>"20190304155204071"</f>
        <v>20190304155204071</v>
      </c>
      <c r="B5080" t="str">
        <f>"1551685924062509"</f>
        <v>1551685924062509</v>
      </c>
      <c r="C5080" t="s">
        <v>40</v>
      </c>
      <c r="D5080">
        <v>4.6330289999999996</v>
      </c>
      <c r="E5080">
        <v>0.44124059999999998</v>
      </c>
      <c r="F5080" t="s">
        <v>41</v>
      </c>
      <c r="G5080">
        <v>-419.70650000000001</v>
      </c>
      <c r="H5080" s="1">
        <v>-9.4137870000000003E-7</v>
      </c>
      <c r="I5080">
        <v>101.51260000000001</v>
      </c>
      <c r="J5080">
        <v>-416.10649999999998</v>
      </c>
      <c r="K5080">
        <v>1.1140399999999999</v>
      </c>
      <c r="L5080">
        <v>124.2872</v>
      </c>
      <c r="M5080">
        <v>-0.43466529999999998</v>
      </c>
      <c r="N5080">
        <v>-1.3914569999999999E-2</v>
      </c>
      <c r="O5080">
        <v>-0.90048470000000003</v>
      </c>
      <c r="P5080">
        <v>-0.29744340000000002</v>
      </c>
      <c r="Q5080">
        <v>0.156697799999999</v>
      </c>
      <c r="R5080">
        <v>-0.94179279999999999</v>
      </c>
      <c r="S5080">
        <v>-0.49108889999999999</v>
      </c>
      <c r="T5080">
        <v>-0.1484702</v>
      </c>
      <c r="U5080">
        <v>-3.060181</v>
      </c>
      <c r="V5080">
        <v>-0.14293810000000001</v>
      </c>
      <c r="W5080">
        <v>0.16910749999999999</v>
      </c>
      <c r="X5080">
        <v>0.97517759999999998</v>
      </c>
      <c r="Y5080">
        <v>-0.28644340000000001</v>
      </c>
      <c r="Z5080">
        <v>2.6645789999999999E-2</v>
      </c>
      <c r="AA5080">
        <v>0.95772659999999998</v>
      </c>
      <c r="AB5080">
        <v>21</v>
      </c>
      <c r="AC5080">
        <v>-3.6000000000000201</v>
      </c>
      <c r="AD5080">
        <v>-1.1140409413787</v>
      </c>
      <c r="AE5080">
        <v>-22.7745999999999</v>
      </c>
      <c r="AF5080">
        <v>-6.6427202124891496</v>
      </c>
      <c r="AG5080">
        <v>-1.1140409413787</v>
      </c>
      <c r="AH5080">
        <v>22.023695504065898</v>
      </c>
      <c r="AI5080">
        <v>92.772601474738096</v>
      </c>
      <c r="AJ5080">
        <v>106.784202062338</v>
      </c>
      <c r="AK5080">
        <v>23.0306314002958</v>
      </c>
      <c r="AL5080">
        <v>80.264068707258403</v>
      </c>
      <c r="AM5080">
        <v>98.338833018147199</v>
      </c>
      <c r="AN5080">
        <v>0.99999999926480898</v>
      </c>
    </row>
    <row r="5081" spans="1:40" x14ac:dyDescent="0.25">
      <c r="A5081" t="str">
        <f>"20190304155204094"</f>
        <v>20190304155204094</v>
      </c>
      <c r="B5081" t="str">
        <f>"1551685924082474"</f>
        <v>1551685924082474</v>
      </c>
      <c r="C5081" t="s">
        <v>40</v>
      </c>
      <c r="D5081">
        <v>4.6424440000000002</v>
      </c>
      <c r="E5081">
        <v>0.44162299999999899</v>
      </c>
      <c r="F5081" t="s">
        <v>41</v>
      </c>
      <c r="G5081">
        <v>-419.49430000000001</v>
      </c>
      <c r="H5081" s="1">
        <v>-1.323435E-6</v>
      </c>
      <c r="I5081">
        <v>102.24120000000001</v>
      </c>
      <c r="J5081">
        <v>-416.19009999999997</v>
      </c>
      <c r="K5081">
        <v>1.113899</v>
      </c>
      <c r="L5081">
        <v>124.0986</v>
      </c>
      <c r="M5081">
        <v>-0.42954920000000002</v>
      </c>
      <c r="N5081">
        <v>-1.38967E-2</v>
      </c>
      <c r="O5081">
        <v>-0.90293679999999998</v>
      </c>
      <c r="P5081">
        <v>-0.2892498</v>
      </c>
      <c r="Q5081">
        <v>0.15749730000000001</v>
      </c>
      <c r="R5081">
        <v>-0.94420870000000001</v>
      </c>
      <c r="S5081">
        <v>-0.47061160000000002</v>
      </c>
      <c r="T5081">
        <v>-0.1547576</v>
      </c>
      <c r="U5081">
        <v>-3.0625309999999999</v>
      </c>
      <c r="V5081">
        <v>-0.14577499999999999</v>
      </c>
      <c r="W5081">
        <v>0.16990739999999999</v>
      </c>
      <c r="X5081">
        <v>0.9746184</v>
      </c>
      <c r="Y5081">
        <v>-0.28737469999999998</v>
      </c>
      <c r="Z5081">
        <v>2.849022E-2</v>
      </c>
      <c r="AA5081">
        <v>0.95739439999999998</v>
      </c>
      <c r="AB5081">
        <v>21</v>
      </c>
      <c r="AC5081">
        <v>-3.30420000000003</v>
      </c>
      <c r="AD5081">
        <v>-1.113900323435</v>
      </c>
      <c r="AE5081">
        <v>-21.857399999999998</v>
      </c>
      <c r="AF5081">
        <v>-6.3897376100025802</v>
      </c>
      <c r="AG5081">
        <v>-1.113900323435</v>
      </c>
      <c r="AH5081">
        <v>21.103620479103402</v>
      </c>
      <c r="AI5081">
        <v>92.891986265022794</v>
      </c>
      <c r="AJ5081">
        <v>106.84522143310301</v>
      </c>
      <c r="AK5081">
        <v>22.077869416709198</v>
      </c>
      <c r="AL5081">
        <v>80.217564367503698</v>
      </c>
      <c r="AM5081">
        <v>98.506745286657505</v>
      </c>
      <c r="AN5081">
        <v>0.99999995040915801</v>
      </c>
    </row>
    <row r="5082" spans="1:40" x14ac:dyDescent="0.25">
      <c r="A5082" t="str">
        <f>"20190304155204117"</f>
        <v>20190304155204117</v>
      </c>
      <c r="B5082" t="str">
        <f>"1551685924111755"</f>
        <v>1551685924111755</v>
      </c>
      <c r="C5082" t="s">
        <v>40</v>
      </c>
      <c r="D5082">
        <v>4.6527760000000002</v>
      </c>
      <c r="E5082">
        <v>0.45468789999999998</v>
      </c>
      <c r="F5082" t="s">
        <v>41</v>
      </c>
      <c r="G5082">
        <v>-419.4171</v>
      </c>
      <c r="H5082" s="1">
        <v>-1.241881E-6</v>
      </c>
      <c r="I5082">
        <v>102.0397</v>
      </c>
      <c r="J5082">
        <v>-416.27719999999999</v>
      </c>
      <c r="K5082">
        <v>1.1137509999999999</v>
      </c>
      <c r="L5082">
        <v>123.8995</v>
      </c>
      <c r="M5082">
        <v>-0.42434709999999998</v>
      </c>
      <c r="N5082">
        <v>-1.3877520000000001E-2</v>
      </c>
      <c r="O5082">
        <v>-0.90539349999999996</v>
      </c>
      <c r="P5082">
        <v>-0.28173939999999997</v>
      </c>
      <c r="Q5082">
        <v>0.1565579</v>
      </c>
      <c r="R5082">
        <v>-0.94663229999999998</v>
      </c>
      <c r="S5082">
        <v>-0.4484863</v>
      </c>
      <c r="T5082">
        <v>-0.1548078</v>
      </c>
      <c r="U5082">
        <v>-3.0657040000000002</v>
      </c>
      <c r="V5082">
        <v>-0.14791299999999999</v>
      </c>
      <c r="W5082">
        <v>0.16898299999999999</v>
      </c>
      <c r="X5082">
        <v>0.97445700000000002</v>
      </c>
      <c r="Y5082">
        <v>-0.28877000000000003</v>
      </c>
      <c r="Z5082">
        <v>2.8641280000000002E-2</v>
      </c>
      <c r="AA5082">
        <v>0.95696999999999999</v>
      </c>
      <c r="AB5082">
        <v>21</v>
      </c>
      <c r="AC5082">
        <v>-3.1399000000000101</v>
      </c>
      <c r="AD5082">
        <v>-1.113752241881</v>
      </c>
      <c r="AE5082">
        <v>-21.8598</v>
      </c>
      <c r="AF5082">
        <v>-6.4175933057806001</v>
      </c>
      <c r="AG5082">
        <v>-1.113752241881</v>
      </c>
      <c r="AH5082">
        <v>21.072561993304301</v>
      </c>
      <c r="AI5082">
        <v>92.894436279348099</v>
      </c>
      <c r="AJ5082">
        <v>106.937976200134</v>
      </c>
      <c r="AK5082">
        <v>22.056264798382099</v>
      </c>
      <c r="AL5082">
        <v>80.271305976345104</v>
      </c>
      <c r="AM5082">
        <v>98.631051695567805</v>
      </c>
      <c r="AN5082">
        <v>0.99999997735349899</v>
      </c>
    </row>
    <row r="5083" spans="1:40" x14ac:dyDescent="0.25">
      <c r="A5083" t="str">
        <f>"20190304155204139"</f>
        <v>20190304155204139</v>
      </c>
      <c r="B5083" t="str">
        <f>"1551685924132250"</f>
        <v>1551685924132250</v>
      </c>
      <c r="C5083" t="s">
        <v>40</v>
      </c>
      <c r="D5083">
        <v>4.7169879999999997</v>
      </c>
      <c r="E5083">
        <v>0.45541150000000002</v>
      </c>
      <c r="F5083" t="s">
        <v>41</v>
      </c>
      <c r="G5083">
        <v>-419.3569</v>
      </c>
      <c r="H5083" s="1">
        <v>-3.1751880000000002E-6</v>
      </c>
      <c r="I5083">
        <v>106.1069</v>
      </c>
      <c r="J5083">
        <v>-416.35939999999999</v>
      </c>
      <c r="K5083">
        <v>1.1135980000000001</v>
      </c>
      <c r="L5083">
        <v>123.7093</v>
      </c>
      <c r="M5083">
        <v>-0.41960019999999998</v>
      </c>
      <c r="N5083">
        <v>-1.3858229999999999E-2</v>
      </c>
      <c r="O5083">
        <v>-0.9076033</v>
      </c>
      <c r="P5083">
        <v>-0.27685500000000002</v>
      </c>
      <c r="Q5083">
        <v>0.15528159999999999</v>
      </c>
      <c r="R5083">
        <v>-0.94828219999999996</v>
      </c>
      <c r="S5083">
        <v>-0.52685550000000003</v>
      </c>
      <c r="T5083">
        <v>-0.19053400000000001</v>
      </c>
      <c r="U5083">
        <v>-3.0438390000000002</v>
      </c>
      <c r="V5083">
        <v>-0.14785190000000001</v>
      </c>
      <c r="W5083">
        <v>0.167744</v>
      </c>
      <c r="X5083">
        <v>0.9746804</v>
      </c>
      <c r="Y5083">
        <v>-0.25867180000000001</v>
      </c>
      <c r="Z5083">
        <v>3.9160970000000003E-2</v>
      </c>
      <c r="AA5083">
        <v>0.96517120000000001</v>
      </c>
      <c r="AB5083">
        <v>21</v>
      </c>
      <c r="AC5083">
        <v>-2.9975000000000001</v>
      </c>
      <c r="AD5083">
        <v>-1.1136011751879999</v>
      </c>
      <c r="AE5083">
        <v>-17.602399999999999</v>
      </c>
      <c r="AF5083">
        <v>-4.6477995207540097</v>
      </c>
      <c r="AG5083">
        <v>-1.1136011751879999</v>
      </c>
      <c r="AH5083">
        <v>17.1686234806455</v>
      </c>
      <c r="AI5083">
        <v>93.582552055854705</v>
      </c>
      <c r="AJ5083">
        <v>105.147737559211</v>
      </c>
      <c r="AK5083">
        <v>17.821441585423798</v>
      </c>
      <c r="AL5083">
        <v>80.343324292031994</v>
      </c>
      <c r="AM5083">
        <v>98.625592320491904</v>
      </c>
      <c r="AN5083">
        <v>1.00000005800688</v>
      </c>
    </row>
    <row r="5084" spans="1:40" x14ac:dyDescent="0.25">
      <c r="A5084" t="str">
        <f>"20190304155204161"</f>
        <v>20190304155204161</v>
      </c>
      <c r="B5084" t="str">
        <f>"1551685924151770"</f>
        <v>1551685924151770</v>
      </c>
      <c r="C5084" t="s">
        <v>40</v>
      </c>
      <c r="D5084">
        <v>4.7494880000000004</v>
      </c>
      <c r="E5084">
        <v>0.45614369999999999</v>
      </c>
      <c r="F5084" t="s">
        <v>41</v>
      </c>
      <c r="G5084">
        <v>-419.23719999999997</v>
      </c>
      <c r="H5084" s="1">
        <v>-3.5061370000000002E-6</v>
      </c>
      <c r="I5084">
        <v>106.76220000000001</v>
      </c>
      <c r="J5084">
        <v>-416.44229999999999</v>
      </c>
      <c r="K5084">
        <v>1.1134329999999999</v>
      </c>
      <c r="L5084">
        <v>123.5155</v>
      </c>
      <c r="M5084">
        <v>-0.4150143</v>
      </c>
      <c r="N5084">
        <v>-1.3836609999999999E-2</v>
      </c>
      <c r="O5084">
        <v>-0.90970980000000001</v>
      </c>
      <c r="P5084">
        <v>-0.27205059999999998</v>
      </c>
      <c r="Q5084">
        <v>0.15522900000000001</v>
      </c>
      <c r="R5084">
        <v>-0.94968030000000003</v>
      </c>
      <c r="S5084">
        <v>-0.51715089999999997</v>
      </c>
      <c r="T5084">
        <v>-0.2001134</v>
      </c>
      <c r="U5084">
        <v>-3.0453950000000001</v>
      </c>
      <c r="V5084">
        <v>-0.1478006</v>
      </c>
      <c r="W5084">
        <v>0.1677313</v>
      </c>
      <c r="X5084">
        <v>0.97469030000000001</v>
      </c>
      <c r="Y5084">
        <v>-0.25688230000000001</v>
      </c>
      <c r="Z5084">
        <v>4.1999639999999998E-2</v>
      </c>
      <c r="AA5084">
        <v>0.96552969999999905</v>
      </c>
      <c r="AB5084">
        <v>21</v>
      </c>
      <c r="AC5084">
        <v>-2.7948999999999802</v>
      </c>
      <c r="AD5084">
        <v>-1.113436506137</v>
      </c>
      <c r="AE5084">
        <v>-16.7532999999999</v>
      </c>
      <c r="AF5084">
        <v>-4.3918591727371501</v>
      </c>
      <c r="AG5084">
        <v>-1.113436506137</v>
      </c>
      <c r="AH5084">
        <v>16.331947532105001</v>
      </c>
      <c r="AI5084">
        <v>93.766716001156695</v>
      </c>
      <c r="AJ5084">
        <v>105.05146524139499</v>
      </c>
      <c r="AK5084">
        <v>16.948766268899501</v>
      </c>
      <c r="AL5084">
        <v>80.344061778731401</v>
      </c>
      <c r="AM5084">
        <v>98.622558235857198</v>
      </c>
      <c r="AN5084">
        <v>0.99999999363707004</v>
      </c>
    </row>
    <row r="5085" spans="1:40" x14ac:dyDescent="0.25">
      <c r="A5085" t="str">
        <f>"20190304155204183"</f>
        <v>20190304155204183</v>
      </c>
      <c r="B5085" t="str">
        <f>"1551685924172266"</f>
        <v>1551685924172266</v>
      </c>
      <c r="C5085" t="s">
        <v>40</v>
      </c>
      <c r="D5085">
        <v>4.719049</v>
      </c>
      <c r="E5085">
        <v>0.45654630000000002</v>
      </c>
      <c r="F5085" t="s">
        <v>41</v>
      </c>
      <c r="G5085">
        <v>-419.20499999999998</v>
      </c>
      <c r="H5085" s="1">
        <v>-3.6008330000000002E-6</v>
      </c>
      <c r="I5085">
        <v>106.9504</v>
      </c>
      <c r="J5085">
        <v>-416.52359999999999</v>
      </c>
      <c r="K5085">
        <v>1.1132409999999999</v>
      </c>
      <c r="L5085">
        <v>123.3236</v>
      </c>
      <c r="M5085">
        <v>-0.41073799999999999</v>
      </c>
      <c r="N5085">
        <v>-1.3813300000000001E-2</v>
      </c>
      <c r="O5085">
        <v>-0.91164889999999998</v>
      </c>
      <c r="P5085">
        <v>-0.2674917</v>
      </c>
      <c r="Q5085">
        <v>0.1567557</v>
      </c>
      <c r="R5085">
        <v>-0.95072380000000001</v>
      </c>
      <c r="S5085">
        <v>-0.50814820000000005</v>
      </c>
      <c r="T5085">
        <v>-0.20479620000000001</v>
      </c>
      <c r="U5085">
        <v>-3.0468600000000001</v>
      </c>
      <c r="V5085">
        <v>-0.14772779999999999</v>
      </c>
      <c r="W5085">
        <v>0.16930120000000001</v>
      </c>
      <c r="X5085">
        <v>0.97442989999999996</v>
      </c>
      <c r="Y5085">
        <v>-0.25520379999999998</v>
      </c>
      <c r="Z5085">
        <v>4.348842E-2</v>
      </c>
      <c r="AA5085">
        <v>0.96590880000000001</v>
      </c>
      <c r="AB5085">
        <v>21</v>
      </c>
      <c r="AC5085">
        <v>-2.6813999999999898</v>
      </c>
      <c r="AD5085">
        <v>-1.1132446008329999</v>
      </c>
      <c r="AE5085">
        <v>-16.373199999999901</v>
      </c>
      <c r="AF5085">
        <v>-4.2618206652063604</v>
      </c>
      <c r="AG5085">
        <v>-1.1132446008329999</v>
      </c>
      <c r="AH5085">
        <v>15.957646459860401</v>
      </c>
      <c r="AI5085">
        <v>93.855911568337206</v>
      </c>
      <c r="AJ5085">
        <v>104.95303038306</v>
      </c>
      <c r="AK5085">
        <v>16.554422655639801</v>
      </c>
      <c r="AL5085">
        <v>80.252808299705094</v>
      </c>
      <c r="AM5085">
        <v>98.620643455066201</v>
      </c>
      <c r="AN5085">
        <v>1.0000000146141399</v>
      </c>
    </row>
    <row r="5086" spans="1:40" x14ac:dyDescent="0.25">
      <c r="A5086" t="str">
        <f>"20190304155204205"</f>
        <v>20190304155204205</v>
      </c>
      <c r="B5086" t="str">
        <f>"1551685924202053"</f>
        <v>1551685924202053</v>
      </c>
      <c r="C5086" t="s">
        <v>40</v>
      </c>
      <c r="D5086">
        <v>5.0294970000000001</v>
      </c>
      <c r="E5086">
        <v>0.4626653</v>
      </c>
      <c r="F5086" t="s">
        <v>41</v>
      </c>
      <c r="G5086">
        <v>-419.26960000000003</v>
      </c>
      <c r="H5086" s="1">
        <v>-3.36055E-6</v>
      </c>
      <c r="I5086">
        <v>106.4663</v>
      </c>
      <c r="J5086">
        <v>-416.60329999999999</v>
      </c>
      <c r="K5086">
        <v>1.113027</v>
      </c>
      <c r="L5086">
        <v>123.13379999999999</v>
      </c>
      <c r="M5086">
        <v>-0.40678029999999998</v>
      </c>
      <c r="N5086">
        <v>-1.378974E-2</v>
      </c>
      <c r="O5086">
        <v>-0.91342199999999996</v>
      </c>
      <c r="P5086">
        <v>-0.26290370000000002</v>
      </c>
      <c r="Q5086">
        <v>0.15727720000000001</v>
      </c>
      <c r="R5086">
        <v>-0.95191689999999995</v>
      </c>
      <c r="S5086">
        <v>-0.49667359999999999</v>
      </c>
      <c r="T5086">
        <v>-0.20135069999999999</v>
      </c>
      <c r="U5086">
        <v>-3.04895</v>
      </c>
      <c r="V5086">
        <v>-0.14808299999999999</v>
      </c>
      <c r="W5086">
        <v>0.16987070000000001</v>
      </c>
      <c r="X5086">
        <v>0.97427680000000005</v>
      </c>
      <c r="Y5086">
        <v>-0.25465379999999999</v>
      </c>
      <c r="Z5086">
        <v>4.2695589999999999E-2</v>
      </c>
      <c r="AA5086">
        <v>0.96608930000000004</v>
      </c>
      <c r="AB5086">
        <v>21</v>
      </c>
      <c r="AC5086">
        <v>-2.6663000000000299</v>
      </c>
      <c r="AD5086">
        <v>-1.11303036055</v>
      </c>
      <c r="AE5086">
        <v>-16.667499999999901</v>
      </c>
      <c r="AF5086">
        <v>-4.3261559022847997</v>
      </c>
      <c r="AG5086">
        <v>-1.11303036055</v>
      </c>
      <c r="AH5086">
        <v>16.239996319125002</v>
      </c>
      <c r="AI5086">
        <v>93.788983663750003</v>
      </c>
      <c r="AJ5086">
        <v>104.91656165926101</v>
      </c>
      <c r="AK5086">
        <v>16.843157124469698</v>
      </c>
      <c r="AL5086">
        <v>80.219698199273395</v>
      </c>
      <c r="AM5086">
        <v>98.6423959855465</v>
      </c>
      <c r="AN5086">
        <v>0.99999995631286398</v>
      </c>
    </row>
    <row r="5087" spans="1:40" x14ac:dyDescent="0.25">
      <c r="A5087" t="str">
        <f>"20190304155204228"</f>
        <v>20190304155204228</v>
      </c>
      <c r="B5087" t="str">
        <f>"1551685924222552"</f>
        <v>1551685924222552</v>
      </c>
      <c r="C5087" t="s">
        <v>40</v>
      </c>
      <c r="D5087">
        <v>4.7063079999999999</v>
      </c>
      <c r="E5087">
        <v>0.4643679</v>
      </c>
      <c r="F5087" t="s">
        <v>41</v>
      </c>
      <c r="G5087">
        <v>-419.41750000000002</v>
      </c>
      <c r="H5087" s="1">
        <v>-3.5836470000000001E-6</v>
      </c>
      <c r="I5087">
        <v>106.99379999999999</v>
      </c>
      <c r="J5087">
        <v>-416.6848</v>
      </c>
      <c r="K5087">
        <v>1.1128070000000001</v>
      </c>
      <c r="L5087">
        <v>122.93819999999999</v>
      </c>
      <c r="M5087">
        <v>-0.40299960000000001</v>
      </c>
      <c r="N5087">
        <v>-1.376584E-2</v>
      </c>
      <c r="O5087">
        <v>-0.91509680000000004</v>
      </c>
      <c r="P5087">
        <v>-0.25856750000000001</v>
      </c>
      <c r="Q5087">
        <v>0.15651699999999999</v>
      </c>
      <c r="R5087">
        <v>-0.95322899999999999</v>
      </c>
      <c r="S5087">
        <v>-0.53002930000000004</v>
      </c>
      <c r="T5087">
        <v>-0.2096266</v>
      </c>
      <c r="U5087">
        <v>-3.0397799999999999</v>
      </c>
      <c r="V5087">
        <v>-0.14844270000000001</v>
      </c>
      <c r="W5087">
        <v>0.1691667</v>
      </c>
      <c r="X5087">
        <v>0.97434460000000001</v>
      </c>
      <c r="Y5087">
        <v>-0.23988390000000001</v>
      </c>
      <c r="Z5087">
        <v>4.5463120000000003E-2</v>
      </c>
      <c r="AA5087">
        <v>0.9697365</v>
      </c>
      <c r="AB5087">
        <v>21</v>
      </c>
      <c r="AC5087">
        <v>-2.7327000000000199</v>
      </c>
      <c r="AD5087">
        <v>-1.1128105836469999</v>
      </c>
      <c r="AE5087">
        <v>-15.9444</v>
      </c>
      <c r="AF5087">
        <v>-3.9067858302060299</v>
      </c>
      <c r="AG5087">
        <v>-1.1128105836469999</v>
      </c>
      <c r="AH5087">
        <v>15.6195179175311</v>
      </c>
      <c r="AI5087">
        <v>93.953749946923594</v>
      </c>
      <c r="AJ5087">
        <v>104.042824839647</v>
      </c>
      <c r="AK5087">
        <v>16.139103534405201</v>
      </c>
      <c r="AL5087">
        <v>80.260627256153398</v>
      </c>
      <c r="AM5087">
        <v>98.662476951626502</v>
      </c>
      <c r="AN5087">
        <v>1.00000000356067</v>
      </c>
    </row>
    <row r="5088" spans="1:40" x14ac:dyDescent="0.25">
      <c r="A5088" t="str">
        <f>"20190304155204250"</f>
        <v>20190304155204250</v>
      </c>
      <c r="B5088" t="str">
        <f>"1551685924242069"</f>
        <v>1551685924242069</v>
      </c>
      <c r="C5088" t="s">
        <v>40</v>
      </c>
      <c r="D5088">
        <v>4.6923510000000004</v>
      </c>
      <c r="E5088">
        <v>0.46646589999999999</v>
      </c>
      <c r="F5088" t="s">
        <v>41</v>
      </c>
      <c r="G5088">
        <v>-419.44349999999997</v>
      </c>
      <c r="H5088" s="1">
        <v>-3.6386530000000002E-6</v>
      </c>
      <c r="I5088">
        <v>107.1199</v>
      </c>
      <c r="J5088">
        <v>-416.76679999999999</v>
      </c>
      <c r="K5088">
        <v>1.1125799999999999</v>
      </c>
      <c r="L5088">
        <v>122.7405</v>
      </c>
      <c r="M5088">
        <v>-0.39950930000000001</v>
      </c>
      <c r="N5088">
        <v>-1.374234E-2</v>
      </c>
      <c r="O5088">
        <v>-0.91662619999999895</v>
      </c>
      <c r="P5088">
        <v>-0.25486350000000002</v>
      </c>
      <c r="Q5088">
        <v>0.15538350000000001</v>
      </c>
      <c r="R5088">
        <v>-0.95441109999999896</v>
      </c>
      <c r="S5088">
        <v>-0.52990719999999902</v>
      </c>
      <c r="T5088">
        <v>-0.2137617</v>
      </c>
      <c r="U5088">
        <v>-3.0385740000000001</v>
      </c>
      <c r="V5088">
        <v>-0.1484917</v>
      </c>
      <c r="W5088">
        <v>0.16809180000000001</v>
      </c>
      <c r="X5088">
        <v>0.97452309999999998</v>
      </c>
      <c r="Y5088">
        <v>-0.23616699999999999</v>
      </c>
      <c r="Z5088">
        <v>4.6847350000000003E-2</v>
      </c>
      <c r="AA5088">
        <v>0.97058250000000001</v>
      </c>
      <c r="AB5088">
        <v>21</v>
      </c>
      <c r="AC5088">
        <v>-2.6766999999999799</v>
      </c>
      <c r="AD5088">
        <v>-1.1125836386529999</v>
      </c>
      <c r="AE5088">
        <v>-15.6205999999999</v>
      </c>
      <c r="AF5088">
        <v>-3.76882495793408</v>
      </c>
      <c r="AG5088">
        <v>-1.1125836386529999</v>
      </c>
      <c r="AH5088">
        <v>15.313599283130401</v>
      </c>
      <c r="AI5088">
        <v>94.0354261850282</v>
      </c>
      <c r="AJ5088">
        <v>103.826264767092</v>
      </c>
      <c r="AK5088">
        <v>15.809750375032401</v>
      </c>
      <c r="AL5088">
        <v>80.323108791718298</v>
      </c>
      <c r="AM5088">
        <v>98.663729878373402</v>
      </c>
      <c r="AN5088">
        <v>0.99999995531486896</v>
      </c>
    </row>
    <row r="5089" spans="1:40" x14ac:dyDescent="0.25">
      <c r="A5089" t="str">
        <f>"20190304155204272"</f>
        <v>20190304155204272</v>
      </c>
      <c r="B5089" t="str">
        <f>"1551685924262565"</f>
        <v>1551685924262565</v>
      </c>
      <c r="C5089" t="s">
        <v>40</v>
      </c>
      <c r="D5089">
        <v>4.7182190000000004</v>
      </c>
      <c r="E5089">
        <v>0.46696979999999999</v>
      </c>
      <c r="F5089" t="s">
        <v>41</v>
      </c>
      <c r="G5089">
        <v>-419.58510000000001</v>
      </c>
      <c r="H5089" s="1">
        <v>-3.4286620000000001E-6</v>
      </c>
      <c r="I5089">
        <v>106.72880000000001</v>
      </c>
      <c r="J5089">
        <v>-416.84449999999998</v>
      </c>
      <c r="K5089">
        <v>1.1124019999999999</v>
      </c>
      <c r="L5089">
        <v>122.55200000000001</v>
      </c>
      <c r="M5089">
        <v>-0.3964165</v>
      </c>
      <c r="N5089">
        <v>-1.3721300000000001E-2</v>
      </c>
      <c r="O5089">
        <v>-0.91796829999999996</v>
      </c>
      <c r="P5089">
        <v>-0.2518204</v>
      </c>
      <c r="Q5089">
        <v>0.1553426</v>
      </c>
      <c r="R5089">
        <v>-0.9552254</v>
      </c>
      <c r="S5089">
        <v>-0.53421019999999997</v>
      </c>
      <c r="T5089">
        <v>-0.21088599999999999</v>
      </c>
      <c r="U5089">
        <v>-3.034958</v>
      </c>
      <c r="V5089">
        <v>-0.14824309999999999</v>
      </c>
      <c r="W5089">
        <v>0.16809370000000001</v>
      </c>
      <c r="X5089">
        <v>0.97456069999999995</v>
      </c>
      <c r="Y5089">
        <v>-0.2313576</v>
      </c>
      <c r="Z5089">
        <v>4.6301309999999998E-2</v>
      </c>
      <c r="AA5089">
        <v>0.97176640000000003</v>
      </c>
      <c r="AB5089">
        <v>21</v>
      </c>
      <c r="AC5089">
        <v>-2.7406000000000201</v>
      </c>
      <c r="AD5089">
        <v>-1.112405428662</v>
      </c>
      <c r="AE5089">
        <v>-15.8232</v>
      </c>
      <c r="AF5089">
        <v>-3.7392047432918099</v>
      </c>
      <c r="AG5089">
        <v>-1.112405428662</v>
      </c>
      <c r="AH5089">
        <v>15.5385231918866</v>
      </c>
      <c r="AI5089">
        <v>93.9815499429521</v>
      </c>
      <c r="AJ5089">
        <v>103.530451040757</v>
      </c>
      <c r="AK5089">
        <v>16.020761559138499</v>
      </c>
      <c r="AL5089">
        <v>80.3229991206195</v>
      </c>
      <c r="AM5089">
        <v>98.649116223188202</v>
      </c>
      <c r="AN5089">
        <v>1.00000003333089</v>
      </c>
    </row>
    <row r="5090" spans="1:40" x14ac:dyDescent="0.25">
      <c r="A5090" t="str">
        <f>"20190304155204294"</f>
        <v>20190304155204294</v>
      </c>
      <c r="B5090" t="str">
        <f>"1551685924292353"</f>
        <v>1551685924292353</v>
      </c>
      <c r="C5090" t="s">
        <v>40</v>
      </c>
      <c r="D5090">
        <v>4.7281309999999896</v>
      </c>
      <c r="E5090">
        <v>0.46796880000000002</v>
      </c>
      <c r="F5090" t="s">
        <v>41</v>
      </c>
      <c r="G5090">
        <v>-419.63659999999999</v>
      </c>
      <c r="H5090" s="1">
        <v>-3.309324E-6</v>
      </c>
      <c r="I5090">
        <v>106.4957</v>
      </c>
      <c r="J5090">
        <v>-416.92070000000001</v>
      </c>
      <c r="K5090">
        <v>1.1122650000000001</v>
      </c>
      <c r="L5090">
        <v>122.366</v>
      </c>
      <c r="M5090">
        <v>-0.3935786</v>
      </c>
      <c r="N5090">
        <v>-1.3701909999999999E-2</v>
      </c>
      <c r="O5090">
        <v>-0.91918900000000003</v>
      </c>
      <c r="P5090">
        <v>-0.2486226</v>
      </c>
      <c r="Q5090">
        <v>0.15639040000000001</v>
      </c>
      <c r="R5090">
        <v>-0.95589210000000002</v>
      </c>
      <c r="S5090">
        <v>-0.5278931</v>
      </c>
      <c r="T5090">
        <v>-0.21031449999999999</v>
      </c>
      <c r="U5090">
        <v>-3.03566</v>
      </c>
      <c r="V5090">
        <v>-0.148374799999999</v>
      </c>
      <c r="W5090">
        <v>0.1691686</v>
      </c>
      <c r="X5090">
        <v>0.97435459999999996</v>
      </c>
      <c r="Y5090">
        <v>-0.230353</v>
      </c>
      <c r="Z5090">
        <v>4.62773E-2</v>
      </c>
      <c r="AA5090">
        <v>0.97200609999999998</v>
      </c>
      <c r="AB5090">
        <v>21</v>
      </c>
      <c r="AC5090">
        <v>-2.7158999999999698</v>
      </c>
      <c r="AD5090">
        <v>-1.112268309324</v>
      </c>
      <c r="AE5090">
        <v>-15.8703</v>
      </c>
      <c r="AF5090">
        <v>-3.73232541531423</v>
      </c>
      <c r="AG5090">
        <v>-1.112268309324</v>
      </c>
      <c r="AH5090">
        <v>15.583824938002399</v>
      </c>
      <c r="AI5090">
        <v>93.970549862695407</v>
      </c>
      <c r="AJ5090">
        <v>103.468640281709</v>
      </c>
      <c r="AK5090">
        <v>16.063094144530002</v>
      </c>
      <c r="AL5090">
        <v>80.260516683830403</v>
      </c>
      <c r="AM5090">
        <v>98.658487147111799</v>
      </c>
      <c r="AN5090">
        <v>0.99999999152107999</v>
      </c>
    </row>
    <row r="5091" spans="1:40" x14ac:dyDescent="0.25">
      <c r="A5091" t="str">
        <f>"20190304155204317"</f>
        <v>20190304155204317</v>
      </c>
      <c r="B5091" t="str">
        <f>"1551685924311872"</f>
        <v>1551685924311872</v>
      </c>
      <c r="C5091" t="s">
        <v>40</v>
      </c>
      <c r="D5091">
        <v>4.7564900000000003</v>
      </c>
      <c r="E5091">
        <v>0.46826509999999999</v>
      </c>
      <c r="F5091" t="s">
        <v>41</v>
      </c>
      <c r="G5091">
        <v>-419.726</v>
      </c>
      <c r="H5091" s="1">
        <v>-3.1493090000000001E-6</v>
      </c>
      <c r="I5091">
        <v>106.19070000000001</v>
      </c>
      <c r="J5091">
        <v>-417.00240000000002</v>
      </c>
      <c r="K5091">
        <v>1.112139</v>
      </c>
      <c r="L5091">
        <v>122.16540000000001</v>
      </c>
      <c r="M5091">
        <v>-0.39075339999999997</v>
      </c>
      <c r="N5091">
        <v>-1.3682329999999999E-2</v>
      </c>
      <c r="O5091">
        <v>-0.92039360000000003</v>
      </c>
      <c r="P5091">
        <v>-0.2458959</v>
      </c>
      <c r="Q5091">
        <v>0.15595390000000001</v>
      </c>
      <c r="R5091">
        <v>-0.95666799999999996</v>
      </c>
      <c r="S5091">
        <v>-0.52648930000000005</v>
      </c>
      <c r="T5091">
        <v>-0.20874300000000001</v>
      </c>
      <c r="U5091">
        <v>-3.03566</v>
      </c>
      <c r="V5091">
        <v>-0.14813390000000001</v>
      </c>
      <c r="W5091">
        <v>0.16876070000000001</v>
      </c>
      <c r="X5091">
        <v>0.97446200000000005</v>
      </c>
      <c r="Y5091">
        <v>-0.2278</v>
      </c>
      <c r="Z5091">
        <v>4.599176E-2</v>
      </c>
      <c r="AA5091">
        <v>0.97262110000000002</v>
      </c>
      <c r="AB5091">
        <v>21</v>
      </c>
      <c r="AC5091">
        <v>-2.72359999999997</v>
      </c>
      <c r="AD5091">
        <v>-1.112142149309</v>
      </c>
      <c r="AE5091">
        <v>-15.9747</v>
      </c>
      <c r="AF5091">
        <v>-3.7182219641920802</v>
      </c>
      <c r="AG5091">
        <v>-1.112142149309</v>
      </c>
      <c r="AH5091">
        <v>15.694824289561399</v>
      </c>
      <c r="AI5091">
        <v>93.944408870437698</v>
      </c>
      <c r="AJ5091">
        <v>103.328080349074</v>
      </c>
      <c r="AK5091">
        <v>16.167546017113299</v>
      </c>
      <c r="AL5091">
        <v>80.284228719258294</v>
      </c>
      <c r="AM5091">
        <v>98.643703470818295</v>
      </c>
      <c r="AN5091">
        <v>1.00000000781885</v>
      </c>
    </row>
    <row r="5092" spans="1:40" x14ac:dyDescent="0.25">
      <c r="A5092" t="str">
        <f>"20190304155204341"</f>
        <v>20190304155204341</v>
      </c>
      <c r="B5092" t="str">
        <f>"1551685924332368"</f>
        <v>1551685924332368</v>
      </c>
      <c r="C5092" t="s">
        <v>40</v>
      </c>
      <c r="D5092">
        <v>4.74953</v>
      </c>
      <c r="E5092">
        <v>0.47688150000000001</v>
      </c>
      <c r="F5092" t="s">
        <v>41</v>
      </c>
      <c r="G5092">
        <v>-419.75569999999999</v>
      </c>
      <c r="H5092" s="1">
        <v>-3.0873960000000002E-6</v>
      </c>
      <c r="I5092">
        <v>106.07089999999999</v>
      </c>
      <c r="J5092">
        <v>-417.08249999999998</v>
      </c>
      <c r="K5092">
        <v>1.112018</v>
      </c>
      <c r="L5092">
        <v>121.96769999999999</v>
      </c>
      <c r="M5092">
        <v>-0.38818360000000002</v>
      </c>
      <c r="N5092">
        <v>-1.3664010000000001E-2</v>
      </c>
      <c r="O5092">
        <v>-0.92148079999999999</v>
      </c>
      <c r="P5092">
        <v>-0.24361630000000001</v>
      </c>
      <c r="Q5092">
        <v>0.15496579999999999</v>
      </c>
      <c r="R5092">
        <v>-0.95741160000000003</v>
      </c>
      <c r="S5092">
        <v>-0.51947019999999999</v>
      </c>
      <c r="T5092">
        <v>-0.2098304</v>
      </c>
      <c r="U5092">
        <v>-3.036591</v>
      </c>
      <c r="V5092">
        <v>-0.1477444</v>
      </c>
      <c r="W5092">
        <v>0.16780229999999999</v>
      </c>
      <c r="X5092">
        <v>0.97468659999999996</v>
      </c>
      <c r="Y5092">
        <v>-0.22731960000000001</v>
      </c>
      <c r="Z5092">
        <v>4.6413019999999999E-2</v>
      </c>
      <c r="AA5092">
        <v>0.97271350000000001</v>
      </c>
      <c r="AB5092">
        <v>21</v>
      </c>
      <c r="AC5092">
        <v>-2.6732</v>
      </c>
      <c r="AD5092">
        <v>-1.1120210873959999</v>
      </c>
      <c r="AE5092">
        <v>-15.896800000000001</v>
      </c>
      <c r="AF5092">
        <v>-3.6903589642736701</v>
      </c>
      <c r="AG5092">
        <v>-1.1120210873959999</v>
      </c>
      <c r="AH5092">
        <v>15.6134512539822</v>
      </c>
      <c r="AI5092">
        <v>93.964957382108807</v>
      </c>
      <c r="AJ5092">
        <v>103.298246588495</v>
      </c>
      <c r="AK5092">
        <v>16.0821391687949</v>
      </c>
      <c r="AL5092">
        <v>80.339935295209898</v>
      </c>
      <c r="AM5092">
        <v>98.619361056873501</v>
      </c>
      <c r="AN5092">
        <v>0.99999999391810401</v>
      </c>
    </row>
    <row r="5093" spans="1:40" x14ac:dyDescent="0.25">
      <c r="A5093" t="str">
        <f>"20190304155204363"</f>
        <v>20190304155204363</v>
      </c>
      <c r="B5093" t="str">
        <f>"1551685924351890"</f>
        <v>1551685924351890</v>
      </c>
      <c r="C5093" t="s">
        <v>40</v>
      </c>
      <c r="D5093">
        <v>4.7500039999999997</v>
      </c>
      <c r="E5093">
        <v>0.47603279999999998</v>
      </c>
      <c r="F5093" t="s">
        <v>41</v>
      </c>
      <c r="G5093">
        <v>-420.6327</v>
      </c>
      <c r="H5093" s="1">
        <v>-1.979729E-6</v>
      </c>
      <c r="I5093">
        <v>103.42359999999999</v>
      </c>
      <c r="J5093">
        <v>-417.1617</v>
      </c>
      <c r="K5093">
        <v>1.11189</v>
      </c>
      <c r="L5093">
        <v>121.7713</v>
      </c>
      <c r="M5093">
        <v>-0.38581470000000001</v>
      </c>
      <c r="N5093">
        <v>-1.364687E-2</v>
      </c>
      <c r="O5093">
        <v>-0.9224753</v>
      </c>
      <c r="P5093">
        <v>-0.2416333</v>
      </c>
      <c r="Q5093">
        <v>0.15465319999999999</v>
      </c>
      <c r="R5093">
        <v>-0.95796440000000005</v>
      </c>
      <c r="S5093">
        <v>-0.57736209999999999</v>
      </c>
      <c r="T5093">
        <v>-0.18084620000000001</v>
      </c>
      <c r="U5093">
        <v>-3.0158079999999998</v>
      </c>
      <c r="V5093">
        <v>-0.14722489999999999</v>
      </c>
      <c r="W5093">
        <v>0.16752020000000001</v>
      </c>
      <c r="X5093">
        <v>0.97481370000000001</v>
      </c>
      <c r="Y5093">
        <v>-0.20553979999999999</v>
      </c>
      <c r="Z5093">
        <v>3.8769230000000002E-2</v>
      </c>
      <c r="AA5093">
        <v>0.97788050000000004</v>
      </c>
      <c r="AB5093">
        <v>21</v>
      </c>
      <c r="AC5093">
        <v>-3.4710000000000001</v>
      </c>
      <c r="AD5093">
        <v>-1.1118919797289999</v>
      </c>
      <c r="AE5093">
        <v>-18.3477</v>
      </c>
      <c r="AF5093">
        <v>-3.86356318067291</v>
      </c>
      <c r="AG5093">
        <v>-1.1118919797289999</v>
      </c>
      <c r="AH5093">
        <v>18.201628958508099</v>
      </c>
      <c r="AI5093">
        <v>93.419707821599005</v>
      </c>
      <c r="AJ5093">
        <v>101.983999083613</v>
      </c>
      <c r="AK5093">
        <v>18.6403519539959</v>
      </c>
      <c r="AL5093">
        <v>80.356330273422202</v>
      </c>
      <c r="AM5093">
        <v>98.588403200944299</v>
      </c>
      <c r="AN5093">
        <v>0.99999996914786904</v>
      </c>
    </row>
    <row r="5094" spans="1:40" x14ac:dyDescent="0.25">
      <c r="A5094" t="str">
        <f>"20190304155204385"</f>
        <v>20190304155204385</v>
      </c>
      <c r="B5094" t="str">
        <f>"1551685924382145"</f>
        <v>1551685924382145</v>
      </c>
      <c r="C5094" t="s">
        <v>40</v>
      </c>
      <c r="D5094">
        <v>4.7308009999999996</v>
      </c>
      <c r="E5094">
        <v>0.4760318</v>
      </c>
      <c r="F5094" t="s">
        <v>41</v>
      </c>
      <c r="G5094">
        <v>-420.45659999999998</v>
      </c>
      <c r="H5094" s="1">
        <v>-2.267511E-6</v>
      </c>
      <c r="I5094">
        <v>104.1315</v>
      </c>
      <c r="J5094">
        <v>-417.23630000000003</v>
      </c>
      <c r="K5094">
        <v>1.1117779999999999</v>
      </c>
      <c r="L5094">
        <v>121.5857</v>
      </c>
      <c r="M5094">
        <v>-0.38372919999999999</v>
      </c>
      <c r="N5094">
        <v>-1.3632089999999999E-2</v>
      </c>
      <c r="O5094">
        <v>-0.92334499999999997</v>
      </c>
      <c r="P5094">
        <v>-0.24010219999999999</v>
      </c>
      <c r="Q5094">
        <v>0.15484189999999901</v>
      </c>
      <c r="R5094">
        <v>-0.95831889999999997</v>
      </c>
      <c r="S5094">
        <v>-0.56411739999999999</v>
      </c>
      <c r="T5094">
        <v>-0.19036600000000001</v>
      </c>
      <c r="U5094">
        <v>-3.0200960000000001</v>
      </c>
      <c r="V5094">
        <v>-0.14652029999999999</v>
      </c>
      <c r="W5094">
        <v>0.16773879999999999</v>
      </c>
      <c r="X5094">
        <v>0.97488229999999998</v>
      </c>
      <c r="Y5094">
        <v>-0.20774000000000001</v>
      </c>
      <c r="Z5094">
        <v>4.1501660000000003E-2</v>
      </c>
      <c r="AA5094">
        <v>0.97730329999999999</v>
      </c>
      <c r="AB5094">
        <v>21</v>
      </c>
      <c r="AC5094">
        <v>-3.2202999999999502</v>
      </c>
      <c r="AD5094">
        <v>-1.111780267511</v>
      </c>
      <c r="AE5094">
        <v>-17.4542</v>
      </c>
      <c r="AF5094">
        <v>-3.7100273430219901</v>
      </c>
      <c r="AG5094">
        <v>-1.111780267511</v>
      </c>
      <c r="AH5094">
        <v>17.285759753647099</v>
      </c>
      <c r="AI5094">
        <v>93.598339544498003</v>
      </c>
      <c r="AJ5094">
        <v>102.113567445182</v>
      </c>
      <c r="AK5094">
        <v>17.714340194035</v>
      </c>
      <c r="AL5094">
        <v>80.343625957394394</v>
      </c>
      <c r="AM5094">
        <v>98.547316178754997</v>
      </c>
      <c r="AN5094">
        <v>1.00000000109541</v>
      </c>
    </row>
    <row r="5095" spans="1:40" x14ac:dyDescent="0.25">
      <c r="A5095" t="str">
        <f>"20190304155204407"</f>
        <v>20190304155204407</v>
      </c>
      <c r="B5095" t="str">
        <f>"1551685924401665"</f>
        <v>1551685924401665</v>
      </c>
      <c r="C5095" t="s">
        <v>40</v>
      </c>
      <c r="D5095">
        <v>4.7444050000000004</v>
      </c>
      <c r="E5095">
        <v>0.47659620000000003</v>
      </c>
      <c r="F5095" t="s">
        <v>41</v>
      </c>
      <c r="G5095">
        <v>-420.42180000000002</v>
      </c>
      <c r="H5095" s="1">
        <v>-2.3683350000000002E-6</v>
      </c>
      <c r="I5095">
        <v>104.3643</v>
      </c>
      <c r="J5095">
        <v>-417.31529999999998</v>
      </c>
      <c r="K5095">
        <v>1.1116710000000001</v>
      </c>
      <c r="L5095">
        <v>121.3884</v>
      </c>
      <c r="M5095">
        <v>-0.38165539999999998</v>
      </c>
      <c r="N5095">
        <v>-1.361798E-2</v>
      </c>
      <c r="O5095">
        <v>-0.92420469999999999</v>
      </c>
      <c r="P5095">
        <v>-0.23869589999999999</v>
      </c>
      <c r="Q5095">
        <v>0.1553602</v>
      </c>
      <c r="R5095">
        <v>-0.95858679999999996</v>
      </c>
      <c r="S5095">
        <v>-0.55899049999999995</v>
      </c>
      <c r="T5095">
        <v>-0.19509199999999999</v>
      </c>
      <c r="U5095">
        <v>-3.021957</v>
      </c>
      <c r="V5095">
        <v>-0.1456837</v>
      </c>
      <c r="W5095">
        <v>0.1682855</v>
      </c>
      <c r="X5095">
        <v>0.97491349999999999</v>
      </c>
      <c r="Y5095">
        <v>-0.20726459999999999</v>
      </c>
      <c r="Z5095">
        <v>4.291768E-2</v>
      </c>
      <c r="AA5095">
        <v>0.97734310000000002</v>
      </c>
      <c r="AB5095">
        <v>21</v>
      </c>
      <c r="AC5095">
        <v>-3.10650000000004</v>
      </c>
      <c r="AD5095">
        <v>-1.11167336833499</v>
      </c>
      <c r="AE5095">
        <v>-17.024100000000001</v>
      </c>
      <c r="AF5095">
        <v>-3.6117285203655198</v>
      </c>
      <c r="AG5095">
        <v>-1.11167336833499</v>
      </c>
      <c r="AH5095">
        <v>16.851389275551</v>
      </c>
      <c r="AI5095">
        <v>93.690712273221905</v>
      </c>
      <c r="AJ5095">
        <v>102.09708635537</v>
      </c>
      <c r="AK5095">
        <v>17.269907964399899</v>
      </c>
      <c r="AL5095">
        <v>80.311851058642901</v>
      </c>
      <c r="AM5095">
        <v>98.498959567011994</v>
      </c>
      <c r="AN5095">
        <v>1.0000000412190899</v>
      </c>
    </row>
    <row r="5096" spans="1:40" x14ac:dyDescent="0.25">
      <c r="A5096" t="str">
        <f>"20190304155204429"</f>
        <v>20190304155204429</v>
      </c>
      <c r="B5096" t="str">
        <f>"1551685924422160"</f>
        <v>1551685924422160</v>
      </c>
      <c r="C5096" t="s">
        <v>40</v>
      </c>
      <c r="D5096">
        <v>4.7481179999999998</v>
      </c>
      <c r="E5096">
        <v>0.47746290000000002</v>
      </c>
      <c r="F5096" t="s">
        <v>41</v>
      </c>
      <c r="G5096">
        <v>-420.5412</v>
      </c>
      <c r="H5096" s="1">
        <v>-2.2045919999999998E-6</v>
      </c>
      <c r="I5096">
        <v>103.9507</v>
      </c>
      <c r="J5096">
        <v>-417.392</v>
      </c>
      <c r="K5096">
        <v>1.1115969999999999</v>
      </c>
      <c r="L5096">
        <v>121.1961</v>
      </c>
      <c r="M5096">
        <v>-0.37977480000000002</v>
      </c>
      <c r="N5096">
        <v>-1.3605630000000001E-2</v>
      </c>
      <c r="O5096">
        <v>-0.924979</v>
      </c>
      <c r="P5096">
        <v>-0.23743300000000001</v>
      </c>
      <c r="Q5096">
        <v>0.1556139</v>
      </c>
      <c r="R5096">
        <v>-0.95885849999999995</v>
      </c>
      <c r="S5096">
        <v>-0.55899049999999995</v>
      </c>
      <c r="T5096">
        <v>-0.19263350000000001</v>
      </c>
      <c r="U5096">
        <v>-3.0216370000000001</v>
      </c>
      <c r="V5096">
        <v>-0.1449348</v>
      </c>
      <c r="W5096">
        <v>0.16855899999999999</v>
      </c>
      <c r="X5096">
        <v>0.97497780000000001</v>
      </c>
      <c r="Y5096">
        <v>-0.2052534</v>
      </c>
      <c r="Z5096">
        <v>4.2314200000000003E-2</v>
      </c>
      <c r="AA5096">
        <v>0.97779369999999999</v>
      </c>
      <c r="AB5096">
        <v>21</v>
      </c>
      <c r="AC5096">
        <v>-3.1492</v>
      </c>
      <c r="AD5096">
        <v>-1.111599204592</v>
      </c>
      <c r="AE5096">
        <v>-17.2454</v>
      </c>
      <c r="AF5096">
        <v>-3.6221969562979401</v>
      </c>
      <c r="AG5096">
        <v>-1.111599204592</v>
      </c>
      <c r="AH5096">
        <v>17.080529575052498</v>
      </c>
      <c r="AI5096">
        <v>93.6427678617233</v>
      </c>
      <c r="AJ5096">
        <v>101.973096761427</v>
      </c>
      <c r="AK5096">
        <v>17.495726739581499</v>
      </c>
      <c r="AL5096">
        <v>80.295952884955994</v>
      </c>
      <c r="AM5096">
        <v>98.455353538170797</v>
      </c>
      <c r="AN5096">
        <v>0.99999997161243903</v>
      </c>
    </row>
    <row r="5097" spans="1:40" x14ac:dyDescent="0.25">
      <c r="A5097" t="str">
        <f>"20190304155204451"</f>
        <v>20190304155204451</v>
      </c>
      <c r="B5097" t="str">
        <f>"1551685924441680"</f>
        <v>1551685924441680</v>
      </c>
      <c r="C5097" t="s">
        <v>40</v>
      </c>
      <c r="D5097">
        <v>4.7571539999999999</v>
      </c>
      <c r="E5097">
        <v>0.47802790000000001</v>
      </c>
      <c r="F5097" t="s">
        <v>41</v>
      </c>
      <c r="G5097">
        <v>-420.68779999999998</v>
      </c>
      <c r="H5097" s="1">
        <v>-2.0096849999999998E-6</v>
      </c>
      <c r="I5097">
        <v>103.4559</v>
      </c>
      <c r="J5097">
        <v>-417.46660000000003</v>
      </c>
      <c r="K5097">
        <v>1.111551</v>
      </c>
      <c r="L5097">
        <v>121.00830000000001</v>
      </c>
      <c r="M5097">
        <v>-0.37803569999999997</v>
      </c>
      <c r="N5097">
        <v>-1.359492E-2</v>
      </c>
      <c r="O5097">
        <v>-0.92569140000000005</v>
      </c>
      <c r="P5097">
        <v>-0.2365034</v>
      </c>
      <c r="Q5097">
        <v>0.15555260000000001</v>
      </c>
      <c r="R5097">
        <v>-0.95909860000000002</v>
      </c>
      <c r="S5097">
        <v>-0.56115719999999902</v>
      </c>
      <c r="T5097">
        <v>-0.1892633</v>
      </c>
      <c r="U5097">
        <v>-3.0204930000000001</v>
      </c>
      <c r="V5097">
        <v>-0.1440295</v>
      </c>
      <c r="W5097">
        <v>0.16850780000000001</v>
      </c>
      <c r="X5097">
        <v>0.97512080000000001</v>
      </c>
      <c r="Y5097">
        <v>-0.20266519999999999</v>
      </c>
      <c r="Z5097">
        <v>4.1456199999999999E-2</v>
      </c>
      <c r="AA5097">
        <v>0.97837019999999997</v>
      </c>
      <c r="AB5097">
        <v>21</v>
      </c>
      <c r="AC5097">
        <v>-3.2211999999999499</v>
      </c>
      <c r="AD5097">
        <v>-1.1115530096849999</v>
      </c>
      <c r="AE5097">
        <v>-17.552399999999999</v>
      </c>
      <c r="AF5097">
        <v>-3.6398121771284799</v>
      </c>
      <c r="AG5097">
        <v>-1.1115530096849999</v>
      </c>
      <c r="AH5097">
        <v>17.399938192414499</v>
      </c>
      <c r="AI5097">
        <v>93.577997497437494</v>
      </c>
      <c r="AJ5097">
        <v>101.815067318887</v>
      </c>
      <c r="AK5097">
        <v>17.8112782213393</v>
      </c>
      <c r="AL5097">
        <v>80.298929033249706</v>
      </c>
      <c r="AM5097">
        <v>98.402080934326193</v>
      </c>
      <c r="AN5097">
        <v>0.999999975061864</v>
      </c>
    </row>
    <row r="5098" spans="1:40" x14ac:dyDescent="0.25">
      <c r="A5098" t="str">
        <f>"20190304155204473"</f>
        <v>20190304155204473</v>
      </c>
      <c r="B5098" t="str">
        <f>"1551685924462177"</f>
        <v>1551685924462177</v>
      </c>
      <c r="C5098" t="s">
        <v>40</v>
      </c>
      <c r="D5098">
        <v>4.7602310000000001</v>
      </c>
      <c r="E5098">
        <v>0.47852470000000003</v>
      </c>
      <c r="F5098" t="s">
        <v>41</v>
      </c>
      <c r="G5098">
        <v>-420.79059999999998</v>
      </c>
      <c r="H5098" s="1">
        <v>-1.8880589999999999E-6</v>
      </c>
      <c r="I5098">
        <v>103.1407</v>
      </c>
      <c r="J5098">
        <v>-417.54149999999998</v>
      </c>
      <c r="K5098">
        <v>1.1115250000000001</v>
      </c>
      <c r="L5098">
        <v>120.819</v>
      </c>
      <c r="M5098">
        <v>-0.37634309999999999</v>
      </c>
      <c r="N5098">
        <v>-1.3585359999999999E-2</v>
      </c>
      <c r="O5098">
        <v>-0.9263808</v>
      </c>
      <c r="P5098">
        <v>-0.23562140000000001</v>
      </c>
      <c r="Q5098">
        <v>0.15511920000000001</v>
      </c>
      <c r="R5098">
        <v>-0.9593855</v>
      </c>
      <c r="S5098">
        <v>-0.56179809999999997</v>
      </c>
      <c r="T5098">
        <v>-0.1878676</v>
      </c>
      <c r="U5098">
        <v>-3.0198670000000001</v>
      </c>
      <c r="V5098">
        <v>-0.1431595</v>
      </c>
      <c r="W5098">
        <v>0.1680759</v>
      </c>
      <c r="X5098">
        <v>0.97532350000000001</v>
      </c>
      <c r="Y5098">
        <v>-0.20063719999999999</v>
      </c>
      <c r="Z5098">
        <v>4.1148009999999999E-2</v>
      </c>
      <c r="AA5098">
        <v>0.97880109999999998</v>
      </c>
      <c r="AB5098">
        <v>21</v>
      </c>
      <c r="AC5098">
        <v>-3.2490999999999901</v>
      </c>
      <c r="AD5098">
        <v>-1.1115268880589999</v>
      </c>
      <c r="AE5098">
        <v>-17.6783</v>
      </c>
      <c r="AF5098">
        <v>-3.6296582294241699</v>
      </c>
      <c r="AG5098">
        <v>-1.1115268880589999</v>
      </c>
      <c r="AH5098">
        <v>17.534184921664099</v>
      </c>
      <c r="AI5098">
        <v>93.552131170550595</v>
      </c>
      <c r="AJ5098">
        <v>101.69530968839</v>
      </c>
      <c r="AK5098">
        <v>17.9403888406137</v>
      </c>
      <c r="AL5098">
        <v>80.324033771355502</v>
      </c>
      <c r="AM5098">
        <v>98.350335479159796</v>
      </c>
      <c r="AN5098">
        <v>1.00000004012665</v>
      </c>
    </row>
    <row r="5099" spans="1:40" x14ac:dyDescent="0.25">
      <c r="A5099" t="str">
        <f>"20190304155204496"</f>
        <v>20190304155204496</v>
      </c>
      <c r="B5099" t="str">
        <f>"1551685924492432"</f>
        <v>1551685924492432</v>
      </c>
      <c r="C5099" t="s">
        <v>40</v>
      </c>
      <c r="D5099">
        <v>4.7597680000000002</v>
      </c>
      <c r="E5099">
        <v>0.47888550000000002</v>
      </c>
      <c r="F5099" t="s">
        <v>41</v>
      </c>
      <c r="G5099">
        <v>-420.86349999999999</v>
      </c>
      <c r="H5099" s="1">
        <v>-1.8329930000000001E-6</v>
      </c>
      <c r="I5099">
        <v>102.9833</v>
      </c>
      <c r="J5099">
        <v>-417.61770000000001</v>
      </c>
      <c r="K5099">
        <v>1.111534</v>
      </c>
      <c r="L5099">
        <v>120.6254</v>
      </c>
      <c r="M5099">
        <v>-0.37463839999999998</v>
      </c>
      <c r="N5099">
        <v>-1.357714E-2</v>
      </c>
      <c r="O5099">
        <v>-0.92707169999999905</v>
      </c>
      <c r="P5099">
        <v>-0.2345932</v>
      </c>
      <c r="Q5099">
        <v>0.1542491</v>
      </c>
      <c r="R5099">
        <v>-0.95977769999999996</v>
      </c>
      <c r="S5099">
        <v>-0.56234740000000005</v>
      </c>
      <c r="T5099">
        <v>-0.18816340000000001</v>
      </c>
      <c r="U5099">
        <v>-3.0193020000000002</v>
      </c>
      <c r="V5099">
        <v>-0.1424629</v>
      </c>
      <c r="W5099">
        <v>0.16720009999999999</v>
      </c>
      <c r="X5099">
        <v>0.975576</v>
      </c>
      <c r="Y5099">
        <v>-0.19863220000000001</v>
      </c>
      <c r="Z5099">
        <v>4.1323779999999997E-2</v>
      </c>
      <c r="AA5099">
        <v>0.97920249999999998</v>
      </c>
      <c r="AB5099">
        <v>21</v>
      </c>
      <c r="AC5099">
        <v>-3.2457999999999698</v>
      </c>
      <c r="AD5099">
        <v>-1.1115358329930001</v>
      </c>
      <c r="AE5099">
        <v>-17.642099999999999</v>
      </c>
      <c r="AF5099">
        <v>-3.5868780221396701</v>
      </c>
      <c r="AG5099">
        <v>-1.1115358329930001</v>
      </c>
      <c r="AH5099">
        <v>17.505894764396299</v>
      </c>
      <c r="AI5099">
        <v>93.559364509836101</v>
      </c>
      <c r="AJ5099">
        <v>101.579376908556</v>
      </c>
      <c r="AK5099">
        <v>17.9041212394201</v>
      </c>
      <c r="AL5099">
        <v>80.374933733088596</v>
      </c>
      <c r="AM5099">
        <v>98.308151535618293</v>
      </c>
      <c r="AN5099">
        <v>1.0000000415462</v>
      </c>
    </row>
    <row r="5100" spans="1:40" x14ac:dyDescent="0.25">
      <c r="A5100" t="str">
        <f>"20190304155204518"</f>
        <v>20190304155204518</v>
      </c>
      <c r="B5100" t="str">
        <f>"1551685924511952"</f>
        <v>1551685924511952</v>
      </c>
      <c r="C5100" t="s">
        <v>40</v>
      </c>
      <c r="D5100">
        <v>4.7813869999999996</v>
      </c>
      <c r="E5100">
        <v>0.47916199999999998</v>
      </c>
      <c r="F5100" t="s">
        <v>41</v>
      </c>
      <c r="G5100">
        <v>-420.86399999999998</v>
      </c>
      <c r="H5100" s="1">
        <v>-1.9105249999999998E-6</v>
      </c>
      <c r="I5100">
        <v>103.1469</v>
      </c>
      <c r="J5100">
        <v>-417.69349999999997</v>
      </c>
      <c r="K5100">
        <v>1.111558</v>
      </c>
      <c r="L5100">
        <v>120.43210000000001</v>
      </c>
      <c r="M5100">
        <v>-0.37293330000000002</v>
      </c>
      <c r="N5100">
        <v>-1.357035E-2</v>
      </c>
      <c r="O5100">
        <v>-0.927759</v>
      </c>
      <c r="P5100">
        <v>-0.23319590000000001</v>
      </c>
      <c r="Q5100">
        <v>0.15317709999999901</v>
      </c>
      <c r="R5100">
        <v>-0.96028990000000003</v>
      </c>
      <c r="S5100">
        <v>-0.56082149999999997</v>
      </c>
      <c r="T5100">
        <v>-0.19202520000000001</v>
      </c>
      <c r="U5100">
        <v>-3.0195159999999999</v>
      </c>
      <c r="V5100">
        <v>-0.14215939999999999</v>
      </c>
      <c r="W5100">
        <v>0.16611679999999901</v>
      </c>
      <c r="X5100">
        <v>0.97580529999999999</v>
      </c>
      <c r="Y5100">
        <v>-0.19732930000000001</v>
      </c>
      <c r="Z5100">
        <v>4.2510480000000003E-2</v>
      </c>
      <c r="AA5100">
        <v>0.97941509999999998</v>
      </c>
      <c r="AB5100">
        <v>21</v>
      </c>
      <c r="AC5100">
        <v>-3.17050000000006</v>
      </c>
      <c r="AD5100">
        <v>-1.111559910525</v>
      </c>
      <c r="AE5100">
        <v>-17.2852</v>
      </c>
      <c r="AF5100">
        <v>-3.4911219831582501</v>
      </c>
      <c r="AG5100">
        <v>-1.111559910525</v>
      </c>
      <c r="AH5100">
        <v>17.151848201477399</v>
      </c>
      <c r="AI5100">
        <v>93.633681646346304</v>
      </c>
      <c r="AJ5100">
        <v>101.504936689391</v>
      </c>
      <c r="AK5100">
        <v>17.538796847631801</v>
      </c>
      <c r="AL5100">
        <v>80.437882547254901</v>
      </c>
      <c r="AM5100">
        <v>98.288777187377306</v>
      </c>
      <c r="AN5100">
        <v>1.0000000348793401</v>
      </c>
    </row>
    <row r="5101" spans="1:40" x14ac:dyDescent="0.25">
      <c r="A5101" t="str">
        <f>"20190304155204541"</f>
        <v>20190304155204541</v>
      </c>
      <c r="B5101" t="str">
        <f>"1551685924532448"</f>
        <v>1551685924532448</v>
      </c>
      <c r="C5101" t="s">
        <v>40</v>
      </c>
      <c r="D5101">
        <v>4.740062</v>
      </c>
      <c r="E5101">
        <v>0.47961730000000002</v>
      </c>
      <c r="F5101" t="s">
        <v>41</v>
      </c>
      <c r="G5101">
        <v>-420.87729999999999</v>
      </c>
      <c r="H5101" s="1">
        <v>-1.9377710000000002E-6</v>
      </c>
      <c r="I5101">
        <v>103.19710000000001</v>
      </c>
      <c r="J5101">
        <v>-417.77080000000001</v>
      </c>
      <c r="K5101">
        <v>1.1115900000000001</v>
      </c>
      <c r="L5101">
        <v>120.2337</v>
      </c>
      <c r="M5101">
        <v>-0.37115419999999999</v>
      </c>
      <c r="N5101">
        <v>-1.356447E-2</v>
      </c>
      <c r="O5101">
        <v>-0.92847219999999997</v>
      </c>
      <c r="P5101">
        <v>-0.23126530000000001</v>
      </c>
      <c r="Q5101">
        <v>0.15274760000000001</v>
      </c>
      <c r="R5101">
        <v>-0.96082500000000004</v>
      </c>
      <c r="S5101">
        <v>-0.55783079999999996</v>
      </c>
      <c r="T5101">
        <v>-0.1947516</v>
      </c>
      <c r="U5101">
        <v>-3.0196689999999999</v>
      </c>
      <c r="V5101">
        <v>-0.14228850000000001</v>
      </c>
      <c r="W5101">
        <v>0.1656706</v>
      </c>
      <c r="X5101">
        <v>0.97586229999999996</v>
      </c>
      <c r="Y5101">
        <v>-0.19640299999999999</v>
      </c>
      <c r="Z5101">
        <v>4.3372929999999997E-2</v>
      </c>
      <c r="AA5101">
        <v>0.97956350000000003</v>
      </c>
      <c r="AB5101">
        <v>21</v>
      </c>
      <c r="AC5101">
        <v>-3.1064999999999801</v>
      </c>
      <c r="AD5101">
        <v>-1.111591937771</v>
      </c>
      <c r="AE5101">
        <v>-17.0365999999999</v>
      </c>
      <c r="AF5101">
        <v>-3.4251108667781498</v>
      </c>
      <c r="AG5101">
        <v>-1.111591937771</v>
      </c>
      <c r="AH5101">
        <v>16.902917318676799</v>
      </c>
      <c r="AI5101">
        <v>93.687805671695997</v>
      </c>
      <c r="AJ5101">
        <v>101.45498794328</v>
      </c>
      <c r="AK5101">
        <v>17.282234663603699</v>
      </c>
      <c r="AL5101">
        <v>80.463806776902601</v>
      </c>
      <c r="AM5101">
        <v>98.295721959774895</v>
      </c>
      <c r="AN5101">
        <v>0.99999999674894902</v>
      </c>
    </row>
    <row r="5102" spans="1:40" x14ac:dyDescent="0.25">
      <c r="A5102" t="str">
        <f>"20190304155204564"</f>
        <v>20190304155204564</v>
      </c>
      <c r="B5102" t="str">
        <f>"1551685924551968"</f>
        <v>1551685924551968</v>
      </c>
      <c r="C5102" t="s">
        <v>40</v>
      </c>
      <c r="D5102">
        <v>4.7080169999999999</v>
      </c>
      <c r="E5102">
        <v>0.47983759999999998</v>
      </c>
      <c r="F5102" t="s">
        <v>41</v>
      </c>
      <c r="G5102">
        <v>-420.93549999999999</v>
      </c>
      <c r="H5102" s="1">
        <v>-1.867473E-6</v>
      </c>
      <c r="I5102">
        <v>103.0157</v>
      </c>
      <c r="J5102">
        <v>-417.846</v>
      </c>
      <c r="K5102">
        <v>1.1116250000000001</v>
      </c>
      <c r="L5102">
        <v>120.0394</v>
      </c>
      <c r="M5102">
        <v>-0.36936249999999998</v>
      </c>
      <c r="N5102">
        <v>-1.355957E-2</v>
      </c>
      <c r="O5102">
        <v>-0.92918639999999997</v>
      </c>
      <c r="P5102">
        <v>-0.2293248</v>
      </c>
      <c r="Q5102">
        <v>0.15244779999999999</v>
      </c>
      <c r="R5102">
        <v>-0.96133760000000001</v>
      </c>
      <c r="S5102">
        <v>-0.55502320000000005</v>
      </c>
      <c r="T5102">
        <v>-0.1949507</v>
      </c>
      <c r="U5102">
        <v>-3.0196990000000001</v>
      </c>
      <c r="V5102">
        <v>-0.14240829999999999</v>
      </c>
      <c r="W5102">
        <v>0.16535269999999999</v>
      </c>
      <c r="X5102">
        <v>0.97589870000000001</v>
      </c>
      <c r="Y5102">
        <v>-0.19539570000000001</v>
      </c>
      <c r="Z5102">
        <v>4.350793E-2</v>
      </c>
      <c r="AA5102">
        <v>0.97975889999999999</v>
      </c>
      <c r="AB5102">
        <v>21</v>
      </c>
      <c r="AC5102">
        <v>-3.0894999999999802</v>
      </c>
      <c r="AD5102">
        <v>-1.1116268674729901</v>
      </c>
      <c r="AE5102">
        <v>-17.023700000000002</v>
      </c>
      <c r="AF5102">
        <v>-3.40346000557776</v>
      </c>
      <c r="AG5102">
        <v>-1.1116268674729901</v>
      </c>
      <c r="AH5102">
        <v>16.891169957568401</v>
      </c>
      <c r="AI5102">
        <v>93.691294209881605</v>
      </c>
      <c r="AJ5102">
        <v>101.39218574634199</v>
      </c>
      <c r="AK5102">
        <v>17.266466831332799</v>
      </c>
      <c r="AL5102">
        <v>80.482275442036197</v>
      </c>
      <c r="AM5102">
        <v>98.302303865985806</v>
      </c>
      <c r="AN5102">
        <v>0.99999995598393399</v>
      </c>
    </row>
    <row r="5103" spans="1:40" x14ac:dyDescent="0.25">
      <c r="A5103" t="str">
        <f>"20190304155204585"</f>
        <v>20190304155204585</v>
      </c>
      <c r="B5103" t="str">
        <f>"1551685924582225"</f>
        <v>1551685924582225</v>
      </c>
      <c r="C5103" t="s">
        <v>40</v>
      </c>
      <c r="D5103">
        <v>4.7511859999999997</v>
      </c>
      <c r="E5103">
        <v>0.48038170000000002</v>
      </c>
      <c r="F5103" t="s">
        <v>41</v>
      </c>
      <c r="G5103">
        <v>-420.98829999999998</v>
      </c>
      <c r="H5103" s="1">
        <v>-1.787589E-6</v>
      </c>
      <c r="I5103">
        <v>102.8169</v>
      </c>
      <c r="J5103">
        <v>-417.9162</v>
      </c>
      <c r="K5103">
        <v>1.1116629999999901</v>
      </c>
      <c r="L5103">
        <v>119.85680000000001</v>
      </c>
      <c r="M5103">
        <v>-0.3676217</v>
      </c>
      <c r="N5103">
        <v>-1.3555889999999999E-2</v>
      </c>
      <c r="O5103">
        <v>-0.9298767</v>
      </c>
      <c r="P5103">
        <v>-0.2275103</v>
      </c>
      <c r="Q5103">
        <v>0.152028</v>
      </c>
      <c r="R5103">
        <v>-0.9618352</v>
      </c>
      <c r="S5103">
        <v>-0.5510254</v>
      </c>
      <c r="T5103">
        <v>-0.1949341</v>
      </c>
      <c r="U5103">
        <v>-3.020111</v>
      </c>
      <c r="V5103">
        <v>-0.14246259999999999</v>
      </c>
      <c r="W5103">
        <v>0.16491620000000001</v>
      </c>
      <c r="X5103">
        <v>0.97596470000000002</v>
      </c>
      <c r="Y5103">
        <v>-0.19483839999999999</v>
      </c>
      <c r="Z5103">
        <v>4.3568139999999998E-2</v>
      </c>
      <c r="AA5103">
        <v>0.97986719999999905</v>
      </c>
      <c r="AB5103">
        <v>21</v>
      </c>
      <c r="AC5103">
        <v>-3.0720999999999701</v>
      </c>
      <c r="AD5103">
        <v>-1.11166478758899</v>
      </c>
      <c r="AE5103">
        <v>-17.039899999999999</v>
      </c>
      <c r="AF5103">
        <v>-3.3938856235516601</v>
      </c>
      <c r="AG5103">
        <v>-1.11166478758899</v>
      </c>
      <c r="AH5103">
        <v>16.906245366865601</v>
      </c>
      <c r="AI5103">
        <v>93.688667612983394</v>
      </c>
      <c r="AJ5103">
        <v>101.351105061007</v>
      </c>
      <c r="AK5103">
        <v>17.279334206802702</v>
      </c>
      <c r="AL5103">
        <v>80.507633804365497</v>
      </c>
      <c r="AM5103">
        <v>98.304871542917297</v>
      </c>
      <c r="AN5103">
        <v>1.0000000205336399</v>
      </c>
    </row>
    <row r="5104" spans="1:40" x14ac:dyDescent="0.25">
      <c r="A5104" t="str">
        <f>"20190304155204608"</f>
        <v>20190304155204608</v>
      </c>
      <c r="B5104" t="str">
        <f>"1551685924601744"</f>
        <v>1551685924601744</v>
      </c>
      <c r="C5104" t="s">
        <v>40</v>
      </c>
      <c r="D5104">
        <v>4.7666789999999999</v>
      </c>
      <c r="E5104">
        <v>0.48063830000000002</v>
      </c>
      <c r="F5104" t="s">
        <v>41</v>
      </c>
      <c r="G5104">
        <v>-421.0829</v>
      </c>
      <c r="H5104" s="1">
        <v>-1.6522090000000001E-6</v>
      </c>
      <c r="I5104">
        <v>102.4773</v>
      </c>
      <c r="J5104">
        <v>-417.9905</v>
      </c>
      <c r="K5104">
        <v>1.1117090000000001</v>
      </c>
      <c r="L5104">
        <v>119.6623</v>
      </c>
      <c r="M5104">
        <v>-0.36570190000000002</v>
      </c>
      <c r="N5104">
        <v>-1.3552959999999999E-2</v>
      </c>
      <c r="O5104">
        <v>-0.93063340000000006</v>
      </c>
      <c r="P5104">
        <v>-0.22564439999999999</v>
      </c>
      <c r="Q5104">
        <v>0.15057229999999999</v>
      </c>
      <c r="R5104">
        <v>-0.96250360000000001</v>
      </c>
      <c r="S5104">
        <v>-0.55017090000000002</v>
      </c>
      <c r="T5104">
        <v>-0.19313569999999999</v>
      </c>
      <c r="U5104">
        <v>-3.0194399999999999</v>
      </c>
      <c r="V5104">
        <v>-0.14244119999999999</v>
      </c>
      <c r="W5104">
        <v>0.16344310000000001</v>
      </c>
      <c r="X5104">
        <v>0.97621559999999996</v>
      </c>
      <c r="Y5104">
        <v>-0.19304199999999999</v>
      </c>
      <c r="Z5104">
        <v>4.3142239999999998E-2</v>
      </c>
      <c r="AA5104">
        <v>0.98024149999999999</v>
      </c>
      <c r="AB5104">
        <v>21</v>
      </c>
      <c r="AC5104">
        <v>-3.0923999999999898</v>
      </c>
      <c r="AD5104">
        <v>-1.1117106522089999</v>
      </c>
      <c r="AE5104">
        <v>-17.184999999999999</v>
      </c>
      <c r="AF5104">
        <v>-3.39325418870785</v>
      </c>
      <c r="AG5104">
        <v>-1.1117106522089999</v>
      </c>
      <c r="AH5104">
        <v>17.056263848215998</v>
      </c>
      <c r="AI5104">
        <v>93.657726225538198</v>
      </c>
      <c r="AJ5104">
        <v>101.251784894004</v>
      </c>
      <c r="AK5104">
        <v>17.4260210898351</v>
      </c>
      <c r="AL5104">
        <v>80.593197276638605</v>
      </c>
      <c r="AM5104">
        <v>98.301537027447296</v>
      </c>
      <c r="AN5104">
        <v>1.0000000200392001</v>
      </c>
    </row>
    <row r="5105" spans="1:40" x14ac:dyDescent="0.25">
      <c r="A5105" t="str">
        <f>"20190304155204630"</f>
        <v>20190304155204630</v>
      </c>
      <c r="B5105" t="str">
        <f>"1551685924622240"</f>
        <v>1551685924622240</v>
      </c>
      <c r="C5105" t="s">
        <v>40</v>
      </c>
      <c r="D5105">
        <v>4.744631</v>
      </c>
      <c r="E5105">
        <v>0.4808578</v>
      </c>
      <c r="F5105" t="s">
        <v>41</v>
      </c>
      <c r="G5105">
        <v>-421.08870000000002</v>
      </c>
      <c r="H5105" s="1">
        <v>-1.6835930000000001E-6</v>
      </c>
      <c r="I5105">
        <v>102.54040000000001</v>
      </c>
      <c r="J5105">
        <v>-418.06130000000002</v>
      </c>
      <c r="K5105">
        <v>1.111766</v>
      </c>
      <c r="L5105">
        <v>119.47580000000001</v>
      </c>
      <c r="M5105">
        <v>-0.3637861</v>
      </c>
      <c r="N5105">
        <v>-1.355105E-2</v>
      </c>
      <c r="O5105">
        <v>-0.93138410000000005</v>
      </c>
      <c r="P5105">
        <v>-0.22294349999999999</v>
      </c>
      <c r="Q5105">
        <v>0.1495707</v>
      </c>
      <c r="R5105">
        <v>-0.96328849999999999</v>
      </c>
      <c r="S5105">
        <v>-0.54635619999999996</v>
      </c>
      <c r="T5105">
        <v>-0.1960498</v>
      </c>
      <c r="U5105">
        <v>-3.0194399999999999</v>
      </c>
      <c r="V5105">
        <v>-0.14324919999999999</v>
      </c>
      <c r="W5105">
        <v>0.16241889999999901</v>
      </c>
      <c r="X5105">
        <v>0.97626829999999998</v>
      </c>
      <c r="Y5105">
        <v>-0.19222829999999999</v>
      </c>
      <c r="Z5105">
        <v>4.4066269999999998E-2</v>
      </c>
      <c r="AA5105">
        <v>0.98036029999999996</v>
      </c>
      <c r="AB5105">
        <v>21</v>
      </c>
      <c r="AC5105">
        <v>-3.0274000000000001</v>
      </c>
      <c r="AD5105">
        <v>-1.1117676835929999</v>
      </c>
      <c r="AE5105">
        <v>-16.935400000000001</v>
      </c>
      <c r="AF5105">
        <v>-3.3276006487657002</v>
      </c>
      <c r="AG5105">
        <v>-1.1117676835929999</v>
      </c>
      <c r="AH5105">
        <v>16.806050779620801</v>
      </c>
      <c r="AI5105">
        <v>93.712889969772704</v>
      </c>
      <c r="AJ5105">
        <v>101.19971453504</v>
      </c>
      <c r="AK5105">
        <v>17.168351588522999</v>
      </c>
      <c r="AL5105">
        <v>80.652674313919405</v>
      </c>
      <c r="AM5105">
        <v>98.347521564309801</v>
      </c>
      <c r="AN5105">
        <v>1.00000001298137</v>
      </c>
    </row>
    <row r="5106" spans="1:40" x14ac:dyDescent="0.25">
      <c r="A5106" t="str">
        <f>"20190304155204652"</f>
        <v>20190304155204652</v>
      </c>
      <c r="B5106" t="str">
        <f>"1551685924641762"</f>
        <v>1551685924641762</v>
      </c>
      <c r="C5106" t="s">
        <v>40</v>
      </c>
      <c r="D5106">
        <v>4.6859719999999996</v>
      </c>
      <c r="E5106">
        <v>0.48085620000000001</v>
      </c>
      <c r="F5106" t="s">
        <v>41</v>
      </c>
      <c r="G5106">
        <v>-421.09690000000001</v>
      </c>
      <c r="H5106" s="1">
        <v>-1.667511E-6</v>
      </c>
      <c r="I5106">
        <v>102.5018</v>
      </c>
      <c r="J5106">
        <v>-418.1345</v>
      </c>
      <c r="K5106">
        <v>1.1118269999999999</v>
      </c>
      <c r="L5106">
        <v>119.2814</v>
      </c>
      <c r="M5106">
        <v>-0.36172520000000002</v>
      </c>
      <c r="N5106">
        <v>-1.354823E-2</v>
      </c>
      <c r="O5106">
        <v>-0.93218639999999997</v>
      </c>
      <c r="P5106">
        <v>-0.21887760000000001</v>
      </c>
      <c r="Q5106">
        <v>0.14985319999999999</v>
      </c>
      <c r="R5106">
        <v>-0.96417679999999995</v>
      </c>
      <c r="S5106">
        <v>-0.54010009999999997</v>
      </c>
      <c r="T5106">
        <v>-0.19780829999999999</v>
      </c>
      <c r="U5106">
        <v>-3.0200499999999999</v>
      </c>
      <c r="V5106">
        <v>-0.1452194</v>
      </c>
      <c r="W5106">
        <v>0.1626687</v>
      </c>
      <c r="X5106">
        <v>0.97593560000000001</v>
      </c>
      <c r="Y5106">
        <v>-0.1920637</v>
      </c>
      <c r="Z5106">
        <v>4.4648140000000003E-2</v>
      </c>
      <c r="AA5106">
        <v>0.98036630000000002</v>
      </c>
      <c r="AB5106">
        <v>21</v>
      </c>
      <c r="AC5106">
        <v>-2.9624000000000001</v>
      </c>
      <c r="AD5106">
        <v>-1.1118286675110001</v>
      </c>
      <c r="AE5106">
        <v>-16.779599999999999</v>
      </c>
      <c r="AF5106">
        <v>-3.2943718689175201</v>
      </c>
      <c r="AG5106">
        <v>-1.1118286675110001</v>
      </c>
      <c r="AH5106">
        <v>16.643956220845499</v>
      </c>
      <c r="AI5106">
        <v>93.749200553946494</v>
      </c>
      <c r="AJ5106">
        <v>101.195957923821</v>
      </c>
      <c r="AK5106">
        <v>17.003244622072401</v>
      </c>
      <c r="AL5106">
        <v>80.638169159665907</v>
      </c>
      <c r="AM5106">
        <v>98.4635223057617</v>
      </c>
      <c r="AN5106">
        <v>1.0000000377217</v>
      </c>
    </row>
    <row r="5107" spans="1:40" x14ac:dyDescent="0.25">
      <c r="A5107" t="str">
        <f>"20190304155204674"</f>
        <v>20190304155204674</v>
      </c>
      <c r="B5107" t="str">
        <f>"1551685924672017"</f>
        <v>1551685924672017</v>
      </c>
      <c r="C5107" t="s">
        <v>40</v>
      </c>
      <c r="D5107">
        <v>4.7490259999999997</v>
      </c>
      <c r="E5107">
        <v>0.480985</v>
      </c>
      <c r="F5107" t="s">
        <v>41</v>
      </c>
      <c r="G5107">
        <v>-421.10739999999998</v>
      </c>
      <c r="H5107" s="1">
        <v>-1.5705719999999999E-6</v>
      </c>
      <c r="I5107">
        <v>102.2908</v>
      </c>
      <c r="J5107">
        <v>-418.20499999999998</v>
      </c>
      <c r="K5107">
        <v>1.1118859999999999</v>
      </c>
      <c r="L5107">
        <v>119.09229999999999</v>
      </c>
      <c r="M5107">
        <v>-0.35965249999999999</v>
      </c>
      <c r="N5107">
        <v>-1.3540109999999999E-2</v>
      </c>
      <c r="O5107">
        <v>-0.93298820000000005</v>
      </c>
      <c r="P5107">
        <v>-0.2144364</v>
      </c>
      <c r="Q5107">
        <v>0.1504992</v>
      </c>
      <c r="R5107">
        <v>-0.96507379999999998</v>
      </c>
      <c r="S5107">
        <v>-0.52880859999999996</v>
      </c>
      <c r="T5107">
        <v>-0.19776360000000001</v>
      </c>
      <c r="U5107">
        <v>-3.0221559999999998</v>
      </c>
      <c r="V5107">
        <v>-0.147535</v>
      </c>
      <c r="W5107">
        <v>0.16327510000000001</v>
      </c>
      <c r="X5107">
        <v>0.97548690000000005</v>
      </c>
      <c r="Y5107">
        <v>-0.19355169999999999</v>
      </c>
      <c r="Z5107">
        <v>4.4675880000000001E-2</v>
      </c>
      <c r="AA5107">
        <v>0.98007239999999995</v>
      </c>
      <c r="AB5107">
        <v>21</v>
      </c>
      <c r="AC5107">
        <v>-2.9024000000000001</v>
      </c>
      <c r="AD5107">
        <v>-1.1118875705719999</v>
      </c>
      <c r="AE5107">
        <v>-16.801499999999901</v>
      </c>
      <c r="AF5107">
        <v>-3.32097904530008</v>
      </c>
      <c r="AG5107">
        <v>-1.1118875705719999</v>
      </c>
      <c r="AH5107">
        <v>16.650180831213198</v>
      </c>
      <c r="AI5107">
        <v>93.746912343951095</v>
      </c>
      <c r="AJ5107">
        <v>101.279961152037</v>
      </c>
      <c r="AK5107">
        <v>17.014514906426601</v>
      </c>
      <c r="AL5107">
        <v>80.602953969077006</v>
      </c>
      <c r="AM5107">
        <v>98.600371916591399</v>
      </c>
      <c r="AN5107">
        <v>1.00000001328831</v>
      </c>
    </row>
    <row r="5108" spans="1:40" x14ac:dyDescent="0.25">
      <c r="A5108" t="str">
        <f>"20190304155204709"</f>
        <v>20190304155204709</v>
      </c>
      <c r="B5108" t="str">
        <f>"1551685924702272"</f>
        <v>1551685924702272</v>
      </c>
      <c r="C5108" t="s">
        <v>40</v>
      </c>
      <c r="D5108">
        <v>4.7631680000000003</v>
      </c>
      <c r="E5108">
        <v>0.4812534</v>
      </c>
      <c r="F5108" t="s">
        <v>41</v>
      </c>
      <c r="G5108">
        <v>-421.15429999999998</v>
      </c>
      <c r="H5108" s="1">
        <v>-1.3575149999999999E-6</v>
      </c>
      <c r="I5108">
        <v>101.8137</v>
      </c>
      <c r="J5108">
        <v>-418.31229999999999</v>
      </c>
      <c r="K5108">
        <v>1.1119730000000001</v>
      </c>
      <c r="L5108">
        <v>118.80200000000001</v>
      </c>
      <c r="M5108">
        <v>-0.35631610000000002</v>
      </c>
      <c r="N5108">
        <v>-1.3522360000000001E-2</v>
      </c>
      <c r="O5108">
        <v>-0.93426779999999998</v>
      </c>
      <c r="P5108">
        <v>-0.20778940000000001</v>
      </c>
      <c r="Q5108">
        <v>0.15147249999999901</v>
      </c>
      <c r="R5108">
        <v>-0.96637479999999998</v>
      </c>
      <c r="S5108">
        <v>-0.51620480000000002</v>
      </c>
      <c r="T5108">
        <v>-0.19460959999999999</v>
      </c>
      <c r="U5108">
        <v>-3.024216</v>
      </c>
      <c r="V5108">
        <v>-0.15075189999999999</v>
      </c>
      <c r="W5108">
        <v>0.16418070000000001</v>
      </c>
      <c r="X5108">
        <v>0.97484280000000001</v>
      </c>
      <c r="Y5108">
        <v>-0.1941196</v>
      </c>
      <c r="Z5108">
        <v>4.3857439999999998E-2</v>
      </c>
      <c r="AA5108">
        <v>0.97999700000000001</v>
      </c>
      <c r="AB5108">
        <v>21</v>
      </c>
      <c r="AC5108">
        <v>-2.8419999999999801</v>
      </c>
      <c r="AD5108">
        <v>-1.1119743575149901</v>
      </c>
      <c r="AE5108">
        <v>-16.988299999999999</v>
      </c>
      <c r="AF5108">
        <v>-3.3842212417125901</v>
      </c>
      <c r="AG5108">
        <v>-1.1119743575149901</v>
      </c>
      <c r="AH5108">
        <v>16.815729190115899</v>
      </c>
      <c r="AI5108">
        <v>93.709136142990502</v>
      </c>
      <c r="AJ5108">
        <v>101.378963546143</v>
      </c>
      <c r="AK5108">
        <v>17.188897247349701</v>
      </c>
      <c r="AL5108">
        <v>80.550356646862696</v>
      </c>
      <c r="AM5108">
        <v>98.790716157180498</v>
      </c>
      <c r="AN5108">
        <v>0.99999996115896905</v>
      </c>
    </row>
    <row r="5109" spans="1:40" x14ac:dyDescent="0.25">
      <c r="A5109" t="str">
        <f>"20190304155204732"</f>
        <v>20190304155204732</v>
      </c>
      <c r="B5109" t="str">
        <f>"1551685924721793"</f>
        <v>1551685924721793</v>
      </c>
      <c r="C5109" t="s">
        <v>40</v>
      </c>
      <c r="D5109">
        <v>4.7701449999999896</v>
      </c>
      <c r="E5109">
        <v>0.48163689999999998</v>
      </c>
      <c r="F5109" t="s">
        <v>41</v>
      </c>
      <c r="G5109">
        <v>-421.21080000000001</v>
      </c>
      <c r="H5109" s="1">
        <v>-1.0673679999999999E-6</v>
      </c>
      <c r="I5109">
        <v>101.1681</v>
      </c>
      <c r="J5109">
        <v>-418.38510000000002</v>
      </c>
      <c r="K5109">
        <v>1.112031</v>
      </c>
      <c r="L5109">
        <v>118.6024</v>
      </c>
      <c r="M5109">
        <v>-0.35388380000000003</v>
      </c>
      <c r="N5109">
        <v>-1.351344E-2</v>
      </c>
      <c r="O5109">
        <v>-0.93519180000000002</v>
      </c>
      <c r="P5109">
        <v>-0.2031086</v>
      </c>
      <c r="Q5109">
        <v>0.15192629999999999</v>
      </c>
      <c r="R5109">
        <v>-0.96729779999999999</v>
      </c>
      <c r="S5109">
        <v>-0.49758910000000001</v>
      </c>
      <c r="T5109">
        <v>-0.19089890000000001</v>
      </c>
      <c r="U5109">
        <v>-3.0273129999999999</v>
      </c>
      <c r="V5109">
        <v>-0.15294199999999999</v>
      </c>
      <c r="W5109">
        <v>0.1645884</v>
      </c>
      <c r="X5109">
        <v>0.97443279999999999</v>
      </c>
      <c r="Y5109">
        <v>-0.1975856</v>
      </c>
      <c r="Z5109">
        <v>4.2798969999999999E-2</v>
      </c>
      <c r="AA5109">
        <v>0.97935090000000002</v>
      </c>
      <c r="AB5109">
        <v>20</v>
      </c>
      <c r="AC5109">
        <v>-2.8256999999999799</v>
      </c>
      <c r="AD5109">
        <v>-1.112032067368</v>
      </c>
      <c r="AE5109">
        <v>-17.4343</v>
      </c>
      <c r="AF5109">
        <v>-3.51353820359925</v>
      </c>
      <c r="AG5109">
        <v>-1.112032067368</v>
      </c>
      <c r="AH5109">
        <v>17.237628756644199</v>
      </c>
      <c r="AI5109">
        <v>93.616976129084705</v>
      </c>
      <c r="AJ5109">
        <v>101.520754487464</v>
      </c>
      <c r="AK5109">
        <v>17.6271781967192</v>
      </c>
      <c r="AL5109">
        <v>80.526674789630405</v>
      </c>
      <c r="AM5109">
        <v>98.920080016201794</v>
      </c>
      <c r="AN5109">
        <v>0.99999993924719799</v>
      </c>
    </row>
    <row r="5110" spans="1:40" x14ac:dyDescent="0.25">
      <c r="A5110" t="str">
        <f>"20190304155204754"</f>
        <v>20190304155204754</v>
      </c>
      <c r="B5110" t="str">
        <f>"1551685924742289"</f>
        <v>1551685924742289</v>
      </c>
      <c r="C5110" t="s">
        <v>40</v>
      </c>
      <c r="D5110">
        <v>4.7866609999999996</v>
      </c>
      <c r="E5110">
        <v>0.48187730000000001</v>
      </c>
      <c r="F5110" t="s">
        <v>41</v>
      </c>
      <c r="G5110">
        <v>-421.25639999999999</v>
      </c>
      <c r="H5110" s="1">
        <v>-8.7569880000000003E-7</v>
      </c>
      <c r="I5110">
        <v>100.73690000000001</v>
      </c>
      <c r="J5110">
        <v>-418.45209999999997</v>
      </c>
      <c r="K5110">
        <v>1.112087</v>
      </c>
      <c r="L5110">
        <v>118.4174</v>
      </c>
      <c r="M5110">
        <v>-0.35154829999999998</v>
      </c>
      <c r="N5110">
        <v>-1.350677E-2</v>
      </c>
      <c r="O5110">
        <v>-0.93607249999999997</v>
      </c>
      <c r="P5110">
        <v>-0.19916809999999999</v>
      </c>
      <c r="Q5110">
        <v>0.1509684</v>
      </c>
      <c r="R5110">
        <v>-0.96826679999999998</v>
      </c>
      <c r="S5110">
        <v>-0.48678589999999999</v>
      </c>
      <c r="T5110">
        <v>-0.18852849999999999</v>
      </c>
      <c r="U5110">
        <v>-3.0288240000000002</v>
      </c>
      <c r="V5110">
        <v>-0.15455450000000001</v>
      </c>
      <c r="W5110">
        <v>0.1635945</v>
      </c>
      <c r="X5110">
        <v>0.97434580000000004</v>
      </c>
      <c r="Y5110">
        <v>-0.19861580000000001</v>
      </c>
      <c r="Z5110">
        <v>4.2163279999999997E-2</v>
      </c>
      <c r="AA5110">
        <v>0.97917010000000004</v>
      </c>
      <c r="AB5110">
        <v>20</v>
      </c>
      <c r="AC5110">
        <v>-2.8043000000000098</v>
      </c>
      <c r="AD5110">
        <v>-1.1120878756988</v>
      </c>
      <c r="AE5110">
        <v>-17.680499999999899</v>
      </c>
      <c r="AF5110">
        <v>-3.5770439361533701</v>
      </c>
      <c r="AG5110">
        <v>-1.1120878756988</v>
      </c>
      <c r="AH5110">
        <v>17.470251908037799</v>
      </c>
      <c r="AI5110">
        <v>93.568475747596196</v>
      </c>
      <c r="AJ5110">
        <v>101.57141032022</v>
      </c>
      <c r="AK5110">
        <v>17.8673356853994</v>
      </c>
      <c r="AL5110">
        <v>80.584404115864004</v>
      </c>
      <c r="AM5110">
        <v>99.013382016797294</v>
      </c>
      <c r="AN5110">
        <v>0.99999999593906996</v>
      </c>
    </row>
    <row r="5111" spans="1:40" x14ac:dyDescent="0.25">
      <c r="A5111" t="str">
        <f>"20190304155204775"</f>
        <v>20190304155204775</v>
      </c>
      <c r="B5111" t="str">
        <f>"1551685924772545"</f>
        <v>1551685924772545</v>
      </c>
      <c r="C5111" t="s">
        <v>40</v>
      </c>
      <c r="D5111">
        <v>4.7714189999999999</v>
      </c>
      <c r="E5111">
        <v>0.49352810000000003</v>
      </c>
      <c r="F5111" t="s">
        <v>41</v>
      </c>
      <c r="G5111">
        <v>-421.23520000000002</v>
      </c>
      <c r="H5111" s="1">
        <v>-8.7576030000000003E-7</v>
      </c>
      <c r="I5111">
        <v>100.749</v>
      </c>
      <c r="J5111">
        <v>-418.51859999999999</v>
      </c>
      <c r="K5111">
        <v>1.112147</v>
      </c>
      <c r="L5111">
        <v>118.2316</v>
      </c>
      <c r="M5111">
        <v>-0.34911039999999999</v>
      </c>
      <c r="N5111">
        <v>-1.350028E-2</v>
      </c>
      <c r="O5111">
        <v>-0.93698440000000005</v>
      </c>
      <c r="P5111">
        <v>-0.19582920000000001</v>
      </c>
      <c r="Q5111">
        <v>0.14970069999999999</v>
      </c>
      <c r="R5111">
        <v>-0.96914420000000001</v>
      </c>
      <c r="S5111">
        <v>-0.47726439999999998</v>
      </c>
      <c r="T5111">
        <v>-0.1907083</v>
      </c>
      <c r="U5111">
        <v>-3.0298919999999998</v>
      </c>
      <c r="V5111">
        <v>-0.155467299999999</v>
      </c>
      <c r="W5111">
        <v>0.1622941</v>
      </c>
      <c r="X5111">
        <v>0.97441800000000001</v>
      </c>
      <c r="Y5111">
        <v>-0.1991232</v>
      </c>
      <c r="Z5111">
        <v>4.2870539999999999E-2</v>
      </c>
      <c r="AA5111">
        <v>0.97903629999999997</v>
      </c>
      <c r="AB5111">
        <v>20</v>
      </c>
      <c r="AC5111">
        <v>-2.7166000000000201</v>
      </c>
      <c r="AD5111">
        <v>-1.1121478757603001</v>
      </c>
      <c r="AE5111">
        <v>-17.482600000000001</v>
      </c>
      <c r="AF5111">
        <v>-3.5442649466995002</v>
      </c>
      <c r="AG5111">
        <v>-1.1121478757603001</v>
      </c>
      <c r="AH5111">
        <v>17.262683562905199</v>
      </c>
      <c r="AI5111">
        <v>93.611065866998899</v>
      </c>
      <c r="AJ5111">
        <v>101.602372412207</v>
      </c>
      <c r="AK5111">
        <v>17.657829161676599</v>
      </c>
      <c r="AL5111">
        <v>80.659920357472402</v>
      </c>
      <c r="AM5111">
        <v>99.065073018682298</v>
      </c>
      <c r="AN5111">
        <v>0.99999994749404797</v>
      </c>
    </row>
    <row r="5112" spans="1:40" x14ac:dyDescent="0.25">
      <c r="A5112" t="str">
        <f>"20190304155204797"</f>
        <v>20190304155204797</v>
      </c>
      <c r="B5112" t="str">
        <f>"1551685924792065"</f>
        <v>1551685924792065</v>
      </c>
      <c r="C5112" t="s">
        <v>40</v>
      </c>
      <c r="D5112">
        <v>4.7703879999999996</v>
      </c>
      <c r="E5112">
        <v>0.49194110000000002</v>
      </c>
      <c r="F5112" t="s">
        <v>41</v>
      </c>
      <c r="G5112">
        <v>-422.20569999999998</v>
      </c>
      <c r="H5112" s="1">
        <v>-4.25092E-6</v>
      </c>
      <c r="I5112">
        <v>98.328559999999996</v>
      </c>
      <c r="J5112">
        <v>-418.58789999999999</v>
      </c>
      <c r="K5112">
        <v>1.112204</v>
      </c>
      <c r="L5112">
        <v>118.0361</v>
      </c>
      <c r="M5112">
        <v>-0.3464354</v>
      </c>
      <c r="N5112">
        <v>-1.349387E-2</v>
      </c>
      <c r="O5112">
        <v>-0.9379769</v>
      </c>
      <c r="P5112">
        <v>-0.19241469999999999</v>
      </c>
      <c r="Q5112">
        <v>0.14868609999999999</v>
      </c>
      <c r="R5112">
        <v>-0.96998419999999996</v>
      </c>
      <c r="S5112">
        <v>-0.5574036</v>
      </c>
      <c r="T5112">
        <v>-0.1681299</v>
      </c>
      <c r="U5112">
        <v>-3.0088499999999998</v>
      </c>
      <c r="V5112">
        <v>-0.156196</v>
      </c>
      <c r="W5112">
        <v>0.16124669999999999</v>
      </c>
      <c r="X5112">
        <v>0.97447539999999999</v>
      </c>
      <c r="Y5112">
        <v>-0.169845</v>
      </c>
      <c r="Z5112">
        <v>3.6796280000000001E-2</v>
      </c>
      <c r="AA5112">
        <v>0.98478359999999998</v>
      </c>
      <c r="AB5112">
        <v>20</v>
      </c>
      <c r="AC5112">
        <v>-3.6177999999999799</v>
      </c>
      <c r="AD5112">
        <v>-1.11220825092</v>
      </c>
      <c r="AE5112">
        <v>-19.707540000000002</v>
      </c>
      <c r="AF5112">
        <v>-3.42373988734274</v>
      </c>
      <c r="AG5112">
        <v>-1.11220825092</v>
      </c>
      <c r="AH5112">
        <v>19.679710056670402</v>
      </c>
      <c r="AI5112">
        <v>93.186889741298401</v>
      </c>
      <c r="AJ5112">
        <v>99.869146088205895</v>
      </c>
      <c r="AK5112">
        <v>20.006248771926501</v>
      </c>
      <c r="AL5112">
        <v>80.720733423952296</v>
      </c>
      <c r="AM5112">
        <v>99.106324629016598</v>
      </c>
      <c r="AN5112">
        <v>0.99999999694102404</v>
      </c>
    </row>
    <row r="5113" spans="1:40" x14ac:dyDescent="0.25">
      <c r="A5113" t="str">
        <f>"20190304155204821"</f>
        <v>20190304155204821</v>
      </c>
      <c r="B5113" t="str">
        <f>"1551685924812561"</f>
        <v>1551685924812561</v>
      </c>
      <c r="C5113" t="s">
        <v>40</v>
      </c>
      <c r="D5113">
        <v>4.8432300000000001</v>
      </c>
      <c r="E5113">
        <v>0.49199549999999997</v>
      </c>
      <c r="F5113" t="s">
        <v>41</v>
      </c>
      <c r="G5113">
        <v>-421.93450000000001</v>
      </c>
      <c r="H5113" s="1">
        <v>-4.4983819999999999E-6</v>
      </c>
      <c r="I5113">
        <v>99.197119999999998</v>
      </c>
      <c r="J5113">
        <v>-418.65690000000001</v>
      </c>
      <c r="K5113">
        <v>1.112266</v>
      </c>
      <c r="L5113">
        <v>117.83920000000001</v>
      </c>
      <c r="M5113">
        <v>-0.34362880000000001</v>
      </c>
      <c r="N5113">
        <v>-1.3488750000000001E-2</v>
      </c>
      <c r="O5113">
        <v>-0.93900870000000003</v>
      </c>
      <c r="P5113">
        <v>-0.18813009999999999</v>
      </c>
      <c r="Q5113">
        <v>0.14760719999999999</v>
      </c>
      <c r="R5113">
        <v>-0.97098879999999999</v>
      </c>
      <c r="S5113">
        <v>-0.5354004</v>
      </c>
      <c r="T5113">
        <v>-0.1779337</v>
      </c>
      <c r="U5113">
        <v>-3.0139010000000002</v>
      </c>
      <c r="V5113">
        <v>-0.15766540000000001</v>
      </c>
      <c r="W5113">
        <v>0.160131299999999</v>
      </c>
      <c r="X5113">
        <v>0.97442269999999997</v>
      </c>
      <c r="Y5113">
        <v>-0.174166299999999</v>
      </c>
      <c r="Z5113">
        <v>3.9691219999999999E-2</v>
      </c>
      <c r="AA5113">
        <v>0.98391600000000001</v>
      </c>
      <c r="AB5113">
        <v>20</v>
      </c>
      <c r="AC5113">
        <v>-3.2776000000000001</v>
      </c>
      <c r="AD5113">
        <v>-1.112270498382</v>
      </c>
      <c r="AE5113">
        <v>-18.64208</v>
      </c>
      <c r="AF5113">
        <v>-3.3171090784853101</v>
      </c>
      <c r="AG5113">
        <v>-1.112270498382</v>
      </c>
      <c r="AH5113">
        <v>18.568927318990301</v>
      </c>
      <c r="AI5113">
        <v>93.374601057404703</v>
      </c>
      <c r="AJ5113">
        <v>100.12834719381399</v>
      </c>
      <c r="AK5113">
        <v>18.8956455321877</v>
      </c>
      <c r="AL5113">
        <v>80.785482623742297</v>
      </c>
      <c r="AM5113">
        <v>99.191024850787898</v>
      </c>
      <c r="AN5113">
        <v>1.00000000493606</v>
      </c>
    </row>
    <row r="5114" spans="1:40" x14ac:dyDescent="0.25">
      <c r="A5114" t="str">
        <f>"20190304155204842"</f>
        <v>20190304155204842</v>
      </c>
      <c r="B5114" t="str">
        <f>"1551685924832081"</f>
        <v>1551685924832081</v>
      </c>
      <c r="C5114" t="s">
        <v>40</v>
      </c>
      <c r="D5114">
        <v>4.7281180000000003</v>
      </c>
      <c r="E5114">
        <v>0.49174889999999999</v>
      </c>
      <c r="F5114" t="s">
        <v>41</v>
      </c>
      <c r="G5114">
        <v>-421.76389999999998</v>
      </c>
      <c r="H5114" s="1">
        <v>-6.3431880000000002E-7</v>
      </c>
      <c r="I5114">
        <v>99.940669999999997</v>
      </c>
      <c r="J5114">
        <v>-418.72089999999997</v>
      </c>
      <c r="K5114">
        <v>1.112322</v>
      </c>
      <c r="L5114">
        <v>117.6545</v>
      </c>
      <c r="M5114">
        <v>-0.3408987</v>
      </c>
      <c r="N5114">
        <v>-1.3481659999999999E-2</v>
      </c>
      <c r="O5114">
        <v>-0.94000349999999999</v>
      </c>
      <c r="P5114">
        <v>-0.18417520000000001</v>
      </c>
      <c r="Q5114">
        <v>0.14761869999999999</v>
      </c>
      <c r="R5114">
        <v>-0.97174510000000003</v>
      </c>
      <c r="S5114">
        <v>-0.52365109999999904</v>
      </c>
      <c r="T5114">
        <v>-0.1874642</v>
      </c>
      <c r="U5114">
        <v>-3.0166629999999999</v>
      </c>
      <c r="V5114">
        <v>-0.1588252</v>
      </c>
      <c r="W5114">
        <v>0.1601059</v>
      </c>
      <c r="X5114">
        <v>0.97423850000000001</v>
      </c>
      <c r="Y5114">
        <v>-0.17519399999999999</v>
      </c>
      <c r="Z5114">
        <v>4.2555089999999997E-2</v>
      </c>
      <c r="AA5114">
        <v>0.98361379999999998</v>
      </c>
      <c r="AB5114">
        <v>20</v>
      </c>
      <c r="AC5114">
        <v>-3.0430000000000001</v>
      </c>
      <c r="AD5114">
        <v>-1.1123226343188</v>
      </c>
      <c r="AE5114">
        <v>-17.713829999999898</v>
      </c>
      <c r="AF5114">
        <v>-3.1663520992864198</v>
      </c>
      <c r="AG5114">
        <v>-1.1123226343188</v>
      </c>
      <c r="AH5114">
        <v>17.622526988998999</v>
      </c>
      <c r="AI5114">
        <v>93.554904401001906</v>
      </c>
      <c r="AJ5114">
        <v>100.186013324396</v>
      </c>
      <c r="AK5114">
        <v>17.939244820712801</v>
      </c>
      <c r="AL5114">
        <v>80.786956904729806</v>
      </c>
      <c r="AM5114">
        <v>99.259188414869399</v>
      </c>
      <c r="AN5114">
        <v>0.99999999912604898</v>
      </c>
    </row>
    <row r="5115" spans="1:40" x14ac:dyDescent="0.25">
      <c r="A5115" t="str">
        <f>"20190304155204865"</f>
        <v>20190304155204865</v>
      </c>
      <c r="B5115" t="str">
        <f>"1551685924862337"</f>
        <v>1551685924862337</v>
      </c>
      <c r="C5115" t="s">
        <v>40</v>
      </c>
      <c r="D5115">
        <v>4.7196870000000004</v>
      </c>
      <c r="E5115">
        <v>0.49149280000000001</v>
      </c>
      <c r="F5115" t="s">
        <v>41</v>
      </c>
      <c r="G5115">
        <v>-421.72390000000001</v>
      </c>
      <c r="H5115" s="1">
        <v>-5.9819229999999996E-7</v>
      </c>
      <c r="I5115">
        <v>99.88673</v>
      </c>
      <c r="J5115">
        <v>-418.78590000000003</v>
      </c>
      <c r="K5115">
        <v>1.112379</v>
      </c>
      <c r="L5115">
        <v>117.4648</v>
      </c>
      <c r="M5115">
        <v>-0.338005</v>
      </c>
      <c r="N5115">
        <v>-1.3465420000000001E-2</v>
      </c>
      <c r="O5115">
        <v>-0.94104810000000005</v>
      </c>
      <c r="P5115">
        <v>-0.1811384</v>
      </c>
      <c r="Q5115">
        <v>0.14809449999999999</v>
      </c>
      <c r="R5115">
        <v>-0.97224319999999997</v>
      </c>
      <c r="S5115">
        <v>-0.51028439999999997</v>
      </c>
      <c r="T5115">
        <v>-0.18901370000000001</v>
      </c>
      <c r="U5115">
        <v>-3.0192260000000002</v>
      </c>
      <c r="V5115">
        <v>-0.15886989999999901</v>
      </c>
      <c r="W5115">
        <v>0.16054450000000001</v>
      </c>
      <c r="X5115">
        <v>0.974159</v>
      </c>
      <c r="Y5115">
        <v>-0.17653840000000001</v>
      </c>
      <c r="Z5115">
        <v>4.3076240000000002E-2</v>
      </c>
      <c r="AA5115">
        <v>0.98335070000000002</v>
      </c>
      <c r="AB5115">
        <v>20</v>
      </c>
      <c r="AC5115">
        <v>-2.9379999999999802</v>
      </c>
      <c r="AD5115">
        <v>-1.1123795981922999</v>
      </c>
      <c r="AE5115">
        <v>-17.578069999999901</v>
      </c>
      <c r="AF5115">
        <v>-3.1646350953767799</v>
      </c>
      <c r="AG5115">
        <v>-1.1123795981922999</v>
      </c>
      <c r="AH5115">
        <v>17.468402446315501</v>
      </c>
      <c r="AI5115">
        <v>93.585441886076296</v>
      </c>
      <c r="AJ5115">
        <v>100.268526304969</v>
      </c>
      <c r="AK5115">
        <v>17.7875627246626</v>
      </c>
      <c r="AL5115">
        <v>80.761497364250999</v>
      </c>
      <c r="AM5115">
        <v>99.262491923181898</v>
      </c>
      <c r="AN5115">
        <v>0.99999996944362901</v>
      </c>
    </row>
    <row r="5116" spans="1:40" x14ac:dyDescent="0.25">
      <c r="A5116" t="str">
        <f>"20190304155204887"</f>
        <v>20190304155204887</v>
      </c>
      <c r="B5116" t="str">
        <f>"1551685924881857"</f>
        <v>1551685924881857</v>
      </c>
      <c r="C5116" t="s">
        <v>40</v>
      </c>
      <c r="D5116">
        <v>4.7369949999999896</v>
      </c>
      <c r="E5116">
        <v>0.49154779999999998</v>
      </c>
      <c r="F5116" t="s">
        <v>41</v>
      </c>
      <c r="G5116">
        <v>-421.7353</v>
      </c>
      <c r="H5116" s="1">
        <v>-4.7402200000000001E-7</v>
      </c>
      <c r="I5116">
        <v>99.617630000000005</v>
      </c>
      <c r="J5116">
        <v>-418.85160000000002</v>
      </c>
      <c r="K5116">
        <v>1.112419</v>
      </c>
      <c r="L5116">
        <v>117.2709</v>
      </c>
      <c r="M5116">
        <v>-0.33496609999999899</v>
      </c>
      <c r="N5116">
        <v>-1.343659E-2</v>
      </c>
      <c r="O5116">
        <v>-0.94213469999999999</v>
      </c>
      <c r="P5116">
        <v>-0.17789940000000001</v>
      </c>
      <c r="Q5116">
        <v>0.14887400000000001</v>
      </c>
      <c r="R5116">
        <v>-0.97272270000000005</v>
      </c>
      <c r="S5116">
        <v>-0.49929810000000002</v>
      </c>
      <c r="T5116">
        <v>-0.1883119</v>
      </c>
      <c r="U5116">
        <v>-3.0213009999999998</v>
      </c>
      <c r="V5116">
        <v>-0.15895190000000001</v>
      </c>
      <c r="W5116">
        <v>0.16127639999999999</v>
      </c>
      <c r="X5116">
        <v>0.97402480000000002</v>
      </c>
      <c r="Y5116">
        <v>-0.1769503</v>
      </c>
      <c r="Z5116">
        <v>4.295906E-2</v>
      </c>
      <c r="AA5116">
        <v>0.98328179999999998</v>
      </c>
      <c r="AB5116">
        <v>20</v>
      </c>
      <c r="AC5116">
        <v>-2.88369999999997</v>
      </c>
      <c r="AD5116">
        <v>-1.1124194740219999</v>
      </c>
      <c r="AE5116">
        <v>-17.6532699999999</v>
      </c>
      <c r="AF5116">
        <v>-3.1843845886384798</v>
      </c>
      <c r="AG5116">
        <v>-1.1124194740219999</v>
      </c>
      <c r="AH5116">
        <v>17.5314771994294</v>
      </c>
      <c r="AI5116">
        <v>93.5724063067412</v>
      </c>
      <c r="AJ5116">
        <v>100.294859599904</v>
      </c>
      <c r="AK5116">
        <v>17.853024256093299</v>
      </c>
      <c r="AL5116">
        <v>80.719009643873704</v>
      </c>
      <c r="AM5116">
        <v>99.268444459915699</v>
      </c>
      <c r="AN5116">
        <v>1.0000000473627999</v>
      </c>
    </row>
    <row r="5117" spans="1:40" x14ac:dyDescent="0.25">
      <c r="A5117" t="str">
        <f>"20190304155204910"</f>
        <v>20190304155204910</v>
      </c>
      <c r="B5117" t="str">
        <f>"1551685924902353"</f>
        <v>1551685924902353</v>
      </c>
      <c r="C5117" t="s">
        <v>40</v>
      </c>
      <c r="D5117">
        <v>4.8146050000000002</v>
      </c>
      <c r="E5117">
        <v>0.49189179999999999</v>
      </c>
      <c r="F5117" t="s">
        <v>41</v>
      </c>
      <c r="G5117">
        <v>-421.78919999999999</v>
      </c>
      <c r="H5117" s="1">
        <v>-4.451052E-6</v>
      </c>
      <c r="I5117">
        <v>99.133769999999998</v>
      </c>
      <c r="J5117">
        <v>-418.91469999999998</v>
      </c>
      <c r="K5117">
        <v>1.112447</v>
      </c>
      <c r="L5117">
        <v>117.0822</v>
      </c>
      <c r="M5117">
        <v>-0.33194190000000001</v>
      </c>
      <c r="N5117">
        <v>-1.33971E-2</v>
      </c>
      <c r="O5117">
        <v>-0.94320479999999995</v>
      </c>
      <c r="P5117">
        <v>-0.1739812</v>
      </c>
      <c r="Q5117">
        <v>0.1494875</v>
      </c>
      <c r="R5117">
        <v>-0.9733368</v>
      </c>
      <c r="S5117">
        <v>-0.489624</v>
      </c>
      <c r="T5117">
        <v>-0.18541160000000001</v>
      </c>
      <c r="U5117">
        <v>-3.02298</v>
      </c>
      <c r="V5117">
        <v>-0.15973370000000001</v>
      </c>
      <c r="W5117">
        <v>0.161833</v>
      </c>
      <c r="X5117">
        <v>0.97380449999999996</v>
      </c>
      <c r="Y5117">
        <v>-0.17694119999999999</v>
      </c>
      <c r="Z5117">
        <v>4.2205880000000001E-2</v>
      </c>
      <c r="AA5117">
        <v>0.98331610000000003</v>
      </c>
      <c r="AB5117">
        <v>20</v>
      </c>
      <c r="AC5117">
        <v>-2.87450000000001</v>
      </c>
      <c r="AD5117">
        <v>-1.1124514510519901</v>
      </c>
      <c r="AE5117">
        <v>-17.948429999999998</v>
      </c>
      <c r="AF5117">
        <v>-3.2347689786844001</v>
      </c>
      <c r="AG5117">
        <v>-1.1124514510519901</v>
      </c>
      <c r="AH5117">
        <v>17.818077885004801</v>
      </c>
      <c r="AI5117">
        <v>93.515248693130502</v>
      </c>
      <c r="AJ5117">
        <v>100.289650953131</v>
      </c>
      <c r="AK5117">
        <v>18.143461028494599</v>
      </c>
      <c r="AL5117">
        <v>80.686693768532393</v>
      </c>
      <c r="AM5117">
        <v>99.315304144884493</v>
      </c>
      <c r="AN5117">
        <v>0.99999998951247004</v>
      </c>
    </row>
    <row r="5118" spans="1:40" x14ac:dyDescent="0.25">
      <c r="A5118" t="str">
        <f>"20190304155204933"</f>
        <v>20190304155204933</v>
      </c>
      <c r="B5118" t="str">
        <f>"1551685924921873"</f>
        <v>1551685924921873</v>
      </c>
      <c r="C5118" t="s">
        <v>40</v>
      </c>
      <c r="D5118">
        <v>4.7384490000000001</v>
      </c>
      <c r="E5118">
        <v>0.4918999</v>
      </c>
      <c r="F5118" t="s">
        <v>41</v>
      </c>
      <c r="G5118">
        <v>-421.83019999999999</v>
      </c>
      <c r="H5118" s="1">
        <v>-4.32450499999999E-6</v>
      </c>
      <c r="I5118">
        <v>98.740570000000005</v>
      </c>
      <c r="J5118">
        <v>-418.98090000000002</v>
      </c>
      <c r="K5118">
        <v>1.112447</v>
      </c>
      <c r="L5118">
        <v>116.88160000000001</v>
      </c>
      <c r="M5118">
        <v>-0.3286792</v>
      </c>
      <c r="N5118">
        <v>-1.3340680000000001E-2</v>
      </c>
      <c r="O5118">
        <v>-0.94434739999999995</v>
      </c>
      <c r="P5118">
        <v>-0.17021310000000001</v>
      </c>
      <c r="Q5118">
        <v>0.15040139999999999</v>
      </c>
      <c r="R5118">
        <v>-0.97386170000000005</v>
      </c>
      <c r="S5118">
        <v>-0.48074339999999999</v>
      </c>
      <c r="T5118">
        <v>-0.1834354</v>
      </c>
      <c r="U5118">
        <v>-3.0244140000000002</v>
      </c>
      <c r="V5118">
        <v>-0.16010070000000001</v>
      </c>
      <c r="W5118">
        <v>0.16268050000000001</v>
      </c>
      <c r="X5118">
        <v>0.973603</v>
      </c>
      <c r="Y5118">
        <v>-0.1764251</v>
      </c>
      <c r="Z5118">
        <v>4.1754230000000003E-2</v>
      </c>
      <c r="AA5118">
        <v>0.98342810000000003</v>
      </c>
      <c r="AB5118">
        <v>20</v>
      </c>
      <c r="AC5118">
        <v>-2.8492999999999702</v>
      </c>
      <c r="AD5118">
        <v>-1.1124513245050001</v>
      </c>
      <c r="AE5118">
        <v>-18.141030000000001</v>
      </c>
      <c r="AF5118">
        <v>-3.26017683654843</v>
      </c>
      <c r="AG5118">
        <v>-1.1124513245050001</v>
      </c>
      <c r="AH5118">
        <v>18.003477156429199</v>
      </c>
      <c r="AI5118">
        <v>93.479416955118595</v>
      </c>
      <c r="AJ5118">
        <v>100.26423019278199</v>
      </c>
      <c r="AK5118">
        <v>18.3300706675405</v>
      </c>
      <c r="AL5118">
        <v>80.637483495346501</v>
      </c>
      <c r="AM5118">
        <v>99.338228552289394</v>
      </c>
      <c r="AN5118">
        <v>0.99999999041486998</v>
      </c>
    </row>
    <row r="5119" spans="1:40" x14ac:dyDescent="0.25">
      <c r="A5119" t="str">
        <f>"20190304155204957"</f>
        <v>20190304155204957</v>
      </c>
      <c r="B5119" t="str">
        <f>"1551685924952130"</f>
        <v>1551685924952130</v>
      </c>
      <c r="C5119" t="s">
        <v>40</v>
      </c>
      <c r="D5119">
        <v>4.832846</v>
      </c>
      <c r="E5119">
        <v>0.49284020000000001</v>
      </c>
      <c r="F5119" t="s">
        <v>41</v>
      </c>
      <c r="G5119">
        <v>-421.88069999999999</v>
      </c>
      <c r="H5119" s="1">
        <v>-4.1565690000000004E-6</v>
      </c>
      <c r="I5119">
        <v>98.220749999999995</v>
      </c>
      <c r="J5119">
        <v>-419.05</v>
      </c>
      <c r="K5119">
        <v>1.1124350000000001</v>
      </c>
      <c r="L5119">
        <v>116.66970000000001</v>
      </c>
      <c r="M5119">
        <v>-0.32520909999999997</v>
      </c>
      <c r="N5119">
        <v>-1.3270499999999999E-2</v>
      </c>
      <c r="O5119">
        <v>-0.94554910000000003</v>
      </c>
      <c r="P5119">
        <v>-0.16622519999999999</v>
      </c>
      <c r="Q5119">
        <v>0.15059349999999999</v>
      </c>
      <c r="R5119">
        <v>-0.97452090000000002</v>
      </c>
      <c r="S5119">
        <v>-0.47024539999999998</v>
      </c>
      <c r="T5119">
        <v>-0.1804037</v>
      </c>
      <c r="U5119">
        <v>-3.0261840000000002</v>
      </c>
      <c r="V5119">
        <v>-0.16050320000000001</v>
      </c>
      <c r="W5119">
        <v>0.1628009</v>
      </c>
      <c r="X5119">
        <v>0.97351659999999995</v>
      </c>
      <c r="Y5119">
        <v>-0.1762254</v>
      </c>
      <c r="Z5119">
        <v>4.099759E-2</v>
      </c>
      <c r="AA5119">
        <v>0.98349569999999997</v>
      </c>
      <c r="AB5119">
        <v>20</v>
      </c>
      <c r="AC5119">
        <v>-2.83069999999997</v>
      </c>
      <c r="AD5119">
        <v>-1.1124391565689999</v>
      </c>
      <c r="AE5119">
        <v>-18.44895</v>
      </c>
      <c r="AF5119">
        <v>-3.3117288806497598</v>
      </c>
      <c r="AG5119">
        <v>-1.1124391565689999</v>
      </c>
      <c r="AH5119">
        <v>18.301561529663001</v>
      </c>
      <c r="AI5119">
        <v>93.422924257267596</v>
      </c>
      <c r="AJ5119">
        <v>100.25687363889899</v>
      </c>
      <c r="AK5119">
        <v>18.632021454475598</v>
      </c>
      <c r="AL5119">
        <v>80.630491876783196</v>
      </c>
      <c r="AM5119">
        <v>99.362106295285301</v>
      </c>
      <c r="AN5119">
        <v>0.999999990363304</v>
      </c>
    </row>
    <row r="5120" spans="1:40" x14ac:dyDescent="0.25">
      <c r="A5120" t="str">
        <f>"20190304155204981"</f>
        <v>20190304155204981</v>
      </c>
      <c r="B5120" t="str">
        <f>"1551685924971649"</f>
        <v>1551685924971649</v>
      </c>
      <c r="C5120" t="s">
        <v>40</v>
      </c>
      <c r="D5120">
        <v>4.7538109999999998</v>
      </c>
      <c r="E5120">
        <v>0.49306850000000002</v>
      </c>
      <c r="F5120" t="s">
        <v>41</v>
      </c>
      <c r="G5120">
        <v>-421.85149999999999</v>
      </c>
      <c r="H5120" s="1">
        <v>-4.2285119999999997E-6</v>
      </c>
      <c r="I5120">
        <v>98.447360000000003</v>
      </c>
      <c r="J5120">
        <v>-419.113</v>
      </c>
      <c r="K5120">
        <v>1.112409</v>
      </c>
      <c r="L5120">
        <v>116.4743</v>
      </c>
      <c r="M5120">
        <v>-0.32199939999999999</v>
      </c>
      <c r="N5120">
        <v>-1.318824E-2</v>
      </c>
      <c r="O5120">
        <v>-0.94664820000000005</v>
      </c>
      <c r="P5120">
        <v>-0.16259390000000001</v>
      </c>
      <c r="Q5120">
        <v>0.150361299999999</v>
      </c>
      <c r="R5120">
        <v>-0.97516930000000002</v>
      </c>
      <c r="S5120">
        <v>-0.46545409999999998</v>
      </c>
      <c r="T5120">
        <v>-0.18482799999999999</v>
      </c>
      <c r="U5120">
        <v>-3.0275880000000002</v>
      </c>
      <c r="V5120">
        <v>-0.1608327</v>
      </c>
      <c r="W5120">
        <v>0.16249079999999999</v>
      </c>
      <c r="X5120">
        <v>0.97351399999999999</v>
      </c>
      <c r="Y5120">
        <v>-0.1744841</v>
      </c>
      <c r="Z5120">
        <v>4.2478109999999999E-2</v>
      </c>
      <c r="AA5120">
        <v>0.98374329999999999</v>
      </c>
      <c r="AB5120">
        <v>20</v>
      </c>
      <c r="AC5120">
        <v>-2.73849999999993</v>
      </c>
      <c r="AD5120">
        <v>-1.1124132285120001</v>
      </c>
      <c r="AE5120">
        <v>-18.02694</v>
      </c>
      <c r="AF5120">
        <v>-3.20063372860603</v>
      </c>
      <c r="AG5120">
        <v>-1.1124132285120001</v>
      </c>
      <c r="AH5120">
        <v>17.881966187696101</v>
      </c>
      <c r="AI5120">
        <v>93.504161213835005</v>
      </c>
      <c r="AJ5120">
        <v>100.14772682136601</v>
      </c>
      <c r="AK5120">
        <v>18.200171268248202</v>
      </c>
      <c r="AL5120">
        <v>80.648498813115097</v>
      </c>
      <c r="AM5120">
        <v>99.381009239604694</v>
      </c>
      <c r="AN5120">
        <v>0.99999996283496395</v>
      </c>
    </row>
    <row r="5121" spans="1:40" x14ac:dyDescent="0.25">
      <c r="A5121" t="str">
        <f>"20190304155204999"</f>
        <v>20190304155204999</v>
      </c>
      <c r="B5121" t="str">
        <f>"1551685924992144"</f>
        <v>1551685924992144</v>
      </c>
      <c r="C5121" t="s">
        <v>40</v>
      </c>
      <c r="D5121">
        <v>4.8250739999999999</v>
      </c>
      <c r="E5121">
        <v>0.49289169999999999</v>
      </c>
      <c r="F5121" t="s">
        <v>41</v>
      </c>
      <c r="G5121">
        <v>-421.85640000000001</v>
      </c>
      <c r="H5121" s="1">
        <v>-4.1659350000000001E-6</v>
      </c>
      <c r="I5121">
        <v>98.260959999999997</v>
      </c>
      <c r="J5121">
        <v>-419.16419999999999</v>
      </c>
      <c r="K5121">
        <v>1.1123780000000001</v>
      </c>
      <c r="L5121">
        <v>116.3138</v>
      </c>
      <c r="M5121">
        <v>-0.31936829999999999</v>
      </c>
      <c r="N5121">
        <v>-1.3098159999999999E-2</v>
      </c>
      <c r="O5121">
        <v>-0.9475403</v>
      </c>
      <c r="P5121">
        <v>-0.15911600000000001</v>
      </c>
      <c r="Q5121">
        <v>0.15026329999999999</v>
      </c>
      <c r="R5121">
        <v>-0.97575769999999995</v>
      </c>
      <c r="S5121">
        <v>-0.45620729999999998</v>
      </c>
      <c r="T5121">
        <v>-0.18499209999999999</v>
      </c>
      <c r="U5121">
        <v>-3.0288390000000001</v>
      </c>
      <c r="V5121">
        <v>-0.1615994</v>
      </c>
      <c r="W5121">
        <v>0.16230549999999999</v>
      </c>
      <c r="X5121">
        <v>0.97341800000000001</v>
      </c>
      <c r="Y5121">
        <v>-0.17474619999999999</v>
      </c>
      <c r="Z5121">
        <v>4.267344E-2</v>
      </c>
      <c r="AA5121">
        <v>0.98368840000000002</v>
      </c>
      <c r="AB5121">
        <v>20</v>
      </c>
      <c r="AC5121">
        <v>-2.6922000000000099</v>
      </c>
      <c r="AD5121">
        <v>-1.1123821659349999</v>
      </c>
      <c r="AE5121">
        <v>-18.05284</v>
      </c>
      <c r="AF5121">
        <v>-3.2029158913059499</v>
      </c>
      <c r="AG5121">
        <v>-1.1123821659349999</v>
      </c>
      <c r="AH5121">
        <v>17.9006489917289</v>
      </c>
      <c r="AI5121">
        <v>93.500451451073204</v>
      </c>
      <c r="AJ5121">
        <v>100.144433680359</v>
      </c>
      <c r="AK5121">
        <v>18.218926933685101</v>
      </c>
      <c r="AL5121">
        <v>80.659259111910799</v>
      </c>
      <c r="AM5121">
        <v>99.425841434389596</v>
      </c>
      <c r="AN5121">
        <v>1.0000000220673</v>
      </c>
    </row>
    <row r="5122" spans="1:40" x14ac:dyDescent="0.25">
      <c r="A5122" t="str">
        <f>"20190304155205023"</f>
        <v>20190304155205023</v>
      </c>
      <c r="B5122" t="str">
        <f>"1551685925011665"</f>
        <v>1551685925011665</v>
      </c>
      <c r="C5122" t="s">
        <v>40</v>
      </c>
      <c r="D5122">
        <v>4.8459479999999999</v>
      </c>
      <c r="E5122">
        <v>0.49211870000000002</v>
      </c>
      <c r="F5122" t="s">
        <v>41</v>
      </c>
      <c r="G5122">
        <v>-421.83190000000002</v>
      </c>
      <c r="H5122" s="1">
        <v>-4.108533E-6</v>
      </c>
      <c r="I5122">
        <v>98.105029999999999</v>
      </c>
      <c r="J5122">
        <v>-419.22770000000003</v>
      </c>
      <c r="K5122">
        <v>1.1123339999999999</v>
      </c>
      <c r="L5122">
        <v>116.1127</v>
      </c>
      <c r="M5122">
        <v>-0.316081099999999</v>
      </c>
      <c r="N5122">
        <v>-1.2955599999999999E-2</v>
      </c>
      <c r="O5122">
        <v>-0.94864369999999998</v>
      </c>
      <c r="P5122">
        <v>-0.15478259999999999</v>
      </c>
      <c r="Q5122">
        <v>0.15060319999999999</v>
      </c>
      <c r="R5122">
        <v>-0.97640229999999995</v>
      </c>
      <c r="S5122">
        <v>-0.44400020000000001</v>
      </c>
      <c r="T5122">
        <v>-0.1851428</v>
      </c>
      <c r="U5122">
        <v>-3.03064</v>
      </c>
      <c r="V5122">
        <v>-0.1625241</v>
      </c>
      <c r="W5122">
        <v>0.16250680000000001</v>
      </c>
      <c r="X5122">
        <v>0.97323040000000005</v>
      </c>
      <c r="Y5122">
        <v>-0.1752967</v>
      </c>
      <c r="Z5122">
        <v>4.2924530000000002E-2</v>
      </c>
      <c r="AA5122">
        <v>0.98357950000000005</v>
      </c>
      <c r="AB5122">
        <v>20</v>
      </c>
      <c r="AC5122">
        <v>-2.6041999999999899</v>
      </c>
      <c r="AD5122">
        <v>-1.112338108533</v>
      </c>
      <c r="AE5122">
        <v>-18.007670000000001</v>
      </c>
      <c r="AF5122">
        <v>-3.2097007076970798</v>
      </c>
      <c r="AG5122">
        <v>-1.112338108533</v>
      </c>
      <c r="AH5122">
        <v>17.840825925370599</v>
      </c>
      <c r="AI5122">
        <v>93.511424049258096</v>
      </c>
      <c r="AJ5122">
        <v>100.198847315215</v>
      </c>
      <c r="AK5122">
        <v>18.161347538111301</v>
      </c>
      <c r="AL5122">
        <v>80.647569868500298</v>
      </c>
      <c r="AM5122">
        <v>99.480595664538995</v>
      </c>
      <c r="AN5122">
        <v>0.99999997730560397</v>
      </c>
    </row>
    <row r="5123" spans="1:40" x14ac:dyDescent="0.25">
      <c r="A5123" t="str">
        <f>"20190304155205045"</f>
        <v>20190304155205045</v>
      </c>
      <c r="B5123" t="str">
        <f>"1551685925041920"</f>
        <v>1551685925041920</v>
      </c>
      <c r="C5123" t="s">
        <v>40</v>
      </c>
      <c r="D5123">
        <v>4.7863879999999996</v>
      </c>
      <c r="E5123">
        <v>0.46031090000000002</v>
      </c>
      <c r="F5123" t="s">
        <v>41</v>
      </c>
      <c r="G5123">
        <v>-421.79169999999999</v>
      </c>
      <c r="H5123" s="1">
        <v>-3.9998899999999997E-6</v>
      </c>
      <c r="I5123">
        <v>97.806719999999999</v>
      </c>
      <c r="J5123">
        <v>-419.28719999999998</v>
      </c>
      <c r="K5123">
        <v>1.112298</v>
      </c>
      <c r="L5123">
        <v>115.9221</v>
      </c>
      <c r="M5123">
        <v>-0.31298199999999998</v>
      </c>
      <c r="N5123">
        <v>-1.280221E-2</v>
      </c>
      <c r="O5123">
        <v>-0.94967290000000004</v>
      </c>
      <c r="P5123">
        <v>-0.150704</v>
      </c>
      <c r="Q5123">
        <v>0.15077570000000001</v>
      </c>
      <c r="R5123">
        <v>-0.97701349999999998</v>
      </c>
      <c r="S5123">
        <v>-0.4248962</v>
      </c>
      <c r="T5123">
        <v>-0.18433140000000001</v>
      </c>
      <c r="U5123">
        <v>-3.033585</v>
      </c>
      <c r="V5123">
        <v>-0.16339670000000001</v>
      </c>
      <c r="W5123">
        <v>0.1625308</v>
      </c>
      <c r="X5123">
        <v>0.97308030000000001</v>
      </c>
      <c r="Y5123">
        <v>-0.17828649999999999</v>
      </c>
      <c r="Z5123">
        <v>4.2861219999999998E-2</v>
      </c>
      <c r="AA5123">
        <v>0.98304469999999999</v>
      </c>
      <c r="AB5123">
        <v>20</v>
      </c>
      <c r="AC5123">
        <v>-2.5045000000000002</v>
      </c>
      <c r="AD5123">
        <v>-1.1123019998899999</v>
      </c>
      <c r="AE5123">
        <v>-18.115379999999998</v>
      </c>
      <c r="AF5123">
        <v>-3.2794694592667799</v>
      </c>
      <c r="AG5123">
        <v>-1.1123019998899999</v>
      </c>
      <c r="AH5123">
        <v>17.922718117689001</v>
      </c>
      <c r="AI5123">
        <v>93.493426193073603</v>
      </c>
      <c r="AJ5123">
        <v>100.369179136673</v>
      </c>
      <c r="AK5123">
        <v>18.254203910314999</v>
      </c>
      <c r="AL5123">
        <v>80.6461765165553</v>
      </c>
      <c r="AM5123">
        <v>99.532009265940104</v>
      </c>
      <c r="AN5123">
        <v>1.0000000063838099</v>
      </c>
    </row>
    <row r="5124" spans="1:40" x14ac:dyDescent="0.25">
      <c r="A5124" t="str">
        <f>"20190304155205066"</f>
        <v>20190304155205066</v>
      </c>
      <c r="B5124" t="str">
        <f>"1551685925062418"</f>
        <v>1551685925062418</v>
      </c>
      <c r="C5124" t="s">
        <v>40</v>
      </c>
      <c r="D5124">
        <v>4.8063019999999996</v>
      </c>
      <c r="E5124">
        <v>0.46101419999999999</v>
      </c>
      <c r="F5124" t="s">
        <v>41</v>
      </c>
      <c r="G5124">
        <v>-420.24</v>
      </c>
      <c r="H5124" s="1">
        <v>-3.5959880000000001E-6</v>
      </c>
      <c r="I5124">
        <v>97.822590000000005</v>
      </c>
      <c r="J5124">
        <v>-419.34249999999997</v>
      </c>
      <c r="K5124">
        <v>1.1122639999999999</v>
      </c>
      <c r="L5124">
        <v>115.7428</v>
      </c>
      <c r="M5124">
        <v>-0.31008229999999998</v>
      </c>
      <c r="N5124">
        <v>-1.2652790000000001E-2</v>
      </c>
      <c r="O5124">
        <v>-0.95062570000000002</v>
      </c>
      <c r="P5124">
        <v>-0.14713770000000001</v>
      </c>
      <c r="Q5124">
        <v>0.15157129999999999</v>
      </c>
      <c r="R5124">
        <v>-0.97743409999999997</v>
      </c>
      <c r="S5124">
        <v>-0.16186519999999999</v>
      </c>
      <c r="T5124">
        <v>-0.1889585</v>
      </c>
      <c r="U5124">
        <v>-3.0747529999999998</v>
      </c>
      <c r="V5124">
        <v>-0.163938</v>
      </c>
      <c r="W5124">
        <v>0.16318099999999999</v>
      </c>
      <c r="X5124">
        <v>0.97288039999999998</v>
      </c>
      <c r="Y5124">
        <v>-0.25961659999999998</v>
      </c>
      <c r="Z5124">
        <v>4.3200330000000002E-2</v>
      </c>
      <c r="AA5124">
        <v>0.96474499999999996</v>
      </c>
      <c r="AB5124">
        <v>20</v>
      </c>
      <c r="AC5124">
        <v>-0.89750000000003605</v>
      </c>
      <c r="AD5124">
        <v>-1.112267595988</v>
      </c>
      <c r="AE5124">
        <v>-17.920209999999901</v>
      </c>
      <c r="AF5124">
        <v>-4.6859221774932696</v>
      </c>
      <c r="AG5124">
        <v>-1.112267595988</v>
      </c>
      <c r="AH5124">
        <v>17.248810887404801</v>
      </c>
      <c r="AI5124">
        <v>93.560827066490006</v>
      </c>
      <c r="AJ5124">
        <v>105.198527483758</v>
      </c>
      <c r="AK5124">
        <v>17.908558928290699</v>
      </c>
      <c r="AL5124">
        <v>80.608418570123902</v>
      </c>
      <c r="AM5124">
        <v>99.564933247197899</v>
      </c>
      <c r="AN5124">
        <v>0.99999998965457904</v>
      </c>
    </row>
    <row r="5125" spans="1:40" x14ac:dyDescent="0.25">
      <c r="A5125" t="str">
        <f>"20190304155205088"</f>
        <v>20190304155205088</v>
      </c>
      <c r="B5125" t="str">
        <f>"1551685925081937"</f>
        <v>1551685925081937</v>
      </c>
      <c r="C5125" t="s">
        <v>40</v>
      </c>
      <c r="D5125">
        <v>4.8099290000000003</v>
      </c>
      <c r="E5125">
        <v>0.46146100000000001</v>
      </c>
      <c r="F5125" t="s">
        <v>41</v>
      </c>
      <c r="G5125">
        <v>-420.28070000000002</v>
      </c>
      <c r="H5125" s="1">
        <v>-3.331554E-6</v>
      </c>
      <c r="I5125">
        <v>97.180940000000007</v>
      </c>
      <c r="J5125">
        <v>-419.4015</v>
      </c>
      <c r="K5125">
        <v>1.112231</v>
      </c>
      <c r="L5125">
        <v>115.5496</v>
      </c>
      <c r="M5125">
        <v>-0.30696659999999998</v>
      </c>
      <c r="N5125">
        <v>-1.2489429999999999E-2</v>
      </c>
      <c r="O5125">
        <v>-0.9516386</v>
      </c>
      <c r="P5125">
        <v>-0.14411079999999901</v>
      </c>
      <c r="Q5125">
        <v>0.15228559999999999</v>
      </c>
      <c r="R5125">
        <v>-0.97777400000000003</v>
      </c>
      <c r="S5125">
        <v>-0.15539549999999999</v>
      </c>
      <c r="T5125">
        <v>-0.18422640000000001</v>
      </c>
      <c r="U5125">
        <v>-3.0744319999999998</v>
      </c>
      <c r="V5125">
        <v>-0.16372590000000001</v>
      </c>
      <c r="W5125">
        <v>0.16374079999999999</v>
      </c>
      <c r="X5125">
        <v>0.97282210000000002</v>
      </c>
      <c r="Y5125">
        <v>-0.25847489999999901</v>
      </c>
      <c r="Z5125">
        <v>4.2072690000000003E-2</v>
      </c>
      <c r="AA5125">
        <v>0.9651014</v>
      </c>
      <c r="AB5125">
        <v>20</v>
      </c>
      <c r="AC5125">
        <v>-0.87920000000002496</v>
      </c>
      <c r="AD5125">
        <v>-1.112234331554</v>
      </c>
      <c r="AE5125">
        <v>-18.368659999999899</v>
      </c>
      <c r="AF5125">
        <v>-4.7847551559874999</v>
      </c>
      <c r="AG5125">
        <v>-1.112234331554</v>
      </c>
      <c r="AH5125">
        <v>17.686892326311501</v>
      </c>
      <c r="AI5125">
        <v>93.473743227382201</v>
      </c>
      <c r="AJ5125">
        <v>105.137633832915</v>
      </c>
      <c r="AK5125">
        <v>18.356391455663999</v>
      </c>
      <c r="AL5125">
        <v>80.575907481648002</v>
      </c>
      <c r="AM5125">
        <v>99.553348450442499</v>
      </c>
      <c r="AN5125">
        <v>1.00000002908192</v>
      </c>
    </row>
    <row r="5126" spans="1:40" x14ac:dyDescent="0.25">
      <c r="A5126" t="str">
        <f>"20190304155205111"</f>
        <v>20190304155205111</v>
      </c>
      <c r="B5126" t="str">
        <f>"1551685925102433"</f>
        <v>1551685925102433</v>
      </c>
      <c r="C5126" t="s">
        <v>40</v>
      </c>
      <c r="D5126">
        <v>4.8134410000000001</v>
      </c>
      <c r="E5126">
        <v>0.4621422</v>
      </c>
      <c r="F5126" t="s">
        <v>41</v>
      </c>
      <c r="G5126">
        <v>-420.3186</v>
      </c>
      <c r="H5126" s="1">
        <v>-3.1308440000000001E-6</v>
      </c>
      <c r="I5126">
        <v>96.689549999999997</v>
      </c>
      <c r="J5126">
        <v>-419.4599</v>
      </c>
      <c r="K5126">
        <v>1.1121970000000001</v>
      </c>
      <c r="L5126">
        <v>115.35590000000001</v>
      </c>
      <c r="M5126">
        <v>-0.30385069999999997</v>
      </c>
      <c r="N5126">
        <v>-1.231962E-2</v>
      </c>
      <c r="O5126">
        <v>-0.95264020000000005</v>
      </c>
      <c r="P5126">
        <v>-0.14197100000000001</v>
      </c>
      <c r="Q5126">
        <v>0.15247049999999901</v>
      </c>
      <c r="R5126">
        <v>-0.97805790000000004</v>
      </c>
      <c r="S5126">
        <v>-0.14950559999999999</v>
      </c>
      <c r="T5126">
        <v>-0.18130760000000001</v>
      </c>
      <c r="U5126">
        <v>-3.074417</v>
      </c>
      <c r="V5126">
        <v>-0.1626572</v>
      </c>
      <c r="W5126">
        <v>0.16376949999999901</v>
      </c>
      <c r="X5126">
        <v>0.97299650000000004</v>
      </c>
      <c r="Y5126">
        <v>-0.2571601</v>
      </c>
      <c r="Z5126">
        <v>4.1476529999999998E-2</v>
      </c>
      <c r="AA5126">
        <v>0.96547830000000001</v>
      </c>
      <c r="AB5126">
        <v>20</v>
      </c>
      <c r="AC5126">
        <v>-0.85869999999999802</v>
      </c>
      <c r="AD5126">
        <v>-1.1122001308439999</v>
      </c>
      <c r="AE5126">
        <v>-18.666350000000001</v>
      </c>
      <c r="AF5126">
        <v>-4.8369830816078903</v>
      </c>
      <c r="AG5126">
        <v>-1.1122001308439999</v>
      </c>
      <c r="AH5126">
        <v>17.9808978995557</v>
      </c>
      <c r="AI5126">
        <v>93.418277071606198</v>
      </c>
      <c r="AJ5126">
        <v>105.056520144888</v>
      </c>
      <c r="AK5126">
        <v>18.653312942666702</v>
      </c>
      <c r="AL5126">
        <v>80.574240328454096</v>
      </c>
      <c r="AM5126">
        <v>99.490458134666198</v>
      </c>
      <c r="AN5126">
        <v>1.0000000014271699</v>
      </c>
    </row>
    <row r="5127" spans="1:40" x14ac:dyDescent="0.25">
      <c r="A5127" t="str">
        <f>"20190304155205134"</f>
        <v>20190304155205134</v>
      </c>
      <c r="B5127" t="str">
        <f>"1551685925131713"</f>
        <v>1551685925131713</v>
      </c>
      <c r="C5127" t="s">
        <v>40</v>
      </c>
      <c r="D5127">
        <v>4.8262600000000004</v>
      </c>
      <c r="E5127">
        <v>0.46313799999999999</v>
      </c>
      <c r="F5127" t="s">
        <v>41</v>
      </c>
      <c r="G5127">
        <v>-420.36919999999998</v>
      </c>
      <c r="H5127" s="1">
        <v>-3.0456079999999999E-6</v>
      </c>
      <c r="I5127">
        <v>96.459500000000006</v>
      </c>
      <c r="J5127">
        <v>-419.5188</v>
      </c>
      <c r="K5127">
        <v>1.1121700000000001</v>
      </c>
      <c r="L5127">
        <v>115.15860000000001</v>
      </c>
      <c r="M5127">
        <v>-0.30068119999999998</v>
      </c>
      <c r="N5127">
        <v>-1.214748E-2</v>
      </c>
      <c r="O5127">
        <v>-0.95364760000000004</v>
      </c>
      <c r="P5127">
        <v>-0.13995489999999999</v>
      </c>
      <c r="Q5127">
        <v>0.1523082</v>
      </c>
      <c r="R5127">
        <v>-0.97837399999999997</v>
      </c>
      <c r="S5127">
        <v>-0.14791869999999999</v>
      </c>
      <c r="T5127">
        <v>-0.18093110000000001</v>
      </c>
      <c r="U5127">
        <v>-3.074036</v>
      </c>
      <c r="V5127">
        <v>-0.16142879999999901</v>
      </c>
      <c r="W5127">
        <v>0.1634487</v>
      </c>
      <c r="X5127">
        <v>0.97325499999999998</v>
      </c>
      <c r="Y5127">
        <v>-0.25444029999999901</v>
      </c>
      <c r="Z5127">
        <v>4.1650560000000003E-2</v>
      </c>
      <c r="AA5127">
        <v>0.96619120000000003</v>
      </c>
      <c r="AB5127">
        <v>20</v>
      </c>
      <c r="AC5127">
        <v>-0.85039999999997895</v>
      </c>
      <c r="AD5127">
        <v>-1.1121730456079999</v>
      </c>
      <c r="AE5127">
        <v>-18.699100000000001</v>
      </c>
      <c r="AF5127">
        <v>-4.79491250041798</v>
      </c>
      <c r="AG5127">
        <v>-1.1121730456079999</v>
      </c>
      <c r="AH5127">
        <v>18.025745919294302</v>
      </c>
      <c r="AI5127">
        <v>93.412260906088505</v>
      </c>
      <c r="AJ5127">
        <v>104.89594022890201</v>
      </c>
      <c r="AK5127">
        <v>18.685706588646699</v>
      </c>
      <c r="AL5127">
        <v>80.592871998973607</v>
      </c>
      <c r="AM5127">
        <v>99.417617644415301</v>
      </c>
      <c r="AN5127">
        <v>1.0000000150130599</v>
      </c>
    </row>
    <row r="5128" spans="1:40" x14ac:dyDescent="0.25">
      <c r="A5128" t="str">
        <f>"20190304155205156"</f>
        <v>20190304155205156</v>
      </c>
      <c r="B5128" t="str">
        <f>"1551685925152210"</f>
        <v>1551685925152210</v>
      </c>
      <c r="C5128" t="s">
        <v>40</v>
      </c>
      <c r="D5128">
        <v>4.8469569999999997</v>
      </c>
      <c r="E5128">
        <v>0.4636884</v>
      </c>
      <c r="F5128" t="s">
        <v>41</v>
      </c>
      <c r="G5128">
        <v>-420.43619999999999</v>
      </c>
      <c r="H5128" s="1">
        <v>-2.9689289999999998E-6</v>
      </c>
      <c r="I5128">
        <v>96.239220000000003</v>
      </c>
      <c r="J5128">
        <v>-419.57549999999998</v>
      </c>
      <c r="K5128">
        <v>1.1121460000000001</v>
      </c>
      <c r="L5128">
        <v>114.9659</v>
      </c>
      <c r="M5128">
        <v>-0.29758499999999999</v>
      </c>
      <c r="N5128">
        <v>-1.198042E-2</v>
      </c>
      <c r="O5128">
        <v>-0.95462020000000003</v>
      </c>
      <c r="P5128">
        <v>-0.1376501</v>
      </c>
      <c r="Q5128">
        <v>0.15266389999999999</v>
      </c>
      <c r="R5128">
        <v>-0.97864519999999999</v>
      </c>
      <c r="S5128">
        <v>-0.14901729999999899</v>
      </c>
      <c r="T5128">
        <v>-0.18065300000000001</v>
      </c>
      <c r="U5128">
        <v>-3.0731199999999999</v>
      </c>
      <c r="V5128">
        <v>-0.16054489999999999</v>
      </c>
      <c r="W5128">
        <v>0.16364629999999999</v>
      </c>
      <c r="X5128">
        <v>0.97336800000000001</v>
      </c>
      <c r="Y5128">
        <v>-0.2509458</v>
      </c>
      <c r="Z5128">
        <v>4.1860960000000003E-2</v>
      </c>
      <c r="AA5128">
        <v>0.96709560000000006</v>
      </c>
      <c r="AB5128">
        <v>20</v>
      </c>
      <c r="AC5128">
        <v>-0.86070000000000801</v>
      </c>
      <c r="AD5128">
        <v>-1.1121489689289901</v>
      </c>
      <c r="AE5128">
        <v>-18.726680000000002</v>
      </c>
      <c r="AF5128">
        <v>-4.7348138103972301</v>
      </c>
      <c r="AG5128">
        <v>-1.1121489689289901</v>
      </c>
      <c r="AH5128">
        <v>18.0706982315041</v>
      </c>
      <c r="AI5128">
        <v>93.407062561289493</v>
      </c>
      <c r="AJ5128">
        <v>104.68236249882401</v>
      </c>
      <c r="AK5128">
        <v>18.713777590916902</v>
      </c>
      <c r="AL5128">
        <v>80.581395878446997</v>
      </c>
      <c r="AM5128">
        <v>99.365899871961005</v>
      </c>
      <c r="AN5128">
        <v>1.0000000199218499</v>
      </c>
    </row>
    <row r="5129" spans="1:40" x14ac:dyDescent="0.25">
      <c r="A5129" t="str">
        <f>"20190304155205178"</f>
        <v>20190304155205178</v>
      </c>
      <c r="B5129" t="str">
        <f>"1551685925171729"</f>
        <v>1551685925171729</v>
      </c>
      <c r="C5129" t="s">
        <v>40</v>
      </c>
      <c r="D5129">
        <v>4.8690230000000003</v>
      </c>
      <c r="E5129">
        <v>0.46409060000000002</v>
      </c>
      <c r="F5129" t="s">
        <v>41</v>
      </c>
      <c r="G5129">
        <v>-420.47699999999998</v>
      </c>
      <c r="H5129" s="1">
        <v>-2.897048E-6</v>
      </c>
      <c r="I5129">
        <v>96.046340000000001</v>
      </c>
      <c r="J5129">
        <v>-419.63119999999998</v>
      </c>
      <c r="K5129">
        <v>1.112128</v>
      </c>
      <c r="L5129">
        <v>114.77460000000001</v>
      </c>
      <c r="M5129">
        <v>-0.2945103</v>
      </c>
      <c r="N5129">
        <v>-1.1813850000000001E-2</v>
      </c>
      <c r="O5129">
        <v>-0.95557530000000002</v>
      </c>
      <c r="P5129">
        <v>-0.13469999999999999</v>
      </c>
      <c r="Q5129">
        <v>0.15243319999999999</v>
      </c>
      <c r="R5129">
        <v>-0.9790915</v>
      </c>
      <c r="S5129">
        <v>-0.14642330000000001</v>
      </c>
      <c r="T5129">
        <v>-0.1806432</v>
      </c>
      <c r="U5129">
        <v>-3.0730439999999999</v>
      </c>
      <c r="V5129">
        <v>-0.16035450000000001</v>
      </c>
      <c r="W5129">
        <v>0.16325390000000001</v>
      </c>
      <c r="X5129">
        <v>0.97346529999999998</v>
      </c>
      <c r="Y5129">
        <v>-0.24864510000000001</v>
      </c>
      <c r="Z5129">
        <v>4.2123969999999997E-2</v>
      </c>
      <c r="AA5129">
        <v>0.96767820000000004</v>
      </c>
      <c r="AB5129">
        <v>20</v>
      </c>
      <c r="AC5129">
        <v>-0.845799999999997</v>
      </c>
      <c r="AD5129">
        <v>-1.1121308970479999</v>
      </c>
      <c r="AE5129">
        <v>-18.728259999999999</v>
      </c>
      <c r="AF5129">
        <v>-4.6912593009868697</v>
      </c>
      <c r="AG5129">
        <v>-1.1121308970479999</v>
      </c>
      <c r="AH5129">
        <v>18.082989598732599</v>
      </c>
      <c r="AI5129">
        <v>93.406842585816804</v>
      </c>
      <c r="AJ5129">
        <v>104.54358955145899</v>
      </c>
      <c r="AK5129">
        <v>18.714680381698599</v>
      </c>
      <c r="AL5129">
        <v>80.604185468661697</v>
      </c>
      <c r="AM5129">
        <v>99.354070228922893</v>
      </c>
      <c r="AN5129">
        <v>1.00000004591977</v>
      </c>
    </row>
    <row r="5130" spans="1:40" x14ac:dyDescent="0.25">
      <c r="A5130" t="str">
        <f>"20190304155205200"</f>
        <v>20190304155205200</v>
      </c>
      <c r="B5130" t="str">
        <f>"1551685925192225"</f>
        <v>1551685925192225</v>
      </c>
      <c r="C5130" t="s">
        <v>40</v>
      </c>
      <c r="D5130">
        <v>4.8463529999999997</v>
      </c>
      <c r="E5130">
        <v>0.46446900000000002</v>
      </c>
      <c r="F5130" t="s">
        <v>41</v>
      </c>
      <c r="G5130">
        <v>-420.49290000000002</v>
      </c>
      <c r="H5130" s="1">
        <v>-2.8596670000000001E-6</v>
      </c>
      <c r="I5130">
        <v>95.949359999999999</v>
      </c>
      <c r="J5130">
        <v>-419.68759999999997</v>
      </c>
      <c r="K5130">
        <v>1.1121110000000001</v>
      </c>
      <c r="L5130">
        <v>114.57859999999999</v>
      </c>
      <c r="M5130">
        <v>-0.29135549999999999</v>
      </c>
      <c r="N5130">
        <v>-1.163814E-2</v>
      </c>
      <c r="O5130">
        <v>-0.95654399999999995</v>
      </c>
      <c r="P5130">
        <v>-0.13165360000000001</v>
      </c>
      <c r="Q5130">
        <v>0.15212410000000001</v>
      </c>
      <c r="R5130">
        <v>-0.97955409999999998</v>
      </c>
      <c r="S5130">
        <v>-0.14065549999999999</v>
      </c>
      <c r="T5130">
        <v>-0.18154110000000001</v>
      </c>
      <c r="U5130">
        <v>-3.0729829999999998</v>
      </c>
      <c r="V5130">
        <v>-0.16018309999999999</v>
      </c>
      <c r="W5130">
        <v>0.16277359999999999</v>
      </c>
      <c r="X5130">
        <v>0.97357389999999999</v>
      </c>
      <c r="Y5130">
        <v>-0.2472627</v>
      </c>
      <c r="Z5130">
        <v>4.2659610000000001E-2</v>
      </c>
      <c r="AA5130">
        <v>0.96800889999999995</v>
      </c>
      <c r="AB5130">
        <v>20</v>
      </c>
      <c r="AC5130">
        <v>-0.80530000000004498</v>
      </c>
      <c r="AD5130">
        <v>-1.1121138596669999</v>
      </c>
      <c r="AE5130">
        <v>-18.629239999999999</v>
      </c>
      <c r="AF5130">
        <v>-4.6412329557436696</v>
      </c>
      <c r="AG5130">
        <v>-1.1121138596669999</v>
      </c>
      <c r="AH5130">
        <v>17.9915421573772</v>
      </c>
      <c r="AI5130">
        <v>93.425276527328293</v>
      </c>
      <c r="AJ5130">
        <v>104.46508185303099</v>
      </c>
      <c r="AK5130">
        <v>18.6137967590447</v>
      </c>
      <c r="AL5130">
        <v>80.632077332174106</v>
      </c>
      <c r="AM5130">
        <v>99.3432243253623</v>
      </c>
      <c r="AN5130">
        <v>1.00000000457189</v>
      </c>
    </row>
    <row r="5131" spans="1:40" x14ac:dyDescent="0.25">
      <c r="A5131" t="str">
        <f>"20190304155205222"</f>
        <v>20190304155205222</v>
      </c>
      <c r="B5131" t="str">
        <f>"1551685925211745"</f>
        <v>1551685925211745</v>
      </c>
      <c r="C5131" t="s">
        <v>40</v>
      </c>
      <c r="D5131">
        <v>4.8578199999999896</v>
      </c>
      <c r="E5131">
        <v>0.46485900000000002</v>
      </c>
      <c r="F5131" t="s">
        <v>41</v>
      </c>
      <c r="G5131">
        <v>-420.50110000000001</v>
      </c>
      <c r="H5131" s="1">
        <v>-2.8194979999999998E-6</v>
      </c>
      <c r="I5131">
        <v>95.850639999999999</v>
      </c>
      <c r="J5131">
        <v>-419.74279999999999</v>
      </c>
      <c r="K5131">
        <v>1.1120920000000001</v>
      </c>
      <c r="L5131">
        <v>114.38460000000001</v>
      </c>
      <c r="M5131">
        <v>-0.28822759999999997</v>
      </c>
      <c r="N5131">
        <v>-1.145725E-2</v>
      </c>
      <c r="O5131">
        <v>-0.95749359999999994</v>
      </c>
      <c r="P5131">
        <v>-0.12843789999999999</v>
      </c>
      <c r="Q5131">
        <v>0.15235770000000001</v>
      </c>
      <c r="R5131">
        <v>-0.9799445</v>
      </c>
      <c r="S5131">
        <v>-0.13348389999999999</v>
      </c>
      <c r="T5131">
        <v>-0.1824838</v>
      </c>
      <c r="U5131">
        <v>-3.073029</v>
      </c>
      <c r="V5131">
        <v>-0.1601881</v>
      </c>
      <c r="W5131">
        <v>0.16282820000000001</v>
      </c>
      <c r="X5131">
        <v>0.97356399999999998</v>
      </c>
      <c r="Y5131">
        <v>-0.24635309999999999</v>
      </c>
      <c r="Z5131">
        <v>4.3207299999999997E-2</v>
      </c>
      <c r="AA5131">
        <v>0.96821650000000004</v>
      </c>
      <c r="AB5131">
        <v>20</v>
      </c>
      <c r="AC5131">
        <v>-0.75830000000001896</v>
      </c>
      <c r="AD5131">
        <v>-1.112094819498</v>
      </c>
      <c r="AE5131">
        <v>-18.53396</v>
      </c>
      <c r="AF5131">
        <v>-4.5997005041160204</v>
      </c>
      <c r="AG5131">
        <v>-1.112094819498</v>
      </c>
      <c r="AH5131">
        <v>17.901542113623599</v>
      </c>
      <c r="AI5131">
        <v>93.443245453008302</v>
      </c>
      <c r="AJ5131">
        <v>104.410105609875</v>
      </c>
      <c r="AK5131">
        <v>18.516457805448599</v>
      </c>
      <c r="AL5131">
        <v>80.628907170001696</v>
      </c>
      <c r="AM5131">
        <v>99.343604161314005</v>
      </c>
      <c r="AN5131">
        <v>1.00000005609642</v>
      </c>
    </row>
    <row r="5132" spans="1:40" x14ac:dyDescent="0.25">
      <c r="A5132" t="str">
        <f>"20190304155205243"</f>
        <v>20190304155205243</v>
      </c>
      <c r="B5132" t="str">
        <f>"1551685925242001"</f>
        <v>1551685925242001</v>
      </c>
      <c r="C5132" t="s">
        <v>40</v>
      </c>
      <c r="D5132">
        <v>4.8439999999999896</v>
      </c>
      <c r="E5132">
        <v>0.46552090000000002</v>
      </c>
      <c r="F5132" t="s">
        <v>41</v>
      </c>
      <c r="G5132">
        <v>-420.51429999999999</v>
      </c>
      <c r="H5132" s="1">
        <v>-2.7174859999999999E-6</v>
      </c>
      <c r="I5132">
        <v>95.604659999999996</v>
      </c>
      <c r="J5132">
        <v>-419.79590000000002</v>
      </c>
      <c r="K5132">
        <v>1.112074</v>
      </c>
      <c r="L5132">
        <v>114.1953</v>
      </c>
      <c r="M5132">
        <v>-0.28517199999999998</v>
      </c>
      <c r="N5132">
        <v>-1.1275E-2</v>
      </c>
      <c r="O5132">
        <v>-0.95840999999999998</v>
      </c>
      <c r="P5132">
        <v>-0.12533239999999901</v>
      </c>
      <c r="Q5132">
        <v>0.15259249999999999</v>
      </c>
      <c r="R5132">
        <v>-0.98031009999999996</v>
      </c>
      <c r="S5132">
        <v>-0.12625120000000001</v>
      </c>
      <c r="T5132">
        <v>-0.181982</v>
      </c>
      <c r="U5132">
        <v>-3.0731350000000002</v>
      </c>
      <c r="V5132">
        <v>-0.16015929999999901</v>
      </c>
      <c r="W5132">
        <v>0.16288279999999999</v>
      </c>
      <c r="X5132">
        <v>0.97355959999999997</v>
      </c>
      <c r="Y5132">
        <v>-0.24554000000000001</v>
      </c>
      <c r="Z5132">
        <v>4.3321159999999997E-2</v>
      </c>
      <c r="AA5132">
        <v>0.968418</v>
      </c>
      <c r="AB5132">
        <v>20</v>
      </c>
      <c r="AC5132">
        <v>-0.71839999999997395</v>
      </c>
      <c r="AD5132">
        <v>-1.112076717486</v>
      </c>
      <c r="AE5132">
        <v>-18.59064</v>
      </c>
      <c r="AF5132">
        <v>-4.5968770343603396</v>
      </c>
      <c r="AG5132">
        <v>-1.112076717486</v>
      </c>
      <c r="AH5132">
        <v>17.959300652133301</v>
      </c>
      <c r="AI5132">
        <v>93.4329529323347</v>
      </c>
      <c r="AJ5132">
        <v>104.357228885749</v>
      </c>
      <c r="AK5132">
        <v>18.5716039428026</v>
      </c>
      <c r="AL5132">
        <v>80.625736446784202</v>
      </c>
      <c r="AM5132">
        <v>99.341995381290502</v>
      </c>
      <c r="AN5132">
        <v>1.00000005133224</v>
      </c>
    </row>
    <row r="5133" spans="1:40" x14ac:dyDescent="0.25">
      <c r="A5133" t="str">
        <f>"20190304155205267"</f>
        <v>20190304155205267</v>
      </c>
      <c r="B5133" t="str">
        <f>"1551685925262497"</f>
        <v>1551685925262497</v>
      </c>
      <c r="C5133" t="s">
        <v>40</v>
      </c>
      <c r="D5133">
        <v>4.8491179999999998</v>
      </c>
      <c r="E5133">
        <v>0.4659375</v>
      </c>
      <c r="F5133" t="s">
        <v>41</v>
      </c>
      <c r="G5133">
        <v>-420.53899999999999</v>
      </c>
      <c r="H5133" s="1">
        <v>-2.6481999999999999E-6</v>
      </c>
      <c r="I5133">
        <v>95.427840000000003</v>
      </c>
      <c r="J5133">
        <v>-419.85160000000002</v>
      </c>
      <c r="K5133">
        <v>1.1120570000000001</v>
      </c>
      <c r="L5133">
        <v>113.99469999999999</v>
      </c>
      <c r="M5133">
        <v>-0.2819313</v>
      </c>
      <c r="N5133">
        <v>-1.1077E-2</v>
      </c>
      <c r="O5133">
        <v>-0.95937070000000002</v>
      </c>
      <c r="P5133">
        <v>-0.1218789</v>
      </c>
      <c r="Q5133">
        <v>0.15263360000000001</v>
      </c>
      <c r="R5133">
        <v>-0.98073889999999997</v>
      </c>
      <c r="S5133">
        <v>-0.12167360000000001</v>
      </c>
      <c r="T5133">
        <v>-0.18209610000000001</v>
      </c>
      <c r="U5133">
        <v>-3.0730590000000002</v>
      </c>
      <c r="V5133">
        <v>-0.1602981</v>
      </c>
      <c r="W5133">
        <v>0.1627275</v>
      </c>
      <c r="X5133">
        <v>0.9735627</v>
      </c>
      <c r="Y5133">
        <v>-0.24370549999999999</v>
      </c>
      <c r="Z5133">
        <v>4.3649830000000001E-2</v>
      </c>
      <c r="AA5133">
        <v>0.96886649999999996</v>
      </c>
      <c r="AB5133">
        <v>20</v>
      </c>
      <c r="AC5133">
        <v>-0.68739999999996804</v>
      </c>
      <c r="AD5133">
        <v>-1.1120596482</v>
      </c>
      <c r="AE5133">
        <v>-18.566859999999899</v>
      </c>
      <c r="AF5133">
        <v>-4.5590552957091699</v>
      </c>
      <c r="AG5133">
        <v>-1.1120596482</v>
      </c>
      <c r="AH5133">
        <v>17.943123987482199</v>
      </c>
      <c r="AI5133">
        <v>93.437528915771495</v>
      </c>
      <c r="AJ5133">
        <v>104.25624619909701</v>
      </c>
      <c r="AK5133">
        <v>18.546626655018599</v>
      </c>
      <c r="AL5133">
        <v>80.634754557272402</v>
      </c>
      <c r="AM5133">
        <v>99.349919345357506</v>
      </c>
      <c r="AN5133">
        <v>1.0000000254755701</v>
      </c>
    </row>
    <row r="5134" spans="1:40" x14ac:dyDescent="0.25">
      <c r="A5134" t="str">
        <f>"20190304155205289"</f>
        <v>20190304155205289</v>
      </c>
      <c r="B5134" t="str">
        <f>"1551685925282017"</f>
        <v>1551685925282017</v>
      </c>
      <c r="C5134" t="s">
        <v>40</v>
      </c>
      <c r="D5134">
        <v>4.8201269999999896</v>
      </c>
      <c r="E5134">
        <v>0.47091040000000001</v>
      </c>
      <c r="F5134" t="s">
        <v>41</v>
      </c>
      <c r="G5134">
        <v>-420.55090000000001</v>
      </c>
      <c r="H5134" s="1">
        <v>-2.5542640000000001E-6</v>
      </c>
      <c r="I5134">
        <v>95.201459999999997</v>
      </c>
      <c r="J5134">
        <v>-419.90570000000002</v>
      </c>
      <c r="K5134">
        <v>1.1120369999999999</v>
      </c>
      <c r="L5134">
        <v>113.7967</v>
      </c>
      <c r="M5134">
        <v>-0.27873199999999998</v>
      </c>
      <c r="N5134">
        <v>-1.087639E-2</v>
      </c>
      <c r="O5134">
        <v>-0.96030749999999998</v>
      </c>
      <c r="P5134">
        <v>-0.11896909999999999</v>
      </c>
      <c r="Q5134">
        <v>0.1528929</v>
      </c>
      <c r="R5134">
        <v>-0.98105589999999998</v>
      </c>
      <c r="S5134">
        <v>-0.1143494</v>
      </c>
      <c r="T5134">
        <v>-0.18183879999999999</v>
      </c>
      <c r="U5134">
        <v>-3.0729829999999998</v>
      </c>
      <c r="V5134">
        <v>-0.15993199999999999</v>
      </c>
      <c r="W5134">
        <v>0.16279009999999999</v>
      </c>
      <c r="X5134">
        <v>0.97361240000000004</v>
      </c>
      <c r="Y5134">
        <v>-0.24277989999999999</v>
      </c>
      <c r="Z5134">
        <v>4.3860459999999997E-2</v>
      </c>
      <c r="AA5134">
        <v>0.96908930000000004</v>
      </c>
      <c r="AB5134">
        <v>21</v>
      </c>
      <c r="AC5134">
        <v>-0.64519999999998801</v>
      </c>
      <c r="AD5134">
        <v>-1.112039554264</v>
      </c>
      <c r="AE5134">
        <v>-18.59524</v>
      </c>
      <c r="AF5134">
        <v>-4.5475233931359202</v>
      </c>
      <c r="AG5134">
        <v>-1.112039554264</v>
      </c>
      <c r="AH5134">
        <v>17.973847383053499</v>
      </c>
      <c r="AI5134">
        <v>93.432482789755795</v>
      </c>
      <c r="AJ5134">
        <v>104.198324692588</v>
      </c>
      <c r="AK5134">
        <v>18.573523917950101</v>
      </c>
      <c r="AL5134">
        <v>80.631118971414693</v>
      </c>
      <c r="AM5134">
        <v>99.328473329538198</v>
      </c>
      <c r="AN5134">
        <v>0.99999998335788398</v>
      </c>
    </row>
    <row r="5135" spans="1:40" x14ac:dyDescent="0.25">
      <c r="A5135" t="str">
        <f>"20190304155205312"</f>
        <v>20190304155205312</v>
      </c>
      <c r="B5135" t="str">
        <f>"1551685925301537"</f>
        <v>1551685925301537</v>
      </c>
      <c r="C5135" t="s">
        <v>40</v>
      </c>
      <c r="D5135">
        <v>4.8319390000000002</v>
      </c>
      <c r="E5135">
        <v>0.4713754</v>
      </c>
      <c r="F5135" t="s">
        <v>41</v>
      </c>
      <c r="G5135">
        <v>-420.74439999999998</v>
      </c>
      <c r="H5135" s="1">
        <v>-2.9331540000000001E-6</v>
      </c>
      <c r="I5135">
        <v>95.96463</v>
      </c>
      <c r="J5135">
        <v>-419.95960000000002</v>
      </c>
      <c r="K5135">
        <v>1.112025</v>
      </c>
      <c r="L5135">
        <v>113.5972</v>
      </c>
      <c r="M5135">
        <v>-0.27550540000000001</v>
      </c>
      <c r="N5135">
        <v>-1.067132E-2</v>
      </c>
      <c r="O5135">
        <v>-0.9612406</v>
      </c>
      <c r="P5135">
        <v>-0.1163124</v>
      </c>
      <c r="Q5135">
        <v>0.15307770000000001</v>
      </c>
      <c r="R5135">
        <v>-0.98134540000000003</v>
      </c>
      <c r="S5135">
        <v>-0.14440919999999999</v>
      </c>
      <c r="T5135">
        <v>-0.1914669</v>
      </c>
      <c r="U5135">
        <v>-3.0702669999999999</v>
      </c>
      <c r="V5135">
        <v>-0.15929260000000001</v>
      </c>
      <c r="W5135">
        <v>0.16277449999999999</v>
      </c>
      <c r="X5135">
        <v>0.97371980000000002</v>
      </c>
      <c r="Y5135">
        <v>-0.23000860000000001</v>
      </c>
      <c r="Z5135">
        <v>4.71875E-2</v>
      </c>
      <c r="AA5135">
        <v>0.97204389999999996</v>
      </c>
      <c r="AB5135">
        <v>21</v>
      </c>
      <c r="AC5135">
        <v>-0.78479999999996097</v>
      </c>
      <c r="AD5135">
        <v>-1.1120279331539999</v>
      </c>
      <c r="AE5135">
        <v>-17.632570000000001</v>
      </c>
      <c r="AF5135">
        <v>-4.0874935889073001</v>
      </c>
      <c r="AG5135">
        <v>-1.1120279331539999</v>
      </c>
      <c r="AH5135">
        <v>17.098458073432202</v>
      </c>
      <c r="AI5135">
        <v>93.619389195316998</v>
      </c>
      <c r="AJ5135">
        <v>103.444595436528</v>
      </c>
      <c r="AK5135">
        <v>17.615376193893599</v>
      </c>
      <c r="AL5135">
        <v>80.632024643758996</v>
      </c>
      <c r="AM5135">
        <v>99.290823305506095</v>
      </c>
      <c r="AN5135">
        <v>0.99999995958852395</v>
      </c>
    </row>
    <row r="5136" spans="1:40" x14ac:dyDescent="0.25">
      <c r="A5136" t="str">
        <f>"20190304155205333"</f>
        <v>20190304155205333</v>
      </c>
      <c r="B5136" t="str">
        <f>"1551685925322033"</f>
        <v>1551685925322033</v>
      </c>
      <c r="C5136" t="s">
        <v>40</v>
      </c>
      <c r="D5136">
        <v>4.8003</v>
      </c>
      <c r="E5136">
        <v>0.47202100000000002</v>
      </c>
      <c r="F5136" t="s">
        <v>41</v>
      </c>
      <c r="G5136">
        <v>-420.7876</v>
      </c>
      <c r="H5136" s="1">
        <v>-2.6925649999999999E-6</v>
      </c>
      <c r="I5136">
        <v>95.377049999999997</v>
      </c>
      <c r="J5136">
        <v>-420.0111</v>
      </c>
      <c r="K5136">
        <v>1.112012</v>
      </c>
      <c r="L5136">
        <v>113.404</v>
      </c>
      <c r="M5136">
        <v>-0.27238050000000003</v>
      </c>
      <c r="N5136">
        <v>-1.048046E-2</v>
      </c>
      <c r="O5136">
        <v>-0.96213249999999995</v>
      </c>
      <c r="P5136">
        <v>-0.11351509999999999</v>
      </c>
      <c r="Q5136">
        <v>0.15326579999999901</v>
      </c>
      <c r="R5136">
        <v>-0.98164370000000001</v>
      </c>
      <c r="S5136">
        <v>-0.139495799999999</v>
      </c>
      <c r="T5136">
        <v>-0.18735479999999999</v>
      </c>
      <c r="U5136">
        <v>-3.0697329999999998</v>
      </c>
      <c r="V5136">
        <v>-0.15889890000000001</v>
      </c>
      <c r="W5136">
        <v>0.16277449999999999</v>
      </c>
      <c r="X5136">
        <v>0.97378410000000004</v>
      </c>
      <c r="Y5136">
        <v>-0.2283925</v>
      </c>
      <c r="Z5136">
        <v>4.6240950000000003E-2</v>
      </c>
      <c r="AA5136">
        <v>0.97247030000000001</v>
      </c>
      <c r="AB5136">
        <v>21</v>
      </c>
      <c r="AC5136">
        <v>-0.77649999999999797</v>
      </c>
      <c r="AD5136">
        <v>-1.1120146925650001</v>
      </c>
      <c r="AE5136">
        <v>-18.026949999999999</v>
      </c>
      <c r="AF5136">
        <v>-4.1475695128475403</v>
      </c>
      <c r="AG5136">
        <v>-1.1120146925650001</v>
      </c>
      <c r="AH5136">
        <v>17.490351952122001</v>
      </c>
      <c r="AI5136">
        <v>93.539986974530805</v>
      </c>
      <c r="AJ5136">
        <v>103.34040468872099</v>
      </c>
      <c r="AK5136">
        <v>18.009756271240299</v>
      </c>
      <c r="AL5136">
        <v>80.632024419299597</v>
      </c>
      <c r="AM5136">
        <v>99.267658139330905</v>
      </c>
      <c r="AN5136">
        <v>0.99999993584213298</v>
      </c>
    </row>
    <row r="5137" spans="1:40" x14ac:dyDescent="0.25">
      <c r="A5137" t="str">
        <f>"20190304155205357"</f>
        <v>20190304155205357</v>
      </c>
      <c r="B5137" t="str">
        <f>"1551685925352290"</f>
        <v>1551685925352290</v>
      </c>
      <c r="C5137" t="s">
        <v>40</v>
      </c>
      <c r="D5137">
        <v>4.8116450000000004</v>
      </c>
      <c r="E5137">
        <v>0.47236840000000002</v>
      </c>
      <c r="F5137" t="s">
        <v>41</v>
      </c>
      <c r="G5137">
        <v>-420.81509999999997</v>
      </c>
      <c r="H5137" s="1">
        <v>-2.6162550000000001E-6</v>
      </c>
      <c r="I5137">
        <v>95.182109999999994</v>
      </c>
      <c r="J5137">
        <v>-420.06509999999997</v>
      </c>
      <c r="K5137">
        <v>1.112006</v>
      </c>
      <c r="L5137">
        <v>113.19840000000001</v>
      </c>
      <c r="M5137">
        <v>-0.26905109999999999</v>
      </c>
      <c r="N5137">
        <v>-1.0287330000000001E-2</v>
      </c>
      <c r="O5137">
        <v>-0.96307109999999996</v>
      </c>
      <c r="P5137">
        <v>-0.11085059999999999</v>
      </c>
      <c r="Q5137">
        <v>0.153335</v>
      </c>
      <c r="R5137">
        <v>-0.98193719999999995</v>
      </c>
      <c r="S5137">
        <v>-0.135437</v>
      </c>
      <c r="T5137">
        <v>-0.1873329</v>
      </c>
      <c r="U5137">
        <v>-3.0697019999999999</v>
      </c>
      <c r="V5137">
        <v>-0.15817339999999999</v>
      </c>
      <c r="W5137">
        <v>0.1626551</v>
      </c>
      <c r="X5137">
        <v>0.97392219999999996</v>
      </c>
      <c r="Y5137">
        <v>-0.22631029999999999</v>
      </c>
      <c r="Z5137">
        <v>4.6525400000000001E-2</v>
      </c>
      <c r="AA5137">
        <v>0.97294349999999996</v>
      </c>
      <c r="AB5137">
        <v>21</v>
      </c>
      <c r="AC5137">
        <v>-0.75</v>
      </c>
      <c r="AD5137">
        <v>-1.112008616255</v>
      </c>
      <c r="AE5137">
        <v>-18.016290000000001</v>
      </c>
      <c r="AF5137">
        <v>-4.1095880307621604</v>
      </c>
      <c r="AG5137">
        <v>-1.112008616255</v>
      </c>
      <c r="AH5137">
        <v>17.4871782240985</v>
      </c>
      <c r="AI5137">
        <v>93.542290111574403</v>
      </c>
      <c r="AJ5137">
        <v>103.224865253922</v>
      </c>
      <c r="AK5137">
        <v>17.997963195500599</v>
      </c>
      <c r="AL5137">
        <v>80.638958343937105</v>
      </c>
      <c r="AM5137">
        <v>99.224787444310095</v>
      </c>
      <c r="AN5137">
        <v>0.99999997883820402</v>
      </c>
    </row>
    <row r="5138" spans="1:40" x14ac:dyDescent="0.25">
      <c r="A5138" t="str">
        <f>"20190304155205380"</f>
        <v>20190304155205380</v>
      </c>
      <c r="B5138" t="str">
        <f>"1551685925371810"</f>
        <v>1551685925371810</v>
      </c>
      <c r="C5138" t="s">
        <v>40</v>
      </c>
      <c r="D5138">
        <v>4.8304600000000004</v>
      </c>
      <c r="E5138">
        <v>0.47271400000000002</v>
      </c>
      <c r="F5138" t="s">
        <v>41</v>
      </c>
      <c r="G5138">
        <v>-420.8313</v>
      </c>
      <c r="H5138" s="1">
        <v>-2.5535819999999999E-6</v>
      </c>
      <c r="I5138">
        <v>95.025999999999996</v>
      </c>
      <c r="J5138">
        <v>-420.11869999999999</v>
      </c>
      <c r="K5138">
        <v>1.1120019999999999</v>
      </c>
      <c r="L5138">
        <v>112.99169999999999</v>
      </c>
      <c r="M5138">
        <v>-0.26569290000000001</v>
      </c>
      <c r="N5138">
        <v>-1.009577E-2</v>
      </c>
      <c r="O5138">
        <v>-0.96400490000000005</v>
      </c>
      <c r="P5138">
        <v>-0.1083191</v>
      </c>
      <c r="Q5138">
        <v>0.1531101</v>
      </c>
      <c r="R5138">
        <v>-0.98225469999999904</v>
      </c>
      <c r="S5138">
        <v>-0.12942500000000001</v>
      </c>
      <c r="T5138">
        <v>-0.1878541</v>
      </c>
      <c r="U5138">
        <v>-3.0699010000000002</v>
      </c>
      <c r="V5138">
        <v>-0.15730229999999901</v>
      </c>
      <c r="W5138">
        <v>0.16224240000000001</v>
      </c>
      <c r="X5138">
        <v>0.97413209999999995</v>
      </c>
      <c r="Y5138">
        <v>-0.22482240000000001</v>
      </c>
      <c r="Z5138">
        <v>4.6963480000000002E-2</v>
      </c>
      <c r="AA5138">
        <v>0.97326729999999995</v>
      </c>
      <c r="AB5138">
        <v>21</v>
      </c>
      <c r="AC5138">
        <v>-0.712600000000009</v>
      </c>
      <c r="AD5138">
        <v>-1.112004553582</v>
      </c>
      <c r="AE5138">
        <v>-17.965699999999899</v>
      </c>
      <c r="AF5138">
        <v>-4.0710449987367099</v>
      </c>
      <c r="AG5138">
        <v>-1.112004553582</v>
      </c>
      <c r="AH5138">
        <v>17.442527838477702</v>
      </c>
      <c r="AI5138">
        <v>93.552586706854797</v>
      </c>
      <c r="AJ5138">
        <v>103.137517030217</v>
      </c>
      <c r="AK5138">
        <v>17.945800035244901</v>
      </c>
      <c r="AL5138">
        <v>80.662922633319994</v>
      </c>
      <c r="AM5138">
        <v>99.172907280943093</v>
      </c>
      <c r="AN5138">
        <v>0.999999979096729</v>
      </c>
    </row>
    <row r="5139" spans="1:40" x14ac:dyDescent="0.25">
      <c r="A5139" t="str">
        <f>"20190304155205413"</f>
        <v>20190304155205413</v>
      </c>
      <c r="B5139" t="str">
        <f>"1551685925402065"</f>
        <v>1551685925402065</v>
      </c>
      <c r="C5139" t="s">
        <v>40</v>
      </c>
      <c r="D5139">
        <v>4.7862369999999999</v>
      </c>
      <c r="E5139">
        <v>0.47335240000000001</v>
      </c>
      <c r="F5139" t="s">
        <v>41</v>
      </c>
      <c r="G5139">
        <v>-420.851</v>
      </c>
      <c r="H5139" s="1">
        <v>-2.446131E-6</v>
      </c>
      <c r="I5139">
        <v>94.763279999999995</v>
      </c>
      <c r="J5139">
        <v>-420.19450000000001</v>
      </c>
      <c r="K5139">
        <v>1.112012</v>
      </c>
      <c r="L5139">
        <v>112.6943</v>
      </c>
      <c r="M5139">
        <v>-0.26082889999999997</v>
      </c>
      <c r="N5139">
        <v>-9.8266450000000002E-3</v>
      </c>
      <c r="O5139">
        <v>-0.96533519999999995</v>
      </c>
      <c r="P5139">
        <v>-0.10389370000000001</v>
      </c>
      <c r="Q5139">
        <v>0.1538668</v>
      </c>
      <c r="R5139">
        <v>-0.9826146</v>
      </c>
      <c r="S5139">
        <v>-0.1233215</v>
      </c>
      <c r="T5139">
        <v>-0.18727079999999999</v>
      </c>
      <c r="U5139">
        <v>-3.0698089999999998</v>
      </c>
      <c r="V5139">
        <v>-0.1567625</v>
      </c>
      <c r="W5139">
        <v>0.16272519999999999</v>
      </c>
      <c r="X5139">
        <v>0.97413859999999997</v>
      </c>
      <c r="Y5139">
        <v>-0.22184280000000001</v>
      </c>
      <c r="Z5139">
        <v>4.7196000000000002E-2</v>
      </c>
      <c r="AA5139">
        <v>0.97393960000000002</v>
      </c>
      <c r="AB5139">
        <v>21</v>
      </c>
      <c r="AC5139">
        <v>-0.65649999999999398</v>
      </c>
      <c r="AD5139">
        <v>-1.112014446131</v>
      </c>
      <c r="AE5139">
        <v>-17.931019999999901</v>
      </c>
      <c r="AF5139">
        <v>-4.0279095700698697</v>
      </c>
      <c r="AG5139">
        <v>-1.112014446131</v>
      </c>
      <c r="AH5139">
        <v>17.414632889504698</v>
      </c>
      <c r="AI5139">
        <v>93.559940078472493</v>
      </c>
      <c r="AJ5139">
        <v>103.023189901769</v>
      </c>
      <c r="AK5139">
        <v>17.908938279788799</v>
      </c>
      <c r="AL5139">
        <v>80.6348878020531</v>
      </c>
      <c r="AM5139">
        <v>99.141901908772596</v>
      </c>
      <c r="AN5139">
        <v>0.99999999206562495</v>
      </c>
    </row>
    <row r="5140" spans="1:40" x14ac:dyDescent="0.25">
      <c r="A5140" t="str">
        <f>"20190304155205434"</f>
        <v>20190304155205434</v>
      </c>
      <c r="B5140" t="str">
        <f>"1551685925432321"</f>
        <v>1551685925432321</v>
      </c>
      <c r="C5140" t="s">
        <v>40</v>
      </c>
      <c r="D5140">
        <v>4.7801010000000002</v>
      </c>
      <c r="E5140">
        <v>0.47152840000000001</v>
      </c>
      <c r="F5140" t="s">
        <v>41</v>
      </c>
      <c r="G5140">
        <v>-420.88619999999997</v>
      </c>
      <c r="H5140" s="1">
        <v>-2.1606670000000001E-6</v>
      </c>
      <c r="I5140">
        <v>94.076030000000003</v>
      </c>
      <c r="J5140">
        <v>-420.24259999999998</v>
      </c>
      <c r="K5140">
        <v>1.112023</v>
      </c>
      <c r="L5140">
        <v>112.5022</v>
      </c>
      <c r="M5140">
        <v>-0.25765589999999999</v>
      </c>
      <c r="N5140">
        <v>-9.6633680000000003E-3</v>
      </c>
      <c r="O5140">
        <v>-0.96618870000000001</v>
      </c>
      <c r="P5140">
        <v>-0.1011493</v>
      </c>
      <c r="Q5140">
        <v>0.15420449999999999</v>
      </c>
      <c r="R5140">
        <v>-0.98284830000000001</v>
      </c>
      <c r="S5140">
        <v>-0.1140442</v>
      </c>
      <c r="T5140">
        <v>-0.18334700000000001</v>
      </c>
      <c r="U5140">
        <v>-3.0697480000000001</v>
      </c>
      <c r="V5140">
        <v>-0.15628049999999999</v>
      </c>
      <c r="W5140">
        <v>0.16289500000000001</v>
      </c>
      <c r="X5140">
        <v>0.97418769999999999</v>
      </c>
      <c r="Y5140">
        <v>-0.22157850000000001</v>
      </c>
      <c r="Z5140">
        <v>4.6245580000000001E-2</v>
      </c>
      <c r="AA5140">
        <v>0.9740453</v>
      </c>
      <c r="AB5140">
        <v>21</v>
      </c>
      <c r="AC5140">
        <v>-0.64359999999999196</v>
      </c>
      <c r="AD5140">
        <v>-1.112025160667</v>
      </c>
      <c r="AE5140">
        <v>-18.426169999999999</v>
      </c>
      <c r="AF5140">
        <v>-4.11100917481851</v>
      </c>
      <c r="AG5140">
        <v>-1.112025160667</v>
      </c>
      <c r="AH5140">
        <v>17.904686412790699</v>
      </c>
      <c r="AI5140">
        <v>93.464054985638398</v>
      </c>
      <c r="AJ5140">
        <v>102.931278997744</v>
      </c>
      <c r="AK5140">
        <v>18.404205821870399</v>
      </c>
      <c r="AL5140">
        <v>80.625027729721197</v>
      </c>
      <c r="AM5140">
        <v>99.113814007839295</v>
      </c>
      <c r="AN5140">
        <v>1.0000000252682599</v>
      </c>
    </row>
    <row r="5141" spans="1:40" x14ac:dyDescent="0.25">
      <c r="A5141" t="str">
        <f>"20190304155205456"</f>
        <v>20190304155205456</v>
      </c>
      <c r="B5141" t="str">
        <f>"1551685925451841"</f>
        <v>1551685925451841</v>
      </c>
      <c r="C5141" t="s">
        <v>40</v>
      </c>
      <c r="D5141">
        <v>4.7884529999999996</v>
      </c>
      <c r="E5141">
        <v>0.47268209999999999</v>
      </c>
      <c r="F5141" t="s">
        <v>41</v>
      </c>
      <c r="G5141">
        <v>-420.98169999999999</v>
      </c>
      <c r="H5141" s="1">
        <v>-3.5110209999999999E-6</v>
      </c>
      <c r="I5141">
        <v>87.164509999999893</v>
      </c>
      <c r="J5141">
        <v>-420.2937</v>
      </c>
      <c r="K5141">
        <v>1.1120429999999999</v>
      </c>
      <c r="L5141">
        <v>112.2946</v>
      </c>
      <c r="M5141">
        <v>-0.25419930000000002</v>
      </c>
      <c r="N5141">
        <v>-9.5003510000000006E-3</v>
      </c>
      <c r="O5141">
        <v>-0.96710510000000005</v>
      </c>
      <c r="P5141">
        <v>-9.7972340000000005E-2</v>
      </c>
      <c r="Q5141">
        <v>0.15354419999999999</v>
      </c>
      <c r="R5141">
        <v>-0.98327299999999995</v>
      </c>
      <c r="S5141">
        <v>-8.9385989999999999E-2</v>
      </c>
      <c r="T5141">
        <v>-0.13448499999999999</v>
      </c>
      <c r="U5141">
        <v>-3.0642550000000002</v>
      </c>
      <c r="V5141">
        <v>-0.15598010000000001</v>
      </c>
      <c r="W5141">
        <v>0.1620655</v>
      </c>
      <c r="X5141">
        <v>0.97437410000000002</v>
      </c>
      <c r="Y5141">
        <v>-0.22585630000000001</v>
      </c>
      <c r="Z5141">
        <v>3.1656330000000003E-2</v>
      </c>
      <c r="AA5141">
        <v>0.97364620000000002</v>
      </c>
      <c r="AB5141">
        <v>21</v>
      </c>
      <c r="AC5141">
        <v>-0.68799999999998795</v>
      </c>
      <c r="AD5141">
        <v>-1.1120465110210001</v>
      </c>
      <c r="AE5141">
        <v>-25.130089999999999</v>
      </c>
      <c r="AF5141">
        <v>-5.7117653578334702</v>
      </c>
      <c r="AG5141">
        <v>-1.1120465110210001</v>
      </c>
      <c r="AH5141">
        <v>24.431628056829201</v>
      </c>
      <c r="AI5141">
        <v>92.537778292038098</v>
      </c>
      <c r="AJ5141">
        <v>103.158600478441</v>
      </c>
      <c r="AK5141">
        <v>25.115042513459201</v>
      </c>
      <c r="AL5141">
        <v>80.673193944251693</v>
      </c>
      <c r="AM5141">
        <v>99.0948776416123</v>
      </c>
      <c r="AN5141">
        <v>0.999999952318533</v>
      </c>
    </row>
    <row r="5142" spans="1:40" x14ac:dyDescent="0.25">
      <c r="A5142" t="str">
        <f>"20190304155205479"</f>
        <v>20190304155205479</v>
      </c>
      <c r="B5142" t="str">
        <f>"1551685925472337"</f>
        <v>1551685925472337</v>
      </c>
      <c r="C5142" t="s">
        <v>40</v>
      </c>
      <c r="D5142">
        <v>4.7669230000000002</v>
      </c>
      <c r="E5142">
        <v>0.47283520000000001</v>
      </c>
      <c r="F5142" t="s">
        <v>41</v>
      </c>
      <c r="G5142">
        <v>-421.03030000000001</v>
      </c>
      <c r="H5142" s="1">
        <v>-3.3832500000000002E-6</v>
      </c>
      <c r="I5142">
        <v>86.836550000000003</v>
      </c>
      <c r="J5142">
        <v>-420.34309999999999</v>
      </c>
      <c r="K5142">
        <v>1.1120639999999999</v>
      </c>
      <c r="L5142">
        <v>112.0907</v>
      </c>
      <c r="M5142">
        <v>-0.25076209999999999</v>
      </c>
      <c r="N5142">
        <v>-9.3495990000000001E-3</v>
      </c>
      <c r="O5142">
        <v>-0.96800359999999996</v>
      </c>
      <c r="P5142">
        <v>-9.4434000000000004E-2</v>
      </c>
      <c r="Q5142">
        <v>0.1532241</v>
      </c>
      <c r="R5142">
        <v>-0.98366920000000002</v>
      </c>
      <c r="S5142">
        <v>-8.8623049999999995E-2</v>
      </c>
      <c r="T5142">
        <v>-0.13380129999999901</v>
      </c>
      <c r="U5142">
        <v>-3.06311</v>
      </c>
      <c r="V5142">
        <v>-0.1560502</v>
      </c>
      <c r="W5142">
        <v>0.1615837</v>
      </c>
      <c r="X5142">
        <v>0.97444299999999995</v>
      </c>
      <c r="Y5142">
        <v>-0.2226281</v>
      </c>
      <c r="Z5142">
        <v>3.1687130000000001E-2</v>
      </c>
      <c r="AA5142">
        <v>0.97438840000000004</v>
      </c>
      <c r="AB5142">
        <v>21</v>
      </c>
      <c r="AC5142">
        <v>-0.68720000000001802</v>
      </c>
      <c r="AD5142">
        <v>-1.1120673832500001</v>
      </c>
      <c r="AE5142">
        <v>-25.254149999999999</v>
      </c>
      <c r="AF5142">
        <v>-5.6568582926981801</v>
      </c>
      <c r="AG5142">
        <v>-1.1120673832500001</v>
      </c>
      <c r="AH5142">
        <v>24.571895997243502</v>
      </c>
      <c r="AI5142">
        <v>92.525338458078807</v>
      </c>
      <c r="AJ5142">
        <v>102.964550571071</v>
      </c>
      <c r="AK5142">
        <v>25.239152373007801</v>
      </c>
      <c r="AL5142">
        <v>80.701168757726805</v>
      </c>
      <c r="AM5142">
        <v>99.098264072949306</v>
      </c>
      <c r="AN5142">
        <v>1.0000000586373601</v>
      </c>
    </row>
    <row r="5143" spans="1:40" x14ac:dyDescent="0.25">
      <c r="A5143" t="str">
        <f>"20190304155205501"</f>
        <v>20190304155205501</v>
      </c>
      <c r="B5143" t="str">
        <f>"1551685925491857"</f>
        <v>1551685925491857</v>
      </c>
      <c r="C5143" t="s">
        <v>40</v>
      </c>
      <c r="D5143">
        <v>4.7765219999999999</v>
      </c>
      <c r="E5143">
        <v>0.4731013</v>
      </c>
      <c r="F5143" t="s">
        <v>41</v>
      </c>
      <c r="G5143">
        <v>-421.0043</v>
      </c>
      <c r="H5143" s="1">
        <v>-3.164403E-6</v>
      </c>
      <c r="I5143">
        <v>86.34254</v>
      </c>
      <c r="J5143">
        <v>-420.39260000000002</v>
      </c>
      <c r="K5143">
        <v>1.11208</v>
      </c>
      <c r="L5143">
        <v>111.88290000000001</v>
      </c>
      <c r="M5143">
        <v>-0.24721019999999999</v>
      </c>
      <c r="N5143">
        <v>-9.2041150000000006E-3</v>
      </c>
      <c r="O5143">
        <v>-0.96891830000000001</v>
      </c>
      <c r="P5143">
        <v>-9.0773690000000004E-2</v>
      </c>
      <c r="Q5143">
        <v>0.153117</v>
      </c>
      <c r="R5143">
        <v>-0.98403019999999997</v>
      </c>
      <c r="S5143">
        <v>-7.86438E-2</v>
      </c>
      <c r="T5143">
        <v>-0.1322856</v>
      </c>
      <c r="U5143">
        <v>-3.0628660000000001</v>
      </c>
      <c r="V5143">
        <v>-0.15612210000000001</v>
      </c>
      <c r="W5143">
        <v>0.16131770000000001</v>
      </c>
      <c r="X5143">
        <v>0.97447550000000005</v>
      </c>
      <c r="Y5143">
        <v>-0.2222237</v>
      </c>
      <c r="Z5143">
        <v>3.1429739999999998E-2</v>
      </c>
      <c r="AA5143">
        <v>0.97448900000000005</v>
      </c>
      <c r="AB5143">
        <v>21</v>
      </c>
      <c r="AC5143">
        <v>-0.61169999999998403</v>
      </c>
      <c r="AD5143">
        <v>-1.112083164403</v>
      </c>
      <c r="AE5143">
        <v>-25.54036</v>
      </c>
      <c r="AF5143">
        <v>-5.7105711644166401</v>
      </c>
      <c r="AG5143">
        <v>-1.112083164403</v>
      </c>
      <c r="AH5143">
        <v>24.851702101468</v>
      </c>
      <c r="AI5143">
        <v>92.497211801102594</v>
      </c>
      <c r="AJ5143">
        <v>102.94111420721499</v>
      </c>
      <c r="AK5143">
        <v>25.5236057274148</v>
      </c>
      <c r="AL5143">
        <v>80.716611538218302</v>
      </c>
      <c r="AM5143">
        <v>99.102087433454599</v>
      </c>
      <c r="AN5143">
        <v>1.0000000052709701</v>
      </c>
    </row>
    <row r="5144" spans="1:40" x14ac:dyDescent="0.25">
      <c r="A5144" t="str">
        <f>"20190304155205523"</f>
        <v>20190304155205523</v>
      </c>
      <c r="B5144" t="str">
        <f>"1551685925512354"</f>
        <v>1551685925512354</v>
      </c>
      <c r="C5144" t="s">
        <v>40</v>
      </c>
      <c r="D5144">
        <v>4.7574839999999998</v>
      </c>
      <c r="E5144">
        <v>0.47322999999999998</v>
      </c>
      <c r="F5144" t="s">
        <v>41</v>
      </c>
      <c r="G5144">
        <v>-420.98419999999999</v>
      </c>
      <c r="H5144" s="1">
        <v>-2.980043E-6</v>
      </c>
      <c r="I5144">
        <v>85.925250000000005</v>
      </c>
      <c r="J5144">
        <v>-420.43819999999999</v>
      </c>
      <c r="K5144">
        <v>1.112106</v>
      </c>
      <c r="L5144">
        <v>111.6888</v>
      </c>
      <c r="M5144">
        <v>-0.24384140000000001</v>
      </c>
      <c r="N5144">
        <v>-9.0769530000000005E-3</v>
      </c>
      <c r="O5144">
        <v>-0.96977259999999998</v>
      </c>
      <c r="P5144">
        <v>-8.6658020000000002E-2</v>
      </c>
      <c r="Q5144">
        <v>0.15265290000000001</v>
      </c>
      <c r="R5144">
        <v>-0.9844735</v>
      </c>
      <c r="S5144">
        <v>-6.97937E-2</v>
      </c>
      <c r="T5144">
        <v>-0.131211299999999</v>
      </c>
      <c r="U5144">
        <v>-3.0626679999999999</v>
      </c>
      <c r="V5144">
        <v>-0.15684379999999901</v>
      </c>
      <c r="W5144">
        <v>0.1607083</v>
      </c>
      <c r="X5144">
        <v>0.97446029999999995</v>
      </c>
      <c r="Y5144">
        <v>-0.22164909999999999</v>
      </c>
      <c r="Z5144">
        <v>3.1284819999999998E-2</v>
      </c>
      <c r="AA5144">
        <v>0.9746245</v>
      </c>
      <c r="AB5144">
        <v>21</v>
      </c>
      <c r="AC5144">
        <v>-0.54599999999999205</v>
      </c>
      <c r="AD5144">
        <v>-1.112108980043</v>
      </c>
      <c r="AE5144">
        <v>-25.763549999999899</v>
      </c>
      <c r="AF5144">
        <v>-5.7422667321123297</v>
      </c>
      <c r="AG5144">
        <v>-1.112108980043</v>
      </c>
      <c r="AH5144">
        <v>25.072261922463198</v>
      </c>
      <c r="AI5144">
        <v>92.475736785805296</v>
      </c>
      <c r="AJ5144">
        <v>102.899896183482</v>
      </c>
      <c r="AK5144">
        <v>25.7454604059592</v>
      </c>
      <c r="AL5144">
        <v>80.751989188851695</v>
      </c>
      <c r="AM5144">
        <v>99.143594399200694</v>
      </c>
      <c r="AN5144">
        <v>1.00000000578171</v>
      </c>
    </row>
    <row r="5145" spans="1:40" x14ac:dyDescent="0.25">
      <c r="A5145" t="str">
        <f>"20190304155205547"</f>
        <v>20190304155205547</v>
      </c>
      <c r="B5145" t="str">
        <f>"1551685925541634"</f>
        <v>1551685925541634</v>
      </c>
      <c r="C5145" t="s">
        <v>40</v>
      </c>
      <c r="D5145">
        <v>4.7295259999999999</v>
      </c>
      <c r="E5145">
        <v>0.47347479999999997</v>
      </c>
      <c r="F5145" t="s">
        <v>41</v>
      </c>
      <c r="G5145">
        <v>-420.93060000000003</v>
      </c>
      <c r="H5145" s="1">
        <v>-2.849433E-6</v>
      </c>
      <c r="I5145">
        <v>85.654039999999995</v>
      </c>
      <c r="J5145">
        <v>-420.48829999999998</v>
      </c>
      <c r="K5145">
        <v>1.112136</v>
      </c>
      <c r="L5145">
        <v>111.4716</v>
      </c>
      <c r="M5145">
        <v>-0.24001620000000001</v>
      </c>
      <c r="N5145">
        <v>-8.9416280000000001E-3</v>
      </c>
      <c r="O5145">
        <v>-0.97072769999999997</v>
      </c>
      <c r="P5145">
        <v>-8.1941979999999998E-2</v>
      </c>
      <c r="Q5145">
        <v>0.151951799999999</v>
      </c>
      <c r="R5145">
        <v>-0.98498549999999996</v>
      </c>
      <c r="S5145">
        <v>-5.7922359999999999E-2</v>
      </c>
      <c r="T5145">
        <v>-0.13081880000000001</v>
      </c>
      <c r="U5145">
        <v>-3.0625</v>
      </c>
      <c r="V5145">
        <v>-0.15771260000000001</v>
      </c>
      <c r="W5145">
        <v>0.15984979999999999</v>
      </c>
      <c r="X5145">
        <v>0.97446129999999997</v>
      </c>
      <c r="Y5145">
        <v>-0.22158059999999999</v>
      </c>
      <c r="Z5145">
        <v>3.1359430000000001E-2</v>
      </c>
      <c r="AA5145">
        <v>0.97463770000000005</v>
      </c>
      <c r="AB5145">
        <v>21</v>
      </c>
      <c r="AC5145">
        <v>-0.44230000000004499</v>
      </c>
      <c r="AD5145">
        <v>-1.112138849433</v>
      </c>
      <c r="AE5145">
        <v>-25.817559999999901</v>
      </c>
      <c r="AF5145">
        <v>-5.75683103968914</v>
      </c>
      <c r="AG5145">
        <v>-1.112138849433</v>
      </c>
      <c r="AH5145">
        <v>25.1223822664385</v>
      </c>
      <c r="AI5145">
        <v>92.470804011931193</v>
      </c>
      <c r="AJ5145">
        <v>102.906581871629</v>
      </c>
      <c r="AK5145">
        <v>25.797520175028701</v>
      </c>
      <c r="AL5145">
        <v>80.801822035430007</v>
      </c>
      <c r="AM5145">
        <v>99.193371410659296</v>
      </c>
      <c r="AN5145">
        <v>1.0000000239782401</v>
      </c>
    </row>
    <row r="5146" spans="1:40" x14ac:dyDescent="0.25">
      <c r="A5146" t="str">
        <f>"20190304155205569"</f>
        <v>20190304155205569</v>
      </c>
      <c r="B5146" t="str">
        <f>"1551685925562130"</f>
        <v>1551685925562130</v>
      </c>
      <c r="C5146" t="s">
        <v>40</v>
      </c>
      <c r="D5146">
        <v>4.7316219999999998</v>
      </c>
      <c r="E5146">
        <v>0.47395870000000001</v>
      </c>
      <c r="F5146" t="s">
        <v>41</v>
      </c>
      <c r="G5146">
        <v>-420.86180000000002</v>
      </c>
      <c r="H5146" s="1">
        <v>-2.9072139999999998E-6</v>
      </c>
      <c r="I5146">
        <v>85.831379999999996</v>
      </c>
      <c r="J5146">
        <v>-420.53559999999999</v>
      </c>
      <c r="K5146">
        <v>1.112171</v>
      </c>
      <c r="L5146">
        <v>111.262</v>
      </c>
      <c r="M5146">
        <v>-0.23625840000000001</v>
      </c>
      <c r="N5146">
        <v>-8.8096540000000001E-3</v>
      </c>
      <c r="O5146">
        <v>-0.97165040000000003</v>
      </c>
      <c r="P5146">
        <v>-7.7529520000000005E-2</v>
      </c>
      <c r="Q5146">
        <v>0.1511554</v>
      </c>
      <c r="R5146">
        <v>-0.98546500000000004</v>
      </c>
      <c r="S5146">
        <v>-4.4616700000000002E-2</v>
      </c>
      <c r="T5146">
        <v>-0.13283629999999999</v>
      </c>
      <c r="U5146">
        <v>-3.0625309999999999</v>
      </c>
      <c r="V5146">
        <v>-0.1583514</v>
      </c>
      <c r="W5146">
        <v>0.15890179999999901</v>
      </c>
      <c r="X5146">
        <v>0.97451279999999996</v>
      </c>
      <c r="Y5146">
        <v>-0.2220413</v>
      </c>
      <c r="Z5146">
        <v>3.2164619999999998E-2</v>
      </c>
      <c r="AA5146">
        <v>0.9745066</v>
      </c>
      <c r="AB5146">
        <v>21</v>
      </c>
      <c r="AC5146">
        <v>-0.32620000000002802</v>
      </c>
      <c r="AD5146">
        <v>-1.112173907214</v>
      </c>
      <c r="AE5146">
        <v>-25.430619999999902</v>
      </c>
      <c r="AF5146">
        <v>-5.6806025738151904</v>
      </c>
      <c r="AG5146">
        <v>-1.112173907214</v>
      </c>
      <c r="AH5146">
        <v>24.7403882545666</v>
      </c>
      <c r="AI5146">
        <v>92.508734553374595</v>
      </c>
      <c r="AJ5146">
        <v>102.93145649410999</v>
      </c>
      <c r="AK5146">
        <v>25.408521944186798</v>
      </c>
      <c r="AL5146">
        <v>80.856842146120798</v>
      </c>
      <c r="AM5146">
        <v>99.229489281192798</v>
      </c>
      <c r="AN5146">
        <v>1.00000007264451</v>
      </c>
    </row>
    <row r="5147" spans="1:40" x14ac:dyDescent="0.25">
      <c r="A5147" t="str">
        <f>"20190304155205591"</f>
        <v>20190304155205591</v>
      </c>
      <c r="B5147" t="str">
        <f>"1551685925581650"</f>
        <v>1551685925581650</v>
      </c>
      <c r="C5147" t="s">
        <v>40</v>
      </c>
      <c r="D5147">
        <v>4.7368569999999997</v>
      </c>
      <c r="E5147">
        <v>0.48072959999999898</v>
      </c>
      <c r="F5147" t="s">
        <v>41</v>
      </c>
      <c r="G5147">
        <v>-420.81720000000001</v>
      </c>
      <c r="H5147" s="1">
        <v>-2.9535269999999999E-6</v>
      </c>
      <c r="I5147">
        <v>85.967029999999994</v>
      </c>
      <c r="J5147">
        <v>-420.58089999999999</v>
      </c>
      <c r="K5147">
        <v>1.1122069999999999</v>
      </c>
      <c r="L5147">
        <v>111.05710000000001</v>
      </c>
      <c r="M5147">
        <v>-0.2325276</v>
      </c>
      <c r="N5147">
        <v>-8.6789720000000001E-3</v>
      </c>
      <c r="O5147">
        <v>-0.9725511</v>
      </c>
      <c r="P5147">
        <v>-7.2870069999999995E-2</v>
      </c>
      <c r="Q5147">
        <v>0.1513938</v>
      </c>
      <c r="R5147">
        <v>-0.98578390000000005</v>
      </c>
      <c r="S5147">
        <v>-3.4088130000000001E-2</v>
      </c>
      <c r="T5147">
        <v>-0.1346407</v>
      </c>
      <c r="U5147">
        <v>-3.0622250000000002</v>
      </c>
      <c r="V5147">
        <v>-0.15923109999999999</v>
      </c>
      <c r="W5147">
        <v>0.1589865</v>
      </c>
      <c r="X5147">
        <v>0.97435559999999999</v>
      </c>
      <c r="Y5147">
        <v>-0.22164809999999999</v>
      </c>
      <c r="Z5147">
        <v>3.291264E-2</v>
      </c>
      <c r="AA5147">
        <v>0.97457110000000002</v>
      </c>
      <c r="AB5147">
        <v>21</v>
      </c>
      <c r="AC5147">
        <v>-0.23630000000002799</v>
      </c>
      <c r="AD5147">
        <v>-1.112209953527</v>
      </c>
      <c r="AE5147">
        <v>-25.090070000000001</v>
      </c>
      <c r="AF5147">
        <v>-5.5935403597135798</v>
      </c>
      <c r="AG5147">
        <v>-1.112209953527</v>
      </c>
      <c r="AH5147">
        <v>24.409281168779199</v>
      </c>
      <c r="AI5147">
        <v>92.543053221246197</v>
      </c>
      <c r="AJ5147">
        <v>102.906843897945</v>
      </c>
      <c r="AK5147">
        <v>25.066665352874299</v>
      </c>
      <c r="AL5147">
        <v>80.851926431630602</v>
      </c>
      <c r="AM5147">
        <v>99.281344019133698</v>
      </c>
      <c r="AN5147">
        <v>1.0000000428203999</v>
      </c>
    </row>
    <row r="5148" spans="1:40" x14ac:dyDescent="0.25">
      <c r="A5148" t="str">
        <f>"20190304155205613"</f>
        <v>20190304155205613</v>
      </c>
      <c r="B5148" t="str">
        <f>"1551685925602146"</f>
        <v>1551685925602146</v>
      </c>
      <c r="C5148" t="s">
        <v>40</v>
      </c>
      <c r="D5148">
        <v>4.7122989999999998</v>
      </c>
      <c r="E5148">
        <v>0.48133229999999999</v>
      </c>
      <c r="F5148" t="s">
        <v>41</v>
      </c>
      <c r="G5148">
        <v>-421.25099999999998</v>
      </c>
      <c r="H5148" s="1">
        <v>-1.9450789999999999E-6</v>
      </c>
      <c r="I5148">
        <v>83.347229999999996</v>
      </c>
      <c r="J5148">
        <v>-420.62599999999998</v>
      </c>
      <c r="K5148">
        <v>1.112247</v>
      </c>
      <c r="L5148">
        <v>110.8494</v>
      </c>
      <c r="M5148">
        <v>-0.22869909999999999</v>
      </c>
      <c r="N5148">
        <v>-8.5529760000000003E-3</v>
      </c>
      <c r="O5148">
        <v>-0.97345979999999999</v>
      </c>
      <c r="P5148">
        <v>-6.8038329999999994E-2</v>
      </c>
      <c r="Q5148">
        <v>0.15244540000000001</v>
      </c>
      <c r="R5148">
        <v>-0.9859675</v>
      </c>
      <c r="S5148">
        <v>-7.3913569999999998E-2</v>
      </c>
      <c r="T5148">
        <v>-0.1226864</v>
      </c>
      <c r="U5148">
        <v>-3.0566409999999999</v>
      </c>
      <c r="V5148">
        <v>-0.16015979999999999</v>
      </c>
      <c r="W5148">
        <v>0.15988929999999901</v>
      </c>
      <c r="X5148">
        <v>0.97405560000000002</v>
      </c>
      <c r="Y5148">
        <v>-0.2050727</v>
      </c>
      <c r="Z5148">
        <v>2.9557480000000001E-2</v>
      </c>
      <c r="AA5148">
        <v>0.97830030000000001</v>
      </c>
      <c r="AB5148">
        <v>22</v>
      </c>
      <c r="AC5148">
        <v>-0.625</v>
      </c>
      <c r="AD5148">
        <v>-1.1122489450790001</v>
      </c>
      <c r="AE5148">
        <v>-27.5021699999999</v>
      </c>
      <c r="AF5148">
        <v>-5.6722432087526604</v>
      </c>
      <c r="AG5148">
        <v>-1.1122489450790001</v>
      </c>
      <c r="AH5148">
        <v>26.872243952093999</v>
      </c>
      <c r="AI5148">
        <v>92.319090376116606</v>
      </c>
      <c r="AJ5148">
        <v>101.919134017373</v>
      </c>
      <c r="AK5148">
        <v>27.486886614455301</v>
      </c>
      <c r="AL5148">
        <v>80.799529427889496</v>
      </c>
      <c r="AM5148">
        <v>99.3373507699459</v>
      </c>
      <c r="AN5148">
        <v>1.00000003084094</v>
      </c>
    </row>
    <row r="5149" spans="1:40" x14ac:dyDescent="0.25">
      <c r="A5149" t="str">
        <f>"20190304155205635"</f>
        <v>20190304155205635</v>
      </c>
      <c r="B5149" t="str">
        <f>"1551685925632402"</f>
        <v>1551685925632402</v>
      </c>
      <c r="C5149" t="s">
        <v>40</v>
      </c>
      <c r="D5149">
        <v>4.6864699999999999</v>
      </c>
      <c r="E5149">
        <v>0.48171310000000001</v>
      </c>
      <c r="F5149" t="s">
        <v>41</v>
      </c>
      <c r="G5149">
        <v>-421.21559999999999</v>
      </c>
      <c r="H5149" s="1">
        <v>-1.536929E-6</v>
      </c>
      <c r="I5149">
        <v>82.417789999999997</v>
      </c>
      <c r="J5149">
        <v>-420.67070000000001</v>
      </c>
      <c r="K5149">
        <v>1.112274</v>
      </c>
      <c r="L5149">
        <v>110.63930000000001</v>
      </c>
      <c r="M5149">
        <v>-0.22478229999999999</v>
      </c>
      <c r="N5149">
        <v>-8.4326419999999902E-3</v>
      </c>
      <c r="O5149">
        <v>-0.97437260000000003</v>
      </c>
      <c r="P5149">
        <v>-6.3497509999999993E-2</v>
      </c>
      <c r="Q5149">
        <v>0.15307999999999999</v>
      </c>
      <c r="R5149">
        <v>-0.98617200000000005</v>
      </c>
      <c r="S5149">
        <v>-6.3385010000000006E-2</v>
      </c>
      <c r="T5149">
        <v>-0.11958290000000001</v>
      </c>
      <c r="U5149">
        <v>-3.0568080000000002</v>
      </c>
      <c r="V5149">
        <v>-0.16072539999999999</v>
      </c>
      <c r="W5149">
        <v>0.160385</v>
      </c>
      <c r="X5149">
        <v>0.97388090000000005</v>
      </c>
      <c r="Y5149">
        <v>-0.20450679999999999</v>
      </c>
      <c r="Z5149">
        <v>2.8766460000000001E-2</v>
      </c>
      <c r="AA5149">
        <v>0.97844240000000005</v>
      </c>
      <c r="AB5149">
        <v>22</v>
      </c>
      <c r="AC5149">
        <v>-0.54489999999998395</v>
      </c>
      <c r="AD5149">
        <v>-1.1122755369290001</v>
      </c>
      <c r="AE5149">
        <v>-28.221509999999999</v>
      </c>
      <c r="AF5149">
        <v>-5.80395441955437</v>
      </c>
      <c r="AG5149">
        <v>-1.1122755369290001</v>
      </c>
      <c r="AH5149">
        <v>27.578906670406099</v>
      </c>
      <c r="AI5149">
        <v>92.260072299972705</v>
      </c>
      <c r="AJ5149">
        <v>101.884418277931</v>
      </c>
      <c r="AK5149">
        <v>28.204948801749001</v>
      </c>
      <c r="AL5149">
        <v>80.770756349160706</v>
      </c>
      <c r="AM5149">
        <v>99.371392595316294</v>
      </c>
      <c r="AN5149">
        <v>1.00000000490748</v>
      </c>
    </row>
    <row r="5150" spans="1:40" x14ac:dyDescent="0.25">
      <c r="A5150" t="str">
        <f>"20190304155205657"</f>
        <v>20190304155205657</v>
      </c>
      <c r="B5150" t="str">
        <f>"1551685925651925"</f>
        <v>1551685925651925</v>
      </c>
      <c r="C5150" t="s">
        <v>40</v>
      </c>
      <c r="D5150">
        <v>4.6681010000000001</v>
      </c>
      <c r="E5150">
        <v>0.48202390000000001</v>
      </c>
      <c r="F5150" t="s">
        <v>41</v>
      </c>
      <c r="G5150">
        <v>-421.18540000000002</v>
      </c>
      <c r="H5150" s="1">
        <v>-7.5679049999999995E-7</v>
      </c>
      <c r="I5150">
        <v>80.61797</v>
      </c>
      <c r="J5150">
        <v>-420.71539999999999</v>
      </c>
      <c r="K5150">
        <v>1.1122970000000001</v>
      </c>
      <c r="L5150">
        <v>110.4252</v>
      </c>
      <c r="M5150">
        <v>-0.22074669999999999</v>
      </c>
      <c r="N5150">
        <v>-8.3125230000000005E-3</v>
      </c>
      <c r="O5150">
        <v>-0.97529580000000005</v>
      </c>
      <c r="P5150">
        <v>-5.9004019999999997E-2</v>
      </c>
      <c r="Q5150">
        <v>0.15351719999999999</v>
      </c>
      <c r="R5150">
        <v>-0.9863828</v>
      </c>
      <c r="S5150">
        <v>-5.2398680000000003E-2</v>
      </c>
      <c r="T5150">
        <v>-0.113233</v>
      </c>
      <c r="U5150">
        <v>-3.0562589999999998</v>
      </c>
      <c r="V5150">
        <v>-0.161134</v>
      </c>
      <c r="W5150">
        <v>0.16068579999999999</v>
      </c>
      <c r="X5150">
        <v>0.97376379999999996</v>
      </c>
      <c r="Y5150">
        <v>-0.2039686</v>
      </c>
      <c r="Z5150">
        <v>2.69713E-2</v>
      </c>
      <c r="AA5150">
        <v>0.97860579999999997</v>
      </c>
      <c r="AB5150">
        <v>22</v>
      </c>
      <c r="AC5150">
        <v>-0.47000000000002701</v>
      </c>
      <c r="AD5150">
        <v>-1.1122977567904999</v>
      </c>
      <c r="AE5150">
        <v>-29.807230000000001</v>
      </c>
      <c r="AF5150">
        <v>-6.11315929402216</v>
      </c>
      <c r="AG5150">
        <v>-1.1122977567904999</v>
      </c>
      <c r="AH5150">
        <v>29.1350628750466</v>
      </c>
      <c r="AI5150">
        <v>92.139785823857196</v>
      </c>
      <c r="AJ5150">
        <v>101.849977228566</v>
      </c>
      <c r="AK5150">
        <v>29.790263704552402</v>
      </c>
      <c r="AL5150">
        <v>80.753295406805194</v>
      </c>
      <c r="AM5150">
        <v>99.395902188409295</v>
      </c>
      <c r="AN5150">
        <v>1.00000001523403</v>
      </c>
    </row>
    <row r="5151" spans="1:40" x14ac:dyDescent="0.25">
      <c r="A5151" t="str">
        <f>"20190304155205680"</f>
        <v>20190304155205680</v>
      </c>
      <c r="B5151" t="str">
        <f>"1551685925672417"</f>
        <v>1551685925672417</v>
      </c>
      <c r="C5151" t="s">
        <v>40</v>
      </c>
      <c r="D5151">
        <v>4.6544119999999998</v>
      </c>
      <c r="E5151">
        <v>0.48590610000000001</v>
      </c>
      <c r="F5151" t="s">
        <v>41</v>
      </c>
      <c r="G5151">
        <v>-421.12599999999998</v>
      </c>
      <c r="H5151" s="1">
        <v>-3.6351349999999999E-7</v>
      </c>
      <c r="I5151">
        <v>79.738109999999907</v>
      </c>
      <c r="J5151">
        <v>-420.75850000000003</v>
      </c>
      <c r="K5151">
        <v>1.1123240000000001</v>
      </c>
      <c r="L5151">
        <v>110.21339999999999</v>
      </c>
      <c r="M5151">
        <v>-0.2167144</v>
      </c>
      <c r="N5151">
        <v>-8.1937260000000001E-3</v>
      </c>
      <c r="O5151">
        <v>-0.97620090000000004</v>
      </c>
      <c r="P5151">
        <v>-5.5584330000000001E-2</v>
      </c>
      <c r="Q5151">
        <v>0.15420699999999901</v>
      </c>
      <c r="R5151">
        <v>-0.98647370000000001</v>
      </c>
      <c r="S5151">
        <v>-4.0893550000000001E-2</v>
      </c>
      <c r="T5151">
        <v>-0.1107769</v>
      </c>
      <c r="U5151">
        <v>-3.0562130000000001</v>
      </c>
      <c r="V5151">
        <v>-0.16048009999999999</v>
      </c>
      <c r="W5151">
        <v>0.16124810000000001</v>
      </c>
      <c r="X5151">
        <v>0.97377880000000006</v>
      </c>
      <c r="Y5151">
        <v>-0.2036067</v>
      </c>
      <c r="Z5151">
        <v>2.6373810000000001E-2</v>
      </c>
      <c r="AA5151">
        <v>0.9786975</v>
      </c>
      <c r="AB5151">
        <v>22</v>
      </c>
      <c r="AC5151">
        <v>-0.36749999999994998</v>
      </c>
      <c r="AD5151">
        <v>-1.1123243635134901</v>
      </c>
      <c r="AE5151">
        <v>-30.475290000000001</v>
      </c>
      <c r="AF5151">
        <v>-6.2375801183298503</v>
      </c>
      <c r="AG5151">
        <v>-1.1123243635134901</v>
      </c>
      <c r="AH5151">
        <v>29.790960969176801</v>
      </c>
      <c r="AI5151">
        <v>92.092953244301199</v>
      </c>
      <c r="AJ5151">
        <v>101.825657411397</v>
      </c>
      <c r="AK5151">
        <v>30.457281997730199</v>
      </c>
      <c r="AL5151">
        <v>80.720652004423897</v>
      </c>
      <c r="AM5151">
        <v>99.358306836650002</v>
      </c>
      <c r="AN5151">
        <v>0.99999998178952998</v>
      </c>
    </row>
    <row r="5152" spans="1:40" x14ac:dyDescent="0.25">
      <c r="A5152" t="str">
        <f>"20190304155205702"</f>
        <v>20190304155205702</v>
      </c>
      <c r="B5152" t="str">
        <f>"1551685925691818"</f>
        <v>1551685925691818</v>
      </c>
      <c r="C5152" t="s">
        <v>40</v>
      </c>
      <c r="D5152">
        <v>4.6911139999999998</v>
      </c>
      <c r="E5152">
        <v>0.48589789999999999</v>
      </c>
      <c r="F5152" t="s">
        <v>41</v>
      </c>
      <c r="G5152">
        <v>-421.43009999999998</v>
      </c>
      <c r="H5152" s="1">
        <v>-3.3306949999999998E-6</v>
      </c>
      <c r="I5152">
        <v>76.466059999999999</v>
      </c>
      <c r="J5152">
        <v>-420.80040000000002</v>
      </c>
      <c r="K5152">
        <v>1.1123540000000001</v>
      </c>
      <c r="L5152">
        <v>110.00369999999999</v>
      </c>
      <c r="M5152">
        <v>-0.21268580000000001</v>
      </c>
      <c r="N5152">
        <v>-8.0798829999999995E-3</v>
      </c>
      <c r="O5152">
        <v>-0.97708729999999999</v>
      </c>
      <c r="P5152">
        <v>-5.2248370000000002E-2</v>
      </c>
      <c r="Q5152">
        <v>0.15539910000000001</v>
      </c>
      <c r="R5152">
        <v>-0.98646929999999999</v>
      </c>
      <c r="S5152">
        <v>-6.0760500000000002E-2</v>
      </c>
      <c r="T5152">
        <v>-0.100643</v>
      </c>
      <c r="U5152">
        <v>-3.0534520000000001</v>
      </c>
      <c r="V5152">
        <v>-0.1597375</v>
      </c>
      <c r="W5152">
        <v>0.1623182</v>
      </c>
      <c r="X5152">
        <v>0.97372309999999995</v>
      </c>
      <c r="Y5152">
        <v>-0.19318299999999999</v>
      </c>
      <c r="Z5152">
        <v>2.3440249999999999E-2</v>
      </c>
      <c r="AA5152">
        <v>0.9808827</v>
      </c>
      <c r="AB5152">
        <v>22</v>
      </c>
      <c r="AC5152">
        <v>-0.62969999999995696</v>
      </c>
      <c r="AD5152">
        <v>-1.1123573306950001</v>
      </c>
      <c r="AE5152">
        <v>-33.537640000000003</v>
      </c>
      <c r="AF5152">
        <v>-6.5107604506468197</v>
      </c>
      <c r="AG5152">
        <v>-1.1123573306950001</v>
      </c>
      <c r="AH5152">
        <v>32.868057679829803</v>
      </c>
      <c r="AI5152">
        <v>91.901409997218906</v>
      </c>
      <c r="AJ5152">
        <v>101.204545416412</v>
      </c>
      <c r="AK5152">
        <v>33.525163029006698</v>
      </c>
      <c r="AL5152">
        <v>80.658521197492405</v>
      </c>
      <c r="AM5152">
        <v>99.3162869609029</v>
      </c>
      <c r="AN5152">
        <v>0.99999997121554896</v>
      </c>
    </row>
    <row r="5153" spans="1:40" x14ac:dyDescent="0.25">
      <c r="A5153" t="str">
        <f>"20190304155205725"</f>
        <v>20190304155205725</v>
      </c>
      <c r="B5153" t="str">
        <f>"1551685925722073"</f>
        <v>1551685925722073</v>
      </c>
      <c r="C5153" t="s">
        <v>40</v>
      </c>
      <c r="D5153">
        <v>4.6248250000000004</v>
      </c>
      <c r="E5153">
        <v>0.48714279999999999</v>
      </c>
      <c r="F5153" t="s">
        <v>41</v>
      </c>
      <c r="G5153">
        <v>-421.39550000000003</v>
      </c>
      <c r="H5153" s="1">
        <v>-2.2276999999999999E-6</v>
      </c>
      <c r="I5153">
        <v>73.916370000000001</v>
      </c>
      <c r="J5153">
        <v>-420.84390000000002</v>
      </c>
      <c r="K5153">
        <v>1.112382</v>
      </c>
      <c r="L5153">
        <v>109.7809</v>
      </c>
      <c r="M5153">
        <v>-0.208375</v>
      </c>
      <c r="N5153">
        <v>-7.9620919999999901E-3</v>
      </c>
      <c r="O5153">
        <v>-0.97801689999999997</v>
      </c>
      <c r="P5153">
        <v>-4.8937199999999903E-2</v>
      </c>
      <c r="Q5153">
        <v>0.15678719999999999</v>
      </c>
      <c r="R5153">
        <v>-0.98641959999999995</v>
      </c>
      <c r="S5153">
        <v>-5.0354000000000003E-2</v>
      </c>
      <c r="T5153">
        <v>-9.4115379999999998E-2</v>
      </c>
      <c r="U5153">
        <v>-3.0533139999999999</v>
      </c>
      <c r="V5153">
        <v>-0.15868840000000001</v>
      </c>
      <c r="W5153">
        <v>0.16358139999999999</v>
      </c>
      <c r="X5153">
        <v>0.97368330000000003</v>
      </c>
      <c r="Y5153">
        <v>-0.19219890000000001</v>
      </c>
      <c r="Z5153">
        <v>2.1560969999999999E-2</v>
      </c>
      <c r="AA5153">
        <v>0.98111910000000002</v>
      </c>
      <c r="AB5153">
        <v>22</v>
      </c>
      <c r="AC5153">
        <v>-0.55160000000000697</v>
      </c>
      <c r="AD5153">
        <v>-1.1123842277</v>
      </c>
      <c r="AE5153">
        <v>-35.864530000000002</v>
      </c>
      <c r="AF5153">
        <v>-6.9273524547305003</v>
      </c>
      <c r="AG5153">
        <v>-1.1123842277</v>
      </c>
      <c r="AH5153">
        <v>35.158346534770601</v>
      </c>
      <c r="AI5153">
        <v>91.778029676716002</v>
      </c>
      <c r="AJ5153">
        <v>101.146378154394</v>
      </c>
      <c r="AK5153">
        <v>35.851568191100199</v>
      </c>
      <c r="AL5153">
        <v>80.585165222661203</v>
      </c>
      <c r="AM5153">
        <v>99.256535092223302</v>
      </c>
      <c r="AN5153">
        <v>1.0000000257096999</v>
      </c>
    </row>
    <row r="5154" spans="1:40" x14ac:dyDescent="0.25">
      <c r="A5154" t="str">
        <f>"20190304155205748"</f>
        <v>20190304155205748</v>
      </c>
      <c r="B5154" t="str">
        <f>"1551685925741593"</f>
        <v>1551685925741593</v>
      </c>
      <c r="C5154" t="s">
        <v>40</v>
      </c>
      <c r="D5154">
        <v>4.5942889999999998</v>
      </c>
      <c r="E5154">
        <v>0.48834119999999998</v>
      </c>
      <c r="F5154" t="s">
        <v>41</v>
      </c>
      <c r="G5154">
        <v>-421.47</v>
      </c>
      <c r="H5154" s="1">
        <v>-1.2795199999999999E-6</v>
      </c>
      <c r="I5154">
        <v>71.659980000000004</v>
      </c>
      <c r="J5154">
        <v>-420.88490000000002</v>
      </c>
      <c r="K5154">
        <v>1.1124000000000001</v>
      </c>
      <c r="L5154">
        <v>109.56529999999999</v>
      </c>
      <c r="M5154">
        <v>-0.20417769999999999</v>
      </c>
      <c r="N5154">
        <v>-7.8460049999999996E-3</v>
      </c>
      <c r="O5154">
        <v>-0.97890270000000001</v>
      </c>
      <c r="P5154">
        <v>-4.5462410000000002E-2</v>
      </c>
      <c r="Q5154">
        <v>0.1578764</v>
      </c>
      <c r="R5154">
        <v>-0.98641210000000001</v>
      </c>
      <c r="S5154">
        <v>-5.0140379999999998E-2</v>
      </c>
      <c r="T5154">
        <v>-8.908713E-2</v>
      </c>
      <c r="U5154">
        <v>-3.0529790000000001</v>
      </c>
      <c r="V5154">
        <v>-0.15792539999999999</v>
      </c>
      <c r="W5154">
        <v>0.164548</v>
      </c>
      <c r="X5154">
        <v>0.97364450000000002</v>
      </c>
      <c r="Y5154">
        <v>-0.18805620000000001</v>
      </c>
      <c r="Z5154">
        <v>2.0154539999999999E-2</v>
      </c>
      <c r="AA5154">
        <v>0.98195149999999998</v>
      </c>
      <c r="AB5154">
        <v>22</v>
      </c>
      <c r="AC5154">
        <v>-0.58510000000001094</v>
      </c>
      <c r="AD5154">
        <v>-1.11240127952</v>
      </c>
      <c r="AE5154">
        <v>-37.905319999999897</v>
      </c>
      <c r="AF5154">
        <v>-7.16071796863939</v>
      </c>
      <c r="AG5154">
        <v>-1.11240127952</v>
      </c>
      <c r="AH5154">
        <v>37.194193955825199</v>
      </c>
      <c r="AI5154">
        <v>91.682213746813204</v>
      </c>
      <c r="AJ5154">
        <v>100.897393388946</v>
      </c>
      <c r="AK5154">
        <v>37.893553309984298</v>
      </c>
      <c r="AL5154">
        <v>80.529022539839701</v>
      </c>
      <c r="AM5154">
        <v>99.213153956089101</v>
      </c>
      <c r="AN5154">
        <v>1.0000000443246999</v>
      </c>
    </row>
    <row r="5155" spans="1:40" x14ac:dyDescent="0.25">
      <c r="A5155" t="str">
        <f>"20190304155205770"</f>
        <v>20190304155205770</v>
      </c>
      <c r="B5155" t="str">
        <f>"1551685925762090"</f>
        <v>1551685925762090</v>
      </c>
      <c r="C5155" t="s">
        <v>40</v>
      </c>
      <c r="D5155">
        <v>4.5892559999999998</v>
      </c>
      <c r="E5155">
        <v>0.48931049999999998</v>
      </c>
      <c r="F5155" t="s">
        <v>41</v>
      </c>
      <c r="G5155">
        <v>-421.5428</v>
      </c>
      <c r="H5155" s="1">
        <v>-4.2676560000000003E-6</v>
      </c>
      <c r="I5155">
        <v>68.723309999999998</v>
      </c>
      <c r="J5155">
        <v>-420.92500000000001</v>
      </c>
      <c r="K5155">
        <v>1.112414</v>
      </c>
      <c r="L5155">
        <v>109.3497</v>
      </c>
      <c r="M5155">
        <v>-0.199961</v>
      </c>
      <c r="N5155">
        <v>-7.7334150000000004E-3</v>
      </c>
      <c r="O5155">
        <v>-0.97977349999999996</v>
      </c>
      <c r="P5155">
        <v>-4.1936279999999999E-2</v>
      </c>
      <c r="Q5155">
        <v>0.15793560000000001</v>
      </c>
      <c r="R5155">
        <v>-0.9865585</v>
      </c>
      <c r="S5155">
        <v>-4.9163819999999997E-2</v>
      </c>
      <c r="T5155">
        <v>-8.3136680000000004E-2</v>
      </c>
      <c r="U5155">
        <v>-3.052368</v>
      </c>
      <c r="V5155">
        <v>-0.1572221</v>
      </c>
      <c r="W5155">
        <v>0.16449059999999999</v>
      </c>
      <c r="X5155">
        <v>0.97376799999999997</v>
      </c>
      <c r="Y5155">
        <v>-0.18413860000000001</v>
      </c>
      <c r="Z5155">
        <v>1.8449119999999999E-2</v>
      </c>
      <c r="AA5155">
        <v>0.98272709999999996</v>
      </c>
      <c r="AB5155">
        <v>22</v>
      </c>
      <c r="AC5155">
        <v>-0.61779999999998803</v>
      </c>
      <c r="AD5155">
        <v>-1.1124182676559999</v>
      </c>
      <c r="AE5155">
        <v>-40.626390000000001</v>
      </c>
      <c r="AF5155">
        <v>-7.5129815381594804</v>
      </c>
      <c r="AG5155">
        <v>-1.1124182676559999</v>
      </c>
      <c r="AH5155">
        <v>39.899475947224602</v>
      </c>
      <c r="AI5155">
        <v>91.569455762350898</v>
      </c>
      <c r="AJ5155">
        <v>100.66380424650301</v>
      </c>
      <c r="AK5155">
        <v>40.6158903245774</v>
      </c>
      <c r="AL5155">
        <v>80.532356632267707</v>
      </c>
      <c r="AM5155">
        <v>99.171679809589705</v>
      </c>
      <c r="AN5155">
        <v>1.0000000320203799</v>
      </c>
    </row>
    <row r="5156" spans="1:40" x14ac:dyDescent="0.25">
      <c r="A5156" t="str">
        <f>"20190304155205792"</f>
        <v>20190304155205792</v>
      </c>
      <c r="B5156" t="str">
        <f>"1551685925781610"</f>
        <v>1551685925781610</v>
      </c>
      <c r="C5156" t="s">
        <v>40</v>
      </c>
      <c r="D5156">
        <v>4.574274</v>
      </c>
      <c r="E5156">
        <v>0.48985269999999997</v>
      </c>
      <c r="F5156" t="s">
        <v>41</v>
      </c>
      <c r="G5156">
        <v>-421.55970000000002</v>
      </c>
      <c r="H5156" s="1">
        <v>-3.682718E-6</v>
      </c>
      <c r="I5156">
        <v>67.206249999999997</v>
      </c>
      <c r="J5156">
        <v>-420.96440000000001</v>
      </c>
      <c r="K5156">
        <v>1.112422</v>
      </c>
      <c r="L5156">
        <v>109.13249999999999</v>
      </c>
      <c r="M5156">
        <v>-0.1957054</v>
      </c>
      <c r="N5156">
        <v>-7.6296710000000002E-3</v>
      </c>
      <c r="O5156">
        <v>-0.98063319999999998</v>
      </c>
      <c r="P5156">
        <v>-3.8227520000000001E-2</v>
      </c>
      <c r="Q5156">
        <v>0.15802049999999901</v>
      </c>
      <c r="R5156">
        <v>-0.98669600000000002</v>
      </c>
      <c r="S5156">
        <v>-4.5959470000000002E-2</v>
      </c>
      <c r="T5156">
        <v>-8.0556269999999999E-2</v>
      </c>
      <c r="U5156">
        <v>-3.0518339999999999</v>
      </c>
      <c r="V5156">
        <v>-0.15666079999999999</v>
      </c>
      <c r="W5156">
        <v>0.164469899999999</v>
      </c>
      <c r="X5156">
        <v>0.97386189999999995</v>
      </c>
      <c r="Y5156">
        <v>-0.18090039999999999</v>
      </c>
      <c r="Z5156">
        <v>1.7786349999999999E-2</v>
      </c>
      <c r="AA5156">
        <v>0.98334060000000001</v>
      </c>
      <c r="AB5156">
        <v>22</v>
      </c>
      <c r="AC5156">
        <v>-0.59530000000000804</v>
      </c>
      <c r="AD5156">
        <v>-1.1124256827179999</v>
      </c>
      <c r="AE5156">
        <v>-41.926250000000003</v>
      </c>
      <c r="AF5156">
        <v>-7.6162825729579398</v>
      </c>
      <c r="AG5156">
        <v>-1.1124256827179999</v>
      </c>
      <c r="AH5156">
        <v>41.202969428306098</v>
      </c>
      <c r="AI5156">
        <v>91.520783573657098</v>
      </c>
      <c r="AJ5156">
        <v>100.472791886339</v>
      </c>
      <c r="AK5156">
        <v>41.915748124549097</v>
      </c>
      <c r="AL5156">
        <v>80.533558507996801</v>
      </c>
      <c r="AM5156">
        <v>99.138623137858303</v>
      </c>
      <c r="AN5156">
        <v>0.99999997726712897</v>
      </c>
    </row>
    <row r="5157" spans="1:40" x14ac:dyDescent="0.25">
      <c r="A5157" t="str">
        <f>"20190304155205814"</f>
        <v>20190304155205814</v>
      </c>
      <c r="B5157" t="str">
        <f>"1551685925811866"</f>
        <v>1551685925811866</v>
      </c>
      <c r="C5157" t="s">
        <v>40</v>
      </c>
      <c r="D5157">
        <v>4.5580540000000003</v>
      </c>
      <c r="E5157">
        <v>0.4907994</v>
      </c>
      <c r="F5157" t="s">
        <v>41</v>
      </c>
      <c r="G5157">
        <v>-421.5147</v>
      </c>
      <c r="H5157" s="1">
        <v>-3.1402710000000001E-6</v>
      </c>
      <c r="I5157">
        <v>65.96969</v>
      </c>
      <c r="J5157">
        <v>-421.00279999999998</v>
      </c>
      <c r="K5157">
        <v>1.1124289999999999</v>
      </c>
      <c r="L5157">
        <v>108.91500000000001</v>
      </c>
      <c r="M5157">
        <v>-0.19143950000000001</v>
      </c>
      <c r="N5157">
        <v>-7.5312469999999996E-3</v>
      </c>
      <c r="O5157">
        <v>-0.98147549999999995</v>
      </c>
      <c r="P5157">
        <v>-3.4349190000000002E-2</v>
      </c>
      <c r="Q5157">
        <v>0.1580297</v>
      </c>
      <c r="R5157">
        <v>-0.98683670000000001</v>
      </c>
      <c r="S5157">
        <v>-3.8909909999999999E-2</v>
      </c>
      <c r="T5157">
        <v>-7.8646779999999999E-2</v>
      </c>
      <c r="U5157">
        <v>-3.0515439999999998</v>
      </c>
      <c r="V5157">
        <v>-0.1562606</v>
      </c>
      <c r="W5157">
        <v>0.1643782</v>
      </c>
      <c r="X5157">
        <v>0.97394170000000002</v>
      </c>
      <c r="Y5157">
        <v>-0.1788942</v>
      </c>
      <c r="Z5157">
        <v>1.7320760000000001E-2</v>
      </c>
      <c r="AA5157">
        <v>0.98371580000000003</v>
      </c>
      <c r="AB5157">
        <v>22</v>
      </c>
      <c r="AC5157">
        <v>-0.511900000000025</v>
      </c>
      <c r="AD5157">
        <v>-1.112432140271</v>
      </c>
      <c r="AE5157">
        <v>-42.945309999999999</v>
      </c>
      <c r="AF5157">
        <v>-7.71405513015661</v>
      </c>
      <c r="AG5157">
        <v>-1.112432140271</v>
      </c>
      <c r="AH5157">
        <v>42.220640970973101</v>
      </c>
      <c r="AI5157">
        <v>91.484716762545901</v>
      </c>
      <c r="AJ5157">
        <v>100.354198325127</v>
      </c>
      <c r="AK5157">
        <v>42.933980432958002</v>
      </c>
      <c r="AL5157">
        <v>80.538885256535394</v>
      </c>
      <c r="AM5157">
        <v>99.114936034113597</v>
      </c>
      <c r="AN5157">
        <v>1.00000000137324</v>
      </c>
    </row>
    <row r="5158" spans="1:40" x14ac:dyDescent="0.25">
      <c r="A5158" t="str">
        <f>"20190304155205837"</f>
        <v>20190304155205837</v>
      </c>
      <c r="B5158" t="str">
        <f>"1551685925832362"</f>
        <v>1551685925832362</v>
      </c>
      <c r="C5158" t="s">
        <v>40</v>
      </c>
      <c r="D5158">
        <v>4.4973190000000001</v>
      </c>
      <c r="E5158">
        <v>0.49143189999999998</v>
      </c>
      <c r="F5158" t="s">
        <v>41</v>
      </c>
      <c r="G5158">
        <v>-421.49470000000002</v>
      </c>
      <c r="H5158" s="1">
        <v>-2.967357E-6</v>
      </c>
      <c r="I5158">
        <v>65.57902</v>
      </c>
      <c r="J5158">
        <v>-421.04070000000002</v>
      </c>
      <c r="K5158">
        <v>1.112428</v>
      </c>
      <c r="L5158">
        <v>108.6953</v>
      </c>
      <c r="M5158">
        <v>-0.1871312</v>
      </c>
      <c r="N5158">
        <v>-7.4334819999999999E-3</v>
      </c>
      <c r="O5158">
        <v>-0.98230680000000004</v>
      </c>
      <c r="P5158">
        <v>-2.979089E-2</v>
      </c>
      <c r="Q5158">
        <v>0.1582392</v>
      </c>
      <c r="R5158">
        <v>-0.98695140000000003</v>
      </c>
      <c r="S5158">
        <v>-3.463745E-2</v>
      </c>
      <c r="T5158">
        <v>-7.8328250000000002E-2</v>
      </c>
      <c r="U5158">
        <v>-3.051361</v>
      </c>
      <c r="V5158">
        <v>-0.15648719999999999</v>
      </c>
      <c r="W5158">
        <v>0.16448399999999999</v>
      </c>
      <c r="X5158">
        <v>0.97388739999999996</v>
      </c>
      <c r="Y5158">
        <v>-0.17595359999999999</v>
      </c>
      <c r="Z5158">
        <v>1.7357060000000001E-2</v>
      </c>
      <c r="AA5158">
        <v>0.98424540000000005</v>
      </c>
      <c r="AB5158">
        <v>22</v>
      </c>
      <c r="AC5158">
        <v>-0.45400000000000701</v>
      </c>
      <c r="AD5158">
        <v>-1.1124309673570001</v>
      </c>
      <c r="AE5158">
        <v>-43.116279999999897</v>
      </c>
      <c r="AF5158">
        <v>-7.6175742809976796</v>
      </c>
      <c r="AG5158">
        <v>-1.1124309673570001</v>
      </c>
      <c r="AH5158">
        <v>42.411316209989899</v>
      </c>
      <c r="AI5158">
        <v>91.478845688498197</v>
      </c>
      <c r="AJ5158">
        <v>100.182429954158</v>
      </c>
      <c r="AK5158">
        <v>43.104346454242901</v>
      </c>
      <c r="AL5158">
        <v>80.532739212568103</v>
      </c>
      <c r="AM5158">
        <v>99.128431987719097</v>
      </c>
      <c r="AN5158">
        <v>0.999999948949298</v>
      </c>
    </row>
    <row r="5159" spans="1:40" x14ac:dyDescent="0.25">
      <c r="A5159" t="str">
        <f>"20190304155205859"</f>
        <v>20190304155205859</v>
      </c>
      <c r="B5159" t="str">
        <f>"1551685925851881"</f>
        <v>1551685925851881</v>
      </c>
      <c r="C5159" t="s">
        <v>40</v>
      </c>
      <c r="D5159">
        <v>4.4925420000000003</v>
      </c>
      <c r="E5159">
        <v>0.49701780000000001</v>
      </c>
      <c r="F5159" t="s">
        <v>41</v>
      </c>
      <c r="G5159">
        <v>-421.4171</v>
      </c>
      <c r="H5159" s="1">
        <v>-2.6475079999999999E-6</v>
      </c>
      <c r="I5159">
        <v>64.881569999999996</v>
      </c>
      <c r="J5159">
        <v>-421.0779</v>
      </c>
      <c r="K5159">
        <v>1.112433</v>
      </c>
      <c r="L5159">
        <v>108.47369999999999</v>
      </c>
      <c r="M5159">
        <v>-0.1827889</v>
      </c>
      <c r="N5159">
        <v>-7.3405069999999996E-3</v>
      </c>
      <c r="O5159">
        <v>-0.98312500000000003</v>
      </c>
      <c r="P5159">
        <v>-2.467722E-2</v>
      </c>
      <c r="Q5159">
        <v>0.1586805</v>
      </c>
      <c r="R5159">
        <v>-0.9870217</v>
      </c>
      <c r="S5159">
        <v>-2.62145999999999E-2</v>
      </c>
      <c r="T5159">
        <v>-7.7472089999999993E-2</v>
      </c>
      <c r="U5159">
        <v>-3.051285</v>
      </c>
      <c r="V5159">
        <v>-0.157225799999999</v>
      </c>
      <c r="W5159">
        <v>0.1648222</v>
      </c>
      <c r="X5159">
        <v>0.97371129999999995</v>
      </c>
      <c r="Y5159">
        <v>-0.17432049999999999</v>
      </c>
      <c r="Z5159">
        <v>1.7212809999999999E-2</v>
      </c>
      <c r="AA5159">
        <v>0.98453849999999998</v>
      </c>
      <c r="AB5159">
        <v>23</v>
      </c>
      <c r="AC5159">
        <v>-0.339200000000005</v>
      </c>
      <c r="AD5159">
        <v>-1.1124356475079999</v>
      </c>
      <c r="AE5159">
        <v>-43.592129999999997</v>
      </c>
      <c r="AF5159">
        <v>-7.6299170245502799</v>
      </c>
      <c r="AG5159">
        <v>-1.1124356475079999</v>
      </c>
      <c r="AH5159">
        <v>42.891731255621899</v>
      </c>
      <c r="AI5159">
        <v>91.462731596485796</v>
      </c>
      <c r="AJ5159">
        <v>100.086710253463</v>
      </c>
      <c r="AK5159">
        <v>43.579281281084299</v>
      </c>
      <c r="AL5159">
        <v>80.513094162403704</v>
      </c>
      <c r="AM5159">
        <v>99.172416992054394</v>
      </c>
      <c r="AN5159">
        <v>1.00000000277308</v>
      </c>
    </row>
    <row r="5160" spans="1:40" x14ac:dyDescent="0.25">
      <c r="A5160" t="str">
        <f>"20190304155205882"</f>
        <v>20190304155205882</v>
      </c>
      <c r="B5160" t="str">
        <f>"1551685925872377"</f>
        <v>1551685925872377</v>
      </c>
      <c r="C5160" t="s">
        <v>40</v>
      </c>
      <c r="D5160">
        <v>4.4670909999999999</v>
      </c>
      <c r="E5160">
        <v>0.49773450000000002</v>
      </c>
      <c r="F5160" t="s">
        <v>41</v>
      </c>
      <c r="G5160">
        <v>-422.02510000000001</v>
      </c>
      <c r="H5160" s="1">
        <v>-3.4487090000000002E-6</v>
      </c>
      <c r="I5160">
        <v>56.372140000000002</v>
      </c>
      <c r="J5160">
        <v>-421.11450000000002</v>
      </c>
      <c r="K5160">
        <v>1.1124339999999999</v>
      </c>
      <c r="L5160">
        <v>108.2499</v>
      </c>
      <c r="M5160">
        <v>-0.17841789999999999</v>
      </c>
      <c r="N5160">
        <v>-7.2567589999999998E-3</v>
      </c>
      <c r="O5160">
        <v>-0.98392800000000002</v>
      </c>
      <c r="P5160">
        <v>-1.944854E-2</v>
      </c>
      <c r="Q5160">
        <v>0.159604</v>
      </c>
      <c r="R5160">
        <v>-0.98698969999999997</v>
      </c>
      <c r="S5160">
        <v>-5.5419919999999998E-2</v>
      </c>
      <c r="T5160">
        <v>-6.5090659999999995E-2</v>
      </c>
      <c r="U5160">
        <v>-3.0485530000000001</v>
      </c>
      <c r="V5160">
        <v>-0.15804199999999999</v>
      </c>
      <c r="W5160">
        <v>0.16565179999999999</v>
      </c>
      <c r="X5160">
        <v>0.97343829999999998</v>
      </c>
      <c r="Y5160">
        <v>-0.16049340000000001</v>
      </c>
      <c r="Z5160">
        <v>1.344912E-2</v>
      </c>
      <c r="AA5160">
        <v>0.98694530000000003</v>
      </c>
      <c r="AB5160">
        <v>23</v>
      </c>
      <c r="AC5160">
        <v>-0.91059999999998797</v>
      </c>
      <c r="AD5160">
        <v>-1.1124374487090001</v>
      </c>
      <c r="AE5160">
        <v>-51.877760000000002</v>
      </c>
      <c r="AF5160">
        <v>-8.3563354009232196</v>
      </c>
      <c r="AG5160">
        <v>-1.1124374487090001</v>
      </c>
      <c r="AH5160">
        <v>51.184270093731101</v>
      </c>
      <c r="AI5160">
        <v>91.228805428268004</v>
      </c>
      <c r="AJ5160">
        <v>99.272296346310895</v>
      </c>
      <c r="AK5160">
        <v>51.873840839463803</v>
      </c>
      <c r="AL5160">
        <v>80.464898659065696</v>
      </c>
      <c r="AM5160">
        <v>99.221758920021401</v>
      </c>
      <c r="AN5160">
        <v>0.999999958257064</v>
      </c>
    </row>
    <row r="5161" spans="1:40" x14ac:dyDescent="0.25">
      <c r="A5161" t="str">
        <f>"20190304155205904"</f>
        <v>20190304155205904</v>
      </c>
      <c r="B5161" t="str">
        <f>"1551685925892405"</f>
        <v>1551685925892405</v>
      </c>
      <c r="C5161" t="s">
        <v>40</v>
      </c>
      <c r="D5161">
        <v>4.4732710000000004</v>
      </c>
      <c r="E5161">
        <v>0.49799149999999998</v>
      </c>
      <c r="F5161" t="s">
        <v>41</v>
      </c>
      <c r="G5161">
        <v>-421.91500000000002</v>
      </c>
      <c r="H5161" s="1">
        <v>-2.2248619999999999E-6</v>
      </c>
      <c r="I5161">
        <v>53.587589999999999</v>
      </c>
      <c r="J5161">
        <v>-421.14920000000001</v>
      </c>
      <c r="K5161">
        <v>1.1124350000000001</v>
      </c>
      <c r="L5161">
        <v>108.0317</v>
      </c>
      <c r="M5161">
        <v>-0.1741704</v>
      </c>
      <c r="N5161">
        <v>-7.1817499999999998E-3</v>
      </c>
      <c r="O5161">
        <v>-0.9846895</v>
      </c>
      <c r="P5161">
        <v>-1.429602E-2</v>
      </c>
      <c r="Q5161">
        <v>0.16086059999999999</v>
      </c>
      <c r="R5161">
        <v>-0.98687360000000002</v>
      </c>
      <c r="S5161">
        <v>-4.4647220000000001E-2</v>
      </c>
      <c r="T5161">
        <v>-6.2044380000000003E-2</v>
      </c>
      <c r="U5161">
        <v>-3.0487060000000001</v>
      </c>
      <c r="V5161">
        <v>-0.15890079999999901</v>
      </c>
      <c r="W5161">
        <v>0.166823</v>
      </c>
      <c r="X5161">
        <v>0.97309849999999998</v>
      </c>
      <c r="Y5161">
        <v>-0.15972210000000001</v>
      </c>
      <c r="Z5161">
        <v>1.2577339999999999E-2</v>
      </c>
      <c r="AA5161">
        <v>0.98708189999999996</v>
      </c>
      <c r="AB5161">
        <v>23</v>
      </c>
      <c r="AC5161">
        <v>-0.76580000000001203</v>
      </c>
      <c r="AD5161">
        <v>-1.112437224862</v>
      </c>
      <c r="AE5161">
        <v>-54.444110000000002</v>
      </c>
      <c r="AF5161">
        <v>-8.7250589875643296</v>
      </c>
      <c r="AG5161">
        <v>-1.112437224862</v>
      </c>
      <c r="AH5161">
        <v>53.722876176095703</v>
      </c>
      <c r="AI5161">
        <v>91.170914166359097</v>
      </c>
      <c r="AJ5161">
        <v>99.224786016498797</v>
      </c>
      <c r="AK5161">
        <v>54.438144674004498</v>
      </c>
      <c r="AL5161">
        <v>80.396847682689796</v>
      </c>
      <c r="AM5161">
        <v>99.274183253416794</v>
      </c>
      <c r="AN5161">
        <v>1.0000000341359401</v>
      </c>
    </row>
    <row r="5162" spans="1:40" x14ac:dyDescent="0.25">
      <c r="A5162" t="str">
        <f>"20190304155205925"</f>
        <v>20190304155205925</v>
      </c>
      <c r="B5162" t="str">
        <f>"1551685925922661"</f>
        <v>1551685925922661</v>
      </c>
      <c r="C5162" t="s">
        <v>40</v>
      </c>
      <c r="D5162">
        <v>4.4469649999999996</v>
      </c>
      <c r="E5162">
        <v>0.50104179999999998</v>
      </c>
      <c r="F5162" t="s">
        <v>41</v>
      </c>
      <c r="G5162">
        <v>-421.75920000000002</v>
      </c>
      <c r="H5162" s="1">
        <v>-4.1573129999999997E-6</v>
      </c>
      <c r="I5162">
        <v>48.286259999999999</v>
      </c>
      <c r="J5162">
        <v>-421.18400000000003</v>
      </c>
      <c r="K5162">
        <v>1.1124289999999999</v>
      </c>
      <c r="L5162">
        <v>107.8073</v>
      </c>
      <c r="M5162">
        <v>-0.16982700000000001</v>
      </c>
      <c r="N5162">
        <v>-7.108138E-3</v>
      </c>
      <c r="O5162">
        <v>-0.9854484</v>
      </c>
      <c r="P5162">
        <v>-1.01303E-2</v>
      </c>
      <c r="Q5162">
        <v>0.16160559999999999</v>
      </c>
      <c r="R5162">
        <v>-0.98680369999999995</v>
      </c>
      <c r="S5162">
        <v>-3.1127930000000002E-2</v>
      </c>
      <c r="T5162">
        <v>-5.6766150000000001E-2</v>
      </c>
      <c r="U5162">
        <v>-3.048721</v>
      </c>
      <c r="V5162">
        <v>-0.15870339999999999</v>
      </c>
      <c r="W5162">
        <v>0.167493899999999</v>
      </c>
      <c r="X5162">
        <v>0.97301539999999997</v>
      </c>
      <c r="Y5162">
        <v>-0.1597469</v>
      </c>
      <c r="Z5162">
        <v>1.098975E-2</v>
      </c>
      <c r="AA5162">
        <v>0.9870968</v>
      </c>
      <c r="AB5162">
        <v>23</v>
      </c>
      <c r="AC5162">
        <v>-0.57519999999999505</v>
      </c>
      <c r="AD5162">
        <v>-1.112433157313</v>
      </c>
      <c r="AE5162">
        <v>-59.521039999999999</v>
      </c>
      <c r="AF5162">
        <v>-9.5383579349259406</v>
      </c>
      <c r="AG5162">
        <v>-1.112433157313</v>
      </c>
      <c r="AH5162">
        <v>58.733559969168397</v>
      </c>
      <c r="AI5162">
        <v>91.071042832560394</v>
      </c>
      <c r="AJ5162">
        <v>99.224330400423</v>
      </c>
      <c r="AK5162">
        <v>59.513434166380897</v>
      </c>
      <c r="AL5162">
        <v>80.357858777928698</v>
      </c>
      <c r="AM5162">
        <v>99.263639278171496</v>
      </c>
      <c r="AN5162">
        <v>0.99999997217296399</v>
      </c>
    </row>
    <row r="5163" spans="1:40" x14ac:dyDescent="0.25">
      <c r="A5163" t="str">
        <f>"20190304155205949"</f>
        <v>20190304155205949</v>
      </c>
      <c r="B5163" t="str">
        <f>"1551685925942181"</f>
        <v>1551685925942181</v>
      </c>
      <c r="C5163" t="s">
        <v>40</v>
      </c>
      <c r="D5163">
        <v>4.3990679999999998</v>
      </c>
      <c r="E5163">
        <v>0.50149449999999995</v>
      </c>
      <c r="F5163" t="s">
        <v>77</v>
      </c>
      <c r="G5163">
        <v>-422.20409999999998</v>
      </c>
      <c r="H5163" s="1">
        <v>-2.7589649999999999E-6</v>
      </c>
      <c r="I5163">
        <v>35.765369999999997</v>
      </c>
      <c r="J5163">
        <v>-421.21890000000002</v>
      </c>
      <c r="K5163">
        <v>1.1124259999999999</v>
      </c>
      <c r="L5163">
        <v>107.57510000000001</v>
      </c>
      <c r="M5163">
        <v>-0.16537360000000001</v>
      </c>
      <c r="N5163">
        <v>-7.0380199999999999E-3</v>
      </c>
      <c r="O5163">
        <v>-0.98620600000000003</v>
      </c>
      <c r="P5163">
        <v>-5.7181089999999999E-3</v>
      </c>
      <c r="Q5163">
        <v>0.16164919999999999</v>
      </c>
      <c r="R5163">
        <v>-0.98683200000000004</v>
      </c>
      <c r="S5163">
        <v>-4.315186E-2</v>
      </c>
      <c r="T5163">
        <v>-4.7056199999999902E-2</v>
      </c>
      <c r="U5163">
        <v>-3.0473940000000002</v>
      </c>
      <c r="V5163">
        <v>-0.1586563</v>
      </c>
      <c r="W5163">
        <v>0.16746989999999901</v>
      </c>
      <c r="X5163">
        <v>0.97302719999999998</v>
      </c>
      <c r="Y5163">
        <v>-0.15138550000000001</v>
      </c>
      <c r="Z5163">
        <v>8.0018669999999993E-3</v>
      </c>
      <c r="AA5163">
        <v>0.98844240000000005</v>
      </c>
      <c r="AB5163">
        <v>23</v>
      </c>
      <c r="AC5163">
        <v>-0.98519999999996299</v>
      </c>
      <c r="AD5163">
        <v>-1.1124287589649999</v>
      </c>
      <c r="AE5163">
        <v>-71.809730000000002</v>
      </c>
      <c r="AF5163">
        <v>-10.901476531397201</v>
      </c>
      <c r="AG5163">
        <v>-1.1124287589649999</v>
      </c>
      <c r="AH5163">
        <v>70.966834832462595</v>
      </c>
      <c r="AI5163">
        <v>90.887646654303495</v>
      </c>
      <c r="AJ5163">
        <v>98.733149910760403</v>
      </c>
      <c r="AK5163">
        <v>71.807877941395802</v>
      </c>
      <c r="AL5163">
        <v>80.359253463801195</v>
      </c>
      <c r="AM5163">
        <v>99.260827293747695</v>
      </c>
      <c r="AN5163">
        <v>0.99999996043776895</v>
      </c>
    </row>
    <row r="5164" spans="1:40" x14ac:dyDescent="0.25">
      <c r="A5164" t="str">
        <f>"20190304155205971"</f>
        <v>20190304155205971</v>
      </c>
      <c r="B5164" t="str">
        <f>"1551685925961701"</f>
        <v>1551685925961701</v>
      </c>
      <c r="C5164" t="s">
        <v>40</v>
      </c>
      <c r="D5164">
        <v>4.4090920000000002</v>
      </c>
      <c r="E5164">
        <v>0.50226720000000002</v>
      </c>
      <c r="F5164" t="s">
        <v>77</v>
      </c>
      <c r="G5164">
        <v>-421.99590000000001</v>
      </c>
      <c r="H5164" s="1">
        <v>-2.7965400000000001E-6</v>
      </c>
      <c r="I5164">
        <v>35.660640000000001</v>
      </c>
      <c r="J5164">
        <v>-421.25240000000002</v>
      </c>
      <c r="K5164">
        <v>1.1124080000000001</v>
      </c>
      <c r="L5164">
        <v>107.34480000000001</v>
      </c>
      <c r="M5164">
        <v>-0.16100900000000001</v>
      </c>
      <c r="N5164">
        <v>-6.9772030000000004E-3</v>
      </c>
      <c r="O5164">
        <v>-0.98692849999999999</v>
      </c>
      <c r="P5164">
        <v>-1.8826979999999999E-3</v>
      </c>
      <c r="Q5164">
        <v>0.1613974</v>
      </c>
      <c r="R5164">
        <v>-0.98688810000000005</v>
      </c>
      <c r="S5164">
        <v>-3.2928470000000001E-2</v>
      </c>
      <c r="T5164">
        <v>-4.714227E-2</v>
      </c>
      <c r="U5164">
        <v>-3.047577</v>
      </c>
      <c r="V5164">
        <v>-0.15813279999999999</v>
      </c>
      <c r="W5164">
        <v>0.1671677</v>
      </c>
      <c r="X5164">
        <v>0.97316440000000004</v>
      </c>
      <c r="Y5164">
        <v>-0.15032870000000001</v>
      </c>
      <c r="Z5164">
        <v>8.1053549999999999E-3</v>
      </c>
      <c r="AA5164">
        <v>0.9886028</v>
      </c>
      <c r="AB5164">
        <v>23</v>
      </c>
      <c r="AC5164">
        <v>-0.74349999999998295</v>
      </c>
      <c r="AD5164">
        <v>-1.1124107965400001</v>
      </c>
      <c r="AE5164">
        <v>-71.684159999999906</v>
      </c>
      <c r="AF5164">
        <v>-10.805672373741301</v>
      </c>
      <c r="AG5164">
        <v>-1.1124107965400001</v>
      </c>
      <c r="AH5164">
        <v>70.851499700143904</v>
      </c>
      <c r="AI5164">
        <v>90.889223555255001</v>
      </c>
      <c r="AJ5164">
        <v>98.671448442782903</v>
      </c>
      <c r="AK5164">
        <v>71.679390503745097</v>
      </c>
      <c r="AL5164">
        <v>80.376816075823996</v>
      </c>
      <c r="AM5164">
        <v>99.229518272175099</v>
      </c>
      <c r="AN5164">
        <v>0.99999998589324401</v>
      </c>
    </row>
    <row r="5165" spans="1:40" x14ac:dyDescent="0.25">
      <c r="A5165" t="str">
        <f>"20190304155205992"</f>
        <v>20190304155205992</v>
      </c>
      <c r="B5165" t="str">
        <f>"1551685925982196"</f>
        <v>1551685925982196</v>
      </c>
      <c r="C5165" t="s">
        <v>40</v>
      </c>
      <c r="D5165">
        <v>4.5765320000000003</v>
      </c>
      <c r="E5165">
        <v>0.50261469999999997</v>
      </c>
      <c r="F5165" t="s">
        <v>77</v>
      </c>
      <c r="G5165">
        <v>-421.8963</v>
      </c>
      <c r="H5165" s="1">
        <v>-1.9337330000000001E-6</v>
      </c>
      <c r="I5165">
        <v>36.99624</v>
      </c>
      <c r="J5165">
        <v>-421.28410000000002</v>
      </c>
      <c r="K5165">
        <v>1.112385</v>
      </c>
      <c r="L5165">
        <v>107.12139999999999</v>
      </c>
      <c r="M5165">
        <v>-0.15682009999999999</v>
      </c>
      <c r="N5165">
        <v>-6.9256489999999999E-3</v>
      </c>
      <c r="O5165">
        <v>-0.9876028</v>
      </c>
      <c r="P5165">
        <v>1.4956329999999999E-3</v>
      </c>
      <c r="Q5165">
        <v>0.16109389999999901</v>
      </c>
      <c r="R5165">
        <v>-0.98693799999999998</v>
      </c>
      <c r="S5165">
        <v>-2.7893069999999999E-2</v>
      </c>
      <c r="T5165">
        <v>-4.8192739999999998E-2</v>
      </c>
      <c r="U5165">
        <v>-3.0476990000000002</v>
      </c>
      <c r="V5165">
        <v>-0.15733449999999999</v>
      </c>
      <c r="W5165">
        <v>0.1668259</v>
      </c>
      <c r="X5165">
        <v>0.97335240000000001</v>
      </c>
      <c r="Y5165">
        <v>-0.14776729999999999</v>
      </c>
      <c r="Z5165">
        <v>8.5102169999999901E-3</v>
      </c>
      <c r="AA5165">
        <v>0.98898549999999996</v>
      </c>
      <c r="AB5165">
        <v>23</v>
      </c>
      <c r="AC5165">
        <v>-0.61219999999997299</v>
      </c>
      <c r="AD5165">
        <v>-1.1123869337329999</v>
      </c>
      <c r="AE5165">
        <v>-70.125159999999994</v>
      </c>
      <c r="AF5165">
        <v>-10.390060196330699</v>
      </c>
      <c r="AG5165">
        <v>-1.1123869337329999</v>
      </c>
      <c r="AH5165">
        <v>69.336034118811398</v>
      </c>
      <c r="AI5165">
        <v>90.908993793559205</v>
      </c>
      <c r="AJ5165">
        <v>98.522405018140901</v>
      </c>
      <c r="AK5165">
        <v>70.119015843768807</v>
      </c>
      <c r="AL5165">
        <v>80.3966784465903</v>
      </c>
      <c r="AM5165">
        <v>99.181977318334503</v>
      </c>
      <c r="AN5165">
        <v>0.99999996019340898</v>
      </c>
    </row>
    <row r="5166" spans="1:40" x14ac:dyDescent="0.25">
      <c r="A5166" t="str">
        <f>"20190304155206015"</f>
        <v>20190304155206015</v>
      </c>
      <c r="B5166" t="str">
        <f>"1551685926012453"</f>
        <v>1551685926012453</v>
      </c>
      <c r="C5166" t="s">
        <v>40</v>
      </c>
      <c r="D5166">
        <v>4.3981500000000002</v>
      </c>
      <c r="E5166">
        <v>0.50581160000000003</v>
      </c>
      <c r="F5166" t="s">
        <v>77</v>
      </c>
      <c r="G5166">
        <v>-421.767</v>
      </c>
      <c r="H5166" s="1">
        <v>-3.4322660000000001E-6</v>
      </c>
      <c r="I5166">
        <v>34.605409999999999</v>
      </c>
      <c r="J5166">
        <v>-421.3152</v>
      </c>
      <c r="K5166">
        <v>1.112355</v>
      </c>
      <c r="L5166">
        <v>106.89530000000001</v>
      </c>
      <c r="M5166">
        <v>-0.1526381</v>
      </c>
      <c r="N5166">
        <v>-6.8798409999999898E-3</v>
      </c>
      <c r="O5166">
        <v>-0.98825830000000003</v>
      </c>
      <c r="P5166">
        <v>4.6850040000000004E-3</v>
      </c>
      <c r="Q5166">
        <v>0.16127320000000001</v>
      </c>
      <c r="R5166">
        <v>-0.98689899999999997</v>
      </c>
      <c r="S5166">
        <v>-2.029419E-2</v>
      </c>
      <c r="T5166">
        <v>-4.6746250000000003E-2</v>
      </c>
      <c r="U5166">
        <v>-3.0473629999999998</v>
      </c>
      <c r="V5166">
        <v>-0.1563474</v>
      </c>
      <c r="W5166">
        <v>0.16697390000000001</v>
      </c>
      <c r="X5166">
        <v>0.97348610000000002</v>
      </c>
      <c r="Y5166">
        <v>-0.146045799999999</v>
      </c>
      <c r="Z5166">
        <v>8.1102799999999992E-3</v>
      </c>
      <c r="AA5166">
        <v>0.98924460000000003</v>
      </c>
      <c r="AB5166">
        <v>23</v>
      </c>
      <c r="AC5166">
        <v>-0.45179999999999099</v>
      </c>
      <c r="AD5166">
        <v>-1.1123584322660001</v>
      </c>
      <c r="AE5166">
        <v>-72.28989</v>
      </c>
      <c r="AF5166">
        <v>-10.5854396740017</v>
      </c>
      <c r="AG5166">
        <v>-1.1123584322660001</v>
      </c>
      <c r="AH5166">
        <v>71.4948038838927</v>
      </c>
      <c r="AI5166">
        <v>90.881758924030393</v>
      </c>
      <c r="AJ5166">
        <v>98.421963396797807</v>
      </c>
      <c r="AK5166">
        <v>72.282749371963106</v>
      </c>
      <c r="AL5166">
        <v>80.3880783278085</v>
      </c>
      <c r="AM5166">
        <v>99.124110577103707</v>
      </c>
      <c r="AN5166">
        <v>0.99999998983059002</v>
      </c>
    </row>
    <row r="5167" spans="1:40" x14ac:dyDescent="0.25">
      <c r="A5167" t="str">
        <f>"20190304155206037"</f>
        <v>20190304155206037</v>
      </c>
      <c r="B5167" t="str">
        <f>"1551685926031973"</f>
        <v>1551685926031973</v>
      </c>
      <c r="C5167" t="s">
        <v>40</v>
      </c>
      <c r="D5167">
        <v>4.4188879999999999</v>
      </c>
      <c r="E5167">
        <v>0.52842119999999904</v>
      </c>
      <c r="F5167" t="s">
        <v>77</v>
      </c>
      <c r="G5167">
        <v>-422.2808</v>
      </c>
      <c r="H5167" s="1">
        <v>-7.3492319999999999E-6</v>
      </c>
      <c r="I5167">
        <v>25.95768</v>
      </c>
      <c r="J5167">
        <v>-421.34660000000002</v>
      </c>
      <c r="K5167">
        <v>1.1123270000000001</v>
      </c>
      <c r="L5167">
        <v>106.6609</v>
      </c>
      <c r="M5167">
        <v>-0.14838119999999999</v>
      </c>
      <c r="N5167">
        <v>-6.8379799999999996E-3</v>
      </c>
      <c r="O5167">
        <v>-0.98890670000000003</v>
      </c>
      <c r="P5167">
        <v>7.9775219999999904E-3</v>
      </c>
      <c r="Q5167">
        <v>0.16098689999999999</v>
      </c>
      <c r="R5167">
        <v>-0.98692440000000003</v>
      </c>
      <c r="S5167">
        <v>-3.6346440000000001E-2</v>
      </c>
      <c r="T5167">
        <v>-4.1874170000000002E-2</v>
      </c>
      <c r="U5167">
        <v>-3.0468440000000001</v>
      </c>
      <c r="V5167">
        <v>-0.15539710000000001</v>
      </c>
      <c r="W5167">
        <v>0.1666636</v>
      </c>
      <c r="X5167">
        <v>0.97369139999999998</v>
      </c>
      <c r="Y5167">
        <v>-0.13656840000000001</v>
      </c>
      <c r="Z5167">
        <v>6.6176150000000003E-3</v>
      </c>
      <c r="AA5167">
        <v>0.9906085</v>
      </c>
      <c r="AB5167">
        <v>23</v>
      </c>
      <c r="AC5167">
        <v>-0.93419999999997505</v>
      </c>
      <c r="AD5167">
        <v>-1.1123343492319999</v>
      </c>
      <c r="AE5167">
        <v>-80.703220000000002</v>
      </c>
      <c r="AF5167">
        <v>-11.049162507376799</v>
      </c>
      <c r="AG5167">
        <v>-1.1123343492319999</v>
      </c>
      <c r="AH5167">
        <v>79.933250811918398</v>
      </c>
      <c r="AI5167">
        <v>90.789756122882295</v>
      </c>
      <c r="AJ5167">
        <v>97.8701147176522</v>
      </c>
      <c r="AK5167">
        <v>80.7009657016566</v>
      </c>
      <c r="AL5167">
        <v>80.4061097628407</v>
      </c>
      <c r="AM5167">
        <v>99.0676970282626</v>
      </c>
      <c r="AN5167">
        <v>0.99999997834366405</v>
      </c>
    </row>
    <row r="5168" spans="1:40" x14ac:dyDescent="0.25">
      <c r="A5168" t="str">
        <f>"20190304155206061"</f>
        <v>20190304155206061</v>
      </c>
      <c r="B5168" t="str">
        <f>"1551685926052469"</f>
        <v>1551685926052469</v>
      </c>
      <c r="C5168" t="s">
        <v>40</v>
      </c>
      <c r="D5168">
        <v>4.4877919999999998</v>
      </c>
      <c r="E5168">
        <v>0.52547819999999901</v>
      </c>
      <c r="F5168" t="s">
        <v>92</v>
      </c>
      <c r="G5168">
        <v>-428.6379</v>
      </c>
      <c r="H5168">
        <v>0.32121939999999999</v>
      </c>
      <c r="I5168">
        <v>-0.96306800000000004</v>
      </c>
      <c r="J5168">
        <v>-421.37689999999998</v>
      </c>
      <c r="K5168">
        <v>1.112285</v>
      </c>
      <c r="L5168">
        <v>106.4273</v>
      </c>
      <c r="M5168">
        <v>-0.14423</v>
      </c>
      <c r="N5168">
        <v>-6.8012100000000002E-3</v>
      </c>
      <c r="O5168">
        <v>-0.98952090000000004</v>
      </c>
      <c r="P5168">
        <v>1.10615E-2</v>
      </c>
      <c r="Q5168">
        <v>0.1609968</v>
      </c>
      <c r="R5168">
        <v>-0.98689309999999997</v>
      </c>
      <c r="S5168">
        <v>-0.2062988</v>
      </c>
      <c r="T5168">
        <v>-2.238393E-2</v>
      </c>
      <c r="U5168">
        <v>-3.0450590000000002</v>
      </c>
      <c r="V5168">
        <v>-0.15433810000000001</v>
      </c>
      <c r="W5168">
        <v>0.16665849999999999</v>
      </c>
      <c r="X5168">
        <v>0.97386070000000002</v>
      </c>
      <c r="Y5168">
        <v>-7.7012780000000003E-2</v>
      </c>
      <c r="Z5168">
        <v>4.4850350000000001E-4</v>
      </c>
      <c r="AA5168">
        <v>0.99702999999999997</v>
      </c>
      <c r="AB5168">
        <v>23</v>
      </c>
      <c r="AC5168">
        <v>-7.2610000000000197</v>
      </c>
      <c r="AD5168">
        <v>-0.79106559999999904</v>
      </c>
      <c r="AE5168">
        <v>-107.390368</v>
      </c>
      <c r="AF5168">
        <v>-8.3037443913586095</v>
      </c>
      <c r="AG5168">
        <v>-0.79106559999999904</v>
      </c>
      <c r="AH5168">
        <v>107.308944739425</v>
      </c>
      <c r="AI5168">
        <v>90.421109466443895</v>
      </c>
      <c r="AJ5168">
        <v>94.424824814814798</v>
      </c>
      <c r="AK5168">
        <v>107.632651072012</v>
      </c>
      <c r="AL5168">
        <v>80.406406169556107</v>
      </c>
      <c r="AM5168">
        <v>99.005378764794798</v>
      </c>
      <c r="AN5168">
        <v>0.99999998386917399</v>
      </c>
    </row>
    <row r="5169" spans="1:40" x14ac:dyDescent="0.25">
      <c r="A5169" t="str">
        <f>"20190304155206082"</f>
        <v>20190304155206082</v>
      </c>
      <c r="B5169" t="str">
        <f>"1551685926071990"</f>
        <v>1551685926071990</v>
      </c>
      <c r="C5169" t="s">
        <v>40</v>
      </c>
      <c r="D5169">
        <v>4.5720499999999999</v>
      </c>
      <c r="E5169">
        <v>0.52376270000000003</v>
      </c>
      <c r="F5169" t="s">
        <v>77</v>
      </c>
      <c r="G5169">
        <v>-425.19979999999998</v>
      </c>
      <c r="H5169" s="1">
        <v>-1.5670059999999999E-6</v>
      </c>
      <c r="I5169">
        <v>39.161299999999997</v>
      </c>
      <c r="J5169">
        <v>-421.40600000000001</v>
      </c>
      <c r="K5169">
        <v>1.112233</v>
      </c>
      <c r="L5169">
        <v>106.1965</v>
      </c>
      <c r="M5169">
        <v>-0.140232299999999</v>
      </c>
      <c r="N5169">
        <v>-6.769265E-3</v>
      </c>
      <c r="O5169">
        <v>-0.99009559999999996</v>
      </c>
      <c r="P5169">
        <v>1.474089E-2</v>
      </c>
      <c r="Q5169">
        <v>0.16121170000000001</v>
      </c>
      <c r="R5169">
        <v>-0.98680979999999996</v>
      </c>
      <c r="S5169">
        <v>-0.17333979999999999</v>
      </c>
      <c r="T5169">
        <v>-5.0433749999999999E-2</v>
      </c>
      <c r="U5169">
        <v>-3.0500029999999998</v>
      </c>
      <c r="V5169">
        <v>-0.1540127</v>
      </c>
      <c r="W5169">
        <v>0.16686199999999901</v>
      </c>
      <c r="X5169">
        <v>0.9738774</v>
      </c>
      <c r="Y5169">
        <v>-8.3825040000000003E-2</v>
      </c>
      <c r="Z5169">
        <v>9.5047659999999996E-3</v>
      </c>
      <c r="AA5169">
        <v>0.99643519999999997</v>
      </c>
      <c r="AB5169">
        <v>24</v>
      </c>
      <c r="AC5169">
        <v>-3.7937999999999699</v>
      </c>
      <c r="AD5169">
        <v>-1.1122345670059901</v>
      </c>
      <c r="AE5169">
        <v>-67.035200000000003</v>
      </c>
      <c r="AF5169">
        <v>-5.6428558475669197</v>
      </c>
      <c r="AG5169">
        <v>-1.1122345670059901</v>
      </c>
      <c r="AH5169">
        <v>66.886441241200203</v>
      </c>
      <c r="AI5169">
        <v>90.949294879878593</v>
      </c>
      <c r="AJ5169">
        <v>94.822323185251506</v>
      </c>
      <c r="AK5169">
        <v>67.133262320261096</v>
      </c>
      <c r="AL5169">
        <v>80.394581191673794</v>
      </c>
      <c r="AM5169">
        <v>98.986550796498605</v>
      </c>
      <c r="AN5169">
        <v>1.0000000145180199</v>
      </c>
    </row>
    <row r="5170" spans="1:40" x14ac:dyDescent="0.25">
      <c r="A5170" t="str">
        <f>"20190304155206104"</f>
        <v>20190304155206104</v>
      </c>
      <c r="B5170" t="str">
        <f>"1551685926102245"</f>
        <v>1551685926102245</v>
      </c>
      <c r="C5170" t="s">
        <v>40</v>
      </c>
      <c r="D5170">
        <v>4.4697180000000003</v>
      </c>
      <c r="E5170">
        <v>0.52352469999999995</v>
      </c>
      <c r="F5170" t="s">
        <v>41</v>
      </c>
      <c r="G5170">
        <v>-424.03149999999999</v>
      </c>
      <c r="H5170" s="1">
        <v>-2.1414980000000001E-6</v>
      </c>
      <c r="I5170">
        <v>52.080530000000003</v>
      </c>
      <c r="J5170">
        <v>-421.43389999999999</v>
      </c>
      <c r="K5170">
        <v>1.1121639999999999</v>
      </c>
      <c r="L5170">
        <v>105.9687</v>
      </c>
      <c r="M5170">
        <v>-0.13640350000000001</v>
      </c>
      <c r="N5170">
        <v>-6.7416439999999998E-3</v>
      </c>
      <c r="O5170">
        <v>-0.99063040000000002</v>
      </c>
      <c r="P5170">
        <v>1.9149300000000001E-2</v>
      </c>
      <c r="Q5170">
        <v>0.16130829999999999</v>
      </c>
      <c r="R5170">
        <v>-0.98671810000000004</v>
      </c>
      <c r="S5170">
        <v>-0.14810179999999901</v>
      </c>
      <c r="T5170">
        <v>-6.2739489999999995E-2</v>
      </c>
      <c r="U5170">
        <v>-3.052597</v>
      </c>
      <c r="V5170">
        <v>-0.15457419999999999</v>
      </c>
      <c r="W5170">
        <v>0.1669485</v>
      </c>
      <c r="X5170">
        <v>0.97377360000000002</v>
      </c>
      <c r="Y5170">
        <v>-8.8235859999999999E-2</v>
      </c>
      <c r="Z5170">
        <v>1.3490439999999999E-2</v>
      </c>
      <c r="AA5170">
        <v>0.99600829999999996</v>
      </c>
      <c r="AB5170">
        <v>24</v>
      </c>
      <c r="AC5170">
        <v>-2.5975999999999999</v>
      </c>
      <c r="AD5170">
        <v>-1.112166141498</v>
      </c>
      <c r="AE5170">
        <v>-53.888169999999903</v>
      </c>
      <c r="AF5170">
        <v>-4.7753528287345901</v>
      </c>
      <c r="AG5170">
        <v>-1.112166141498</v>
      </c>
      <c r="AH5170">
        <v>53.715976636638402</v>
      </c>
      <c r="AI5170">
        <v>91.181456809771802</v>
      </c>
      <c r="AJ5170">
        <v>95.080242140288306</v>
      </c>
      <c r="AK5170">
        <v>53.939290449477298</v>
      </c>
      <c r="AL5170">
        <v>80.389554501372899</v>
      </c>
      <c r="AM5170">
        <v>99.019721994728698</v>
      </c>
      <c r="AN5170">
        <v>1.00000000450742</v>
      </c>
    </row>
    <row r="5171" spans="1:40" x14ac:dyDescent="0.25">
      <c r="A5171" t="str">
        <f>"20190304155206127"</f>
        <v>20190304155206127</v>
      </c>
      <c r="B5171" t="str">
        <f>"1551685926121768"</f>
        <v>1551685926121768</v>
      </c>
      <c r="C5171" t="s">
        <v>40</v>
      </c>
      <c r="D5171">
        <v>4.4718739999999997</v>
      </c>
      <c r="E5171">
        <v>0.52374609999999899</v>
      </c>
      <c r="F5171" t="s">
        <v>41</v>
      </c>
      <c r="G5171">
        <v>-423.57299999999998</v>
      </c>
      <c r="H5171" s="1">
        <v>-4.0188959999999996E-6</v>
      </c>
      <c r="I5171">
        <v>56.934069999999998</v>
      </c>
      <c r="J5171">
        <v>-421.46260000000001</v>
      </c>
      <c r="K5171">
        <v>1.11209</v>
      </c>
      <c r="L5171">
        <v>105.7286</v>
      </c>
      <c r="M5171">
        <v>-0.13250290000000001</v>
      </c>
      <c r="N5171">
        <v>-6.7161249999999999E-3</v>
      </c>
      <c r="O5171">
        <v>-0.99115989999999998</v>
      </c>
      <c r="P5171">
        <v>2.279463E-2</v>
      </c>
      <c r="Q5171">
        <v>0.16123879999999999</v>
      </c>
      <c r="R5171">
        <v>-0.98665210000000003</v>
      </c>
      <c r="S5171">
        <v>-0.13323969999999999</v>
      </c>
      <c r="T5171">
        <v>-6.9275260000000005E-2</v>
      </c>
      <c r="U5171">
        <v>-3.0542910000000001</v>
      </c>
      <c r="V5171">
        <v>-0.1543098</v>
      </c>
      <c r="W5171">
        <v>0.16688320000000001</v>
      </c>
      <c r="X5171">
        <v>0.97382670000000005</v>
      </c>
      <c r="Y5171">
        <v>-8.9178389999999996E-2</v>
      </c>
      <c r="Z5171">
        <v>1.562463E-2</v>
      </c>
      <c r="AA5171">
        <v>0.99589309999999998</v>
      </c>
      <c r="AB5171">
        <v>24</v>
      </c>
      <c r="AC5171">
        <v>-2.1104000000000198</v>
      </c>
      <c r="AD5171">
        <v>-1.112094018896</v>
      </c>
      <c r="AE5171">
        <v>-48.794530000000002</v>
      </c>
      <c r="AF5171">
        <v>-4.3715048391806297</v>
      </c>
      <c r="AG5171">
        <v>-1.112094018896</v>
      </c>
      <c r="AH5171">
        <v>48.618703270053601</v>
      </c>
      <c r="AI5171">
        <v>91.305080110941702</v>
      </c>
      <c r="AJ5171">
        <v>95.137879893610403</v>
      </c>
      <c r="AK5171">
        <v>48.8275036769991</v>
      </c>
      <c r="AL5171">
        <v>80.393348905162497</v>
      </c>
      <c r="AM5171">
        <v>99.004063764135793</v>
      </c>
      <c r="AN5171">
        <v>0.99999997922558403</v>
      </c>
    </row>
    <row r="5172" spans="1:40" x14ac:dyDescent="0.25">
      <c r="A5172" t="str">
        <f>"20190304155206151"</f>
        <v>20190304155206151</v>
      </c>
      <c r="B5172" t="str">
        <f>"1551685926142261"</f>
        <v>1551685926142261</v>
      </c>
      <c r="C5172" t="s">
        <v>40</v>
      </c>
      <c r="D5172">
        <v>4.4874229999999997</v>
      </c>
      <c r="E5172">
        <v>0.52395970000000003</v>
      </c>
      <c r="F5172" t="s">
        <v>41</v>
      </c>
      <c r="G5172">
        <v>-423.33190000000002</v>
      </c>
      <c r="H5172" s="1">
        <v>-4.7738680000000001E-6</v>
      </c>
      <c r="I5172">
        <v>59.2782699999999</v>
      </c>
      <c r="J5172">
        <v>-421.49149999999997</v>
      </c>
      <c r="K5172">
        <v>1.111999</v>
      </c>
      <c r="L5172">
        <v>105.4795</v>
      </c>
      <c r="M5172">
        <v>-0.128633199999999</v>
      </c>
      <c r="N5172">
        <v>-6.6932340000000002E-3</v>
      </c>
      <c r="O5172">
        <v>-0.99167000000000005</v>
      </c>
      <c r="P5172">
        <v>2.601115E-2</v>
      </c>
      <c r="Q5172">
        <v>0.1605703</v>
      </c>
      <c r="R5172">
        <v>-0.98668210000000001</v>
      </c>
      <c r="S5172">
        <v>-0.1229553</v>
      </c>
      <c r="T5172">
        <v>-7.3150160000000006E-2</v>
      </c>
      <c r="U5172">
        <v>-3.0553590000000002</v>
      </c>
      <c r="V5172">
        <v>-0.15365789999999999</v>
      </c>
      <c r="W5172">
        <v>0.16622970000000001</v>
      </c>
      <c r="X5172">
        <v>0.97404159999999995</v>
      </c>
      <c r="Y5172">
        <v>-8.8652720000000004E-2</v>
      </c>
      <c r="Z5172">
        <v>1.69056E-2</v>
      </c>
      <c r="AA5172">
        <v>0.99591909999999895</v>
      </c>
      <c r="AB5172">
        <v>24</v>
      </c>
      <c r="AC5172">
        <v>-1.84040000000004</v>
      </c>
      <c r="AD5172">
        <v>-1.112003773868</v>
      </c>
      <c r="AE5172">
        <v>-46.201230000000002</v>
      </c>
      <c r="AF5172">
        <v>-4.1156529859574</v>
      </c>
      <c r="AG5172">
        <v>-1.112003773868</v>
      </c>
      <c r="AH5172">
        <v>46.0275044439921</v>
      </c>
      <c r="AI5172">
        <v>91.378473350592401</v>
      </c>
      <c r="AJ5172">
        <v>95.109642142649406</v>
      </c>
      <c r="AK5172">
        <v>46.224520735596897</v>
      </c>
      <c r="AL5172">
        <v>80.431322804248893</v>
      </c>
      <c r="AM5172">
        <v>98.964698203791301</v>
      </c>
      <c r="AN5172">
        <v>1.00000005096252</v>
      </c>
    </row>
    <row r="5173" spans="1:40" x14ac:dyDescent="0.25">
      <c r="A5173" t="str">
        <f>"20190304155206172"</f>
        <v>20190304155206172</v>
      </c>
      <c r="B5173" t="str">
        <f>"1551685926161781"</f>
        <v>1551685926161781</v>
      </c>
      <c r="C5173" t="s">
        <v>40</v>
      </c>
      <c r="D5173">
        <v>4.5038010000000002</v>
      </c>
      <c r="E5173">
        <v>0.52412590000000003</v>
      </c>
      <c r="F5173" t="s">
        <v>41</v>
      </c>
      <c r="G5173">
        <v>-423.154</v>
      </c>
      <c r="H5173" s="1">
        <v>-1.566348E-6</v>
      </c>
      <c r="I5173">
        <v>61.284129999999998</v>
      </c>
      <c r="J5173">
        <v>-421.51740000000001</v>
      </c>
      <c r="K5173">
        <v>1.111907</v>
      </c>
      <c r="L5173">
        <v>105.2495</v>
      </c>
      <c r="M5173">
        <v>-0.12521109999999999</v>
      </c>
      <c r="N5173">
        <v>-6.6750530000000002E-3</v>
      </c>
      <c r="O5173">
        <v>-0.99210759999999998</v>
      </c>
      <c r="P5173">
        <v>2.8721679999999999E-2</v>
      </c>
      <c r="Q5173">
        <v>0.1601737</v>
      </c>
      <c r="R5173">
        <v>-0.98667090000000002</v>
      </c>
      <c r="S5173">
        <v>-0.1149597</v>
      </c>
      <c r="T5173">
        <v>-7.6893690000000001E-2</v>
      </c>
      <c r="U5173">
        <v>-3.0560610000000001</v>
      </c>
      <c r="V5173">
        <v>-0.15294549999999901</v>
      </c>
      <c r="W5173">
        <v>0.1658502</v>
      </c>
      <c r="X5173">
        <v>0.97421840000000004</v>
      </c>
      <c r="Y5173">
        <v>-8.7827680000000005E-2</v>
      </c>
      <c r="Z5173">
        <v>1.8141310000000001E-2</v>
      </c>
      <c r="AA5173">
        <v>0.99597049999999998</v>
      </c>
      <c r="AB5173">
        <v>24</v>
      </c>
      <c r="AC5173">
        <v>-1.6365999999999801</v>
      </c>
      <c r="AD5173">
        <v>-1.1119085663479999</v>
      </c>
      <c r="AE5173">
        <v>-43.965369999999901</v>
      </c>
      <c r="AF5173">
        <v>-3.8788782277480198</v>
      </c>
      <c r="AG5173">
        <v>-1.1119085663479999</v>
      </c>
      <c r="AH5173">
        <v>43.796303590692197</v>
      </c>
      <c r="AI5173">
        <v>91.448655223489098</v>
      </c>
      <c r="AJ5173">
        <v>95.061271411909701</v>
      </c>
      <c r="AK5173">
        <v>43.981794474233197</v>
      </c>
      <c r="AL5173">
        <v>80.453372642775193</v>
      </c>
      <c r="AM5173">
        <v>98.922212406393996</v>
      </c>
      <c r="AN5173">
        <v>1.00000005285442</v>
      </c>
    </row>
    <row r="5174" spans="1:40" x14ac:dyDescent="0.25">
      <c r="A5174" t="str">
        <f>"20190304155206194"</f>
        <v>20190304155206194</v>
      </c>
      <c r="B5174" t="str">
        <f>"1551685926192037"</f>
        <v>1551685926192037</v>
      </c>
      <c r="C5174" t="s">
        <v>40</v>
      </c>
      <c r="D5174">
        <v>4.4954640000000001</v>
      </c>
      <c r="E5174">
        <v>0.52485999999999999</v>
      </c>
      <c r="F5174" t="s">
        <v>41</v>
      </c>
      <c r="G5174">
        <v>-423.02609999999999</v>
      </c>
      <c r="H5174" s="1">
        <v>-2.0658580000000001E-6</v>
      </c>
      <c r="I5174">
        <v>62.527819999999998</v>
      </c>
      <c r="J5174">
        <v>-421.54349999999999</v>
      </c>
      <c r="K5174">
        <v>1.1118220000000001</v>
      </c>
      <c r="L5174">
        <v>105.0119</v>
      </c>
      <c r="M5174">
        <v>-0.12180199999999999</v>
      </c>
      <c r="N5174">
        <v>-6.6593549999999996E-3</v>
      </c>
      <c r="O5174">
        <v>-0.99253219999999998</v>
      </c>
      <c r="P5174">
        <v>3.1925370000000002E-2</v>
      </c>
      <c r="Q5174">
        <v>0.1599535</v>
      </c>
      <c r="R5174">
        <v>-0.98660840000000005</v>
      </c>
      <c r="S5174">
        <v>-0.1079407</v>
      </c>
      <c r="T5174">
        <v>-7.9553719999999994E-2</v>
      </c>
      <c r="U5174">
        <v>-3.05661</v>
      </c>
      <c r="V5174">
        <v>-0.1527348</v>
      </c>
      <c r="W5174">
        <v>0.16564379999999901</v>
      </c>
      <c r="X5174">
        <v>0.97428650000000006</v>
      </c>
      <c r="Y5174">
        <v>-8.669665E-2</v>
      </c>
      <c r="Z5174">
        <v>1.9027329999999999E-2</v>
      </c>
      <c r="AA5174">
        <v>0.99605299999999997</v>
      </c>
      <c r="AB5174">
        <v>24</v>
      </c>
      <c r="AC5174">
        <v>-1.4825999999999899</v>
      </c>
      <c r="AD5174">
        <v>-1.1118240658580001</v>
      </c>
      <c r="AE5174">
        <v>-42.484079999999999</v>
      </c>
      <c r="AF5174">
        <v>-3.70066787676758</v>
      </c>
      <c r="AG5174">
        <v>-1.1118240658580001</v>
      </c>
      <c r="AH5174">
        <v>42.319386130278801</v>
      </c>
      <c r="AI5174">
        <v>91.499222316957997</v>
      </c>
      <c r="AJ5174">
        <v>94.997583305901003</v>
      </c>
      <c r="AK5174">
        <v>42.495429612267699</v>
      </c>
      <c r="AL5174">
        <v>80.465363711873906</v>
      </c>
      <c r="AM5174">
        <v>98.909505574859196</v>
      </c>
      <c r="AN5174">
        <v>0.99999998584586403</v>
      </c>
    </row>
    <row r="5175" spans="1:40" x14ac:dyDescent="0.25">
      <c r="A5175" t="str">
        <f>"20190304155206216"</f>
        <v>20190304155206216</v>
      </c>
      <c r="B5175" t="str">
        <f>"1551685926212533"</f>
        <v>1551685926212533</v>
      </c>
      <c r="C5175" t="s">
        <v>40</v>
      </c>
      <c r="D5175">
        <v>4.518268</v>
      </c>
      <c r="E5175">
        <v>0.52543779999999995</v>
      </c>
      <c r="F5175" t="s">
        <v>41</v>
      </c>
      <c r="G5175">
        <v>-422.97590000000002</v>
      </c>
      <c r="H5175" s="1">
        <v>-2.2463340000000001E-6</v>
      </c>
      <c r="I5175">
        <v>62.979640000000003</v>
      </c>
      <c r="J5175">
        <v>-421.56869999999998</v>
      </c>
      <c r="K5175">
        <v>1.111747</v>
      </c>
      <c r="L5175">
        <v>104.77670000000001</v>
      </c>
      <c r="M5175">
        <v>-0.11856029999999999</v>
      </c>
      <c r="N5175">
        <v>-6.6464480000000001E-3</v>
      </c>
      <c r="O5175">
        <v>-0.99292480000000005</v>
      </c>
      <c r="P5175">
        <v>3.5755139999999998E-2</v>
      </c>
      <c r="Q5175">
        <v>0.159636</v>
      </c>
      <c r="R5175">
        <v>-0.98652819999999997</v>
      </c>
      <c r="S5175">
        <v>-0.104187</v>
      </c>
      <c r="T5175">
        <v>-8.0868720000000005E-2</v>
      </c>
      <c r="U5175">
        <v>-3.05722</v>
      </c>
      <c r="V5175">
        <v>-0.1533138</v>
      </c>
      <c r="W5175">
        <v>0.1653348</v>
      </c>
      <c r="X5175">
        <v>0.97424809999999995</v>
      </c>
      <c r="Y5175">
        <v>-8.467218E-2</v>
      </c>
      <c r="Z5175">
        <v>1.9476630000000002E-2</v>
      </c>
      <c r="AA5175">
        <v>0.99621850000000001</v>
      </c>
      <c r="AB5175">
        <v>24</v>
      </c>
      <c r="AC5175">
        <v>-1.40720000000004</v>
      </c>
      <c r="AD5175">
        <v>-1.111749246334</v>
      </c>
      <c r="AE5175">
        <v>-41.797059999999902</v>
      </c>
      <c r="AF5175">
        <v>-3.5557932652900601</v>
      </c>
      <c r="AG5175">
        <v>-1.111749246334</v>
      </c>
      <c r="AH5175">
        <v>41.639661572629898</v>
      </c>
      <c r="AI5175">
        <v>91.523849693117896</v>
      </c>
      <c r="AJ5175">
        <v>94.880896641989906</v>
      </c>
      <c r="AK5175">
        <v>41.805993206899899</v>
      </c>
      <c r="AL5175">
        <v>80.483316145844299</v>
      </c>
      <c r="AM5175">
        <v>98.9430824064208</v>
      </c>
      <c r="AN5175">
        <v>1.0000000388575401</v>
      </c>
    </row>
    <row r="5176" spans="1:40" x14ac:dyDescent="0.25">
      <c r="A5176" t="str">
        <f>"20190304155206238"</f>
        <v>20190304155206238</v>
      </c>
      <c r="B5176" t="str">
        <f>"1551685926232053"</f>
        <v>1551685926232053</v>
      </c>
      <c r="C5176" t="s">
        <v>40</v>
      </c>
      <c r="D5176">
        <v>4.5445089999999997</v>
      </c>
      <c r="E5176">
        <v>0.5323251</v>
      </c>
      <c r="F5176" t="s">
        <v>41</v>
      </c>
      <c r="G5176">
        <v>-422.88150000000002</v>
      </c>
      <c r="H5176" s="1">
        <v>-2.3897479999999998E-6</v>
      </c>
      <c r="I5176">
        <v>63.3724699999999</v>
      </c>
      <c r="J5176">
        <v>-421.59390000000002</v>
      </c>
      <c r="K5176">
        <v>1.1116790000000001</v>
      </c>
      <c r="L5176">
        <v>104.5346</v>
      </c>
      <c r="M5176">
        <v>-0.11537</v>
      </c>
      <c r="N5176">
        <v>-6.6351700000000001E-3</v>
      </c>
      <c r="O5176">
        <v>-0.99330030000000002</v>
      </c>
      <c r="P5176">
        <v>3.9260450000000002E-2</v>
      </c>
      <c r="Q5176">
        <v>0.15907560000000001</v>
      </c>
      <c r="R5176">
        <v>-0.98648550000000002</v>
      </c>
      <c r="S5176">
        <v>-9.6954349999999995E-2</v>
      </c>
      <c r="T5176">
        <v>-8.2104559999999993E-2</v>
      </c>
      <c r="U5176">
        <v>-3.0577700000000001</v>
      </c>
      <c r="V5176">
        <v>-0.15362629999999999</v>
      </c>
      <c r="W5176">
        <v>0.164788299999999</v>
      </c>
      <c r="X5176">
        <v>0.97429140000000003</v>
      </c>
      <c r="Y5176">
        <v>-8.3831489999999995E-2</v>
      </c>
      <c r="Z5176">
        <v>1.9897680000000001E-2</v>
      </c>
      <c r="AA5176">
        <v>0.99628130000000004</v>
      </c>
      <c r="AB5176">
        <v>24</v>
      </c>
      <c r="AC5176">
        <v>-1.2875999999999901</v>
      </c>
      <c r="AD5176">
        <v>-1.111681389748</v>
      </c>
      <c r="AE5176">
        <v>-41.162129999999998</v>
      </c>
      <c r="AF5176">
        <v>-3.4674516106508699</v>
      </c>
      <c r="AG5176">
        <v>-1.111681389748</v>
      </c>
      <c r="AH5176">
        <v>41.005934536168702</v>
      </c>
      <c r="AI5176">
        <v>91.547403201166503</v>
      </c>
      <c r="AJ5176">
        <v>94.833418515092504</v>
      </c>
      <c r="AK5176">
        <v>41.167289482902298</v>
      </c>
      <c r="AL5176">
        <v>80.515063179430598</v>
      </c>
      <c r="AM5176">
        <v>98.960623816815996</v>
      </c>
      <c r="AN5176">
        <v>0.99999997799126905</v>
      </c>
    </row>
    <row r="5177" spans="1:40" x14ac:dyDescent="0.25">
      <c r="A5177" t="str">
        <f>"20190304155206261"</f>
        <v>20190304155206261</v>
      </c>
      <c r="B5177" t="str">
        <f>"1551685926252549"</f>
        <v>1551685926252549</v>
      </c>
      <c r="C5177" t="s">
        <v>40</v>
      </c>
      <c r="D5177">
        <v>4.5327440000000001</v>
      </c>
      <c r="E5177">
        <v>0.53254019999999902</v>
      </c>
      <c r="F5177" t="s">
        <v>41</v>
      </c>
      <c r="G5177">
        <v>-423.25850000000003</v>
      </c>
      <c r="H5177" s="1">
        <v>-4.5020240000000001E-6</v>
      </c>
      <c r="I5177">
        <v>68.517719999999997</v>
      </c>
      <c r="J5177">
        <v>-421.6189</v>
      </c>
      <c r="K5177">
        <v>1.1115980000000001</v>
      </c>
      <c r="L5177">
        <v>104.2895</v>
      </c>
      <c r="M5177">
        <v>-0.1122885</v>
      </c>
      <c r="N5177">
        <v>-6.6252430000000003E-3</v>
      </c>
      <c r="O5177">
        <v>-0.99365349999999997</v>
      </c>
      <c r="P5177">
        <v>4.2149010000000001E-2</v>
      </c>
      <c r="Q5177">
        <v>0.15875249999999999</v>
      </c>
      <c r="R5177">
        <v>-0.98641860000000003</v>
      </c>
      <c r="S5177">
        <v>-0.14151</v>
      </c>
      <c r="T5177">
        <v>-9.4509960000000004E-2</v>
      </c>
      <c r="U5177">
        <v>-3.0619809999999998</v>
      </c>
      <c r="V5177">
        <v>-0.15343209999999999</v>
      </c>
      <c r="W5177">
        <v>0.16448450000000001</v>
      </c>
      <c r="X5177">
        <v>0.9743733</v>
      </c>
      <c r="Y5177">
        <v>-6.6302319999999998E-2</v>
      </c>
      <c r="Z5177">
        <v>2.390279E-2</v>
      </c>
      <c r="AA5177">
        <v>0.99751319999999999</v>
      </c>
      <c r="AB5177">
        <v>24</v>
      </c>
      <c r="AC5177">
        <v>-1.6396000000000299</v>
      </c>
      <c r="AD5177">
        <v>-1.1116025020239999</v>
      </c>
      <c r="AE5177">
        <v>-35.77178</v>
      </c>
      <c r="AF5177">
        <v>-2.3853192406556101</v>
      </c>
      <c r="AG5177">
        <v>-1.1116025020239999</v>
      </c>
      <c r="AH5177">
        <v>35.695252232553599</v>
      </c>
      <c r="AI5177">
        <v>91.779731416994295</v>
      </c>
      <c r="AJ5177">
        <v>93.823080878514602</v>
      </c>
      <c r="AK5177">
        <v>35.792128184112897</v>
      </c>
      <c r="AL5177">
        <v>80.532710120870206</v>
      </c>
      <c r="AM5177">
        <v>98.948740023539798</v>
      </c>
      <c r="AN5177">
        <v>0.99999994390177305</v>
      </c>
    </row>
    <row r="5178" spans="1:40" x14ac:dyDescent="0.25">
      <c r="A5178" t="str">
        <f>"20190304155206283"</f>
        <v>20190304155206283</v>
      </c>
      <c r="B5178" t="str">
        <f>"1551685926272069"</f>
        <v>1551685926272069</v>
      </c>
      <c r="C5178" t="s">
        <v>40</v>
      </c>
      <c r="D5178">
        <v>4.5325240000000004</v>
      </c>
      <c r="E5178">
        <v>0.53355069999999905</v>
      </c>
      <c r="F5178" t="s">
        <v>41</v>
      </c>
      <c r="G5178">
        <v>-423.25839999999999</v>
      </c>
      <c r="H5178" s="1">
        <v>-3.8762250000000003E-6</v>
      </c>
      <c r="I5178">
        <v>66.678830000000005</v>
      </c>
      <c r="J5178">
        <v>-421.64269999999999</v>
      </c>
      <c r="K5178">
        <v>1.1115139999999999</v>
      </c>
      <c r="L5178">
        <v>104.05029999999999</v>
      </c>
      <c r="M5178">
        <v>-0.1094218</v>
      </c>
      <c r="N5178">
        <v>-6.6169230000000002E-3</v>
      </c>
      <c r="O5178">
        <v>-0.99397340000000001</v>
      </c>
      <c r="P5178">
        <v>4.5019000000000003E-2</v>
      </c>
      <c r="Q5178">
        <v>0.15930420000000001</v>
      </c>
      <c r="R5178">
        <v>-0.98620280000000005</v>
      </c>
      <c r="S5178">
        <v>-0.1334534</v>
      </c>
      <c r="T5178">
        <v>-9.0485689999999994E-2</v>
      </c>
      <c r="U5178">
        <v>-3.0615540000000001</v>
      </c>
      <c r="V5178">
        <v>-0.15341769999999999</v>
      </c>
      <c r="W5178">
        <v>0.16505639999999999</v>
      </c>
      <c r="X5178">
        <v>0.97427889999999995</v>
      </c>
      <c r="Y5178">
        <v>-6.6036460000000005E-2</v>
      </c>
      <c r="Z5178">
        <v>2.2631749999999999E-2</v>
      </c>
      <c r="AA5178">
        <v>0.99756049999999996</v>
      </c>
      <c r="AB5178">
        <v>24</v>
      </c>
      <c r="AC5178">
        <v>-1.6156999999999999</v>
      </c>
      <c r="AD5178">
        <v>-1.111517876225</v>
      </c>
      <c r="AE5178">
        <v>-37.371469999999903</v>
      </c>
      <c r="AF5178">
        <v>-2.4811542546040699</v>
      </c>
      <c r="AG5178">
        <v>-1.111517876225</v>
      </c>
      <c r="AH5178">
        <v>37.290929926857402</v>
      </c>
      <c r="AI5178">
        <v>91.703525745391303</v>
      </c>
      <c r="AJ5178">
        <v>93.8065676188086</v>
      </c>
      <c r="AK5178">
        <v>37.389905766584803</v>
      </c>
      <c r="AL5178">
        <v>80.499489034369105</v>
      </c>
      <c r="AM5178">
        <v>98.948766703723706</v>
      </c>
      <c r="AN5178">
        <v>0.99999999041972898</v>
      </c>
    </row>
    <row r="5179" spans="1:40" x14ac:dyDescent="0.25">
      <c r="A5179" t="str">
        <f>"20190304155206306"</f>
        <v>20190304155206306</v>
      </c>
      <c r="B5179" t="str">
        <f>"1551685926302325"</f>
        <v>1551685926302325</v>
      </c>
      <c r="C5179" t="s">
        <v>40</v>
      </c>
      <c r="D5179">
        <v>4.5651529999999996</v>
      </c>
      <c r="E5179">
        <v>0.53435829999999995</v>
      </c>
      <c r="F5179" t="s">
        <v>41</v>
      </c>
      <c r="G5179">
        <v>-423.41210000000001</v>
      </c>
      <c r="H5179" s="1">
        <v>-2.5153490000000002E-6</v>
      </c>
      <c r="I5179">
        <v>63.336150000000004</v>
      </c>
      <c r="J5179">
        <v>-421.66640000000001</v>
      </c>
      <c r="K5179">
        <v>1.1114299999999999</v>
      </c>
      <c r="L5179">
        <v>103.8057</v>
      </c>
      <c r="M5179">
        <v>-0.10662870000000001</v>
      </c>
      <c r="N5179">
        <v>-6.6099890000000001E-3</v>
      </c>
      <c r="O5179">
        <v>-0.99427699999999997</v>
      </c>
      <c r="P5179">
        <v>4.7396130000000002E-2</v>
      </c>
      <c r="Q5179">
        <v>0.15974849999999999</v>
      </c>
      <c r="R5179">
        <v>-0.98601930000000004</v>
      </c>
      <c r="S5179">
        <v>-0.1330566</v>
      </c>
      <c r="T5179">
        <v>-8.3581920000000004E-2</v>
      </c>
      <c r="U5179">
        <v>-3.0615540000000001</v>
      </c>
      <c r="V5179">
        <v>-0.15298919999999999</v>
      </c>
      <c r="W5179">
        <v>0.1655267</v>
      </c>
      <c r="X5179">
        <v>0.97426650000000004</v>
      </c>
      <c r="Y5179">
        <v>-6.3360449999999999E-2</v>
      </c>
      <c r="Z5179">
        <v>2.04242E-2</v>
      </c>
      <c r="AA5179">
        <v>0.99778169999999999</v>
      </c>
      <c r="AB5179">
        <v>25</v>
      </c>
      <c r="AC5179">
        <v>-1.74569999999999</v>
      </c>
      <c r="AD5179">
        <v>-1.1114325153489999</v>
      </c>
      <c r="AE5179">
        <v>-40.469549999999998</v>
      </c>
      <c r="AF5179">
        <v>-2.57762180632422</v>
      </c>
      <c r="AG5179">
        <v>-1.1114325153489999</v>
      </c>
      <c r="AH5179">
        <v>40.394554511118201</v>
      </c>
      <c r="AI5179">
        <v>91.572864812795004</v>
      </c>
      <c r="AJ5179">
        <v>93.651157623270805</v>
      </c>
      <c r="AK5179">
        <v>40.491967728974501</v>
      </c>
      <c r="AL5179">
        <v>80.472167083874197</v>
      </c>
      <c r="AM5179">
        <v>98.924287129316994</v>
      </c>
      <c r="AN5179">
        <v>0.99999999837588904</v>
      </c>
    </row>
    <row r="5180" spans="1:40" x14ac:dyDescent="0.25">
      <c r="A5180" t="str">
        <f>"20190304155206329"</f>
        <v>20190304155206329</v>
      </c>
      <c r="B5180" t="str">
        <f>"1551685926321845"</f>
        <v>1551685926321845</v>
      </c>
      <c r="C5180" t="s">
        <v>40</v>
      </c>
      <c r="D5180">
        <v>4.5676259999999997</v>
      </c>
      <c r="E5180">
        <v>0.53449169999999901</v>
      </c>
      <c r="F5180" t="s">
        <v>41</v>
      </c>
      <c r="G5180">
        <v>-423.57459999999998</v>
      </c>
      <c r="H5180" s="1">
        <v>-1.1062830000000001E-6</v>
      </c>
      <c r="I5180">
        <v>59.950809999999997</v>
      </c>
      <c r="J5180">
        <v>-421.69009999999997</v>
      </c>
      <c r="K5180">
        <v>1.111345</v>
      </c>
      <c r="L5180">
        <v>103.55670000000001</v>
      </c>
      <c r="M5180">
        <v>-0.1039277</v>
      </c>
      <c r="N5180">
        <v>-6.6045740000000002E-3</v>
      </c>
      <c r="O5180">
        <v>-0.99456310000000003</v>
      </c>
      <c r="P5180">
        <v>4.9080980000000003E-2</v>
      </c>
      <c r="Q5180">
        <v>0.15948590000000001</v>
      </c>
      <c r="R5180">
        <v>-0.98597939999999995</v>
      </c>
      <c r="S5180">
        <v>-0.1332092</v>
      </c>
      <c r="T5180">
        <v>-7.7589270000000002E-2</v>
      </c>
      <c r="U5180">
        <v>-3.0615230000000002</v>
      </c>
      <c r="V5180">
        <v>-0.15197629999999901</v>
      </c>
      <c r="W5180">
        <v>0.16529530000000001</v>
      </c>
      <c r="X5180">
        <v>0.97446429999999995</v>
      </c>
      <c r="Y5180">
        <v>-6.05985E-2</v>
      </c>
      <c r="Z5180">
        <v>1.8506399999999999E-2</v>
      </c>
      <c r="AA5180">
        <v>0.99799070000000001</v>
      </c>
      <c r="AB5180">
        <v>25</v>
      </c>
      <c r="AC5180">
        <v>-1.8845000000000001</v>
      </c>
      <c r="AD5180">
        <v>-1.1113461062829999</v>
      </c>
      <c r="AE5180">
        <v>-43.605890000000002</v>
      </c>
      <c r="AF5180">
        <v>-2.6559412619252298</v>
      </c>
      <c r="AG5180">
        <v>-1.1113461062829999</v>
      </c>
      <c r="AH5180">
        <v>43.537376801925603</v>
      </c>
      <c r="AI5180">
        <v>91.459516980006896</v>
      </c>
      <c r="AJ5180">
        <v>93.4909286410915</v>
      </c>
      <c r="AK5180">
        <v>43.632468334344701</v>
      </c>
      <c r="AL5180">
        <v>80.485610548813696</v>
      </c>
      <c r="AM5180">
        <v>98.864372509203704</v>
      </c>
      <c r="AN5180">
        <v>1.00000000196913</v>
      </c>
    </row>
    <row r="5181" spans="1:40" x14ac:dyDescent="0.25">
      <c r="A5181" t="str">
        <f>"20190304155206351"</f>
        <v>20190304155206351</v>
      </c>
      <c r="B5181" t="str">
        <f>"1551685926342341"</f>
        <v>1551685926342341</v>
      </c>
      <c r="C5181" t="s">
        <v>40</v>
      </c>
      <c r="D5181">
        <v>4.5928529999999999</v>
      </c>
      <c r="E5181">
        <v>0.53996619999999995</v>
      </c>
      <c r="F5181" t="s">
        <v>41</v>
      </c>
      <c r="G5181">
        <v>-423.5598</v>
      </c>
      <c r="H5181" s="1">
        <v>-4.8243819999999998E-6</v>
      </c>
      <c r="I5181">
        <v>59.30789</v>
      </c>
      <c r="J5181">
        <v>-421.71249999999998</v>
      </c>
      <c r="K5181">
        <v>1.1112740000000001</v>
      </c>
      <c r="L5181">
        <v>103.3155</v>
      </c>
      <c r="M5181">
        <v>-0.10144400000000001</v>
      </c>
      <c r="N5181">
        <v>-6.6007969999999899E-3</v>
      </c>
      <c r="O5181">
        <v>-0.99481940000000002</v>
      </c>
      <c r="P5181">
        <v>4.987134E-2</v>
      </c>
      <c r="Q5181">
        <v>0.15926499999999999</v>
      </c>
      <c r="R5181">
        <v>-0.98597559999999995</v>
      </c>
      <c r="S5181">
        <v>-0.12936400000000001</v>
      </c>
      <c r="T5181">
        <v>-7.6893810000000007E-2</v>
      </c>
      <c r="U5181">
        <v>-3.0615540000000001</v>
      </c>
      <c r="V5181">
        <v>-0.1502956</v>
      </c>
      <c r="W5181">
        <v>0.1651058</v>
      </c>
      <c r="X5181">
        <v>0.97475710000000004</v>
      </c>
      <c r="Y5181">
        <v>-5.9357710000000001E-2</v>
      </c>
      <c r="Z5181">
        <v>1.8295559999999999E-2</v>
      </c>
      <c r="AA5181">
        <v>0.99806910000000004</v>
      </c>
      <c r="AB5181">
        <v>25</v>
      </c>
      <c r="AC5181">
        <v>-1.8473000000000099</v>
      </c>
      <c r="AD5181">
        <v>-1.11127882438199</v>
      </c>
      <c r="AE5181">
        <v>-44.00761</v>
      </c>
      <c r="AF5181">
        <v>-2.6249643142752199</v>
      </c>
      <c r="AG5181">
        <v>-1.11127882438199</v>
      </c>
      <c r="AH5181">
        <v>43.9400078808426</v>
      </c>
      <c r="AI5181">
        <v>91.446171228552501</v>
      </c>
      <c r="AJ5181">
        <v>93.418771390394596</v>
      </c>
      <c r="AK5181">
        <v>44.032370715704701</v>
      </c>
      <c r="AL5181">
        <v>80.496619804402201</v>
      </c>
      <c r="AM5181">
        <v>98.765280533772</v>
      </c>
      <c r="AN5181">
        <v>1.0000000482867</v>
      </c>
    </row>
    <row r="5182" spans="1:40" x14ac:dyDescent="0.25">
      <c r="A5182" t="str">
        <f>"20190304155206374"</f>
        <v>20190304155206374</v>
      </c>
      <c r="B5182" t="str">
        <f>"1551685926361861"</f>
        <v>1551685926361861</v>
      </c>
      <c r="C5182" t="s">
        <v>40</v>
      </c>
      <c r="D5182">
        <v>4.597359</v>
      </c>
      <c r="E5182">
        <v>0.54043719999999995</v>
      </c>
      <c r="F5182" t="s">
        <v>41</v>
      </c>
      <c r="G5182">
        <v>-424.50819999999999</v>
      </c>
      <c r="H5182" s="1">
        <v>-2.722685E-6</v>
      </c>
      <c r="I5182">
        <v>53.139620000000001</v>
      </c>
      <c r="J5182">
        <v>-421.73610000000002</v>
      </c>
      <c r="K5182">
        <v>1.111219</v>
      </c>
      <c r="L5182">
        <v>103.0562</v>
      </c>
      <c r="M5182">
        <v>-9.8885799999999996E-2</v>
      </c>
      <c r="N5182">
        <v>-6.5982150000000002E-3</v>
      </c>
      <c r="O5182">
        <v>-0.99507699999999999</v>
      </c>
      <c r="P5182">
        <v>5.0863020000000002E-2</v>
      </c>
      <c r="Q5182">
        <v>0.1599315</v>
      </c>
      <c r="R5182">
        <v>-0.98581680000000005</v>
      </c>
      <c r="S5182">
        <v>-0.17062379999999999</v>
      </c>
      <c r="T5182">
        <v>-6.7821740000000005E-2</v>
      </c>
      <c r="U5182">
        <v>-3.0622560000000001</v>
      </c>
      <c r="V5182">
        <v>-0.14873610000000001</v>
      </c>
      <c r="W5182">
        <v>0.16579849999999999</v>
      </c>
      <c r="X5182">
        <v>0.97487869999999999</v>
      </c>
      <c r="Y5182">
        <v>-4.337792E-2</v>
      </c>
      <c r="Z5182">
        <v>1.537325E-2</v>
      </c>
      <c r="AA5182">
        <v>0.99894050000000001</v>
      </c>
      <c r="AB5182">
        <v>25</v>
      </c>
      <c r="AC5182">
        <v>-2.77209999999996</v>
      </c>
      <c r="AD5182">
        <v>-1.1112217226850001</v>
      </c>
      <c r="AE5182">
        <v>-49.916580000000003</v>
      </c>
      <c r="AF5182">
        <v>-2.17655987117206</v>
      </c>
      <c r="AG5182">
        <v>-1.1112217226850001</v>
      </c>
      <c r="AH5182">
        <v>49.921381050496898</v>
      </c>
      <c r="AI5182">
        <v>91.273951207951697</v>
      </c>
      <c r="AJ5182">
        <v>92.496500723913499</v>
      </c>
      <c r="AK5182">
        <v>49.981161576924897</v>
      </c>
      <c r="AL5182">
        <v>80.456376151328797</v>
      </c>
      <c r="AM5182">
        <v>98.674655299826298</v>
      </c>
      <c r="AN5182">
        <v>1.00000002487957</v>
      </c>
    </row>
    <row r="5183" spans="1:40" x14ac:dyDescent="0.25">
      <c r="A5183" t="str">
        <f>"20190304155206397"</f>
        <v>20190304155206397</v>
      </c>
      <c r="B5183" t="str">
        <f>"1551685926392118"</f>
        <v>1551685926392118</v>
      </c>
      <c r="C5183" t="s">
        <v>40</v>
      </c>
      <c r="D5183">
        <v>4.6286189999999996</v>
      </c>
      <c r="E5183">
        <v>0.5413635</v>
      </c>
      <c r="F5183" t="s">
        <v>41</v>
      </c>
      <c r="G5183">
        <v>-424.59039999999999</v>
      </c>
      <c r="H5183" s="1">
        <v>-2.2331950000000001E-6</v>
      </c>
      <c r="I5183">
        <v>51.947650000000003</v>
      </c>
      <c r="J5183">
        <v>-421.75819999999999</v>
      </c>
      <c r="K5183">
        <v>1.1111679999999999</v>
      </c>
      <c r="L5183">
        <v>102.8066</v>
      </c>
      <c r="M5183">
        <v>-9.6522029999999995E-2</v>
      </c>
      <c r="N5183">
        <v>-6.5970150000000003E-3</v>
      </c>
      <c r="O5183">
        <v>-0.99530909999999995</v>
      </c>
      <c r="P5183">
        <v>5.1119610000000003E-2</v>
      </c>
      <c r="Q5183">
        <v>0.1603675</v>
      </c>
      <c r="R5183">
        <v>-0.98573299999999997</v>
      </c>
      <c r="S5183">
        <v>-0.17105100000000001</v>
      </c>
      <c r="T5183">
        <v>-6.6592570000000004E-2</v>
      </c>
      <c r="U5183">
        <v>-3.062805</v>
      </c>
      <c r="V5183">
        <v>-0.14664779999999999</v>
      </c>
      <c r="W5183">
        <v>0.166259299999999</v>
      </c>
      <c r="X5183">
        <v>0.9751166</v>
      </c>
      <c r="Y5183">
        <v>-4.0875839999999997E-2</v>
      </c>
      <c r="Z5183">
        <v>1.4981090000000001E-2</v>
      </c>
      <c r="AA5183">
        <v>0.99905189999999999</v>
      </c>
      <c r="AB5183">
        <v>25</v>
      </c>
      <c r="AC5183">
        <v>-2.8321999999999998</v>
      </c>
      <c r="AD5183">
        <v>-1.111170233195</v>
      </c>
      <c r="AE5183">
        <v>-50.85895</v>
      </c>
      <c r="AF5183">
        <v>-2.0891457628721302</v>
      </c>
      <c r="AG5183">
        <v>-1.111170233195</v>
      </c>
      <c r="AH5183">
        <v>50.870639713632698</v>
      </c>
      <c r="AI5183">
        <v>91.250262392900396</v>
      </c>
      <c r="AJ5183">
        <v>92.351690683953095</v>
      </c>
      <c r="AK5183">
        <v>50.925643974130402</v>
      </c>
      <c r="AL5183">
        <v>80.429602982696295</v>
      </c>
      <c r="AM5183">
        <v>98.552618840247007</v>
      </c>
      <c r="AN5183">
        <v>1.00000005783844</v>
      </c>
    </row>
    <row r="5184" spans="1:40" x14ac:dyDescent="0.25">
      <c r="A5184" t="str">
        <f>"20190304155206418"</f>
        <v>20190304155206418</v>
      </c>
      <c r="B5184" t="str">
        <f>"1551685926412614"</f>
        <v>1551685926412614</v>
      </c>
      <c r="C5184" t="s">
        <v>40</v>
      </c>
      <c r="D5184">
        <v>4.7509459999999999</v>
      </c>
      <c r="E5184">
        <v>0.54664769999999996</v>
      </c>
      <c r="F5184" t="s">
        <v>41</v>
      </c>
      <c r="G5184">
        <v>-424.88459999999998</v>
      </c>
      <c r="H5184" s="1">
        <v>-4.829928E-6</v>
      </c>
      <c r="I5184">
        <v>48.633679999999998</v>
      </c>
      <c r="J5184">
        <v>-421.77980000000002</v>
      </c>
      <c r="K5184">
        <v>1.1111219999999999</v>
      </c>
      <c r="L5184">
        <v>102.5583</v>
      </c>
      <c r="M5184">
        <v>-9.4267669999999998E-2</v>
      </c>
      <c r="N5184">
        <v>-6.596813E-3</v>
      </c>
      <c r="O5184">
        <v>-0.99552510000000005</v>
      </c>
      <c r="P5184">
        <v>5.187423E-2</v>
      </c>
      <c r="Q5184">
        <v>0.16075610000000001</v>
      </c>
      <c r="R5184">
        <v>-0.98563029999999996</v>
      </c>
      <c r="S5184">
        <v>-0.17675779999999999</v>
      </c>
      <c r="T5184">
        <v>-6.282306E-2</v>
      </c>
      <c r="U5184">
        <v>-3.062805</v>
      </c>
      <c r="V5184">
        <v>-0.1451625</v>
      </c>
      <c r="W5184">
        <v>0.16666979999999901</v>
      </c>
      <c r="X5184">
        <v>0.97526869999999999</v>
      </c>
      <c r="Y5184">
        <v>-3.675668E-2</v>
      </c>
      <c r="Z5184">
        <v>1.376866E-2</v>
      </c>
      <c r="AA5184">
        <v>0.99922940000000005</v>
      </c>
      <c r="AB5184">
        <v>25</v>
      </c>
      <c r="AC5184">
        <v>-3.1047999999999498</v>
      </c>
      <c r="AD5184">
        <v>-1.1111268299279999</v>
      </c>
      <c r="AE5184">
        <v>-53.924619999999997</v>
      </c>
      <c r="AF5184">
        <v>-1.9916423666876399</v>
      </c>
      <c r="AG5184">
        <v>-1.1111268299279999</v>
      </c>
      <c r="AH5184">
        <v>53.954333900653097</v>
      </c>
      <c r="AI5184">
        <v>91.178970521121201</v>
      </c>
      <c r="AJ5184">
        <v>92.114026915186301</v>
      </c>
      <c r="AK5184">
        <v>54.002512800907098</v>
      </c>
      <c r="AL5184">
        <v>80.405749752191099</v>
      </c>
      <c r="AM5184">
        <v>98.465955532355395</v>
      </c>
      <c r="AN5184">
        <v>1.0000000054189899</v>
      </c>
    </row>
    <row r="5185" spans="1:40" x14ac:dyDescent="0.25">
      <c r="A5185" t="str">
        <f>"20190304155206440"</f>
        <v>20190304155206440</v>
      </c>
      <c r="B5185" t="str">
        <f>"1551685926432134"</f>
        <v>1551685926432134</v>
      </c>
      <c r="C5185" t="s">
        <v>40</v>
      </c>
      <c r="D5185">
        <v>4.686928</v>
      </c>
      <c r="E5185">
        <v>0.54076420000000003</v>
      </c>
      <c r="F5185" t="s">
        <v>77</v>
      </c>
      <c r="G5185">
        <v>-428.38240000000002</v>
      </c>
      <c r="H5185">
        <v>7.9987730000000007E-2</v>
      </c>
      <c r="I5185">
        <v>9.2653540000000003</v>
      </c>
      <c r="J5185">
        <v>-421.80079999999998</v>
      </c>
      <c r="K5185">
        <v>1.11107</v>
      </c>
      <c r="L5185">
        <v>102.3107</v>
      </c>
      <c r="M5185">
        <v>-9.2110250000000005E-2</v>
      </c>
      <c r="N5185">
        <v>-6.597248E-3</v>
      </c>
      <c r="O5185">
        <v>-0.99572709999999998</v>
      </c>
      <c r="P5185">
        <v>5.252917E-2</v>
      </c>
      <c r="Q5185">
        <v>0.1607856</v>
      </c>
      <c r="R5185">
        <v>-0.98559079999999999</v>
      </c>
      <c r="S5185">
        <v>-0.2166138</v>
      </c>
      <c r="T5185">
        <v>-3.3828499999999997E-2</v>
      </c>
      <c r="U5185">
        <v>-3.0606689999999999</v>
      </c>
      <c r="V5185">
        <v>-0.14367659999999999</v>
      </c>
      <c r="W5185">
        <v>0.16672149999999999</v>
      </c>
      <c r="X5185">
        <v>0.97547980000000001</v>
      </c>
      <c r="Y5185">
        <v>-2.158523E-2</v>
      </c>
      <c r="Z5185">
        <v>4.3909739999999997E-3</v>
      </c>
      <c r="AA5185">
        <v>0.99975729999999996</v>
      </c>
      <c r="AB5185">
        <v>25</v>
      </c>
      <c r="AC5185">
        <v>-6.5816000000000301</v>
      </c>
      <c r="AD5185">
        <v>-1.03108227</v>
      </c>
      <c r="AE5185">
        <v>-93.045345999999995</v>
      </c>
      <c r="AF5185">
        <v>-2.0167497888688599</v>
      </c>
      <c r="AG5185">
        <v>-1.03108227</v>
      </c>
      <c r="AH5185">
        <v>93.244628367841202</v>
      </c>
      <c r="AI5185">
        <v>90.633392446978704</v>
      </c>
      <c r="AJ5185">
        <v>91.239033713585101</v>
      </c>
      <c r="AK5185">
        <v>93.272134798208697</v>
      </c>
      <c r="AL5185">
        <v>80.402744815953895</v>
      </c>
      <c r="AM5185">
        <v>98.378746127605297</v>
      </c>
      <c r="AN5185">
        <v>0.99999993207892202</v>
      </c>
    </row>
    <row r="5186" spans="1:40" x14ac:dyDescent="0.25">
      <c r="A5186" t="str">
        <f>"20190304155206474"</f>
        <v>20190304155206474</v>
      </c>
      <c r="B5186" t="str">
        <f>"1551685926462389"</f>
        <v>1551685926462389</v>
      </c>
      <c r="C5186" t="s">
        <v>40</v>
      </c>
      <c r="D5186">
        <v>4.682461</v>
      </c>
      <c r="E5186">
        <v>0.53171550000000001</v>
      </c>
      <c r="F5186" t="s">
        <v>41</v>
      </c>
      <c r="G5186">
        <v>-424.85980000000001</v>
      </c>
      <c r="H5186" s="1">
        <v>-4.007103E-6</v>
      </c>
      <c r="I5186">
        <v>46.228679999999997</v>
      </c>
      <c r="J5186">
        <v>-421.83150000000001</v>
      </c>
      <c r="K5186">
        <v>1.1109899999999999</v>
      </c>
      <c r="L5186">
        <v>101.9395</v>
      </c>
      <c r="M5186">
        <v>-8.9035310000000006E-2</v>
      </c>
      <c r="N5186">
        <v>-6.5989990000000004E-3</v>
      </c>
      <c r="O5186">
        <v>-0.99600670000000002</v>
      </c>
      <c r="P5186">
        <v>5.5332220000000001E-2</v>
      </c>
      <c r="Q5186">
        <v>0.16043589999999999</v>
      </c>
      <c r="R5186">
        <v>-0.98549439999999999</v>
      </c>
      <c r="S5186">
        <v>-0.16705320000000001</v>
      </c>
      <c r="T5186">
        <v>-6.0675979999999997E-2</v>
      </c>
      <c r="U5186">
        <v>-3.0626530000000001</v>
      </c>
      <c r="V5186">
        <v>-0.14341329999999999</v>
      </c>
      <c r="W5186">
        <v>0.1664003</v>
      </c>
      <c r="X5186">
        <v>0.97557340000000003</v>
      </c>
      <c r="Y5186">
        <v>-3.4658750000000002E-2</v>
      </c>
      <c r="Z5186">
        <v>1.3087110000000001E-2</v>
      </c>
      <c r="AA5186">
        <v>0.99931349999999997</v>
      </c>
      <c r="AB5186">
        <v>25</v>
      </c>
      <c r="AC5186">
        <v>-3.0283000000000002</v>
      </c>
      <c r="AD5186">
        <v>-1.110994007103</v>
      </c>
      <c r="AE5186">
        <v>-55.710819999999998</v>
      </c>
      <c r="AF5186">
        <v>-1.94329464269798</v>
      </c>
      <c r="AG5186">
        <v>-1.110994007103</v>
      </c>
      <c r="AH5186">
        <v>55.737083921088697</v>
      </c>
      <c r="AI5186">
        <v>91.141218662393001</v>
      </c>
      <c r="AJ5186">
        <v>91.996830307663004</v>
      </c>
      <c r="AK5186">
        <v>55.782015253831098</v>
      </c>
      <c r="AL5186">
        <v>80.421409078283403</v>
      </c>
      <c r="AM5186">
        <v>98.362817639827696</v>
      </c>
      <c r="AN5186">
        <v>0.99999994662226799</v>
      </c>
    </row>
    <row r="5187" spans="1:40" x14ac:dyDescent="0.25">
      <c r="A5187" t="str">
        <f>"20190304155206495"</f>
        <v>20190304155206495</v>
      </c>
      <c r="B5187" t="str">
        <f>"1551685926492646"</f>
        <v>1551685926492646</v>
      </c>
      <c r="C5187" t="s">
        <v>40</v>
      </c>
      <c r="D5187">
        <v>4.7126029999999997</v>
      </c>
      <c r="E5187">
        <v>0.50864920000000002</v>
      </c>
      <c r="F5187" t="s">
        <v>41</v>
      </c>
      <c r="G5187">
        <v>-423.27140000000003</v>
      </c>
      <c r="H5187" s="1">
        <v>-1.297076E-6</v>
      </c>
      <c r="I5187">
        <v>50.583620000000003</v>
      </c>
      <c r="J5187">
        <v>-421.85169999999999</v>
      </c>
      <c r="K5187">
        <v>1.110938</v>
      </c>
      <c r="L5187">
        <v>101.6893</v>
      </c>
      <c r="M5187">
        <v>-8.7066389999999994E-2</v>
      </c>
      <c r="N5187">
        <v>-6.601038E-3</v>
      </c>
      <c r="O5187">
        <v>-0.99618079999999998</v>
      </c>
      <c r="P5187">
        <v>5.676987E-2</v>
      </c>
      <c r="Q5187">
        <v>0.1593204</v>
      </c>
      <c r="R5187">
        <v>-0.98559359999999996</v>
      </c>
      <c r="S5187">
        <v>-8.5784910000000006E-2</v>
      </c>
      <c r="T5187">
        <v>-6.6192150000000005E-2</v>
      </c>
      <c r="U5187">
        <v>-3.0597530000000002</v>
      </c>
      <c r="V5187">
        <v>-0.14290029999999901</v>
      </c>
      <c r="W5187">
        <v>0.16530710000000001</v>
      </c>
      <c r="X5187">
        <v>0.97583450000000005</v>
      </c>
      <c r="Y5187">
        <v>-5.9112560000000001E-2</v>
      </c>
      <c r="Z5187">
        <v>1.4889940000000001E-2</v>
      </c>
      <c r="AA5187">
        <v>0.99814029999999998</v>
      </c>
      <c r="AB5187">
        <v>25</v>
      </c>
      <c r="AC5187">
        <v>-1.4197000000000299</v>
      </c>
      <c r="AD5187">
        <v>-1.1109392970759999</v>
      </c>
      <c r="AE5187">
        <v>-51.10568</v>
      </c>
      <c r="AF5187">
        <v>-3.0339422704269601</v>
      </c>
      <c r="AG5187">
        <v>-1.1109392970759999</v>
      </c>
      <c r="AH5187">
        <v>51.0111227633871</v>
      </c>
      <c r="AI5187">
        <v>91.245411555885994</v>
      </c>
      <c r="AJ5187">
        <v>93.403719431888803</v>
      </c>
      <c r="AK5187">
        <v>51.113341090202901</v>
      </c>
      <c r="AL5187">
        <v>80.484924550233302</v>
      </c>
      <c r="AM5187">
        <v>98.331125635879303</v>
      </c>
      <c r="AN5187">
        <v>0.99999995222037297</v>
      </c>
    </row>
    <row r="5188" spans="1:40" x14ac:dyDescent="0.25">
      <c r="A5188" t="str">
        <f>"20190304155206518"</f>
        <v>20190304155206518</v>
      </c>
      <c r="B5188" t="str">
        <f>"1551685926512165"</f>
        <v>1551685926512165</v>
      </c>
      <c r="C5188" t="s">
        <v>40</v>
      </c>
      <c r="D5188">
        <v>4.7310189999999999</v>
      </c>
      <c r="E5188">
        <v>0.50988500000000003</v>
      </c>
      <c r="F5188" t="s">
        <v>77</v>
      </c>
      <c r="G5188">
        <v>-418.74</v>
      </c>
      <c r="H5188">
        <v>6.1481300000000003E-2</v>
      </c>
      <c r="I5188">
        <v>9.6047860000000007</v>
      </c>
      <c r="J5188">
        <v>-421.87240000000003</v>
      </c>
      <c r="K5188">
        <v>1.110886</v>
      </c>
      <c r="L5188">
        <v>101.42700000000001</v>
      </c>
      <c r="M5188">
        <v>-8.5084010000000002E-2</v>
      </c>
      <c r="N5188">
        <v>-6.60393E-3</v>
      </c>
      <c r="O5188">
        <v>-0.99635200000000002</v>
      </c>
      <c r="P5188">
        <v>5.8133909999999997E-2</v>
      </c>
      <c r="Q5188">
        <v>0.15871270000000001</v>
      </c>
      <c r="R5188">
        <v>-0.98561189999999999</v>
      </c>
      <c r="S5188">
        <v>0.1028442</v>
      </c>
      <c r="T5188">
        <v>-3.4685970000000003E-2</v>
      </c>
      <c r="U5188">
        <v>-3.0435180000000002</v>
      </c>
      <c r="V5188">
        <v>-0.14229559999999999</v>
      </c>
      <c r="W5188">
        <v>0.16472200000000001</v>
      </c>
      <c r="X5188">
        <v>0.97602180000000005</v>
      </c>
      <c r="Y5188">
        <v>-0.1186794</v>
      </c>
      <c r="Z5188">
        <v>4.6771579999999998E-3</v>
      </c>
      <c r="AA5188">
        <v>0.99292159999999996</v>
      </c>
      <c r="AB5188">
        <v>26</v>
      </c>
      <c r="AC5188">
        <v>3.1324000000000098</v>
      </c>
      <c r="AD5188">
        <v>-1.0494047</v>
      </c>
      <c r="AE5188">
        <v>-91.822214000000002</v>
      </c>
      <c r="AF5188">
        <v>-10.9323861981779</v>
      </c>
      <c r="AG5188">
        <v>-1.0494047</v>
      </c>
      <c r="AH5188">
        <v>91.210809535532604</v>
      </c>
      <c r="AI5188">
        <v>90.654490104467897</v>
      </c>
      <c r="AJ5188">
        <v>96.834778155808607</v>
      </c>
      <c r="AK5188">
        <v>91.869636411263201</v>
      </c>
      <c r="AL5188">
        <v>80.518914391777599</v>
      </c>
      <c r="AM5188">
        <v>98.294793267884998</v>
      </c>
      <c r="AN5188">
        <v>0.99999996456929896</v>
      </c>
    </row>
    <row r="5189" spans="1:40" x14ac:dyDescent="0.25">
      <c r="A5189" t="str">
        <f>"20190304155206540"</f>
        <v>20190304155206540</v>
      </c>
      <c r="B5189" t="str">
        <f>"1551685926531686"</f>
        <v>1551685926531686</v>
      </c>
      <c r="C5189" t="s">
        <v>40</v>
      </c>
      <c r="D5189">
        <v>4.8539159999999999</v>
      </c>
      <c r="E5189">
        <v>0.50958029999999999</v>
      </c>
      <c r="F5189" t="s">
        <v>77</v>
      </c>
      <c r="G5189">
        <v>-419.33839999999998</v>
      </c>
      <c r="H5189" s="1">
        <v>-6.6945909999999998E-6</v>
      </c>
      <c r="I5189">
        <v>22.417210000000001</v>
      </c>
      <c r="J5189">
        <v>-421.89170000000001</v>
      </c>
      <c r="K5189">
        <v>1.11084</v>
      </c>
      <c r="L5189">
        <v>101.1781</v>
      </c>
      <c r="M5189">
        <v>-8.3291279999999995E-2</v>
      </c>
      <c r="N5189">
        <v>-6.6071339999999998E-3</v>
      </c>
      <c r="O5189">
        <v>-0.99650329999999998</v>
      </c>
      <c r="P5189">
        <v>5.8667190000000001E-2</v>
      </c>
      <c r="Q5189">
        <v>0.15757199999999999</v>
      </c>
      <c r="R5189">
        <v>-0.98576330000000001</v>
      </c>
      <c r="S5189">
        <v>9.765625E-2</v>
      </c>
      <c r="T5189">
        <v>-4.2812589999999998E-2</v>
      </c>
      <c r="U5189">
        <v>-3.0449519999999999</v>
      </c>
      <c r="V5189">
        <v>-0.14105980000000001</v>
      </c>
      <c r="W5189">
        <v>0.1636058</v>
      </c>
      <c r="X5189">
        <v>0.9763889</v>
      </c>
      <c r="Y5189">
        <v>-0.1151852</v>
      </c>
      <c r="Z5189">
        <v>7.3194840000000002E-3</v>
      </c>
      <c r="AA5189">
        <v>0.99331709999999995</v>
      </c>
      <c r="AB5189">
        <v>26</v>
      </c>
      <c r="AC5189">
        <v>2.5533000000000299</v>
      </c>
      <c r="AD5189">
        <v>-1.1108466945909901</v>
      </c>
      <c r="AE5189">
        <v>-78.760890000000003</v>
      </c>
      <c r="AF5189">
        <v>-9.1028574447692101</v>
      </c>
      <c r="AG5189">
        <v>-1.1108466945909901</v>
      </c>
      <c r="AH5189">
        <v>78.258979647713502</v>
      </c>
      <c r="AI5189">
        <v>90.807784600495495</v>
      </c>
      <c r="AJ5189">
        <v>96.634664424736002</v>
      </c>
      <c r="AK5189">
        <v>78.794440727375601</v>
      </c>
      <c r="AL5189">
        <v>80.583747912660399</v>
      </c>
      <c r="AM5189">
        <v>98.2206950251433</v>
      </c>
      <c r="AN5189">
        <v>1.0000000045064401</v>
      </c>
    </row>
    <row r="5190" spans="1:40" x14ac:dyDescent="0.25">
      <c r="A5190" t="str">
        <f>"20190304155206563"</f>
        <v>20190304155206563</v>
      </c>
      <c r="B5190" t="str">
        <f>"1551685926552182"</f>
        <v>1551685926552182</v>
      </c>
      <c r="C5190" t="s">
        <v>40</v>
      </c>
      <c r="D5190">
        <v>4.766858</v>
      </c>
      <c r="E5190">
        <v>0.51029880000000005</v>
      </c>
      <c r="F5190" t="s">
        <v>77</v>
      </c>
      <c r="G5190">
        <v>-419.57859999999999</v>
      </c>
      <c r="H5190" s="1">
        <v>-4.6079390000000004E-6</v>
      </c>
      <c r="I5190">
        <v>31.97214</v>
      </c>
      <c r="J5190">
        <v>-421.9117</v>
      </c>
      <c r="K5190">
        <v>1.1107819999999999</v>
      </c>
      <c r="L5190">
        <v>100.9147</v>
      </c>
      <c r="M5190">
        <v>-8.1496170000000007E-2</v>
      </c>
      <c r="N5190">
        <v>-6.6107639999999999E-3</v>
      </c>
      <c r="O5190">
        <v>-0.99665179999999998</v>
      </c>
      <c r="P5190">
        <v>5.8787579999999999E-2</v>
      </c>
      <c r="Q5190">
        <v>0.15684609999999999</v>
      </c>
      <c r="R5190">
        <v>-0.98587190000000002</v>
      </c>
      <c r="S5190">
        <v>0.10177609999999999</v>
      </c>
      <c r="T5190">
        <v>-4.8877360000000002E-2</v>
      </c>
      <c r="U5190">
        <v>-3.0450740000000001</v>
      </c>
      <c r="V5190">
        <v>-0.13940449999999999</v>
      </c>
      <c r="W5190">
        <v>0.1629091</v>
      </c>
      <c r="X5190">
        <v>0.97674300000000003</v>
      </c>
      <c r="Y5190">
        <v>-0.1147358</v>
      </c>
      <c r="Z5190">
        <v>9.2923859999999997E-3</v>
      </c>
      <c r="AA5190">
        <v>0.99335260000000003</v>
      </c>
      <c r="AB5190">
        <v>26</v>
      </c>
      <c r="AC5190">
        <v>2.3331</v>
      </c>
      <c r="AD5190">
        <v>-1.1107866079390001</v>
      </c>
      <c r="AE5190">
        <v>-68.942559999999901</v>
      </c>
      <c r="AF5190">
        <v>-7.9419566552922998</v>
      </c>
      <c r="AG5190">
        <v>-1.1107866079390001</v>
      </c>
      <c r="AH5190">
        <v>68.505317495221107</v>
      </c>
      <c r="AI5190">
        <v>90.922767656582295</v>
      </c>
      <c r="AJ5190">
        <v>96.612891989136401</v>
      </c>
      <c r="AK5190">
        <v>68.973089299551901</v>
      </c>
      <c r="AL5190">
        <v>80.624208103472199</v>
      </c>
      <c r="AM5190">
        <v>98.122616607293907</v>
      </c>
      <c r="AN5190">
        <v>0.999999938766028</v>
      </c>
    </row>
    <row r="5191" spans="1:40" x14ac:dyDescent="0.25">
      <c r="A5191" t="str">
        <f>"20190304155206586"</f>
        <v>20190304155206586</v>
      </c>
      <c r="B5191" t="str">
        <f>"1551685926582438"</f>
        <v>1551685926582438</v>
      </c>
      <c r="C5191" t="s">
        <v>40</v>
      </c>
      <c r="D5191">
        <v>4.7877280000000004</v>
      </c>
      <c r="E5191">
        <v>0.51121119999999998</v>
      </c>
      <c r="F5191" t="s">
        <v>77</v>
      </c>
      <c r="G5191">
        <v>-419.9162</v>
      </c>
      <c r="H5191" s="1">
        <v>-1.1071050000000001E-6</v>
      </c>
      <c r="I5191">
        <v>37.889499999999998</v>
      </c>
      <c r="J5191">
        <v>-421.93099999999998</v>
      </c>
      <c r="K5191">
        <v>1.1107180000000001</v>
      </c>
      <c r="L5191">
        <v>100.65600000000001</v>
      </c>
      <c r="M5191">
        <v>-7.9837050000000007E-2</v>
      </c>
      <c r="N5191">
        <v>-6.6144489999999997E-3</v>
      </c>
      <c r="O5191">
        <v>-0.99678610000000001</v>
      </c>
      <c r="P5191">
        <v>5.888169E-2</v>
      </c>
      <c r="Q5191">
        <v>0.155948</v>
      </c>
      <c r="R5191">
        <v>-0.98600889999999997</v>
      </c>
      <c r="S5191">
        <v>9.6435549999999995E-2</v>
      </c>
      <c r="T5191">
        <v>-5.3680060000000002E-2</v>
      </c>
      <c r="U5191">
        <v>-3.045776</v>
      </c>
      <c r="V5191">
        <v>-0.1378566</v>
      </c>
      <c r="W5191">
        <v>0.16204099999999999</v>
      </c>
      <c r="X5191">
        <v>0.97710710000000001</v>
      </c>
      <c r="Y5191">
        <v>-0.1113331</v>
      </c>
      <c r="Z5191">
        <v>1.085595E-2</v>
      </c>
      <c r="AA5191">
        <v>0.99372389999999999</v>
      </c>
      <c r="AB5191">
        <v>26</v>
      </c>
      <c r="AC5191">
        <v>2.0147999999999802</v>
      </c>
      <c r="AD5191">
        <v>-1.110719107105</v>
      </c>
      <c r="AE5191">
        <v>-62.766500000000001</v>
      </c>
      <c r="AF5191">
        <v>-7.0173743375539601</v>
      </c>
      <c r="AG5191">
        <v>-1.110719107105</v>
      </c>
      <c r="AH5191">
        <v>62.385760892597602</v>
      </c>
      <c r="AI5191">
        <v>91.013598264378402</v>
      </c>
      <c r="AJ5191">
        <v>96.417858244426498</v>
      </c>
      <c r="AK5191">
        <v>62.789014976161297</v>
      </c>
      <c r="AL5191">
        <v>80.674617002594005</v>
      </c>
      <c r="AM5191">
        <v>98.0306552473034</v>
      </c>
      <c r="AN5191">
        <v>1.0000000063574801</v>
      </c>
    </row>
    <row r="5192" spans="1:40" x14ac:dyDescent="0.25">
      <c r="A5192" t="str">
        <f>"20190304155206609"</f>
        <v>20190304155206609</v>
      </c>
      <c r="B5192" t="str">
        <f>"1551685926601958"</f>
        <v>1551685926601958</v>
      </c>
      <c r="C5192" t="s">
        <v>40</v>
      </c>
      <c r="D5192">
        <v>5.1348919999999998</v>
      </c>
      <c r="E5192">
        <v>0.51020379999999999</v>
      </c>
      <c r="F5192" t="s">
        <v>41</v>
      </c>
      <c r="G5192">
        <v>-420.21839999999997</v>
      </c>
      <c r="H5192" s="1">
        <v>-1.16506E-6</v>
      </c>
      <c r="I5192">
        <v>42.169400000000003</v>
      </c>
      <c r="J5192">
        <v>-421.95060000000001</v>
      </c>
      <c r="K5192">
        <v>1.110649</v>
      </c>
      <c r="L5192">
        <v>100.3887</v>
      </c>
      <c r="M5192">
        <v>-7.8233230000000001E-2</v>
      </c>
      <c r="N5192">
        <v>-6.6186119999999899E-3</v>
      </c>
      <c r="O5192">
        <v>-0.9969131</v>
      </c>
      <c r="P5192">
        <v>5.9058560000000003E-2</v>
      </c>
      <c r="Q5192">
        <v>0.15469050000000001</v>
      </c>
      <c r="R5192">
        <v>-0.98619619999999997</v>
      </c>
      <c r="S5192">
        <v>8.9202879999999998E-2</v>
      </c>
      <c r="T5192">
        <v>-5.785394E-2</v>
      </c>
      <c r="U5192">
        <v>-3.0463870000000002</v>
      </c>
      <c r="V5192">
        <v>-0.13644439999999999</v>
      </c>
      <c r="W5192">
        <v>0.16081509999999999</v>
      </c>
      <c r="X5192">
        <v>0.97750780000000004</v>
      </c>
      <c r="Y5192">
        <v>-0.1073694</v>
      </c>
      <c r="Z5192">
        <v>1.221591E-2</v>
      </c>
      <c r="AA5192">
        <v>0.99414409999999998</v>
      </c>
      <c r="AB5192">
        <v>26</v>
      </c>
      <c r="AC5192">
        <v>1.7322000000000299</v>
      </c>
      <c r="AD5192">
        <v>-1.11065016506</v>
      </c>
      <c r="AE5192">
        <v>-58.219299999999997</v>
      </c>
      <c r="AF5192">
        <v>-6.2793911801732003</v>
      </c>
      <c r="AG5192">
        <v>-1.11065016506</v>
      </c>
      <c r="AH5192">
        <v>57.884289000506399</v>
      </c>
      <c r="AI5192">
        <v>91.092813403250105</v>
      </c>
      <c r="AJ5192">
        <v>96.191337202775401</v>
      </c>
      <c r="AK5192">
        <v>58.234484718909698</v>
      </c>
      <c r="AL5192">
        <v>80.745789631565501</v>
      </c>
      <c r="AM5192">
        <v>97.946229399253895</v>
      </c>
      <c r="AN5192">
        <v>1.0000000348700999</v>
      </c>
    </row>
    <row r="5193" spans="1:40" x14ac:dyDescent="0.25">
      <c r="A5193" t="str">
        <f>"20190304155206631"</f>
        <v>20190304155206631</v>
      </c>
      <c r="B5193" t="str">
        <f>"1551685926622453"</f>
        <v>1551685926622453</v>
      </c>
      <c r="C5193" t="s">
        <v>40</v>
      </c>
      <c r="D5193">
        <v>4.9222130000000002</v>
      </c>
      <c r="E5193">
        <v>0.50963249999999904</v>
      </c>
      <c r="F5193" t="s">
        <v>41</v>
      </c>
      <c r="G5193">
        <v>-420.35090000000002</v>
      </c>
      <c r="H5193" s="1">
        <v>-5.2153979999999996E-7</v>
      </c>
      <c r="I5193">
        <v>50.587200000000003</v>
      </c>
      <c r="J5193">
        <v>-421.96899999999999</v>
      </c>
      <c r="K5193">
        <v>1.1105799999999999</v>
      </c>
      <c r="L5193">
        <v>100.1343</v>
      </c>
      <c r="M5193">
        <v>-7.6808150000000006E-2</v>
      </c>
      <c r="N5193">
        <v>-6.6233380000000003E-3</v>
      </c>
      <c r="O5193">
        <v>-0.99702420000000003</v>
      </c>
      <c r="P5193">
        <v>5.9635010000000002E-2</v>
      </c>
      <c r="Q5193">
        <v>0.15356049999999999</v>
      </c>
      <c r="R5193">
        <v>-0.98633839999999995</v>
      </c>
      <c r="S5193">
        <v>9.7869869999999998E-2</v>
      </c>
      <c r="T5193">
        <v>-6.7947859999999999E-2</v>
      </c>
      <c r="U5193">
        <v>-3.046783</v>
      </c>
      <c r="V5193">
        <v>-0.135604799999999</v>
      </c>
      <c r="W5193">
        <v>0.15971379999999999</v>
      </c>
      <c r="X5193">
        <v>0.97780509999999998</v>
      </c>
      <c r="Y5193">
        <v>-0.1087668</v>
      </c>
      <c r="Z5193">
        <v>1.5494930000000001E-2</v>
      </c>
      <c r="AA5193">
        <v>0.99394649999999996</v>
      </c>
      <c r="AB5193">
        <v>26</v>
      </c>
      <c r="AC5193">
        <v>1.6180999999999699</v>
      </c>
      <c r="AD5193">
        <v>-1.1105805215397999</v>
      </c>
      <c r="AE5193">
        <v>-49.547099999999901</v>
      </c>
      <c r="AF5193">
        <v>-5.4163048018540101</v>
      </c>
      <c r="AG5193">
        <v>-1.1105805215397999</v>
      </c>
      <c r="AH5193">
        <v>49.251721654427399</v>
      </c>
      <c r="AI5193">
        <v>91.284009303954704</v>
      </c>
      <c r="AJ5193">
        <v>96.275707024151203</v>
      </c>
      <c r="AK5193">
        <v>49.561091924276703</v>
      </c>
      <c r="AL5193">
        <v>80.809715329807005</v>
      </c>
      <c r="AM5193">
        <v>97.895580746761397</v>
      </c>
      <c r="AN5193">
        <v>0.99999998663974399</v>
      </c>
    </row>
    <row r="5194" spans="1:40" x14ac:dyDescent="0.25">
      <c r="A5194" t="str">
        <f>"20190304155206653"</f>
        <v>20190304155206653</v>
      </c>
      <c r="B5194" t="str">
        <f>"1551685926641973"</f>
        <v>1551685926641973</v>
      </c>
      <c r="C5194" t="s">
        <v>40</v>
      </c>
      <c r="D5194">
        <v>5.136171</v>
      </c>
      <c r="E5194">
        <v>0.50924659999999999</v>
      </c>
      <c r="F5194" t="s">
        <v>41</v>
      </c>
      <c r="G5194">
        <v>-420.45600000000002</v>
      </c>
      <c r="H5194" s="1">
        <v>-2.6934879999999998E-6</v>
      </c>
      <c r="I5194">
        <v>55.584850000000003</v>
      </c>
      <c r="J5194">
        <v>-421.98759999999999</v>
      </c>
      <c r="K5194">
        <v>1.1105240000000001</v>
      </c>
      <c r="L5194">
        <v>99.872529999999998</v>
      </c>
      <c r="M5194">
        <v>-7.5420169999999995E-2</v>
      </c>
      <c r="N5194">
        <v>-6.6286590000000003E-3</v>
      </c>
      <c r="O5194">
        <v>-0.99712990000000001</v>
      </c>
      <c r="P5194">
        <v>6.0224380000000001E-2</v>
      </c>
      <c r="Q5194">
        <v>0.1521632</v>
      </c>
      <c r="R5194">
        <v>-0.98651889999999998</v>
      </c>
      <c r="S5194">
        <v>0.1034851</v>
      </c>
      <c r="T5194">
        <v>-7.5962189999999999E-2</v>
      </c>
      <c r="U5194">
        <v>-3.0471189999999999</v>
      </c>
      <c r="V5194">
        <v>-0.13482040000000001</v>
      </c>
      <c r="W5194">
        <v>0.15834289999999901</v>
      </c>
      <c r="X5194">
        <v>0.97813649999999996</v>
      </c>
      <c r="Y5194">
        <v>-0.1092067</v>
      </c>
      <c r="Z5194">
        <v>1.809763E-2</v>
      </c>
      <c r="AA5194">
        <v>0.99385429999999997</v>
      </c>
      <c r="AB5194">
        <v>26</v>
      </c>
      <c r="AC5194">
        <v>1.5316000000000201</v>
      </c>
      <c r="AD5194">
        <v>-1.110526693488</v>
      </c>
      <c r="AE5194">
        <v>-44.287680000000002</v>
      </c>
      <c r="AF5194">
        <v>-4.8644400498597804</v>
      </c>
      <c r="AG5194">
        <v>-1.110526693488</v>
      </c>
      <c r="AH5194">
        <v>44.018375752374197</v>
      </c>
      <c r="AI5194">
        <v>91.436450980336204</v>
      </c>
      <c r="AJ5194">
        <v>96.306128969734502</v>
      </c>
      <c r="AK5194">
        <v>44.300264676555102</v>
      </c>
      <c r="AL5194">
        <v>80.889274837860995</v>
      </c>
      <c r="AM5194">
        <v>97.847853548173404</v>
      </c>
      <c r="AN5194">
        <v>1.00000001343441</v>
      </c>
    </row>
    <row r="5195" spans="1:40" x14ac:dyDescent="0.25">
      <c r="A5195" t="str">
        <f>"20190304155206674"</f>
        <v>20190304155206674</v>
      </c>
      <c r="B5195" t="str">
        <f>"1551685926662469"</f>
        <v>1551685926662469</v>
      </c>
      <c r="C5195" t="s">
        <v>40</v>
      </c>
      <c r="D5195">
        <v>5.0049729999999997</v>
      </c>
      <c r="E5195">
        <v>0.50879419999999997</v>
      </c>
      <c r="F5195" t="s">
        <v>41</v>
      </c>
      <c r="G5195">
        <v>-420.55799999999999</v>
      </c>
      <c r="H5195" s="1">
        <v>-4.3725960000000002E-6</v>
      </c>
      <c r="I5195">
        <v>59.545029999999997</v>
      </c>
      <c r="J5195">
        <v>-422.00510000000003</v>
      </c>
      <c r="K5195">
        <v>1.1104750000000001</v>
      </c>
      <c r="L5195">
        <v>99.623869999999997</v>
      </c>
      <c r="M5195">
        <v>-7.4168789999999998E-2</v>
      </c>
      <c r="N5195">
        <v>-6.6340339999999996E-3</v>
      </c>
      <c r="O5195">
        <v>-0.997224</v>
      </c>
      <c r="P5195">
        <v>6.1242959999999999E-2</v>
      </c>
      <c r="Q5195">
        <v>0.15178050000000001</v>
      </c>
      <c r="R5195">
        <v>-0.98651549999999999</v>
      </c>
      <c r="S5195">
        <v>0.10803219999999999</v>
      </c>
      <c r="T5195">
        <v>-8.3916660000000004E-2</v>
      </c>
      <c r="U5195">
        <v>-3.0473330000000001</v>
      </c>
      <c r="V5195">
        <v>-0.1345904</v>
      </c>
      <c r="W5195">
        <v>0.15797939999999999</v>
      </c>
      <c r="X5195">
        <v>0.97822699999999996</v>
      </c>
      <c r="Y5195">
        <v>-0.1094353</v>
      </c>
      <c r="Z5195">
        <v>2.0681439999999999E-2</v>
      </c>
      <c r="AA5195">
        <v>0.99377879999999996</v>
      </c>
      <c r="AB5195">
        <v>26</v>
      </c>
      <c r="AC5195">
        <v>1.4470999999999701</v>
      </c>
      <c r="AD5195">
        <v>-1.110479372596</v>
      </c>
      <c r="AE5195">
        <v>-40.0788399999999</v>
      </c>
      <c r="AF5195">
        <v>-4.4123945075397799</v>
      </c>
      <c r="AG5195">
        <v>-1.110479372596</v>
      </c>
      <c r="AH5195">
        <v>39.830576112988403</v>
      </c>
      <c r="AI5195">
        <v>91.587291910072096</v>
      </c>
      <c r="AJ5195">
        <v>96.321398980517898</v>
      </c>
      <c r="AK5195">
        <v>40.089614405974203</v>
      </c>
      <c r="AL5195">
        <v>80.910367811514504</v>
      </c>
      <c r="AM5195">
        <v>97.833915907927604</v>
      </c>
      <c r="AN5195">
        <v>1.0000000650627501</v>
      </c>
    </row>
    <row r="5196" spans="1:40" x14ac:dyDescent="0.25">
      <c r="A5196" t="str">
        <f>"20190304155206697"</f>
        <v>20190304155206697</v>
      </c>
      <c r="B5196" t="str">
        <f>"1551685926691753"</f>
        <v>1551685926691753</v>
      </c>
      <c r="C5196" t="s">
        <v>40</v>
      </c>
      <c r="D5196">
        <v>4.8382959999999997</v>
      </c>
      <c r="E5196">
        <v>0.50919159999999997</v>
      </c>
      <c r="F5196" t="s">
        <v>41</v>
      </c>
      <c r="G5196">
        <v>-420.4742</v>
      </c>
      <c r="H5196" s="1">
        <v>-4.11204E-6</v>
      </c>
      <c r="I5196">
        <v>58.880249999999997</v>
      </c>
      <c r="J5196">
        <v>-422.02339999999998</v>
      </c>
      <c r="K5196">
        <v>1.1104350000000001</v>
      </c>
      <c r="L5196">
        <v>99.358549999999994</v>
      </c>
      <c r="M5196">
        <v>-7.2898270000000001E-2</v>
      </c>
      <c r="N5196">
        <v>-6.6400929999999997E-3</v>
      </c>
      <c r="O5196">
        <v>-0.99731740000000002</v>
      </c>
      <c r="P5196">
        <v>6.1889680000000002E-2</v>
      </c>
      <c r="Q5196">
        <v>0.1512309</v>
      </c>
      <c r="R5196">
        <v>-0.98655939999999998</v>
      </c>
      <c r="S5196">
        <v>0.1144714</v>
      </c>
      <c r="T5196">
        <v>-8.3037609999999998E-2</v>
      </c>
      <c r="U5196">
        <v>-3.0466609999999998</v>
      </c>
      <c r="V5196">
        <v>-0.13397729999999999</v>
      </c>
      <c r="W5196">
        <v>0.157448799999999</v>
      </c>
      <c r="X5196">
        <v>0.97839670000000001</v>
      </c>
      <c r="Y5196">
        <v>-0.110274499999999</v>
      </c>
      <c r="Z5196">
        <v>2.0396439999999998E-2</v>
      </c>
      <c r="AA5196">
        <v>0.99369189999999996</v>
      </c>
      <c r="AB5196">
        <v>26</v>
      </c>
      <c r="AC5196">
        <v>1.5491999999999799</v>
      </c>
      <c r="AD5196">
        <v>-1.1104391120399999</v>
      </c>
      <c r="AE5196">
        <v>-40.478299999999997</v>
      </c>
      <c r="AF5196">
        <v>-4.4925647146539198</v>
      </c>
      <c r="AG5196">
        <v>-1.1104391120399999</v>
      </c>
      <c r="AH5196">
        <v>40.227431944265</v>
      </c>
      <c r="AI5196">
        <v>91.571428408285698</v>
      </c>
      <c r="AJ5196">
        <v>96.372338091106599</v>
      </c>
      <c r="AK5196">
        <v>40.492746184562201</v>
      </c>
      <c r="AL5196">
        <v>80.941154312262697</v>
      </c>
      <c r="AM5196">
        <v>97.797334148094905</v>
      </c>
      <c r="AN5196">
        <v>1.0000000720538</v>
      </c>
    </row>
    <row r="5197" spans="1:40" x14ac:dyDescent="0.25">
      <c r="A5197" t="str">
        <f>"20190304155206762"</f>
        <v>20190304155206762</v>
      </c>
      <c r="B5197" t="str">
        <f>"1551685926752262"</f>
        <v>1551685926752262</v>
      </c>
      <c r="C5197" t="s">
        <v>40</v>
      </c>
      <c r="D5197">
        <v>2.7852190000000001</v>
      </c>
      <c r="E5197">
        <v>0.509965</v>
      </c>
      <c r="F5197" t="s">
        <v>41</v>
      </c>
      <c r="G5197">
        <v>-420.47640000000001</v>
      </c>
      <c r="H5197" s="1">
        <v>-3.5737460000000002E-6</v>
      </c>
      <c r="I5197">
        <v>57.624130000000001</v>
      </c>
      <c r="J5197">
        <v>-422.0761</v>
      </c>
      <c r="K5197">
        <v>1.110387</v>
      </c>
      <c r="L5197">
        <v>98.572019999999995</v>
      </c>
      <c r="M5197">
        <v>-6.9383550000000002E-2</v>
      </c>
      <c r="N5197">
        <v>-6.6600660000000001E-3</v>
      </c>
      <c r="O5197">
        <v>-0.99756789999999995</v>
      </c>
      <c r="P5197">
        <v>6.183934E-2</v>
      </c>
      <c r="Q5197">
        <v>0.151860299999999</v>
      </c>
      <c r="R5197">
        <v>-0.9864657</v>
      </c>
      <c r="S5197">
        <v>0.112915</v>
      </c>
      <c r="T5197">
        <v>-8.1051109999999996E-2</v>
      </c>
      <c r="U5197">
        <v>-3.0462039999999999</v>
      </c>
      <c r="V5197">
        <v>-0.1304468</v>
      </c>
      <c r="W5197">
        <v>0.15812679999999901</v>
      </c>
      <c r="X5197">
        <v>0.97876430000000003</v>
      </c>
      <c r="Y5197">
        <v>-0.10627109999999999</v>
      </c>
      <c r="Z5197">
        <v>1.9750409999999999E-2</v>
      </c>
      <c r="AA5197">
        <v>0.99414100000000005</v>
      </c>
      <c r="AB5197">
        <v>27</v>
      </c>
      <c r="AC5197">
        <v>1.5996999999999799</v>
      </c>
      <c r="AD5197">
        <v>-1.110390573746</v>
      </c>
      <c r="AE5197">
        <v>-40.947890000000001</v>
      </c>
      <c r="AF5197">
        <v>-4.4337620630998202</v>
      </c>
      <c r="AG5197">
        <v>-1.110390573746</v>
      </c>
      <c r="AH5197">
        <v>40.708319397985697</v>
      </c>
      <c r="AI5197">
        <v>91.553273920705493</v>
      </c>
      <c r="AJ5197">
        <v>96.2158900617532</v>
      </c>
      <c r="AK5197">
        <v>40.964112116178804</v>
      </c>
      <c r="AL5197">
        <v>80.901814346701201</v>
      </c>
      <c r="AM5197">
        <v>97.591473809209901</v>
      </c>
      <c r="AN5197">
        <v>1.00000000373148</v>
      </c>
    </row>
    <row r="5198" spans="1:40" x14ac:dyDescent="0.25">
      <c r="A5198" t="str">
        <f>"20190304155206787"</f>
        <v>20190304155206787</v>
      </c>
      <c r="B5198" t="str">
        <f>"1551685926782519"</f>
        <v>1551685926782519</v>
      </c>
      <c r="C5198" t="s">
        <v>40</v>
      </c>
      <c r="D5198">
        <v>4.5165610000000003</v>
      </c>
      <c r="E5198">
        <v>0.53923859999999901</v>
      </c>
      <c r="F5198" t="s">
        <v>41</v>
      </c>
      <c r="G5198">
        <v>-420.57819999999998</v>
      </c>
      <c r="H5198" s="1">
        <v>-2.8537439999999998E-6</v>
      </c>
      <c r="I5198">
        <v>55.882629999999999</v>
      </c>
      <c r="J5198">
        <v>-422.09410000000003</v>
      </c>
      <c r="K5198">
        <v>1.1103780000000001</v>
      </c>
      <c r="L5198">
        <v>98.294070000000005</v>
      </c>
      <c r="M5198">
        <v>-6.8190970000000004E-2</v>
      </c>
      <c r="N5198">
        <v>-6.6677180000000004E-3</v>
      </c>
      <c r="O5198">
        <v>-0.99765009999999998</v>
      </c>
      <c r="P5198">
        <v>6.1193869999999997E-2</v>
      </c>
      <c r="Q5198">
        <v>0.1525126</v>
      </c>
      <c r="R5198">
        <v>-0.98640539999999999</v>
      </c>
      <c r="S5198">
        <v>0.1069031</v>
      </c>
      <c r="T5198">
        <v>-7.9247239999999997E-2</v>
      </c>
      <c r="U5198">
        <v>-3.0466920000000002</v>
      </c>
      <c r="V5198">
        <v>-0.12862499999999999</v>
      </c>
      <c r="W5198">
        <v>0.15879389999999999</v>
      </c>
      <c r="X5198">
        <v>0.97889740000000003</v>
      </c>
      <c r="Y5198">
        <v>-0.1031178</v>
      </c>
      <c r="Z5198">
        <v>1.916002E-2</v>
      </c>
      <c r="AA5198">
        <v>0.99448460000000005</v>
      </c>
      <c r="AB5198">
        <v>27</v>
      </c>
      <c r="AC5198">
        <v>1.51590000000004</v>
      </c>
      <c r="AD5198">
        <v>-1.1103808537440001</v>
      </c>
      <c r="AE5198">
        <v>-42.411439999999899</v>
      </c>
      <c r="AF5198">
        <v>-4.4014993403867297</v>
      </c>
      <c r="AG5198">
        <v>-1.1103808537440001</v>
      </c>
      <c r="AH5198">
        <v>42.180465120661303</v>
      </c>
      <c r="AI5198">
        <v>91.499796511065497</v>
      </c>
      <c r="AJ5198">
        <v>95.9572110681938</v>
      </c>
      <c r="AK5198">
        <v>42.424023617275097</v>
      </c>
      <c r="AL5198">
        <v>80.863103255452501</v>
      </c>
      <c r="AM5198">
        <v>97.485657080676503</v>
      </c>
      <c r="AN5198">
        <v>1.0000000065144801</v>
      </c>
    </row>
    <row r="5199" spans="1:40" x14ac:dyDescent="0.25">
      <c r="A5199" t="str">
        <f>"20190304155206809"</f>
        <v>20190304155206809</v>
      </c>
      <c r="B5199" t="str">
        <f>"1551685926802038"</f>
        <v>1551685926802038</v>
      </c>
      <c r="C5199" t="s">
        <v>40</v>
      </c>
      <c r="D5199">
        <v>4.6749989999999997</v>
      </c>
      <c r="E5199">
        <v>0.53929510000000003</v>
      </c>
      <c r="F5199" t="s">
        <v>51</v>
      </c>
      <c r="G5199">
        <v>-422.12439999999998</v>
      </c>
      <c r="H5199">
        <v>1.014937</v>
      </c>
      <c r="I5199">
        <v>97.564710000000005</v>
      </c>
      <c r="J5199">
        <v>-422.1114</v>
      </c>
      <c r="K5199">
        <v>1.110368</v>
      </c>
      <c r="L5199">
        <v>98.023349999999994</v>
      </c>
      <c r="M5199">
        <v>-6.7040989999999995E-2</v>
      </c>
      <c r="N5199">
        <v>-6.6756080000000004E-3</v>
      </c>
      <c r="O5199">
        <v>-0.99772819999999995</v>
      </c>
      <c r="P5199">
        <v>6.0558269999999997E-2</v>
      </c>
      <c r="Q5199">
        <v>0.1529952</v>
      </c>
      <c r="R5199">
        <v>-0.98636999999999997</v>
      </c>
      <c r="S5199">
        <v>-0.12829589999999999</v>
      </c>
      <c r="T5199">
        <v>-0.40735300000000002</v>
      </c>
      <c r="U5199">
        <v>-3.1122740000000002</v>
      </c>
      <c r="V5199">
        <v>-0.12685850000000001</v>
      </c>
      <c r="W5199">
        <v>0.15929009999999999</v>
      </c>
      <c r="X5199">
        <v>0.97904729999999995</v>
      </c>
      <c r="Y5199">
        <v>-2.6190430000000001E-2</v>
      </c>
      <c r="Z5199">
        <v>0.122654</v>
      </c>
      <c r="AA5199">
        <v>0.99210390000000004</v>
      </c>
      <c r="AB5199">
        <v>27</v>
      </c>
      <c r="AC5199">
        <v>-1.2999999999976799E-2</v>
      </c>
      <c r="AD5199">
        <v>-9.5431000000000002E-2</v>
      </c>
      <c r="AE5199">
        <v>-0.45864000000000199</v>
      </c>
      <c r="AF5199">
        <v>-1.70404348092692E-2</v>
      </c>
      <c r="AG5199">
        <v>-9.5431000000000002E-2</v>
      </c>
      <c r="AH5199">
        <v>0.43946827963699098</v>
      </c>
      <c r="AI5199">
        <v>102.2427066357</v>
      </c>
      <c r="AJ5199">
        <v>92.2205382436549</v>
      </c>
      <c r="AK5199">
        <v>0.45003313320975002</v>
      </c>
      <c r="AL5199">
        <v>80.834306641238996</v>
      </c>
      <c r="AM5199">
        <v>97.382875374638701</v>
      </c>
      <c r="AN5199">
        <v>1.00000001530877</v>
      </c>
    </row>
    <row r="5200" spans="1:40" x14ac:dyDescent="0.25">
      <c r="A5200" t="str">
        <f>"20190304155206830"</f>
        <v>20190304155206830</v>
      </c>
      <c r="B5200" t="str">
        <f>"1551685926822534"</f>
        <v>1551685926822534</v>
      </c>
      <c r="C5200" t="s">
        <v>40</v>
      </c>
      <c r="D5200">
        <v>4.7483399999999998</v>
      </c>
      <c r="E5200">
        <v>0.535170699999999</v>
      </c>
      <c r="F5200" t="s">
        <v>51</v>
      </c>
      <c r="G5200">
        <v>-422.15170000000001</v>
      </c>
      <c r="H5200">
        <v>1.0198959999999999</v>
      </c>
      <c r="I5200">
        <v>97.081789999999998</v>
      </c>
      <c r="J5200">
        <v>-422.12759999999997</v>
      </c>
      <c r="K5200">
        <v>1.1103639999999999</v>
      </c>
      <c r="L5200">
        <v>97.764679999999998</v>
      </c>
      <c r="M5200">
        <v>-6.5947329999999998E-2</v>
      </c>
      <c r="N5200">
        <v>-6.6880919999999996E-3</v>
      </c>
      <c r="O5200">
        <v>-0.99780060000000004</v>
      </c>
      <c r="P5200">
        <v>5.9765270000000002E-2</v>
      </c>
      <c r="Q5200">
        <v>0.15318679999999901</v>
      </c>
      <c r="R5200">
        <v>-0.98638820000000005</v>
      </c>
      <c r="S5200">
        <v>-0.131683299999999</v>
      </c>
      <c r="T5200">
        <v>-0.29754350000000002</v>
      </c>
      <c r="U5200">
        <v>-3.0957029999999999</v>
      </c>
      <c r="V5200">
        <v>-0.1249951</v>
      </c>
      <c r="W5200">
        <v>0.15949820000000001</v>
      </c>
      <c r="X5200">
        <v>0.97925309999999999</v>
      </c>
      <c r="Y5200">
        <v>-2.3642340000000001E-2</v>
      </c>
      <c r="Z5200">
        <v>8.8656250000000006E-2</v>
      </c>
      <c r="AA5200">
        <v>0.99578169999999999</v>
      </c>
      <c r="AB5200">
        <v>27</v>
      </c>
      <c r="AC5200">
        <v>-2.4100000000032599E-2</v>
      </c>
      <c r="AD5200">
        <v>-9.0468000000000007E-2</v>
      </c>
      <c r="AE5200">
        <v>-0.68289</v>
      </c>
      <c r="AF5200">
        <v>-2.06266914555246E-2</v>
      </c>
      <c r="AG5200">
        <v>-9.0468000000000007E-2</v>
      </c>
      <c r="AH5200">
        <v>0.67122703142183304</v>
      </c>
      <c r="AI5200">
        <v>97.672491063725602</v>
      </c>
      <c r="AJ5200">
        <v>91.760135563612394</v>
      </c>
      <c r="AK5200">
        <v>0.67761024721868601</v>
      </c>
      <c r="AL5200">
        <v>80.822229227309094</v>
      </c>
      <c r="AM5200">
        <v>97.274087610333396</v>
      </c>
      <c r="AN5200">
        <v>1.0000000423434201</v>
      </c>
    </row>
    <row r="5201" spans="1:40" x14ac:dyDescent="0.25">
      <c r="A5201" t="str">
        <f>"20190304155206851"</f>
        <v>20190304155206851</v>
      </c>
      <c r="B5201" t="str">
        <f>"1551685926842054"</f>
        <v>1551685926842054</v>
      </c>
      <c r="C5201" t="s">
        <v>40</v>
      </c>
      <c r="D5201">
        <v>4.7716909999999997</v>
      </c>
      <c r="E5201">
        <v>0.53072050000000004</v>
      </c>
      <c r="F5201" t="s">
        <v>41</v>
      </c>
      <c r="G5201">
        <v>-422.58510000000001</v>
      </c>
      <c r="H5201" s="1">
        <v>-2.5829120000000002E-6</v>
      </c>
      <c r="I5201">
        <v>84.006569999999996</v>
      </c>
      <c r="J5201">
        <v>-422.14370000000002</v>
      </c>
      <c r="K5201">
        <v>1.110368</v>
      </c>
      <c r="L5201">
        <v>97.502110000000002</v>
      </c>
      <c r="M5201">
        <v>-6.483804E-2</v>
      </c>
      <c r="N5201">
        <v>-6.7055930000000001E-3</v>
      </c>
      <c r="O5201">
        <v>-0.99787340000000002</v>
      </c>
      <c r="P5201">
        <v>5.9021619999999997E-2</v>
      </c>
      <c r="Q5201">
        <v>0.153168</v>
      </c>
      <c r="R5201">
        <v>-0.98643610000000004</v>
      </c>
      <c r="S5201">
        <v>-0.1026306</v>
      </c>
      <c r="T5201">
        <v>-0.24908440000000001</v>
      </c>
      <c r="U5201">
        <v>-3.0863040000000002</v>
      </c>
      <c r="V5201">
        <v>-0.1231677</v>
      </c>
      <c r="W5201">
        <v>0.159501</v>
      </c>
      <c r="X5201">
        <v>0.97948409999999997</v>
      </c>
      <c r="Y5201">
        <v>-3.17191E-2</v>
      </c>
      <c r="Z5201">
        <v>7.3470640000000004E-2</v>
      </c>
      <c r="AA5201">
        <v>0.99679289999999998</v>
      </c>
      <c r="AB5201">
        <v>27</v>
      </c>
      <c r="AC5201">
        <v>-0.44139999999998702</v>
      </c>
      <c r="AD5201">
        <v>-1.1103705829120001</v>
      </c>
      <c r="AE5201">
        <v>-13.49554</v>
      </c>
      <c r="AF5201">
        <v>-0.43165380811466902</v>
      </c>
      <c r="AG5201">
        <v>-1.1103705829120001</v>
      </c>
      <c r="AH5201">
        <v>13.405112887962099</v>
      </c>
      <c r="AI5201">
        <v>94.732665163264699</v>
      </c>
      <c r="AJ5201">
        <v>91.844326033238403</v>
      </c>
      <c r="AK5201">
        <v>13.457945585432499</v>
      </c>
      <c r="AL5201">
        <v>80.8220661113765</v>
      </c>
      <c r="AM5201">
        <v>97.1671834880067</v>
      </c>
      <c r="AN5201">
        <v>0.99999997673854901</v>
      </c>
    </row>
    <row r="5202" spans="1:40" x14ac:dyDescent="0.25">
      <c r="A5202" t="str">
        <f>"20190304155206875"</f>
        <v>20190304155206875</v>
      </c>
      <c r="B5202" t="str">
        <f>"1551685926872310"</f>
        <v>1551685926872310</v>
      </c>
      <c r="C5202" t="s">
        <v>40</v>
      </c>
      <c r="D5202">
        <v>4.8061150000000001</v>
      </c>
      <c r="E5202">
        <v>0.52592950000000005</v>
      </c>
      <c r="F5202" t="s">
        <v>41</v>
      </c>
      <c r="G5202">
        <v>-422.47910000000002</v>
      </c>
      <c r="H5202" s="1">
        <v>-1.9803030000000002E-6</v>
      </c>
      <c r="I5202">
        <v>82.667609999999996</v>
      </c>
      <c r="J5202">
        <v>-422.16039999999998</v>
      </c>
      <c r="K5202">
        <v>1.1103879999999999</v>
      </c>
      <c r="L5202">
        <v>97.225620000000006</v>
      </c>
      <c r="M5202">
        <v>-6.3669719999999999E-2</v>
      </c>
      <c r="N5202">
        <v>-6.7298829999999999E-3</v>
      </c>
      <c r="O5202">
        <v>-0.99794859999999996</v>
      </c>
      <c r="P5202">
        <v>5.7784509999999997E-2</v>
      </c>
      <c r="Q5202">
        <v>0.1528381</v>
      </c>
      <c r="R5202">
        <v>-0.98656080000000002</v>
      </c>
      <c r="S5202">
        <v>-6.9671629999999998E-2</v>
      </c>
      <c r="T5202">
        <v>-0.23063230000000001</v>
      </c>
      <c r="U5202">
        <v>-3.0812379999999999</v>
      </c>
      <c r="V5202">
        <v>-0.1207955</v>
      </c>
      <c r="W5202">
        <v>0.15919929999999999</v>
      </c>
      <c r="X5202">
        <v>0.97982860000000005</v>
      </c>
      <c r="Y5202">
        <v>-4.1135529999999997E-2</v>
      </c>
      <c r="Z5202">
        <v>6.7665870000000003E-2</v>
      </c>
      <c r="AA5202">
        <v>0.99685970000000002</v>
      </c>
      <c r="AB5202">
        <v>27</v>
      </c>
      <c r="AC5202">
        <v>-0.31870000000003501</v>
      </c>
      <c r="AD5202">
        <v>-1.110389980303</v>
      </c>
      <c r="AE5202">
        <v>-14.5580099999999</v>
      </c>
      <c r="AF5202">
        <v>-0.605351794433867</v>
      </c>
      <c r="AG5202">
        <v>-1.110389980303</v>
      </c>
      <c r="AH5202">
        <v>14.4646529595578</v>
      </c>
      <c r="AI5202">
        <v>94.385920093109306</v>
      </c>
      <c r="AJ5202">
        <v>92.396453965822502</v>
      </c>
      <c r="AK5202">
        <v>14.5198347767399</v>
      </c>
      <c r="AL5202">
        <v>80.839576457970907</v>
      </c>
      <c r="AM5202">
        <v>97.028091748848297</v>
      </c>
      <c r="AN5202">
        <v>1.0000000276593399</v>
      </c>
    </row>
    <row r="5203" spans="1:40" x14ac:dyDescent="0.25">
      <c r="A5203" t="str">
        <f>"20190304155206897"</f>
        <v>20190304155206897</v>
      </c>
      <c r="B5203" t="str">
        <f>"1551685926891992"</f>
        <v>1551685926891992</v>
      </c>
      <c r="C5203" t="s">
        <v>40</v>
      </c>
      <c r="D5203">
        <v>4.8877579999999998</v>
      </c>
      <c r="E5203">
        <v>0.52422250000000004</v>
      </c>
      <c r="F5203" t="s">
        <v>41</v>
      </c>
      <c r="G5203">
        <v>-422.35</v>
      </c>
      <c r="H5203" s="1">
        <v>-1.0645309999999999E-6</v>
      </c>
      <c r="I5203">
        <v>80.613010000000003</v>
      </c>
      <c r="J5203">
        <v>-422.17689999999999</v>
      </c>
      <c r="K5203">
        <v>1.1104000000000001</v>
      </c>
      <c r="L5203">
        <v>96.947850000000003</v>
      </c>
      <c r="M5203">
        <v>-6.249416E-2</v>
      </c>
      <c r="N5203">
        <v>-6.7591209999999999E-3</v>
      </c>
      <c r="O5203">
        <v>-0.99802259999999998</v>
      </c>
      <c r="P5203">
        <v>5.7220260000000002E-2</v>
      </c>
      <c r="Q5203">
        <v>0.15265229999999999</v>
      </c>
      <c r="R5203">
        <v>-0.98662229999999995</v>
      </c>
      <c r="S5203">
        <v>-3.5095210000000002E-2</v>
      </c>
      <c r="T5203">
        <v>-0.2055159</v>
      </c>
      <c r="U5203">
        <v>-3.074738</v>
      </c>
      <c r="V5203">
        <v>-0.1190831</v>
      </c>
      <c r="W5203">
        <v>0.15904479999999999</v>
      </c>
      <c r="X5203">
        <v>0.98006329999999997</v>
      </c>
      <c r="Y5203">
        <v>-5.110812E-2</v>
      </c>
      <c r="Z5203">
        <v>5.9707040000000003E-2</v>
      </c>
      <c r="AA5203">
        <v>0.99690679999999998</v>
      </c>
      <c r="AB5203">
        <v>27</v>
      </c>
      <c r="AC5203">
        <v>-0.17310000000003301</v>
      </c>
      <c r="AD5203">
        <v>-1.1104010645309901</v>
      </c>
      <c r="AE5203">
        <v>-16.33484</v>
      </c>
      <c r="AF5203">
        <v>-0.844193107189118</v>
      </c>
      <c r="AG5203">
        <v>-1.1104010645309901</v>
      </c>
      <c r="AH5203">
        <v>16.238697746229199</v>
      </c>
      <c r="AI5203">
        <v>93.906533248260899</v>
      </c>
      <c r="AJ5203">
        <v>92.975928225131497</v>
      </c>
      <c r="AK5203">
        <v>16.298495544672999</v>
      </c>
      <c r="AL5203">
        <v>80.848543127632993</v>
      </c>
      <c r="AM5203">
        <v>96.927793588241897</v>
      </c>
      <c r="AN5203">
        <v>1.0000000525597601</v>
      </c>
    </row>
    <row r="5204" spans="1:40" x14ac:dyDescent="0.25">
      <c r="A5204" t="str">
        <f>"20190304155206920"</f>
        <v>20190304155206920</v>
      </c>
      <c r="B5204" t="str">
        <f>"1551685926912491"</f>
        <v>1551685926912491</v>
      </c>
      <c r="C5204" t="s">
        <v>40</v>
      </c>
      <c r="D5204">
        <v>4.7831429999999999</v>
      </c>
      <c r="E5204">
        <v>0.52264140000000003</v>
      </c>
      <c r="F5204" t="s">
        <v>41</v>
      </c>
      <c r="G5204">
        <v>-422.31200000000001</v>
      </c>
      <c r="H5204" s="1">
        <v>-4.547429E-6</v>
      </c>
      <c r="I5204">
        <v>79.144480000000001</v>
      </c>
      <c r="J5204">
        <v>-422.1927</v>
      </c>
      <c r="K5204">
        <v>1.110412</v>
      </c>
      <c r="L5204">
        <v>96.676609999999997</v>
      </c>
      <c r="M5204">
        <v>-6.1343460000000002E-2</v>
      </c>
      <c r="N5204">
        <v>-6.7949409999999997E-3</v>
      </c>
      <c r="O5204">
        <v>-0.99809369999999997</v>
      </c>
      <c r="P5204">
        <v>5.6388069999999998E-2</v>
      </c>
      <c r="Q5204">
        <v>0.1531689</v>
      </c>
      <c r="R5204">
        <v>-0.98658999999999997</v>
      </c>
      <c r="S5204">
        <v>-2.3315430000000002E-2</v>
      </c>
      <c r="T5204">
        <v>-0.19158240000000001</v>
      </c>
      <c r="U5204">
        <v>-3.0716860000000001</v>
      </c>
      <c r="V5204">
        <v>-0.11712350000000001</v>
      </c>
      <c r="W5204">
        <v>0.15959889999999999</v>
      </c>
      <c r="X5204">
        <v>0.98020929999999995</v>
      </c>
      <c r="Y5204">
        <v>-5.3766080000000001E-2</v>
      </c>
      <c r="Z5204">
        <v>5.5246249999999997E-2</v>
      </c>
      <c r="AA5204">
        <v>0.99702409999999997</v>
      </c>
      <c r="AB5204">
        <v>27</v>
      </c>
      <c r="AC5204">
        <v>-0.119299999999952</v>
      </c>
      <c r="AD5204">
        <v>-1.110416547429</v>
      </c>
      <c r="AE5204">
        <v>-17.532129999999899</v>
      </c>
      <c r="AF5204">
        <v>-0.95260973020206696</v>
      </c>
      <c r="AG5204">
        <v>-1.110416547429</v>
      </c>
      <c r="AH5204">
        <v>17.436486422214401</v>
      </c>
      <c r="AI5204">
        <v>93.638463932377803</v>
      </c>
      <c r="AJ5204">
        <v>93.127138645167406</v>
      </c>
      <c r="AK5204">
        <v>17.4977583981191</v>
      </c>
      <c r="AL5204">
        <v>80.816384258655802</v>
      </c>
      <c r="AM5204">
        <v>96.813867132378306</v>
      </c>
      <c r="AN5204">
        <v>0.99999999746997403</v>
      </c>
    </row>
    <row r="5205" spans="1:40" x14ac:dyDescent="0.25">
      <c r="A5205" t="str">
        <f>"20190304155206942"</f>
        <v>20190304155206942</v>
      </c>
      <c r="B5205" t="str">
        <f>"1551685926932009"</f>
        <v>1551685926932009</v>
      </c>
      <c r="C5205" t="s">
        <v>40</v>
      </c>
      <c r="D5205">
        <v>4.8016610000000002</v>
      </c>
      <c r="E5205">
        <v>0.5211962</v>
      </c>
      <c r="F5205" t="s">
        <v>41</v>
      </c>
      <c r="G5205">
        <v>-422.2724</v>
      </c>
      <c r="H5205" s="1">
        <v>-4.1116240000000004E-6</v>
      </c>
      <c r="I5205">
        <v>77.884479999999996</v>
      </c>
      <c r="J5205">
        <v>-422.20830000000001</v>
      </c>
      <c r="K5205">
        <v>1.110433</v>
      </c>
      <c r="L5205">
        <v>96.40231</v>
      </c>
      <c r="M5205">
        <v>-6.0179330000000003E-2</v>
      </c>
      <c r="N5205">
        <v>-6.8438309999999999E-3</v>
      </c>
      <c r="O5205">
        <v>-0.99816419999999995</v>
      </c>
      <c r="P5205">
        <v>5.6089720000000003E-2</v>
      </c>
      <c r="Q5205">
        <v>0.15333229999999901</v>
      </c>
      <c r="R5205">
        <v>-0.98658159999999895</v>
      </c>
      <c r="S5205">
        <v>-1.3031010000000001E-2</v>
      </c>
      <c r="T5205">
        <v>-0.18138679999999999</v>
      </c>
      <c r="U5205">
        <v>-3.0697019999999999</v>
      </c>
      <c r="V5205">
        <v>-0.11568349999999999</v>
      </c>
      <c r="W5205">
        <v>0.1598126</v>
      </c>
      <c r="X5205">
        <v>0.98034549999999998</v>
      </c>
      <c r="Y5205">
        <v>-5.5935930000000002E-2</v>
      </c>
      <c r="Z5205">
        <v>5.1947380000000001E-2</v>
      </c>
      <c r="AA5205">
        <v>0.99708209999999997</v>
      </c>
      <c r="AB5205">
        <v>27</v>
      </c>
      <c r="AC5205">
        <v>-6.4099999999996202E-2</v>
      </c>
      <c r="AD5205">
        <v>-1.1104371116239999</v>
      </c>
      <c r="AE5205">
        <v>-18.517829999999901</v>
      </c>
      <c r="AF5205">
        <v>-1.04666911997107</v>
      </c>
      <c r="AG5205">
        <v>-1.1104371116239999</v>
      </c>
      <c r="AH5205">
        <v>18.421881490907001</v>
      </c>
      <c r="AI5205">
        <v>93.4439693889517</v>
      </c>
      <c r="AJ5205">
        <v>93.251856649551698</v>
      </c>
      <c r="AK5205">
        <v>18.484975101162402</v>
      </c>
      <c r="AL5205">
        <v>80.803981152653094</v>
      </c>
      <c r="AM5205">
        <v>96.729939381008705</v>
      </c>
      <c r="AN5205">
        <v>1.00000001933062</v>
      </c>
    </row>
    <row r="5206" spans="1:40" x14ac:dyDescent="0.25">
      <c r="A5206" t="str">
        <f>"20190304155206964"</f>
        <v>20190304155206964</v>
      </c>
      <c r="B5206" t="str">
        <f>"1551685926952504"</f>
        <v>1551685926952504</v>
      </c>
      <c r="C5206" t="s">
        <v>40</v>
      </c>
      <c r="D5206">
        <v>4.8582280000000004</v>
      </c>
      <c r="E5206">
        <v>0.52005159999999995</v>
      </c>
      <c r="F5206" t="s">
        <v>41</v>
      </c>
      <c r="G5206">
        <v>-422.22449999999998</v>
      </c>
      <c r="H5206" s="1">
        <v>-3.660573E-6</v>
      </c>
      <c r="I5206">
        <v>76.7423</v>
      </c>
      <c r="J5206">
        <v>-422.22309999999999</v>
      </c>
      <c r="K5206">
        <v>1.1104400000000001</v>
      </c>
      <c r="L5206">
        <v>96.135279999999995</v>
      </c>
      <c r="M5206">
        <v>-5.9049539999999998E-2</v>
      </c>
      <c r="N5206">
        <v>-6.9050980000000001E-3</v>
      </c>
      <c r="O5206">
        <v>-0.99823119999999999</v>
      </c>
      <c r="P5206">
        <v>5.690754E-2</v>
      </c>
      <c r="Q5206">
        <v>0.15418080000000001</v>
      </c>
      <c r="R5206">
        <v>-0.98640280000000002</v>
      </c>
      <c r="S5206">
        <v>-2.532959E-3</v>
      </c>
      <c r="T5206">
        <v>-0.1732795</v>
      </c>
      <c r="U5206">
        <v>-3.0678709999999998</v>
      </c>
      <c r="V5206">
        <v>-0.1153825</v>
      </c>
      <c r="W5206">
        <v>0.16071959999999999</v>
      </c>
      <c r="X5206">
        <v>0.98023269999999996</v>
      </c>
      <c r="Y5206">
        <v>-5.82149E-2</v>
      </c>
      <c r="Z5206">
        <v>4.9301490000000003E-2</v>
      </c>
      <c r="AA5206">
        <v>0.99708589999999997</v>
      </c>
      <c r="AB5206">
        <v>27</v>
      </c>
      <c r="AC5206">
        <v>-1.39999999998963E-3</v>
      </c>
      <c r="AD5206">
        <v>-1.1104436605729999</v>
      </c>
      <c r="AE5206">
        <v>-19.392980000000001</v>
      </c>
      <c r="AF5206">
        <v>-1.1400383965199501</v>
      </c>
      <c r="AG5206">
        <v>-1.1104436605729999</v>
      </c>
      <c r="AH5206">
        <v>19.2959553651602</v>
      </c>
      <c r="AI5206">
        <v>93.287904024177195</v>
      </c>
      <c r="AJ5206">
        <v>93.381203146616599</v>
      </c>
      <c r="AK5206">
        <v>19.361473759068598</v>
      </c>
      <c r="AL5206">
        <v>80.7513334328832</v>
      </c>
      <c r="AM5206">
        <v>96.713353968721606</v>
      </c>
      <c r="AN5206">
        <v>1.0000000286398401</v>
      </c>
    </row>
    <row r="5207" spans="1:40" x14ac:dyDescent="0.25">
      <c r="A5207" t="str">
        <f>"20190304155206987"</f>
        <v>20190304155206987</v>
      </c>
      <c r="B5207" t="str">
        <f>"1551685926981783"</f>
        <v>1551685926981783</v>
      </c>
      <c r="C5207" t="s">
        <v>40</v>
      </c>
      <c r="D5207">
        <v>4.7698999999999998</v>
      </c>
      <c r="E5207">
        <v>0.51869549999999998</v>
      </c>
      <c r="F5207" t="s">
        <v>41</v>
      </c>
      <c r="G5207">
        <v>-422.16500000000002</v>
      </c>
      <c r="H5207" s="1">
        <v>-3.1381589999999998E-6</v>
      </c>
      <c r="I5207">
        <v>75.561440000000005</v>
      </c>
      <c r="J5207">
        <v>-422.23860000000002</v>
      </c>
      <c r="K5207">
        <v>1.1104540000000001</v>
      </c>
      <c r="L5207">
        <v>95.852940000000004</v>
      </c>
      <c r="M5207">
        <v>-5.7865809999999997E-2</v>
      </c>
      <c r="N5207">
        <v>-6.9802079999999999E-3</v>
      </c>
      <c r="O5207">
        <v>-0.99830010000000002</v>
      </c>
      <c r="P5207">
        <v>5.8599970000000001E-2</v>
      </c>
      <c r="Q5207">
        <v>0.15429399999999999</v>
      </c>
      <c r="R5207">
        <v>-0.98628570000000004</v>
      </c>
      <c r="S5207">
        <v>8.6669920000000001E-3</v>
      </c>
      <c r="T5207">
        <v>-0.1655229</v>
      </c>
      <c r="U5207">
        <v>-3.0667420000000001</v>
      </c>
      <c r="V5207">
        <v>-0.11590200000000001</v>
      </c>
      <c r="W5207">
        <v>0.16090460000000001</v>
      </c>
      <c r="X5207">
        <v>0.98014100000000004</v>
      </c>
      <c r="Y5207">
        <v>-6.0672280000000002E-2</v>
      </c>
      <c r="Z5207">
        <v>4.6738000000000002E-2</v>
      </c>
      <c r="AA5207">
        <v>0.99706289999999997</v>
      </c>
      <c r="AB5207">
        <v>27</v>
      </c>
      <c r="AC5207">
        <v>7.3599999999999E-2</v>
      </c>
      <c r="AD5207">
        <v>-1.110457138159</v>
      </c>
      <c r="AE5207">
        <v>-20.291499999999999</v>
      </c>
      <c r="AF5207">
        <v>-1.2439637640791199</v>
      </c>
      <c r="AG5207">
        <v>-1.110457138159</v>
      </c>
      <c r="AH5207">
        <v>20.192764744390299</v>
      </c>
      <c r="AI5207">
        <v>93.141742118771603</v>
      </c>
      <c r="AJ5207">
        <v>93.525218821710496</v>
      </c>
      <c r="AK5207">
        <v>20.261498190516999</v>
      </c>
      <c r="AL5207">
        <v>80.740593409828705</v>
      </c>
      <c r="AM5207">
        <v>96.743927624345403</v>
      </c>
      <c r="AN5207">
        <v>0.99999997189307899</v>
      </c>
    </row>
    <row r="5208" spans="1:40" x14ac:dyDescent="0.25">
      <c r="A5208" t="str">
        <f>"20190304155207011"</f>
        <v>20190304155207011</v>
      </c>
      <c r="B5208" t="str">
        <f>"1551685927002280"</f>
        <v>1551685927002280</v>
      </c>
      <c r="C5208" t="s">
        <v>40</v>
      </c>
      <c r="D5208">
        <v>4.7809790000000003</v>
      </c>
      <c r="E5208">
        <v>0.51787759999999905</v>
      </c>
      <c r="F5208" t="s">
        <v>41</v>
      </c>
      <c r="G5208">
        <v>-422.06580000000002</v>
      </c>
      <c r="H5208" s="1">
        <v>-2.6469960000000001E-6</v>
      </c>
      <c r="I5208">
        <v>74.478039999999993</v>
      </c>
      <c r="J5208">
        <v>-422.25380000000001</v>
      </c>
      <c r="K5208">
        <v>1.110465</v>
      </c>
      <c r="L5208">
        <v>95.568240000000003</v>
      </c>
      <c r="M5208">
        <v>-5.6695330000000002E-2</v>
      </c>
      <c r="N5208">
        <v>-7.0697370000000004E-3</v>
      </c>
      <c r="O5208">
        <v>-0.9983668</v>
      </c>
      <c r="P5208">
        <v>6.0307260000000001E-2</v>
      </c>
      <c r="Q5208">
        <v>0.15524779999999999</v>
      </c>
      <c r="R5208">
        <v>-0.98603339999999995</v>
      </c>
      <c r="S5208">
        <v>2.478027E-2</v>
      </c>
      <c r="T5208">
        <v>-0.159239299999999</v>
      </c>
      <c r="U5208">
        <v>-3.0651549999999999</v>
      </c>
      <c r="V5208">
        <v>-0.1164408</v>
      </c>
      <c r="W5208">
        <v>0.16194600000000001</v>
      </c>
      <c r="X5208">
        <v>0.97990560000000004</v>
      </c>
      <c r="Y5208">
        <v>-6.4744469999999998E-2</v>
      </c>
      <c r="Z5208">
        <v>4.4637969999999999E-2</v>
      </c>
      <c r="AA5208">
        <v>0.99690299999999998</v>
      </c>
      <c r="AB5208">
        <v>28</v>
      </c>
      <c r="AC5208">
        <v>0.18799999999998801</v>
      </c>
      <c r="AD5208">
        <v>-1.110467646996</v>
      </c>
      <c r="AE5208">
        <v>-21.090199999999999</v>
      </c>
      <c r="AF5208">
        <v>-1.3796184572393</v>
      </c>
      <c r="AG5208">
        <v>-1.110467646996</v>
      </c>
      <c r="AH5208">
        <v>20.987436091679999</v>
      </c>
      <c r="AI5208">
        <v>93.022245929044502</v>
      </c>
      <c r="AJ5208">
        <v>93.7609525965361</v>
      </c>
      <c r="AK5208">
        <v>21.0620264738446</v>
      </c>
      <c r="AL5208">
        <v>80.680132670599704</v>
      </c>
      <c r="AM5208">
        <v>96.776600140904605</v>
      </c>
      <c r="AN5208">
        <v>0.99999997586599898</v>
      </c>
    </row>
    <row r="5209" spans="1:40" x14ac:dyDescent="0.25">
      <c r="A5209" t="str">
        <f>"20190304155207032"</f>
        <v>20190304155207032</v>
      </c>
      <c r="B5209" t="str">
        <f>"1551685927021800"</f>
        <v>1551685927021800</v>
      </c>
      <c r="C5209" t="s">
        <v>40</v>
      </c>
      <c r="D5209">
        <v>4.974151</v>
      </c>
      <c r="E5209">
        <v>0.51691149999999997</v>
      </c>
      <c r="F5209" t="s">
        <v>41</v>
      </c>
      <c r="G5209">
        <v>-421.99829999999997</v>
      </c>
      <c r="H5209" s="1">
        <v>-2.1684950000000001E-6</v>
      </c>
      <c r="I5209">
        <v>73.40455</v>
      </c>
      <c r="J5209">
        <v>-422.2681</v>
      </c>
      <c r="K5209">
        <v>1.110471</v>
      </c>
      <c r="L5209">
        <v>95.297210000000007</v>
      </c>
      <c r="M5209">
        <v>-5.560673E-2</v>
      </c>
      <c r="N5209">
        <v>-7.1640269999999999E-3</v>
      </c>
      <c r="O5209">
        <v>-0.99842699999999995</v>
      </c>
      <c r="P5209">
        <v>6.2160880000000002E-2</v>
      </c>
      <c r="Q5209">
        <v>0.15490019999999999</v>
      </c>
      <c r="R5209">
        <v>-0.98597279999999998</v>
      </c>
      <c r="S5209">
        <v>3.533936E-2</v>
      </c>
      <c r="T5209">
        <v>-0.15354129999999999</v>
      </c>
      <c r="U5209">
        <v>-3.064514</v>
      </c>
      <c r="V5209">
        <v>-0.1172139</v>
      </c>
      <c r="W5209">
        <v>0.1616919</v>
      </c>
      <c r="X5209">
        <v>0.97985540000000004</v>
      </c>
      <c r="Y5209">
        <v>-6.7093260000000002E-2</v>
      </c>
      <c r="Z5209">
        <v>4.2707450000000001E-2</v>
      </c>
      <c r="AA5209">
        <v>0.9968323</v>
      </c>
      <c r="AB5209">
        <v>28</v>
      </c>
      <c r="AC5209">
        <v>0.26980000000003201</v>
      </c>
      <c r="AD5209">
        <v>-1.110473168495</v>
      </c>
      <c r="AE5209">
        <v>-21.8926599999999</v>
      </c>
      <c r="AF5209">
        <v>-1.48297812075932</v>
      </c>
      <c r="AG5209">
        <v>-1.110473168495</v>
      </c>
      <c r="AH5209">
        <v>21.787733079553998</v>
      </c>
      <c r="AI5209">
        <v>92.910992386851404</v>
      </c>
      <c r="AJ5209">
        <v>93.893821181287393</v>
      </c>
      <c r="AK5209">
        <v>21.866359722424999</v>
      </c>
      <c r="AL5209">
        <v>80.694886073755896</v>
      </c>
      <c r="AM5209">
        <v>96.821516490109801</v>
      </c>
      <c r="AN5209">
        <v>0.99999998689398995</v>
      </c>
    </row>
    <row r="5210" spans="1:40" x14ac:dyDescent="0.25">
      <c r="A5210" t="str">
        <f>"20190304155207054"</f>
        <v>20190304155207054</v>
      </c>
      <c r="B5210" t="str">
        <f>"1551685927042296"</f>
        <v>1551685927042296</v>
      </c>
      <c r="C5210" t="s">
        <v>40</v>
      </c>
      <c r="D5210">
        <v>4.8129839999999904</v>
      </c>
      <c r="E5210">
        <v>0.51639269999999904</v>
      </c>
      <c r="F5210" t="s">
        <v>41</v>
      </c>
      <c r="G5210">
        <v>-421.9119</v>
      </c>
      <c r="H5210" s="1">
        <v>-1.9137169999999998E-6</v>
      </c>
      <c r="I5210">
        <v>72.864230000000006</v>
      </c>
      <c r="J5210">
        <v>-422.28190000000001</v>
      </c>
      <c r="K5210">
        <v>1.1104719999999999</v>
      </c>
      <c r="L5210">
        <v>95.028080000000003</v>
      </c>
      <c r="M5210">
        <v>-5.4550519999999998E-2</v>
      </c>
      <c r="N5210">
        <v>-7.2588879999999998E-3</v>
      </c>
      <c r="O5210">
        <v>-0.99848479999999995</v>
      </c>
      <c r="P5210">
        <v>6.3837749999999999E-2</v>
      </c>
      <c r="Q5210">
        <v>0.15571760000000001</v>
      </c>
      <c r="R5210">
        <v>-0.98573699999999997</v>
      </c>
      <c r="S5210">
        <v>4.8645019999999997E-2</v>
      </c>
      <c r="T5210">
        <v>-0.15164610000000001</v>
      </c>
      <c r="U5210">
        <v>-3.0634459999999999</v>
      </c>
      <c r="V5210">
        <v>-0.1178329</v>
      </c>
      <c r="W5210">
        <v>0.16260379999999899</v>
      </c>
      <c r="X5210">
        <v>0.97963020000000001</v>
      </c>
      <c r="Y5210">
        <v>-7.0369989999999993E-2</v>
      </c>
      <c r="Z5210">
        <v>4.2012029999999999E-2</v>
      </c>
      <c r="AA5210">
        <v>0.99663590000000002</v>
      </c>
      <c r="AB5210">
        <v>28</v>
      </c>
      <c r="AC5210">
        <v>0.37000000000000399</v>
      </c>
      <c r="AD5210">
        <v>-1.1104739137170001</v>
      </c>
      <c r="AE5210">
        <v>-22.16385</v>
      </c>
      <c r="AF5210">
        <v>-1.57457866340737</v>
      </c>
      <c r="AG5210">
        <v>-1.1104739137170001</v>
      </c>
      <c r="AH5210">
        <v>22.055312227088201</v>
      </c>
      <c r="AI5210">
        <v>92.875074456377902</v>
      </c>
      <c r="AJ5210">
        <v>94.083547046820698</v>
      </c>
      <c r="AK5210">
        <v>22.1393145267565</v>
      </c>
      <c r="AL5210">
        <v>80.641937082611094</v>
      </c>
      <c r="AM5210">
        <v>96.8587597492903</v>
      </c>
      <c r="AN5210">
        <v>0.999999958424444</v>
      </c>
    </row>
    <row r="5211" spans="1:40" x14ac:dyDescent="0.25">
      <c r="A5211" t="str">
        <f>"20190304155207076"</f>
        <v>20190304155207076</v>
      </c>
      <c r="B5211" t="str">
        <f>"1551685927072552"</f>
        <v>1551685927072552</v>
      </c>
      <c r="C5211" t="s">
        <v>40</v>
      </c>
      <c r="D5211">
        <v>4.663653</v>
      </c>
      <c r="E5211">
        <v>0.51680509999999902</v>
      </c>
      <c r="F5211" t="s">
        <v>41</v>
      </c>
      <c r="G5211">
        <v>-421.84780000000001</v>
      </c>
      <c r="H5211" s="1">
        <v>-1.483075E-6</v>
      </c>
      <c r="I5211">
        <v>71.900149999999996</v>
      </c>
      <c r="J5211">
        <v>-422.29599999999999</v>
      </c>
      <c r="K5211">
        <v>1.110465</v>
      </c>
      <c r="L5211">
        <v>94.750699999999995</v>
      </c>
      <c r="M5211">
        <v>-5.3496679999999998E-2</v>
      </c>
      <c r="N5211">
        <v>-7.3597050000000002E-3</v>
      </c>
      <c r="O5211">
        <v>-0.99854089999999995</v>
      </c>
      <c r="P5211">
        <v>6.5854529999999994E-2</v>
      </c>
      <c r="Q5211">
        <v>0.1564015</v>
      </c>
      <c r="R5211">
        <v>-0.98549569999999997</v>
      </c>
      <c r="S5211">
        <v>5.7495119999999997E-2</v>
      </c>
      <c r="T5211">
        <v>-0.14706459999999999</v>
      </c>
      <c r="U5211">
        <v>-3.0629270000000002</v>
      </c>
      <c r="V5211">
        <v>-0.118793</v>
      </c>
      <c r="W5211">
        <v>0.16338849999999999</v>
      </c>
      <c r="X5211">
        <v>0.97938369999999997</v>
      </c>
      <c r="Y5211">
        <v>-7.2199669999999994E-2</v>
      </c>
      <c r="Z5211">
        <v>4.0433129999999998E-2</v>
      </c>
      <c r="AA5211">
        <v>0.99657030000000002</v>
      </c>
      <c r="AB5211">
        <v>28</v>
      </c>
      <c r="AC5211">
        <v>0.448199999999985</v>
      </c>
      <c r="AD5211">
        <v>-1.110466483075</v>
      </c>
      <c r="AE5211">
        <v>-22.850549999999998</v>
      </c>
      <c r="AF5211">
        <v>-1.6660866119809701</v>
      </c>
      <c r="AG5211">
        <v>-1.110466483075</v>
      </c>
      <c r="AH5211">
        <v>22.7401650895922</v>
      </c>
      <c r="AI5211">
        <v>92.788232212100198</v>
      </c>
      <c r="AJ5211">
        <v>94.190359715894999</v>
      </c>
      <c r="AK5211">
        <v>22.828142471751001</v>
      </c>
      <c r="AL5211">
        <v>80.596368112836302</v>
      </c>
      <c r="AM5211">
        <v>96.915829323799002</v>
      </c>
      <c r="AN5211">
        <v>1.0000000053034599</v>
      </c>
    </row>
    <row r="5212" spans="1:40" x14ac:dyDescent="0.25">
      <c r="A5212" t="str">
        <f>"20190304155207099"</f>
        <v>20190304155207099</v>
      </c>
      <c r="B5212" t="str">
        <f>"1551685927092072"</f>
        <v>1551685927092072</v>
      </c>
      <c r="C5212" t="s">
        <v>40</v>
      </c>
      <c r="D5212">
        <v>4.874358</v>
      </c>
      <c r="E5212">
        <v>0.51685230000000004</v>
      </c>
      <c r="F5212" t="s">
        <v>41</v>
      </c>
      <c r="G5212">
        <v>-421.80529999999999</v>
      </c>
      <c r="H5212" s="1">
        <v>-5.7664899999999999E-7</v>
      </c>
      <c r="I5212">
        <v>69.813580000000002</v>
      </c>
      <c r="J5212">
        <v>-422.31040000000002</v>
      </c>
      <c r="K5212">
        <v>1.1104529999999999</v>
      </c>
      <c r="L5212">
        <v>94.459350000000001</v>
      </c>
      <c r="M5212">
        <v>-5.2439409999999999E-2</v>
      </c>
      <c r="N5212">
        <v>-7.4772769999999896E-3</v>
      </c>
      <c r="O5212">
        <v>-0.99859640000000005</v>
      </c>
      <c r="P5212">
        <v>6.7979289999999998E-2</v>
      </c>
      <c r="Q5212">
        <v>0.15746189999999999</v>
      </c>
      <c r="R5212">
        <v>-0.98518289999999997</v>
      </c>
      <c r="S5212">
        <v>6.0241699999999898E-2</v>
      </c>
      <c r="T5212">
        <v>-0.1363424</v>
      </c>
      <c r="U5212">
        <v>-3.0617679999999998</v>
      </c>
      <c r="V5212">
        <v>-0.1198516</v>
      </c>
      <c r="W5212">
        <v>0.164567299999999</v>
      </c>
      <c r="X5212">
        <v>0.97905730000000002</v>
      </c>
      <c r="Y5212">
        <v>-7.2047840000000002E-2</v>
      </c>
      <c r="Z5212">
        <v>3.6857670000000002E-2</v>
      </c>
      <c r="AA5212">
        <v>0.99672000000000005</v>
      </c>
      <c r="AB5212">
        <v>28</v>
      </c>
      <c r="AC5212">
        <v>0.50510000000002697</v>
      </c>
      <c r="AD5212">
        <v>-1.110453576649</v>
      </c>
      <c r="AE5212">
        <v>-24.645769999999999</v>
      </c>
      <c r="AF5212">
        <v>-1.7932115387209</v>
      </c>
      <c r="AG5212">
        <v>-1.110453576649</v>
      </c>
      <c r="AH5212">
        <v>24.5355817038092</v>
      </c>
      <c r="AI5212">
        <v>92.584491811843506</v>
      </c>
      <c r="AJ5212">
        <v>94.180096504402101</v>
      </c>
      <c r="AK5212">
        <v>24.6260732621503</v>
      </c>
      <c r="AL5212">
        <v>80.527901019219399</v>
      </c>
      <c r="AM5212">
        <v>96.979156604673605</v>
      </c>
      <c r="AN5212">
        <v>0.99999999946757001</v>
      </c>
    </row>
    <row r="5213" spans="1:40" x14ac:dyDescent="0.25">
      <c r="A5213" t="str">
        <f>"20190304155207121"</f>
        <v>20190304155207121</v>
      </c>
      <c r="B5213" t="str">
        <f>"1551685927112577"</f>
        <v>1551685927112577</v>
      </c>
      <c r="C5213" t="s">
        <v>40</v>
      </c>
      <c r="D5213">
        <v>4.7114529999999997</v>
      </c>
      <c r="E5213">
        <v>0.51706679999999905</v>
      </c>
      <c r="F5213" t="s">
        <v>41</v>
      </c>
      <c r="G5213">
        <v>-421.7439</v>
      </c>
      <c r="H5213" s="1">
        <v>-4.0799609999999999E-6</v>
      </c>
      <c r="I5213">
        <v>68.066909999999993</v>
      </c>
      <c r="J5213">
        <v>-422.32369999999997</v>
      </c>
      <c r="K5213">
        <v>1.1104350000000001</v>
      </c>
      <c r="L5213">
        <v>94.186310000000006</v>
      </c>
      <c r="M5213">
        <v>-5.1503779999999999E-2</v>
      </c>
      <c r="N5213">
        <v>-7.5984109999999898E-3</v>
      </c>
      <c r="O5213">
        <v>-0.99864410000000003</v>
      </c>
      <c r="P5213">
        <v>7.0025920000000005E-2</v>
      </c>
      <c r="Q5213">
        <v>0.15825420000000001</v>
      </c>
      <c r="R5213">
        <v>-0.98491240000000002</v>
      </c>
      <c r="S5213">
        <v>6.5704349999999995E-2</v>
      </c>
      <c r="T5213">
        <v>-0.12879769999999999</v>
      </c>
      <c r="U5213">
        <v>-3.0611570000000001</v>
      </c>
      <c r="V5213">
        <v>-0.1209518</v>
      </c>
      <c r="W5213">
        <v>0.1654844</v>
      </c>
      <c r="X5213">
        <v>0.97876739999999995</v>
      </c>
      <c r="Y5213">
        <v>-7.2897420000000004E-2</v>
      </c>
      <c r="Z5213">
        <v>3.4296100000000003E-2</v>
      </c>
      <c r="AA5213">
        <v>0.99674960000000001</v>
      </c>
      <c r="AB5213">
        <v>28</v>
      </c>
      <c r="AC5213">
        <v>0.579799999999977</v>
      </c>
      <c r="AD5213">
        <v>-1.110439079961</v>
      </c>
      <c r="AE5213">
        <v>-26.119399999999999</v>
      </c>
      <c r="AF5213">
        <v>-1.9208467354518599</v>
      </c>
      <c r="AG5213">
        <v>-1.110439079961</v>
      </c>
      <c r="AH5213">
        <v>26.007885132763398</v>
      </c>
      <c r="AI5213">
        <v>92.438197047595295</v>
      </c>
      <c r="AJ5213">
        <v>94.223986401166101</v>
      </c>
      <c r="AK5213">
        <v>26.102352694928101</v>
      </c>
      <c r="AL5213">
        <v>80.474624832851703</v>
      </c>
      <c r="AM5213">
        <v>97.044647578150105</v>
      </c>
      <c r="AN5213">
        <v>1.00000002393467</v>
      </c>
    </row>
    <row r="5214" spans="1:40" x14ac:dyDescent="0.25">
      <c r="A5214" t="str">
        <f>"20190304155207143"</f>
        <v>20190304155207143</v>
      </c>
      <c r="B5214" t="str">
        <f>"1551685927132088"</f>
        <v>1551685927132088</v>
      </c>
      <c r="C5214" t="s">
        <v>40</v>
      </c>
      <c r="D5214">
        <v>4.6959920000000004</v>
      </c>
      <c r="E5214">
        <v>0.51722679999999999</v>
      </c>
      <c r="F5214" t="s">
        <v>41</v>
      </c>
      <c r="G5214">
        <v>-421.68329999999997</v>
      </c>
      <c r="H5214" s="1">
        <v>-3.3373459999999998E-6</v>
      </c>
      <c r="I5214">
        <v>66.324479999999994</v>
      </c>
      <c r="J5214">
        <v>-422.33690000000001</v>
      </c>
      <c r="K5214">
        <v>1.110412</v>
      </c>
      <c r="L5214">
        <v>93.911439999999999</v>
      </c>
      <c r="M5214">
        <v>-5.0626730000000002E-2</v>
      </c>
      <c r="N5214">
        <v>-7.7356040000000001E-3</v>
      </c>
      <c r="O5214">
        <v>-0.99868780000000001</v>
      </c>
      <c r="P5214">
        <v>7.2338830000000007E-2</v>
      </c>
      <c r="Q5214">
        <v>0.15803249999999999</v>
      </c>
      <c r="R5214">
        <v>-0.98478109999999996</v>
      </c>
      <c r="S5214">
        <v>7.0343020000000006E-2</v>
      </c>
      <c r="T5214">
        <v>-0.12197860000000001</v>
      </c>
      <c r="U5214">
        <v>-3.0605470000000001</v>
      </c>
      <c r="V5214">
        <v>-0.12237720000000001</v>
      </c>
      <c r="W5214">
        <v>0.16540579999999999</v>
      </c>
      <c r="X5214">
        <v>0.97860349999999996</v>
      </c>
      <c r="Y5214">
        <v>-7.35378E-2</v>
      </c>
      <c r="Z5214">
        <v>3.1952649999999999E-2</v>
      </c>
      <c r="AA5214">
        <v>0.99678049999999996</v>
      </c>
      <c r="AB5214">
        <v>28</v>
      </c>
      <c r="AC5214">
        <v>0.65360000000003904</v>
      </c>
      <c r="AD5214">
        <v>-1.110415337346</v>
      </c>
      <c r="AE5214">
        <v>-27.586959999999898</v>
      </c>
      <c r="AF5214">
        <v>-2.0461277733431298</v>
      </c>
      <c r="AG5214">
        <v>-1.110415337346</v>
      </c>
      <c r="AH5214">
        <v>27.474003140765198</v>
      </c>
      <c r="AI5214">
        <v>92.308075687100398</v>
      </c>
      <c r="AJ5214">
        <v>94.259243012831504</v>
      </c>
      <c r="AK5214">
        <v>27.572459260374998</v>
      </c>
      <c r="AL5214">
        <v>80.479191306809199</v>
      </c>
      <c r="AM5214">
        <v>97.128000321982299</v>
      </c>
      <c r="AN5214">
        <v>1.0000000339828601</v>
      </c>
    </row>
    <row r="5215" spans="1:40" x14ac:dyDescent="0.25">
      <c r="A5215" t="str">
        <f>"20190304155207166"</f>
        <v>20190304155207166</v>
      </c>
      <c r="B5215" t="str">
        <f>"1551685927162344"</f>
        <v>1551685927162344</v>
      </c>
      <c r="C5215" t="s">
        <v>40</v>
      </c>
      <c r="D5215">
        <v>4.7199359999999997</v>
      </c>
      <c r="E5215">
        <v>0.51764179999999904</v>
      </c>
      <c r="F5215" t="s">
        <v>41</v>
      </c>
      <c r="G5215">
        <v>-421.63220000000001</v>
      </c>
      <c r="H5215" s="1">
        <v>-2.8913300000000001E-6</v>
      </c>
      <c r="I5215">
        <v>65.316509999999994</v>
      </c>
      <c r="J5215">
        <v>-422.35050000000001</v>
      </c>
      <c r="K5215">
        <v>1.1103780000000001</v>
      </c>
      <c r="L5215">
        <v>93.626069999999999</v>
      </c>
      <c r="M5215">
        <v>-4.979281E-2</v>
      </c>
      <c r="N5215">
        <v>-7.9065660000000003E-3</v>
      </c>
      <c r="O5215">
        <v>-0.99872859999999997</v>
      </c>
      <c r="P5215">
        <v>7.4662510000000001E-2</v>
      </c>
      <c r="Q5215">
        <v>0.1574593</v>
      </c>
      <c r="R5215">
        <v>-0.98469910000000005</v>
      </c>
      <c r="S5215">
        <v>7.5408939999999994E-2</v>
      </c>
      <c r="T5215">
        <v>-0.118824</v>
      </c>
      <c r="U5215">
        <v>-3.0599059999999998</v>
      </c>
      <c r="V5215">
        <v>-0.1238534</v>
      </c>
      <c r="W5215">
        <v>0.16501270000000001</v>
      </c>
      <c r="X5215">
        <v>0.97848409999999997</v>
      </c>
      <c r="Y5215">
        <v>-7.4359949999999994E-2</v>
      </c>
      <c r="Z5215">
        <v>3.076487E-2</v>
      </c>
      <c r="AA5215">
        <v>0.9967568</v>
      </c>
      <c r="AB5215">
        <v>28</v>
      </c>
      <c r="AC5215">
        <v>0.71829999999999905</v>
      </c>
      <c r="AD5215">
        <v>-1.11038089133</v>
      </c>
      <c r="AE5215">
        <v>-28.309560000000001</v>
      </c>
      <c r="AF5215">
        <v>-2.1237998712103101</v>
      </c>
      <c r="AG5215">
        <v>-1.11038089133</v>
      </c>
      <c r="AH5215">
        <v>28.195325854628901</v>
      </c>
      <c r="AI5215">
        <v>92.248877635983206</v>
      </c>
      <c r="AJ5215">
        <v>94.307643482870802</v>
      </c>
      <c r="AK5215">
        <v>28.296994039393802</v>
      </c>
      <c r="AL5215">
        <v>80.502027713251593</v>
      </c>
      <c r="AM5215">
        <v>97.213953889042998</v>
      </c>
      <c r="AN5215">
        <v>0.99999999490282998</v>
      </c>
    </row>
    <row r="5216" spans="1:40" x14ac:dyDescent="0.25">
      <c r="A5216" t="str">
        <f>"20190304155207189"</f>
        <v>20190304155207189</v>
      </c>
      <c r="B5216" t="str">
        <f>"1551685927181864"</f>
        <v>1551685927181864</v>
      </c>
      <c r="C5216" t="s">
        <v>40</v>
      </c>
      <c r="D5216">
        <v>4.6966950000000001</v>
      </c>
      <c r="E5216">
        <v>0.51777220000000002</v>
      </c>
      <c r="F5216" t="s">
        <v>41</v>
      </c>
      <c r="G5216">
        <v>-421.59210000000002</v>
      </c>
      <c r="H5216" s="1">
        <v>-2.3951749999999999E-6</v>
      </c>
      <c r="I5216">
        <v>64.184839999999994</v>
      </c>
      <c r="J5216">
        <v>-422.36369999999999</v>
      </c>
      <c r="K5216">
        <v>1.1103540000000001</v>
      </c>
      <c r="L5216">
        <v>93.343869999999995</v>
      </c>
      <c r="M5216">
        <v>-4.9057219999999999E-2</v>
      </c>
      <c r="N5216">
        <v>-8.1218290000000005E-3</v>
      </c>
      <c r="O5216">
        <v>-0.99876310000000001</v>
      </c>
      <c r="P5216">
        <v>7.6304380000000005E-2</v>
      </c>
      <c r="Q5216">
        <v>0.1569247</v>
      </c>
      <c r="R5216">
        <v>-0.9846587</v>
      </c>
      <c r="S5216">
        <v>7.8796389999999994E-2</v>
      </c>
      <c r="T5216">
        <v>-0.1153749</v>
      </c>
      <c r="U5216">
        <v>-3.059113</v>
      </c>
      <c r="V5216">
        <v>-0.12474540000000001</v>
      </c>
      <c r="W5216">
        <v>0.16470509999999999</v>
      </c>
      <c r="X5216">
        <v>0.97842260000000003</v>
      </c>
      <c r="Y5216">
        <v>-7.473581E-2</v>
      </c>
      <c r="Z5216">
        <v>2.943894E-2</v>
      </c>
      <c r="AA5216">
        <v>0.99676869999999995</v>
      </c>
      <c r="AB5216">
        <v>28</v>
      </c>
      <c r="AC5216">
        <v>0.77159999999997797</v>
      </c>
      <c r="AD5216">
        <v>-1.110356395175</v>
      </c>
      <c r="AE5216">
        <v>-29.159029999999898</v>
      </c>
      <c r="AF5216">
        <v>-2.1979938836098798</v>
      </c>
      <c r="AG5216">
        <v>-1.110356395175</v>
      </c>
      <c r="AH5216">
        <v>29.043980210362601</v>
      </c>
      <c r="AI5216">
        <v>92.183124794193702</v>
      </c>
      <c r="AJ5216">
        <v>94.327787580562003</v>
      </c>
      <c r="AK5216">
        <v>29.1481878492751</v>
      </c>
      <c r="AL5216">
        <v>80.519896289774096</v>
      </c>
      <c r="AM5216">
        <v>97.265807833788898</v>
      </c>
      <c r="AN5216">
        <v>0.99999998448896399</v>
      </c>
    </row>
    <row r="5217" spans="1:40" x14ac:dyDescent="0.25">
      <c r="A5217" t="str">
        <f>"20190304155207211"</f>
        <v>20190304155207211</v>
      </c>
      <c r="B5217" t="str">
        <f>"1551685927202360"</f>
        <v>1551685927202360</v>
      </c>
      <c r="C5217" t="s">
        <v>40</v>
      </c>
      <c r="D5217">
        <v>4.711646</v>
      </c>
      <c r="E5217">
        <v>0.5179549</v>
      </c>
      <c r="F5217" t="s">
        <v>41</v>
      </c>
      <c r="G5217">
        <v>-421.56990000000002</v>
      </c>
      <c r="H5217" s="1">
        <v>-2.2247180000000001E-6</v>
      </c>
      <c r="I5217">
        <v>63.801250000000003</v>
      </c>
      <c r="J5217">
        <v>-422.3768</v>
      </c>
      <c r="K5217">
        <v>1.110344</v>
      </c>
      <c r="L5217">
        <v>93.061949999999996</v>
      </c>
      <c r="M5217">
        <v>-4.8420079999999997E-2</v>
      </c>
      <c r="N5217">
        <v>-8.3940030000000006E-3</v>
      </c>
      <c r="O5217">
        <v>-0.99879200000000001</v>
      </c>
      <c r="P5217">
        <v>7.7836450000000001E-2</v>
      </c>
      <c r="Q5217">
        <v>0.15655289999999999</v>
      </c>
      <c r="R5217">
        <v>-0.98459790000000003</v>
      </c>
      <c r="S5217">
        <v>8.2183839999999994E-2</v>
      </c>
      <c r="T5217">
        <v>-0.1149603</v>
      </c>
      <c r="U5217">
        <v>-3.0586850000000001</v>
      </c>
      <c r="V5217">
        <v>-0.1256225</v>
      </c>
      <c r="W5217">
        <v>0.1646176</v>
      </c>
      <c r="X5217">
        <v>0.97832509999999995</v>
      </c>
      <c r="Y5217">
        <v>-7.5206229999999999E-2</v>
      </c>
      <c r="Z5217">
        <v>2.9037480000000001E-2</v>
      </c>
      <c r="AA5217">
        <v>0.99674510000000005</v>
      </c>
      <c r="AB5217">
        <v>28</v>
      </c>
      <c r="AC5217">
        <v>0.80689999999998396</v>
      </c>
      <c r="AD5217">
        <v>-1.110346224718</v>
      </c>
      <c r="AE5217">
        <v>-29.2607</v>
      </c>
      <c r="AF5217">
        <v>-2.21961483421244</v>
      </c>
      <c r="AG5217">
        <v>-1.110346224718</v>
      </c>
      <c r="AH5217">
        <v>29.1453690348926</v>
      </c>
      <c r="AI5217">
        <v>92.175439187805495</v>
      </c>
      <c r="AJ5217">
        <v>94.355050366664898</v>
      </c>
      <c r="AK5217">
        <v>29.250847764314098</v>
      </c>
      <c r="AL5217">
        <v>80.5249790448634</v>
      </c>
      <c r="AM5217">
        <v>97.317064219830698</v>
      </c>
      <c r="AN5217">
        <v>0.99999998401300905</v>
      </c>
    </row>
    <row r="5218" spans="1:40" x14ac:dyDescent="0.25">
      <c r="A5218" t="str">
        <f>"20190304155207233"</f>
        <v>20190304155207233</v>
      </c>
      <c r="B5218" t="str">
        <f>"1551685927221880"</f>
        <v>1551685927221880</v>
      </c>
      <c r="C5218" t="s">
        <v>40</v>
      </c>
      <c r="D5218">
        <v>4.7311820000000004</v>
      </c>
      <c r="E5218">
        <v>0.518262</v>
      </c>
      <c r="F5218" t="s">
        <v>41</v>
      </c>
      <c r="G5218">
        <v>-421.54430000000002</v>
      </c>
      <c r="H5218" s="1">
        <v>-2.011333E-6</v>
      </c>
      <c r="I5218">
        <v>63.319749999999999</v>
      </c>
      <c r="J5218">
        <v>-422.38990000000001</v>
      </c>
      <c r="K5218">
        <v>1.110339</v>
      </c>
      <c r="L5218">
        <v>92.778589999999994</v>
      </c>
      <c r="M5218">
        <v>-4.7861059999999997E-2</v>
      </c>
      <c r="N5218">
        <v>-8.6900659999999998E-3</v>
      </c>
      <c r="O5218">
        <v>-0.9988165</v>
      </c>
      <c r="P5218">
        <v>7.8742060000000003E-2</v>
      </c>
      <c r="Q5218">
        <v>0.15631809999999999</v>
      </c>
      <c r="R5218">
        <v>-0.98456330000000003</v>
      </c>
      <c r="S5218">
        <v>8.560181E-2</v>
      </c>
      <c r="T5218">
        <v>-0.1141731</v>
      </c>
      <c r="U5218">
        <v>-3.0582889999999998</v>
      </c>
      <c r="V5218">
        <v>-0.1259535</v>
      </c>
      <c r="W5218">
        <v>0.16468949999999999</v>
      </c>
      <c r="X5218">
        <v>0.97827050000000004</v>
      </c>
      <c r="Y5218">
        <v>-7.5764629999999999E-2</v>
      </c>
      <c r="Z5218">
        <v>2.8490080000000001E-2</v>
      </c>
      <c r="AA5218">
        <v>0.99671860000000001</v>
      </c>
      <c r="AB5218">
        <v>28</v>
      </c>
      <c r="AC5218">
        <v>0.84559999999999003</v>
      </c>
      <c r="AD5218">
        <v>-1.1103410113329999</v>
      </c>
      <c r="AE5218">
        <v>-29.458839999999999</v>
      </c>
      <c r="AF5218">
        <v>-2.2514191945287099</v>
      </c>
      <c r="AG5218">
        <v>-1.1103410113329999</v>
      </c>
      <c r="AH5218">
        <v>29.342953683236001</v>
      </c>
      <c r="AI5218">
        <v>92.160700689267202</v>
      </c>
      <c r="AJ5218">
        <v>94.387580350219594</v>
      </c>
      <c r="AK5218">
        <v>29.450138818135901</v>
      </c>
      <c r="AL5218">
        <v>80.520803042028106</v>
      </c>
      <c r="AM5218">
        <v>97.336539028912995</v>
      </c>
      <c r="AN5218">
        <v>1.0000000433713701</v>
      </c>
    </row>
    <row r="5219" spans="1:40" x14ac:dyDescent="0.25">
      <c r="A5219" t="str">
        <f>"20190304155207256"</f>
        <v>20190304155207256</v>
      </c>
      <c r="B5219" t="str">
        <f>"1551685927252136"</f>
        <v>1551685927252136</v>
      </c>
      <c r="C5219" t="s">
        <v>40</v>
      </c>
      <c r="D5219">
        <v>4.7933309999999896</v>
      </c>
      <c r="E5219">
        <v>0.51882450000000002</v>
      </c>
      <c r="F5219" t="s">
        <v>41</v>
      </c>
      <c r="G5219">
        <v>-421.53960000000001</v>
      </c>
      <c r="H5219" s="1">
        <v>-1.668438E-6</v>
      </c>
      <c r="I5219">
        <v>62.523350000000001</v>
      </c>
      <c r="J5219">
        <v>-422.40260000000001</v>
      </c>
      <c r="K5219">
        <v>1.1103369999999999</v>
      </c>
      <c r="L5219">
        <v>92.501220000000004</v>
      </c>
      <c r="M5219">
        <v>-4.7391950000000002E-2</v>
      </c>
      <c r="N5219">
        <v>-9.0059900000000002E-3</v>
      </c>
      <c r="O5219">
        <v>-0.9988359</v>
      </c>
      <c r="P5219">
        <v>7.9102900000000004E-2</v>
      </c>
      <c r="Q5219">
        <v>0.15631410000000001</v>
      </c>
      <c r="R5219">
        <v>-0.98453520000000005</v>
      </c>
      <c r="S5219">
        <v>8.59375E-2</v>
      </c>
      <c r="T5219">
        <v>-0.1122253</v>
      </c>
      <c r="U5219">
        <v>-3.0579830000000001</v>
      </c>
      <c r="V5219">
        <v>-0.1258329</v>
      </c>
      <c r="W5219">
        <v>0.16501080000000001</v>
      </c>
      <c r="X5219">
        <v>0.97823179999999998</v>
      </c>
      <c r="Y5219">
        <v>-7.5408939999999994E-2</v>
      </c>
      <c r="Z5219">
        <v>2.7545779999999999E-2</v>
      </c>
      <c r="AA5219">
        <v>0.9967722</v>
      </c>
      <c r="AB5219">
        <v>28</v>
      </c>
      <c r="AC5219">
        <v>0.86299999999999899</v>
      </c>
      <c r="AD5219">
        <v>-1.1103386684379899</v>
      </c>
      <c r="AE5219">
        <v>-29.9778699999999</v>
      </c>
      <c r="AF5219">
        <v>-2.27967258041827</v>
      </c>
      <c r="AG5219">
        <v>-1.1103386684379899</v>
      </c>
      <c r="AH5219">
        <v>29.862349341447899</v>
      </c>
      <c r="AI5219">
        <v>92.123212545760197</v>
      </c>
      <c r="AJ5219">
        <v>94.365455983305694</v>
      </c>
      <c r="AK5219">
        <v>29.9698125990673</v>
      </c>
      <c r="AL5219">
        <v>80.502137836980197</v>
      </c>
      <c r="AM5219">
        <v>97.329877559152607</v>
      </c>
      <c r="AN5219">
        <v>0.99999996868514396</v>
      </c>
    </row>
    <row r="5220" spans="1:40" x14ac:dyDescent="0.25">
      <c r="A5220" t="str">
        <f>"20190304155207278"</f>
        <v>20190304155207278</v>
      </c>
      <c r="B5220" t="str">
        <f>"1551685927272632"</f>
        <v>1551685927272632</v>
      </c>
      <c r="C5220" t="s">
        <v>40</v>
      </c>
      <c r="D5220">
        <v>4.7382379999999999</v>
      </c>
      <c r="E5220">
        <v>0.51914649999999996</v>
      </c>
      <c r="F5220" t="s">
        <v>41</v>
      </c>
      <c r="G5220">
        <v>-421.55860000000001</v>
      </c>
      <c r="H5220" s="1">
        <v>-1.1276509999999999E-6</v>
      </c>
      <c r="I5220">
        <v>61.250990000000002</v>
      </c>
      <c r="J5220">
        <v>-422.41539999999998</v>
      </c>
      <c r="K5220">
        <v>1.110339</v>
      </c>
      <c r="L5220">
        <v>92.220119999999994</v>
      </c>
      <c r="M5220">
        <v>-4.6989450000000002E-2</v>
      </c>
      <c r="N5220">
        <v>-9.3571829999999998E-3</v>
      </c>
      <c r="O5220">
        <v>-0.9988515</v>
      </c>
      <c r="P5220">
        <v>7.8921210000000006E-2</v>
      </c>
      <c r="Q5220">
        <v>0.15651590000000001</v>
      </c>
      <c r="R5220">
        <v>-0.98451710000000003</v>
      </c>
      <c r="S5220">
        <v>8.2580570000000006E-2</v>
      </c>
      <c r="T5220">
        <v>-0.1086432</v>
      </c>
      <c r="U5220">
        <v>-3.0577390000000002</v>
      </c>
      <c r="V5220">
        <v>-0.12523599999999999</v>
      </c>
      <c r="W5220">
        <v>0.16557230000000001</v>
      </c>
      <c r="X5220">
        <v>0.97821349999999996</v>
      </c>
      <c r="Y5220">
        <v>-7.3917070000000001E-2</v>
      </c>
      <c r="Z5220">
        <v>2.6035519999999999E-2</v>
      </c>
      <c r="AA5220">
        <v>0.99692449999999999</v>
      </c>
      <c r="AB5220">
        <v>28</v>
      </c>
      <c r="AC5220">
        <v>0.85679999999996403</v>
      </c>
      <c r="AD5220">
        <v>-1.1103401276510001</v>
      </c>
      <c r="AE5220">
        <v>-30.96913</v>
      </c>
      <c r="AF5220">
        <v>-2.30817489841687</v>
      </c>
      <c r="AG5220">
        <v>-1.1103401276510001</v>
      </c>
      <c r="AH5220">
        <v>30.8550235777994</v>
      </c>
      <c r="AI5220">
        <v>92.0552027642198</v>
      </c>
      <c r="AJ5220">
        <v>94.278162755144393</v>
      </c>
      <c r="AK5220">
        <v>30.9611531850368</v>
      </c>
      <c r="AL5220">
        <v>80.469517345555303</v>
      </c>
      <c r="AM5220">
        <v>97.295618094226199</v>
      </c>
      <c r="AN5220">
        <v>0.99999994690276806</v>
      </c>
    </row>
    <row r="5221" spans="1:40" x14ac:dyDescent="0.25">
      <c r="A5221" t="str">
        <f>"20190304155207300"</f>
        <v>20190304155207300</v>
      </c>
      <c r="B5221" t="str">
        <f>"1551685927291753"</f>
        <v>1551685927291753</v>
      </c>
      <c r="C5221" t="s">
        <v>40</v>
      </c>
      <c r="D5221">
        <v>4.8519509999999997</v>
      </c>
      <c r="E5221">
        <v>0.51943760000000005</v>
      </c>
      <c r="F5221" t="s">
        <v>41</v>
      </c>
      <c r="G5221">
        <v>-421.58109999999999</v>
      </c>
      <c r="H5221" s="1">
        <v>-6.8389650000000004E-7</v>
      </c>
      <c r="I5221">
        <v>60.202680000000001</v>
      </c>
      <c r="J5221">
        <v>-422.4282</v>
      </c>
      <c r="K5221">
        <v>1.110344</v>
      </c>
      <c r="L5221">
        <v>91.937349999999995</v>
      </c>
      <c r="M5221">
        <v>-4.6642429999999999E-2</v>
      </c>
      <c r="N5221">
        <v>-9.7260929999999999E-3</v>
      </c>
      <c r="O5221">
        <v>-0.99886419999999998</v>
      </c>
      <c r="P5221">
        <v>7.8488260000000004E-2</v>
      </c>
      <c r="Q5221">
        <v>0.15700159999999999</v>
      </c>
      <c r="R5221">
        <v>-0.98447450000000003</v>
      </c>
      <c r="S5221">
        <v>7.9681399999999999E-2</v>
      </c>
      <c r="T5221">
        <v>-0.1060368</v>
      </c>
      <c r="U5221">
        <v>-3.0576479999999999</v>
      </c>
      <c r="V5221">
        <v>-0.124442899999999</v>
      </c>
      <c r="W5221">
        <v>0.16643369999999999</v>
      </c>
      <c r="X5221">
        <v>0.97816860000000005</v>
      </c>
      <c r="Y5221">
        <v>-7.2627579999999997E-2</v>
      </c>
      <c r="Z5221">
        <v>2.4822360000000002E-2</v>
      </c>
      <c r="AA5221">
        <v>0.9970502</v>
      </c>
      <c r="AB5221">
        <v>28</v>
      </c>
      <c r="AC5221">
        <v>0.84710000000001096</v>
      </c>
      <c r="AD5221">
        <v>-1.1103446838965001</v>
      </c>
      <c r="AE5221">
        <v>-31.734669999999898</v>
      </c>
      <c r="AF5221">
        <v>-2.3235877759846599</v>
      </c>
      <c r="AG5221">
        <v>-1.1103446838965001</v>
      </c>
      <c r="AH5221">
        <v>31.621932022119999</v>
      </c>
      <c r="AI5221">
        <v>92.0056046009977</v>
      </c>
      <c r="AJ5221">
        <v>94.2025559277361</v>
      </c>
      <c r="AK5221">
        <v>31.726621475999298</v>
      </c>
      <c r="AL5221">
        <v>80.419468958417298</v>
      </c>
      <c r="AM5221">
        <v>97.250238455754499</v>
      </c>
      <c r="AN5221">
        <v>1.0000000109410301</v>
      </c>
    </row>
    <row r="5222" spans="1:40" x14ac:dyDescent="0.25">
      <c r="A5222" t="str">
        <f>"20190304155207315"</f>
        <v>20190304155207315</v>
      </c>
      <c r="B5222" t="str">
        <f>"1551685927312238"</f>
        <v>1551685927312238</v>
      </c>
      <c r="C5222" t="s">
        <v>40</v>
      </c>
      <c r="D5222">
        <v>4.7350190000000003</v>
      </c>
      <c r="E5222">
        <v>0.51972559999999901</v>
      </c>
      <c r="F5222" t="s">
        <v>41</v>
      </c>
      <c r="G5222">
        <v>-421.59890000000001</v>
      </c>
      <c r="H5222" s="1">
        <v>-4.311418E-6</v>
      </c>
      <c r="I5222">
        <v>58.822629999999997</v>
      </c>
      <c r="J5222">
        <v>-422.43650000000002</v>
      </c>
      <c r="K5222">
        <v>1.1103510000000001</v>
      </c>
      <c r="L5222">
        <v>91.754819999999995</v>
      </c>
      <c r="M5222">
        <v>-4.6443909999999998E-2</v>
      </c>
      <c r="N5222">
        <v>-9.962271E-3</v>
      </c>
      <c r="O5222">
        <v>-0.99887130000000002</v>
      </c>
      <c r="P5222">
        <v>7.8193449999999998E-2</v>
      </c>
      <c r="Q5222">
        <v>0.15677759999999999</v>
      </c>
      <c r="R5222">
        <v>-0.98453380000000001</v>
      </c>
      <c r="S5222">
        <v>7.6568600000000001E-2</v>
      </c>
      <c r="T5222">
        <v>-0.102520899999999</v>
      </c>
      <c r="U5222">
        <v>-3.0575559999999999</v>
      </c>
      <c r="V5222">
        <v>-0.12394479999999999</v>
      </c>
      <c r="W5222">
        <v>0.16645109999999999</v>
      </c>
      <c r="X5222">
        <v>0.97822889999999996</v>
      </c>
      <c r="Y5222">
        <v>-7.1416830000000001E-2</v>
      </c>
      <c r="Z5222">
        <v>2.3445130000000002E-2</v>
      </c>
      <c r="AA5222">
        <v>0.99717100000000003</v>
      </c>
      <c r="AB5222">
        <v>28</v>
      </c>
      <c r="AC5222">
        <v>0.837600000000009</v>
      </c>
      <c r="AD5222">
        <v>-1.110355311418</v>
      </c>
      <c r="AE5222">
        <v>-32.932189999999899</v>
      </c>
      <c r="AF5222">
        <v>-2.3635863286741898</v>
      </c>
      <c r="AG5222">
        <v>-1.110355311418</v>
      </c>
      <c r="AH5222">
        <v>32.820459919769398</v>
      </c>
      <c r="AI5222">
        <v>91.932644253502502</v>
      </c>
      <c r="AJ5222">
        <v>94.119081018121307</v>
      </c>
      <c r="AK5222">
        <v>32.9241859215362</v>
      </c>
      <c r="AL5222">
        <v>80.418458107438298</v>
      </c>
      <c r="AM5222">
        <v>97.221084889363397</v>
      </c>
      <c r="AN5222">
        <v>1.0000000314667199</v>
      </c>
    </row>
    <row r="5223" spans="1:40" x14ac:dyDescent="0.25">
      <c r="A5223" t="str">
        <f>"20190304155207333"</f>
        <v>20190304155207333</v>
      </c>
      <c r="B5223" t="str">
        <f>"1551685927321999"</f>
        <v>1551685927321999</v>
      </c>
      <c r="C5223" t="s">
        <v>40</v>
      </c>
      <c r="D5223">
        <v>4.9725710000000003</v>
      </c>
      <c r="E5223">
        <v>0.51964860000000002</v>
      </c>
      <c r="F5223" t="s">
        <v>41</v>
      </c>
      <c r="G5223">
        <v>-421.62990000000002</v>
      </c>
      <c r="H5223" s="1">
        <v>-4.1370380000000001E-6</v>
      </c>
      <c r="I5223">
        <v>58.294040000000003</v>
      </c>
      <c r="J5223">
        <v>-422.447</v>
      </c>
      <c r="K5223">
        <v>1.110358</v>
      </c>
      <c r="L5223">
        <v>91.521240000000006</v>
      </c>
      <c r="M5223">
        <v>-4.621343E-2</v>
      </c>
      <c r="N5223">
        <v>-1.0257580000000001E-2</v>
      </c>
      <c r="O5223">
        <v>-0.99887890000000001</v>
      </c>
      <c r="P5223">
        <v>7.7434299999999998E-2</v>
      </c>
      <c r="Q5223">
        <v>0.1577807</v>
      </c>
      <c r="R5223">
        <v>-0.98443369999999997</v>
      </c>
      <c r="S5223">
        <v>7.369995E-2</v>
      </c>
      <c r="T5223">
        <v>-0.1014572</v>
      </c>
      <c r="U5223">
        <v>-3.0574340000000002</v>
      </c>
      <c r="V5223">
        <v>-0.1229423</v>
      </c>
      <c r="W5223">
        <v>0.16775390000000001</v>
      </c>
      <c r="X5223">
        <v>0.97813280000000002</v>
      </c>
      <c r="Y5223">
        <v>-7.0252899999999993E-2</v>
      </c>
      <c r="Z5223">
        <v>2.2807210000000001E-2</v>
      </c>
      <c r="AA5223">
        <v>0.99726840000000005</v>
      </c>
      <c r="AB5223">
        <v>28</v>
      </c>
      <c r="AC5223">
        <v>0.817099999999925</v>
      </c>
      <c r="AD5223">
        <v>-1.1103621370379999</v>
      </c>
      <c r="AE5223">
        <v>-33.227200000000003</v>
      </c>
      <c r="AF5223">
        <v>-2.3492287838413302</v>
      </c>
      <c r="AG5223">
        <v>-1.1103621370379999</v>
      </c>
      <c r="AH5223">
        <v>33.116973140556503</v>
      </c>
      <c r="AI5223">
        <v>91.915511785381298</v>
      </c>
      <c r="AJ5223">
        <v>94.057611122435404</v>
      </c>
      <c r="AK5223">
        <v>33.2187550932683</v>
      </c>
      <c r="AL5223">
        <v>80.342748123335397</v>
      </c>
      <c r="AM5223">
        <v>97.163984370395397</v>
      </c>
      <c r="AN5223">
        <v>0.99999997726516898</v>
      </c>
    </row>
    <row r="5224" spans="1:40" x14ac:dyDescent="0.25">
      <c r="A5224" t="str">
        <f>"20190304155207355"</f>
        <v>20190304155207355</v>
      </c>
      <c r="B5224" t="str">
        <f>"1551685927352254"</f>
        <v>1551685927352254</v>
      </c>
      <c r="C5224" t="s">
        <v>40</v>
      </c>
      <c r="D5224">
        <v>4.7917430000000003</v>
      </c>
      <c r="E5224">
        <v>0.46544950000000002</v>
      </c>
      <c r="F5224" t="s">
        <v>41</v>
      </c>
      <c r="G5224">
        <v>-421.63249999999999</v>
      </c>
      <c r="H5224" s="1">
        <v>-3.5764000000000002E-6</v>
      </c>
      <c r="I5224">
        <v>56.913260000000001</v>
      </c>
      <c r="J5224">
        <v>-422.45949999999999</v>
      </c>
      <c r="K5224">
        <v>1.1103620000000001</v>
      </c>
      <c r="L5224">
        <v>91.243740000000003</v>
      </c>
      <c r="M5224">
        <v>-4.5968750000000003E-2</v>
      </c>
      <c r="N5224">
        <v>-1.059706E-2</v>
      </c>
      <c r="O5224">
        <v>-0.99888670000000002</v>
      </c>
      <c r="P5224">
        <v>7.716684E-2</v>
      </c>
      <c r="Q5224">
        <v>0.15894839999999999</v>
      </c>
      <c r="R5224">
        <v>-0.9842668</v>
      </c>
      <c r="S5224">
        <v>7.1960449999999995E-2</v>
      </c>
      <c r="T5224">
        <v>-9.8096610000000001E-2</v>
      </c>
      <c r="U5224">
        <v>-3.0574949999999999</v>
      </c>
      <c r="V5224">
        <v>-0.1224131</v>
      </c>
      <c r="W5224">
        <v>0.16926359999999999</v>
      </c>
      <c r="X5224">
        <v>0.97793909999999995</v>
      </c>
      <c r="Y5224">
        <v>-6.9441849999999999E-2</v>
      </c>
      <c r="Z5224">
        <v>2.1374359999999998E-2</v>
      </c>
      <c r="AA5224">
        <v>0.99735700000000005</v>
      </c>
      <c r="AB5224">
        <v>28</v>
      </c>
      <c r="AC5224">
        <v>0.82699999999999796</v>
      </c>
      <c r="AD5224">
        <v>-1.1103655764</v>
      </c>
      <c r="AE5224">
        <v>-34.330480000000001</v>
      </c>
      <c r="AF5224">
        <v>-2.4018323883960102</v>
      </c>
      <c r="AG5224">
        <v>-1.1103655764</v>
      </c>
      <c r="AH5224">
        <v>34.2203890304095</v>
      </c>
      <c r="AI5224">
        <v>91.853894380641407</v>
      </c>
      <c r="AJ5224">
        <v>94.014844770896801</v>
      </c>
      <c r="AK5224">
        <v>34.322539765113099</v>
      </c>
      <c r="AL5224">
        <v>80.254994106432505</v>
      </c>
      <c r="AM5224">
        <v>97.134864017542895</v>
      </c>
      <c r="AN5224">
        <v>1.0000000083226801</v>
      </c>
    </row>
    <row r="5225" spans="1:40" x14ac:dyDescent="0.25">
      <c r="A5225" t="str">
        <f>"20190304155207378"</f>
        <v>20190304155207378</v>
      </c>
      <c r="B5225" t="str">
        <f>"1551685927371774"</f>
        <v>1551685927371774</v>
      </c>
      <c r="C5225" t="s">
        <v>40</v>
      </c>
      <c r="D5225">
        <v>4.7557320000000001</v>
      </c>
      <c r="E5225">
        <v>0.46027849999999998</v>
      </c>
      <c r="F5225" t="s">
        <v>41</v>
      </c>
      <c r="G5225">
        <v>-416.89620000000002</v>
      </c>
      <c r="H5225" s="1">
        <v>-4.0485430000000004E-6</v>
      </c>
      <c r="I5225">
        <v>57.786670000000001</v>
      </c>
      <c r="J5225">
        <v>-422.47250000000003</v>
      </c>
      <c r="K5225">
        <v>1.1103749999999999</v>
      </c>
      <c r="L5225">
        <v>90.955470000000005</v>
      </c>
      <c r="M5225">
        <v>-4.5739019999999998E-2</v>
      </c>
      <c r="N5225">
        <v>-1.0931659999999999E-2</v>
      </c>
      <c r="O5225">
        <v>-0.99889360000000005</v>
      </c>
      <c r="P5225">
        <v>7.6832910000000004E-2</v>
      </c>
      <c r="Q5225">
        <v>0.15940289999999999</v>
      </c>
      <c r="R5225">
        <v>-0.98421959999999997</v>
      </c>
      <c r="S5225">
        <v>0.50296019999999997</v>
      </c>
      <c r="T5225">
        <v>-0.10038469999999999</v>
      </c>
      <c r="U5225">
        <v>-3.02475</v>
      </c>
      <c r="V5225">
        <v>-0.1218403</v>
      </c>
      <c r="W5225">
        <v>0.17005439999999999</v>
      </c>
      <c r="X5225">
        <v>0.9778734</v>
      </c>
      <c r="Y5225">
        <v>-0.20889199999999999</v>
      </c>
      <c r="Z5225">
        <v>2.1559399999999999E-2</v>
      </c>
      <c r="AA5225">
        <v>0.97770109999999999</v>
      </c>
      <c r="AB5225">
        <v>28</v>
      </c>
      <c r="AC5225">
        <v>5.5762999999999998</v>
      </c>
      <c r="AD5225">
        <v>-1.1103790485429901</v>
      </c>
      <c r="AE5225">
        <v>-33.168799999999997</v>
      </c>
      <c r="AF5225">
        <v>-7.0799460658453004</v>
      </c>
      <c r="AG5225">
        <v>-1.1103790485429901</v>
      </c>
      <c r="AH5225">
        <v>32.843217275325401</v>
      </c>
      <c r="AI5225">
        <v>91.892896434536496</v>
      </c>
      <c r="AJ5225">
        <v>102.16498166625099</v>
      </c>
      <c r="AK5225">
        <v>33.616000638400699</v>
      </c>
      <c r="AL5225">
        <v>80.209017722011197</v>
      </c>
      <c r="AM5225">
        <v>97.1022922568079</v>
      </c>
      <c r="AN5225">
        <v>0.99999997204550395</v>
      </c>
    </row>
    <row r="5226" spans="1:40" x14ac:dyDescent="0.25">
      <c r="A5226" t="str">
        <f>"20190304155207401"</f>
        <v>20190304155207401</v>
      </c>
      <c r="B5226" t="str">
        <f>"1551685927391879"</f>
        <v>1551685927391879</v>
      </c>
      <c r="C5226" t="s">
        <v>40</v>
      </c>
      <c r="D5226">
        <v>4.7325489999999997</v>
      </c>
      <c r="E5226">
        <v>0.45834180000000002</v>
      </c>
      <c r="F5226" t="s">
        <v>41</v>
      </c>
      <c r="G5226">
        <v>-416.78460000000001</v>
      </c>
      <c r="H5226" s="1">
        <v>-4.7197480000000004E-6</v>
      </c>
      <c r="I5226">
        <v>59.305100000000003</v>
      </c>
      <c r="J5226">
        <v>-422.48559999999998</v>
      </c>
      <c r="K5226">
        <v>1.110385</v>
      </c>
      <c r="L5226">
        <v>90.66534</v>
      </c>
      <c r="M5226">
        <v>-4.5527239999999997E-2</v>
      </c>
      <c r="N5226">
        <v>-1.1239860000000001E-2</v>
      </c>
      <c r="O5226">
        <v>-0.99890000000000001</v>
      </c>
      <c r="P5226">
        <v>7.661548E-2</v>
      </c>
      <c r="Q5226">
        <v>0.15989020000000001</v>
      </c>
      <c r="R5226">
        <v>-0.98415730000000001</v>
      </c>
      <c r="S5226">
        <v>0.54324340000000004</v>
      </c>
      <c r="T5226">
        <v>-0.1060499</v>
      </c>
      <c r="U5226">
        <v>-3.0228579999999998</v>
      </c>
      <c r="V5226">
        <v>-0.1214047</v>
      </c>
      <c r="W5226">
        <v>0.17084849999999999</v>
      </c>
      <c r="X5226">
        <v>0.97778920000000002</v>
      </c>
      <c r="Y5226">
        <v>-0.2214034</v>
      </c>
      <c r="Z5226">
        <v>2.3016120000000001E-2</v>
      </c>
      <c r="AA5226">
        <v>0.97491070000000002</v>
      </c>
      <c r="AB5226">
        <v>28</v>
      </c>
      <c r="AC5226">
        <v>5.7009999999999597</v>
      </c>
      <c r="AD5226">
        <v>-1.1103897197479999</v>
      </c>
      <c r="AE5226">
        <v>-31.360240000000001</v>
      </c>
      <c r="AF5226">
        <v>-7.1142892225554197</v>
      </c>
      <c r="AG5226">
        <v>-1.1103897197479999</v>
      </c>
      <c r="AH5226">
        <v>31.030492966487099</v>
      </c>
      <c r="AI5226">
        <v>91.997603005130699</v>
      </c>
      <c r="AJ5226">
        <v>102.912907562176</v>
      </c>
      <c r="AK5226">
        <v>31.854945773224902</v>
      </c>
      <c r="AL5226">
        <v>80.162843860333297</v>
      </c>
      <c r="AM5226">
        <v>97.0777615332388</v>
      </c>
      <c r="AN5226">
        <v>1.00000001538548</v>
      </c>
    </row>
    <row r="5227" spans="1:40" x14ac:dyDescent="0.25">
      <c r="A5227" t="str">
        <f>"20190304155207424"</f>
        <v>20190304155207424</v>
      </c>
      <c r="B5227" t="str">
        <f>"1551685927412360"</f>
        <v>1551685927412360</v>
      </c>
      <c r="C5227" t="s">
        <v>40</v>
      </c>
      <c r="D5227">
        <v>4.7182930000000001</v>
      </c>
      <c r="E5227">
        <v>0.45715129999999998</v>
      </c>
      <c r="F5227" t="s">
        <v>41</v>
      </c>
      <c r="G5227">
        <v>-416.71190000000001</v>
      </c>
      <c r="H5227" s="1">
        <v>-4.7709469999999997E-6</v>
      </c>
      <c r="I5227">
        <v>59.394390000000001</v>
      </c>
      <c r="J5227">
        <v>-422.49799999999999</v>
      </c>
      <c r="K5227">
        <v>1.110398</v>
      </c>
      <c r="L5227">
        <v>90.386409999999998</v>
      </c>
      <c r="M5227">
        <v>-4.5336090000000002E-2</v>
      </c>
      <c r="N5227">
        <v>-1.150968E-2</v>
      </c>
      <c r="O5227">
        <v>-0.9989055</v>
      </c>
      <c r="P5227">
        <v>7.6524469999999997E-2</v>
      </c>
      <c r="Q5227">
        <v>0.16008039999999901</v>
      </c>
      <c r="R5227">
        <v>-0.98413340000000005</v>
      </c>
      <c r="S5227">
        <v>0.55801389999999995</v>
      </c>
      <c r="T5227">
        <v>-0.1073171</v>
      </c>
      <c r="U5227">
        <v>-3.022278</v>
      </c>
      <c r="V5227">
        <v>-0.1211212</v>
      </c>
      <c r="W5227">
        <v>0.17130609999999999</v>
      </c>
      <c r="X5227">
        <v>0.97774430000000001</v>
      </c>
      <c r="Y5227">
        <v>-0.22585479999999999</v>
      </c>
      <c r="Z5227">
        <v>2.312763E-2</v>
      </c>
      <c r="AA5227">
        <v>0.97388640000000004</v>
      </c>
      <c r="AB5227">
        <v>28</v>
      </c>
      <c r="AC5227">
        <v>5.7861000000000304</v>
      </c>
      <c r="AD5227">
        <v>-1.1104027709469999</v>
      </c>
      <c r="AE5227">
        <v>-30.99202</v>
      </c>
      <c r="AF5227">
        <v>-7.1763979414497499</v>
      </c>
      <c r="AG5227">
        <v>-1.1104027709469999</v>
      </c>
      <c r="AH5227">
        <v>30.659780848848101</v>
      </c>
      <c r="AI5227">
        <v>92.019630322745698</v>
      </c>
      <c r="AJ5227">
        <v>103.173801679674</v>
      </c>
      <c r="AK5227">
        <v>31.508028237691502</v>
      </c>
      <c r="AL5227">
        <v>80.136233055953298</v>
      </c>
      <c r="AM5227">
        <v>97.061721839658901</v>
      </c>
      <c r="AN5227">
        <v>1.0000000205845601</v>
      </c>
    </row>
    <row r="5228" spans="1:40" x14ac:dyDescent="0.25">
      <c r="A5228" t="str">
        <f>"20190304155207444"</f>
        <v>20190304155207444</v>
      </c>
      <c r="B5228" t="str">
        <f>"1551685927442616"</f>
        <v>1551685927442616</v>
      </c>
      <c r="C5228" t="s">
        <v>40</v>
      </c>
      <c r="D5228">
        <v>4.7238340000000001</v>
      </c>
      <c r="E5228">
        <v>0.45616220000000002</v>
      </c>
      <c r="F5228" t="s">
        <v>41</v>
      </c>
      <c r="G5228">
        <v>-416.7604</v>
      </c>
      <c r="H5228" s="1">
        <v>-9.2005329999999999E-7</v>
      </c>
      <c r="I5228">
        <v>59.818710000000003</v>
      </c>
      <c r="J5228">
        <v>-422.50959999999998</v>
      </c>
      <c r="K5228">
        <v>1.1104080000000001</v>
      </c>
      <c r="L5228">
        <v>90.125489999999999</v>
      </c>
      <c r="M5228">
        <v>-4.5162359999999999E-2</v>
      </c>
      <c r="N5228">
        <v>-1.1740530000000001E-2</v>
      </c>
      <c r="O5228">
        <v>-0.99891070000000004</v>
      </c>
      <c r="P5228">
        <v>7.6296530000000001E-2</v>
      </c>
      <c r="Q5228">
        <v>0.16044990000000001</v>
      </c>
      <c r="R5228">
        <v>-0.98409100000000005</v>
      </c>
      <c r="S5228">
        <v>0.56726069999999995</v>
      </c>
      <c r="T5228">
        <v>-0.1097814</v>
      </c>
      <c r="U5228">
        <v>-3.022125</v>
      </c>
      <c r="V5228">
        <v>-0.1207192</v>
      </c>
      <c r="W5228">
        <v>0.17190269999999999</v>
      </c>
      <c r="X5228">
        <v>0.97768929999999998</v>
      </c>
      <c r="Y5228">
        <v>-0.22856770000000001</v>
      </c>
      <c r="Z5228">
        <v>2.367184E-2</v>
      </c>
      <c r="AA5228">
        <v>0.9732402</v>
      </c>
      <c r="AB5228">
        <v>28</v>
      </c>
      <c r="AC5228">
        <v>5.7491999999999699</v>
      </c>
      <c r="AD5228">
        <v>-1.1104089200533001</v>
      </c>
      <c r="AE5228">
        <v>-30.30678</v>
      </c>
      <c r="AF5228">
        <v>-7.1029491771206601</v>
      </c>
      <c r="AG5228">
        <v>-1.1104089200533001</v>
      </c>
      <c r="AH5228">
        <v>29.977343053070399</v>
      </c>
      <c r="AI5228">
        <v>92.064254444836195</v>
      </c>
      <c r="AJ5228">
        <v>103.33005484796401</v>
      </c>
      <c r="AK5228">
        <v>30.827357841760701</v>
      </c>
      <c r="AL5228">
        <v>80.101535639687398</v>
      </c>
      <c r="AM5228">
        <v>97.038911513014099</v>
      </c>
      <c r="AN5228">
        <v>1.0000000154252</v>
      </c>
    </row>
    <row r="5229" spans="1:40" x14ac:dyDescent="0.25">
      <c r="A5229" t="str">
        <f>"20190304155207468"</f>
        <v>20190304155207468</v>
      </c>
      <c r="B5229" t="str">
        <f>"1551685927462136"</f>
        <v>1551685927462136</v>
      </c>
      <c r="C5229" t="s">
        <v>40</v>
      </c>
      <c r="D5229">
        <v>4.7028790000000003</v>
      </c>
      <c r="E5229">
        <v>0.45562809999999998</v>
      </c>
      <c r="F5229" t="s">
        <v>41</v>
      </c>
      <c r="G5229">
        <v>-416.83890000000002</v>
      </c>
      <c r="H5229" s="1">
        <v>-1.0670539999999999E-6</v>
      </c>
      <c r="I5229">
        <v>60.312080000000002</v>
      </c>
      <c r="J5229">
        <v>-422.52280000000002</v>
      </c>
      <c r="K5229">
        <v>1.1104309999999999</v>
      </c>
      <c r="L5229">
        <v>89.830290000000005</v>
      </c>
      <c r="M5229">
        <v>-4.4965480000000002E-2</v>
      </c>
      <c r="N5229">
        <v>-1.19755E-2</v>
      </c>
      <c r="O5229">
        <v>-0.9989169</v>
      </c>
      <c r="P5229">
        <v>7.633537E-2</v>
      </c>
      <c r="Q5229">
        <v>0.1601207</v>
      </c>
      <c r="R5229">
        <v>-0.9841415</v>
      </c>
      <c r="S5229">
        <v>0.57485959999999903</v>
      </c>
      <c r="T5229">
        <v>-0.1125656</v>
      </c>
      <c r="U5229">
        <v>-3.022278</v>
      </c>
      <c r="V5229">
        <v>-0.12056649999999999</v>
      </c>
      <c r="W5229">
        <v>0.1718045</v>
      </c>
      <c r="X5229">
        <v>0.97772539999999997</v>
      </c>
      <c r="Y5229">
        <v>-0.23072280000000001</v>
      </c>
      <c r="Z5229">
        <v>2.4314780000000001E-2</v>
      </c>
      <c r="AA5229">
        <v>0.97271569999999996</v>
      </c>
      <c r="AB5229">
        <v>28</v>
      </c>
      <c r="AC5229">
        <v>5.6838999999999897</v>
      </c>
      <c r="AD5229">
        <v>-1.110432067054</v>
      </c>
      <c r="AE5229">
        <v>-29.51821</v>
      </c>
      <c r="AF5229">
        <v>-6.9959991668199999</v>
      </c>
      <c r="AG5229">
        <v>-1.110432067054</v>
      </c>
      <c r="AH5229">
        <v>29.192916200737798</v>
      </c>
      <c r="AI5229">
        <v>92.118425595703997</v>
      </c>
      <c r="AJ5229">
        <v>103.476616000446</v>
      </c>
      <c r="AK5229">
        <v>30.0400302932768</v>
      </c>
      <c r="AL5229">
        <v>80.107247027264705</v>
      </c>
      <c r="AM5229">
        <v>97.0298400387219</v>
      </c>
      <c r="AN5229">
        <v>1.00000001247383</v>
      </c>
    </row>
    <row r="5230" spans="1:40" x14ac:dyDescent="0.25">
      <c r="A5230" t="str">
        <f>"20190304155207490"</f>
        <v>20190304155207490</v>
      </c>
      <c r="B5230" t="str">
        <f>"1551685927481656"</f>
        <v>1551685927481656</v>
      </c>
      <c r="C5230" t="s">
        <v>40</v>
      </c>
      <c r="D5230">
        <v>4.743099</v>
      </c>
      <c r="E5230">
        <v>0.45542100000000002</v>
      </c>
      <c r="F5230" t="s">
        <v>41</v>
      </c>
      <c r="G5230">
        <v>-417.16289999999998</v>
      </c>
      <c r="H5230" s="1">
        <v>-1.5082720000000001E-6</v>
      </c>
      <c r="I5230">
        <v>61.8619699999999</v>
      </c>
      <c r="J5230">
        <v>-422.53489999999999</v>
      </c>
      <c r="K5230">
        <v>1.1104400000000001</v>
      </c>
      <c r="L5230">
        <v>89.555629999999994</v>
      </c>
      <c r="M5230">
        <v>-4.4778850000000002E-2</v>
      </c>
      <c r="N5230">
        <v>-1.2166679999999999E-2</v>
      </c>
      <c r="O5230">
        <v>-0.99892309999999995</v>
      </c>
      <c r="P5230">
        <v>7.6353829999999998E-2</v>
      </c>
      <c r="Q5230">
        <v>0.16025880000000001</v>
      </c>
      <c r="R5230">
        <v>-0.98411769999999998</v>
      </c>
      <c r="S5230">
        <v>0.57931519999999903</v>
      </c>
      <c r="T5230">
        <v>-0.1200209</v>
      </c>
      <c r="U5230">
        <v>-3.0229490000000001</v>
      </c>
      <c r="V5230">
        <v>-0.12040099999999999</v>
      </c>
      <c r="W5230">
        <v>0.17213000000000001</v>
      </c>
      <c r="X5230">
        <v>0.97768849999999996</v>
      </c>
      <c r="Y5230">
        <v>-0.23186889999999999</v>
      </c>
      <c r="Z5230">
        <v>2.6507929999999999E-2</v>
      </c>
      <c r="AA5230">
        <v>0.97238579999999997</v>
      </c>
      <c r="AB5230">
        <v>28</v>
      </c>
      <c r="AC5230">
        <v>5.3720000000000097</v>
      </c>
      <c r="AD5230">
        <v>-1.1104415082719901</v>
      </c>
      <c r="AE5230">
        <v>-27.693660000000001</v>
      </c>
      <c r="AF5230">
        <v>-6.5965710667520003</v>
      </c>
      <c r="AG5230">
        <v>-1.1104415082719901</v>
      </c>
      <c r="AH5230">
        <v>27.382877821563198</v>
      </c>
      <c r="AI5230">
        <v>92.257691916377397</v>
      </c>
      <c r="AJ5230">
        <v>103.54455186597301</v>
      </c>
      <c r="AK5230">
        <v>28.188115012761301</v>
      </c>
      <c r="AL5230">
        <v>80.088314796145895</v>
      </c>
      <c r="AM5230">
        <v>97.020548944925494</v>
      </c>
      <c r="AN5230">
        <v>0.99999997036662402</v>
      </c>
    </row>
    <row r="5231" spans="1:40" x14ac:dyDescent="0.25">
      <c r="A5231" t="str">
        <f>"20190304155207523"</f>
        <v>20190304155207523</v>
      </c>
      <c r="B5231" t="str">
        <f>"1551685927511627"</f>
        <v>1551685927511627</v>
      </c>
      <c r="C5231" t="s">
        <v>40</v>
      </c>
      <c r="D5231">
        <v>4.7435769999999904</v>
      </c>
      <c r="E5231">
        <v>0.45515840000000002</v>
      </c>
      <c r="F5231" t="s">
        <v>41</v>
      </c>
      <c r="G5231">
        <v>-417.16739999999999</v>
      </c>
      <c r="H5231" s="1">
        <v>-1.4472319999999999E-6</v>
      </c>
      <c r="I5231">
        <v>61.686100000000003</v>
      </c>
      <c r="J5231">
        <v>-422.55290000000002</v>
      </c>
      <c r="K5231">
        <v>1.1104620000000001</v>
      </c>
      <c r="L5231">
        <v>89.145840000000007</v>
      </c>
      <c r="M5231">
        <v>-4.4494829999999999E-2</v>
      </c>
      <c r="N5231">
        <v>-1.2410650000000001E-2</v>
      </c>
      <c r="O5231">
        <v>-0.99893240000000005</v>
      </c>
      <c r="P5231">
        <v>7.6095640000000006E-2</v>
      </c>
      <c r="Q5231">
        <v>0.1599669</v>
      </c>
      <c r="R5231">
        <v>-0.98418499999999998</v>
      </c>
      <c r="S5231">
        <v>0.58218380000000003</v>
      </c>
      <c r="T5231">
        <v>-0.1204436</v>
      </c>
      <c r="U5231">
        <v>-3.0228579999999998</v>
      </c>
      <c r="V5231">
        <v>-0.1198683</v>
      </c>
      <c r="W5231">
        <v>0.17207739999999999</v>
      </c>
      <c r="X5231">
        <v>0.97776320000000005</v>
      </c>
      <c r="Y5231">
        <v>-0.2324862</v>
      </c>
      <c r="Z5231">
        <v>2.6394830000000001E-2</v>
      </c>
      <c r="AA5231">
        <v>0.97224149999999998</v>
      </c>
      <c r="AB5231">
        <v>28</v>
      </c>
      <c r="AC5231">
        <v>5.3855000000000297</v>
      </c>
      <c r="AD5231">
        <v>-1.1104634472319901</v>
      </c>
      <c r="AE5231">
        <v>-27.45974</v>
      </c>
      <c r="AF5231">
        <v>-6.5916956049047499</v>
      </c>
      <c r="AG5231">
        <v>-1.1104634472319901</v>
      </c>
      <c r="AH5231">
        <v>27.150138776867301</v>
      </c>
      <c r="AI5231">
        <v>92.276090455894206</v>
      </c>
      <c r="AJ5231">
        <v>103.646613775102</v>
      </c>
      <c r="AK5231">
        <v>27.960930163685699</v>
      </c>
      <c r="AL5231">
        <v>80.091374081442098</v>
      </c>
      <c r="AM5231">
        <v>96.989266569291402</v>
      </c>
      <c r="AN5231">
        <v>0.99999995810494402</v>
      </c>
    </row>
    <row r="5232" spans="1:40" x14ac:dyDescent="0.25">
      <c r="A5232" t="str">
        <f>"20190304155207545"</f>
        <v>20190304155207545</v>
      </c>
      <c r="B5232" t="str">
        <f>"1551685927541884"</f>
        <v>1551685927541884</v>
      </c>
      <c r="C5232" t="s">
        <v>40</v>
      </c>
      <c r="D5232">
        <v>4.7162959999999998</v>
      </c>
      <c r="E5232">
        <v>0.4549647</v>
      </c>
      <c r="F5232" t="s">
        <v>41</v>
      </c>
      <c r="G5232">
        <v>-417.30290000000002</v>
      </c>
      <c r="H5232" s="1">
        <v>-1.5036230000000001E-6</v>
      </c>
      <c r="I5232">
        <v>61.957700000000003</v>
      </c>
      <c r="J5232">
        <v>-422.565</v>
      </c>
      <c r="K5232">
        <v>1.1104719999999999</v>
      </c>
      <c r="L5232">
        <v>88.870090000000005</v>
      </c>
      <c r="M5232">
        <v>-4.4301340000000002E-2</v>
      </c>
      <c r="N5232">
        <v>-1.2550769999999999E-2</v>
      </c>
      <c r="O5232">
        <v>-0.99893929999999997</v>
      </c>
      <c r="P5232">
        <v>7.594824E-2</v>
      </c>
      <c r="Q5232">
        <v>0.16068109999999999</v>
      </c>
      <c r="R5232">
        <v>-0.98407999999999995</v>
      </c>
      <c r="S5232">
        <v>0.58377080000000003</v>
      </c>
      <c r="T5232">
        <v>-0.1234758</v>
      </c>
      <c r="U5232">
        <v>-3.0231319999999999</v>
      </c>
      <c r="V5232">
        <v>-0.1195276</v>
      </c>
      <c r="W5232">
        <v>0.17292759999999999</v>
      </c>
      <c r="X5232">
        <v>0.97765489999999999</v>
      </c>
      <c r="Y5232">
        <v>-0.2327668</v>
      </c>
      <c r="Z5232">
        <v>2.722486E-2</v>
      </c>
      <c r="AA5232">
        <v>0.97215149999999995</v>
      </c>
      <c r="AB5232">
        <v>28</v>
      </c>
      <c r="AC5232">
        <v>5.26209999999997</v>
      </c>
      <c r="AD5232">
        <v>-1.110473503623</v>
      </c>
      <c r="AE5232">
        <v>-26.912389999999998</v>
      </c>
      <c r="AF5232">
        <v>-6.4387229910575696</v>
      </c>
      <c r="AG5232">
        <v>-1.110473503623</v>
      </c>
      <c r="AH5232">
        <v>26.6091906841806</v>
      </c>
      <c r="AI5232">
        <v>92.322764679079995</v>
      </c>
      <c r="AJ5232">
        <v>103.602608332706</v>
      </c>
      <c r="AK5232">
        <v>27.399622881071</v>
      </c>
      <c r="AL5232">
        <v>80.041919787503303</v>
      </c>
      <c r="AM5232">
        <v>96.970361198332</v>
      </c>
      <c r="AN5232">
        <v>0.99999995274876297</v>
      </c>
    </row>
    <row r="5233" spans="1:40" x14ac:dyDescent="0.25">
      <c r="A5233" t="str">
        <f>"20190304155207568"</f>
        <v>20190304155207568</v>
      </c>
      <c r="B5233" t="str">
        <f>"1551685927562380"</f>
        <v>1551685927562380</v>
      </c>
      <c r="C5233" t="s">
        <v>40</v>
      </c>
      <c r="D5233">
        <v>4.7053640000000003</v>
      </c>
      <c r="E5233">
        <v>0.4548297</v>
      </c>
      <c r="F5233" t="s">
        <v>41</v>
      </c>
      <c r="G5233">
        <v>-417.2362</v>
      </c>
      <c r="H5233" s="1">
        <v>-1.3019209999999999E-6</v>
      </c>
      <c r="I5233">
        <v>61.31288</v>
      </c>
      <c r="J5233">
        <v>-422.57729999999998</v>
      </c>
      <c r="K5233">
        <v>1.110482</v>
      </c>
      <c r="L5233">
        <v>88.586669999999998</v>
      </c>
      <c r="M5233">
        <v>-4.4103740000000002E-2</v>
      </c>
      <c r="N5233">
        <v>-1.2676069999999999E-2</v>
      </c>
      <c r="O5233">
        <v>-0.99894649999999996</v>
      </c>
      <c r="P5233">
        <v>7.5386750000000002E-2</v>
      </c>
      <c r="Q5233">
        <v>0.16178679999999901</v>
      </c>
      <c r="R5233">
        <v>-0.98394219999999999</v>
      </c>
      <c r="S5233">
        <v>0.58462519999999996</v>
      </c>
      <c r="T5233">
        <v>-0.1218306</v>
      </c>
      <c r="U5233">
        <v>-3.0233150000000002</v>
      </c>
      <c r="V5233">
        <v>-0.11876730000000001</v>
      </c>
      <c r="W5233">
        <v>0.17415510000000001</v>
      </c>
      <c r="X5233">
        <v>0.97752969999999895</v>
      </c>
      <c r="Y5233">
        <v>-0.2328316</v>
      </c>
      <c r="Z5233">
        <v>2.6566099999999999E-2</v>
      </c>
      <c r="AA5233">
        <v>0.97215410000000002</v>
      </c>
      <c r="AB5233">
        <v>28</v>
      </c>
      <c r="AC5233">
        <v>5.3410999999999804</v>
      </c>
      <c r="AD5233">
        <v>-1.1104833019210001</v>
      </c>
      <c r="AE5233">
        <v>-27.273789999999899</v>
      </c>
      <c r="AF5233">
        <v>-6.5284517201060304</v>
      </c>
      <c r="AG5233">
        <v>-1.1104833019210001</v>
      </c>
      <c r="AH5233">
        <v>26.968608343658602</v>
      </c>
      <c r="AI5233">
        <v>92.291808471203396</v>
      </c>
      <c r="AJ5233">
        <v>103.60814583100699</v>
      </c>
      <c r="AK5233">
        <v>27.7697621707363</v>
      </c>
      <c r="AL5233">
        <v>79.970506014470402</v>
      </c>
      <c r="AM5233">
        <v>96.927334186239904</v>
      </c>
      <c r="AN5233">
        <v>0.99999999239369397</v>
      </c>
    </row>
    <row r="5234" spans="1:40" x14ac:dyDescent="0.25">
      <c r="A5234" t="str">
        <f>"20190304155207590"</f>
        <v>20190304155207590</v>
      </c>
      <c r="B5234" t="str">
        <f>"1551685927581904"</f>
        <v>1551685927581904</v>
      </c>
      <c r="C5234" t="s">
        <v>40</v>
      </c>
      <c r="D5234">
        <v>4.6858849999999999</v>
      </c>
      <c r="E5234">
        <v>0.45474799999999899</v>
      </c>
      <c r="F5234" t="s">
        <v>41</v>
      </c>
      <c r="G5234">
        <v>-417.06529999999998</v>
      </c>
      <c r="H5234" s="1">
        <v>-9.2010900000000002E-7</v>
      </c>
      <c r="I5234">
        <v>60.057290000000002</v>
      </c>
      <c r="J5234">
        <v>-422.58920000000001</v>
      </c>
      <c r="K5234">
        <v>1.1104959999999999</v>
      </c>
      <c r="L5234">
        <v>88.31277</v>
      </c>
      <c r="M5234">
        <v>-4.3916120000000003E-2</v>
      </c>
      <c r="N5234">
        <v>-1.2780329999999999E-2</v>
      </c>
      <c r="O5234">
        <v>-0.99895339999999999</v>
      </c>
      <c r="P5234">
        <v>7.4618939999999995E-2</v>
      </c>
      <c r="Q5234">
        <v>0.1626252</v>
      </c>
      <c r="R5234">
        <v>-0.98386229999999997</v>
      </c>
      <c r="S5234">
        <v>0.58416749999999995</v>
      </c>
      <c r="T5234">
        <v>-0.11768960000000001</v>
      </c>
      <c r="U5234">
        <v>-3.0235599999999998</v>
      </c>
      <c r="V5234">
        <v>-0.11781220000000001</v>
      </c>
      <c r="W5234">
        <v>0.1750951</v>
      </c>
      <c r="X5234">
        <v>0.97747740000000005</v>
      </c>
      <c r="Y5234">
        <v>-0.23250090000000001</v>
      </c>
      <c r="Z5234">
        <v>2.512727E-2</v>
      </c>
      <c r="AA5234">
        <v>0.97227160000000001</v>
      </c>
      <c r="AB5234">
        <v>28</v>
      </c>
      <c r="AC5234">
        <v>5.5239000000000198</v>
      </c>
      <c r="AD5234">
        <v>-1.110496920109</v>
      </c>
      <c r="AE5234">
        <v>-28.255479999999999</v>
      </c>
      <c r="AF5234">
        <v>-6.7495004768321296</v>
      </c>
      <c r="AG5234">
        <v>-1.110496920109</v>
      </c>
      <c r="AH5234">
        <v>27.944032476715801</v>
      </c>
      <c r="AI5234">
        <v>92.212190197959202</v>
      </c>
      <c r="AJ5234">
        <v>103.578938092374</v>
      </c>
      <c r="AK5234">
        <v>28.769044321215699</v>
      </c>
      <c r="AL5234">
        <v>79.915808001544207</v>
      </c>
      <c r="AM5234">
        <v>96.872525166905703</v>
      </c>
      <c r="AN5234">
        <v>1.0000000380117999</v>
      </c>
    </row>
    <row r="5235" spans="1:40" x14ac:dyDescent="0.25">
      <c r="A5235" t="str">
        <f>"20190304155207612"</f>
        <v>20190304155207612</v>
      </c>
      <c r="B5235" t="str">
        <f>"1551685927602090"</f>
        <v>1551685927602090</v>
      </c>
      <c r="C5235" t="s">
        <v>40</v>
      </c>
      <c r="D5235">
        <v>4.7037329999999997</v>
      </c>
      <c r="E5235">
        <v>0.45479700000000001</v>
      </c>
      <c r="F5235" t="s">
        <v>41</v>
      </c>
      <c r="G5235">
        <v>-416.92059999999998</v>
      </c>
      <c r="H5235" s="1">
        <v>-4.5086990000000003E-6</v>
      </c>
      <c r="I5235">
        <v>58.86936</v>
      </c>
      <c r="J5235">
        <v>-422.60140000000001</v>
      </c>
      <c r="K5235">
        <v>1.1105039999999999</v>
      </c>
      <c r="L5235">
        <v>88.031130000000005</v>
      </c>
      <c r="M5235">
        <v>-4.3726389999999997E-2</v>
      </c>
      <c r="N5235">
        <v>-1.28732E-2</v>
      </c>
      <c r="O5235">
        <v>-0.99896079999999998</v>
      </c>
      <c r="P5235">
        <v>7.4403880000000006E-2</v>
      </c>
      <c r="Q5235">
        <v>0.16293489999999999</v>
      </c>
      <c r="R5235">
        <v>-0.98382780000000003</v>
      </c>
      <c r="S5235">
        <v>0.58218380000000003</v>
      </c>
      <c r="T5235">
        <v>-0.1140505</v>
      </c>
      <c r="U5235">
        <v>-3.023895</v>
      </c>
      <c r="V5235">
        <v>-0.1174089</v>
      </c>
      <c r="W5235">
        <v>0.17549690000000001</v>
      </c>
      <c r="X5235">
        <v>0.97745380000000004</v>
      </c>
      <c r="Y5235">
        <v>-0.23168830000000001</v>
      </c>
      <c r="Z5235">
        <v>2.3864360000000001E-2</v>
      </c>
      <c r="AA5235">
        <v>0.97249730000000001</v>
      </c>
      <c r="AB5235">
        <v>28</v>
      </c>
      <c r="AC5235">
        <v>5.6808000000000298</v>
      </c>
      <c r="AD5235">
        <v>-1.1105085086990001</v>
      </c>
      <c r="AE5235">
        <v>-29.161770000000001</v>
      </c>
      <c r="AF5235">
        <v>-6.9409125761520203</v>
      </c>
      <c r="AG5235">
        <v>-1.1105085086990001</v>
      </c>
      <c r="AH5235">
        <v>28.8451512712493</v>
      </c>
      <c r="AI5235">
        <v>92.143613331158207</v>
      </c>
      <c r="AJ5235">
        <v>103.529678249101</v>
      </c>
      <c r="AK5235">
        <v>29.689261499722999</v>
      </c>
      <c r="AL5235">
        <v>79.8924238022705</v>
      </c>
      <c r="AM5235">
        <v>96.849386498532795</v>
      </c>
      <c r="AN5235">
        <v>0.999999971421629</v>
      </c>
    </row>
    <row r="5236" spans="1:40" x14ac:dyDescent="0.25">
      <c r="A5236" t="str">
        <f>"20190304155207637"</f>
        <v>20190304155207637</v>
      </c>
      <c r="B5236" t="str">
        <f>"1551685927632346"</f>
        <v>1551685927632346</v>
      </c>
      <c r="C5236" t="s">
        <v>40</v>
      </c>
      <c r="D5236">
        <v>4.7970350000000002</v>
      </c>
      <c r="E5236">
        <v>0.45447969999999999</v>
      </c>
      <c r="F5236" t="s">
        <v>41</v>
      </c>
      <c r="G5236">
        <v>-416.91449999999998</v>
      </c>
      <c r="H5236" s="1">
        <v>-4.3130390000000001E-6</v>
      </c>
      <c r="I5236">
        <v>58.410760000000003</v>
      </c>
      <c r="J5236">
        <v>-422.61380000000003</v>
      </c>
      <c r="K5236">
        <v>1.1105069999999999</v>
      </c>
      <c r="L5236">
        <v>87.743960000000001</v>
      </c>
      <c r="M5236">
        <v>-4.353684E-2</v>
      </c>
      <c r="N5236">
        <v>-1.2955019999999999E-2</v>
      </c>
      <c r="O5236">
        <v>-0.99896819999999997</v>
      </c>
      <c r="P5236">
        <v>7.4731699999999998E-2</v>
      </c>
      <c r="Q5236">
        <v>0.1627642</v>
      </c>
      <c r="R5236">
        <v>-0.98383120000000002</v>
      </c>
      <c r="S5236">
        <v>0.58062740000000002</v>
      </c>
      <c r="T5236">
        <v>-0.11338139999999899</v>
      </c>
      <c r="U5236">
        <v>-3.0242</v>
      </c>
      <c r="V5236">
        <v>-0.11754969999999999</v>
      </c>
      <c r="W5236">
        <v>0.17540729999999999</v>
      </c>
      <c r="X5236">
        <v>0.97745300000000002</v>
      </c>
      <c r="Y5236">
        <v>-0.23100409999999999</v>
      </c>
      <c r="Z5236">
        <v>2.356863E-2</v>
      </c>
      <c r="AA5236">
        <v>0.97266730000000001</v>
      </c>
      <c r="AB5236">
        <v>28</v>
      </c>
      <c r="AC5236">
        <v>5.6993000000000498</v>
      </c>
      <c r="AD5236">
        <v>-1.1105113130390001</v>
      </c>
      <c r="AE5236">
        <v>-29.333200000000001</v>
      </c>
      <c r="AF5236">
        <v>-6.9614620082577598</v>
      </c>
      <c r="AG5236">
        <v>-1.1105113130390001</v>
      </c>
      <c r="AH5236">
        <v>29.017155599074499</v>
      </c>
      <c r="AI5236">
        <v>92.131271147987405</v>
      </c>
      <c r="AJ5236">
        <v>103.49077564322501</v>
      </c>
      <c r="AK5236">
        <v>29.8611873127929</v>
      </c>
      <c r="AL5236">
        <v>79.897638787356897</v>
      </c>
      <c r="AM5236">
        <v>96.857527859465307</v>
      </c>
      <c r="AN5236">
        <v>1.0000000100361801</v>
      </c>
    </row>
    <row r="5237" spans="1:40" x14ac:dyDescent="0.25">
      <c r="A5237" t="str">
        <f>"20190304155207657"</f>
        <v>20190304155207657</v>
      </c>
      <c r="B5237" t="str">
        <f>"1551685927651869"</f>
        <v>1551685927651869</v>
      </c>
      <c r="C5237" t="s">
        <v>40</v>
      </c>
      <c r="D5237">
        <v>4.6316470000000001</v>
      </c>
      <c r="E5237">
        <v>0.45436409999999999</v>
      </c>
      <c r="F5237" t="s">
        <v>41</v>
      </c>
      <c r="G5237">
        <v>-417.00330000000002</v>
      </c>
      <c r="H5237" s="1">
        <v>-4.4156060000000003E-6</v>
      </c>
      <c r="I5237">
        <v>58.686579999999999</v>
      </c>
      <c r="J5237">
        <v>-422.625</v>
      </c>
      <c r="K5237">
        <v>1.1105100000000001</v>
      </c>
      <c r="L5237">
        <v>87.481899999999996</v>
      </c>
      <c r="M5237">
        <v>-4.3367889999999999E-2</v>
      </c>
      <c r="N5237">
        <v>-1.301976E-2</v>
      </c>
      <c r="O5237">
        <v>-0.99897440000000004</v>
      </c>
      <c r="P5237">
        <v>7.5053149999999999E-2</v>
      </c>
      <c r="Q5237">
        <v>0.16257669999999999</v>
      </c>
      <c r="R5237">
        <v>-0.98383750000000003</v>
      </c>
      <c r="S5237">
        <v>0.58389279999999999</v>
      </c>
      <c r="T5237">
        <v>-0.11557389999999999</v>
      </c>
      <c r="U5237">
        <v>-3.0240779999999998</v>
      </c>
      <c r="V5237">
        <v>-0.1177043</v>
      </c>
      <c r="W5237">
        <v>0.17528379999999999</v>
      </c>
      <c r="X5237">
        <v>0.97745660000000001</v>
      </c>
      <c r="Y5237">
        <v>-0.2318548</v>
      </c>
      <c r="Z5237">
        <v>2.4204320000000001E-2</v>
      </c>
      <c r="AA5237">
        <v>0.97244920000000001</v>
      </c>
      <c r="AB5237">
        <v>28</v>
      </c>
      <c r="AC5237">
        <v>5.6216999999999704</v>
      </c>
      <c r="AD5237">
        <v>-1.1105144156060001</v>
      </c>
      <c r="AE5237">
        <v>-28.795319999999901</v>
      </c>
      <c r="AF5237">
        <v>-6.8554861367745801</v>
      </c>
      <c r="AG5237">
        <v>-1.1105144156060001</v>
      </c>
      <c r="AH5237">
        <v>28.483593183205201</v>
      </c>
      <c r="AI5237">
        <v>92.170781810549698</v>
      </c>
      <c r="AJ5237">
        <v>103.532671226944</v>
      </c>
      <c r="AK5237">
        <v>29.318015162440801</v>
      </c>
      <c r="AL5237">
        <v>79.904826668298895</v>
      </c>
      <c r="AM5237">
        <v>96.866435701438505</v>
      </c>
      <c r="AN5237">
        <v>1.00000005883224</v>
      </c>
    </row>
    <row r="5238" spans="1:40" x14ac:dyDescent="0.25">
      <c r="A5238" t="str">
        <f>"20190304155207680"</f>
        <v>20190304155207680</v>
      </c>
      <c r="B5238" t="str">
        <f>"1551685927672362"</f>
        <v>1551685927672362</v>
      </c>
      <c r="C5238" t="s">
        <v>40</v>
      </c>
      <c r="D5238">
        <v>4.8644699999999998</v>
      </c>
      <c r="E5238">
        <v>0.45428839999999998</v>
      </c>
      <c r="F5238" t="s">
        <v>41</v>
      </c>
      <c r="G5238">
        <v>-417.0215</v>
      </c>
      <c r="H5238" s="1">
        <v>-4.3477279999999998E-6</v>
      </c>
      <c r="I5238">
        <v>58.535870000000003</v>
      </c>
      <c r="J5238">
        <v>-422.63690000000003</v>
      </c>
      <c r="K5238">
        <v>1.1105149999999999</v>
      </c>
      <c r="L5238">
        <v>87.203339999999997</v>
      </c>
      <c r="M5238">
        <v>-4.3192330000000001E-2</v>
      </c>
      <c r="N5238">
        <v>-1.3079260000000001E-2</v>
      </c>
      <c r="O5238">
        <v>-0.99898129999999996</v>
      </c>
      <c r="P5238">
        <v>7.5387540000000003E-2</v>
      </c>
      <c r="Q5238">
        <v>0.16177830000000001</v>
      </c>
      <c r="R5238">
        <v>-0.98394349999999997</v>
      </c>
      <c r="S5238">
        <v>0.58535769999999998</v>
      </c>
      <c r="T5238">
        <v>-0.11600820000000001</v>
      </c>
      <c r="U5238">
        <v>-3.0238040000000002</v>
      </c>
      <c r="V5238">
        <v>-0.1178691</v>
      </c>
      <c r="W5238">
        <v>0.174545799999999</v>
      </c>
      <c r="X5238">
        <v>0.97756869999999996</v>
      </c>
      <c r="Y5238">
        <v>-0.23215330000000001</v>
      </c>
      <c r="Z5238">
        <v>2.4285290000000001E-2</v>
      </c>
      <c r="AA5238">
        <v>0.97237600000000002</v>
      </c>
      <c r="AB5238">
        <v>28</v>
      </c>
      <c r="AC5238">
        <v>5.6154000000000197</v>
      </c>
      <c r="AD5238">
        <v>-1.110519347728</v>
      </c>
      <c r="AE5238">
        <v>-28.667470000000002</v>
      </c>
      <c r="AF5238">
        <v>-6.8385962521414898</v>
      </c>
      <c r="AG5238">
        <v>-1.110519347728</v>
      </c>
      <c r="AH5238">
        <v>28.357168136990801</v>
      </c>
      <c r="AI5238">
        <v>92.180223384404002</v>
      </c>
      <c r="AJ5238">
        <v>103.55852488167901</v>
      </c>
      <c r="AK5238">
        <v>29.191242465353401</v>
      </c>
      <c r="AL5238">
        <v>79.947772049348899</v>
      </c>
      <c r="AM5238">
        <v>96.875176616529501</v>
      </c>
      <c r="AN5238">
        <v>0.99999996212606901</v>
      </c>
    </row>
    <row r="5239" spans="1:40" x14ac:dyDescent="0.25">
      <c r="A5239" t="str">
        <f>"20190304155207702"</f>
        <v>20190304155207702</v>
      </c>
      <c r="B5239" t="str">
        <f>"1551685927691882"</f>
        <v>1551685927691882</v>
      </c>
      <c r="C5239" t="s">
        <v>40</v>
      </c>
      <c r="D5239">
        <v>4.5895330000000003</v>
      </c>
      <c r="E5239">
        <v>0.45426230000000001</v>
      </c>
      <c r="F5239" t="s">
        <v>41</v>
      </c>
      <c r="G5239">
        <v>-417.04079999999999</v>
      </c>
      <c r="H5239" s="1">
        <v>-4.2837789999999996E-6</v>
      </c>
      <c r="I5239">
        <v>58.394770000000001</v>
      </c>
      <c r="J5239">
        <v>-422.64879999999999</v>
      </c>
      <c r="K5239">
        <v>1.1105119999999999</v>
      </c>
      <c r="L5239">
        <v>86.921660000000003</v>
      </c>
      <c r="M5239">
        <v>-4.3017350000000003E-2</v>
      </c>
      <c r="N5239">
        <v>-1.313464E-2</v>
      </c>
      <c r="O5239">
        <v>-0.99898819999999999</v>
      </c>
      <c r="P5239">
        <v>7.6159069999999995E-2</v>
      </c>
      <c r="Q5239">
        <v>0.1613675</v>
      </c>
      <c r="R5239">
        <v>-0.98395160000000004</v>
      </c>
      <c r="S5239">
        <v>0.58724980000000004</v>
      </c>
      <c r="T5239">
        <v>-0.1165364</v>
      </c>
      <c r="U5239">
        <v>-3.0231319999999999</v>
      </c>
      <c r="V5239">
        <v>-0.1184677</v>
      </c>
      <c r="W5239">
        <v>0.17418939999999999</v>
      </c>
      <c r="X5239">
        <v>0.97755990000000004</v>
      </c>
      <c r="Y5239">
        <v>-0.23260839999999999</v>
      </c>
      <c r="Z5239">
        <v>2.4404240000000001E-2</v>
      </c>
      <c r="AA5239">
        <v>0.97226420000000002</v>
      </c>
      <c r="AB5239">
        <v>28</v>
      </c>
      <c r="AC5239">
        <v>5.6079999999999997</v>
      </c>
      <c r="AD5239">
        <v>-1.1105162837789999</v>
      </c>
      <c r="AE5239">
        <v>-28.526890000000002</v>
      </c>
      <c r="AF5239">
        <v>-6.8201137744547697</v>
      </c>
      <c r="AG5239">
        <v>-1.1105162837789999</v>
      </c>
      <c r="AH5239">
        <v>28.218044935893701</v>
      </c>
      <c r="AI5239">
        <v>92.190689405852197</v>
      </c>
      <c r="AJ5239">
        <v>103.587435609664</v>
      </c>
      <c r="AK5239">
        <v>29.051768591897499</v>
      </c>
      <c r="AL5239">
        <v>79.9685098405036</v>
      </c>
      <c r="AM5239">
        <v>96.909817188360293</v>
      </c>
      <c r="AN5239">
        <v>0.999999950551828</v>
      </c>
    </row>
    <row r="5240" spans="1:40" x14ac:dyDescent="0.25">
      <c r="A5240" t="str">
        <f>"20190304155207724"</f>
        <v>20190304155207724</v>
      </c>
      <c r="B5240" t="str">
        <f>"1551685927712378"</f>
        <v>1551685927712378</v>
      </c>
      <c r="C5240" t="s">
        <v>40</v>
      </c>
      <c r="D5240">
        <v>4.5738110000000001</v>
      </c>
      <c r="E5240">
        <v>0.45404369999999999</v>
      </c>
      <c r="F5240" t="s">
        <v>41</v>
      </c>
      <c r="G5240">
        <v>-416.92320000000001</v>
      </c>
      <c r="H5240" s="1">
        <v>-3.967105E-6</v>
      </c>
      <c r="I5240">
        <v>57.607959999999999</v>
      </c>
      <c r="J5240">
        <v>-422.66019999999997</v>
      </c>
      <c r="K5240">
        <v>1.1105210000000001</v>
      </c>
      <c r="L5240">
        <v>86.653959999999998</v>
      </c>
      <c r="M5240">
        <v>-4.2853049999999997E-2</v>
      </c>
      <c r="N5240">
        <v>-1.319333E-2</v>
      </c>
      <c r="O5240">
        <v>-0.99899439999999995</v>
      </c>
      <c r="P5240">
        <v>7.6729950000000005E-2</v>
      </c>
      <c r="Q5240">
        <v>0.1613009</v>
      </c>
      <c r="R5240">
        <v>-0.98391819999999997</v>
      </c>
      <c r="S5240">
        <v>0.59027099999999999</v>
      </c>
      <c r="T5240">
        <v>-0.11448510000000001</v>
      </c>
      <c r="U5240">
        <v>-3.0220030000000002</v>
      </c>
      <c r="V5240">
        <v>-0.1188753</v>
      </c>
      <c r="W5240">
        <v>0.17418</v>
      </c>
      <c r="X5240">
        <v>0.97751209999999999</v>
      </c>
      <c r="Y5240">
        <v>-0.23345650000000001</v>
      </c>
      <c r="Z5240">
        <v>2.3690920000000001E-2</v>
      </c>
      <c r="AA5240">
        <v>0.97207860000000001</v>
      </c>
      <c r="AB5240">
        <v>28</v>
      </c>
      <c r="AC5240">
        <v>5.7369999999999601</v>
      </c>
      <c r="AD5240">
        <v>-1.1105249671049999</v>
      </c>
      <c r="AE5240">
        <v>-29.045999999999999</v>
      </c>
      <c r="AF5240">
        <v>-6.9667453489446496</v>
      </c>
      <c r="AG5240">
        <v>-1.1105249671049999</v>
      </c>
      <c r="AH5240">
        <v>28.733019478259401</v>
      </c>
      <c r="AI5240">
        <v>92.151101128555993</v>
      </c>
      <c r="AJ5240">
        <v>103.629188741212</v>
      </c>
      <c r="AK5240">
        <v>29.586402532204499</v>
      </c>
      <c r="AL5240">
        <v>79.969056852352793</v>
      </c>
      <c r="AM5240">
        <v>96.933695827584799</v>
      </c>
      <c r="AN5240">
        <v>0.99999995749824899</v>
      </c>
    </row>
    <row r="5241" spans="1:40" x14ac:dyDescent="0.25">
      <c r="A5241" t="str">
        <f>"20190304155207747"</f>
        <v>20190304155207747</v>
      </c>
      <c r="B5241" t="str">
        <f>"1551685927742634"</f>
        <v>1551685927742634</v>
      </c>
      <c r="C5241" t="s">
        <v>40</v>
      </c>
      <c r="D5241">
        <v>4.5576530000000002</v>
      </c>
      <c r="E5241">
        <v>0.45381199999999999</v>
      </c>
      <c r="F5241" t="s">
        <v>41</v>
      </c>
      <c r="G5241">
        <v>-416.95389999999998</v>
      </c>
      <c r="H5241" s="1">
        <v>-3.9576279999999999E-6</v>
      </c>
      <c r="I5241">
        <v>57.598570000000002</v>
      </c>
      <c r="J5241">
        <v>-422.67200000000003</v>
      </c>
      <c r="K5241">
        <v>1.110528</v>
      </c>
      <c r="L5241">
        <v>86.373900000000006</v>
      </c>
      <c r="M5241">
        <v>-4.2680780000000001E-2</v>
      </c>
      <c r="N5241">
        <v>-1.326478E-2</v>
      </c>
      <c r="O5241">
        <v>-0.99900080000000002</v>
      </c>
      <c r="P5241">
        <v>7.7390570000000006E-2</v>
      </c>
      <c r="Q5241">
        <v>0.16152079999999999</v>
      </c>
      <c r="R5241">
        <v>-0.98383019999999999</v>
      </c>
      <c r="S5241">
        <v>0.59344479999999999</v>
      </c>
      <c r="T5241">
        <v>-0.1154922</v>
      </c>
      <c r="U5241">
        <v>-3.0216980000000002</v>
      </c>
      <c r="V5241">
        <v>-0.1193613</v>
      </c>
      <c r="W5241">
        <v>0.17446919999999999</v>
      </c>
      <c r="X5241">
        <v>0.97740130000000003</v>
      </c>
      <c r="Y5241">
        <v>-0.234288</v>
      </c>
      <c r="Z5241">
        <v>2.3940280000000001E-2</v>
      </c>
      <c r="AA5241">
        <v>0.97187239999999997</v>
      </c>
      <c r="AB5241">
        <v>28</v>
      </c>
      <c r="AC5241">
        <v>5.71809999999999</v>
      </c>
      <c r="AD5241">
        <v>-1.1105319576279999</v>
      </c>
      <c r="AE5241">
        <v>-28.77533</v>
      </c>
      <c r="AF5241">
        <v>-6.9312185651460201</v>
      </c>
      <c r="AG5241">
        <v>-1.1105319576279999</v>
      </c>
      <c r="AH5241">
        <v>28.4642446270947</v>
      </c>
      <c r="AI5241">
        <v>92.170889041434705</v>
      </c>
      <c r="AJ5241">
        <v>103.68552813782399</v>
      </c>
      <c r="AK5241">
        <v>29.3170307878855</v>
      </c>
      <c r="AL5241">
        <v>79.952229292241398</v>
      </c>
      <c r="AM5241">
        <v>96.962546807171606</v>
      </c>
      <c r="AN5241">
        <v>0.99999996146400905</v>
      </c>
    </row>
    <row r="5242" spans="1:40" x14ac:dyDescent="0.25">
      <c r="A5242" t="str">
        <f>"20190304155207769"</f>
        <v>20190304155207769</v>
      </c>
      <c r="B5242" t="str">
        <f>"1551685927762154"</f>
        <v>1551685927762154</v>
      </c>
      <c r="C5242" t="s">
        <v>40</v>
      </c>
      <c r="D5242">
        <v>4.5459740000000002</v>
      </c>
      <c r="E5242">
        <v>0.4537583</v>
      </c>
      <c r="F5242" t="s">
        <v>41</v>
      </c>
      <c r="G5242">
        <v>-416.89139999999998</v>
      </c>
      <c r="H5242" s="1">
        <v>-3.7594649999999998E-6</v>
      </c>
      <c r="I5242">
        <v>57.110810000000001</v>
      </c>
      <c r="J5242">
        <v>-422.68349999999998</v>
      </c>
      <c r="K5242">
        <v>1.1105419999999999</v>
      </c>
      <c r="L5242">
        <v>86.099299999999999</v>
      </c>
      <c r="M5242">
        <v>-4.2512090000000002E-2</v>
      </c>
      <c r="N5242">
        <v>-1.3336280000000001E-2</v>
      </c>
      <c r="O5242">
        <v>-0.99900730000000004</v>
      </c>
      <c r="P5242">
        <v>7.8263310000000003E-2</v>
      </c>
      <c r="Q5242">
        <v>0.1613714</v>
      </c>
      <c r="R5242">
        <v>-0.98378600000000005</v>
      </c>
      <c r="S5242">
        <v>0.59680180000000005</v>
      </c>
      <c r="T5242">
        <v>-0.11465350000000001</v>
      </c>
      <c r="U5242">
        <v>-3.0211790000000001</v>
      </c>
      <c r="V5242">
        <v>-0.1200659</v>
      </c>
      <c r="W5242">
        <v>0.17438899999999999</v>
      </c>
      <c r="X5242">
        <v>0.97732940000000001</v>
      </c>
      <c r="Y5242">
        <v>-0.23519609999999999</v>
      </c>
      <c r="Z5242">
        <v>2.359669E-2</v>
      </c>
      <c r="AA5242">
        <v>0.97166140000000001</v>
      </c>
      <c r="AB5242">
        <v>28</v>
      </c>
      <c r="AC5242">
        <v>5.7920999999999996</v>
      </c>
      <c r="AD5242">
        <v>-1.1105457594649999</v>
      </c>
      <c r="AE5242">
        <v>-28.988489999999999</v>
      </c>
      <c r="AF5242">
        <v>-7.0094407435338404</v>
      </c>
      <c r="AG5242">
        <v>-1.1105457594649999</v>
      </c>
      <c r="AH5242">
        <v>28.6755523662809</v>
      </c>
      <c r="AI5242">
        <v>92.154471130811402</v>
      </c>
      <c r="AJ5242">
        <v>103.73600675392299</v>
      </c>
      <c r="AK5242">
        <v>29.540698619570499</v>
      </c>
      <c r="AL5242">
        <v>79.956896852335802</v>
      </c>
      <c r="AM5242">
        <v>97.003750452008205</v>
      </c>
      <c r="AN5242">
        <v>1.00000004988408</v>
      </c>
    </row>
    <row r="5243" spans="1:40" x14ac:dyDescent="0.25">
      <c r="A5243" t="str">
        <f>"20190304155207791"</f>
        <v>20190304155207791</v>
      </c>
      <c r="B5243" t="str">
        <f>"1551685927781675"</f>
        <v>1551685927781675</v>
      </c>
      <c r="C5243" t="s">
        <v>40</v>
      </c>
      <c r="D5243">
        <v>4.6251300000000004</v>
      </c>
      <c r="E5243">
        <v>0.45370529999999998</v>
      </c>
      <c r="F5243" t="s">
        <v>41</v>
      </c>
      <c r="G5243">
        <v>-416.77780000000001</v>
      </c>
      <c r="H5243" s="1">
        <v>-3.4641259999999999E-6</v>
      </c>
      <c r="I5243">
        <v>56.375419999999998</v>
      </c>
      <c r="J5243">
        <v>-422.69490000000002</v>
      </c>
      <c r="K5243">
        <v>1.1105560000000001</v>
      </c>
      <c r="L5243">
        <v>85.825739999999996</v>
      </c>
      <c r="M5243">
        <v>-4.2343489999999998E-2</v>
      </c>
      <c r="N5243">
        <v>-1.340883E-2</v>
      </c>
      <c r="O5243">
        <v>-0.99901320000000005</v>
      </c>
      <c r="P5243">
        <v>7.8138340000000001E-2</v>
      </c>
      <c r="Q5243">
        <v>0.16192039999999999</v>
      </c>
      <c r="R5243">
        <v>-0.98370559999999996</v>
      </c>
      <c r="S5243">
        <v>0.60006709999999996</v>
      </c>
      <c r="T5243">
        <v>-0.112841</v>
      </c>
      <c r="U5243">
        <v>-3.020203</v>
      </c>
      <c r="V5243">
        <v>-0.1197724</v>
      </c>
      <c r="W5243">
        <v>0.17500769999999999</v>
      </c>
      <c r="X5243">
        <v>0.97725470000000003</v>
      </c>
      <c r="Y5243">
        <v>-0.2361056</v>
      </c>
      <c r="Z5243">
        <v>2.2943760000000001E-2</v>
      </c>
      <c r="AA5243">
        <v>0.97145649999999995</v>
      </c>
      <c r="AB5243">
        <v>28</v>
      </c>
      <c r="AC5243">
        <v>5.9170999999999996</v>
      </c>
      <c r="AD5243">
        <v>-1.1105594641259999</v>
      </c>
      <c r="AE5243">
        <v>-29.450320000000001</v>
      </c>
      <c r="AF5243">
        <v>-7.1491616987017199</v>
      </c>
      <c r="AG5243">
        <v>-1.1105594641259999</v>
      </c>
      <c r="AH5243">
        <v>29.133507701660001</v>
      </c>
      <c r="AI5243">
        <v>92.120195162476193</v>
      </c>
      <c r="AJ5243">
        <v>103.78754620885699</v>
      </c>
      <c r="AK5243">
        <v>30.0184131212865</v>
      </c>
      <c r="AL5243">
        <v>79.920893145455395</v>
      </c>
      <c r="AM5243">
        <v>96.987328052231007</v>
      </c>
      <c r="AN5243">
        <v>0.99999993576656698</v>
      </c>
    </row>
    <row r="5244" spans="1:40" x14ac:dyDescent="0.25">
      <c r="A5244" t="str">
        <f>"20190304155207814"</f>
        <v>20190304155207814</v>
      </c>
      <c r="B5244" t="str">
        <f>"1551685927811933"</f>
        <v>1551685927811933</v>
      </c>
      <c r="C5244" t="s">
        <v>40</v>
      </c>
      <c r="D5244">
        <v>4.5485899999999999</v>
      </c>
      <c r="E5244">
        <v>0.5086851</v>
      </c>
      <c r="F5244" t="s">
        <v>41</v>
      </c>
      <c r="G5244">
        <v>-416.71050000000002</v>
      </c>
      <c r="H5244" s="1">
        <v>-3.179977E-6</v>
      </c>
      <c r="I5244">
        <v>55.685220000000001</v>
      </c>
      <c r="J5244">
        <v>-422.70690000000002</v>
      </c>
      <c r="K5244">
        <v>1.110582</v>
      </c>
      <c r="L5244">
        <v>85.540309999999906</v>
      </c>
      <c r="M5244">
        <v>-4.2167749999999997E-2</v>
      </c>
      <c r="N5244">
        <v>-1.348309E-2</v>
      </c>
      <c r="O5244">
        <v>-0.9990194</v>
      </c>
      <c r="P5244">
        <v>7.8512269999999995E-2</v>
      </c>
      <c r="Q5244">
        <v>0.16255259999999999</v>
      </c>
      <c r="R5244">
        <v>-0.98357139999999998</v>
      </c>
      <c r="S5244">
        <v>0.59970089999999998</v>
      </c>
      <c r="T5244">
        <v>-0.11128929999999999</v>
      </c>
      <c r="U5244">
        <v>-3.0203859999999998</v>
      </c>
      <c r="V5244">
        <v>-0.1199682</v>
      </c>
      <c r="W5244">
        <v>0.17571099999999901</v>
      </c>
      <c r="X5244">
        <v>0.97710450000000004</v>
      </c>
      <c r="Y5244">
        <v>-0.2358131</v>
      </c>
      <c r="Z5244">
        <v>2.236933E-2</v>
      </c>
      <c r="AA5244">
        <v>0.97154090000000004</v>
      </c>
      <c r="AB5244">
        <v>28</v>
      </c>
      <c r="AC5244">
        <v>5.9963999999999897</v>
      </c>
      <c r="AD5244">
        <v>-1.1105851799769999</v>
      </c>
      <c r="AE5244">
        <v>-29.855090000000001</v>
      </c>
      <c r="AF5244">
        <v>-7.2404714157485603</v>
      </c>
      <c r="AG5244">
        <v>-1.1105851799769999</v>
      </c>
      <c r="AH5244">
        <v>29.536365715190399</v>
      </c>
      <c r="AI5244">
        <v>92.091474781700995</v>
      </c>
      <c r="AJ5244">
        <v>103.773733543829</v>
      </c>
      <c r="AK5244">
        <v>30.431147290658199</v>
      </c>
      <c r="AL5244">
        <v>79.879963074483598</v>
      </c>
      <c r="AM5244">
        <v>96.999702671503599</v>
      </c>
      <c r="AN5244">
        <v>0.99999996422624404</v>
      </c>
    </row>
    <row r="5245" spans="1:40" x14ac:dyDescent="0.25">
      <c r="A5245" t="str">
        <f>"20190304155207837"</f>
        <v>20190304155207837</v>
      </c>
      <c r="B5245" t="str">
        <f>"1551685927832427"</f>
        <v>1551685927832427</v>
      </c>
      <c r="C5245" t="s">
        <v>40</v>
      </c>
      <c r="D5245">
        <v>4.5083549999999999</v>
      </c>
      <c r="E5245">
        <v>0.56888269999999996</v>
      </c>
      <c r="F5245" t="s">
        <v>92</v>
      </c>
      <c r="G5245">
        <v>-418.12959999999998</v>
      </c>
      <c r="H5245">
        <v>0.27015600000000001</v>
      </c>
      <c r="I5245">
        <v>0.49641039999999997</v>
      </c>
      <c r="J5245">
        <v>-422.71800000000002</v>
      </c>
      <c r="K5245">
        <v>1.110598</v>
      </c>
      <c r="L5245">
        <v>85.270899999999997</v>
      </c>
      <c r="M5245">
        <v>-4.2001879999999998E-2</v>
      </c>
      <c r="N5245">
        <v>-1.3548009999999999E-2</v>
      </c>
      <c r="O5245">
        <v>-0.99902559999999996</v>
      </c>
      <c r="P5245">
        <v>7.8664159999999997E-2</v>
      </c>
      <c r="Q5245">
        <v>0.16328129999999999</v>
      </c>
      <c r="R5245">
        <v>-0.98343860000000005</v>
      </c>
      <c r="S5245">
        <v>0.16372679999999901</v>
      </c>
      <c r="T5245">
        <v>-3.0062789999999999E-2</v>
      </c>
      <c r="U5245">
        <v>-3.041992</v>
      </c>
      <c r="V5245">
        <v>-0.1199524</v>
      </c>
      <c r="W5245">
        <v>0.17650099999999999</v>
      </c>
      <c r="X5245">
        <v>0.9769641</v>
      </c>
      <c r="Y5245">
        <v>-9.5626500000000003E-2</v>
      </c>
      <c r="Z5245">
        <v>-3.7243049999999998E-3</v>
      </c>
      <c r="AA5245">
        <v>0.99541029999999997</v>
      </c>
      <c r="AB5245">
        <v>28</v>
      </c>
      <c r="AC5245">
        <v>4.5884000000000302</v>
      </c>
      <c r="AD5245">
        <v>-0.84044199999999902</v>
      </c>
      <c r="AE5245">
        <v>-84.774489599999995</v>
      </c>
      <c r="AF5245">
        <v>-8.1445670116695208</v>
      </c>
      <c r="AG5245">
        <v>-0.84044199999999902</v>
      </c>
      <c r="AH5245">
        <v>84.4986452661486</v>
      </c>
      <c r="AI5245">
        <v>90.567228918851498</v>
      </c>
      <c r="AJ5245">
        <v>95.505557990136495</v>
      </c>
      <c r="AK5245">
        <v>84.894413045720199</v>
      </c>
      <c r="AL5245">
        <v>79.833981299610699</v>
      </c>
      <c r="AM5245">
        <v>96.999785765389007</v>
      </c>
      <c r="AN5245">
        <v>1.0000000169777801</v>
      </c>
    </row>
    <row r="5246" spans="1:40" x14ac:dyDescent="0.25">
      <c r="A5246" t="str">
        <f>"20190304155207858"</f>
        <v>20190304155207858</v>
      </c>
      <c r="B5246" t="str">
        <f>"1551685927851946"</f>
        <v>1551685927851946</v>
      </c>
      <c r="C5246" t="s">
        <v>40</v>
      </c>
      <c r="D5246">
        <v>4.3433570000000001</v>
      </c>
      <c r="E5246">
        <v>0.56915519999999997</v>
      </c>
      <c r="F5246" t="s">
        <v>92</v>
      </c>
      <c r="G5246">
        <v>-431.62360000000001</v>
      </c>
      <c r="H5246">
        <v>3.6536240000000002</v>
      </c>
      <c r="I5246">
        <v>-1.5638939999999999</v>
      </c>
      <c r="J5246">
        <v>-422.72910000000002</v>
      </c>
      <c r="K5246">
        <v>1.110609</v>
      </c>
      <c r="L5246">
        <v>85.002719999999997</v>
      </c>
      <c r="M5246">
        <v>-4.183626E-2</v>
      </c>
      <c r="N5246">
        <v>-1.3606470000000001E-2</v>
      </c>
      <c r="O5246">
        <v>-0.99903209999999998</v>
      </c>
      <c r="P5246">
        <v>7.9192520000000002E-2</v>
      </c>
      <c r="Q5246">
        <v>0.1643645</v>
      </c>
      <c r="R5246">
        <v>-0.98321590000000003</v>
      </c>
      <c r="S5246">
        <v>-0.31390380000000001</v>
      </c>
      <c r="T5246">
        <v>8.9635850000000003E-2</v>
      </c>
      <c r="U5246">
        <v>-3.0607600000000001</v>
      </c>
      <c r="V5246">
        <v>-0.1203089</v>
      </c>
      <c r="W5246">
        <v>0.17763809999999999</v>
      </c>
      <c r="X5246">
        <v>0.97671410000000003</v>
      </c>
      <c r="Y5246">
        <v>6.0224409999999999E-2</v>
      </c>
      <c r="Z5246">
        <v>-4.2700500000000002E-2</v>
      </c>
      <c r="AA5246">
        <v>0.99727109999999997</v>
      </c>
      <c r="AB5246">
        <v>27</v>
      </c>
      <c r="AC5246">
        <v>-8.8944999999999901</v>
      </c>
      <c r="AD5246">
        <v>2.543015</v>
      </c>
      <c r="AE5246">
        <v>-86.566614000000001</v>
      </c>
      <c r="AF5246">
        <v>5.2602615383653397</v>
      </c>
      <c r="AG5246">
        <v>2.543015</v>
      </c>
      <c r="AH5246">
        <v>86.788842233508205</v>
      </c>
      <c r="AI5246">
        <v>88.324719128452799</v>
      </c>
      <c r="AJ5246">
        <v>86.5315525586783</v>
      </c>
      <c r="AK5246">
        <v>86.985288485898593</v>
      </c>
      <c r="AL5246">
        <v>79.767783855631905</v>
      </c>
      <c r="AM5246">
        <v>97.022160922956601</v>
      </c>
      <c r="AN5246">
        <v>0.99999997956481401</v>
      </c>
    </row>
    <row r="5247" spans="1:40" x14ac:dyDescent="0.25">
      <c r="A5247" t="str">
        <f>"20190304155207881"</f>
        <v>20190304155207881</v>
      </c>
      <c r="B5247" t="str">
        <f>"1551685927872442"</f>
        <v>1551685927872442</v>
      </c>
      <c r="C5247" t="s">
        <v>40</v>
      </c>
      <c r="D5247">
        <v>4.5220830000000003</v>
      </c>
      <c r="E5247">
        <v>0.56945449999999997</v>
      </c>
      <c r="F5247" t="s">
        <v>92</v>
      </c>
      <c r="G5247">
        <v>-431.63380000000001</v>
      </c>
      <c r="H5247">
        <v>3.7267239999999999</v>
      </c>
      <c r="I5247">
        <v>-1.5722579999999999</v>
      </c>
      <c r="J5247">
        <v>-422.7405</v>
      </c>
      <c r="K5247">
        <v>1.1106149999999999</v>
      </c>
      <c r="L5247">
        <v>84.725769999999997</v>
      </c>
      <c r="M5247">
        <v>-4.1665189999999998E-2</v>
      </c>
      <c r="N5247">
        <v>-1.36607E-2</v>
      </c>
      <c r="O5247">
        <v>-0.99903830000000005</v>
      </c>
      <c r="P5247">
        <v>7.9344960000000006E-2</v>
      </c>
      <c r="Q5247">
        <v>0.16482559999999999</v>
      </c>
      <c r="R5247">
        <v>-0.98312630000000001</v>
      </c>
      <c r="S5247">
        <v>-0.31484990000000002</v>
      </c>
      <c r="T5247">
        <v>9.2499020000000001E-2</v>
      </c>
      <c r="U5247">
        <v>-3.061096</v>
      </c>
      <c r="V5247">
        <v>-0.1202901</v>
      </c>
      <c r="W5247">
        <v>0.178151</v>
      </c>
      <c r="X5247">
        <v>0.97662300000000002</v>
      </c>
      <c r="Y5247">
        <v>6.0685280000000001E-2</v>
      </c>
      <c r="Z5247">
        <v>-4.3679999999999997E-2</v>
      </c>
      <c r="AA5247">
        <v>0.9972008</v>
      </c>
      <c r="AB5247">
        <v>27</v>
      </c>
      <c r="AC5247">
        <v>-8.8933</v>
      </c>
      <c r="AD5247">
        <v>2.6161089999999998</v>
      </c>
      <c r="AE5247">
        <v>-86.298028000000002</v>
      </c>
      <c r="AF5247">
        <v>5.28481118259515</v>
      </c>
      <c r="AG5247">
        <v>2.6161089999999998</v>
      </c>
      <c r="AH5247">
        <v>86.514980134020504</v>
      </c>
      <c r="AI5247">
        <v>88.271192792033006</v>
      </c>
      <c r="AJ5247">
        <v>86.504401971892904</v>
      </c>
      <c r="AK5247">
        <v>86.715713934243297</v>
      </c>
      <c r="AL5247">
        <v>79.7379205778347</v>
      </c>
      <c r="AM5247">
        <v>97.021722954567295</v>
      </c>
      <c r="AN5247">
        <v>0.99999998554400404</v>
      </c>
    </row>
    <row r="5248" spans="1:40" x14ac:dyDescent="0.25">
      <c r="A5248" t="str">
        <f>"20190304155207903"</f>
        <v>20190304155207903</v>
      </c>
      <c r="B5248" t="str">
        <f>"1551685927891963"</f>
        <v>1551685927891963</v>
      </c>
      <c r="C5248" t="s">
        <v>40</v>
      </c>
      <c r="D5248">
        <v>4.4870020000000004</v>
      </c>
      <c r="E5248">
        <v>0.57012669999999999</v>
      </c>
      <c r="F5248" t="s">
        <v>92</v>
      </c>
      <c r="G5248">
        <v>-431.67540000000002</v>
      </c>
      <c r="H5248">
        <v>3.2159650000000002</v>
      </c>
      <c r="I5248">
        <v>-1.6064799999999999</v>
      </c>
      <c r="J5248">
        <v>-422.7516</v>
      </c>
      <c r="K5248">
        <v>1.1106309999999999</v>
      </c>
      <c r="L5248">
        <v>84.455839999999995</v>
      </c>
      <c r="M5248">
        <v>-4.1497800000000001E-2</v>
      </c>
      <c r="N5248">
        <v>-1.3707799999999999E-2</v>
      </c>
      <c r="O5248">
        <v>-0.99904470000000001</v>
      </c>
      <c r="P5248">
        <v>8.0053319999999997E-2</v>
      </c>
      <c r="Q5248">
        <v>0.16517689999999999</v>
      </c>
      <c r="R5248">
        <v>-0.98300989999999999</v>
      </c>
      <c r="S5248">
        <v>-0.31716919999999998</v>
      </c>
      <c r="T5248">
        <v>7.4733610000000006E-2</v>
      </c>
      <c r="U5248">
        <v>-3.064575</v>
      </c>
      <c r="V5248">
        <v>-0.12082900000000001</v>
      </c>
      <c r="W5248">
        <v>0.1785465</v>
      </c>
      <c r="X5248">
        <v>0.97648420000000002</v>
      </c>
      <c r="Y5248">
        <v>6.1505869999999997E-2</v>
      </c>
      <c r="Z5248">
        <v>-3.7931869999999999E-2</v>
      </c>
      <c r="AA5248">
        <v>0.99738570000000004</v>
      </c>
      <c r="AB5248">
        <v>27</v>
      </c>
      <c r="AC5248">
        <v>-8.9238000000000195</v>
      </c>
      <c r="AD5248">
        <v>2.105334</v>
      </c>
      <c r="AE5248">
        <v>-86.06232</v>
      </c>
      <c r="AF5248">
        <v>5.3412171678381499</v>
      </c>
      <c r="AG5248">
        <v>2.105334</v>
      </c>
      <c r="AH5248">
        <v>86.307424556493004</v>
      </c>
      <c r="AI5248">
        <v>88.605303754770404</v>
      </c>
      <c r="AJ5248">
        <v>86.458712400094896</v>
      </c>
      <c r="AK5248">
        <v>86.498165099962094</v>
      </c>
      <c r="AL5248">
        <v>79.714890461780698</v>
      </c>
      <c r="AM5248">
        <v>97.053856591988904</v>
      </c>
      <c r="AN5248">
        <v>0.99999994637644296</v>
      </c>
    </row>
    <row r="5249" spans="1:40" x14ac:dyDescent="0.25">
      <c r="A5249" t="str">
        <f>"20190304155207925"</f>
        <v>20190304155207925</v>
      </c>
      <c r="B5249" t="str">
        <f>"1551685927922220"</f>
        <v>1551685927922220</v>
      </c>
      <c r="C5249" t="s">
        <v>40</v>
      </c>
      <c r="D5249">
        <v>4.5179109999999998</v>
      </c>
      <c r="E5249">
        <v>0.57056859999999998</v>
      </c>
      <c r="F5249" t="s">
        <v>92</v>
      </c>
      <c r="G5249">
        <v>-431.95569999999998</v>
      </c>
      <c r="H5249">
        <v>3.0564049999999998</v>
      </c>
      <c r="I5249">
        <v>-3.6779169999999999</v>
      </c>
      <c r="J5249">
        <v>-422.76249999999999</v>
      </c>
      <c r="K5249">
        <v>1.110638</v>
      </c>
      <c r="L5249">
        <v>84.18835</v>
      </c>
      <c r="M5249">
        <v>-4.1332239999999999E-2</v>
      </c>
      <c r="N5249">
        <v>-1.374909E-2</v>
      </c>
      <c r="O5249">
        <v>-0.99905089999999996</v>
      </c>
      <c r="P5249">
        <v>8.0543359999999994E-2</v>
      </c>
      <c r="Q5249">
        <v>0.1655914</v>
      </c>
      <c r="R5249">
        <v>-0.98290010000000005</v>
      </c>
      <c r="S5249">
        <v>-0.32025150000000002</v>
      </c>
      <c r="T5249">
        <v>6.77011E-2</v>
      </c>
      <c r="U5249">
        <v>-3.0665589999999998</v>
      </c>
      <c r="V5249">
        <v>-0.1211522</v>
      </c>
      <c r="W5249">
        <v>0.17899970000000001</v>
      </c>
      <c r="X5249">
        <v>0.97636120000000004</v>
      </c>
      <c r="Y5249">
        <v>6.2604649999999998E-2</v>
      </c>
      <c r="Z5249">
        <v>-3.5676350000000003E-2</v>
      </c>
      <c r="AA5249">
        <v>0.99740050000000002</v>
      </c>
      <c r="AB5249">
        <v>27</v>
      </c>
      <c r="AC5249">
        <v>-9.1931999999999903</v>
      </c>
      <c r="AD5249">
        <v>1.945767</v>
      </c>
      <c r="AE5249">
        <v>-87.866266999999993</v>
      </c>
      <c r="AF5249">
        <v>5.5505973000766504</v>
      </c>
      <c r="AG5249">
        <v>1.945767</v>
      </c>
      <c r="AH5249">
        <v>88.128429918309706</v>
      </c>
      <c r="AI5249">
        <v>88.737685798516296</v>
      </c>
      <c r="AJ5249">
        <v>86.396097426550298</v>
      </c>
      <c r="AK5249">
        <v>88.324488673709993</v>
      </c>
      <c r="AL5249">
        <v>79.688499104293399</v>
      </c>
      <c r="AM5249">
        <v>97.073415761033999</v>
      </c>
      <c r="AN5249">
        <v>0.99999997051518397</v>
      </c>
    </row>
    <row r="5250" spans="1:40" x14ac:dyDescent="0.25">
      <c r="A5250" t="str">
        <f>"20190304155207948"</f>
        <v>20190304155207948</v>
      </c>
      <c r="B5250" t="str">
        <f>"1551685927941742"</f>
        <v>1551685927941742</v>
      </c>
      <c r="C5250" t="s">
        <v>40</v>
      </c>
      <c r="D5250">
        <v>4.5257880000000004</v>
      </c>
      <c r="E5250">
        <v>0.5706</v>
      </c>
      <c r="F5250" t="s">
        <v>92</v>
      </c>
      <c r="G5250">
        <v>-432.00810000000001</v>
      </c>
      <c r="H5250">
        <v>2.8344510000000001</v>
      </c>
      <c r="I5250">
        <v>-3.7208519999999998</v>
      </c>
      <c r="J5250">
        <v>-422.77379999999999</v>
      </c>
      <c r="K5250">
        <v>1.1106400000000001</v>
      </c>
      <c r="L5250">
        <v>83.910640000000001</v>
      </c>
      <c r="M5250">
        <v>-4.1160040000000002E-2</v>
      </c>
      <c r="N5250">
        <v>-1.3786639999999999E-2</v>
      </c>
      <c r="O5250">
        <v>-0.9990578</v>
      </c>
      <c r="P5250">
        <v>8.1315269999999995E-2</v>
      </c>
      <c r="Q5250">
        <v>0.16588810000000001</v>
      </c>
      <c r="R5250">
        <v>-0.98278670000000001</v>
      </c>
      <c r="S5250">
        <v>-0.32272339999999999</v>
      </c>
      <c r="T5250">
        <v>6.016958E-2</v>
      </c>
      <c r="U5250">
        <v>-3.0685120000000001</v>
      </c>
      <c r="V5250">
        <v>-0.12175039999999999</v>
      </c>
      <c r="W5250">
        <v>0.179331399999999</v>
      </c>
      <c r="X5250">
        <v>0.97622600000000004</v>
      </c>
      <c r="Y5250">
        <v>6.3513500000000001E-2</v>
      </c>
      <c r="Z5250">
        <v>-3.3258889999999999E-2</v>
      </c>
      <c r="AA5250">
        <v>0.99742660000000005</v>
      </c>
      <c r="AB5250">
        <v>27</v>
      </c>
      <c r="AC5250">
        <v>-9.2343000000000099</v>
      </c>
      <c r="AD5250">
        <v>1.723811</v>
      </c>
      <c r="AE5250">
        <v>-87.631491999999994</v>
      </c>
      <c r="AF5250">
        <v>5.6170661150635501</v>
      </c>
      <c r="AG5250">
        <v>1.723811</v>
      </c>
      <c r="AH5250">
        <v>87.903695121821201</v>
      </c>
      <c r="AI5250">
        <v>88.8788470742859</v>
      </c>
      <c r="AJ5250">
        <v>86.343757685235602</v>
      </c>
      <c r="AK5250">
        <v>88.099844336836398</v>
      </c>
      <c r="AL5250">
        <v>79.669182417740799</v>
      </c>
      <c r="AM5250">
        <v>97.108959346110495</v>
      </c>
      <c r="AN5250">
        <v>1.0000000570010501</v>
      </c>
    </row>
    <row r="5251" spans="1:40" x14ac:dyDescent="0.25">
      <c r="A5251" t="str">
        <f>"20190304155207970"</f>
        <v>20190304155207970</v>
      </c>
      <c r="B5251" t="str">
        <f>"1551685927962234"</f>
        <v>1551685927962234</v>
      </c>
      <c r="C5251" t="s">
        <v>40</v>
      </c>
      <c r="D5251">
        <v>4.5279660000000002</v>
      </c>
      <c r="E5251">
        <v>0.57058540000000002</v>
      </c>
      <c r="F5251" t="s">
        <v>92</v>
      </c>
      <c r="G5251">
        <v>-431.92930000000001</v>
      </c>
      <c r="H5251">
        <v>2.6931120000000002</v>
      </c>
      <c r="I5251">
        <v>-3.6563530000000002</v>
      </c>
      <c r="J5251">
        <v>-422.78449999999998</v>
      </c>
      <c r="K5251">
        <v>1.110646</v>
      </c>
      <c r="L5251">
        <v>83.646550000000005</v>
      </c>
      <c r="M5251">
        <v>-4.0995839999999999E-2</v>
      </c>
      <c r="N5251">
        <v>-1.381741E-2</v>
      </c>
      <c r="O5251">
        <v>-0.99906399999999995</v>
      </c>
      <c r="P5251">
        <v>8.1740660000000007E-2</v>
      </c>
      <c r="Q5251">
        <v>0.16593659999999999</v>
      </c>
      <c r="R5251">
        <v>-0.98274329999999999</v>
      </c>
      <c r="S5251">
        <v>-0.3209534</v>
      </c>
      <c r="T5251">
        <v>5.5473920000000003E-2</v>
      </c>
      <c r="U5251">
        <v>-3.0697329999999998</v>
      </c>
      <c r="V5251">
        <v>-0.1220126</v>
      </c>
      <c r="W5251">
        <v>0.17940919999999999</v>
      </c>
      <c r="X5251">
        <v>0.97617889999999996</v>
      </c>
      <c r="Y5251">
        <v>6.3071740000000001E-2</v>
      </c>
      <c r="Z5251">
        <v>-3.1762489999999997E-2</v>
      </c>
      <c r="AA5251">
        <v>0.99750349999999999</v>
      </c>
      <c r="AB5251">
        <v>27</v>
      </c>
      <c r="AC5251">
        <v>-9.1448000000000302</v>
      </c>
      <c r="AD5251">
        <v>1.5824659999999899</v>
      </c>
      <c r="AE5251">
        <v>-87.302903000000001</v>
      </c>
      <c r="AF5251">
        <v>5.5559083006102901</v>
      </c>
      <c r="AG5251">
        <v>1.5824659999999899</v>
      </c>
      <c r="AH5251">
        <v>87.575967967324203</v>
      </c>
      <c r="AI5251">
        <v>88.966875190949196</v>
      </c>
      <c r="AJ5251">
        <v>86.369962387512004</v>
      </c>
      <c r="AK5251">
        <v>87.7662946756883</v>
      </c>
      <c r="AL5251">
        <v>79.664650621370697</v>
      </c>
      <c r="AM5251">
        <v>97.124452164058198</v>
      </c>
      <c r="AN5251">
        <v>0.99999999020430397</v>
      </c>
    </row>
    <row r="5252" spans="1:40" x14ac:dyDescent="0.25">
      <c r="A5252" t="str">
        <f>"20190304155207992"</f>
        <v>20190304155207992</v>
      </c>
      <c r="B5252" t="str">
        <f>"1551685927981755"</f>
        <v>1551685927981755</v>
      </c>
      <c r="C5252" t="s">
        <v>40</v>
      </c>
      <c r="D5252">
        <v>4.5576999999999996</v>
      </c>
      <c r="E5252">
        <v>0.5709303</v>
      </c>
      <c r="F5252" t="s">
        <v>92</v>
      </c>
      <c r="G5252">
        <v>-431.88510000000002</v>
      </c>
      <c r="H5252">
        <v>2.572819</v>
      </c>
      <c r="I5252">
        <v>-3.6202809999999999</v>
      </c>
      <c r="J5252">
        <v>-422.79570000000001</v>
      </c>
      <c r="K5252">
        <v>1.1106499999999999</v>
      </c>
      <c r="L5252">
        <v>83.367859999999993</v>
      </c>
      <c r="M5252">
        <v>-4.0823230000000002E-2</v>
      </c>
      <c r="N5252">
        <v>-1.3845410000000001E-2</v>
      </c>
      <c r="O5252">
        <v>-0.99907049999999997</v>
      </c>
      <c r="P5252">
        <v>8.2094340000000002E-2</v>
      </c>
      <c r="Q5252">
        <v>0.16537650000000001</v>
      </c>
      <c r="R5252">
        <v>-0.98280769999999995</v>
      </c>
      <c r="S5252">
        <v>-0.32022089999999998</v>
      </c>
      <c r="T5252">
        <v>5.144787E-2</v>
      </c>
      <c r="U5252">
        <v>-3.0706180000000001</v>
      </c>
      <c r="V5252">
        <v>-0.12219919999999999</v>
      </c>
      <c r="W5252">
        <v>0.1788777</v>
      </c>
      <c r="X5252">
        <v>0.97625309999999998</v>
      </c>
      <c r="Y5252">
        <v>6.29826E-2</v>
      </c>
      <c r="Z5252">
        <v>-3.04823E-2</v>
      </c>
      <c r="AA5252">
        <v>0.99754900000000002</v>
      </c>
      <c r="AB5252">
        <v>27</v>
      </c>
      <c r="AC5252">
        <v>-9.0894000000000101</v>
      </c>
      <c r="AD5252">
        <v>1.4621690000000001</v>
      </c>
      <c r="AE5252">
        <v>-86.988140999999999</v>
      </c>
      <c r="AF5252">
        <v>5.5287991292181298</v>
      </c>
      <c r="AG5252">
        <v>1.4621690000000001</v>
      </c>
      <c r="AH5252">
        <v>87.262318114492601</v>
      </c>
      <c r="AI5252">
        <v>89.041961338211294</v>
      </c>
      <c r="AJ5252">
        <v>86.374678059461502</v>
      </c>
      <c r="AK5252">
        <v>87.449515268586296</v>
      </c>
      <c r="AL5252">
        <v>79.695604120568007</v>
      </c>
      <c r="AM5252">
        <v>97.134699004321703</v>
      </c>
      <c r="AN5252">
        <v>0.99999999564876996</v>
      </c>
    </row>
    <row r="5253" spans="1:40" x14ac:dyDescent="0.25">
      <c r="A5253" t="str">
        <f>"20190304155208026"</f>
        <v>20190304155208026</v>
      </c>
      <c r="B5253" t="str">
        <f>"1551685928021770"</f>
        <v>1551685928021770</v>
      </c>
      <c r="C5253" t="s">
        <v>40</v>
      </c>
      <c r="D5253">
        <v>4.5766530000000003</v>
      </c>
      <c r="E5253">
        <v>0.57093930000000004</v>
      </c>
      <c r="F5253" t="s">
        <v>92</v>
      </c>
      <c r="G5253">
        <v>-431.91800000000001</v>
      </c>
      <c r="H5253">
        <v>2.4082349999999999</v>
      </c>
      <c r="I5253">
        <v>-3.6472380000000002</v>
      </c>
      <c r="J5253">
        <v>-422.81229999999999</v>
      </c>
      <c r="K5253">
        <v>1.1106469999999999</v>
      </c>
      <c r="L5253">
        <v>82.954250000000002</v>
      </c>
      <c r="M5253">
        <v>-4.0566709999999999E-2</v>
      </c>
      <c r="N5253">
        <v>-1.3880089999999999E-2</v>
      </c>
      <c r="O5253">
        <v>-0.99908050000000004</v>
      </c>
      <c r="P5253">
        <v>8.2276199999999994E-2</v>
      </c>
      <c r="Q5253">
        <v>0.16491310000000001</v>
      </c>
      <c r="R5253">
        <v>-0.98287040000000003</v>
      </c>
      <c r="S5253">
        <v>-0.32202150000000002</v>
      </c>
      <c r="T5253">
        <v>4.580414E-2</v>
      </c>
      <c r="U5253">
        <v>-3.0716549999999998</v>
      </c>
      <c r="V5253">
        <v>-0.122132</v>
      </c>
      <c r="W5253">
        <v>0.17844939999999901</v>
      </c>
      <c r="X5253">
        <v>0.97633990000000004</v>
      </c>
      <c r="Y5253">
        <v>6.3787220000000006E-2</v>
      </c>
      <c r="Z5253">
        <v>-2.8683710000000001E-2</v>
      </c>
      <c r="AA5253">
        <v>0.99755119999999997</v>
      </c>
      <c r="AB5253">
        <v>27</v>
      </c>
      <c r="AC5253">
        <v>-9.1057000000000095</v>
      </c>
      <c r="AD5253">
        <v>1.297588</v>
      </c>
      <c r="AE5253">
        <v>-86.601488000000003</v>
      </c>
      <c r="AF5253">
        <v>5.5834876004740401</v>
      </c>
      <c r="AG5253">
        <v>1.297588</v>
      </c>
      <c r="AH5253">
        <v>86.880318913805695</v>
      </c>
      <c r="AI5253">
        <v>89.146092394395595</v>
      </c>
      <c r="AJ5253">
        <v>86.3228618590894</v>
      </c>
      <c r="AK5253">
        <v>87.069218917864305</v>
      </c>
      <c r="AL5253">
        <v>79.720545318099099</v>
      </c>
      <c r="AM5253">
        <v>97.130188449898398</v>
      </c>
      <c r="AN5253">
        <v>1.00000000705818</v>
      </c>
    </row>
    <row r="5254" spans="1:40" x14ac:dyDescent="0.25">
      <c r="A5254" t="str">
        <f>"20190304155208049"</f>
        <v>20190304155208049</v>
      </c>
      <c r="B5254" t="str">
        <f>"1551685928042266"</f>
        <v>1551685928042266</v>
      </c>
      <c r="C5254" t="s">
        <v>40</v>
      </c>
      <c r="D5254">
        <v>4.5587910000000003</v>
      </c>
      <c r="E5254">
        <v>0.57095649999999998</v>
      </c>
      <c r="F5254" t="s">
        <v>92</v>
      </c>
      <c r="G5254">
        <v>-431.89139999999998</v>
      </c>
      <c r="H5254">
        <v>2.1820780000000002</v>
      </c>
      <c r="I5254">
        <v>-3.6255090000000001</v>
      </c>
      <c r="J5254">
        <v>-422.8229</v>
      </c>
      <c r="K5254">
        <v>1.1106590000000001</v>
      </c>
      <c r="L5254">
        <v>82.686520000000002</v>
      </c>
      <c r="M5254">
        <v>-4.0399160000000003E-2</v>
      </c>
      <c r="N5254">
        <v>-1.3898239999999999E-2</v>
      </c>
      <c r="O5254">
        <v>-0.99908719999999995</v>
      </c>
      <c r="P5254">
        <v>8.2291589999999998E-2</v>
      </c>
      <c r="Q5254">
        <v>0.16516510000000001</v>
      </c>
      <c r="R5254">
        <v>-0.98282709999999995</v>
      </c>
      <c r="S5254">
        <v>-0.322235099999999</v>
      </c>
      <c r="T5254">
        <v>3.8026089999999999E-2</v>
      </c>
      <c r="U5254">
        <v>-3.0728759999999999</v>
      </c>
      <c r="V5254">
        <v>-0.1219816</v>
      </c>
      <c r="W5254">
        <v>0.17871860000000001</v>
      </c>
      <c r="X5254">
        <v>0.97630939999999999</v>
      </c>
      <c r="Y5254">
        <v>6.3988130000000004E-2</v>
      </c>
      <c r="Z5254">
        <v>-2.6178880000000002E-2</v>
      </c>
      <c r="AA5254">
        <v>0.99760720000000003</v>
      </c>
      <c r="AB5254">
        <v>27</v>
      </c>
      <c r="AC5254">
        <v>-9.06849999999997</v>
      </c>
      <c r="AD5254">
        <v>1.0714189999999899</v>
      </c>
      <c r="AE5254">
        <v>-86.312028999999995</v>
      </c>
      <c r="AF5254">
        <v>5.57297643015501</v>
      </c>
      <c r="AG5254">
        <v>1.0714189999999899</v>
      </c>
      <c r="AH5254">
        <v>86.594749398953596</v>
      </c>
      <c r="AI5254">
        <v>89.292590610043604</v>
      </c>
      <c r="AJ5254">
        <v>86.317694959392796</v>
      </c>
      <c r="AK5254">
        <v>86.780508343937498</v>
      </c>
      <c r="AL5254">
        <v>79.704868668156706</v>
      </c>
      <c r="AM5254">
        <v>97.121718347594395</v>
      </c>
      <c r="AN5254">
        <v>0.99999994662643799</v>
      </c>
    </row>
    <row r="5255" spans="1:40" x14ac:dyDescent="0.25">
      <c r="A5255" t="str">
        <f>"20190304155208071"</f>
        <v>20190304155208071</v>
      </c>
      <c r="B5255" t="str">
        <f>"1551685928061790"</f>
        <v>1551685928061790</v>
      </c>
      <c r="C5255" t="s">
        <v>40</v>
      </c>
      <c r="D5255">
        <v>4.5726180000000003</v>
      </c>
      <c r="E5255">
        <v>0.57079480000000005</v>
      </c>
      <c r="F5255" t="s">
        <v>92</v>
      </c>
      <c r="G5255">
        <v>-431.86720000000003</v>
      </c>
      <c r="H5255">
        <v>2.1291760000000002</v>
      </c>
      <c r="I5255">
        <v>-3.6057419999999998</v>
      </c>
      <c r="J5255">
        <v>-422.83359999999999</v>
      </c>
      <c r="K5255">
        <v>1.1106640000000001</v>
      </c>
      <c r="L5255">
        <v>82.417270000000002</v>
      </c>
      <c r="M5255">
        <v>-4.022647E-2</v>
      </c>
      <c r="N5255">
        <v>-1.391365E-2</v>
      </c>
      <c r="O5255">
        <v>-0.99909380000000003</v>
      </c>
      <c r="P5255">
        <v>8.239668E-2</v>
      </c>
      <c r="Q5255">
        <v>0.16565289999999999</v>
      </c>
      <c r="R5255">
        <v>-0.9827361</v>
      </c>
      <c r="S5255">
        <v>-0.32211299999999998</v>
      </c>
      <c r="T5255">
        <v>3.6273600000000003E-2</v>
      </c>
      <c r="U5255">
        <v>-3.0733030000000001</v>
      </c>
      <c r="V5255">
        <v>-0.12191490000000001</v>
      </c>
      <c r="W5255">
        <v>0.17921970000000001</v>
      </c>
      <c r="X5255">
        <v>0.97622589999999998</v>
      </c>
      <c r="Y5255">
        <v>6.4108250000000006E-2</v>
      </c>
      <c r="Z5255">
        <v>-2.5625680000000001E-2</v>
      </c>
      <c r="AA5255">
        <v>0.99761390000000005</v>
      </c>
      <c r="AB5255">
        <v>27</v>
      </c>
      <c r="AC5255">
        <v>-9.0336000000000301</v>
      </c>
      <c r="AD5255">
        <v>1.0185120000000001</v>
      </c>
      <c r="AE5255">
        <v>-86.023011999999994</v>
      </c>
      <c r="AF5255">
        <v>5.56477829039446</v>
      </c>
      <c r="AG5255">
        <v>1.0185120000000001</v>
      </c>
      <c r="AH5255">
        <v>86.304828735913702</v>
      </c>
      <c r="AI5255">
        <v>89.325265826898203</v>
      </c>
      <c r="AJ5255">
        <v>86.310779320007796</v>
      </c>
      <c r="AK5255">
        <v>86.490043283899396</v>
      </c>
      <c r="AL5255">
        <v>79.675686901617496</v>
      </c>
      <c r="AM5255">
        <v>97.118466688890607</v>
      </c>
      <c r="AN5255">
        <v>0.99999997577045396</v>
      </c>
    </row>
    <row r="5256" spans="1:40" x14ac:dyDescent="0.25">
      <c r="A5256" t="str">
        <f>"20190304155208093"</f>
        <v>20190304155208093</v>
      </c>
      <c r="B5256" t="str">
        <f>"1551685928082282"</f>
        <v>1551685928082282</v>
      </c>
      <c r="C5256" t="s">
        <v>40</v>
      </c>
      <c r="D5256">
        <v>4.5815900000000003</v>
      </c>
      <c r="E5256">
        <v>0.57093470000000002</v>
      </c>
      <c r="F5256" t="s">
        <v>92</v>
      </c>
      <c r="G5256">
        <v>-431.80889999999999</v>
      </c>
      <c r="H5256">
        <v>2.1136620000000002</v>
      </c>
      <c r="I5256">
        <v>-3.5580059999999998</v>
      </c>
      <c r="J5256">
        <v>-422.84410000000003</v>
      </c>
      <c r="K5256">
        <v>1.110665</v>
      </c>
      <c r="L5256">
        <v>82.151949999999999</v>
      </c>
      <c r="M5256">
        <v>-4.0051929999999999E-2</v>
      </c>
      <c r="N5256">
        <v>-1.3926569999999999E-2</v>
      </c>
      <c r="O5256">
        <v>-0.99910069999999995</v>
      </c>
      <c r="P5256">
        <v>8.2485059999999999E-2</v>
      </c>
      <c r="Q5256">
        <v>0.16605710000000001</v>
      </c>
      <c r="R5256">
        <v>-0.98266070000000005</v>
      </c>
      <c r="S5256">
        <v>-0.32086179999999997</v>
      </c>
      <c r="T5256">
        <v>3.5855770000000002E-2</v>
      </c>
      <c r="U5256">
        <v>-3.0735779999999999</v>
      </c>
      <c r="V5256">
        <v>-0.1218306</v>
      </c>
      <c r="W5256">
        <v>0.17963489999999999</v>
      </c>
      <c r="X5256">
        <v>0.97616020000000003</v>
      </c>
      <c r="Y5256">
        <v>6.3871880000000006E-2</v>
      </c>
      <c r="Z5256">
        <v>-2.550301E-2</v>
      </c>
      <c r="AA5256">
        <v>0.99763219999999997</v>
      </c>
      <c r="AB5256">
        <v>27</v>
      </c>
      <c r="AC5256">
        <v>-8.9647999999999595</v>
      </c>
      <c r="AD5256">
        <v>1.0029969999999899</v>
      </c>
      <c r="AE5256">
        <v>-85.709956000000005</v>
      </c>
      <c r="AF5256">
        <v>5.5236754442974298</v>
      </c>
      <c r="AG5256">
        <v>1.0029969999999899</v>
      </c>
      <c r="AH5256">
        <v>85.988613251580503</v>
      </c>
      <c r="AI5256">
        <v>89.333089571967605</v>
      </c>
      <c r="AJ5256">
        <v>86.324524402648194</v>
      </c>
      <c r="AK5256">
        <v>86.171680976558804</v>
      </c>
      <c r="AL5256">
        <v>79.651506180427802</v>
      </c>
      <c r="AM5256">
        <v>97.114068827163607</v>
      </c>
      <c r="AN5256">
        <v>1.0000000642292</v>
      </c>
    </row>
    <row r="5257" spans="1:40" x14ac:dyDescent="0.25">
      <c r="A5257" t="str">
        <f>"20190304155208115"</f>
        <v>20190304155208115</v>
      </c>
      <c r="B5257" t="str">
        <f>"1551685928112539"</f>
        <v>1551685928112539</v>
      </c>
      <c r="C5257" t="s">
        <v>40</v>
      </c>
      <c r="D5257">
        <v>4.4373959999999997</v>
      </c>
      <c r="E5257">
        <v>0.57073319999999905</v>
      </c>
      <c r="F5257" t="s">
        <v>92</v>
      </c>
      <c r="G5257">
        <v>-431.82100000000003</v>
      </c>
      <c r="H5257">
        <v>2.077216</v>
      </c>
      <c r="I5257">
        <v>-3.5679240000000001</v>
      </c>
      <c r="J5257">
        <v>-422.85469999999998</v>
      </c>
      <c r="K5257">
        <v>1.1106750000000001</v>
      </c>
      <c r="L5257">
        <v>81.884699999999995</v>
      </c>
      <c r="M5257">
        <v>-3.9868559999999997E-2</v>
      </c>
      <c r="N5257">
        <v>-1.393757E-2</v>
      </c>
      <c r="O5257">
        <v>-0.99910770000000004</v>
      </c>
      <c r="P5257">
        <v>8.2552749999999994E-2</v>
      </c>
      <c r="Q5257">
        <v>0.1668415</v>
      </c>
      <c r="R5257">
        <v>-0.98252169999999905</v>
      </c>
      <c r="S5257">
        <v>-0.32192989999999999</v>
      </c>
      <c r="T5257">
        <v>3.4661650000000002E-2</v>
      </c>
      <c r="U5257">
        <v>-3.0740970000000001</v>
      </c>
      <c r="V5257">
        <v>-0.1217154</v>
      </c>
      <c r="W5257">
        <v>0.18042710000000001</v>
      </c>
      <c r="X5257">
        <v>0.97602840000000002</v>
      </c>
      <c r="Y5257">
        <v>6.4381330000000001E-2</v>
      </c>
      <c r="Z5257">
        <v>-2.512547E-2</v>
      </c>
      <c r="AA5257">
        <v>0.99760899999999997</v>
      </c>
      <c r="AB5257">
        <v>27</v>
      </c>
      <c r="AC5257">
        <v>-8.9662999999999897</v>
      </c>
      <c r="AD5257">
        <v>0.96654099999999998</v>
      </c>
      <c r="AE5257">
        <v>-85.452624</v>
      </c>
      <c r="AF5257">
        <v>5.5512632403392201</v>
      </c>
      <c r="AG5257">
        <v>0.96654099999999998</v>
      </c>
      <c r="AH5257">
        <v>85.731329816990495</v>
      </c>
      <c r="AI5257">
        <v>89.355420515944203</v>
      </c>
      <c r="AJ5257">
        <v>86.295163696908403</v>
      </c>
      <c r="AK5257">
        <v>85.916306003329893</v>
      </c>
      <c r="AL5257">
        <v>79.605361923168203</v>
      </c>
      <c r="AM5257">
        <v>97.108360714192202</v>
      </c>
      <c r="AN5257">
        <v>1.00000000730906</v>
      </c>
    </row>
    <row r="5258" spans="1:40" x14ac:dyDescent="0.25">
      <c r="A5258" t="str">
        <f>"20190304155208137"</f>
        <v>20190304155208137</v>
      </c>
      <c r="B5258" t="str">
        <f>"1551685928132058"</f>
        <v>1551685928132058</v>
      </c>
      <c r="C5258" t="s">
        <v>40</v>
      </c>
      <c r="D5258">
        <v>4.6209819999999997</v>
      </c>
      <c r="E5258">
        <v>0.57062159999999995</v>
      </c>
      <c r="F5258" t="s">
        <v>92</v>
      </c>
      <c r="G5258">
        <v>-431.75420000000003</v>
      </c>
      <c r="H5258">
        <v>2.0576319999999999</v>
      </c>
      <c r="I5258">
        <v>-3.5132660000000002</v>
      </c>
      <c r="J5258">
        <v>-422.86529999999999</v>
      </c>
      <c r="K5258">
        <v>1.1106910000000001</v>
      </c>
      <c r="L5258">
        <v>81.613159999999993</v>
      </c>
      <c r="M5258">
        <v>-3.9669669999999997E-2</v>
      </c>
      <c r="N5258">
        <v>-1.39469E-2</v>
      </c>
      <c r="O5258">
        <v>-0.99911550000000005</v>
      </c>
      <c r="P5258">
        <v>8.2825999999999997E-2</v>
      </c>
      <c r="Q5258">
        <v>0.1670971</v>
      </c>
      <c r="R5258">
        <v>-0.98245539999999998</v>
      </c>
      <c r="S5258">
        <v>-0.32040410000000002</v>
      </c>
      <c r="T5258">
        <v>3.4091709999999997E-2</v>
      </c>
      <c r="U5258">
        <v>-3.0745239999999998</v>
      </c>
      <c r="V5258">
        <v>-0.1217951</v>
      </c>
      <c r="W5258">
        <v>0.1806883</v>
      </c>
      <c r="X5258">
        <v>0.97597009999999995</v>
      </c>
      <c r="Y5258">
        <v>6.4076220000000003E-2</v>
      </c>
      <c r="Z5258">
        <v>-2.4949659999999999E-2</v>
      </c>
      <c r="AA5258">
        <v>0.99763310000000005</v>
      </c>
      <c r="AB5258">
        <v>27</v>
      </c>
      <c r="AC5258">
        <v>-8.8889000000000298</v>
      </c>
      <c r="AD5258">
        <v>0.94694099999999903</v>
      </c>
      <c r="AE5258">
        <v>-85.126425999999995</v>
      </c>
      <c r="AF5258">
        <v>5.5039622631407097</v>
      </c>
      <c r="AG5258">
        <v>0.94694099999999903</v>
      </c>
      <c r="AH5258">
        <v>85.401605844782395</v>
      </c>
      <c r="AI5258">
        <v>89.366040185315796</v>
      </c>
      <c r="AJ5258">
        <v>86.312501643755994</v>
      </c>
      <c r="AK5258">
        <v>85.5840205804748</v>
      </c>
      <c r="AL5258">
        <v>79.590145815333202</v>
      </c>
      <c r="AM5258">
        <v>97.113388194958802</v>
      </c>
      <c r="AN5258">
        <v>0.99999997211745395</v>
      </c>
    </row>
    <row r="5259" spans="1:40" x14ac:dyDescent="0.25">
      <c r="A5259" t="str">
        <f>"20190304155208160"</f>
        <v>20190304155208160</v>
      </c>
      <c r="B5259" t="str">
        <f>"1551685928152561"</f>
        <v>1551685928152561</v>
      </c>
      <c r="C5259" t="s">
        <v>40</v>
      </c>
      <c r="D5259">
        <v>4.5327129999999904</v>
      </c>
      <c r="E5259">
        <v>0.57056640000000003</v>
      </c>
      <c r="F5259" t="s">
        <v>92</v>
      </c>
      <c r="G5259">
        <v>-431.68869999999998</v>
      </c>
      <c r="H5259">
        <v>2.0291359999999998</v>
      </c>
      <c r="I5259">
        <v>-3.459673</v>
      </c>
      <c r="J5259">
        <v>-422.87560000000002</v>
      </c>
      <c r="K5259">
        <v>1.1107100000000001</v>
      </c>
      <c r="L5259">
        <v>81.345979999999997</v>
      </c>
      <c r="M5259">
        <v>-3.9458109999999998E-2</v>
      </c>
      <c r="N5259">
        <v>-1.395443E-2</v>
      </c>
      <c r="O5259">
        <v>-0.99912389999999995</v>
      </c>
      <c r="P5259">
        <v>8.3074229999999999E-2</v>
      </c>
      <c r="Q5259">
        <v>0.16733589999999901</v>
      </c>
      <c r="R5259">
        <v>-0.98239390000000004</v>
      </c>
      <c r="S5259">
        <v>-0.31890869999999999</v>
      </c>
      <c r="T5259">
        <v>3.3194540000000002E-2</v>
      </c>
      <c r="U5259">
        <v>-3.0747990000000001</v>
      </c>
      <c r="V5259">
        <v>-0.1218384</v>
      </c>
      <c r="W5259">
        <v>0.1809308</v>
      </c>
      <c r="X5259">
        <v>0.9759198</v>
      </c>
      <c r="Y5259">
        <v>6.3798949999999993E-2</v>
      </c>
      <c r="Z5259">
        <v>-2.4666750000000001E-2</v>
      </c>
      <c r="AA5259">
        <v>0.99765789999999999</v>
      </c>
      <c r="AB5259">
        <v>27</v>
      </c>
      <c r="AC5259">
        <v>-8.8130999999999595</v>
      </c>
      <c r="AD5259">
        <v>0.91842599999999996</v>
      </c>
      <c r="AE5259">
        <v>-84.805653000000007</v>
      </c>
      <c r="AF5259">
        <v>5.4590055934695396</v>
      </c>
      <c r="AG5259">
        <v>0.91842599999999996</v>
      </c>
      <c r="AH5259">
        <v>85.077506141370307</v>
      </c>
      <c r="AI5259">
        <v>89.382775641847303</v>
      </c>
      <c r="AJ5259">
        <v>86.328644313669699</v>
      </c>
      <c r="AK5259">
        <v>85.257411992283195</v>
      </c>
      <c r="AL5259">
        <v>79.576019074064504</v>
      </c>
      <c r="AM5259">
        <v>97.116254192601701</v>
      </c>
      <c r="AN5259">
        <v>1.0000000030676199</v>
      </c>
    </row>
    <row r="5260" spans="1:40" x14ac:dyDescent="0.25">
      <c r="A5260" t="str">
        <f>"20190304155208182"</f>
        <v>20190304155208182</v>
      </c>
      <c r="B5260" t="str">
        <f>"1551685928172074"</f>
        <v>1551685928172074</v>
      </c>
      <c r="C5260" t="s">
        <v>40</v>
      </c>
      <c r="D5260">
        <v>4.6431370000000003</v>
      </c>
      <c r="E5260">
        <v>0.57050789999999996</v>
      </c>
      <c r="F5260" t="s">
        <v>92</v>
      </c>
      <c r="G5260">
        <v>-431.65469999999999</v>
      </c>
      <c r="H5260">
        <v>1.9983599999999999</v>
      </c>
      <c r="I5260">
        <v>-3.4317950000000002</v>
      </c>
      <c r="J5260">
        <v>-422.8861</v>
      </c>
      <c r="K5260">
        <v>1.1107279999999999</v>
      </c>
      <c r="L5260">
        <v>81.073639999999997</v>
      </c>
      <c r="M5260">
        <v>-3.9223180000000003E-2</v>
      </c>
      <c r="N5260">
        <v>-1.396062E-2</v>
      </c>
      <c r="O5260">
        <v>-0.99913289999999999</v>
      </c>
      <c r="P5260">
        <v>8.3067589999999997E-2</v>
      </c>
      <c r="Q5260">
        <v>0.16747699999999999</v>
      </c>
      <c r="R5260">
        <v>-0.98237030000000003</v>
      </c>
      <c r="S5260">
        <v>-0.31845089999999998</v>
      </c>
      <c r="T5260">
        <v>3.2197589999999998E-2</v>
      </c>
      <c r="U5260">
        <v>-3.0752259999999998</v>
      </c>
      <c r="V5260">
        <v>-0.121606199999999</v>
      </c>
      <c r="W5260">
        <v>0.18107380000000001</v>
      </c>
      <c r="X5260">
        <v>0.97592219999999996</v>
      </c>
      <c r="Y5260">
        <v>6.3873100000000002E-2</v>
      </c>
      <c r="Z5260">
        <v>-2.434938E-2</v>
      </c>
      <c r="AA5260">
        <v>0.99766089999999996</v>
      </c>
      <c r="AB5260">
        <v>27</v>
      </c>
      <c r="AC5260">
        <v>-8.7685999999999904</v>
      </c>
      <c r="AD5260">
        <v>0.88763199999999898</v>
      </c>
      <c r="AE5260">
        <v>-84.505434999999906</v>
      </c>
      <c r="AF5260">
        <v>5.4463614363263897</v>
      </c>
      <c r="AG5260">
        <v>0.88763199999999898</v>
      </c>
      <c r="AH5260">
        <v>84.775105511225803</v>
      </c>
      <c r="AI5260">
        <v>89.401344425195504</v>
      </c>
      <c r="AJ5260">
        <v>86.324094682393394</v>
      </c>
      <c r="AK5260">
        <v>84.9545128754323</v>
      </c>
      <c r="AL5260">
        <v>79.567687768535507</v>
      </c>
      <c r="AM5260">
        <v>97.102813377151506</v>
      </c>
      <c r="AN5260">
        <v>0.99999996468885899</v>
      </c>
    </row>
    <row r="5261" spans="1:40" x14ac:dyDescent="0.25">
      <c r="A5261" t="str">
        <f>"20190304155208204"</f>
        <v>20190304155208204</v>
      </c>
      <c r="B5261" t="str">
        <f>"1551685928202330"</f>
        <v>1551685928202330</v>
      </c>
      <c r="C5261" t="s">
        <v>40</v>
      </c>
      <c r="D5261">
        <v>4.5526470000000003</v>
      </c>
      <c r="E5261">
        <v>0.57036529999999996</v>
      </c>
      <c r="F5261" t="s">
        <v>92</v>
      </c>
      <c r="G5261">
        <v>-431.61200000000002</v>
      </c>
      <c r="H5261">
        <v>1.9774799999999999</v>
      </c>
      <c r="I5261">
        <v>-3.3968600000000002</v>
      </c>
      <c r="J5261">
        <v>-422.89620000000002</v>
      </c>
      <c r="K5261">
        <v>1.1107450000000001</v>
      </c>
      <c r="L5261">
        <v>80.809939999999997</v>
      </c>
      <c r="M5261">
        <v>-3.8974519999999999E-2</v>
      </c>
      <c r="N5261">
        <v>-1.3965389999999999E-2</v>
      </c>
      <c r="O5261">
        <v>-0.9991428</v>
      </c>
      <c r="P5261">
        <v>8.3258029999999997E-2</v>
      </c>
      <c r="Q5261">
        <v>0.16707569999999999</v>
      </c>
      <c r="R5261">
        <v>-0.98242260000000003</v>
      </c>
      <c r="S5261">
        <v>-0.31768800000000003</v>
      </c>
      <c r="T5261">
        <v>3.1555180000000002E-2</v>
      </c>
      <c r="U5261">
        <v>-3.075348</v>
      </c>
      <c r="V5261">
        <v>-0.1215618</v>
      </c>
      <c r="W5261">
        <v>0.18067430000000001</v>
      </c>
      <c r="X5261">
        <v>0.97600180000000003</v>
      </c>
      <c r="Y5261">
        <v>6.3872929999999994E-2</v>
      </c>
      <c r="Z5261">
        <v>-2.414645E-2</v>
      </c>
      <c r="AA5261">
        <v>0.99766589999999999</v>
      </c>
      <c r="AB5261">
        <v>27</v>
      </c>
      <c r="AC5261">
        <v>-8.7157999999999394</v>
      </c>
      <c r="AD5261">
        <v>0.86673499999999903</v>
      </c>
      <c r="AE5261">
        <v>-84.206800000000001</v>
      </c>
      <c r="AF5261">
        <v>5.4263686131893598</v>
      </c>
      <c r="AG5261">
        <v>0.86673499999999903</v>
      </c>
      <c r="AH5261">
        <v>84.473680141422506</v>
      </c>
      <c r="AI5261">
        <v>89.413351218321694</v>
      </c>
      <c r="AJ5261">
        <v>86.324518751792695</v>
      </c>
      <c r="AK5261">
        <v>84.652225856865698</v>
      </c>
      <c r="AL5261">
        <v>79.590961606765404</v>
      </c>
      <c r="AM5261">
        <v>97.099673354662201</v>
      </c>
      <c r="AN5261">
        <v>0.99999999375148496</v>
      </c>
    </row>
    <row r="5262" spans="1:40" x14ac:dyDescent="0.25">
      <c r="A5262" t="str">
        <f>"20190304155208228"</f>
        <v>20190304155208228</v>
      </c>
      <c r="B5262" t="str">
        <f>"1551685928221850"</f>
        <v>1551685928221850</v>
      </c>
      <c r="C5262" t="s">
        <v>40</v>
      </c>
      <c r="D5262">
        <v>4.6096430000000002</v>
      </c>
      <c r="E5262">
        <v>0.57029560000000001</v>
      </c>
      <c r="F5262" t="s">
        <v>92</v>
      </c>
      <c r="G5262">
        <v>-431.54969999999997</v>
      </c>
      <c r="H5262">
        <v>1.901562</v>
      </c>
      <c r="I5262">
        <v>-3.3459509999999999</v>
      </c>
      <c r="J5262">
        <v>-422.90679999999998</v>
      </c>
      <c r="K5262">
        <v>1.1107629999999999</v>
      </c>
      <c r="L5262">
        <v>80.529690000000002</v>
      </c>
      <c r="M5262">
        <v>-3.8684830000000003E-2</v>
      </c>
      <c r="N5262">
        <v>-1.3969219999999999E-2</v>
      </c>
      <c r="O5262">
        <v>-0.99915399999999999</v>
      </c>
      <c r="P5262">
        <v>8.3174890000000001E-2</v>
      </c>
      <c r="Q5262">
        <v>0.16687449999999901</v>
      </c>
      <c r="R5262">
        <v>-0.98246369999999905</v>
      </c>
      <c r="S5262">
        <v>-0.31625370000000003</v>
      </c>
      <c r="T5262">
        <v>2.8900269999999999E-2</v>
      </c>
      <c r="U5262">
        <v>-3.0755620000000001</v>
      </c>
      <c r="V5262">
        <v>-0.1212042</v>
      </c>
      <c r="W5262">
        <v>0.18047299999999999</v>
      </c>
      <c r="X5262">
        <v>0.97608349999999999</v>
      </c>
      <c r="Y5262">
        <v>6.3696509999999998E-2</v>
      </c>
      <c r="Z5262">
        <v>-2.3291590000000001E-2</v>
      </c>
      <c r="AA5262">
        <v>0.99769750000000001</v>
      </c>
      <c r="AB5262">
        <v>27</v>
      </c>
      <c r="AC5262">
        <v>-8.6428999999999903</v>
      </c>
      <c r="AD5262">
        <v>0.79079900000000003</v>
      </c>
      <c r="AE5262">
        <v>-83.875641000000002</v>
      </c>
      <c r="AF5262">
        <v>5.3909240826189597</v>
      </c>
      <c r="AG5262">
        <v>0.79079900000000003</v>
      </c>
      <c r="AH5262">
        <v>84.139825588044104</v>
      </c>
      <c r="AI5262">
        <v>89.462615895509202</v>
      </c>
      <c r="AJ5262">
        <v>86.3340121436282</v>
      </c>
      <c r="AK5262">
        <v>84.316058230383703</v>
      </c>
      <c r="AL5262">
        <v>79.602687871825694</v>
      </c>
      <c r="AM5262">
        <v>97.078413836595601</v>
      </c>
      <c r="AN5262">
        <v>0.99999998039944404</v>
      </c>
    </row>
    <row r="5263" spans="1:40" x14ac:dyDescent="0.25">
      <c r="A5263" t="str">
        <f>"20190304155208250"</f>
        <v>20190304155208250</v>
      </c>
      <c r="B5263" t="str">
        <f>"1551685928242346"</f>
        <v>1551685928242346</v>
      </c>
      <c r="C5263" t="s">
        <v>40</v>
      </c>
      <c r="D5263">
        <v>4.5740369999999997</v>
      </c>
      <c r="E5263">
        <v>0.5701001</v>
      </c>
      <c r="F5263" t="s">
        <v>92</v>
      </c>
      <c r="G5263">
        <v>-431.52760000000001</v>
      </c>
      <c r="H5263">
        <v>1.8571899999999999</v>
      </c>
      <c r="I5263">
        <v>-3.3278690000000002</v>
      </c>
      <c r="J5263">
        <v>-422.91669999999999</v>
      </c>
      <c r="K5263">
        <v>1.1107819999999999</v>
      </c>
      <c r="L5263">
        <v>80.263180000000006</v>
      </c>
      <c r="M5263">
        <v>-3.838279E-2</v>
      </c>
      <c r="N5263">
        <v>-1.3972119999999999E-2</v>
      </c>
      <c r="O5263">
        <v>-0.99916570000000005</v>
      </c>
      <c r="P5263">
        <v>8.3824449999999995E-2</v>
      </c>
      <c r="Q5263">
        <v>0.16722409999999999</v>
      </c>
      <c r="R5263">
        <v>-0.98234909999999998</v>
      </c>
      <c r="S5263">
        <v>-0.31619259999999999</v>
      </c>
      <c r="T5263">
        <v>2.7376060000000001E-2</v>
      </c>
      <c r="U5263">
        <v>-3.0756839999999999</v>
      </c>
      <c r="V5263">
        <v>-0.1215599</v>
      </c>
      <c r="W5263">
        <v>0.1808187</v>
      </c>
      <c r="X5263">
        <v>0.97597529999999999</v>
      </c>
      <c r="Y5263">
        <v>6.3975489999999996E-2</v>
      </c>
      <c r="Z5263">
        <v>-2.280138E-2</v>
      </c>
      <c r="AA5263">
        <v>0.99769099999999999</v>
      </c>
      <c r="AB5263">
        <v>27</v>
      </c>
      <c r="AC5263">
        <v>-8.6109000000000098</v>
      </c>
      <c r="AD5263">
        <v>0.74640799999999996</v>
      </c>
      <c r="AE5263">
        <v>-83.591048999999998</v>
      </c>
      <c r="AF5263">
        <v>5.3953577920876601</v>
      </c>
      <c r="AG5263">
        <v>0.74640799999999996</v>
      </c>
      <c r="AH5263">
        <v>83.853366468316906</v>
      </c>
      <c r="AI5263">
        <v>89.491056162248299</v>
      </c>
      <c r="AJ5263">
        <v>86.318505747178406</v>
      </c>
      <c r="AK5263">
        <v>84.030078416463198</v>
      </c>
      <c r="AL5263">
        <v>79.582549601196703</v>
      </c>
      <c r="AM5263">
        <v>97.099754322247307</v>
      </c>
      <c r="AN5263">
        <v>0.99999999888389401</v>
      </c>
    </row>
    <row r="5264" spans="1:40" x14ac:dyDescent="0.25">
      <c r="A5264" t="str">
        <f>"20190304155208272"</f>
        <v>20190304155208272</v>
      </c>
      <c r="B5264" t="str">
        <f>"1551685928262842"</f>
        <v>1551685928262842</v>
      </c>
      <c r="C5264" t="s">
        <v>40</v>
      </c>
      <c r="D5264">
        <v>4.7142429999999997</v>
      </c>
      <c r="E5264">
        <v>0.54377339999999996</v>
      </c>
      <c r="F5264" t="s">
        <v>92</v>
      </c>
      <c r="G5264">
        <v>-431.40660000000003</v>
      </c>
      <c r="H5264">
        <v>1.8539079999999999</v>
      </c>
      <c r="I5264">
        <v>-3.228777</v>
      </c>
      <c r="J5264">
        <v>-422.92649999999998</v>
      </c>
      <c r="K5264">
        <v>1.110798</v>
      </c>
      <c r="L5264">
        <v>80.001040000000003</v>
      </c>
      <c r="M5264">
        <v>-3.8067230000000001E-2</v>
      </c>
      <c r="N5264">
        <v>-1.397442E-2</v>
      </c>
      <c r="O5264">
        <v>-0.99917739999999999</v>
      </c>
      <c r="P5264">
        <v>8.4666740000000004E-2</v>
      </c>
      <c r="Q5264">
        <v>0.1677236</v>
      </c>
      <c r="R5264">
        <v>-0.9821917</v>
      </c>
      <c r="S5264">
        <v>-0.31277470000000002</v>
      </c>
      <c r="T5264">
        <v>2.737653E-2</v>
      </c>
      <c r="U5264">
        <v>-3.0759280000000002</v>
      </c>
      <c r="V5264">
        <v>-0.12209349999999999</v>
      </c>
      <c r="W5264">
        <v>0.1813139</v>
      </c>
      <c r="X5264">
        <v>0.97581680000000004</v>
      </c>
      <c r="Y5264">
        <v>6.3185439999999995E-2</v>
      </c>
      <c r="Z5264">
        <v>-2.280453E-2</v>
      </c>
      <c r="AA5264">
        <v>0.99774119999999999</v>
      </c>
      <c r="AB5264">
        <v>27</v>
      </c>
      <c r="AC5264">
        <v>-8.4801000000000499</v>
      </c>
      <c r="AD5264">
        <v>0.74311000000000005</v>
      </c>
      <c r="AE5264">
        <v>-83.229816999999997</v>
      </c>
      <c r="AF5264">
        <v>5.3048955195321099</v>
      </c>
      <c r="AG5264">
        <v>0.74311000000000005</v>
      </c>
      <c r="AH5264">
        <v>83.485737243776498</v>
      </c>
      <c r="AI5264">
        <v>89.491047762207103</v>
      </c>
      <c r="AJ5264">
        <v>86.364168981255304</v>
      </c>
      <c r="AK5264">
        <v>83.657411220298599</v>
      </c>
      <c r="AL5264">
        <v>79.553699777907894</v>
      </c>
      <c r="AM5264">
        <v>97.131745612818605</v>
      </c>
      <c r="AN5264">
        <v>0.99999999011884999</v>
      </c>
    </row>
    <row r="5265" spans="1:40" x14ac:dyDescent="0.25">
      <c r="A5265" t="str">
        <f>"20190304155208294"</f>
        <v>20190304155208294</v>
      </c>
      <c r="B5265" t="str">
        <f>"1551685928282363"</f>
        <v>1551685928282363</v>
      </c>
      <c r="C5265" t="s">
        <v>40</v>
      </c>
      <c r="D5265">
        <v>4.7481019999999896</v>
      </c>
      <c r="E5265">
        <v>0.52443759999999995</v>
      </c>
      <c r="F5265" t="s">
        <v>77</v>
      </c>
      <c r="G5265">
        <v>-425.2226</v>
      </c>
      <c r="H5265" s="1">
        <v>-8.4765790000000003E-6</v>
      </c>
      <c r="I5265">
        <v>11.17449</v>
      </c>
      <c r="J5265">
        <v>-422.9359</v>
      </c>
      <c r="K5265">
        <v>1.1108129999999901</v>
      </c>
      <c r="L5265">
        <v>79.743619999999893</v>
      </c>
      <c r="M5265">
        <v>-3.77399E-2</v>
      </c>
      <c r="N5265">
        <v>-1.397606E-2</v>
      </c>
      <c r="O5265">
        <v>-0.99919009999999997</v>
      </c>
      <c r="P5265">
        <v>8.5648509999999997E-2</v>
      </c>
      <c r="Q5265">
        <v>0.16820070000000001</v>
      </c>
      <c r="R5265">
        <v>-0.98202500000000004</v>
      </c>
      <c r="S5265">
        <v>-0.102478</v>
      </c>
      <c r="T5265">
        <v>-4.9575090000000002E-2</v>
      </c>
      <c r="U5265">
        <v>-3.0717159999999999</v>
      </c>
      <c r="V5265">
        <v>-0.1227536</v>
      </c>
      <c r="W5265">
        <v>0.18178559999999999</v>
      </c>
      <c r="X5265">
        <v>0.97564620000000002</v>
      </c>
      <c r="Y5265">
        <v>-4.4022330000000002E-3</v>
      </c>
      <c r="Z5265">
        <v>2.1482939999999998E-3</v>
      </c>
      <c r="AA5265">
        <v>0.99998799999999999</v>
      </c>
      <c r="AB5265">
        <v>27</v>
      </c>
      <c r="AC5265">
        <v>-2.28669999999999</v>
      </c>
      <c r="AD5265">
        <v>-1.1108214765790001</v>
      </c>
      <c r="AE5265">
        <v>-68.569130000000001</v>
      </c>
      <c r="AF5265">
        <v>-0.30289422187669501</v>
      </c>
      <c r="AG5265">
        <v>-1.1108214765790001</v>
      </c>
      <c r="AH5265">
        <v>68.588599361040593</v>
      </c>
      <c r="AI5265">
        <v>90.927839303946698</v>
      </c>
      <c r="AJ5265">
        <v>90.253022337523703</v>
      </c>
      <c r="AK5265">
        <v>68.598262598784601</v>
      </c>
      <c r="AL5265">
        <v>79.526216520325207</v>
      </c>
      <c r="AM5265">
        <v>97.171143935419195</v>
      </c>
      <c r="AN5265">
        <v>0.99999997912737904</v>
      </c>
    </row>
    <row r="5266" spans="1:40" x14ac:dyDescent="0.25">
      <c r="A5266" t="str">
        <f>"20190304155208316"</f>
        <v>20190304155208316</v>
      </c>
      <c r="B5266" t="str">
        <f>"1551685928312619"</f>
        <v>1551685928312619</v>
      </c>
      <c r="C5266" t="s">
        <v>40</v>
      </c>
      <c r="D5266">
        <v>4.9557060000000002</v>
      </c>
      <c r="E5266">
        <v>0.51215059999999901</v>
      </c>
      <c r="F5266" t="s">
        <v>77</v>
      </c>
      <c r="G5266">
        <v>-422.20359999999999</v>
      </c>
      <c r="H5266" s="1">
        <v>-1.314874E-6</v>
      </c>
      <c r="I5266">
        <v>38.037179999999999</v>
      </c>
      <c r="J5266">
        <v>-422.94569999999999</v>
      </c>
      <c r="K5266">
        <v>1.1108279999999999</v>
      </c>
      <c r="L5266">
        <v>79.473749999999995</v>
      </c>
      <c r="M5266">
        <v>-3.7378479999999999E-2</v>
      </c>
      <c r="N5266">
        <v>-1.3977170000000001E-2</v>
      </c>
      <c r="O5266">
        <v>-0.99920339999999996</v>
      </c>
      <c r="P5266">
        <v>8.6782280000000003E-2</v>
      </c>
      <c r="Q5266">
        <v>0.16864489999999999</v>
      </c>
      <c r="R5266">
        <v>-0.98184930000000004</v>
      </c>
      <c r="S5266">
        <v>5.3802490000000001E-2</v>
      </c>
      <c r="T5266">
        <v>-8.1612470000000006E-2</v>
      </c>
      <c r="U5266">
        <v>-3.064209</v>
      </c>
      <c r="V5266">
        <v>-0.1235323</v>
      </c>
      <c r="W5266">
        <v>0.18222450000000001</v>
      </c>
      <c r="X5266">
        <v>0.97546600000000006</v>
      </c>
      <c r="Y5266">
        <v>-5.4902769999999997E-2</v>
      </c>
      <c r="Z5266">
        <v>1.2595230000000001E-2</v>
      </c>
      <c r="AA5266">
        <v>0.99841230000000003</v>
      </c>
      <c r="AB5266">
        <v>27</v>
      </c>
      <c r="AC5266">
        <v>0.74209999999999299</v>
      </c>
      <c r="AD5266">
        <v>-1.1108293148740001</v>
      </c>
      <c r="AE5266">
        <v>-41.436570000000003</v>
      </c>
      <c r="AF5266">
        <v>-2.2889242179894498</v>
      </c>
      <c r="AG5266">
        <v>-1.1108293148740001</v>
      </c>
      <c r="AH5266">
        <v>41.350158949429499</v>
      </c>
      <c r="AI5266">
        <v>91.536470789617098</v>
      </c>
      <c r="AJ5266">
        <v>93.168355257212298</v>
      </c>
      <c r="AK5266">
        <v>41.428356967004703</v>
      </c>
      <c r="AL5266">
        <v>79.500642018879006</v>
      </c>
      <c r="AM5266">
        <v>97.217475769417902</v>
      </c>
      <c r="AN5266">
        <v>0.99999995734976899</v>
      </c>
    </row>
    <row r="5267" spans="1:40" x14ac:dyDescent="0.25">
      <c r="A5267" t="str">
        <f>"20190304155208338"</f>
        <v>20190304155208338</v>
      </c>
      <c r="B5267" t="str">
        <f>"1551685928332139"</f>
        <v>1551685928332139</v>
      </c>
      <c r="C5267" t="s">
        <v>40</v>
      </c>
      <c r="D5267">
        <v>4.8068210000000002</v>
      </c>
      <c r="E5267">
        <v>0.50905029999999996</v>
      </c>
      <c r="F5267" t="s">
        <v>41</v>
      </c>
      <c r="G5267">
        <v>-421.18650000000002</v>
      </c>
      <c r="H5267" s="1">
        <v>-2.548612E-6</v>
      </c>
      <c r="I5267">
        <v>44.794069999999998</v>
      </c>
      <c r="J5267">
        <v>-422.9554</v>
      </c>
      <c r="K5267">
        <v>1.1108439999999999</v>
      </c>
      <c r="L5267">
        <v>79.202579999999998</v>
      </c>
      <c r="M5267">
        <v>-3.6996069999999999E-2</v>
      </c>
      <c r="N5267">
        <v>-1.3977740000000001E-2</v>
      </c>
      <c r="O5267">
        <v>-0.99921769999999999</v>
      </c>
      <c r="P5267">
        <v>8.7567809999999996E-2</v>
      </c>
      <c r="Q5267">
        <v>0.16889479999999901</v>
      </c>
      <c r="R5267">
        <v>-0.98173659999999996</v>
      </c>
      <c r="S5267">
        <v>0.15515139999999999</v>
      </c>
      <c r="T5267">
        <v>-9.7970249999999995E-2</v>
      </c>
      <c r="U5267">
        <v>-3.0585939999999998</v>
      </c>
      <c r="V5267">
        <v>-0.12394429999999999</v>
      </c>
      <c r="W5267">
        <v>0.18246970000000001</v>
      </c>
      <c r="X5267">
        <v>0.97536800000000001</v>
      </c>
      <c r="Y5267">
        <v>-8.7542419999999996E-2</v>
      </c>
      <c r="Z5267">
        <v>1.7913080000000001E-2</v>
      </c>
      <c r="AA5267">
        <v>0.99599970000000004</v>
      </c>
      <c r="AB5267">
        <v>27</v>
      </c>
      <c r="AC5267">
        <v>1.7688999999999699</v>
      </c>
      <c r="AD5267">
        <v>-1.1108465486120001</v>
      </c>
      <c r="AE5267">
        <v>-34.40851</v>
      </c>
      <c r="AF5267">
        <v>-3.0376350870564299</v>
      </c>
      <c r="AG5267">
        <v>-1.1108465486120001</v>
      </c>
      <c r="AH5267">
        <v>34.283862435392301</v>
      </c>
      <c r="AI5267">
        <v>91.8485797556595</v>
      </c>
      <c r="AJ5267">
        <v>95.063325825054903</v>
      </c>
      <c r="AK5267">
        <v>34.436091974345501</v>
      </c>
      <c r="AL5267">
        <v>79.486354607613507</v>
      </c>
      <c r="AM5267">
        <v>97.242011956942804</v>
      </c>
      <c r="AN5267">
        <v>1.0000000581722801</v>
      </c>
    </row>
    <row r="5268" spans="1:40" x14ac:dyDescent="0.25">
      <c r="A5268" t="str">
        <f>"20190304155208361"</f>
        <v>20190304155208361</v>
      </c>
      <c r="B5268" t="str">
        <f>"1551685928352638"</f>
        <v>1551685928352638</v>
      </c>
      <c r="C5268" t="s">
        <v>40</v>
      </c>
      <c r="D5268">
        <v>4.7156079999999996</v>
      </c>
      <c r="E5268">
        <v>0.50716909999999904</v>
      </c>
      <c r="F5268" t="s">
        <v>41</v>
      </c>
      <c r="G5268">
        <v>-420.97919999999999</v>
      </c>
      <c r="H5268" s="1">
        <v>-3.00483E-6</v>
      </c>
      <c r="I5268">
        <v>45.986080000000001</v>
      </c>
      <c r="J5268">
        <v>-422.96469999999999</v>
      </c>
      <c r="K5268">
        <v>1.110857</v>
      </c>
      <c r="L5268">
        <v>78.941739999999996</v>
      </c>
      <c r="M5268">
        <v>-3.6608979999999999E-2</v>
      </c>
      <c r="N5268">
        <v>-1.397789E-2</v>
      </c>
      <c r="O5268">
        <v>-0.99923209999999996</v>
      </c>
      <c r="P5268">
        <v>8.8348919999999997E-2</v>
      </c>
      <c r="Q5268">
        <v>0.16955899999999999</v>
      </c>
      <c r="R5268">
        <v>-0.98155230000000004</v>
      </c>
      <c r="S5268">
        <v>0.18188480000000001</v>
      </c>
      <c r="T5268">
        <v>-0.1022404</v>
      </c>
      <c r="U5268">
        <v>-3.0571899999999999</v>
      </c>
      <c r="V5268">
        <v>-0.1243455</v>
      </c>
      <c r="W5268">
        <v>0.1831274</v>
      </c>
      <c r="X5268">
        <v>0.97519359999999999</v>
      </c>
      <c r="Y5268">
        <v>-9.5854389999999998E-2</v>
      </c>
      <c r="Z5268">
        <v>1.9295409999999999E-2</v>
      </c>
      <c r="AA5268">
        <v>0.99520830000000005</v>
      </c>
      <c r="AB5268">
        <v>27</v>
      </c>
      <c r="AC5268">
        <v>1.9855</v>
      </c>
      <c r="AD5268">
        <v>-1.1108600048299999</v>
      </c>
      <c r="AE5268">
        <v>-32.955659999999902</v>
      </c>
      <c r="AF5268">
        <v>-3.1871513586912399</v>
      </c>
      <c r="AG5268">
        <v>-1.1108600048299999</v>
      </c>
      <c r="AH5268">
        <v>32.823710444666901</v>
      </c>
      <c r="AI5268">
        <v>91.929267236258397</v>
      </c>
      <c r="AJ5268">
        <v>95.545980227765696</v>
      </c>
      <c r="AK5268">
        <v>32.996786375173997</v>
      </c>
      <c r="AL5268">
        <v>79.448024750140107</v>
      </c>
      <c r="AM5268">
        <v>97.266489222770801</v>
      </c>
      <c r="AN5268">
        <v>1.0000000027409801</v>
      </c>
    </row>
    <row r="5269" spans="1:40" x14ac:dyDescent="0.25">
      <c r="A5269" t="str">
        <f>"20190304155208384"</f>
        <v>20190304155208384</v>
      </c>
      <c r="B5269" t="str">
        <f>"1551685928372155"</f>
        <v>1551685928372155</v>
      </c>
      <c r="C5269" t="s">
        <v>40</v>
      </c>
      <c r="D5269">
        <v>4.7866609999999996</v>
      </c>
      <c r="E5269">
        <v>0.50596940000000001</v>
      </c>
      <c r="F5269" t="s">
        <v>41</v>
      </c>
      <c r="G5269">
        <v>-421.00459999999998</v>
      </c>
      <c r="H5269" s="1">
        <v>-4.1507489999999998E-6</v>
      </c>
      <c r="I5269">
        <v>48.660310000000003</v>
      </c>
      <c r="J5269">
        <v>-422.97430000000003</v>
      </c>
      <c r="K5269">
        <v>1.1108789999999999</v>
      </c>
      <c r="L5269">
        <v>78.665619999999905</v>
      </c>
      <c r="M5269">
        <v>-3.6174730000000002E-2</v>
      </c>
      <c r="N5269">
        <v>-1.3977669999999999E-2</v>
      </c>
      <c r="O5269">
        <v>-0.99924780000000002</v>
      </c>
      <c r="P5269">
        <v>8.9046169999999994E-2</v>
      </c>
      <c r="Q5269">
        <v>0.17012579999999999</v>
      </c>
      <c r="R5269">
        <v>-0.98139089999999995</v>
      </c>
      <c r="S5269">
        <v>0.197937</v>
      </c>
      <c r="T5269">
        <v>-0.1121796</v>
      </c>
      <c r="U5269">
        <v>-3.0579529999999999</v>
      </c>
      <c r="V5269">
        <v>-0.1246192</v>
      </c>
      <c r="W5269">
        <v>0.18368709999999999</v>
      </c>
      <c r="X5269">
        <v>0.97505339999999996</v>
      </c>
      <c r="Y5269">
        <v>-0.10060189999999999</v>
      </c>
      <c r="Z5269">
        <v>2.2504550000000002E-2</v>
      </c>
      <c r="AA5269">
        <v>0.99467220000000001</v>
      </c>
      <c r="AB5269">
        <v>27</v>
      </c>
      <c r="AC5269">
        <v>1.96970000000004</v>
      </c>
      <c r="AD5269">
        <v>-1.110883150749</v>
      </c>
      <c r="AE5269">
        <v>-30.005309999999898</v>
      </c>
      <c r="AF5269">
        <v>-3.0497881053762099</v>
      </c>
      <c r="AG5269">
        <v>-1.110883150749</v>
      </c>
      <c r="AH5269">
        <v>29.873634858481399</v>
      </c>
      <c r="AI5269">
        <v>92.118622036601394</v>
      </c>
      <c r="AJ5269">
        <v>95.829109586754996</v>
      </c>
      <c r="AK5269">
        <v>30.0494480568311</v>
      </c>
      <c r="AL5269">
        <v>79.415403062371695</v>
      </c>
      <c r="AM5269">
        <v>97.283348019547205</v>
      </c>
      <c r="AN5269">
        <v>1.0000000142833001</v>
      </c>
    </row>
    <row r="5270" spans="1:40" x14ac:dyDescent="0.25">
      <c r="A5270" t="str">
        <f>"20190304155208406"</f>
        <v>20190304155208406</v>
      </c>
      <c r="B5270" t="str">
        <f>"1551685928402411"</f>
        <v>1551685928402411</v>
      </c>
      <c r="C5270" t="s">
        <v>40</v>
      </c>
      <c r="D5270">
        <v>4.8096969999999999</v>
      </c>
      <c r="E5270">
        <v>0.50474410000000003</v>
      </c>
      <c r="F5270" t="s">
        <v>41</v>
      </c>
      <c r="G5270">
        <v>-420.89359999999999</v>
      </c>
      <c r="H5270" s="1">
        <v>-3.9775740000000004E-6</v>
      </c>
      <c r="I5270">
        <v>48.30668</v>
      </c>
      <c r="J5270">
        <v>-422.983</v>
      </c>
      <c r="K5270">
        <v>1.110908</v>
      </c>
      <c r="L5270">
        <v>78.41086</v>
      </c>
      <c r="M5270">
        <v>-3.5744949999999998E-2</v>
      </c>
      <c r="N5270">
        <v>-1.3977150000000001E-2</v>
      </c>
      <c r="O5270">
        <v>-0.99926340000000002</v>
      </c>
      <c r="P5270">
        <v>8.9708309999999999E-2</v>
      </c>
      <c r="Q5270">
        <v>0.1705536</v>
      </c>
      <c r="R5270">
        <v>-0.98125680000000004</v>
      </c>
      <c r="S5270">
        <v>0.20953369999999999</v>
      </c>
      <c r="T5270">
        <v>-0.111870899999999</v>
      </c>
      <c r="U5270">
        <v>-3.0572810000000001</v>
      </c>
      <c r="V5270">
        <v>-0.1248654</v>
      </c>
      <c r="W5270">
        <v>0.18410660000000001</v>
      </c>
      <c r="X5270">
        <v>0.97494270000000005</v>
      </c>
      <c r="Y5270">
        <v>-0.1039428</v>
      </c>
      <c r="Z5270">
        <v>2.2401939999999999E-2</v>
      </c>
      <c r="AA5270">
        <v>0.99433090000000002</v>
      </c>
      <c r="AB5270">
        <v>27</v>
      </c>
      <c r="AC5270">
        <v>2.0894000000000101</v>
      </c>
      <c r="AD5270">
        <v>-1.110911977574</v>
      </c>
      <c r="AE5270">
        <v>-30.104179999999999</v>
      </c>
      <c r="AF5270">
        <v>-3.1599592884473</v>
      </c>
      <c r="AG5270">
        <v>-1.110911977574</v>
      </c>
      <c r="AH5270">
        <v>29.9696289744982</v>
      </c>
      <c r="AI5270">
        <v>92.111171580856706</v>
      </c>
      <c r="AJ5270">
        <v>96.018954452194393</v>
      </c>
      <c r="AK5270">
        <v>30.156228693184499</v>
      </c>
      <c r="AL5270">
        <v>79.390949641572206</v>
      </c>
      <c r="AM5270">
        <v>97.298401845949101</v>
      </c>
      <c r="AN5270">
        <v>0.99999993828200295</v>
      </c>
    </row>
    <row r="5271" spans="1:40" x14ac:dyDescent="0.25">
      <c r="A5271" t="str">
        <f>"20190304155208429"</f>
        <v>20190304155208429</v>
      </c>
      <c r="B5271" t="str">
        <f>"1551685928421931"</f>
        <v>1551685928421931</v>
      </c>
      <c r="C5271" t="s">
        <v>40</v>
      </c>
      <c r="D5271">
        <v>4.8547770000000003</v>
      </c>
      <c r="E5271">
        <v>0.50426780000000004</v>
      </c>
      <c r="F5271" t="s">
        <v>41</v>
      </c>
      <c r="G5271">
        <v>-420.81560000000002</v>
      </c>
      <c r="H5271" s="1">
        <v>-4.0235980000000003E-6</v>
      </c>
      <c r="I5271">
        <v>48.462330000000001</v>
      </c>
      <c r="J5271">
        <v>-422.99239999999998</v>
      </c>
      <c r="K5271">
        <v>1.110935</v>
      </c>
      <c r="L5271">
        <v>78.13449</v>
      </c>
      <c r="M5271">
        <v>-3.5237549999999999E-2</v>
      </c>
      <c r="N5271">
        <v>-1.3976260000000001E-2</v>
      </c>
      <c r="O5271">
        <v>-0.99928130000000004</v>
      </c>
      <c r="P5271">
        <v>9.0321970000000001E-2</v>
      </c>
      <c r="Q5271">
        <v>0.17080090000000001</v>
      </c>
      <c r="R5271">
        <v>-0.9811571</v>
      </c>
      <c r="S5271">
        <v>0.2212219</v>
      </c>
      <c r="T5271">
        <v>-0.1133888</v>
      </c>
      <c r="U5271">
        <v>-3.0567929999999999</v>
      </c>
      <c r="V5271">
        <v>-0.1249918</v>
      </c>
      <c r="W5271">
        <v>0.1843438</v>
      </c>
      <c r="X5271">
        <v>0.97488180000000002</v>
      </c>
      <c r="Y5271">
        <v>-0.1072289</v>
      </c>
      <c r="Z5271">
        <v>2.2890890000000001E-2</v>
      </c>
      <c r="AA5271">
        <v>0.99397080000000004</v>
      </c>
      <c r="AB5271">
        <v>27</v>
      </c>
      <c r="AC5271">
        <v>2.1767999999999499</v>
      </c>
      <c r="AD5271">
        <v>-1.1109390235979999</v>
      </c>
      <c r="AE5271">
        <v>-29.672160000000002</v>
      </c>
      <c r="AF5271">
        <v>-3.2166392436144502</v>
      </c>
      <c r="AG5271">
        <v>-1.1109390235979999</v>
      </c>
      <c r="AH5271">
        <v>29.535835032824401</v>
      </c>
      <c r="AI5271">
        <v>92.141415673488297</v>
      </c>
      <c r="AJ5271">
        <v>96.215377337994497</v>
      </c>
      <c r="AK5271">
        <v>29.731237858924199</v>
      </c>
      <c r="AL5271">
        <v>79.377123673510496</v>
      </c>
      <c r="AM5271">
        <v>97.306161615727603</v>
      </c>
      <c r="AN5271">
        <v>1.00000005531845</v>
      </c>
    </row>
    <row r="5272" spans="1:40" x14ac:dyDescent="0.25">
      <c r="A5272" t="str">
        <f>"20190304155208451"</f>
        <v>20190304155208451</v>
      </c>
      <c r="B5272" t="str">
        <f>"1551685928442427"</f>
        <v>1551685928442427</v>
      </c>
      <c r="C5272" t="s">
        <v>40</v>
      </c>
      <c r="D5272">
        <v>4.7759330000000002</v>
      </c>
      <c r="E5272">
        <v>0.50374180000000002</v>
      </c>
      <c r="F5272" t="s">
        <v>41</v>
      </c>
      <c r="G5272">
        <v>-420.78570000000002</v>
      </c>
      <c r="H5272" s="1">
        <v>-4.0161719999999998E-6</v>
      </c>
      <c r="I5272">
        <v>48.4636</v>
      </c>
      <c r="J5272">
        <v>-423.00099999999998</v>
      </c>
      <c r="K5272">
        <v>1.11097</v>
      </c>
      <c r="L5272">
        <v>77.87433</v>
      </c>
      <c r="M5272">
        <v>-3.4712119999999999E-2</v>
      </c>
      <c r="N5272">
        <v>-1.397529E-2</v>
      </c>
      <c r="O5272">
        <v>-0.99929979999999996</v>
      </c>
      <c r="P5272">
        <v>9.0674469999999993E-2</v>
      </c>
      <c r="Q5272">
        <v>0.1708239</v>
      </c>
      <c r="R5272">
        <v>-0.98112060000000001</v>
      </c>
      <c r="S5272">
        <v>0.22732540000000001</v>
      </c>
      <c r="T5272">
        <v>-0.114445699999999</v>
      </c>
      <c r="U5272">
        <v>-3.05661</v>
      </c>
      <c r="V5272">
        <v>-0.1248427</v>
      </c>
      <c r="W5272">
        <v>0.1843564</v>
      </c>
      <c r="X5272">
        <v>0.9748985</v>
      </c>
      <c r="Y5272">
        <v>-0.1086831</v>
      </c>
      <c r="Z5272">
        <v>2.3232650000000001E-2</v>
      </c>
      <c r="AA5272">
        <v>0.99380489999999999</v>
      </c>
      <c r="AB5272">
        <v>27</v>
      </c>
      <c r="AC5272">
        <v>2.2152999999999499</v>
      </c>
      <c r="AD5272">
        <v>-1.1109740161720001</v>
      </c>
      <c r="AE5272">
        <v>-29.410729999999901</v>
      </c>
      <c r="AF5272">
        <v>-3.2303895597481098</v>
      </c>
      <c r="AG5272">
        <v>-1.1109740161720001</v>
      </c>
      <c r="AH5272">
        <v>29.274560522752701</v>
      </c>
      <c r="AI5272">
        <v>92.160240621491894</v>
      </c>
      <c r="AJ5272">
        <v>96.296998985085807</v>
      </c>
      <c r="AK5272">
        <v>29.4732009420872</v>
      </c>
      <c r="AL5272">
        <v>79.376388924546305</v>
      </c>
      <c r="AM5272">
        <v>97.297416599406006</v>
      </c>
      <c r="AN5272">
        <v>1.00000003363324</v>
      </c>
    </row>
    <row r="5273" spans="1:40" x14ac:dyDescent="0.25">
      <c r="A5273" t="str">
        <f>"20190304155208472"</f>
        <v>20190304155208472</v>
      </c>
      <c r="B5273" t="str">
        <f>"1551685928461947"</f>
        <v>1551685928461947</v>
      </c>
      <c r="C5273" t="s">
        <v>40</v>
      </c>
      <c r="D5273">
        <v>4.814057</v>
      </c>
      <c r="E5273">
        <v>0.50333419999999995</v>
      </c>
      <c r="F5273" t="s">
        <v>41</v>
      </c>
      <c r="G5273">
        <v>-420.74450000000002</v>
      </c>
      <c r="H5273" s="1">
        <v>-3.9403539999999996E-6</v>
      </c>
      <c r="I5273">
        <v>48.312390000000001</v>
      </c>
      <c r="J5273">
        <v>-423.0093</v>
      </c>
      <c r="K5273">
        <v>1.111</v>
      </c>
      <c r="L5273">
        <v>77.615780000000001</v>
      </c>
      <c r="M5273">
        <v>-3.4149590000000001E-2</v>
      </c>
      <c r="N5273">
        <v>-1.397428E-2</v>
      </c>
      <c r="O5273">
        <v>-0.99931910000000002</v>
      </c>
      <c r="P5273">
        <v>9.1406630000000003E-2</v>
      </c>
      <c r="Q5273">
        <v>0.17137079999999999</v>
      </c>
      <c r="R5273">
        <v>-0.98095730000000003</v>
      </c>
      <c r="S5273">
        <v>0.23327639999999999</v>
      </c>
      <c r="T5273">
        <v>-0.1148551</v>
      </c>
      <c r="U5273">
        <v>-3.0561829999999999</v>
      </c>
      <c r="V5273">
        <v>-0.12503310000000001</v>
      </c>
      <c r="W5273">
        <v>0.1848911</v>
      </c>
      <c r="X5273">
        <v>0.97477279999999999</v>
      </c>
      <c r="Y5273">
        <v>-0.110057</v>
      </c>
      <c r="Z5273">
        <v>2.3367220000000001E-2</v>
      </c>
      <c r="AA5273">
        <v>0.99365060000000005</v>
      </c>
      <c r="AB5273">
        <v>26</v>
      </c>
      <c r="AC5273">
        <v>2.2647999999999802</v>
      </c>
      <c r="AD5273">
        <v>-1.111003940354</v>
      </c>
      <c r="AE5273">
        <v>-29.30339</v>
      </c>
      <c r="AF5273">
        <v>-3.2596174220226901</v>
      </c>
      <c r="AG5273">
        <v>-1.111003940354</v>
      </c>
      <c r="AH5273">
        <v>29.1672676215676</v>
      </c>
      <c r="AI5273">
        <v>92.167903370834594</v>
      </c>
      <c r="AJ5273">
        <v>96.376688474512804</v>
      </c>
      <c r="AK5273">
        <v>29.3698644191896</v>
      </c>
      <c r="AL5273">
        <v>79.345216676865306</v>
      </c>
      <c r="AM5273">
        <v>97.309358043459397</v>
      </c>
      <c r="AN5273">
        <v>1.00000000328733</v>
      </c>
    </row>
    <row r="5274" spans="1:40" x14ac:dyDescent="0.25">
      <c r="A5274" t="str">
        <f>"20190304155208495"</f>
        <v>20190304155208495</v>
      </c>
      <c r="B5274" t="str">
        <f>"1551685928492203"</f>
        <v>1551685928492203</v>
      </c>
      <c r="C5274" t="s">
        <v>40</v>
      </c>
      <c r="D5274">
        <v>4.8024750000000003</v>
      </c>
      <c r="E5274">
        <v>0.50279269999999998</v>
      </c>
      <c r="F5274" t="s">
        <v>41</v>
      </c>
      <c r="G5274">
        <v>-420.68060000000003</v>
      </c>
      <c r="H5274" s="1">
        <v>-3.7166979999999999E-6</v>
      </c>
      <c r="I5274">
        <v>47.830689999999997</v>
      </c>
      <c r="J5274">
        <v>-423.01740000000001</v>
      </c>
      <c r="K5274">
        <v>1.1110390000000001</v>
      </c>
      <c r="L5274">
        <v>77.360659999999996</v>
      </c>
      <c r="M5274">
        <v>-3.3549330000000002E-2</v>
      </c>
      <c r="N5274">
        <v>-1.3973090000000001E-2</v>
      </c>
      <c r="O5274">
        <v>-0.99933939999999999</v>
      </c>
      <c r="P5274">
        <v>9.2066800000000004E-2</v>
      </c>
      <c r="Q5274">
        <v>0.1722494</v>
      </c>
      <c r="R5274">
        <v>-0.98074170000000005</v>
      </c>
      <c r="S5274">
        <v>0.2389221</v>
      </c>
      <c r="T5274">
        <v>-0.1139863</v>
      </c>
      <c r="U5274">
        <v>-3.0558779999999999</v>
      </c>
      <c r="V5274">
        <v>-0.12511369999999999</v>
      </c>
      <c r="W5274">
        <v>0.18575659999999999</v>
      </c>
      <c r="X5274">
        <v>0.97459790000000002</v>
      </c>
      <c r="Y5274">
        <v>-0.11129269999999999</v>
      </c>
      <c r="Z5274">
        <v>2.3085649999999999E-2</v>
      </c>
      <c r="AA5274">
        <v>0.9935195</v>
      </c>
      <c r="AB5274">
        <v>26</v>
      </c>
      <c r="AC5274">
        <v>2.3367999999999798</v>
      </c>
      <c r="AD5274">
        <v>-1.1110427166979999</v>
      </c>
      <c r="AE5274">
        <v>-29.529969999999899</v>
      </c>
      <c r="AF5274">
        <v>-3.3216189224335202</v>
      </c>
      <c r="AG5274">
        <v>-1.1110427166979999</v>
      </c>
      <c r="AH5274">
        <v>29.393587365569001</v>
      </c>
      <c r="AI5274">
        <v>92.151004205726807</v>
      </c>
      <c r="AJ5274">
        <v>96.447351291606395</v>
      </c>
      <c r="AK5274">
        <v>29.6015294605115</v>
      </c>
      <c r="AL5274">
        <v>79.294753089056996</v>
      </c>
      <c r="AM5274">
        <v>97.315317212105199</v>
      </c>
      <c r="AN5274">
        <v>1.0000000095278301</v>
      </c>
    </row>
    <row r="5275" spans="1:40" x14ac:dyDescent="0.25">
      <c r="A5275" t="str">
        <f>"20190304155208518"</f>
        <v>20190304155208518</v>
      </c>
      <c r="B5275" t="str">
        <f>"1551685928512699"</f>
        <v>1551685928512699</v>
      </c>
      <c r="C5275" t="s">
        <v>40</v>
      </c>
      <c r="D5275">
        <v>4.7895479999999999</v>
      </c>
      <c r="E5275">
        <v>0.50257470000000004</v>
      </c>
      <c r="F5275" t="s">
        <v>41</v>
      </c>
      <c r="G5275">
        <v>-420.62889999999999</v>
      </c>
      <c r="H5275" s="1">
        <v>-3.5919779999999999E-6</v>
      </c>
      <c r="I5275">
        <v>47.572009999999999</v>
      </c>
      <c r="J5275">
        <v>-423.0258</v>
      </c>
      <c r="K5275">
        <v>1.1110789999999999</v>
      </c>
      <c r="L5275">
        <v>77.089169999999996</v>
      </c>
      <c r="M5275">
        <v>-3.2852840000000001E-2</v>
      </c>
      <c r="N5275">
        <v>-1.397168E-2</v>
      </c>
      <c r="O5275">
        <v>-0.99936290000000005</v>
      </c>
      <c r="P5275">
        <v>9.2616390000000007E-2</v>
      </c>
      <c r="Q5275">
        <v>0.17337540000000001</v>
      </c>
      <c r="R5275">
        <v>-0.98049180000000002</v>
      </c>
      <c r="S5275">
        <v>0.24502560000000001</v>
      </c>
      <c r="T5275">
        <v>-0.1139778</v>
      </c>
      <c r="U5275">
        <v>-3.0559080000000001</v>
      </c>
      <c r="V5275">
        <v>-0.12499109999999999</v>
      </c>
      <c r="W5275">
        <v>0.18686739999999999</v>
      </c>
      <c r="X5275">
        <v>0.97440119999999997</v>
      </c>
      <c r="Y5275">
        <v>-0.112570699999999</v>
      </c>
      <c r="Z5275">
        <v>2.3079570000000001E-2</v>
      </c>
      <c r="AA5275">
        <v>0.99337569999999997</v>
      </c>
      <c r="AB5275">
        <v>26</v>
      </c>
      <c r="AC5275">
        <v>2.3969000000000098</v>
      </c>
      <c r="AD5275">
        <v>-1.1110825919779901</v>
      </c>
      <c r="AE5275">
        <v>-29.517160000000001</v>
      </c>
      <c r="AF5275">
        <v>-3.3606921292712002</v>
      </c>
      <c r="AG5275">
        <v>-1.1110825919779901</v>
      </c>
      <c r="AH5275">
        <v>29.381113097589601</v>
      </c>
      <c r="AI5275">
        <v>92.1516612772391</v>
      </c>
      <c r="AJ5275">
        <v>96.525289006840595</v>
      </c>
      <c r="AK5275">
        <v>29.593556105464899</v>
      </c>
      <c r="AL5275">
        <v>79.229974050191998</v>
      </c>
      <c r="AM5275">
        <v>97.309685744510503</v>
      </c>
      <c r="AN5275">
        <v>0.999999949411703</v>
      </c>
    </row>
    <row r="5276" spans="1:40" x14ac:dyDescent="0.25">
      <c r="A5276" t="str">
        <f>"20190304155208540"</f>
        <v>20190304155208540</v>
      </c>
      <c r="B5276" t="str">
        <f>"1551685928532218"</f>
        <v>1551685928532218</v>
      </c>
      <c r="C5276" t="s">
        <v>40</v>
      </c>
      <c r="D5276">
        <v>4.7761699999999996</v>
      </c>
      <c r="E5276">
        <v>0.50224040000000003</v>
      </c>
      <c r="F5276" t="s">
        <v>41</v>
      </c>
      <c r="G5276">
        <v>-420.53910000000002</v>
      </c>
      <c r="H5276" s="1">
        <v>-3.1352609999999998E-6</v>
      </c>
      <c r="I5276">
        <v>46.563130000000001</v>
      </c>
      <c r="J5276">
        <v>-423.03359999999998</v>
      </c>
      <c r="K5276">
        <v>1.1111260000000001</v>
      </c>
      <c r="L5276">
        <v>76.824919999999906</v>
      </c>
      <c r="M5276">
        <v>-3.2115190000000002E-2</v>
      </c>
      <c r="N5276">
        <v>-1.397023E-2</v>
      </c>
      <c r="O5276">
        <v>-0.99938660000000001</v>
      </c>
      <c r="P5276">
        <v>9.3405290000000002E-2</v>
      </c>
      <c r="Q5276">
        <v>0.17423069999999999</v>
      </c>
      <c r="R5276">
        <v>-0.9802651</v>
      </c>
      <c r="S5276">
        <v>0.24893190000000001</v>
      </c>
      <c r="T5276">
        <v>-0.1112262</v>
      </c>
      <c r="U5276">
        <v>-3.055847</v>
      </c>
      <c r="V5276">
        <v>-0.12507009999999999</v>
      </c>
      <c r="W5276">
        <v>0.18770719999999999</v>
      </c>
      <c r="X5276">
        <v>0.97422969999999998</v>
      </c>
      <c r="Y5276">
        <v>-0.1131026</v>
      </c>
      <c r="Z5276">
        <v>2.2186270000000001E-2</v>
      </c>
      <c r="AA5276">
        <v>0.99333559999999999</v>
      </c>
      <c r="AB5276">
        <v>26</v>
      </c>
      <c r="AC5276">
        <v>2.4944999999999502</v>
      </c>
      <c r="AD5276">
        <v>-1.111129135261</v>
      </c>
      <c r="AE5276">
        <v>-30.261789999999898</v>
      </c>
      <c r="AF5276">
        <v>-3.4605370919328799</v>
      </c>
      <c r="AG5276">
        <v>-1.111129135261</v>
      </c>
      <c r="AH5276">
        <v>30.125717952738199</v>
      </c>
      <c r="AI5276">
        <v>92.098499983418506</v>
      </c>
      <c r="AJ5276">
        <v>96.552837309650798</v>
      </c>
      <c r="AK5276">
        <v>30.344172539184498</v>
      </c>
      <c r="AL5276">
        <v>79.180991016402899</v>
      </c>
      <c r="AM5276">
        <v>97.315529409173294</v>
      </c>
      <c r="AN5276">
        <v>1.0000000156039699</v>
      </c>
    </row>
    <row r="5277" spans="1:40" x14ac:dyDescent="0.25">
      <c r="A5277" t="str">
        <f>"20190304155208562"</f>
        <v>20190304155208562</v>
      </c>
      <c r="B5277" t="str">
        <f>"1551685928552716"</f>
        <v>1551685928552716</v>
      </c>
      <c r="C5277" t="s">
        <v>40</v>
      </c>
      <c r="D5277">
        <v>4.9212540000000002</v>
      </c>
      <c r="E5277">
        <v>0.50195970000000001</v>
      </c>
      <c r="F5277" t="s">
        <v>41</v>
      </c>
      <c r="G5277">
        <v>-420.43860000000001</v>
      </c>
      <c r="H5277" s="1">
        <v>-2.6808260000000001E-6</v>
      </c>
      <c r="I5277">
        <v>45.566139999999997</v>
      </c>
      <c r="J5277">
        <v>-423.04109999999997</v>
      </c>
      <c r="K5277">
        <v>1.11117</v>
      </c>
      <c r="L5277">
        <v>76.565399999999997</v>
      </c>
      <c r="M5277">
        <v>-3.1333050000000001E-2</v>
      </c>
      <c r="N5277">
        <v>-1.396879E-2</v>
      </c>
      <c r="O5277">
        <v>-0.99941159999999996</v>
      </c>
      <c r="P5277">
        <v>9.3967999999999996E-2</v>
      </c>
      <c r="Q5277">
        <v>0.1750729</v>
      </c>
      <c r="R5277">
        <v>-0.98006110000000002</v>
      </c>
      <c r="S5277">
        <v>0.2536621</v>
      </c>
      <c r="T5277">
        <v>-0.10861270000000001</v>
      </c>
      <c r="U5277">
        <v>-3.055542</v>
      </c>
      <c r="V5277">
        <v>-0.1248818</v>
      </c>
      <c r="W5277">
        <v>0.1885338</v>
      </c>
      <c r="X5277">
        <v>0.97409420000000002</v>
      </c>
      <c r="Y5277">
        <v>-0.1138624</v>
      </c>
      <c r="Z5277">
        <v>2.1339730000000001E-2</v>
      </c>
      <c r="AA5277">
        <v>0.99326729999999996</v>
      </c>
      <c r="AB5277">
        <v>26</v>
      </c>
      <c r="AC5277">
        <v>2.6024999999999601</v>
      </c>
      <c r="AD5277">
        <v>-1.1111726808260001</v>
      </c>
      <c r="AE5277">
        <v>-30.9992599999999</v>
      </c>
      <c r="AF5277">
        <v>-3.5680654255294599</v>
      </c>
      <c r="AG5277">
        <v>-1.1111726808260001</v>
      </c>
      <c r="AH5277">
        <v>30.8631065261701</v>
      </c>
      <c r="AI5277">
        <v>92.048313433959095</v>
      </c>
      <c r="AJ5277">
        <v>96.594654686071095</v>
      </c>
      <c r="AK5277">
        <v>31.088537116647998</v>
      </c>
      <c r="AL5277">
        <v>79.132769026296401</v>
      </c>
      <c r="AM5277">
        <v>97.305639641845104</v>
      </c>
      <c r="AN5277">
        <v>0.99999998409365898</v>
      </c>
    </row>
    <row r="5278" spans="1:40" x14ac:dyDescent="0.25">
      <c r="A5278" t="str">
        <f>"20190304155208595"</f>
        <v>20190304155208595</v>
      </c>
      <c r="B5278" t="str">
        <f>"1551685928592731"</f>
        <v>1551685928592731</v>
      </c>
      <c r="C5278" t="s">
        <v>40</v>
      </c>
      <c r="D5278">
        <v>4.780748</v>
      </c>
      <c r="E5278">
        <v>0.5016448</v>
      </c>
      <c r="F5278" t="s">
        <v>41</v>
      </c>
      <c r="G5278">
        <v>-420.34059999999999</v>
      </c>
      <c r="H5278" s="1">
        <v>-2.2498820000000002E-6</v>
      </c>
      <c r="I5278">
        <v>44.622390000000003</v>
      </c>
      <c r="J5278">
        <v>-423.05180000000001</v>
      </c>
      <c r="K5278">
        <v>1.1112390000000001</v>
      </c>
      <c r="L5278">
        <v>76.17783</v>
      </c>
      <c r="M5278">
        <v>-3.005582E-2</v>
      </c>
      <c r="N5278">
        <v>-1.3966610000000001E-2</v>
      </c>
      <c r="O5278">
        <v>-0.99945070000000003</v>
      </c>
      <c r="P5278">
        <v>9.534223E-2</v>
      </c>
      <c r="Q5278">
        <v>0.17621489999999901</v>
      </c>
      <c r="R5278">
        <v>-0.97972360000000003</v>
      </c>
      <c r="S5278">
        <v>0.2583008</v>
      </c>
      <c r="T5278">
        <v>-0.10628079999999999</v>
      </c>
      <c r="U5278">
        <v>-3.0552670000000002</v>
      </c>
      <c r="V5278">
        <v>-0.12502769999999999</v>
      </c>
      <c r="W5278">
        <v>0.1896515</v>
      </c>
      <c r="X5278">
        <v>0.97385849999999996</v>
      </c>
      <c r="Y5278">
        <v>-0.11409950000000001</v>
      </c>
      <c r="Z5278">
        <v>2.0587109999999999E-2</v>
      </c>
      <c r="AA5278">
        <v>0.99325600000000003</v>
      </c>
      <c r="AB5278">
        <v>26</v>
      </c>
      <c r="AC5278">
        <v>2.7112000000000198</v>
      </c>
      <c r="AD5278">
        <v>-1.1112412498819999</v>
      </c>
      <c r="AE5278">
        <v>-31.555440000000001</v>
      </c>
      <c r="AF5278">
        <v>-3.6539937521226999</v>
      </c>
      <c r="AG5278">
        <v>-1.1112412498819999</v>
      </c>
      <c r="AH5278">
        <v>31.421005195303199</v>
      </c>
      <c r="AI5278">
        <v>92.011941749638794</v>
      </c>
      <c r="AJ5278">
        <v>96.633213582301906</v>
      </c>
      <c r="AK5278">
        <v>31.652268401163099</v>
      </c>
      <c r="AL5278">
        <v>79.067553132033396</v>
      </c>
      <c r="AM5278">
        <v>97.315833514461005</v>
      </c>
      <c r="AN5278">
        <v>0.99999999762089498</v>
      </c>
    </row>
    <row r="5279" spans="1:40" x14ac:dyDescent="0.25">
      <c r="A5279" t="str">
        <f>"20190304155208618"</f>
        <v>20190304155208618</v>
      </c>
      <c r="B5279" t="str">
        <f>"1551685928612250"</f>
        <v>1551685928612250</v>
      </c>
      <c r="C5279" t="s">
        <v>40</v>
      </c>
      <c r="D5279">
        <v>4.7781200000000004</v>
      </c>
      <c r="E5279">
        <v>0.50159790000000004</v>
      </c>
      <c r="F5279" t="s">
        <v>41</v>
      </c>
      <c r="G5279">
        <v>-420.22859999999997</v>
      </c>
      <c r="H5279" s="1">
        <v>-1.790719E-6</v>
      </c>
      <c r="I5279">
        <v>43.621540000000003</v>
      </c>
      <c r="J5279">
        <v>-423.05849999999998</v>
      </c>
      <c r="K5279">
        <v>1.1112799999999901</v>
      </c>
      <c r="L5279">
        <v>75.918729999999996</v>
      </c>
      <c r="M5279">
        <v>-2.9136550000000001E-2</v>
      </c>
      <c r="N5279">
        <v>-1.396501E-2</v>
      </c>
      <c r="O5279">
        <v>-0.99947819999999998</v>
      </c>
      <c r="P5279">
        <v>9.6650239999999998E-2</v>
      </c>
      <c r="Q5279">
        <v>0.17670329999999901</v>
      </c>
      <c r="R5279">
        <v>-0.97950789999999999</v>
      </c>
      <c r="S5279">
        <v>0.26492310000000002</v>
      </c>
      <c r="T5279">
        <v>-0.1042778</v>
      </c>
      <c r="U5279">
        <v>-3.0550540000000002</v>
      </c>
      <c r="V5279">
        <v>-0.12544829999999901</v>
      </c>
      <c r="W5279">
        <v>0.19012390000000001</v>
      </c>
      <c r="X5279">
        <v>0.97371229999999998</v>
      </c>
      <c r="Y5279">
        <v>-0.1153301</v>
      </c>
      <c r="Z5279">
        <v>1.9936099999999998E-2</v>
      </c>
      <c r="AA5279">
        <v>0.99312719999999999</v>
      </c>
      <c r="AB5279">
        <v>26</v>
      </c>
      <c r="AC5279">
        <v>2.8298999999999999</v>
      </c>
      <c r="AD5279">
        <v>-1.11128179071899</v>
      </c>
      <c r="AE5279">
        <v>-32.297190000000001</v>
      </c>
      <c r="AF5279">
        <v>-3.7653945467554299</v>
      </c>
      <c r="AG5279">
        <v>-1.11128179071899</v>
      </c>
      <c r="AH5279">
        <v>32.163225450059201</v>
      </c>
      <c r="AI5279">
        <v>91.965444983957397</v>
      </c>
      <c r="AJ5279">
        <v>96.677303350462694</v>
      </c>
      <c r="AK5279">
        <v>32.401947698594498</v>
      </c>
      <c r="AL5279">
        <v>79.039985144171695</v>
      </c>
      <c r="AM5279">
        <v>97.341266506225594</v>
      </c>
      <c r="AN5279">
        <v>1.0000000082476901</v>
      </c>
    </row>
    <row r="5280" spans="1:40" x14ac:dyDescent="0.25">
      <c r="A5280" t="str">
        <f>"20190304155208640"</f>
        <v>20190304155208640</v>
      </c>
      <c r="B5280" t="str">
        <f>"1551685928632747"</f>
        <v>1551685928632747</v>
      </c>
      <c r="C5280" t="s">
        <v>40</v>
      </c>
      <c r="D5280">
        <v>4.7924989999999896</v>
      </c>
      <c r="E5280">
        <v>0.50147659999999905</v>
      </c>
      <c r="F5280" t="s">
        <v>41</v>
      </c>
      <c r="G5280">
        <v>-420.17399999999998</v>
      </c>
      <c r="H5280" s="1">
        <v>-1.57425E-6</v>
      </c>
      <c r="I5280">
        <v>43.150790000000001</v>
      </c>
      <c r="J5280">
        <v>-423.0652</v>
      </c>
      <c r="K5280">
        <v>1.1113170000000001</v>
      </c>
      <c r="L5280">
        <v>75.651579999999996</v>
      </c>
      <c r="M5280">
        <v>-2.814206E-2</v>
      </c>
      <c r="N5280">
        <v>-1.396327E-2</v>
      </c>
      <c r="O5280">
        <v>-0.99950649999999996</v>
      </c>
      <c r="P5280">
        <v>9.7867549999999998E-2</v>
      </c>
      <c r="Q5280">
        <v>0.1774461</v>
      </c>
      <c r="R5280">
        <v>-0.97925240000000002</v>
      </c>
      <c r="S5280">
        <v>0.26892090000000002</v>
      </c>
      <c r="T5280">
        <v>-0.103604</v>
      </c>
      <c r="U5280">
        <v>-3.054932</v>
      </c>
      <c r="V5280">
        <v>-0.12570319999999999</v>
      </c>
      <c r="W5280">
        <v>0.1908523</v>
      </c>
      <c r="X5280">
        <v>0.97353690000000004</v>
      </c>
      <c r="Y5280">
        <v>-0.1156354</v>
      </c>
      <c r="Z5280">
        <v>1.9719469999999999E-2</v>
      </c>
      <c r="AA5280">
        <v>0.99309590000000003</v>
      </c>
      <c r="AB5280">
        <v>26</v>
      </c>
      <c r="AC5280">
        <v>2.89119999999996</v>
      </c>
      <c r="AD5280">
        <v>-1.11131857425</v>
      </c>
      <c r="AE5280">
        <v>-32.500790000000002</v>
      </c>
      <c r="AF5280">
        <v>-3.8003744264668602</v>
      </c>
      <c r="AG5280">
        <v>-1.11131857425</v>
      </c>
      <c r="AH5280">
        <v>32.3689940479832</v>
      </c>
      <c r="AI5280">
        <v>91.952949085322203</v>
      </c>
      <c r="AJ5280">
        <v>96.696318633065204</v>
      </c>
      <c r="AK5280">
        <v>32.6102690947681</v>
      </c>
      <c r="AL5280">
        <v>78.997472325121905</v>
      </c>
      <c r="AM5280">
        <v>97.357330902399596</v>
      </c>
      <c r="AN5280">
        <v>0.99999999528356998</v>
      </c>
    </row>
    <row r="5281" spans="1:40" x14ac:dyDescent="0.25">
      <c r="A5281" t="str">
        <f>"20190304155208663"</f>
        <v>20190304155208663</v>
      </c>
      <c r="B5281" t="str">
        <f>"1551685928652268"</f>
        <v>1551685928652268</v>
      </c>
      <c r="C5281" t="s">
        <v>40</v>
      </c>
      <c r="D5281">
        <v>4.8050709999999999</v>
      </c>
      <c r="E5281">
        <v>0.50138870000000002</v>
      </c>
      <c r="F5281" t="s">
        <v>41</v>
      </c>
      <c r="G5281">
        <v>-420.07190000000003</v>
      </c>
      <c r="H5281" s="1">
        <v>-1.187711E-6</v>
      </c>
      <c r="I5281">
        <v>42.313099999999999</v>
      </c>
      <c r="J5281">
        <v>-423.07150000000001</v>
      </c>
      <c r="K5281">
        <v>1.1113390000000001</v>
      </c>
      <c r="L5281">
        <v>75.389309999999995</v>
      </c>
      <c r="M5281">
        <v>-2.7120990000000001E-2</v>
      </c>
      <c r="N5281">
        <v>-1.396144E-2</v>
      </c>
      <c r="O5281">
        <v>-0.9995347</v>
      </c>
      <c r="P5281">
        <v>9.9390770000000003E-2</v>
      </c>
      <c r="Q5281">
        <v>0.17772939999999901</v>
      </c>
      <c r="R5281">
        <v>-0.97904769999999997</v>
      </c>
      <c r="S5281">
        <v>0.27426149999999999</v>
      </c>
      <c r="T5281">
        <v>-0.1018231</v>
      </c>
      <c r="U5281">
        <v>-3.0545960000000001</v>
      </c>
      <c r="V5281">
        <v>-0.1262363</v>
      </c>
      <c r="W5281">
        <v>0.19112319999999999</v>
      </c>
      <c r="X5281">
        <v>0.97341480000000002</v>
      </c>
      <c r="Y5281">
        <v>-0.1163542</v>
      </c>
      <c r="Z5281">
        <v>1.9143899999999998E-2</v>
      </c>
      <c r="AA5281">
        <v>0.99302330000000005</v>
      </c>
      <c r="AB5281">
        <v>26</v>
      </c>
      <c r="AC5281">
        <v>2.9995999999999801</v>
      </c>
      <c r="AD5281">
        <v>-1.1113401877109901</v>
      </c>
      <c r="AE5281">
        <v>-33.076210000000003</v>
      </c>
      <c r="AF5281">
        <v>-3.8912862590273698</v>
      </c>
      <c r="AG5281">
        <v>-1.1113401877109901</v>
      </c>
      <c r="AH5281">
        <v>32.945791050550298</v>
      </c>
      <c r="AI5281">
        <v>91.918664230104</v>
      </c>
      <c r="AJ5281">
        <v>96.736098851495498</v>
      </c>
      <c r="AK5281">
        <v>33.193407985758803</v>
      </c>
      <c r="AL5281">
        <v>78.981660181665305</v>
      </c>
      <c r="AM5281">
        <v>97.389105397944107</v>
      </c>
      <c r="AN5281">
        <v>1.00000002693748</v>
      </c>
    </row>
    <row r="5282" spans="1:40" x14ac:dyDescent="0.25">
      <c r="A5282" t="str">
        <f>"20190304155208685"</f>
        <v>20190304155208685</v>
      </c>
      <c r="B5282" t="str">
        <f>"1551685928682523"</f>
        <v>1551685928682523</v>
      </c>
      <c r="C5282" t="s">
        <v>40</v>
      </c>
      <c r="D5282">
        <v>4.7747070000000003</v>
      </c>
      <c r="E5282">
        <v>0.50121949999999904</v>
      </c>
      <c r="F5282" t="s">
        <v>41</v>
      </c>
      <c r="G5282">
        <v>-420.0093</v>
      </c>
      <c r="H5282" s="1">
        <v>-1.0109830000000001E-6</v>
      </c>
      <c r="I5282">
        <v>41.939929999999997</v>
      </c>
      <c r="J5282">
        <v>-423.07729999999998</v>
      </c>
      <c r="K5282">
        <v>1.1113630000000001</v>
      </c>
      <c r="L5282">
        <v>75.135130000000004</v>
      </c>
      <c r="M5282">
        <v>-2.6091949999999999E-2</v>
      </c>
      <c r="N5282">
        <v>-1.3959600000000001E-2</v>
      </c>
      <c r="O5282">
        <v>-0.99956230000000001</v>
      </c>
      <c r="P5282">
        <v>0.1011951</v>
      </c>
      <c r="Q5282">
        <v>0.17838490000000001</v>
      </c>
      <c r="R5282">
        <v>-0.97874329999999998</v>
      </c>
      <c r="S5282">
        <v>0.27960210000000002</v>
      </c>
      <c r="T5282">
        <v>-0.10147539999999999</v>
      </c>
      <c r="U5282">
        <v>-3.05423</v>
      </c>
      <c r="V5282">
        <v>-0.12703980000000001</v>
      </c>
      <c r="W5282">
        <v>0.19176489999999999</v>
      </c>
      <c r="X5282">
        <v>0.97318400000000005</v>
      </c>
      <c r="Y5282">
        <v>-0.1170645</v>
      </c>
      <c r="Z5282">
        <v>1.9034369999999998E-2</v>
      </c>
      <c r="AA5282">
        <v>0.99294190000000004</v>
      </c>
      <c r="AB5282">
        <v>26</v>
      </c>
      <c r="AC5282">
        <v>3.0679999999999801</v>
      </c>
      <c r="AD5282">
        <v>-1.1113640109830001</v>
      </c>
      <c r="AE5282">
        <v>-33.1952</v>
      </c>
      <c r="AF5282">
        <v>-3.9288005482319401</v>
      </c>
      <c r="AG5282">
        <v>-1.1113640109830001</v>
      </c>
      <c r="AH5282">
        <v>33.067087948847202</v>
      </c>
      <c r="AI5282">
        <v>91.911515872239306</v>
      </c>
      <c r="AJ5282">
        <v>96.775720452884201</v>
      </c>
      <c r="AK5282">
        <v>33.3182068714613</v>
      </c>
      <c r="AL5282">
        <v>78.944200227678294</v>
      </c>
      <c r="AM5282">
        <v>97.437356431659495</v>
      </c>
      <c r="AN5282">
        <v>0.99999999275602502</v>
      </c>
    </row>
    <row r="5283" spans="1:40" x14ac:dyDescent="0.25">
      <c r="A5283" t="str">
        <f>"20190304155208707"</f>
        <v>20190304155208707</v>
      </c>
      <c r="B5283" t="str">
        <f>"1551685928702042"</f>
        <v>1551685928702042</v>
      </c>
      <c r="C5283" t="s">
        <v>40</v>
      </c>
      <c r="D5283">
        <v>4.7948769999999996</v>
      </c>
      <c r="E5283">
        <v>0.50115329999999902</v>
      </c>
      <c r="F5283" t="s">
        <v>41</v>
      </c>
      <c r="G5283">
        <v>-419.90109999999999</v>
      </c>
      <c r="H5283" s="1">
        <v>-7.7518249999999899E-7</v>
      </c>
      <c r="I5283">
        <v>41.398829999999997</v>
      </c>
      <c r="J5283">
        <v>-423.0831</v>
      </c>
      <c r="K5283">
        <v>1.111397</v>
      </c>
      <c r="L5283">
        <v>74.865110000000001</v>
      </c>
      <c r="M5283">
        <v>-2.4961250000000001E-2</v>
      </c>
      <c r="N5283">
        <v>-1.395765E-2</v>
      </c>
      <c r="O5283">
        <v>-0.99959120000000001</v>
      </c>
      <c r="P5283">
        <v>0.1028435</v>
      </c>
      <c r="Q5283">
        <v>0.17877299999999999</v>
      </c>
      <c r="R5283">
        <v>-0.97850079999999995</v>
      </c>
      <c r="S5283">
        <v>0.28750609999999999</v>
      </c>
      <c r="T5283">
        <v>-0.10059940000000001</v>
      </c>
      <c r="U5283">
        <v>-3.0537719999999999</v>
      </c>
      <c r="V5283">
        <v>-0.1275908</v>
      </c>
      <c r="W5283">
        <v>0.1921397</v>
      </c>
      <c r="X5283">
        <v>0.97303799999999996</v>
      </c>
      <c r="Y5283">
        <v>-0.11850280000000001</v>
      </c>
      <c r="Z5283">
        <v>1.8751480000000001E-2</v>
      </c>
      <c r="AA5283">
        <v>0.99277660000000001</v>
      </c>
      <c r="AB5283">
        <v>26</v>
      </c>
      <c r="AC5283">
        <v>3.1820000000000102</v>
      </c>
      <c r="AD5283">
        <v>-1.1113977751824999</v>
      </c>
      <c r="AE5283">
        <v>-33.466279999999998</v>
      </c>
      <c r="AF5283">
        <v>-4.01206459459637</v>
      </c>
      <c r="AG5283">
        <v>-1.1113977751824999</v>
      </c>
      <c r="AH5283">
        <v>33.339975899787802</v>
      </c>
      <c r="AI5283">
        <v>91.895598559560597</v>
      </c>
      <c r="AJ5283">
        <v>96.861861296450499</v>
      </c>
      <c r="AK5283">
        <v>33.598896712902999</v>
      </c>
      <c r="AL5283">
        <v>78.922319096195693</v>
      </c>
      <c r="AM5283">
        <v>97.470358524563096</v>
      </c>
      <c r="AN5283">
        <v>1.0000000130023601</v>
      </c>
    </row>
    <row r="5284" spans="1:40" x14ac:dyDescent="0.25">
      <c r="A5284" t="str">
        <f>"20190304155208729"</f>
        <v>20190304155208729</v>
      </c>
      <c r="B5284" t="str">
        <f>"1551685928722542"</f>
        <v>1551685928722542</v>
      </c>
      <c r="C5284" t="s">
        <v>40</v>
      </c>
      <c r="D5284">
        <v>4.7887380000000004</v>
      </c>
      <c r="E5284">
        <v>0.50108839999999999</v>
      </c>
      <c r="F5284" t="s">
        <v>41</v>
      </c>
      <c r="G5284">
        <v>-419.82429999999999</v>
      </c>
      <c r="H5284" s="1">
        <v>-5.660996E-7</v>
      </c>
      <c r="I5284">
        <v>40.8797</v>
      </c>
      <c r="J5284">
        <v>-423.0881</v>
      </c>
      <c r="K5284">
        <v>1.1114299999999999</v>
      </c>
      <c r="L5284">
        <v>74.615139999999997</v>
      </c>
      <c r="M5284">
        <v>-2.388171E-2</v>
      </c>
      <c r="N5284">
        <v>-1.39559E-2</v>
      </c>
      <c r="O5284">
        <v>-0.99961750000000005</v>
      </c>
      <c r="P5284">
        <v>0.1040418</v>
      </c>
      <c r="Q5284">
        <v>0.1790013</v>
      </c>
      <c r="R5284">
        <v>-0.97833219999999999</v>
      </c>
      <c r="S5284">
        <v>0.29278559999999998</v>
      </c>
      <c r="T5284">
        <v>-9.9853040000000004E-2</v>
      </c>
      <c r="U5284">
        <v>-3.0534059999999998</v>
      </c>
      <c r="V5284">
        <v>-0.12774250000000001</v>
      </c>
      <c r="W5284">
        <v>0.1923578</v>
      </c>
      <c r="X5284">
        <v>0.97297500000000003</v>
      </c>
      <c r="Y5284">
        <v>-0.1191432</v>
      </c>
      <c r="Z5284">
        <v>1.851233E-2</v>
      </c>
      <c r="AA5284">
        <v>0.99270449999999999</v>
      </c>
      <c r="AB5284">
        <v>26</v>
      </c>
      <c r="AC5284">
        <v>3.2637999999999998</v>
      </c>
      <c r="AD5284">
        <v>-1.1114305660996</v>
      </c>
      <c r="AE5284">
        <v>-33.735439999999997</v>
      </c>
      <c r="AF5284">
        <v>-4.0642368815815004</v>
      </c>
      <c r="AG5284">
        <v>-1.1114305660996</v>
      </c>
      <c r="AH5284">
        <v>33.611719749560997</v>
      </c>
      <c r="AI5284">
        <v>91.880210102052899</v>
      </c>
      <c r="AJ5284">
        <v>96.894576560368407</v>
      </c>
      <c r="AK5284">
        <v>33.874784189067498</v>
      </c>
      <c r="AL5284">
        <v>78.909585321637095</v>
      </c>
      <c r="AM5284">
        <v>97.479618757192597</v>
      </c>
      <c r="AN5284">
        <v>1.00000001007604</v>
      </c>
    </row>
    <row r="5285" spans="1:40" x14ac:dyDescent="0.25">
      <c r="A5285" t="str">
        <f>"20190304155208751"</f>
        <v>20190304155208751</v>
      </c>
      <c r="B5285" t="str">
        <f>"1551685928742059"</f>
        <v>1551685928742059</v>
      </c>
      <c r="C5285" t="s">
        <v>40</v>
      </c>
      <c r="D5285">
        <v>4.7956940000000001</v>
      </c>
      <c r="E5285">
        <v>0.50104780000000004</v>
      </c>
      <c r="F5285" t="s">
        <v>41</v>
      </c>
      <c r="G5285">
        <v>-419.77969999999999</v>
      </c>
      <c r="H5285" s="1">
        <v>-4.529005E-7</v>
      </c>
      <c r="I5285">
        <v>40.597380000000001</v>
      </c>
      <c r="J5285">
        <v>-423.09309999999999</v>
      </c>
      <c r="K5285">
        <v>1.111451</v>
      </c>
      <c r="L5285">
        <v>74.351780000000005</v>
      </c>
      <c r="M5285">
        <v>-2.271952E-2</v>
      </c>
      <c r="N5285">
        <v>-1.395392E-2</v>
      </c>
      <c r="O5285">
        <v>-0.99964459999999999</v>
      </c>
      <c r="P5285">
        <v>0.1050773</v>
      </c>
      <c r="Q5285">
        <v>0.17966550000000001</v>
      </c>
      <c r="R5285">
        <v>-0.97809970000000002</v>
      </c>
      <c r="S5285">
        <v>0.29693599999999998</v>
      </c>
      <c r="T5285">
        <v>-9.9751110000000004E-2</v>
      </c>
      <c r="U5285">
        <v>-3.0531009999999998</v>
      </c>
      <c r="V5285">
        <v>-0.12764829999999999</v>
      </c>
      <c r="W5285">
        <v>0.19301280000000001</v>
      </c>
      <c r="X5285">
        <v>0.97285759999999999</v>
      </c>
      <c r="Y5285">
        <v>-0.11933530000000001</v>
      </c>
      <c r="Z5285">
        <v>1.8483800000000002E-2</v>
      </c>
      <c r="AA5285">
        <v>0.99268190000000001</v>
      </c>
      <c r="AB5285">
        <v>26</v>
      </c>
      <c r="AC5285">
        <v>3.3134000000000001</v>
      </c>
      <c r="AD5285">
        <v>-1.1114514529005</v>
      </c>
      <c r="AE5285">
        <v>-33.754399999999997</v>
      </c>
      <c r="AF5285">
        <v>-4.07512673426438</v>
      </c>
      <c r="AG5285">
        <v>-1.1114514529005</v>
      </c>
      <c r="AH5285">
        <v>33.634280227654102</v>
      </c>
      <c r="AI5285">
        <v>91.878930771943899</v>
      </c>
      <c r="AJ5285">
        <v>96.908279553559296</v>
      </c>
      <c r="AK5285">
        <v>33.898477674739802</v>
      </c>
      <c r="AL5285">
        <v>78.871339433977099</v>
      </c>
      <c r="AM5285">
        <v>97.475057260682306</v>
      </c>
      <c r="AN5285">
        <v>0.99999996966724403</v>
      </c>
    </row>
    <row r="5286" spans="1:40" x14ac:dyDescent="0.25">
      <c r="A5286" t="str">
        <f>"20190304155208774"</f>
        <v>20190304155208774</v>
      </c>
      <c r="B5286" t="str">
        <f>"1551685928762556"</f>
        <v>1551685928762556</v>
      </c>
      <c r="C5286" t="s">
        <v>40</v>
      </c>
      <c r="D5286">
        <v>4.8535360000000001</v>
      </c>
      <c r="E5286">
        <v>0.50099839999999995</v>
      </c>
      <c r="F5286" t="s">
        <v>41</v>
      </c>
      <c r="G5286">
        <v>-419.69799999999998</v>
      </c>
      <c r="H5286" s="1">
        <v>-1.692062E-7</v>
      </c>
      <c r="I5286">
        <v>39.902340000000002</v>
      </c>
      <c r="J5286">
        <v>-423.09739999999999</v>
      </c>
      <c r="K5286">
        <v>1.1114679999999999</v>
      </c>
      <c r="L5286">
        <v>74.103880000000004</v>
      </c>
      <c r="M5286">
        <v>-2.160364E-2</v>
      </c>
      <c r="N5286">
        <v>-1.3951949999999999E-2</v>
      </c>
      <c r="O5286">
        <v>-0.99966940000000004</v>
      </c>
      <c r="P5286">
        <v>0.1061526</v>
      </c>
      <c r="Q5286">
        <v>0.179927799999999</v>
      </c>
      <c r="R5286">
        <v>-0.97793589999999997</v>
      </c>
      <c r="S5286">
        <v>0.3008728</v>
      </c>
      <c r="T5286">
        <v>-9.849811E-2</v>
      </c>
      <c r="U5286">
        <v>-3.0529480000000002</v>
      </c>
      <c r="V5286">
        <v>-0.12763849999999999</v>
      </c>
      <c r="W5286">
        <v>0.19326779999999999</v>
      </c>
      <c r="X5286">
        <v>0.97280829999999996</v>
      </c>
      <c r="Y5286">
        <v>-0.1195008</v>
      </c>
      <c r="Z5286">
        <v>1.807947E-2</v>
      </c>
      <c r="AA5286">
        <v>0.99266949999999998</v>
      </c>
      <c r="AB5286">
        <v>26</v>
      </c>
      <c r="AC5286">
        <v>3.3993999999999498</v>
      </c>
      <c r="AD5286">
        <v>-1.1114681692061901</v>
      </c>
      <c r="AE5286">
        <v>-34.201540000000001</v>
      </c>
      <c r="AF5286">
        <v>-4.1332336669748297</v>
      </c>
      <c r="AG5286">
        <v>-1.1114681692061901</v>
      </c>
      <c r="AH5286">
        <v>34.084465457060404</v>
      </c>
      <c r="AI5286">
        <v>91.854136156511601</v>
      </c>
      <c r="AJ5286">
        <v>96.9141814253353</v>
      </c>
      <c r="AK5286">
        <v>34.352143565293197</v>
      </c>
      <c r="AL5286">
        <v>78.856449075525404</v>
      </c>
      <c r="AM5286">
        <v>97.4748643729788</v>
      </c>
      <c r="AN5286">
        <v>1.00000000887398</v>
      </c>
    </row>
    <row r="5287" spans="1:40" x14ac:dyDescent="0.25">
      <c r="A5287" t="str">
        <f>"20190304155208796"</f>
        <v>20190304155208796</v>
      </c>
      <c r="B5287" t="str">
        <f>"1551685928792811"</f>
        <v>1551685928792811</v>
      </c>
      <c r="C5287" t="s">
        <v>40</v>
      </c>
      <c r="D5287">
        <v>4.9669210000000001</v>
      </c>
      <c r="E5287">
        <v>0.50102570000000002</v>
      </c>
      <c r="F5287" t="s">
        <v>41</v>
      </c>
      <c r="G5287">
        <v>-419.66269999999997</v>
      </c>
      <c r="H5287" s="1">
        <v>-8.64418699999999E-8</v>
      </c>
      <c r="I5287">
        <v>39.638359999999999</v>
      </c>
      <c r="J5287">
        <v>-423.10180000000003</v>
      </c>
      <c r="K5287">
        <v>1.1114759999999999</v>
      </c>
      <c r="L5287">
        <v>73.839200000000005</v>
      </c>
      <c r="M5287">
        <v>-2.0386169999999999E-2</v>
      </c>
      <c r="N5287">
        <v>-1.394981E-2</v>
      </c>
      <c r="O5287">
        <v>-0.999695</v>
      </c>
      <c r="P5287">
        <v>0.10718660000000001</v>
      </c>
      <c r="Q5287">
        <v>0.18028430000000001</v>
      </c>
      <c r="R5287">
        <v>-0.97775699999999999</v>
      </c>
      <c r="S5287">
        <v>0.30422969999999999</v>
      </c>
      <c r="T5287">
        <v>-9.8447679999999996E-2</v>
      </c>
      <c r="U5287">
        <v>-3.052765</v>
      </c>
      <c r="V5287">
        <v>-0.12748809999999999</v>
      </c>
      <c r="W5287">
        <v>0.19361729999999999</v>
      </c>
      <c r="X5287">
        <v>0.97275849999999997</v>
      </c>
      <c r="Y5287">
        <v>-0.1193785</v>
      </c>
      <c r="Z5287">
        <v>1.806756E-2</v>
      </c>
      <c r="AA5287">
        <v>0.99268440000000002</v>
      </c>
      <c r="AB5287">
        <v>26</v>
      </c>
      <c r="AC5287">
        <v>3.43910000000005</v>
      </c>
      <c r="AD5287">
        <v>-1.11147608644187</v>
      </c>
      <c r="AE5287">
        <v>-34.200839999999999</v>
      </c>
      <c r="AF5287">
        <v>-4.1313573705076401</v>
      </c>
      <c r="AG5287">
        <v>-1.11147608644187</v>
      </c>
      <c r="AH5287">
        <v>34.087972413743003</v>
      </c>
      <c r="AI5287">
        <v>91.853973678756006</v>
      </c>
      <c r="AJ5287">
        <v>96.910368937224106</v>
      </c>
      <c r="AK5287">
        <v>34.355397772310603</v>
      </c>
      <c r="AL5287">
        <v>78.836038432703702</v>
      </c>
      <c r="AM5287">
        <v>97.466533873310198</v>
      </c>
      <c r="AN5287">
        <v>0.99999998691157399</v>
      </c>
    </row>
    <row r="5288" spans="1:40" x14ac:dyDescent="0.25">
      <c r="A5288" t="str">
        <f>"20190304155208820"</f>
        <v>20190304155208820</v>
      </c>
      <c r="B5288" t="str">
        <f>"1551685928812331"</f>
        <v>1551685928812331</v>
      </c>
      <c r="C5288" t="s">
        <v>40</v>
      </c>
      <c r="D5288">
        <v>4.7657059999999998</v>
      </c>
      <c r="E5288">
        <v>0.52439049999999998</v>
      </c>
      <c r="F5288" t="s">
        <v>77</v>
      </c>
      <c r="G5288">
        <v>-419.60579999999999</v>
      </c>
      <c r="H5288" s="1">
        <v>-4.1860969999999998E-7</v>
      </c>
      <c r="I5288">
        <v>39.102589999999999</v>
      </c>
      <c r="J5288">
        <v>-423.10579999999999</v>
      </c>
      <c r="K5288">
        <v>1.1114889999999999</v>
      </c>
      <c r="L5288">
        <v>73.572269999999904</v>
      </c>
      <c r="M5288">
        <v>-1.9133850000000001E-2</v>
      </c>
      <c r="N5288">
        <v>-1.3947630000000001E-2</v>
      </c>
      <c r="O5288">
        <v>-0.99971989999999999</v>
      </c>
      <c r="P5288">
        <v>0.10807700000000001</v>
      </c>
      <c r="Q5288">
        <v>0.18091260000000001</v>
      </c>
      <c r="R5288">
        <v>-0.9775431</v>
      </c>
      <c r="S5288">
        <v>0.30722050000000001</v>
      </c>
      <c r="T5288">
        <v>-9.7674250000000004E-2</v>
      </c>
      <c r="U5288">
        <v>-3.0525820000000001</v>
      </c>
      <c r="V5288">
        <v>-0.1271591</v>
      </c>
      <c r="W5288">
        <v>0.19423950000000001</v>
      </c>
      <c r="X5288">
        <v>0.97267749999999997</v>
      </c>
      <c r="Y5288">
        <v>-0.1191043</v>
      </c>
      <c r="Z5288">
        <v>1.782108E-2</v>
      </c>
      <c r="AA5288">
        <v>0.99272179999999999</v>
      </c>
      <c r="AB5288">
        <v>26</v>
      </c>
      <c r="AC5288">
        <v>3.5</v>
      </c>
      <c r="AD5288">
        <v>-1.1114894186097</v>
      </c>
      <c r="AE5288">
        <v>-34.469679999999897</v>
      </c>
      <c r="AF5288">
        <v>-4.1546849898271399</v>
      </c>
      <c r="AG5288">
        <v>-1.1114894186097</v>
      </c>
      <c r="AH5288">
        <v>34.361030594881001</v>
      </c>
      <c r="AI5288">
        <v>91.839335165395099</v>
      </c>
      <c r="AJ5288">
        <v>96.894319359037098</v>
      </c>
      <c r="AK5288">
        <v>34.629138592155698</v>
      </c>
      <c r="AL5288">
        <v>78.799698923530102</v>
      </c>
      <c r="AM5288">
        <v>97.448095294296394</v>
      </c>
      <c r="AN5288">
        <v>0.99999996953965398</v>
      </c>
    </row>
    <row r="5289" spans="1:40" x14ac:dyDescent="0.25">
      <c r="A5289" t="str">
        <f>"20190304155208842"</f>
        <v>20190304155208842</v>
      </c>
      <c r="B5289" t="str">
        <f>"1551685928832827"</f>
        <v>1551685928832827</v>
      </c>
      <c r="C5289" t="s">
        <v>40</v>
      </c>
      <c r="D5289">
        <v>4.7791290000000002</v>
      </c>
      <c r="E5289">
        <v>0.53847739999999999</v>
      </c>
      <c r="F5289" t="s">
        <v>92</v>
      </c>
      <c r="G5289">
        <v>-420.11360000000002</v>
      </c>
      <c r="H5289">
        <v>0.33334819999999998</v>
      </c>
      <c r="I5289">
        <v>0.4762344</v>
      </c>
      <c r="J5289">
        <v>-423.10930000000002</v>
      </c>
      <c r="K5289">
        <v>1.1114999999999999</v>
      </c>
      <c r="L5289">
        <v>73.314119999999903</v>
      </c>
      <c r="M5289">
        <v>-1.7903229999999999E-2</v>
      </c>
      <c r="N5289">
        <v>-1.394551E-2</v>
      </c>
      <c r="O5289">
        <v>-0.99974249999999998</v>
      </c>
      <c r="P5289">
        <v>0.10929120000000001</v>
      </c>
      <c r="Q5289">
        <v>0.18050559999999999</v>
      </c>
      <c r="R5289">
        <v>-0.97748360000000001</v>
      </c>
      <c r="S5289">
        <v>0.12530519999999901</v>
      </c>
      <c r="T5289">
        <v>-3.2587890000000001E-2</v>
      </c>
      <c r="U5289">
        <v>-3.061096</v>
      </c>
      <c r="V5289">
        <v>-0.1271766</v>
      </c>
      <c r="W5289">
        <v>0.19382740000000001</v>
      </c>
      <c r="X5289">
        <v>0.97275750000000005</v>
      </c>
      <c r="Y5289">
        <v>-5.877363E-2</v>
      </c>
      <c r="Z5289">
        <v>-3.3218560000000002E-3</v>
      </c>
      <c r="AA5289">
        <v>0.99826579999999998</v>
      </c>
      <c r="AB5289">
        <v>26</v>
      </c>
      <c r="AC5289">
        <v>2.9956999999999998</v>
      </c>
      <c r="AD5289">
        <v>-0.77815179999999995</v>
      </c>
      <c r="AE5289">
        <v>-72.837885599999893</v>
      </c>
      <c r="AF5289">
        <v>-4.2988901434130602</v>
      </c>
      <c r="AG5289">
        <v>-0.77815179999999995</v>
      </c>
      <c r="AH5289">
        <v>72.764280434875104</v>
      </c>
      <c r="AI5289">
        <v>90.611639619424196</v>
      </c>
      <c r="AJ5289">
        <v>93.381085978927601</v>
      </c>
      <c r="AK5289">
        <v>72.895311810116596</v>
      </c>
      <c r="AL5289">
        <v>78.823768873444294</v>
      </c>
      <c r="AM5289">
        <v>97.448503072896997</v>
      </c>
      <c r="AN5289">
        <v>1.00000005119228</v>
      </c>
    </row>
    <row r="5290" spans="1:40" x14ac:dyDescent="0.25">
      <c r="A5290" t="str">
        <f>"20190304155208866"</f>
        <v>20190304155208866</v>
      </c>
      <c r="B5290" t="str">
        <f>"1551685928862107"</f>
        <v>1551685928862107</v>
      </c>
      <c r="C5290" t="s">
        <v>40</v>
      </c>
      <c r="D5290">
        <v>4.764742</v>
      </c>
      <c r="E5290">
        <v>0.54018650000000001</v>
      </c>
      <c r="F5290" t="s">
        <v>92</v>
      </c>
      <c r="G5290">
        <v>-422.68430000000001</v>
      </c>
      <c r="H5290">
        <v>1.913902</v>
      </c>
      <c r="I5290">
        <v>0.4500923</v>
      </c>
      <c r="J5290">
        <v>-423.11259999999999</v>
      </c>
      <c r="K5290">
        <v>1.1115159999999999</v>
      </c>
      <c r="L5290">
        <v>73.050079999999994</v>
      </c>
      <c r="M5290">
        <v>-1.662754E-2</v>
      </c>
      <c r="N5290">
        <v>-1.3943270000000001E-2</v>
      </c>
      <c r="O5290">
        <v>-0.99976469999999995</v>
      </c>
      <c r="P5290">
        <v>0.11018120000000001</v>
      </c>
      <c r="Q5290">
        <v>0.180311</v>
      </c>
      <c r="R5290">
        <v>-0.97741940000000005</v>
      </c>
      <c r="S5290">
        <v>1.7852779999999999E-2</v>
      </c>
      <c r="T5290">
        <v>3.3706310000000003E-2</v>
      </c>
      <c r="U5290">
        <v>-3.060883</v>
      </c>
      <c r="V5290">
        <v>-0.12682489999999999</v>
      </c>
      <c r="W5290">
        <v>0.19362950000000001</v>
      </c>
      <c r="X5290">
        <v>0.97284280000000001</v>
      </c>
      <c r="Y5290">
        <v>-2.2458249999999999E-2</v>
      </c>
      <c r="Z5290">
        <v>-2.4949550000000001E-2</v>
      </c>
      <c r="AA5290">
        <v>0.9994364</v>
      </c>
      <c r="AB5290">
        <v>26</v>
      </c>
      <c r="AC5290">
        <v>0.42829999999997798</v>
      </c>
      <c r="AD5290">
        <v>0.80238599999999904</v>
      </c>
      <c r="AE5290">
        <v>-72.5999877</v>
      </c>
      <c r="AF5290">
        <v>-1.63531738310504</v>
      </c>
      <c r="AG5290">
        <v>0.80238599999999904</v>
      </c>
      <c r="AH5290">
        <v>72.573962144030403</v>
      </c>
      <c r="AI5290">
        <v>89.3667178766879</v>
      </c>
      <c r="AJ5290">
        <v>91.290833907518206</v>
      </c>
      <c r="AK5290">
        <v>72.596818577122505</v>
      </c>
      <c r="AL5290">
        <v>78.835326383195905</v>
      </c>
      <c r="AM5290">
        <v>97.427490956057497</v>
      </c>
      <c r="AN5290">
        <v>1.00000002602104</v>
      </c>
    </row>
    <row r="5291" spans="1:40" x14ac:dyDescent="0.25">
      <c r="A5291" t="str">
        <f>"20190304155208885"</f>
        <v>20190304155208885</v>
      </c>
      <c r="B5291" t="str">
        <f>"1551685928882603"</f>
        <v>1551685928882603</v>
      </c>
      <c r="C5291" t="s">
        <v>40</v>
      </c>
      <c r="D5291">
        <v>4.7721070000000001</v>
      </c>
      <c r="E5291">
        <v>0.540439</v>
      </c>
      <c r="F5291" t="s">
        <v>92</v>
      </c>
      <c r="G5291">
        <v>-422.95850000000002</v>
      </c>
      <c r="H5291">
        <v>1.9550149999999999</v>
      </c>
      <c r="I5291">
        <v>0.44730569999999997</v>
      </c>
      <c r="J5291">
        <v>-423.11529999999999</v>
      </c>
      <c r="K5291">
        <v>1.111526</v>
      </c>
      <c r="L5291">
        <v>72.813419999999994</v>
      </c>
      <c r="M5291">
        <v>-1.5470350000000001E-2</v>
      </c>
      <c r="N5291">
        <v>-1.3941189999999999E-2</v>
      </c>
      <c r="O5291">
        <v>-0.99978330000000004</v>
      </c>
      <c r="P5291">
        <v>0.11188670000000001</v>
      </c>
      <c r="Q5291">
        <v>0.18024780000000001</v>
      </c>
      <c r="R5291">
        <v>-0.97723709999999997</v>
      </c>
      <c r="S5291">
        <v>6.5002439999999996E-3</v>
      </c>
      <c r="T5291">
        <v>3.5573239999999999E-2</v>
      </c>
      <c r="U5291">
        <v>-3.0620120000000002</v>
      </c>
      <c r="V5291">
        <v>-0.1274024</v>
      </c>
      <c r="W5291">
        <v>0.19355929999999999</v>
      </c>
      <c r="X5291">
        <v>0.97278129999999996</v>
      </c>
      <c r="Y5291">
        <v>-1.7593439999999998E-2</v>
      </c>
      <c r="Z5291">
        <v>-2.555317E-2</v>
      </c>
      <c r="AA5291">
        <v>0.99951860000000003</v>
      </c>
      <c r="AB5291">
        <v>26</v>
      </c>
      <c r="AC5291">
        <v>0.15679999999997499</v>
      </c>
      <c r="AD5291">
        <v>0.84348900000000004</v>
      </c>
      <c r="AE5291">
        <v>-72.366114299999893</v>
      </c>
      <c r="AF5291">
        <v>-1.27624558144477</v>
      </c>
      <c r="AG5291">
        <v>0.84348900000000004</v>
      </c>
      <c r="AH5291">
        <v>72.345197662848605</v>
      </c>
      <c r="AI5291">
        <v>89.332109741283304</v>
      </c>
      <c r="AJ5291">
        <v>91.010653142272403</v>
      </c>
      <c r="AK5291">
        <v>72.361370228554406</v>
      </c>
      <c r="AL5291">
        <v>78.839425992241104</v>
      </c>
      <c r="AM5291">
        <v>97.461398384464999</v>
      </c>
      <c r="AN5291">
        <v>1.0000000158859601</v>
      </c>
    </row>
    <row r="5292" spans="1:40" x14ac:dyDescent="0.25">
      <c r="A5292" t="str">
        <f>"20190304155208908"</f>
        <v>20190304155208908</v>
      </c>
      <c r="B5292" t="str">
        <f>"1551685928902822"</f>
        <v>1551685928902822</v>
      </c>
      <c r="C5292" t="s">
        <v>40</v>
      </c>
      <c r="D5292">
        <v>4.7851720000000002</v>
      </c>
      <c r="E5292">
        <v>0.53954489999999999</v>
      </c>
      <c r="F5292" t="s">
        <v>92</v>
      </c>
      <c r="G5292">
        <v>-422.87869999999998</v>
      </c>
      <c r="H5292">
        <v>1.9494990000000001</v>
      </c>
      <c r="I5292">
        <v>0.44811630000000002</v>
      </c>
      <c r="J5292">
        <v>-423.11790000000002</v>
      </c>
      <c r="K5292">
        <v>1.1115360000000001</v>
      </c>
      <c r="L5292">
        <v>72.550139999999999</v>
      </c>
      <c r="M5292">
        <v>-1.4171660000000001E-2</v>
      </c>
      <c r="N5292">
        <v>-1.3938819999999999E-2</v>
      </c>
      <c r="O5292">
        <v>-0.99980270000000004</v>
      </c>
      <c r="P5292">
        <v>0.112958</v>
      </c>
      <c r="Q5292">
        <v>0.18055560000000001</v>
      </c>
      <c r="R5292">
        <v>-0.97705710000000001</v>
      </c>
      <c r="S5292">
        <v>1.0009769999999999E-2</v>
      </c>
      <c r="T5292">
        <v>3.5458450000000002E-2</v>
      </c>
      <c r="U5292">
        <v>-3.062195</v>
      </c>
      <c r="V5292">
        <v>-0.12720770000000001</v>
      </c>
      <c r="W5292">
        <v>0.1938629</v>
      </c>
      <c r="X5292">
        <v>0.97274629999999995</v>
      </c>
      <c r="Y5292">
        <v>-1.744008E-2</v>
      </c>
      <c r="Z5292">
        <v>-2.5513069999999999E-2</v>
      </c>
      <c r="AA5292">
        <v>0.99952229999999997</v>
      </c>
      <c r="AB5292">
        <v>26</v>
      </c>
      <c r="AC5292">
        <v>0.23920000000003899</v>
      </c>
      <c r="AD5292">
        <v>0.83796299999999901</v>
      </c>
      <c r="AE5292">
        <v>-72.102023700000004</v>
      </c>
      <c r="AF5292">
        <v>-1.2609100207919799</v>
      </c>
      <c r="AG5292">
        <v>0.83796299999999901</v>
      </c>
      <c r="AH5292">
        <v>72.081655535164998</v>
      </c>
      <c r="AI5292">
        <v>89.3340575048624</v>
      </c>
      <c r="AJ5292">
        <v>91.002161429673393</v>
      </c>
      <c r="AK5292">
        <v>72.097552945714398</v>
      </c>
      <c r="AL5292">
        <v>78.821694894160103</v>
      </c>
      <c r="AM5292">
        <v>97.450388900782798</v>
      </c>
      <c r="AN5292">
        <v>0.99999999354969404</v>
      </c>
    </row>
    <row r="5293" spans="1:40" x14ac:dyDescent="0.25">
      <c r="A5293" t="str">
        <f>"20190304155208931"</f>
        <v>20190304155208931</v>
      </c>
      <c r="B5293" t="str">
        <f>"1551685928922339"</f>
        <v>1551685928922339</v>
      </c>
      <c r="C5293" t="s">
        <v>40</v>
      </c>
      <c r="D5293">
        <v>4.9162720000000002</v>
      </c>
      <c r="E5293">
        <v>0.53857200000000005</v>
      </c>
      <c r="F5293" t="s">
        <v>92</v>
      </c>
      <c r="G5293">
        <v>-422.64139999999998</v>
      </c>
      <c r="H5293">
        <v>1.8789549999999999</v>
      </c>
      <c r="I5293">
        <v>0.45052910000000002</v>
      </c>
      <c r="J5293">
        <v>-423.12</v>
      </c>
      <c r="K5293">
        <v>1.111537</v>
      </c>
      <c r="L5293">
        <v>72.296809999999994</v>
      </c>
      <c r="M5293">
        <v>-1.291289E-2</v>
      </c>
      <c r="N5293">
        <v>-1.393643E-2</v>
      </c>
      <c r="O5293">
        <v>-0.99981960000000003</v>
      </c>
      <c r="P5293">
        <v>0.1146581</v>
      </c>
      <c r="Q5293">
        <v>0.18128169999999999</v>
      </c>
      <c r="R5293">
        <v>-0.97672440000000005</v>
      </c>
      <c r="S5293">
        <v>2.0233149999999998E-2</v>
      </c>
      <c r="T5293">
        <v>3.2591460000000003E-2</v>
      </c>
      <c r="U5293">
        <v>-3.062103</v>
      </c>
      <c r="V5293">
        <v>-0.12767800000000001</v>
      </c>
      <c r="W5293">
        <v>0.1945819</v>
      </c>
      <c r="X5293">
        <v>0.97254110000000005</v>
      </c>
      <c r="Y5293">
        <v>-1.9518319999999999E-2</v>
      </c>
      <c r="Z5293">
        <v>-2.4575619999999999E-2</v>
      </c>
      <c r="AA5293">
        <v>0.99950740000000005</v>
      </c>
      <c r="AB5293">
        <v>26</v>
      </c>
      <c r="AC5293">
        <v>0.478600000000028</v>
      </c>
      <c r="AD5293">
        <v>0.76741799999999905</v>
      </c>
      <c r="AE5293">
        <v>-71.846280899999996</v>
      </c>
      <c r="AF5293">
        <v>-1.40623279401956</v>
      </c>
      <c r="AG5293">
        <v>0.76741799999999905</v>
      </c>
      <c r="AH5293">
        <v>71.825914454425799</v>
      </c>
      <c r="AI5293">
        <v>89.387968588619202</v>
      </c>
      <c r="AJ5293">
        <v>91.121613451910306</v>
      </c>
      <c r="AK5293">
        <v>71.843777797887299</v>
      </c>
      <c r="AL5293">
        <v>78.779699483759799</v>
      </c>
      <c r="AM5293">
        <v>97.479182481927296</v>
      </c>
      <c r="AN5293">
        <v>0.99999998934041001</v>
      </c>
    </row>
    <row r="5294" spans="1:40" x14ac:dyDescent="0.25">
      <c r="A5294" t="str">
        <f>"20190304155208952"</f>
        <v>20190304155208952</v>
      </c>
      <c r="B5294" t="str">
        <f>"1551685928942835"</f>
        <v>1551685928942835</v>
      </c>
      <c r="C5294" t="s">
        <v>40</v>
      </c>
      <c r="D5294">
        <v>4.8020420000000001</v>
      </c>
      <c r="E5294">
        <v>0.53779699999999997</v>
      </c>
      <c r="F5294" t="s">
        <v>92</v>
      </c>
      <c r="G5294">
        <v>-422.34469999999999</v>
      </c>
      <c r="H5294">
        <v>1.75560299999999</v>
      </c>
      <c r="I5294">
        <v>0.45354650000000002</v>
      </c>
      <c r="J5294">
        <v>-423.12180000000001</v>
      </c>
      <c r="K5294">
        <v>1.1115360000000001</v>
      </c>
      <c r="L5294">
        <v>72.043269999999893</v>
      </c>
      <c r="M5294">
        <v>-1.1648840000000001E-2</v>
      </c>
      <c r="N5294">
        <v>-1.393399E-2</v>
      </c>
      <c r="O5294">
        <v>-0.99983529999999998</v>
      </c>
      <c r="P5294">
        <v>0.1164818</v>
      </c>
      <c r="Q5294">
        <v>0.1815254</v>
      </c>
      <c r="R5294">
        <v>-0.97646370000000005</v>
      </c>
      <c r="S5294">
        <v>3.3050540000000003E-2</v>
      </c>
      <c r="T5294">
        <v>2.74539E-2</v>
      </c>
      <c r="U5294">
        <v>-3.0625</v>
      </c>
      <c r="V5294">
        <v>-0.12826580000000001</v>
      </c>
      <c r="W5294">
        <v>0.19482079999999999</v>
      </c>
      <c r="X5294">
        <v>0.9724159</v>
      </c>
      <c r="Y5294">
        <v>-2.2436339999999999E-2</v>
      </c>
      <c r="Z5294">
        <v>-2.289532E-2</v>
      </c>
      <c r="AA5294">
        <v>0.99948610000000004</v>
      </c>
      <c r="AB5294">
        <v>26</v>
      </c>
      <c r="AC5294">
        <v>0.777100000000018</v>
      </c>
      <c r="AD5294">
        <v>0.64406699999999895</v>
      </c>
      <c r="AE5294">
        <v>-71.589723499999906</v>
      </c>
      <c r="AF5294">
        <v>-1.6109348943814199</v>
      </c>
      <c r="AG5294">
        <v>0.64406699999999895</v>
      </c>
      <c r="AH5294">
        <v>71.570019841309104</v>
      </c>
      <c r="AI5294">
        <v>89.484533033217403</v>
      </c>
      <c r="AJ5294">
        <v>91.289425210185797</v>
      </c>
      <c r="AK5294">
        <v>71.591044646797798</v>
      </c>
      <c r="AL5294">
        <v>78.765744250594594</v>
      </c>
      <c r="AM5294">
        <v>97.514178720040107</v>
      </c>
      <c r="AN5294">
        <v>0.99999997106754401</v>
      </c>
    </row>
    <row r="5295" spans="1:40" x14ac:dyDescent="0.25">
      <c r="A5295" t="str">
        <f>"20190304155208975"</f>
        <v>20190304155208975</v>
      </c>
      <c r="B5295" t="str">
        <f>"1551685928972115"</f>
        <v>1551685928972115</v>
      </c>
      <c r="C5295" t="s">
        <v>40</v>
      </c>
      <c r="D5295">
        <v>4.895556</v>
      </c>
      <c r="E5295">
        <v>0.53549530000000001</v>
      </c>
      <c r="F5295" t="s">
        <v>92</v>
      </c>
      <c r="G5295">
        <v>-422.0847</v>
      </c>
      <c r="H5295">
        <v>1.630565</v>
      </c>
      <c r="I5295">
        <v>0.45618819999999999</v>
      </c>
      <c r="J5295">
        <v>-423.12329999999997</v>
      </c>
      <c r="K5295">
        <v>1.111531</v>
      </c>
      <c r="L5295">
        <v>71.793180000000007</v>
      </c>
      <c r="M5295">
        <v>-1.0400390000000001E-2</v>
      </c>
      <c r="N5295">
        <v>-1.3931519999999999E-2</v>
      </c>
      <c r="O5295">
        <v>-0.99984890000000004</v>
      </c>
      <c r="P5295">
        <v>0.1181251</v>
      </c>
      <c r="Q5295">
        <v>0.1816354</v>
      </c>
      <c r="R5295">
        <v>-0.97624560000000005</v>
      </c>
      <c r="S5295">
        <v>4.4372559999999998E-2</v>
      </c>
      <c r="T5295">
        <v>2.2205829999999999E-2</v>
      </c>
      <c r="U5295">
        <v>-3.062897</v>
      </c>
      <c r="V5295">
        <v>-0.12868830000000001</v>
      </c>
      <c r="W5295">
        <v>0.19492699999999999</v>
      </c>
      <c r="X5295">
        <v>0.97233879999999995</v>
      </c>
      <c r="Y5295">
        <v>-2.4880719999999999E-2</v>
      </c>
      <c r="Z5295">
        <v>-2.1179170000000001E-2</v>
      </c>
      <c r="AA5295">
        <v>0.99946610000000002</v>
      </c>
      <c r="AB5295">
        <v>26</v>
      </c>
      <c r="AC5295">
        <v>1.03859999999997</v>
      </c>
      <c r="AD5295">
        <v>0.519034</v>
      </c>
      <c r="AE5295">
        <v>-71.336991799999893</v>
      </c>
      <c r="AF5295">
        <v>-1.7804541008041901</v>
      </c>
      <c r="AG5295">
        <v>0.519034</v>
      </c>
      <c r="AH5295">
        <v>71.318555246255201</v>
      </c>
      <c r="AI5295">
        <v>89.583156582392306</v>
      </c>
      <c r="AJ5295">
        <v>91.430081138728895</v>
      </c>
      <c r="AK5295">
        <v>71.342664202504906</v>
      </c>
      <c r="AL5295">
        <v>78.759540580457099</v>
      </c>
      <c r="AM5295">
        <v>97.539236658777</v>
      </c>
      <c r="AN5295">
        <v>0.99999997793566398</v>
      </c>
    </row>
    <row r="5296" spans="1:40" x14ac:dyDescent="0.25">
      <c r="A5296" t="str">
        <f>"20190304155208997"</f>
        <v>20190304155208997</v>
      </c>
      <c r="B5296" t="str">
        <f>"1551685928992613"</f>
        <v>1551685928992613</v>
      </c>
      <c r="C5296" t="s">
        <v>40</v>
      </c>
      <c r="D5296">
        <v>4.9184559999999999</v>
      </c>
      <c r="E5296">
        <v>0.53446689999999997</v>
      </c>
      <c r="F5296" t="s">
        <v>92</v>
      </c>
      <c r="G5296">
        <v>-421.55009999999999</v>
      </c>
      <c r="H5296">
        <v>1.2484409999999999</v>
      </c>
      <c r="I5296">
        <v>0.46162799999999998</v>
      </c>
      <c r="J5296">
        <v>-423.12450000000001</v>
      </c>
      <c r="K5296">
        <v>1.111534</v>
      </c>
      <c r="L5296">
        <v>71.540530000000004</v>
      </c>
      <c r="M5296">
        <v>-9.1395199999999999E-3</v>
      </c>
      <c r="N5296">
        <v>-1.392899E-2</v>
      </c>
      <c r="O5296">
        <v>-0.99986149999999996</v>
      </c>
      <c r="P5296">
        <v>0.1192092</v>
      </c>
      <c r="Q5296">
        <v>0.1821149</v>
      </c>
      <c r="R5296">
        <v>-0.97602460000000002</v>
      </c>
      <c r="S5296">
        <v>6.7565920000000002E-2</v>
      </c>
      <c r="T5296">
        <v>5.8791640000000001E-3</v>
      </c>
      <c r="U5296">
        <v>-3.0637210000000001</v>
      </c>
      <c r="V5296">
        <v>-0.1285405</v>
      </c>
      <c r="W5296">
        <v>0.19540450000000001</v>
      </c>
      <c r="X5296">
        <v>0.97226250000000003</v>
      </c>
      <c r="Y5296">
        <v>-3.1180070000000001E-2</v>
      </c>
      <c r="Z5296">
        <v>-1.5848319999999999E-2</v>
      </c>
      <c r="AA5296">
        <v>0.99938819999999995</v>
      </c>
      <c r="AB5296">
        <v>26</v>
      </c>
      <c r="AC5296">
        <v>1.57440000000002</v>
      </c>
      <c r="AD5296">
        <v>0.136906999999999</v>
      </c>
      <c r="AE5296">
        <v>-71.078901999999999</v>
      </c>
      <c r="AF5296">
        <v>-2.2240158741595701</v>
      </c>
      <c r="AG5296">
        <v>0.136906999999999</v>
      </c>
      <c r="AH5296">
        <v>71.0612785659834</v>
      </c>
      <c r="AI5296">
        <v>89.889667835529906</v>
      </c>
      <c r="AJ5296">
        <v>91.792609770507596</v>
      </c>
      <c r="AK5296">
        <v>71.096204551069107</v>
      </c>
      <c r="AL5296">
        <v>78.731645381848196</v>
      </c>
      <c r="AM5296">
        <v>97.531261392721404</v>
      </c>
      <c r="AN5296">
        <v>0.99999997383337402</v>
      </c>
    </row>
    <row r="5297" spans="1:40" x14ac:dyDescent="0.25">
      <c r="A5297" t="str">
        <f>"20190304155209020"</f>
        <v>20190304155209020</v>
      </c>
      <c r="B5297" t="str">
        <f>"1551685929012731"</f>
        <v>1551685929012731</v>
      </c>
      <c r="C5297" t="s">
        <v>40</v>
      </c>
      <c r="D5297">
        <v>4.8950750000000003</v>
      </c>
      <c r="E5297">
        <v>0.53370669999999898</v>
      </c>
      <c r="F5297" t="s">
        <v>92</v>
      </c>
      <c r="G5297">
        <v>-421.28609999999998</v>
      </c>
      <c r="H5297">
        <v>1.0860050000000001</v>
      </c>
      <c r="I5297">
        <v>0.46430969999999999</v>
      </c>
      <c r="J5297">
        <v>-423.12540000000001</v>
      </c>
      <c r="K5297">
        <v>1.1115349999999999</v>
      </c>
      <c r="L5297">
        <v>71.273250000000004</v>
      </c>
      <c r="M5297">
        <v>-7.8076719999999999E-3</v>
      </c>
      <c r="N5297">
        <v>-1.3926340000000001E-2</v>
      </c>
      <c r="O5297">
        <v>-0.9998726</v>
      </c>
      <c r="P5297">
        <v>0.1206931</v>
      </c>
      <c r="Q5297">
        <v>0.18214369999999999</v>
      </c>
      <c r="R5297">
        <v>-0.97583690000000001</v>
      </c>
      <c r="S5297">
        <v>7.9254149999999995E-2</v>
      </c>
      <c r="T5297">
        <v>-1.101851E-3</v>
      </c>
      <c r="U5297">
        <v>-3.064209</v>
      </c>
      <c r="V5297">
        <v>-0.12872239999999999</v>
      </c>
      <c r="W5297">
        <v>0.1954312</v>
      </c>
      <c r="X5297">
        <v>0.97223309999999996</v>
      </c>
      <c r="Y5297">
        <v>-3.3655129999999998E-2</v>
      </c>
      <c r="Z5297">
        <v>-1.356837E-2</v>
      </c>
      <c r="AA5297">
        <v>0.99934140000000005</v>
      </c>
      <c r="AB5297">
        <v>26</v>
      </c>
      <c r="AC5297">
        <v>1.8393000000000299</v>
      </c>
      <c r="AD5297">
        <v>-2.5530000000000001E-2</v>
      </c>
      <c r="AE5297">
        <v>-70.808940299999904</v>
      </c>
      <c r="AF5297">
        <v>-2.3921501823086402</v>
      </c>
      <c r="AG5297">
        <v>-2.5530000000000001E-2</v>
      </c>
      <c r="AH5297">
        <v>70.792410361864995</v>
      </c>
      <c r="AI5297">
        <v>90.020650897157296</v>
      </c>
      <c r="AJ5297">
        <v>91.935348404229401</v>
      </c>
      <c r="AK5297">
        <v>70.832820070348106</v>
      </c>
      <c r="AL5297">
        <v>78.730085871445496</v>
      </c>
      <c r="AM5297">
        <v>97.542021860389397</v>
      </c>
      <c r="AN5297">
        <v>1.0000000054653999</v>
      </c>
    </row>
    <row r="5298" spans="1:40" x14ac:dyDescent="0.25">
      <c r="A5298" t="str">
        <f>"20190304155209042"</f>
        <v>20190304155209042</v>
      </c>
      <c r="B5298" t="str">
        <f>"1551685929032247"</f>
        <v>1551685929032247</v>
      </c>
      <c r="C5298" t="s">
        <v>40</v>
      </c>
      <c r="D5298">
        <v>4.9146809999999999</v>
      </c>
      <c r="E5298">
        <v>0.53321030000000003</v>
      </c>
      <c r="F5298" t="s">
        <v>92</v>
      </c>
      <c r="G5298">
        <v>-421.04390000000001</v>
      </c>
      <c r="H5298">
        <v>0.92439729999999998</v>
      </c>
      <c r="I5298">
        <v>0.46677210000000002</v>
      </c>
      <c r="J5298">
        <v>-423.1259</v>
      </c>
      <c r="K5298">
        <v>1.1115280000000001</v>
      </c>
      <c r="L5298">
        <v>71.018460000000005</v>
      </c>
      <c r="M5298">
        <v>-6.5399539999999997E-3</v>
      </c>
      <c r="N5298">
        <v>-1.392385E-2</v>
      </c>
      <c r="O5298">
        <v>-0.99988189999999999</v>
      </c>
      <c r="P5298">
        <v>0.121613899999999</v>
      </c>
      <c r="Q5298">
        <v>0.18218860000000001</v>
      </c>
      <c r="R5298">
        <v>-0.97571410000000003</v>
      </c>
      <c r="S5298">
        <v>9.0087890000000004E-2</v>
      </c>
      <c r="T5298">
        <v>-8.1008669999999994E-3</v>
      </c>
      <c r="U5298">
        <v>-3.064667</v>
      </c>
      <c r="V5298">
        <v>-0.12840509999999999</v>
      </c>
      <c r="W5298">
        <v>0.1954756</v>
      </c>
      <c r="X5298">
        <v>0.97226610000000002</v>
      </c>
      <c r="Y5298">
        <v>-3.5914090000000003E-2</v>
      </c>
      <c r="Z5298">
        <v>-1.12836E-2</v>
      </c>
      <c r="AA5298">
        <v>0.99929120000000005</v>
      </c>
      <c r="AB5298">
        <v>26</v>
      </c>
      <c r="AC5298">
        <v>2.0819999999999901</v>
      </c>
      <c r="AD5298">
        <v>-0.18713070000000001</v>
      </c>
      <c r="AE5298">
        <v>-70.551687900000005</v>
      </c>
      <c r="AF5298">
        <v>-2.5433870099610201</v>
      </c>
      <c r="AG5298">
        <v>-0.18713070000000001</v>
      </c>
      <c r="AH5298">
        <v>70.536065505507295</v>
      </c>
      <c r="AI5298">
        <v>90.151905423373293</v>
      </c>
      <c r="AJ5298">
        <v>92.065074558366007</v>
      </c>
      <c r="AK5298">
        <v>70.582153356061198</v>
      </c>
      <c r="AL5298">
        <v>78.727491556069793</v>
      </c>
      <c r="AM5298">
        <v>97.523391613178703</v>
      </c>
      <c r="AN5298">
        <v>0.999999974555289</v>
      </c>
    </row>
    <row r="5299" spans="1:40" x14ac:dyDescent="0.25">
      <c r="A5299" t="str">
        <f>"20190304155209065"</f>
        <v>20190304155209065</v>
      </c>
      <c r="B5299" t="str">
        <f>"1551685929062503"</f>
        <v>1551685929062503</v>
      </c>
      <c r="C5299" t="s">
        <v>40</v>
      </c>
      <c r="D5299">
        <v>4.8686339999999904</v>
      </c>
      <c r="E5299">
        <v>0.5334392</v>
      </c>
      <c r="F5299" t="s">
        <v>92</v>
      </c>
      <c r="G5299">
        <v>-420.91739999999999</v>
      </c>
      <c r="H5299">
        <v>0.81307019999999997</v>
      </c>
      <c r="I5299">
        <v>0.46805950000000002</v>
      </c>
      <c r="J5299">
        <v>-423.12619999999998</v>
      </c>
      <c r="K5299">
        <v>1.1115280000000001</v>
      </c>
      <c r="L5299">
        <v>70.759249999999994</v>
      </c>
      <c r="M5299">
        <v>-5.2522050000000002E-3</v>
      </c>
      <c r="N5299">
        <v>-1.3921090000000001E-2</v>
      </c>
      <c r="O5299">
        <v>-0.99988949999999999</v>
      </c>
      <c r="P5299">
        <v>0.122743699999999</v>
      </c>
      <c r="Q5299">
        <v>0.18219160000000001</v>
      </c>
      <c r="R5299">
        <v>-0.97557190000000005</v>
      </c>
      <c r="S5299">
        <v>9.5947270000000001E-2</v>
      </c>
      <c r="T5299">
        <v>-1.296782E-2</v>
      </c>
      <c r="U5299">
        <v>-3.0651250000000001</v>
      </c>
      <c r="V5299">
        <v>-0.12827659999999999</v>
      </c>
      <c r="W5299">
        <v>0.1954775</v>
      </c>
      <c r="X5299">
        <v>0.97228270000000006</v>
      </c>
      <c r="Y5299">
        <v>-3.6531199999999903E-2</v>
      </c>
      <c r="Z5299">
        <v>-9.6943289999999998E-3</v>
      </c>
      <c r="AA5299">
        <v>0.99928550000000005</v>
      </c>
      <c r="AB5299">
        <v>26</v>
      </c>
      <c r="AC5299">
        <v>2.2087999999999899</v>
      </c>
      <c r="AD5299">
        <v>-0.2984578</v>
      </c>
      <c r="AE5299">
        <v>-70.291190499999999</v>
      </c>
      <c r="AF5299">
        <v>-2.5779425450692299</v>
      </c>
      <c r="AG5299">
        <v>-0.2984578</v>
      </c>
      <c r="AH5299">
        <v>70.277352840568796</v>
      </c>
      <c r="AI5299">
        <v>90.243161921863702</v>
      </c>
      <c r="AJ5299">
        <v>92.100805230369502</v>
      </c>
      <c r="AK5299">
        <v>70.325252840653604</v>
      </c>
      <c r="AL5299">
        <v>78.727380773761993</v>
      </c>
      <c r="AM5299">
        <v>97.515821922882196</v>
      </c>
      <c r="AN5299">
        <v>0.99999999391655003</v>
      </c>
    </row>
    <row r="5300" spans="1:40" x14ac:dyDescent="0.25">
      <c r="A5300" t="str">
        <f>"20190304155209087"</f>
        <v>20190304155209087</v>
      </c>
      <c r="B5300" t="str">
        <f>"1551685929082024"</f>
        <v>1551685929082024</v>
      </c>
      <c r="C5300" t="s">
        <v>40</v>
      </c>
      <c r="D5300">
        <v>4.9059999999999997</v>
      </c>
      <c r="E5300">
        <v>0.53365019999999996</v>
      </c>
      <c r="F5300" t="s">
        <v>92</v>
      </c>
      <c r="G5300">
        <v>-420.89359999999999</v>
      </c>
      <c r="H5300">
        <v>0.73040839999999996</v>
      </c>
      <c r="I5300">
        <v>0.46829989999999999</v>
      </c>
      <c r="J5300">
        <v>-423.12599999999998</v>
      </c>
      <c r="K5300">
        <v>1.1115200000000001</v>
      </c>
      <c r="L5300">
        <v>70.509519999999995</v>
      </c>
      <c r="M5300">
        <v>-4.0124690000000003E-3</v>
      </c>
      <c r="N5300">
        <v>-1.391847E-2</v>
      </c>
      <c r="O5300">
        <v>-0.99989519999999998</v>
      </c>
      <c r="P5300">
        <v>0.12319869999999999</v>
      </c>
      <c r="Q5300">
        <v>0.18204790000000001</v>
      </c>
      <c r="R5300">
        <v>-0.97554129999999994</v>
      </c>
      <c r="S5300">
        <v>9.7381590000000004E-2</v>
      </c>
      <c r="T5300">
        <v>-1.6625049999999999E-2</v>
      </c>
      <c r="U5300">
        <v>-3.0660099999999999</v>
      </c>
      <c r="V5300">
        <v>-0.12752079999999999</v>
      </c>
      <c r="W5300">
        <v>0.19533529999999999</v>
      </c>
      <c r="X5300">
        <v>0.97241069999999996</v>
      </c>
      <c r="Y5300">
        <v>-3.5750289999999997E-2</v>
      </c>
      <c r="Z5300">
        <v>-8.5005419999999998E-3</v>
      </c>
      <c r="AA5300">
        <v>0.99932460000000001</v>
      </c>
      <c r="AB5300">
        <v>26</v>
      </c>
      <c r="AC5300">
        <v>2.2323999999999802</v>
      </c>
      <c r="AD5300">
        <v>-0.38111159999999999</v>
      </c>
      <c r="AE5300">
        <v>-70.041220099999904</v>
      </c>
      <c r="AF5300">
        <v>-2.5133731046180801</v>
      </c>
      <c r="AG5300">
        <v>-0.38111159999999999</v>
      </c>
      <c r="AH5300">
        <v>70.029626582452096</v>
      </c>
      <c r="AI5300">
        <v>90.3116084167834</v>
      </c>
      <c r="AJ5300">
        <v>92.055471300730503</v>
      </c>
      <c r="AK5300">
        <v>70.075751081899597</v>
      </c>
      <c r="AL5300">
        <v>78.735688473281698</v>
      </c>
      <c r="AM5300">
        <v>97.471068427113096</v>
      </c>
      <c r="AN5300">
        <v>1.00000000166661</v>
      </c>
    </row>
    <row r="5301" spans="1:40" x14ac:dyDescent="0.25">
      <c r="A5301" t="str">
        <f>"20190304155209110"</f>
        <v>20190304155209110</v>
      </c>
      <c r="B5301" t="str">
        <f>"1551685929102342"</f>
        <v>1551685929102342</v>
      </c>
      <c r="C5301" t="s">
        <v>40</v>
      </c>
      <c r="D5301">
        <v>4.8798180000000002</v>
      </c>
      <c r="E5301">
        <v>0.53329380000000004</v>
      </c>
      <c r="F5301" t="s">
        <v>92</v>
      </c>
      <c r="G5301">
        <v>-420.91050000000001</v>
      </c>
      <c r="H5301">
        <v>0.72351160000000003</v>
      </c>
      <c r="I5301">
        <v>0.46813009999999999</v>
      </c>
      <c r="J5301">
        <v>-423.12560000000002</v>
      </c>
      <c r="K5301">
        <v>1.1115170000000001</v>
      </c>
      <c r="L5301">
        <v>70.257350000000002</v>
      </c>
      <c r="M5301">
        <v>-2.7611369999999999E-3</v>
      </c>
      <c r="N5301">
        <v>-1.3916E-2</v>
      </c>
      <c r="O5301">
        <v>-0.99989939999999999</v>
      </c>
      <c r="P5301">
        <v>0.1236155</v>
      </c>
      <c r="Q5301">
        <v>0.1819933</v>
      </c>
      <c r="R5301">
        <v>-0.975499</v>
      </c>
      <c r="S5301">
        <v>9.6984860000000006E-2</v>
      </c>
      <c r="T5301">
        <v>-1.6986609999999999E-2</v>
      </c>
      <c r="U5301">
        <v>-3.0661320000000001</v>
      </c>
      <c r="V5301">
        <v>-0.12671579999999999</v>
      </c>
      <c r="W5301">
        <v>0.19528239999999999</v>
      </c>
      <c r="X5301">
        <v>0.97252660000000002</v>
      </c>
      <c r="Y5301">
        <v>-3.436935E-2</v>
      </c>
      <c r="Z5301">
        <v>-8.3799859999999903E-3</v>
      </c>
      <c r="AA5301">
        <v>0.99937410000000004</v>
      </c>
      <c r="AB5301">
        <v>25</v>
      </c>
      <c r="AC5301">
        <v>2.2151000000000001</v>
      </c>
      <c r="AD5301">
        <v>-0.3880054</v>
      </c>
      <c r="AE5301">
        <v>-69.789219900000006</v>
      </c>
      <c r="AF5301">
        <v>-2.4077334562350599</v>
      </c>
      <c r="AG5301">
        <v>-0.3880054</v>
      </c>
      <c r="AH5301">
        <v>69.780682279762203</v>
      </c>
      <c r="AI5301">
        <v>90.318392149037095</v>
      </c>
      <c r="AJ5301">
        <v>91.976166659972606</v>
      </c>
      <c r="AK5301">
        <v>69.823286574149606</v>
      </c>
      <c r="AL5301">
        <v>78.738779473552</v>
      </c>
      <c r="AM5301">
        <v>97.423558730288207</v>
      </c>
      <c r="AN5301">
        <v>1.0000000487134699</v>
      </c>
    </row>
    <row r="5302" spans="1:40" x14ac:dyDescent="0.25">
      <c r="A5302" t="str">
        <f>"20190304155209131"</f>
        <v>20190304155209131</v>
      </c>
      <c r="B5302" t="str">
        <f>"1551685929122822"</f>
        <v>1551685929122822</v>
      </c>
      <c r="C5302" t="s">
        <v>40</v>
      </c>
      <c r="D5302">
        <v>4.7469640000000002</v>
      </c>
      <c r="E5302">
        <v>0.53301940000000003</v>
      </c>
      <c r="F5302" t="s">
        <v>92</v>
      </c>
      <c r="G5302">
        <v>-420.81819999999999</v>
      </c>
      <c r="H5302">
        <v>0.64581309999999903</v>
      </c>
      <c r="I5302">
        <v>0.4690685</v>
      </c>
      <c r="J5302">
        <v>-423.12479999999999</v>
      </c>
      <c r="K5302">
        <v>1.111518</v>
      </c>
      <c r="L5302">
        <v>70.003479999999996</v>
      </c>
      <c r="M5302">
        <v>-1.5009750000000001E-3</v>
      </c>
      <c r="N5302">
        <v>-1.391357E-2</v>
      </c>
      <c r="O5302">
        <v>-0.99990219999999996</v>
      </c>
      <c r="P5302">
        <v>0.1246242</v>
      </c>
      <c r="Q5302">
        <v>0.1815464</v>
      </c>
      <c r="R5302">
        <v>-0.97545380000000004</v>
      </c>
      <c r="S5302">
        <v>0.10137939999999999</v>
      </c>
      <c r="T5302">
        <v>-2.0462870000000001E-2</v>
      </c>
      <c r="U5302">
        <v>-3.0663149999999999</v>
      </c>
      <c r="V5302">
        <v>-0.12649260000000001</v>
      </c>
      <c r="W5302">
        <v>0.19483629999999999</v>
      </c>
      <c r="X5302">
        <v>0.97264510000000004</v>
      </c>
      <c r="Y5302">
        <v>-3.4538699999999901E-2</v>
      </c>
      <c r="Z5302">
        <v>-7.2447859999999996E-3</v>
      </c>
      <c r="AA5302">
        <v>0.99937710000000002</v>
      </c>
      <c r="AB5302">
        <v>25</v>
      </c>
      <c r="AC5302">
        <v>2.3066</v>
      </c>
      <c r="AD5302">
        <v>-0.46570489999999998</v>
      </c>
      <c r="AE5302">
        <v>-69.534411500000004</v>
      </c>
      <c r="AF5302">
        <v>-2.4108688817803499</v>
      </c>
      <c r="AG5302">
        <v>-0.46570489999999998</v>
      </c>
      <c r="AH5302">
        <v>69.527755353455404</v>
      </c>
      <c r="AI5302">
        <v>90.383537483266693</v>
      </c>
      <c r="AJ5302">
        <v>91.985930508714105</v>
      </c>
      <c r="AK5302">
        <v>69.571099849786606</v>
      </c>
      <c r="AL5302">
        <v>78.764839441799097</v>
      </c>
      <c r="AM5302">
        <v>97.409735356753004</v>
      </c>
      <c r="AN5302">
        <v>1.00000002610322</v>
      </c>
    </row>
    <row r="5303" spans="1:40" x14ac:dyDescent="0.25">
      <c r="A5303" t="str">
        <f>"20190304155209154"</f>
        <v>20190304155209154</v>
      </c>
      <c r="B5303" t="str">
        <f>"1551685929142342"</f>
        <v>1551685929142342</v>
      </c>
      <c r="C5303" t="s">
        <v>40</v>
      </c>
      <c r="D5303">
        <v>4.9440369999999998</v>
      </c>
      <c r="E5303">
        <v>0.53270410000000001</v>
      </c>
      <c r="F5303" t="s">
        <v>92</v>
      </c>
      <c r="G5303">
        <v>-420.69749999999999</v>
      </c>
      <c r="H5303">
        <v>0.51151780000000002</v>
      </c>
      <c r="I5303">
        <v>0.47029690000000002</v>
      </c>
      <c r="J5303">
        <v>-423.12380000000002</v>
      </c>
      <c r="K5303">
        <v>1.111518</v>
      </c>
      <c r="L5303">
        <v>69.759280000000004</v>
      </c>
      <c r="M5303">
        <v>-2.8880010000000001E-4</v>
      </c>
      <c r="N5303">
        <v>-1.391118E-2</v>
      </c>
      <c r="O5303">
        <v>-0.9999034</v>
      </c>
      <c r="P5303">
        <v>0.12562989999999999</v>
      </c>
      <c r="Q5303">
        <v>0.1812424</v>
      </c>
      <c r="R5303">
        <v>-0.97538130000000001</v>
      </c>
      <c r="S5303">
        <v>0.1070557</v>
      </c>
      <c r="T5303">
        <v>-2.646399E-2</v>
      </c>
      <c r="U5303">
        <v>-3.0667420000000001</v>
      </c>
      <c r="V5303">
        <v>-0.12631439999999999</v>
      </c>
      <c r="W5303">
        <v>0.19453229999999999</v>
      </c>
      <c r="X5303">
        <v>0.97272910000000001</v>
      </c>
      <c r="Y5303">
        <v>-3.517E-2</v>
      </c>
      <c r="Z5303">
        <v>-5.2878359999999998E-3</v>
      </c>
      <c r="AA5303">
        <v>0.99936740000000002</v>
      </c>
      <c r="AB5303">
        <v>25</v>
      </c>
      <c r="AC5303">
        <v>2.4263000000000199</v>
      </c>
      <c r="AD5303">
        <v>-0.60000019999999998</v>
      </c>
      <c r="AE5303">
        <v>-69.288983099999996</v>
      </c>
      <c r="AF5303">
        <v>-2.44612929805146</v>
      </c>
      <c r="AG5303">
        <v>-0.60000019999999998</v>
      </c>
      <c r="AH5303">
        <v>69.283090596305698</v>
      </c>
      <c r="AI5303">
        <v>90.495867242011002</v>
      </c>
      <c r="AJ5303">
        <v>92.022061834937205</v>
      </c>
      <c r="AK5303">
        <v>69.328855402052298</v>
      </c>
      <c r="AL5303">
        <v>78.782597096060798</v>
      </c>
      <c r="AM5303">
        <v>97.398780547249601</v>
      </c>
      <c r="AN5303">
        <v>1.00000002268872</v>
      </c>
    </row>
    <row r="5304" spans="1:40" x14ac:dyDescent="0.25">
      <c r="A5304" t="str">
        <f>"20190304155209176"</f>
        <v>20190304155209176</v>
      </c>
      <c r="B5304" t="str">
        <f>"1551685929172599"</f>
        <v>1551685929172599</v>
      </c>
      <c r="C5304" t="s">
        <v>40</v>
      </c>
      <c r="D5304">
        <v>4.7980850000000004</v>
      </c>
      <c r="E5304">
        <v>0.53249239999999998</v>
      </c>
      <c r="F5304" t="s">
        <v>92</v>
      </c>
      <c r="G5304">
        <v>-420.58580000000001</v>
      </c>
      <c r="H5304">
        <v>0.43913570000000002</v>
      </c>
      <c r="I5304">
        <v>0.47143170000000001</v>
      </c>
      <c r="J5304">
        <v>-423.12240000000003</v>
      </c>
      <c r="K5304">
        <v>1.111515</v>
      </c>
      <c r="L5304">
        <v>69.502290000000002</v>
      </c>
      <c r="M5304">
        <v>9.8767059999999994E-4</v>
      </c>
      <c r="N5304">
        <v>-1.390863E-2</v>
      </c>
      <c r="O5304">
        <v>-0.99990270000000003</v>
      </c>
      <c r="P5304">
        <v>0.12657930000000001</v>
      </c>
      <c r="Q5304">
        <v>0.18093770000000001</v>
      </c>
      <c r="R5304">
        <v>-0.97531520000000005</v>
      </c>
      <c r="S5304">
        <v>0.112335199999999</v>
      </c>
      <c r="T5304">
        <v>-2.9761550000000001E-2</v>
      </c>
      <c r="U5304">
        <v>-3.0667719999999998</v>
      </c>
      <c r="V5304">
        <v>-0.1260165</v>
      </c>
      <c r="W5304">
        <v>0.19422780000000001</v>
      </c>
      <c r="X5304">
        <v>0.97282860000000004</v>
      </c>
      <c r="Y5304">
        <v>-3.5611940000000002E-2</v>
      </c>
      <c r="Z5304">
        <v>-4.2109419999999996E-3</v>
      </c>
      <c r="AA5304">
        <v>0.99935680000000005</v>
      </c>
      <c r="AB5304">
        <v>25</v>
      </c>
      <c r="AC5304">
        <v>2.5366000000000199</v>
      </c>
      <c r="AD5304">
        <v>-0.67237930000000001</v>
      </c>
      <c r="AE5304">
        <v>-69.030858299999906</v>
      </c>
      <c r="AF5304">
        <v>-2.4681785645607701</v>
      </c>
      <c r="AG5304">
        <v>-0.67237930000000001</v>
      </c>
      <c r="AH5304">
        <v>69.026790251369803</v>
      </c>
      <c r="AI5304">
        <v>90.557735275960795</v>
      </c>
      <c r="AJ5304">
        <v>92.047842457497893</v>
      </c>
      <c r="AK5304">
        <v>69.074175867368993</v>
      </c>
      <c r="AL5304">
        <v>78.800383106941595</v>
      </c>
      <c r="AM5304">
        <v>97.380777267568902</v>
      </c>
      <c r="AN5304">
        <v>1.0000000407715199</v>
      </c>
    </row>
    <row r="5305" spans="1:40" x14ac:dyDescent="0.25">
      <c r="A5305" t="str">
        <f>"20190304155209199"</f>
        <v>20190304155209199</v>
      </c>
      <c r="B5305" t="str">
        <f>"1551685929192118"</f>
        <v>1551685929192118</v>
      </c>
      <c r="C5305" t="s">
        <v>40</v>
      </c>
      <c r="D5305">
        <v>4.8300970000000003</v>
      </c>
      <c r="E5305">
        <v>0.53233090000000005</v>
      </c>
      <c r="F5305" t="s">
        <v>92</v>
      </c>
      <c r="G5305">
        <v>-420.49540000000002</v>
      </c>
      <c r="H5305">
        <v>0.32315709999999997</v>
      </c>
      <c r="I5305">
        <v>0.47234920000000002</v>
      </c>
      <c r="J5305">
        <v>-423.1207</v>
      </c>
      <c r="K5305">
        <v>1.1115200000000001</v>
      </c>
      <c r="L5305">
        <v>69.245480000000001</v>
      </c>
      <c r="M5305">
        <v>2.2632099999999999E-3</v>
      </c>
      <c r="N5305">
        <v>-1.390604E-2</v>
      </c>
      <c r="O5305">
        <v>-0.99990080000000003</v>
      </c>
      <c r="P5305">
        <v>0.12774460000000001</v>
      </c>
      <c r="Q5305">
        <v>0.1810795</v>
      </c>
      <c r="R5305">
        <v>-0.97513680000000003</v>
      </c>
      <c r="S5305">
        <v>0.11672970000000001</v>
      </c>
      <c r="T5305">
        <v>-3.5031079999999999E-2</v>
      </c>
      <c r="U5305">
        <v>-3.067291</v>
      </c>
      <c r="V5305">
        <v>-0.12593679999999999</v>
      </c>
      <c r="W5305">
        <v>0.1943676</v>
      </c>
      <c r="X5305">
        <v>0.97281090000000003</v>
      </c>
      <c r="Y5305">
        <v>-3.5760470000000003E-2</v>
      </c>
      <c r="Z5305">
        <v>-2.4933619999999998E-3</v>
      </c>
      <c r="AA5305">
        <v>0.9993573</v>
      </c>
      <c r="AB5305">
        <v>25</v>
      </c>
      <c r="AC5305">
        <v>2.6252999999999802</v>
      </c>
      <c r="AD5305">
        <v>-0.78836289999999998</v>
      </c>
      <c r="AE5305">
        <v>-68.773130799999905</v>
      </c>
      <c r="AF5305">
        <v>-2.4693061855273499</v>
      </c>
      <c r="AG5305">
        <v>-0.78836289999999998</v>
      </c>
      <c r="AH5305">
        <v>68.769873197317295</v>
      </c>
      <c r="AI5305">
        <v>90.656374651639496</v>
      </c>
      <c r="AJ5305">
        <v>92.056424703268505</v>
      </c>
      <c r="AK5305">
        <v>68.8187071127835</v>
      </c>
      <c r="AL5305">
        <v>78.792216448191496</v>
      </c>
      <c r="AM5305">
        <v>97.376293395792302</v>
      </c>
      <c r="AN5305">
        <v>0.99999994434140305</v>
      </c>
    </row>
    <row r="5306" spans="1:40" x14ac:dyDescent="0.25">
      <c r="A5306" t="str">
        <f>"20190304155209221"</f>
        <v>20190304155209221</v>
      </c>
      <c r="B5306" t="str">
        <f>"1551685929212618"</f>
        <v>1551685929212618</v>
      </c>
      <c r="C5306" t="s">
        <v>40</v>
      </c>
      <c r="D5306">
        <v>4.7690679999999999</v>
      </c>
      <c r="E5306">
        <v>0.51064969999999998</v>
      </c>
      <c r="F5306" t="s">
        <v>92</v>
      </c>
      <c r="G5306">
        <v>-420.39260000000002</v>
      </c>
      <c r="H5306">
        <v>0.30287779999999997</v>
      </c>
      <c r="I5306">
        <v>0.47339439999999999</v>
      </c>
      <c r="J5306">
        <v>-423.11869999999999</v>
      </c>
      <c r="K5306">
        <v>1.1115170000000001</v>
      </c>
      <c r="L5306">
        <v>69.001949999999994</v>
      </c>
      <c r="M5306">
        <v>3.4711830000000001E-3</v>
      </c>
      <c r="N5306">
        <v>-1.3903560000000001E-2</v>
      </c>
      <c r="O5306">
        <v>-0.99989740000000005</v>
      </c>
      <c r="P5306">
        <v>0.1293868</v>
      </c>
      <c r="Q5306">
        <v>0.18195790000000001</v>
      </c>
      <c r="R5306">
        <v>-0.97475670000000003</v>
      </c>
      <c r="S5306">
        <v>0.12167360000000001</v>
      </c>
      <c r="T5306">
        <v>-3.6066649999999999E-2</v>
      </c>
      <c r="U5306">
        <v>-3.0672609999999998</v>
      </c>
      <c r="V5306">
        <v>-0.12640199999999999</v>
      </c>
      <c r="W5306">
        <v>0.19524079999999999</v>
      </c>
      <c r="X5306">
        <v>0.97257570000000004</v>
      </c>
      <c r="Y5306">
        <v>-3.6161749999999999E-2</v>
      </c>
      <c r="Z5306">
        <v>-2.1535719999999999E-3</v>
      </c>
      <c r="AA5306">
        <v>0.9993436</v>
      </c>
      <c r="AB5306">
        <v>25</v>
      </c>
      <c r="AC5306">
        <v>2.72609999999997</v>
      </c>
      <c r="AD5306">
        <v>-0.8086392</v>
      </c>
      <c r="AE5306">
        <v>-68.528555599999905</v>
      </c>
      <c r="AF5306">
        <v>-2.4878395796640298</v>
      </c>
      <c r="AG5306">
        <v>-0.8086392</v>
      </c>
      <c r="AH5306">
        <v>68.528079544169302</v>
      </c>
      <c r="AI5306">
        <v>90.675620355265806</v>
      </c>
      <c r="AJ5306">
        <v>92.079149682909403</v>
      </c>
      <c r="AK5306">
        <v>68.577991579966195</v>
      </c>
      <c r="AL5306">
        <v>78.741208790656401</v>
      </c>
      <c r="AM5306">
        <v>97.405009564744006</v>
      </c>
      <c r="AN5306">
        <v>0.99999996390956403</v>
      </c>
    </row>
    <row r="5307" spans="1:40" x14ac:dyDescent="0.25">
      <c r="A5307" t="str">
        <f>"20190304155209243"</f>
        <v>20190304155209243</v>
      </c>
      <c r="B5307" t="str">
        <f>"1551685929232135"</f>
        <v>1551685929232135</v>
      </c>
      <c r="C5307" t="s">
        <v>40</v>
      </c>
      <c r="D5307">
        <v>4.7570230000000002</v>
      </c>
      <c r="E5307">
        <v>0.50581259999999995</v>
      </c>
      <c r="F5307" t="s">
        <v>77</v>
      </c>
      <c r="G5307">
        <v>-419.05059999999997</v>
      </c>
      <c r="H5307" s="1">
        <v>-7.3393280000000001E-6</v>
      </c>
      <c r="I5307">
        <v>27.251239999999999</v>
      </c>
      <c r="J5307">
        <v>-423.1164</v>
      </c>
      <c r="K5307">
        <v>1.1115120000000001</v>
      </c>
      <c r="L5307">
        <v>68.748050000000006</v>
      </c>
      <c r="M5307">
        <v>4.7246859999999996E-3</v>
      </c>
      <c r="N5307">
        <v>-1.390095E-2</v>
      </c>
      <c r="O5307">
        <v>-0.99989240000000001</v>
      </c>
      <c r="P5307">
        <v>0.13129379999999999</v>
      </c>
      <c r="Q5307">
        <v>0.1820252</v>
      </c>
      <c r="R5307">
        <v>-0.97448920000000006</v>
      </c>
      <c r="S5307">
        <v>0.2975159</v>
      </c>
      <c r="T5307">
        <v>-8.1289650000000005E-2</v>
      </c>
      <c r="U5307">
        <v>-3.053375</v>
      </c>
      <c r="V5307">
        <v>-0.1270848</v>
      </c>
      <c r="W5307">
        <v>0.19530449999999999</v>
      </c>
      <c r="X5307">
        <v>0.97247399999999995</v>
      </c>
      <c r="Y5307">
        <v>-9.2241589999999998E-2</v>
      </c>
      <c r="Z5307">
        <v>1.2598170000000001E-2</v>
      </c>
      <c r="AA5307">
        <v>0.99565700000000001</v>
      </c>
      <c r="AB5307">
        <v>25</v>
      </c>
      <c r="AC5307">
        <v>4.0658000000000198</v>
      </c>
      <c r="AD5307">
        <v>-1.1115193393279901</v>
      </c>
      <c r="AE5307">
        <v>-41.496809999999897</v>
      </c>
      <c r="AF5307">
        <v>-3.8669282746421199</v>
      </c>
      <c r="AG5307">
        <v>-1.1115193393279901</v>
      </c>
      <c r="AH5307">
        <v>41.486076176555201</v>
      </c>
      <c r="AI5307">
        <v>91.528114312955793</v>
      </c>
      <c r="AJ5307">
        <v>95.325168565039604</v>
      </c>
      <c r="AK5307">
        <v>41.680728473118997</v>
      </c>
      <c r="AL5307">
        <v>78.737488247471305</v>
      </c>
      <c r="AM5307">
        <v>97.445332351489498</v>
      </c>
      <c r="AN5307">
        <v>1.00000003739364</v>
      </c>
    </row>
    <row r="5308" spans="1:40" x14ac:dyDescent="0.25">
      <c r="A5308" t="str">
        <f>"20190304155209266"</f>
        <v>20190304155209266</v>
      </c>
      <c r="B5308" t="str">
        <f>"1551685929262390"</f>
        <v>1551685929262390</v>
      </c>
      <c r="C5308" t="s">
        <v>40</v>
      </c>
      <c r="D5308">
        <v>4.6955419999999997</v>
      </c>
      <c r="E5308">
        <v>0.50340600000000002</v>
      </c>
      <c r="F5308" t="s">
        <v>77</v>
      </c>
      <c r="G5308">
        <v>-418.89620000000002</v>
      </c>
      <c r="H5308" s="1">
        <v>-5.2406159999999999E-6</v>
      </c>
      <c r="I5308">
        <v>31.0274</v>
      </c>
      <c r="J5308">
        <v>-423.11380000000003</v>
      </c>
      <c r="K5308">
        <v>1.1115029999999999</v>
      </c>
      <c r="L5308">
        <v>68.497500000000002</v>
      </c>
      <c r="M5308">
        <v>5.9489879999999997E-3</v>
      </c>
      <c r="N5308">
        <v>-1.389834E-2</v>
      </c>
      <c r="O5308">
        <v>-0.99988580000000005</v>
      </c>
      <c r="P5308">
        <v>0.1331474</v>
      </c>
      <c r="Q5308">
        <v>0.18220629999999999</v>
      </c>
      <c r="R5308">
        <v>-0.97420359999999995</v>
      </c>
      <c r="S5308">
        <v>0.34115600000000001</v>
      </c>
      <c r="T5308">
        <v>-8.9855309999999994E-2</v>
      </c>
      <c r="U5308">
        <v>-3.049347</v>
      </c>
      <c r="V5308">
        <v>-0.12774189999999999</v>
      </c>
      <c r="W5308">
        <v>0.19548309999999999</v>
      </c>
      <c r="X5308">
        <v>0.97235199999999999</v>
      </c>
      <c r="Y5308">
        <v>-0.1052254</v>
      </c>
      <c r="Z5308">
        <v>1.538992E-2</v>
      </c>
      <c r="AA5308">
        <v>0.99432929999999997</v>
      </c>
      <c r="AB5308">
        <v>25</v>
      </c>
      <c r="AC5308">
        <v>4.2176</v>
      </c>
      <c r="AD5308">
        <v>-1.111508240616</v>
      </c>
      <c r="AE5308">
        <v>-37.470100000000002</v>
      </c>
      <c r="AF5308">
        <v>-3.9911266301756898</v>
      </c>
      <c r="AG5308">
        <v>-1.111508240616</v>
      </c>
      <c r="AH5308">
        <v>37.461977626789903</v>
      </c>
      <c r="AI5308">
        <v>91.689926592196201</v>
      </c>
      <c r="AJ5308">
        <v>96.081242649200604</v>
      </c>
      <c r="AK5308">
        <v>37.690374236098599</v>
      </c>
      <c r="AL5308">
        <v>78.727053945150303</v>
      </c>
      <c r="AM5308">
        <v>97.484321989840396</v>
      </c>
      <c r="AN5308">
        <v>1.0000000236526001</v>
      </c>
    </row>
    <row r="5309" spans="1:40" x14ac:dyDescent="0.25">
      <c r="A5309" t="str">
        <f>"20190304155209288"</f>
        <v>20190304155209288</v>
      </c>
      <c r="B5309" t="str">
        <f>"1551685929281910"</f>
        <v>1551685929281910</v>
      </c>
      <c r="C5309" t="s">
        <v>40</v>
      </c>
      <c r="D5309">
        <v>4.7104410000000003</v>
      </c>
      <c r="E5309">
        <v>0.50285690000000005</v>
      </c>
      <c r="F5309" t="s">
        <v>77</v>
      </c>
      <c r="G5309">
        <v>-419.33920000000001</v>
      </c>
      <c r="H5309" s="1">
        <v>-1.7494140000000001E-6</v>
      </c>
      <c r="I5309">
        <v>37.120519999999999</v>
      </c>
      <c r="J5309">
        <v>-423.11090000000002</v>
      </c>
      <c r="K5309">
        <v>1.1114869999999999</v>
      </c>
      <c r="L5309">
        <v>68.246700000000004</v>
      </c>
      <c r="M5309">
        <v>7.1549600000000001E-3</v>
      </c>
      <c r="N5309">
        <v>-1.3895619999999999E-2</v>
      </c>
      <c r="O5309">
        <v>-0.99987789999999999</v>
      </c>
      <c r="P5309">
        <v>0.1348162</v>
      </c>
      <c r="Q5309">
        <v>0.1821209</v>
      </c>
      <c r="R5309">
        <v>-0.97399009999999997</v>
      </c>
      <c r="S5309">
        <v>0.36685180000000001</v>
      </c>
      <c r="T5309">
        <v>-0.1080261</v>
      </c>
      <c r="U5309">
        <v>-3.0495000000000001</v>
      </c>
      <c r="V5309">
        <v>-0.1282286</v>
      </c>
      <c r="W5309">
        <v>0.19539799999999999</v>
      </c>
      <c r="X5309">
        <v>0.97230499999999997</v>
      </c>
      <c r="Y5309">
        <v>-0.1122652</v>
      </c>
      <c r="Z5309">
        <v>2.1277770000000001E-2</v>
      </c>
      <c r="AA5309">
        <v>0.99345050000000001</v>
      </c>
      <c r="AB5309">
        <v>25</v>
      </c>
      <c r="AC5309">
        <v>3.7717000000000001</v>
      </c>
      <c r="AD5309">
        <v>-1.111488749414</v>
      </c>
      <c r="AE5309">
        <v>-31.126180000000002</v>
      </c>
      <c r="AF5309">
        <v>-3.5444211338251499</v>
      </c>
      <c r="AG5309">
        <v>-1.111488749414</v>
      </c>
      <c r="AH5309">
        <v>31.113272351304399</v>
      </c>
      <c r="AI5309">
        <v>92.032823994407295</v>
      </c>
      <c r="AJ5309">
        <v>96.499111983408994</v>
      </c>
      <c r="AK5309">
        <v>31.3342311988091</v>
      </c>
      <c r="AL5309">
        <v>78.732025225152796</v>
      </c>
      <c r="AM5309">
        <v>97.5128713553284</v>
      </c>
      <c r="AN5309">
        <v>0.999999982643479</v>
      </c>
    </row>
    <row r="5310" spans="1:40" x14ac:dyDescent="0.25">
      <c r="A5310" t="str">
        <f>"20190304155209310"</f>
        <v>20190304155209310</v>
      </c>
      <c r="B5310" t="str">
        <f>"1551685929302407"</f>
        <v>1551685929302407</v>
      </c>
      <c r="C5310" t="s">
        <v>40</v>
      </c>
      <c r="D5310">
        <v>4.9097419999999996</v>
      </c>
      <c r="E5310">
        <v>0.50353130000000001</v>
      </c>
      <c r="F5310" t="s">
        <v>77</v>
      </c>
      <c r="G5310">
        <v>-419.32639999999998</v>
      </c>
      <c r="H5310" s="1">
        <v>-1.4439419999999999E-6</v>
      </c>
      <c r="I5310">
        <v>37.606450000000002</v>
      </c>
      <c r="J5310">
        <v>-423.1078</v>
      </c>
      <c r="K5310">
        <v>1.1114580000000001</v>
      </c>
      <c r="L5310">
        <v>67.999539999999996</v>
      </c>
      <c r="M5310">
        <v>8.3149019999999903E-3</v>
      </c>
      <c r="N5310">
        <v>-1.3892730000000001E-2</v>
      </c>
      <c r="O5310">
        <v>-0.99986889999999995</v>
      </c>
      <c r="P5310">
        <v>0.13653270000000001</v>
      </c>
      <c r="Q5310">
        <v>0.18147050000000001</v>
      </c>
      <c r="R5310">
        <v>-0.97387239999999997</v>
      </c>
      <c r="S5310">
        <v>0.37655640000000001</v>
      </c>
      <c r="T5310">
        <v>-0.110592</v>
      </c>
      <c r="U5310">
        <v>-3.0486759999999999</v>
      </c>
      <c r="V5310">
        <v>-0.12880319999999901</v>
      </c>
      <c r="W5310">
        <v>0.19475120000000001</v>
      </c>
      <c r="X5310">
        <v>0.97235879999999997</v>
      </c>
      <c r="Y5310">
        <v>-0.1142566</v>
      </c>
      <c r="Z5310">
        <v>2.2114390000000001E-2</v>
      </c>
      <c r="AA5310">
        <v>0.99320509999999995</v>
      </c>
      <c r="AB5310">
        <v>25</v>
      </c>
      <c r="AC5310">
        <v>3.7814000000000099</v>
      </c>
      <c r="AD5310">
        <v>-1.111459443942</v>
      </c>
      <c r="AE5310">
        <v>-30.393089999999901</v>
      </c>
      <c r="AF5310">
        <v>-3.5238885388724501</v>
      </c>
      <c r="AG5310">
        <v>-1.111459443942</v>
      </c>
      <c r="AH5310">
        <v>30.383470887071201</v>
      </c>
      <c r="AI5310">
        <v>92.081068382852806</v>
      </c>
      <c r="AJ5310">
        <v>96.615632473125203</v>
      </c>
      <c r="AK5310">
        <v>30.6073265032317</v>
      </c>
      <c r="AL5310">
        <v>78.769809843532997</v>
      </c>
      <c r="AM5310">
        <v>97.545737150230394</v>
      </c>
      <c r="AN5310">
        <v>0.99999996508455902</v>
      </c>
    </row>
    <row r="5311" spans="1:40" x14ac:dyDescent="0.25">
      <c r="A5311" t="str">
        <f>"20190304155209333"</f>
        <v>20190304155209333</v>
      </c>
      <c r="B5311" t="str">
        <f>"1551685929321928"</f>
        <v>1551685929321928</v>
      </c>
      <c r="C5311" t="s">
        <v>40</v>
      </c>
      <c r="D5311">
        <v>4.7090670000000001</v>
      </c>
      <c r="E5311">
        <v>0.50312250000000003</v>
      </c>
      <c r="F5311" t="s">
        <v>77</v>
      </c>
      <c r="G5311">
        <v>-419.44639999999998</v>
      </c>
      <c r="H5311" s="1">
        <v>-9.4690170000000001E-7</v>
      </c>
      <c r="I5311">
        <v>38.338200000000001</v>
      </c>
      <c r="J5311">
        <v>-423.10430000000002</v>
      </c>
      <c r="K5311">
        <v>1.1114329999999999</v>
      </c>
      <c r="L5311">
        <v>67.742279999999994</v>
      </c>
      <c r="M5311">
        <v>9.4942380000000003E-3</v>
      </c>
      <c r="N5311">
        <v>-1.388965E-2</v>
      </c>
      <c r="O5311">
        <v>-0.99985860000000004</v>
      </c>
      <c r="P5311">
        <v>0.13781399999999999</v>
      </c>
      <c r="Q5311">
        <v>0.181148</v>
      </c>
      <c r="R5311">
        <v>-0.97375179999999995</v>
      </c>
      <c r="S5311">
        <v>0.37637330000000002</v>
      </c>
      <c r="T5311">
        <v>-0.11425150000000001</v>
      </c>
      <c r="U5311">
        <v>-3.0490110000000001</v>
      </c>
      <c r="V5311">
        <v>-0.1289237</v>
      </c>
      <c r="W5311">
        <v>0.19443360000000001</v>
      </c>
      <c r="X5311">
        <v>0.9724064</v>
      </c>
      <c r="Y5311">
        <v>-0.1130089</v>
      </c>
      <c r="Z5311">
        <v>2.3306540000000001E-2</v>
      </c>
      <c r="AA5311">
        <v>0.9933206</v>
      </c>
      <c r="AB5311">
        <v>25</v>
      </c>
      <c r="AC5311">
        <v>3.6579000000000401</v>
      </c>
      <c r="AD5311">
        <v>-1.1114339469016901</v>
      </c>
      <c r="AE5311">
        <v>-29.40408</v>
      </c>
      <c r="AF5311">
        <v>-3.3737920749003698</v>
      </c>
      <c r="AG5311">
        <v>-1.1114339469016901</v>
      </c>
      <c r="AH5311">
        <v>29.396127525457501</v>
      </c>
      <c r="AI5311">
        <v>92.151148637351497</v>
      </c>
      <c r="AJ5311">
        <v>96.547187187198404</v>
      </c>
      <c r="AK5311">
        <v>29.609965752697999</v>
      </c>
      <c r="AL5311">
        <v>78.7883617398967</v>
      </c>
      <c r="AM5311">
        <v>97.552349557983803</v>
      </c>
      <c r="AN5311">
        <v>0.99999997599580404</v>
      </c>
    </row>
    <row r="5312" spans="1:40" x14ac:dyDescent="0.25">
      <c r="A5312" t="str">
        <f>"20190304155209355"</f>
        <v>20190304155209355</v>
      </c>
      <c r="B5312" t="str">
        <f>"1551685929352182"</f>
        <v>1551685929352182</v>
      </c>
      <c r="C5312" t="s">
        <v>40</v>
      </c>
      <c r="D5312">
        <v>4.6822949999999999</v>
      </c>
      <c r="E5312">
        <v>0.50312460000000003</v>
      </c>
      <c r="F5312" t="s">
        <v>77</v>
      </c>
      <c r="G5312">
        <v>-419.45359999999999</v>
      </c>
      <c r="H5312" s="1">
        <v>-7.1529999999999995E-7</v>
      </c>
      <c r="I5312">
        <v>38.699550000000002</v>
      </c>
      <c r="J5312">
        <v>-423.10070000000002</v>
      </c>
      <c r="K5312">
        <v>1.11141</v>
      </c>
      <c r="L5312">
        <v>67.501009999999994</v>
      </c>
      <c r="M5312">
        <v>1.056671E-2</v>
      </c>
      <c r="N5312">
        <v>-1.388676E-2</v>
      </c>
      <c r="O5312">
        <v>-0.99984790000000001</v>
      </c>
      <c r="P5312">
        <v>0.13873260000000001</v>
      </c>
      <c r="Q5312">
        <v>0.18110809999999999</v>
      </c>
      <c r="R5312">
        <v>-0.97362919999999997</v>
      </c>
      <c r="S5312">
        <v>0.38317869999999998</v>
      </c>
      <c r="T5312">
        <v>-0.1166567</v>
      </c>
      <c r="U5312">
        <v>-3.04834</v>
      </c>
      <c r="V5312">
        <v>-0.1287855</v>
      </c>
      <c r="W5312">
        <v>0.19439899999999999</v>
      </c>
      <c r="X5312">
        <v>0.97243170000000001</v>
      </c>
      <c r="Y5312">
        <v>-0.11415</v>
      </c>
      <c r="Z5312">
        <v>2.4092450000000001E-2</v>
      </c>
      <c r="AA5312">
        <v>0.99317129999999998</v>
      </c>
      <c r="AB5312">
        <v>25</v>
      </c>
      <c r="AC5312">
        <v>3.64710000000002</v>
      </c>
      <c r="AD5312">
        <v>-1.1114107152999999</v>
      </c>
      <c r="AE5312">
        <v>-28.801459999999899</v>
      </c>
      <c r="AF5312">
        <v>-3.3376387715670499</v>
      </c>
      <c r="AG5312">
        <v>-1.1114107152999999</v>
      </c>
      <c r="AH5312">
        <v>28.796189971057402</v>
      </c>
      <c r="AI5312">
        <v>92.195592673031001</v>
      </c>
      <c r="AJ5312">
        <v>96.611399155807504</v>
      </c>
      <c r="AK5312">
        <v>29.010267547831699</v>
      </c>
      <c r="AL5312">
        <v>78.790383504962506</v>
      </c>
      <c r="AM5312">
        <v>97.544153081577704</v>
      </c>
      <c r="AN5312">
        <v>1.0000000436880601</v>
      </c>
    </row>
    <row r="5313" spans="1:40" x14ac:dyDescent="0.25">
      <c r="A5313" t="str">
        <f>"20190304155209378"</f>
        <v>20190304155209378</v>
      </c>
      <c r="B5313" t="str">
        <f>"1551685929372680"</f>
        <v>1551685929372680</v>
      </c>
      <c r="C5313" t="s">
        <v>40</v>
      </c>
      <c r="D5313">
        <v>4.8032969999999997</v>
      </c>
      <c r="E5313">
        <v>0.5027237</v>
      </c>
      <c r="F5313" t="s">
        <v>41</v>
      </c>
      <c r="G5313">
        <v>-419.57310000000001</v>
      </c>
      <c r="H5313" s="1">
        <v>-1.2268029999999999E-7</v>
      </c>
      <c r="I5313">
        <v>39.674810000000001</v>
      </c>
      <c r="J5313">
        <v>-423.09660000000002</v>
      </c>
      <c r="K5313">
        <v>1.111381</v>
      </c>
      <c r="L5313">
        <v>67.240750000000006</v>
      </c>
      <c r="M5313">
        <v>1.1677140000000001E-2</v>
      </c>
      <c r="N5313">
        <v>-1.388351E-2</v>
      </c>
      <c r="O5313">
        <v>-0.99983569999999999</v>
      </c>
      <c r="P5313">
        <v>0.13960899999999901</v>
      </c>
      <c r="Q5313">
        <v>0.18128949999999999</v>
      </c>
      <c r="R5313">
        <v>-0.97347019999999995</v>
      </c>
      <c r="S5313">
        <v>0.38650509999999999</v>
      </c>
      <c r="T5313">
        <v>-0.1217737</v>
      </c>
      <c r="U5313">
        <v>-3.0488279999999999</v>
      </c>
      <c r="V5313">
        <v>-0.12856680000000001</v>
      </c>
      <c r="W5313">
        <v>0.19458790000000001</v>
      </c>
      <c r="X5313">
        <v>0.97242280000000003</v>
      </c>
      <c r="Y5313">
        <v>-0.1140871</v>
      </c>
      <c r="Z5313">
        <v>2.5750579999999999E-2</v>
      </c>
      <c r="AA5313">
        <v>0.99313689999999999</v>
      </c>
      <c r="AB5313">
        <v>25</v>
      </c>
      <c r="AC5313">
        <v>3.5235000000000101</v>
      </c>
      <c r="AD5313">
        <v>-1.1113811226803001</v>
      </c>
      <c r="AE5313">
        <v>-27.565940000000001</v>
      </c>
      <c r="AF5313">
        <v>-3.1962255717426702</v>
      </c>
      <c r="AG5313">
        <v>-1.1113811226803001</v>
      </c>
      <c r="AH5313">
        <v>27.561128790302199</v>
      </c>
      <c r="AI5313">
        <v>92.293800538824001</v>
      </c>
      <c r="AJ5313">
        <v>96.614962796815306</v>
      </c>
      <c r="AK5313">
        <v>27.768090429500901</v>
      </c>
      <c r="AL5313">
        <v>78.779348988231703</v>
      </c>
      <c r="AM5313">
        <v>97.531557138057195</v>
      </c>
      <c r="AN5313">
        <v>0.99999998742424401</v>
      </c>
    </row>
    <row r="5314" spans="1:40" x14ac:dyDescent="0.25">
      <c r="A5314" t="str">
        <f>"20190304155209400"</f>
        <v>20190304155209400</v>
      </c>
      <c r="B5314" t="str">
        <f>"1551685929392199"</f>
        <v>1551685929392199</v>
      </c>
      <c r="C5314" t="s">
        <v>40</v>
      </c>
      <c r="D5314">
        <v>4.6891689999999997</v>
      </c>
      <c r="E5314">
        <v>0.50255019999999995</v>
      </c>
      <c r="F5314" t="s">
        <v>77</v>
      </c>
      <c r="G5314">
        <v>-419.51549999999997</v>
      </c>
      <c r="H5314" s="1">
        <v>-2.480033E-7</v>
      </c>
      <c r="I5314">
        <v>39.408819999999999</v>
      </c>
      <c r="J5314">
        <v>-423.09249999999997</v>
      </c>
      <c r="K5314">
        <v>1.1113470000000001</v>
      </c>
      <c r="L5314">
        <v>66.992919999999998</v>
      </c>
      <c r="M5314">
        <v>1.268294E-2</v>
      </c>
      <c r="N5314">
        <v>-1.388031E-2</v>
      </c>
      <c r="O5314">
        <v>-0.99982329999999997</v>
      </c>
      <c r="P5314">
        <v>0.14047809999999999</v>
      </c>
      <c r="Q5314">
        <v>0.1811934</v>
      </c>
      <c r="R5314">
        <v>-0.97336279999999997</v>
      </c>
      <c r="S5314">
        <v>0.3922119</v>
      </c>
      <c r="T5314">
        <v>-0.1217198</v>
      </c>
      <c r="U5314">
        <v>-3.048187</v>
      </c>
      <c r="V5314">
        <v>-0.12843969999999999</v>
      </c>
      <c r="W5314">
        <v>0.19450000000000001</v>
      </c>
      <c r="X5314">
        <v>0.97245720000000002</v>
      </c>
      <c r="Y5314">
        <v>-0.114943</v>
      </c>
      <c r="Z5314">
        <v>2.5738190000000001E-2</v>
      </c>
      <c r="AA5314">
        <v>0.99303859999999999</v>
      </c>
      <c r="AB5314">
        <v>25</v>
      </c>
      <c r="AC5314">
        <v>3.5769999999999902</v>
      </c>
      <c r="AD5314">
        <v>-1.11134724800329</v>
      </c>
      <c r="AE5314">
        <v>-27.584099999999999</v>
      </c>
      <c r="AF5314">
        <v>-3.2216879978491</v>
      </c>
      <c r="AG5314">
        <v>-1.11134724800329</v>
      </c>
      <c r="AH5314">
        <v>27.583218545972699</v>
      </c>
      <c r="AI5314">
        <v>92.291677491512502</v>
      </c>
      <c r="AJ5314">
        <v>96.661896353807606</v>
      </c>
      <c r="AK5314">
        <v>27.792954352066001</v>
      </c>
      <c r="AL5314">
        <v>78.784483599268896</v>
      </c>
      <c r="AM5314">
        <v>97.5239337424252</v>
      </c>
      <c r="AN5314">
        <v>1.00000000618396</v>
      </c>
    </row>
    <row r="5315" spans="1:40" x14ac:dyDescent="0.25">
      <c r="A5315" t="str">
        <f>"20190304155209423"</f>
        <v>20190304155209423</v>
      </c>
      <c r="B5315" t="str">
        <f>"1551685929412695"</f>
        <v>1551685929412695</v>
      </c>
      <c r="C5315" t="s">
        <v>40</v>
      </c>
      <c r="D5315">
        <v>4.7000129999999896</v>
      </c>
      <c r="E5315">
        <v>0.50242039999999999</v>
      </c>
      <c r="F5315" t="s">
        <v>77</v>
      </c>
      <c r="G5315">
        <v>-419.49939999999998</v>
      </c>
      <c r="H5315" s="1">
        <v>-3.1211019999999999E-7</v>
      </c>
      <c r="I5315">
        <v>39.314689999999999</v>
      </c>
      <c r="J5315">
        <v>-423.08819999999997</v>
      </c>
      <c r="K5315">
        <v>1.1113059999999999</v>
      </c>
      <c r="L5315">
        <v>66.743290000000002</v>
      </c>
      <c r="M5315">
        <v>1.3637720000000001E-2</v>
      </c>
      <c r="N5315">
        <v>-1.3876919999999999E-2</v>
      </c>
      <c r="O5315">
        <v>-0.9998108</v>
      </c>
      <c r="P5315">
        <v>0.14109099999999999</v>
      </c>
      <c r="Q5315">
        <v>0.18106410000000001</v>
      </c>
      <c r="R5315">
        <v>-0.97329829999999995</v>
      </c>
      <c r="S5315">
        <v>0.39566040000000002</v>
      </c>
      <c r="T5315">
        <v>-0.1223761</v>
      </c>
      <c r="U5315">
        <v>-3.0477910000000001</v>
      </c>
      <c r="V5315">
        <v>-0.12810189999999999</v>
      </c>
      <c r="W5315">
        <v>0.1943821</v>
      </c>
      <c r="X5315">
        <v>0.97252530000000004</v>
      </c>
      <c r="Y5315">
        <v>-0.11511490000000001</v>
      </c>
      <c r="Z5315">
        <v>2.595691E-2</v>
      </c>
      <c r="AA5315">
        <v>0.99301300000000003</v>
      </c>
      <c r="AB5315">
        <v>25</v>
      </c>
      <c r="AC5315">
        <v>3.5887999999999902</v>
      </c>
      <c r="AD5315">
        <v>-1.11130631211019</v>
      </c>
      <c r="AE5315">
        <v>-27.428599999999999</v>
      </c>
      <c r="AF5315">
        <v>-3.20918718545982</v>
      </c>
      <c r="AG5315">
        <v>-1.11130631211019</v>
      </c>
      <c r="AH5315">
        <v>27.430724824486401</v>
      </c>
      <c r="AI5315">
        <v>92.304267581403806</v>
      </c>
      <c r="AJ5315">
        <v>96.672838646069394</v>
      </c>
      <c r="AK5315">
        <v>27.6401618755635</v>
      </c>
      <c r="AL5315">
        <v>78.791369892150499</v>
      </c>
      <c r="AM5315">
        <v>97.503851913166798</v>
      </c>
      <c r="AN5315">
        <v>0.99999997836205401</v>
      </c>
    </row>
    <row r="5316" spans="1:40" x14ac:dyDescent="0.25">
      <c r="A5316" t="str">
        <f>"20190304155209443"</f>
        <v>20190304155209443</v>
      </c>
      <c r="B5316" t="str">
        <f>"1551685929432215"</f>
        <v>1551685929432215</v>
      </c>
      <c r="C5316" t="s">
        <v>40</v>
      </c>
      <c r="D5316">
        <v>4.6941030000000001</v>
      </c>
      <c r="E5316">
        <v>0.50227639999999996</v>
      </c>
      <c r="F5316" t="s">
        <v>77</v>
      </c>
      <c r="G5316">
        <v>-419.47489999999999</v>
      </c>
      <c r="H5316" s="1">
        <v>-4.2713819999999998E-7</v>
      </c>
      <c r="I5316">
        <v>39.143970000000003</v>
      </c>
      <c r="J5316">
        <v>-423.084</v>
      </c>
      <c r="K5316">
        <v>1.1112610000000001</v>
      </c>
      <c r="L5316">
        <v>66.504760000000005</v>
      </c>
      <c r="M5316">
        <v>1.4488910000000001E-2</v>
      </c>
      <c r="N5316">
        <v>-1.38736E-2</v>
      </c>
      <c r="O5316">
        <v>-0.99979899999999999</v>
      </c>
      <c r="P5316">
        <v>0.14155589999999901</v>
      </c>
      <c r="Q5316">
        <v>0.1810445</v>
      </c>
      <c r="R5316">
        <v>-0.97323440000000006</v>
      </c>
      <c r="S5316">
        <v>0.39895629999999999</v>
      </c>
      <c r="T5316">
        <v>-0.1227019</v>
      </c>
      <c r="U5316">
        <v>-3.0473020000000002</v>
      </c>
      <c r="V5316">
        <v>-0.12771540000000001</v>
      </c>
      <c r="W5316">
        <v>0.19437460000000001</v>
      </c>
      <c r="X5316">
        <v>0.97257760000000004</v>
      </c>
      <c r="Y5316">
        <v>-0.11534510000000001</v>
      </c>
      <c r="Z5316">
        <v>2.606928E-2</v>
      </c>
      <c r="AA5316">
        <v>0.99298330000000001</v>
      </c>
      <c r="AB5316">
        <v>25</v>
      </c>
      <c r="AC5316">
        <v>3.60910000000001</v>
      </c>
      <c r="AD5316">
        <v>-1.1112614271382</v>
      </c>
      <c r="AE5316">
        <v>-27.360790000000001</v>
      </c>
      <c r="AF5316">
        <v>-3.20705514735723</v>
      </c>
      <c r="AG5316">
        <v>-1.1112614271382</v>
      </c>
      <c r="AH5316">
        <v>27.3658440278647</v>
      </c>
      <c r="AI5316">
        <v>92.309578442580701</v>
      </c>
      <c r="AJ5316">
        <v>96.684112568262407</v>
      </c>
      <c r="AK5316">
        <v>27.575524002909798</v>
      </c>
      <c r="AL5316">
        <v>78.791807624427804</v>
      </c>
      <c r="AM5316">
        <v>97.481070915018194</v>
      </c>
      <c r="AN5316">
        <v>0.99999994827203798</v>
      </c>
    </row>
    <row r="5317" spans="1:40" x14ac:dyDescent="0.25">
      <c r="A5317" t="str">
        <f>"20190304155209467"</f>
        <v>20190304155209467</v>
      </c>
      <c r="B5317" t="str">
        <f>"1551685929462471"</f>
        <v>1551685929462471</v>
      </c>
      <c r="C5317" t="s">
        <v>40</v>
      </c>
      <c r="D5317">
        <v>4.7130710000000002</v>
      </c>
      <c r="E5317">
        <v>0.50210129999999997</v>
      </c>
      <c r="F5317" t="s">
        <v>77</v>
      </c>
      <c r="G5317">
        <v>-419.44799999999998</v>
      </c>
      <c r="H5317" s="1">
        <v>-5.7290769999999898E-7</v>
      </c>
      <c r="I5317">
        <v>38.925899999999999</v>
      </c>
      <c r="J5317">
        <v>-423.07929999999999</v>
      </c>
      <c r="K5317">
        <v>1.111213</v>
      </c>
      <c r="L5317">
        <v>66.248660000000001</v>
      </c>
      <c r="M5317">
        <v>1.533235E-2</v>
      </c>
      <c r="N5317">
        <v>-1.387001E-2</v>
      </c>
      <c r="O5317">
        <v>-0.99978639999999996</v>
      </c>
      <c r="P5317">
        <v>0.1420902</v>
      </c>
      <c r="Q5317">
        <v>0.1813024</v>
      </c>
      <c r="R5317">
        <v>-0.97310850000000004</v>
      </c>
      <c r="S5317">
        <v>0.40170289999999997</v>
      </c>
      <c r="T5317">
        <v>-0.1227719</v>
      </c>
      <c r="U5317">
        <v>-3.0469059999999999</v>
      </c>
      <c r="V5317">
        <v>-0.12740460000000001</v>
      </c>
      <c r="W5317">
        <v>0.19464590000000001</v>
      </c>
      <c r="X5317">
        <v>0.97256419999999999</v>
      </c>
      <c r="Y5317">
        <v>-0.11540350000000001</v>
      </c>
      <c r="Z5317">
        <v>2.6098389999999999E-2</v>
      </c>
      <c r="AA5317">
        <v>0.99297579999999996</v>
      </c>
      <c r="AB5317">
        <v>25</v>
      </c>
      <c r="AC5317">
        <v>3.6312999999999498</v>
      </c>
      <c r="AD5317">
        <v>-1.1112135729077</v>
      </c>
      <c r="AE5317">
        <v>-27.322759999999999</v>
      </c>
      <c r="AF5317">
        <v>-3.2066987648517999</v>
      </c>
      <c r="AG5317">
        <v>-1.1112135729077</v>
      </c>
      <c r="AH5317">
        <v>27.3308077700338</v>
      </c>
      <c r="AI5317">
        <v>92.312399821861703</v>
      </c>
      <c r="AJ5317">
        <v>96.691866505048793</v>
      </c>
      <c r="AK5317">
        <v>27.540711064452498</v>
      </c>
      <c r="AL5317">
        <v>78.775961660324896</v>
      </c>
      <c r="AM5317">
        <v>97.463172597084693</v>
      </c>
      <c r="AN5317">
        <v>1.0000000408048</v>
      </c>
    </row>
    <row r="5318" spans="1:40" x14ac:dyDescent="0.25">
      <c r="A5318" t="str">
        <f>"20190304155209490"</f>
        <v>20190304155209490</v>
      </c>
      <c r="B5318" t="str">
        <f>"1551685929481992"</f>
        <v>1551685929481992</v>
      </c>
      <c r="C5318" t="s">
        <v>40</v>
      </c>
      <c r="D5318">
        <v>4.7034779999999996</v>
      </c>
      <c r="E5318">
        <v>0.50204439999999995</v>
      </c>
      <c r="F5318" t="s">
        <v>77</v>
      </c>
      <c r="G5318">
        <v>-419.38959999999997</v>
      </c>
      <c r="H5318" s="1">
        <v>-8.6574320000000004E-7</v>
      </c>
      <c r="I5318">
        <v>38.489640000000001</v>
      </c>
      <c r="J5318">
        <v>-423.0745</v>
      </c>
      <c r="K5318">
        <v>1.111159</v>
      </c>
      <c r="L5318">
        <v>65.996799999999993</v>
      </c>
      <c r="M5318">
        <v>1.6081479999999999E-2</v>
      </c>
      <c r="N5318">
        <v>-1.386657E-2</v>
      </c>
      <c r="O5318">
        <v>-0.99977450000000001</v>
      </c>
      <c r="P5318">
        <v>0.14263670000000001</v>
      </c>
      <c r="Q5318">
        <v>0.1816556</v>
      </c>
      <c r="R5318">
        <v>-0.97296289999999996</v>
      </c>
      <c r="S5318">
        <v>0.40493770000000001</v>
      </c>
      <c r="T5318">
        <v>-0.12195400000000001</v>
      </c>
      <c r="U5318">
        <v>-3.0465089999999999</v>
      </c>
      <c r="V5318">
        <v>-0.12719759999999999</v>
      </c>
      <c r="W5318">
        <v>0.1950122</v>
      </c>
      <c r="X5318">
        <v>0.97251790000000005</v>
      </c>
      <c r="Y5318">
        <v>-0.1157132</v>
      </c>
      <c r="Z5318">
        <v>2.583775E-2</v>
      </c>
      <c r="AA5318">
        <v>0.99294660000000001</v>
      </c>
      <c r="AB5318">
        <v>25</v>
      </c>
      <c r="AC5318">
        <v>3.6849000000000198</v>
      </c>
      <c r="AD5318">
        <v>-1.11115986574319</v>
      </c>
      <c r="AE5318">
        <v>-27.507159999999899</v>
      </c>
      <c r="AF5318">
        <v>-3.2368363143768599</v>
      </c>
      <c r="AG5318">
        <v>-1.11115986574319</v>
      </c>
      <c r="AH5318">
        <v>27.5187536490131</v>
      </c>
      <c r="AI5318">
        <v>92.296434715633595</v>
      </c>
      <c r="AJ5318">
        <v>96.7084729516679</v>
      </c>
      <c r="AK5318">
        <v>27.730733635596</v>
      </c>
      <c r="AL5318">
        <v>78.754564021152305</v>
      </c>
      <c r="AM5318">
        <v>97.451533960502701</v>
      </c>
      <c r="AN5318">
        <v>1.0000000267075</v>
      </c>
    </row>
    <row r="5319" spans="1:40" x14ac:dyDescent="0.25">
      <c r="A5319" t="str">
        <f>"20190304155209511"</f>
        <v>20190304155209511</v>
      </c>
      <c r="B5319" t="str">
        <f>"1551685929502487"</f>
        <v>1551685929502487</v>
      </c>
      <c r="C5319" t="s">
        <v>40</v>
      </c>
      <c r="D5319">
        <v>4.6998259999999998</v>
      </c>
      <c r="E5319">
        <v>0.50206629999999997</v>
      </c>
      <c r="F5319" t="s">
        <v>77</v>
      </c>
      <c r="G5319">
        <v>-419.33850000000001</v>
      </c>
      <c r="H5319" s="1">
        <v>-1.180479E-6</v>
      </c>
      <c r="I5319">
        <v>38.01587</v>
      </c>
      <c r="J5319">
        <v>-423.06990000000002</v>
      </c>
      <c r="K5319">
        <v>1.11111</v>
      </c>
      <c r="L5319">
        <v>65.759159999999994</v>
      </c>
      <c r="M5319">
        <v>1.6724059999999999E-2</v>
      </c>
      <c r="N5319">
        <v>-1.3863260000000001E-2</v>
      </c>
      <c r="O5319">
        <v>-0.99976410000000004</v>
      </c>
      <c r="P5319">
        <v>0.1431712</v>
      </c>
      <c r="Q5319">
        <v>0.18112610000000001</v>
      </c>
      <c r="R5319">
        <v>-0.97298320000000005</v>
      </c>
      <c r="S5319">
        <v>0.4067383</v>
      </c>
      <c r="T5319">
        <v>-0.1209737</v>
      </c>
      <c r="U5319">
        <v>-3.0463260000000001</v>
      </c>
      <c r="V5319">
        <v>-0.12708159999999999</v>
      </c>
      <c r="W5319">
        <v>0.19449530000000001</v>
      </c>
      <c r="X5319">
        <v>0.97263650000000001</v>
      </c>
      <c r="Y5319">
        <v>-0.1156606</v>
      </c>
      <c r="Z5319">
        <v>2.552341E-2</v>
      </c>
      <c r="AA5319">
        <v>0.99296079999999998</v>
      </c>
      <c r="AB5319">
        <v>25</v>
      </c>
      <c r="AC5319">
        <v>3.7313999999999998</v>
      </c>
      <c r="AD5319">
        <v>-1.1111111804789999</v>
      </c>
      <c r="AE5319">
        <v>-27.743289999999899</v>
      </c>
      <c r="AF5319">
        <v>-3.2617142626638</v>
      </c>
      <c r="AG5319">
        <v>-1.1111111804789999</v>
      </c>
      <c r="AH5319">
        <v>27.758086980621101</v>
      </c>
      <c r="AI5319">
        <v>92.276586974034302</v>
      </c>
      <c r="AJ5319">
        <v>96.701808935210707</v>
      </c>
      <c r="AK5319">
        <v>27.971141213943699</v>
      </c>
      <c r="AL5319">
        <v>78.784757584291597</v>
      </c>
      <c r="AM5319">
        <v>97.443917059092399</v>
      </c>
      <c r="AN5319">
        <v>0.99999995795644903</v>
      </c>
    </row>
    <row r="5320" spans="1:40" x14ac:dyDescent="0.25">
      <c r="A5320" t="str">
        <f>"20190304155209533"</f>
        <v>20190304155209533</v>
      </c>
      <c r="B5320" t="str">
        <f>"1551685929522007"</f>
        <v>1551685929522007</v>
      </c>
      <c r="C5320" t="s">
        <v>40</v>
      </c>
      <c r="D5320">
        <v>4.7317330000000002</v>
      </c>
      <c r="E5320">
        <v>0.50197029999999998</v>
      </c>
      <c r="F5320" t="s">
        <v>77</v>
      </c>
      <c r="G5320">
        <v>-419.36950000000002</v>
      </c>
      <c r="H5320" s="1">
        <v>-1.082675E-6</v>
      </c>
      <c r="I5320">
        <v>38.156779999999998</v>
      </c>
      <c r="J5320">
        <v>-423.065</v>
      </c>
      <c r="K5320">
        <v>1.111065</v>
      </c>
      <c r="L5320">
        <v>65.512019999999893</v>
      </c>
      <c r="M5320">
        <v>1.7338679999999999E-2</v>
      </c>
      <c r="N5320">
        <v>-1.385986E-2</v>
      </c>
      <c r="O5320">
        <v>-0.99975380000000003</v>
      </c>
      <c r="P5320">
        <v>0.1437145</v>
      </c>
      <c r="Q5320">
        <v>0.18089060000000001</v>
      </c>
      <c r="R5320">
        <v>-0.97294659999999999</v>
      </c>
      <c r="S5320">
        <v>0.40835569999999999</v>
      </c>
      <c r="T5320">
        <v>-0.1226163</v>
      </c>
      <c r="U5320">
        <v>-3.0460509999999998</v>
      </c>
      <c r="V5320">
        <v>-0.12700620000000001</v>
      </c>
      <c r="W5320">
        <v>0.19427030000000001</v>
      </c>
      <c r="X5320">
        <v>0.97269139999999998</v>
      </c>
      <c r="Y5320">
        <v>-0.1155775</v>
      </c>
      <c r="Z5320">
        <v>2.6063059999999999E-2</v>
      </c>
      <c r="AA5320">
        <v>0.99295650000000002</v>
      </c>
      <c r="AB5320">
        <v>25</v>
      </c>
      <c r="AC5320">
        <v>3.69549999999998</v>
      </c>
      <c r="AD5320">
        <v>-1.1110660826750001</v>
      </c>
      <c r="AE5320">
        <v>-27.355239999999899</v>
      </c>
      <c r="AF5320">
        <v>-3.2153858635952601</v>
      </c>
      <c r="AG5320">
        <v>-1.1110660826750001</v>
      </c>
      <c r="AH5320">
        <v>27.370864450339301</v>
      </c>
      <c r="AI5320">
        <v>92.308674291338093</v>
      </c>
      <c r="AJ5320">
        <v>96.700099660137198</v>
      </c>
      <c r="AK5320">
        <v>27.581468322965101</v>
      </c>
      <c r="AL5320">
        <v>78.797900766715799</v>
      </c>
      <c r="AM5320">
        <v>97.439134731632706</v>
      </c>
      <c r="AN5320">
        <v>1.0000000419672399</v>
      </c>
    </row>
    <row r="5321" spans="1:40" x14ac:dyDescent="0.25">
      <c r="A5321" t="str">
        <f>"20190304155209556"</f>
        <v>20190304155209556</v>
      </c>
      <c r="B5321" t="str">
        <f>"1551685929552264"</f>
        <v>1551685929552264</v>
      </c>
      <c r="C5321" t="s">
        <v>40</v>
      </c>
      <c r="D5321">
        <v>4.7409629999999998</v>
      </c>
      <c r="E5321">
        <v>0.50171969999999999</v>
      </c>
      <c r="F5321" t="s">
        <v>77</v>
      </c>
      <c r="G5321">
        <v>-419.3698</v>
      </c>
      <c r="H5321" s="1">
        <v>-1.110078E-6</v>
      </c>
      <c r="I5321">
        <v>38.113520000000001</v>
      </c>
      <c r="J5321">
        <v>-423.06009999999998</v>
      </c>
      <c r="K5321">
        <v>1.1110359999999999</v>
      </c>
      <c r="L5321">
        <v>65.268709999999999</v>
      </c>
      <c r="M5321">
        <v>1.7896829999999999E-2</v>
      </c>
      <c r="N5321">
        <v>-1.385662E-2</v>
      </c>
      <c r="O5321">
        <v>-0.99974379999999996</v>
      </c>
      <c r="P5321">
        <v>0.14421679999999901</v>
      </c>
      <c r="Q5321">
        <v>0.18049809999999999</v>
      </c>
      <c r="R5321">
        <v>-0.9729449</v>
      </c>
      <c r="S5321">
        <v>0.41076659999999998</v>
      </c>
      <c r="T5321">
        <v>-0.1235101</v>
      </c>
      <c r="U5321">
        <v>-3.045715</v>
      </c>
      <c r="V5321">
        <v>-0.1269478</v>
      </c>
      <c r="W5321">
        <v>0.19388630000000001</v>
      </c>
      <c r="X5321">
        <v>0.97277559999999996</v>
      </c>
      <c r="Y5321">
        <v>-0.11580799999999999</v>
      </c>
      <c r="Z5321">
        <v>2.635856E-2</v>
      </c>
      <c r="AA5321">
        <v>0.99292179999999997</v>
      </c>
      <c r="AB5321">
        <v>25</v>
      </c>
      <c r="AC5321">
        <v>3.6902999999999699</v>
      </c>
      <c r="AD5321">
        <v>-1.1110371100779901</v>
      </c>
      <c r="AE5321">
        <v>-27.155190000000001</v>
      </c>
      <c r="AF5321">
        <v>-3.19841334532153</v>
      </c>
      <c r="AG5321">
        <v>-1.1110371100779901</v>
      </c>
      <c r="AH5321">
        <v>27.172229878591601</v>
      </c>
      <c r="AI5321">
        <v>92.325409053819698</v>
      </c>
      <c r="AJ5321">
        <v>96.713331765210398</v>
      </c>
      <c r="AK5321">
        <v>27.382372577308399</v>
      </c>
      <c r="AL5321">
        <v>78.820328367673994</v>
      </c>
      <c r="AM5321">
        <v>97.435115944944698</v>
      </c>
      <c r="AN5321">
        <v>1.0000000046039399</v>
      </c>
    </row>
    <row r="5322" spans="1:40" x14ac:dyDescent="0.25">
      <c r="A5322" t="str">
        <f>"20190304155209570"</f>
        <v>20190304155209570</v>
      </c>
      <c r="B5322" t="str">
        <f>"1551685929562023"</f>
        <v>1551685929562023</v>
      </c>
      <c r="C5322" t="s">
        <v>40</v>
      </c>
      <c r="D5322">
        <v>4.741333</v>
      </c>
      <c r="E5322">
        <v>0.50177950000000004</v>
      </c>
      <c r="F5322" t="s">
        <v>77</v>
      </c>
      <c r="G5322">
        <v>-419.36590000000001</v>
      </c>
      <c r="H5322" s="1">
        <v>-1.09499E-6</v>
      </c>
      <c r="I5322">
        <v>38.138910000000003</v>
      </c>
      <c r="J5322">
        <v>-423.05680000000001</v>
      </c>
      <c r="K5322">
        <v>1.1110150000000001</v>
      </c>
      <c r="L5322">
        <v>65.108829999999998</v>
      </c>
      <c r="M5322">
        <v>1.8242669999999999E-2</v>
      </c>
      <c r="N5322">
        <v>-1.385454E-2</v>
      </c>
      <c r="O5322">
        <v>-0.99973769999999995</v>
      </c>
      <c r="P5322">
        <v>0.144679799999999</v>
      </c>
      <c r="Q5322">
        <v>0.18057970000000001</v>
      </c>
      <c r="R5322">
        <v>-0.97286150000000005</v>
      </c>
      <c r="S5322">
        <v>0.41464230000000002</v>
      </c>
      <c r="T5322">
        <v>-0.1247051</v>
      </c>
      <c r="U5322">
        <v>-3.045105</v>
      </c>
      <c r="V5322">
        <v>-0.1270667</v>
      </c>
      <c r="W5322">
        <v>0.193971</v>
      </c>
      <c r="X5322">
        <v>0.97274320000000003</v>
      </c>
      <c r="Y5322">
        <v>-0.1167296</v>
      </c>
      <c r="Z5322">
        <v>2.6751540000000001E-2</v>
      </c>
      <c r="AA5322">
        <v>0.9928034</v>
      </c>
      <c r="AB5322">
        <v>25</v>
      </c>
      <c r="AC5322">
        <v>3.6908999999999899</v>
      </c>
      <c r="AD5322">
        <v>-1.1110160949900001</v>
      </c>
      <c r="AE5322">
        <v>-26.969919999999998</v>
      </c>
      <c r="AF5322">
        <v>-3.1929163893724399</v>
      </c>
      <c r="AG5322">
        <v>-1.1110160949900001</v>
      </c>
      <c r="AH5322">
        <v>26.9878130629879</v>
      </c>
      <c r="AI5322">
        <v>92.341074009996404</v>
      </c>
      <c r="AJ5322">
        <v>96.7472744510833</v>
      </c>
      <c r="AK5322">
        <v>27.198733899864401</v>
      </c>
      <c r="AL5322">
        <v>78.8153816098596</v>
      </c>
      <c r="AM5322">
        <v>97.442246790571701</v>
      </c>
      <c r="AN5322">
        <v>1.0000000141180601</v>
      </c>
    </row>
    <row r="5323" spans="1:40" x14ac:dyDescent="0.25">
      <c r="A5323" t="str">
        <f>"20190304155209589"</f>
        <v>20190304155209589</v>
      </c>
      <c r="B5323" t="str">
        <f>"1551685929582522"</f>
        <v>1551685929582522</v>
      </c>
      <c r="C5323" t="s">
        <v>40</v>
      </c>
      <c r="D5323">
        <v>4.7799759999999996</v>
      </c>
      <c r="E5323">
        <v>0.50184249999999997</v>
      </c>
      <c r="F5323" t="s">
        <v>77</v>
      </c>
      <c r="G5323">
        <v>-419.35289999999998</v>
      </c>
      <c r="H5323" s="1">
        <v>-1.2182869999999999E-6</v>
      </c>
      <c r="I5323">
        <v>37.950360000000003</v>
      </c>
      <c r="J5323">
        <v>-423.05259999999998</v>
      </c>
      <c r="K5323">
        <v>1.110994</v>
      </c>
      <c r="L5323">
        <v>64.903779999999998</v>
      </c>
      <c r="M5323">
        <v>1.8660340000000001E-2</v>
      </c>
      <c r="N5323">
        <v>-1.385188E-2</v>
      </c>
      <c r="O5323">
        <v>-0.9997298</v>
      </c>
      <c r="P5323">
        <v>0.1450166</v>
      </c>
      <c r="Q5323">
        <v>0.18004990000000001</v>
      </c>
      <c r="R5323">
        <v>-0.97290920000000003</v>
      </c>
      <c r="S5323">
        <v>0.41528320000000002</v>
      </c>
      <c r="T5323">
        <v>-0.1245686</v>
      </c>
      <c r="U5323">
        <v>-3.0450439999999999</v>
      </c>
      <c r="V5323">
        <v>-0.12698409999999999</v>
      </c>
      <c r="W5323">
        <v>0.19344649999999999</v>
      </c>
      <c r="X5323">
        <v>0.97285840000000001</v>
      </c>
      <c r="Y5323">
        <v>-0.1165228</v>
      </c>
      <c r="Z5323">
        <v>2.671049E-2</v>
      </c>
      <c r="AA5323">
        <v>0.99282879999999996</v>
      </c>
      <c r="AB5323">
        <v>25</v>
      </c>
      <c r="AC5323">
        <v>3.6997</v>
      </c>
      <c r="AD5323">
        <v>-1.110995218287</v>
      </c>
      <c r="AE5323">
        <v>-26.953420000000001</v>
      </c>
      <c r="AF5323">
        <v>-3.1907265499424402</v>
      </c>
      <c r="AG5323">
        <v>-1.110995218287</v>
      </c>
      <c r="AH5323">
        <v>26.972790630601502</v>
      </c>
      <c r="AI5323">
        <v>92.342336623091796</v>
      </c>
      <c r="AJ5323">
        <v>96.746410221817499</v>
      </c>
      <c r="AK5323">
        <v>27.183570050562299</v>
      </c>
      <c r="AL5323">
        <v>78.846013148786099</v>
      </c>
      <c r="AM5323">
        <v>97.436592280083801</v>
      </c>
      <c r="AN5323">
        <v>0.999999988232809</v>
      </c>
    </row>
    <row r="5324" spans="1:40" x14ac:dyDescent="0.25">
      <c r="A5324" t="str">
        <f>"20190304155209611"</f>
        <v>20190304155209611</v>
      </c>
      <c r="B5324" t="str">
        <f>"1551685929602039"</f>
        <v>1551685929602039</v>
      </c>
      <c r="C5324" t="s">
        <v>40</v>
      </c>
      <c r="D5324">
        <v>4.7896519999999896</v>
      </c>
      <c r="E5324">
        <v>0.50200400000000001</v>
      </c>
      <c r="F5324" t="s">
        <v>77</v>
      </c>
      <c r="G5324">
        <v>-419.39100000000002</v>
      </c>
      <c r="H5324" s="1">
        <v>-1.100144E-6</v>
      </c>
      <c r="I5324">
        <v>38.120269999999998</v>
      </c>
      <c r="J5324">
        <v>-423.04719999999998</v>
      </c>
      <c r="K5324">
        <v>1.1109610000000001</v>
      </c>
      <c r="L5324">
        <v>64.650149999999996</v>
      </c>
      <c r="M5324">
        <v>1.9144769999999998E-2</v>
      </c>
      <c r="N5324">
        <v>-1.3848630000000001E-2</v>
      </c>
      <c r="O5324">
        <v>-0.99972099999999997</v>
      </c>
      <c r="P5324">
        <v>0.14537320000000001</v>
      </c>
      <c r="Q5324">
        <v>0.179336</v>
      </c>
      <c r="R5324">
        <v>-0.97298790000000002</v>
      </c>
      <c r="S5324">
        <v>0.41625980000000001</v>
      </c>
      <c r="T5324">
        <v>-0.12630379999999999</v>
      </c>
      <c r="U5324">
        <v>-3.0448909999999998</v>
      </c>
      <c r="V5324">
        <v>-0.12685460000000001</v>
      </c>
      <c r="W5324">
        <v>0.1927392</v>
      </c>
      <c r="X5324">
        <v>0.97301570000000004</v>
      </c>
      <c r="Y5324">
        <v>-0.1163583</v>
      </c>
      <c r="Z5324">
        <v>2.7279210000000002E-2</v>
      </c>
      <c r="AA5324">
        <v>0.99283259999999995</v>
      </c>
      <c r="AB5324">
        <v>25</v>
      </c>
      <c r="AC5324">
        <v>3.6562000000000099</v>
      </c>
      <c r="AD5324">
        <v>-1.110962100144</v>
      </c>
      <c r="AE5324">
        <v>-26.529879999999999</v>
      </c>
      <c r="AF5324">
        <v>-3.1421653397280598</v>
      </c>
      <c r="AG5324">
        <v>-1.110962100144</v>
      </c>
      <c r="AH5324">
        <v>26.5493316691425</v>
      </c>
      <c r="AI5324">
        <v>92.379567171965306</v>
      </c>
      <c r="AJ5324">
        <v>96.749669822496401</v>
      </c>
      <c r="AK5324">
        <v>26.757698927379298</v>
      </c>
      <c r="AL5324">
        <v>78.887316114170702</v>
      </c>
      <c r="AM5324">
        <v>97.427905515945199</v>
      </c>
      <c r="AN5324">
        <v>1.00000002060214</v>
      </c>
    </row>
    <row r="5325" spans="1:40" x14ac:dyDescent="0.25">
      <c r="A5325" t="str">
        <f>"20190304155209634"</f>
        <v>20190304155209634</v>
      </c>
      <c r="B5325" t="str">
        <f>"1551685929622535"</f>
        <v>1551685929622535</v>
      </c>
      <c r="C5325" t="s">
        <v>40</v>
      </c>
      <c r="D5325">
        <v>4.8160040000000004</v>
      </c>
      <c r="E5325">
        <v>0.52491999999999905</v>
      </c>
      <c r="F5325" t="s">
        <v>77</v>
      </c>
      <c r="G5325">
        <v>-419.44959999999998</v>
      </c>
      <c r="H5325" s="1">
        <v>-9.6439270000000002E-7</v>
      </c>
      <c r="I5325">
        <v>38.309350000000002</v>
      </c>
      <c r="J5325">
        <v>-423.0421</v>
      </c>
      <c r="K5325">
        <v>1.110946</v>
      </c>
      <c r="L5325">
        <v>64.409850000000006</v>
      </c>
      <c r="M5325">
        <v>1.958234E-2</v>
      </c>
      <c r="N5325">
        <v>-1.38456E-2</v>
      </c>
      <c r="O5325">
        <v>-0.9997123</v>
      </c>
      <c r="P5325">
        <v>0.1457686</v>
      </c>
      <c r="Q5325">
        <v>0.17924870000000001</v>
      </c>
      <c r="R5325">
        <v>-0.97294480000000005</v>
      </c>
      <c r="S5325">
        <v>0.41586299999999998</v>
      </c>
      <c r="T5325">
        <v>-0.12842020000000001</v>
      </c>
      <c r="U5325">
        <v>-3.0448300000000001</v>
      </c>
      <c r="V5325">
        <v>-0.12681400000000001</v>
      </c>
      <c r="W5325">
        <v>0.1926554</v>
      </c>
      <c r="X5325">
        <v>0.97303759999999995</v>
      </c>
      <c r="Y5325">
        <v>-0.11579639999999999</v>
      </c>
      <c r="Z5325">
        <v>2.7972540000000001E-2</v>
      </c>
      <c r="AA5325">
        <v>0.99287899999999996</v>
      </c>
      <c r="AB5325">
        <v>25</v>
      </c>
      <c r="AC5325">
        <v>3.5925000000000198</v>
      </c>
      <c r="AD5325">
        <v>-1.1109469643926999</v>
      </c>
      <c r="AE5325">
        <v>-26.1005</v>
      </c>
      <c r="AF5325">
        <v>-3.0751853360952301</v>
      </c>
      <c r="AG5325">
        <v>-1.1109469643926999</v>
      </c>
      <c r="AH5325">
        <v>26.119409508994799</v>
      </c>
      <c r="AI5325">
        <v>92.418828838211795</v>
      </c>
      <c r="AJ5325">
        <v>96.714842668726604</v>
      </c>
      <c r="AK5325">
        <v>26.323269574800101</v>
      </c>
      <c r="AL5325">
        <v>78.892209337977505</v>
      </c>
      <c r="AM5325">
        <v>97.425389478084497</v>
      </c>
      <c r="AN5325">
        <v>1.00000003237945</v>
      </c>
    </row>
    <row r="5326" spans="1:40" x14ac:dyDescent="0.25">
      <c r="A5326" t="str">
        <f>"20190304155209656"</f>
        <v>20190304155209656</v>
      </c>
      <c r="B5326" t="str">
        <f>"1551685929651818"</f>
        <v>1551685929651818</v>
      </c>
      <c r="C5326" t="s">
        <v>40</v>
      </c>
      <c r="D5326">
        <v>4.7885689999999999</v>
      </c>
      <c r="E5326">
        <v>0.53338479999999999</v>
      </c>
      <c r="F5326" t="s">
        <v>77</v>
      </c>
      <c r="G5326">
        <v>-420.30149999999998</v>
      </c>
      <c r="H5326" s="1">
        <v>-6.0414369999999998E-6</v>
      </c>
      <c r="I5326">
        <v>28.886500000000002</v>
      </c>
      <c r="J5326">
        <v>-423.03660000000002</v>
      </c>
      <c r="K5326">
        <v>1.1109329999999999</v>
      </c>
      <c r="L5326">
        <v>64.1601</v>
      </c>
      <c r="M5326">
        <v>2.0019149999999999E-2</v>
      </c>
      <c r="N5326">
        <v>-1.3842500000000001E-2</v>
      </c>
      <c r="O5326">
        <v>-0.99970380000000003</v>
      </c>
      <c r="P5326">
        <v>0.14561550000000001</v>
      </c>
      <c r="Q5326">
        <v>0.1789422</v>
      </c>
      <c r="R5326">
        <v>-0.97302409999999995</v>
      </c>
      <c r="S5326">
        <v>0.2365112</v>
      </c>
      <c r="T5326">
        <v>-9.5874429999999997E-2</v>
      </c>
      <c r="U5326">
        <v>-3.0656430000000001</v>
      </c>
      <c r="V5326">
        <v>-0.1262249</v>
      </c>
      <c r="W5326">
        <v>0.1923531</v>
      </c>
      <c r="X5326">
        <v>0.97317399999999998</v>
      </c>
      <c r="Y5326">
        <v>-5.6913949999999998E-2</v>
      </c>
      <c r="Z5326">
        <v>1.7349469999999999E-2</v>
      </c>
      <c r="AA5326">
        <v>0.99822829999999996</v>
      </c>
      <c r="AB5326">
        <v>25</v>
      </c>
      <c r="AC5326">
        <v>2.7351000000000401</v>
      </c>
      <c r="AD5326">
        <v>-1.110939041437</v>
      </c>
      <c r="AE5326">
        <v>-35.273600000000002</v>
      </c>
      <c r="AF5326">
        <v>-2.0263386701321702</v>
      </c>
      <c r="AG5326">
        <v>-1.110939041437</v>
      </c>
      <c r="AH5326">
        <v>35.286496785442502</v>
      </c>
      <c r="AI5326">
        <v>91.800306532745196</v>
      </c>
      <c r="AJ5326">
        <v>93.286619405739799</v>
      </c>
      <c r="AK5326">
        <v>35.362085477936802</v>
      </c>
      <c r="AL5326">
        <v>78.909860042913195</v>
      </c>
      <c r="AM5326">
        <v>97.3902534578542</v>
      </c>
      <c r="AN5326">
        <v>1.0000000373678</v>
      </c>
    </row>
    <row r="5327" spans="1:40" x14ac:dyDescent="0.25">
      <c r="A5327" t="str">
        <f>"20190304155209680"</f>
        <v>20190304155209680</v>
      </c>
      <c r="B5327" t="str">
        <f>"1551685929672311"</f>
        <v>1551685929672311</v>
      </c>
      <c r="C5327" t="s">
        <v>40</v>
      </c>
      <c r="D5327">
        <v>4.7591060000000001</v>
      </c>
      <c r="E5327">
        <v>0.53477419999999998</v>
      </c>
      <c r="F5327" t="s">
        <v>77</v>
      </c>
      <c r="G5327">
        <v>-421.08839999999998</v>
      </c>
      <c r="H5327" s="1">
        <v>-6.1289480000000004E-6</v>
      </c>
      <c r="I5327">
        <v>28.78379</v>
      </c>
      <c r="J5327">
        <v>-423.03109999999998</v>
      </c>
      <c r="K5327">
        <v>1.1109230000000001</v>
      </c>
      <c r="L5327">
        <v>63.907809999999998</v>
      </c>
      <c r="M5327">
        <v>2.044458E-2</v>
      </c>
      <c r="N5327">
        <v>-1.383941E-2</v>
      </c>
      <c r="O5327">
        <v>-0.99969520000000001</v>
      </c>
      <c r="P5327">
        <v>0.14591170000000001</v>
      </c>
      <c r="Q5327">
        <v>0.17891660000000001</v>
      </c>
      <c r="R5327">
        <v>-0.97298450000000003</v>
      </c>
      <c r="S5327">
        <v>0.16937260000000001</v>
      </c>
      <c r="T5327">
        <v>-9.6584320000000001E-2</v>
      </c>
      <c r="U5327">
        <v>-3.0755919999999999</v>
      </c>
      <c r="V5327">
        <v>-0.1261012</v>
      </c>
      <c r="W5327">
        <v>0.19232879999999999</v>
      </c>
      <c r="X5327">
        <v>0.97319480000000003</v>
      </c>
      <c r="Y5327">
        <v>-3.4540260000000003E-2</v>
      </c>
      <c r="Z5327">
        <v>1.751726E-2</v>
      </c>
      <c r="AA5327">
        <v>0.99924979999999997</v>
      </c>
      <c r="AB5327">
        <v>25</v>
      </c>
      <c r="AC5327">
        <v>1.9427000000000001</v>
      </c>
      <c r="AD5327">
        <v>-1.1109291289480001</v>
      </c>
      <c r="AE5327">
        <v>-35.124019999999902</v>
      </c>
      <c r="AF5327">
        <v>-1.222909619081</v>
      </c>
      <c r="AG5327">
        <v>-1.1109291289480001</v>
      </c>
      <c r="AH5327">
        <v>35.121371228153698</v>
      </c>
      <c r="AI5327">
        <v>91.810630408977005</v>
      </c>
      <c r="AJ5327">
        <v>91.994206416293693</v>
      </c>
      <c r="AK5327">
        <v>35.160210301017401</v>
      </c>
      <c r="AL5327">
        <v>78.911278394583306</v>
      </c>
      <c r="AM5327">
        <v>97.382934920743097</v>
      </c>
      <c r="AN5327">
        <v>0.99999999934896</v>
      </c>
    </row>
    <row r="5328" spans="1:40" x14ac:dyDescent="0.25">
      <c r="A5328" t="str">
        <f>"20190304155209702"</f>
        <v>20190304155209702</v>
      </c>
      <c r="B5328" t="str">
        <f>"1551685929691831"</f>
        <v>1551685929691831</v>
      </c>
      <c r="C5328" t="s">
        <v>40</v>
      </c>
      <c r="D5328">
        <v>4.7828160000000004</v>
      </c>
      <c r="E5328">
        <v>0.53535880000000002</v>
      </c>
      <c r="F5328" t="s">
        <v>77</v>
      </c>
      <c r="G5328">
        <v>-421.14350000000002</v>
      </c>
      <c r="H5328" s="1">
        <v>-6.6686960000000001E-6</v>
      </c>
      <c r="I5328">
        <v>27.466449999999998</v>
      </c>
      <c r="J5328">
        <v>-423.02550000000002</v>
      </c>
      <c r="K5328">
        <v>1.110916</v>
      </c>
      <c r="L5328">
        <v>63.658329999999999</v>
      </c>
      <c r="M5328">
        <v>2.0851450000000001E-2</v>
      </c>
      <c r="N5328">
        <v>-1.383639E-2</v>
      </c>
      <c r="O5328">
        <v>-0.99968679999999999</v>
      </c>
      <c r="P5328">
        <v>0.1463914</v>
      </c>
      <c r="Q5328">
        <v>0.17887400000000001</v>
      </c>
      <c r="R5328">
        <v>-0.97292020000000001</v>
      </c>
      <c r="S5328">
        <v>0.1593628</v>
      </c>
      <c r="T5328">
        <v>-9.3792319999999998E-2</v>
      </c>
      <c r="U5328">
        <v>-3.0766300000000002</v>
      </c>
      <c r="V5328">
        <v>-0.1261816</v>
      </c>
      <c r="W5328">
        <v>0.19228529999999999</v>
      </c>
      <c r="X5328">
        <v>0.97319299999999997</v>
      </c>
      <c r="Y5328">
        <v>-3.0875139999999999E-2</v>
      </c>
      <c r="Z5328">
        <v>1.6608250000000001E-2</v>
      </c>
      <c r="AA5328">
        <v>0.99938519999999997</v>
      </c>
      <c r="AB5328">
        <v>25</v>
      </c>
      <c r="AC5328">
        <v>1.8819999999999999</v>
      </c>
      <c r="AD5328">
        <v>-1.1109226686959901</v>
      </c>
      <c r="AE5328">
        <v>-36.191879999999998</v>
      </c>
      <c r="AF5328">
        <v>-1.1258074138484799</v>
      </c>
      <c r="AG5328">
        <v>-1.1109226686959901</v>
      </c>
      <c r="AH5328">
        <v>36.189250281715502</v>
      </c>
      <c r="AI5328">
        <v>91.757440373256401</v>
      </c>
      <c r="AJ5328">
        <v>91.781833465184903</v>
      </c>
      <c r="AK5328">
        <v>36.223796425299497</v>
      </c>
      <c r="AL5328">
        <v>78.913818443211198</v>
      </c>
      <c r="AM5328">
        <v>97.387603686416895</v>
      </c>
      <c r="AN5328">
        <v>1.0000000240118201</v>
      </c>
    </row>
    <row r="5329" spans="1:40" x14ac:dyDescent="0.25">
      <c r="A5329" t="str">
        <f>"20190304155209724"</f>
        <v>20190304155209724</v>
      </c>
      <c r="B5329" t="str">
        <f>"1551685929712328"</f>
        <v>1551685929712328</v>
      </c>
      <c r="C5329" t="s">
        <v>40</v>
      </c>
      <c r="D5329">
        <v>4.7338690000000003</v>
      </c>
      <c r="E5329">
        <v>0.5358347</v>
      </c>
      <c r="F5329" t="s">
        <v>77</v>
      </c>
      <c r="G5329">
        <v>-421.1816</v>
      </c>
      <c r="H5329" s="1">
        <v>-6.7585399999999898E-6</v>
      </c>
      <c r="I5329">
        <v>27.251300000000001</v>
      </c>
      <c r="J5329">
        <v>-423.02019999999999</v>
      </c>
      <c r="K5329">
        <v>1.110916</v>
      </c>
      <c r="L5329">
        <v>63.43018</v>
      </c>
      <c r="M5329">
        <v>2.121319E-2</v>
      </c>
      <c r="N5329">
        <v>-1.3833649999999999E-2</v>
      </c>
      <c r="O5329">
        <v>-0.9996794</v>
      </c>
      <c r="P5329">
        <v>0.14663280000000001</v>
      </c>
      <c r="Q5329">
        <v>0.179808</v>
      </c>
      <c r="R5329">
        <v>-0.97271180000000002</v>
      </c>
      <c r="S5329">
        <v>0.1558533</v>
      </c>
      <c r="T5329">
        <v>-9.390163E-2</v>
      </c>
      <c r="U5329">
        <v>-3.0773320000000002</v>
      </c>
      <c r="V5329">
        <v>-0.1260723</v>
      </c>
      <c r="W5329">
        <v>0.19321640000000001</v>
      </c>
      <c r="X5329">
        <v>0.97302270000000002</v>
      </c>
      <c r="Y5329">
        <v>-2.9365309999999999E-2</v>
      </c>
      <c r="Z5329">
        <v>1.6640700000000001E-2</v>
      </c>
      <c r="AA5329">
        <v>0.99943020000000005</v>
      </c>
      <c r="AB5329">
        <v>25</v>
      </c>
      <c r="AC5329">
        <v>1.83859999999998</v>
      </c>
      <c r="AD5329">
        <v>-1.1109227585400001</v>
      </c>
      <c r="AE5329">
        <v>-36.178879999999999</v>
      </c>
      <c r="AF5329">
        <v>-1.06963744884831</v>
      </c>
      <c r="AG5329">
        <v>-1.1109227585400001</v>
      </c>
      <c r="AH5329">
        <v>36.175722005381402</v>
      </c>
      <c r="AI5329">
        <v>91.758179387240503</v>
      </c>
      <c r="AJ5329">
        <v>91.693618194396706</v>
      </c>
      <c r="AK5329">
        <v>36.208578213705898</v>
      </c>
      <c r="AL5329">
        <v>78.859450423851797</v>
      </c>
      <c r="AM5329">
        <v>97.382552687651298</v>
      </c>
      <c r="AN5329">
        <v>0.99999998838576898</v>
      </c>
    </row>
    <row r="5330" spans="1:40" x14ac:dyDescent="0.25">
      <c r="A5330" t="str">
        <f>"20190304155209745"</f>
        <v>20190304155209745</v>
      </c>
      <c r="B5330" t="str">
        <f>"1551685929742583"</f>
        <v>1551685929742583</v>
      </c>
      <c r="C5330" t="s">
        <v>40</v>
      </c>
      <c r="D5330">
        <v>4.7342279999999999</v>
      </c>
      <c r="E5330">
        <v>0.53613219999999995</v>
      </c>
      <c r="F5330" t="s">
        <v>77</v>
      </c>
      <c r="G5330">
        <v>-421.13529999999997</v>
      </c>
      <c r="H5330" s="1">
        <v>-7.4565359999999998E-6</v>
      </c>
      <c r="I5330">
        <v>25.530989999999999</v>
      </c>
      <c r="J5330">
        <v>-423.01459999999997</v>
      </c>
      <c r="K5330">
        <v>1.1109100000000001</v>
      </c>
      <c r="L5330">
        <v>63.186430000000001</v>
      </c>
      <c r="M5330">
        <v>2.1591010000000001E-2</v>
      </c>
      <c r="N5330">
        <v>-1.3830830000000001E-2</v>
      </c>
      <c r="O5330">
        <v>-0.99967130000000004</v>
      </c>
      <c r="P5330">
        <v>0.14649429999999999</v>
      </c>
      <c r="Q5330">
        <v>0.1793399</v>
      </c>
      <c r="R5330">
        <v>-0.97281890000000004</v>
      </c>
      <c r="S5330">
        <v>0.1530762</v>
      </c>
      <c r="T5330">
        <v>-9.0217110000000003E-2</v>
      </c>
      <c r="U5330">
        <v>-3.0777589999999999</v>
      </c>
      <c r="V5330">
        <v>-0.1255597</v>
      </c>
      <c r="W5330">
        <v>0.19274939999999999</v>
      </c>
      <c r="X5330">
        <v>0.97318159999999998</v>
      </c>
      <c r="Y5330">
        <v>-2.8082559999999999E-2</v>
      </c>
      <c r="Z5330">
        <v>1.544565E-2</v>
      </c>
      <c r="AA5330">
        <v>0.99948630000000005</v>
      </c>
      <c r="AB5330">
        <v>24</v>
      </c>
      <c r="AC5330">
        <v>1.8793</v>
      </c>
      <c r="AD5330">
        <v>-1.110917456536</v>
      </c>
      <c r="AE5330">
        <v>-37.655439999999999</v>
      </c>
      <c r="AF5330">
        <v>-1.06484063043523</v>
      </c>
      <c r="AG5330">
        <v>-1.110917456536</v>
      </c>
      <c r="AH5330">
        <v>37.6545479338345</v>
      </c>
      <c r="AI5330">
        <v>91.689225160105806</v>
      </c>
      <c r="AJ5330">
        <v>91.619847306293096</v>
      </c>
      <c r="AK5330">
        <v>37.685978868339099</v>
      </c>
      <c r="AL5330">
        <v>78.8867202752933</v>
      </c>
      <c r="AM5330">
        <v>97.3516775204764</v>
      </c>
      <c r="AN5330">
        <v>0.99999999802150497</v>
      </c>
    </row>
    <row r="5331" spans="1:40" x14ac:dyDescent="0.25">
      <c r="A5331" t="str">
        <f>"20190304155209768"</f>
        <v>20190304155209768</v>
      </c>
      <c r="B5331" t="str">
        <f>"1551685929762103"</f>
        <v>1551685929762103</v>
      </c>
      <c r="C5331" t="s">
        <v>40</v>
      </c>
      <c r="D5331">
        <v>4.7201040000000001</v>
      </c>
      <c r="E5331">
        <v>0.53634389999999998</v>
      </c>
      <c r="F5331" t="s">
        <v>77</v>
      </c>
      <c r="G5331">
        <v>-421.17540000000002</v>
      </c>
      <c r="H5331" s="1">
        <v>-7.4060879999999998E-6</v>
      </c>
      <c r="I5331">
        <v>25.66057</v>
      </c>
      <c r="J5331">
        <v>-423.00889999999998</v>
      </c>
      <c r="K5331">
        <v>1.1108990000000001</v>
      </c>
      <c r="L5331">
        <v>62.940640000000002</v>
      </c>
      <c r="M5331">
        <v>2.1960799999999999E-2</v>
      </c>
      <c r="N5331">
        <v>-1.382805E-2</v>
      </c>
      <c r="O5331">
        <v>-0.99966339999999998</v>
      </c>
      <c r="P5331">
        <v>0.14722080000000001</v>
      </c>
      <c r="Q5331">
        <v>0.1787068</v>
      </c>
      <c r="R5331">
        <v>-0.97282610000000003</v>
      </c>
      <c r="S5331">
        <v>0.15084839999999999</v>
      </c>
      <c r="T5331">
        <v>-9.1118690000000002E-2</v>
      </c>
      <c r="U5331">
        <v>-3.0779109999999998</v>
      </c>
      <c r="V5331">
        <v>-0.12592229999999999</v>
      </c>
      <c r="W5331">
        <v>0.19211629999999999</v>
      </c>
      <c r="X5331">
        <v>0.97325989999999996</v>
      </c>
      <c r="Y5331">
        <v>-2.6988700000000001E-2</v>
      </c>
      <c r="Z5331">
        <v>1.5739900000000001E-2</v>
      </c>
      <c r="AA5331">
        <v>0.99951179999999995</v>
      </c>
      <c r="AB5331">
        <v>24</v>
      </c>
      <c r="AC5331">
        <v>1.8334999999999499</v>
      </c>
      <c r="AD5331">
        <v>-1.1109064060879901</v>
      </c>
      <c r="AE5331">
        <v>-37.280070000000002</v>
      </c>
      <c r="AF5331">
        <v>-1.01338176668337</v>
      </c>
      <c r="AG5331">
        <v>-1.1109064060879901</v>
      </c>
      <c r="AH5331">
        <v>37.2783241113614</v>
      </c>
      <c r="AI5331">
        <v>91.706298070418399</v>
      </c>
      <c r="AJ5331">
        <v>91.557156970512196</v>
      </c>
      <c r="AK5331">
        <v>37.308638466176198</v>
      </c>
      <c r="AL5331">
        <v>78.9236847383347</v>
      </c>
      <c r="AM5331">
        <v>97.372088336484097</v>
      </c>
      <c r="AN5331">
        <v>0.99999996565549398</v>
      </c>
    </row>
    <row r="5332" spans="1:40" x14ac:dyDescent="0.25">
      <c r="A5332" t="str">
        <f>"20190304155209791"</f>
        <v>20190304155209791</v>
      </c>
      <c r="B5332" t="str">
        <f>"1551685929782602"</f>
        <v>1551685929782602</v>
      </c>
      <c r="C5332" t="s">
        <v>40</v>
      </c>
      <c r="D5332">
        <v>4.7402490000000004</v>
      </c>
      <c r="E5332">
        <v>0.53654919999999995</v>
      </c>
      <c r="F5332" t="s">
        <v>77</v>
      </c>
      <c r="G5332">
        <v>-421.1909</v>
      </c>
      <c r="H5332" s="1">
        <v>-7.3614670000000003E-6</v>
      </c>
      <c r="I5332">
        <v>25.77233</v>
      </c>
      <c r="J5332">
        <v>-423.00299999999999</v>
      </c>
      <c r="K5332">
        <v>1.1108849999999999</v>
      </c>
      <c r="L5332">
        <v>62.692500000000003</v>
      </c>
      <c r="M5332">
        <v>2.23199E-2</v>
      </c>
      <c r="N5332">
        <v>-1.3825260000000001E-2</v>
      </c>
      <c r="O5332">
        <v>-0.99965550000000003</v>
      </c>
      <c r="P5332">
        <v>0.14806859999999999</v>
      </c>
      <c r="Q5332">
        <v>0.17864240000000001</v>
      </c>
      <c r="R5332">
        <v>-0.97270919999999905</v>
      </c>
      <c r="S5332">
        <v>0.15054319999999999</v>
      </c>
      <c r="T5332">
        <v>-9.1994290000000006E-2</v>
      </c>
      <c r="U5332">
        <v>-3.0779109999999998</v>
      </c>
      <c r="V5332">
        <v>-0.12641720000000001</v>
      </c>
      <c r="W5332">
        <v>0.19205130000000001</v>
      </c>
      <c r="X5332">
        <v>0.97320859999999998</v>
      </c>
      <c r="Y5332">
        <v>-2.653061E-2</v>
      </c>
      <c r="Z5332">
        <v>1.6026559999999999E-2</v>
      </c>
      <c r="AA5332">
        <v>0.99951950000000001</v>
      </c>
      <c r="AB5332">
        <v>24</v>
      </c>
      <c r="AC5332">
        <v>1.81210000000004</v>
      </c>
      <c r="AD5332">
        <v>-1.1108923614669901</v>
      </c>
      <c r="AE5332">
        <v>-36.920169999999999</v>
      </c>
      <c r="AF5332">
        <v>-0.98662430110891997</v>
      </c>
      <c r="AG5332">
        <v>-1.1108923614669901</v>
      </c>
      <c r="AH5332">
        <v>36.918076978643697</v>
      </c>
      <c r="AI5332">
        <v>91.722937707455102</v>
      </c>
      <c r="AJ5332">
        <v>91.530847781512705</v>
      </c>
      <c r="AK5332">
        <v>36.947962286861802</v>
      </c>
      <c r="AL5332">
        <v>78.927479956288295</v>
      </c>
      <c r="AM5332">
        <v>97.401127334759806</v>
      </c>
      <c r="AN5332">
        <v>0.99999999470074497</v>
      </c>
    </row>
    <row r="5333" spans="1:40" x14ac:dyDescent="0.25">
      <c r="A5333" t="str">
        <f>"20190304155209813"</f>
        <v>20190304155209813</v>
      </c>
      <c r="B5333" t="str">
        <f>"1551685929802119"</f>
        <v>1551685929802119</v>
      </c>
      <c r="C5333" t="s">
        <v>40</v>
      </c>
      <c r="D5333">
        <v>4.7639639999999996</v>
      </c>
      <c r="E5333">
        <v>0.53696750000000004</v>
      </c>
      <c r="F5333" t="s">
        <v>77</v>
      </c>
      <c r="G5333">
        <v>-421.17500000000001</v>
      </c>
      <c r="H5333" s="1">
        <v>-7.4442940000000003E-6</v>
      </c>
      <c r="I5333">
        <v>25.56671</v>
      </c>
      <c r="J5333">
        <v>-422.99720000000002</v>
      </c>
      <c r="K5333">
        <v>1.110868</v>
      </c>
      <c r="L5333">
        <v>62.449010000000001</v>
      </c>
      <c r="M5333">
        <v>2.2659410000000001E-2</v>
      </c>
      <c r="N5333">
        <v>-1.38225E-2</v>
      </c>
      <c r="O5333">
        <v>-0.99964790000000003</v>
      </c>
      <c r="P5333">
        <v>0.14888940000000001</v>
      </c>
      <c r="Q5333">
        <v>0.17829049999999999</v>
      </c>
      <c r="R5333">
        <v>-0.97264839999999997</v>
      </c>
      <c r="S5333">
        <v>0.1515503</v>
      </c>
      <c r="T5333">
        <v>-9.2101219999999998E-2</v>
      </c>
      <c r="U5333">
        <v>-3.0780029999999998</v>
      </c>
      <c r="V5333">
        <v>-0.12690319999999999</v>
      </c>
      <c r="W5333">
        <v>0.19169939999999999</v>
      </c>
      <c r="X5333">
        <v>0.97321469999999999</v>
      </c>
      <c r="Y5333">
        <v>-2.6515859999999999E-2</v>
      </c>
      <c r="Z5333">
        <v>1.6062690000000001E-2</v>
      </c>
      <c r="AA5333">
        <v>0.9995193</v>
      </c>
      <c r="AB5333">
        <v>24</v>
      </c>
      <c r="AC5333">
        <v>1.8222</v>
      </c>
      <c r="AD5333">
        <v>-1.1108754442940001</v>
      </c>
      <c r="AE5333">
        <v>-36.882300000000001</v>
      </c>
      <c r="AF5333">
        <v>-0.98502979605857299</v>
      </c>
      <c r="AG5333">
        <v>-1.1108754442940001</v>
      </c>
      <c r="AH5333">
        <v>36.8807461993391</v>
      </c>
      <c r="AI5333">
        <v>91.724655112713805</v>
      </c>
      <c r="AJ5333">
        <v>91.529921209292397</v>
      </c>
      <c r="AK5333">
        <v>36.910618637079502</v>
      </c>
      <c r="AL5333">
        <v>78.948023757559298</v>
      </c>
      <c r="AM5333">
        <v>97.429217031224695</v>
      </c>
      <c r="AN5333">
        <v>0.99999996721334405</v>
      </c>
    </row>
    <row r="5334" spans="1:40" x14ac:dyDescent="0.25">
      <c r="A5334" t="str">
        <f>"20190304155209834"</f>
        <v>20190304155209834</v>
      </c>
      <c r="B5334" t="str">
        <f>"1551685929832375"</f>
        <v>1551685929832375</v>
      </c>
      <c r="C5334" t="s">
        <v>40</v>
      </c>
      <c r="D5334">
        <v>4.750311</v>
      </c>
      <c r="E5334">
        <v>0.53749250000000004</v>
      </c>
      <c r="F5334" t="s">
        <v>77</v>
      </c>
      <c r="G5334">
        <v>-421.20319999999998</v>
      </c>
      <c r="H5334" s="1">
        <v>-7.3982370000000001E-6</v>
      </c>
      <c r="I5334">
        <v>25.683810000000001</v>
      </c>
      <c r="J5334">
        <v>-422.99160000000001</v>
      </c>
      <c r="K5334">
        <v>1.110862</v>
      </c>
      <c r="L5334">
        <v>62.222630000000002</v>
      </c>
      <c r="M5334">
        <v>2.2960290000000001E-2</v>
      </c>
      <c r="N5334">
        <v>-1.3819929999999999E-2</v>
      </c>
      <c r="O5334">
        <v>-0.999641</v>
      </c>
      <c r="P5334">
        <v>0.15022949999999999</v>
      </c>
      <c r="Q5334">
        <v>0.1780185</v>
      </c>
      <c r="R5334">
        <v>-0.97249220000000003</v>
      </c>
      <c r="S5334">
        <v>0.15020749999999999</v>
      </c>
      <c r="T5334">
        <v>-9.301603E-2</v>
      </c>
      <c r="U5334">
        <v>-3.07843</v>
      </c>
      <c r="V5334">
        <v>-0.1279477</v>
      </c>
      <c r="W5334">
        <v>0.19142609999999999</v>
      </c>
      <c r="X5334">
        <v>0.97313179999999999</v>
      </c>
      <c r="Y5334">
        <v>-2.5773170000000001E-2</v>
      </c>
      <c r="Z5334">
        <v>1.6357969999999999E-2</v>
      </c>
      <c r="AA5334">
        <v>0.99953400000000003</v>
      </c>
      <c r="AB5334">
        <v>24</v>
      </c>
      <c r="AC5334">
        <v>1.78840000000002</v>
      </c>
      <c r="AD5334">
        <v>-1.1108693982369999</v>
      </c>
      <c r="AE5334">
        <v>-36.538820000000001</v>
      </c>
      <c r="AF5334">
        <v>-0.94803236149020598</v>
      </c>
      <c r="AG5334">
        <v>-1.1108693982369999</v>
      </c>
      <c r="AH5334">
        <v>36.536561470117</v>
      </c>
      <c r="AI5334">
        <v>91.740917265874501</v>
      </c>
      <c r="AJ5334">
        <v>91.486348620685007</v>
      </c>
      <c r="AK5334">
        <v>36.5657369710773</v>
      </c>
      <c r="AL5334">
        <v>78.963978898831201</v>
      </c>
      <c r="AM5334">
        <v>97.490303937201702</v>
      </c>
      <c r="AN5334">
        <v>1.0000000329338601</v>
      </c>
    </row>
    <row r="5335" spans="1:40" x14ac:dyDescent="0.25">
      <c r="A5335" t="str">
        <f>"20190304155209857"</f>
        <v>20190304155209857</v>
      </c>
      <c r="B5335" t="str">
        <f>"1551685929851899"</f>
        <v>1551685929851899</v>
      </c>
      <c r="C5335" t="s">
        <v>40</v>
      </c>
      <c r="D5335">
        <v>4.6765379999999999</v>
      </c>
      <c r="E5335">
        <v>0.53783329999999996</v>
      </c>
      <c r="F5335" t="s">
        <v>77</v>
      </c>
      <c r="G5335">
        <v>-421.2201</v>
      </c>
      <c r="H5335" s="1">
        <v>-7.3218930000000002E-6</v>
      </c>
      <c r="I5335">
        <v>25.873650000000001</v>
      </c>
      <c r="J5335">
        <v>-422.98540000000003</v>
      </c>
      <c r="K5335">
        <v>1.1108480000000001</v>
      </c>
      <c r="L5335">
        <v>61.969760000000001</v>
      </c>
      <c r="M5335">
        <v>2.3273740000000001E-2</v>
      </c>
      <c r="N5335">
        <v>-1.3817070000000001E-2</v>
      </c>
      <c r="O5335">
        <v>-0.99963360000000001</v>
      </c>
      <c r="P5335">
        <v>0.15132179999999901</v>
      </c>
      <c r="Q5335">
        <v>0.17780499999999999</v>
      </c>
      <c r="R5335">
        <v>-0.9723617</v>
      </c>
      <c r="S5335">
        <v>0.15005489999999999</v>
      </c>
      <c r="T5335">
        <v>-9.4094629999999999E-2</v>
      </c>
      <c r="U5335">
        <v>-3.0788880000000001</v>
      </c>
      <c r="V5335">
        <v>-0.12873039999999999</v>
      </c>
      <c r="W5335">
        <v>0.19121260000000001</v>
      </c>
      <c r="X5335">
        <v>0.97307049999999995</v>
      </c>
      <c r="Y5335">
        <v>-2.540282E-2</v>
      </c>
      <c r="Z5335">
        <v>1.670584E-2</v>
      </c>
      <c r="AA5335">
        <v>0.99953769999999997</v>
      </c>
      <c r="AB5335">
        <v>24</v>
      </c>
      <c r="AC5335">
        <v>1.7653000000000201</v>
      </c>
      <c r="AD5335">
        <v>-1.110855321893</v>
      </c>
      <c r="AE5335">
        <v>-36.096110000000003</v>
      </c>
      <c r="AF5335">
        <v>-0.92377720413620601</v>
      </c>
      <c r="AG5335">
        <v>-1.110855321893</v>
      </c>
      <c r="AH5335">
        <v>36.093317542025098</v>
      </c>
      <c r="AI5335">
        <v>91.762276908784699</v>
      </c>
      <c r="AJ5335">
        <v>91.466115780833704</v>
      </c>
      <c r="AK5335">
        <v>36.122222177746899</v>
      </c>
      <c r="AL5335">
        <v>78.976441240912607</v>
      </c>
      <c r="AM5335">
        <v>97.536068956035905</v>
      </c>
      <c r="AN5335">
        <v>0.99999998612658403</v>
      </c>
    </row>
    <row r="5336" spans="1:40" x14ac:dyDescent="0.25">
      <c r="A5336" t="str">
        <f>"20190304155209880"</f>
        <v>20190304155209880</v>
      </c>
      <c r="B5336" t="str">
        <f>"1551685929872391"</f>
        <v>1551685929872391</v>
      </c>
      <c r="C5336" t="s">
        <v>40</v>
      </c>
      <c r="D5336">
        <v>4.7460610000000001</v>
      </c>
      <c r="E5336">
        <v>0.53805879999999995</v>
      </c>
      <c r="F5336" t="s">
        <v>77</v>
      </c>
      <c r="G5336">
        <v>-421.20850000000002</v>
      </c>
      <c r="H5336" s="1">
        <v>-7.4187599999999998E-6</v>
      </c>
      <c r="I5336">
        <v>25.634170000000001</v>
      </c>
      <c r="J5336">
        <v>-422.9794</v>
      </c>
      <c r="K5336">
        <v>1.110833</v>
      </c>
      <c r="L5336">
        <v>61.725920000000002</v>
      </c>
      <c r="M5336">
        <v>2.3549770000000001E-2</v>
      </c>
      <c r="N5336">
        <v>-1.38143E-2</v>
      </c>
      <c r="O5336">
        <v>-0.99962740000000005</v>
      </c>
      <c r="P5336">
        <v>0.1525927</v>
      </c>
      <c r="Q5336">
        <v>0.17764059999999901</v>
      </c>
      <c r="R5336">
        <v>-0.97219319999999998</v>
      </c>
      <c r="S5336">
        <v>0.1505737</v>
      </c>
      <c r="T5336">
        <v>-9.4132779999999999E-2</v>
      </c>
      <c r="U5336">
        <v>-3.0790410000000001</v>
      </c>
      <c r="V5336">
        <v>-0.12972839999999999</v>
      </c>
      <c r="W5336">
        <v>0.19104879999999999</v>
      </c>
      <c r="X5336">
        <v>0.97297009999999995</v>
      </c>
      <c r="Y5336">
        <v>-2.5292419999999999E-2</v>
      </c>
      <c r="Z5336">
        <v>1.6719210000000002E-2</v>
      </c>
      <c r="AA5336">
        <v>0.99954030000000005</v>
      </c>
      <c r="AB5336">
        <v>24</v>
      </c>
      <c r="AC5336">
        <v>1.7708999999999799</v>
      </c>
      <c r="AD5336">
        <v>-1.1108404187600001</v>
      </c>
      <c r="AE5336">
        <v>-36.091749999999898</v>
      </c>
      <c r="AF5336">
        <v>-0.91950645088196103</v>
      </c>
      <c r="AG5336">
        <v>-1.1108404187600001</v>
      </c>
      <c r="AH5336">
        <v>36.089341554961401</v>
      </c>
      <c r="AI5336">
        <v>91.762452499771499</v>
      </c>
      <c r="AJ5336">
        <v>91.459501364167195</v>
      </c>
      <c r="AK5336">
        <v>36.118139935769499</v>
      </c>
      <c r="AL5336">
        <v>78.986002249728003</v>
      </c>
      <c r="AM5336">
        <v>97.594588595492297</v>
      </c>
      <c r="AN5336">
        <v>0.99999995862100399</v>
      </c>
    </row>
    <row r="5337" spans="1:40" x14ac:dyDescent="0.25">
      <c r="A5337" t="str">
        <f>"20190304155209902"</f>
        <v>20190304155209902</v>
      </c>
      <c r="B5337" t="str">
        <f>"1551685929891911"</f>
        <v>1551685929891911</v>
      </c>
      <c r="C5337" t="s">
        <v>40</v>
      </c>
      <c r="D5337">
        <v>4.7494639999999997</v>
      </c>
      <c r="E5337">
        <v>0.53837500000000005</v>
      </c>
      <c r="F5337" t="s">
        <v>77</v>
      </c>
      <c r="G5337">
        <v>-421.18700000000001</v>
      </c>
      <c r="H5337" s="1">
        <v>-7.5089159999999998E-6</v>
      </c>
      <c r="I5337">
        <v>25.409749999999999</v>
      </c>
      <c r="J5337">
        <v>-422.97329999999999</v>
      </c>
      <c r="K5337">
        <v>1.110808</v>
      </c>
      <c r="L5337">
        <v>61.481259999999999</v>
      </c>
      <c r="M5337">
        <v>2.379883E-2</v>
      </c>
      <c r="N5337">
        <v>-1.3811550000000001E-2</v>
      </c>
      <c r="O5337">
        <v>-0.9996216</v>
      </c>
      <c r="P5337">
        <v>0.15320619999999999</v>
      </c>
      <c r="Q5337">
        <v>0.17752009999999999</v>
      </c>
      <c r="R5337">
        <v>-0.97211919999999996</v>
      </c>
      <c r="S5337">
        <v>0.15197749999999999</v>
      </c>
      <c r="T5337">
        <v>-9.418559E-2</v>
      </c>
      <c r="U5337">
        <v>-3.0791629999999999</v>
      </c>
      <c r="V5337">
        <v>-0.13009100000000001</v>
      </c>
      <c r="W5337">
        <v>0.1909313</v>
      </c>
      <c r="X5337">
        <v>0.97294480000000005</v>
      </c>
      <c r="Y5337">
        <v>-2.549593E-2</v>
      </c>
      <c r="Z5337">
        <v>1.673732E-2</v>
      </c>
      <c r="AA5337">
        <v>0.99953479999999995</v>
      </c>
      <c r="AB5337">
        <v>24</v>
      </c>
      <c r="AC5337">
        <v>1.78630000000003</v>
      </c>
      <c r="AD5337">
        <v>-1.1108155089159999</v>
      </c>
      <c r="AE5337">
        <v>-36.071509999999897</v>
      </c>
      <c r="AF5337">
        <v>-0.926376196678102</v>
      </c>
      <c r="AG5337">
        <v>-1.1108155089159999</v>
      </c>
      <c r="AH5337">
        <v>36.069685384729901</v>
      </c>
      <c r="AI5337">
        <v>91.763363617730406</v>
      </c>
      <c r="AJ5337">
        <v>91.471201651670896</v>
      </c>
      <c r="AK5337">
        <v>36.098674320617597</v>
      </c>
      <c r="AL5337">
        <v>78.992861291765607</v>
      </c>
      <c r="AM5337">
        <v>97.615762920268807</v>
      </c>
      <c r="AN5337">
        <v>1.0000000067238599</v>
      </c>
    </row>
    <row r="5338" spans="1:40" x14ac:dyDescent="0.25">
      <c r="A5338" t="str">
        <f>"20190304155209924"</f>
        <v>20190304155209924</v>
      </c>
      <c r="B5338" t="str">
        <f>"1551685929912408"</f>
        <v>1551685929912408</v>
      </c>
      <c r="C5338" t="s">
        <v>40</v>
      </c>
      <c r="D5338">
        <v>4.7597399999999999</v>
      </c>
      <c r="E5338">
        <v>0.53860969999999997</v>
      </c>
      <c r="F5338" t="s">
        <v>77</v>
      </c>
      <c r="G5338">
        <v>-421.19400000000002</v>
      </c>
      <c r="H5338" s="1">
        <v>-7.6058500000000002E-6</v>
      </c>
      <c r="I5338">
        <v>25.17276</v>
      </c>
      <c r="J5338">
        <v>-422.96749999999997</v>
      </c>
      <c r="K5338">
        <v>1.1107910000000001</v>
      </c>
      <c r="L5338">
        <v>61.249510000000001</v>
      </c>
      <c r="M5338">
        <v>2.4007779999999999E-2</v>
      </c>
      <c r="N5338">
        <v>-1.3808880000000001E-2</v>
      </c>
      <c r="O5338">
        <v>-0.99961639999999996</v>
      </c>
      <c r="P5338">
        <v>0.15373299999999901</v>
      </c>
      <c r="Q5338">
        <v>0.17779300000000001</v>
      </c>
      <c r="R5338">
        <v>-0.97198549999999995</v>
      </c>
      <c r="S5338">
        <v>0.1509094</v>
      </c>
      <c r="T5338">
        <v>-9.4212649999999995E-2</v>
      </c>
      <c r="U5338">
        <v>-3.0794679999999999</v>
      </c>
      <c r="V5338">
        <v>-0.1304081</v>
      </c>
      <c r="W5338">
        <v>0.1912065</v>
      </c>
      <c r="X5338">
        <v>0.9728483</v>
      </c>
      <c r="Y5338">
        <v>-2.4936400000000001E-2</v>
      </c>
      <c r="Z5338">
        <v>1.6745989999999999E-2</v>
      </c>
      <c r="AA5338">
        <v>0.99954880000000002</v>
      </c>
      <c r="AB5338">
        <v>24</v>
      </c>
      <c r="AC5338">
        <v>1.7734999999999499</v>
      </c>
      <c r="AD5338">
        <v>-1.1107986058499999</v>
      </c>
      <c r="AE5338">
        <v>-36.076749999999997</v>
      </c>
      <c r="AF5338">
        <v>-0.90592670196754899</v>
      </c>
      <c r="AG5338">
        <v>-1.1107986058499999</v>
      </c>
      <c r="AH5338">
        <v>36.074814467513797</v>
      </c>
      <c r="AI5338">
        <v>91.763111764917994</v>
      </c>
      <c r="AJ5338">
        <v>91.438534619454799</v>
      </c>
      <c r="AK5338">
        <v>36.103279845432802</v>
      </c>
      <c r="AL5338">
        <v>78.976797542407894</v>
      </c>
      <c r="AM5338">
        <v>97.634856182885002</v>
      </c>
      <c r="AN5338">
        <v>1.00000000650037</v>
      </c>
    </row>
    <row r="5339" spans="1:40" x14ac:dyDescent="0.25">
      <c r="A5339" t="str">
        <f>"20190304155209946"</f>
        <v>20190304155209946</v>
      </c>
      <c r="B5339" t="str">
        <f>"1551685929942663"</f>
        <v>1551685929942663</v>
      </c>
      <c r="C5339" t="s">
        <v>40</v>
      </c>
      <c r="D5339">
        <v>4.7557970000000003</v>
      </c>
      <c r="E5339">
        <v>0.5388501</v>
      </c>
      <c r="F5339" t="s">
        <v>77</v>
      </c>
      <c r="G5339">
        <v>-421.16899999999998</v>
      </c>
      <c r="H5339" s="1">
        <v>-7.8505670000000004E-6</v>
      </c>
      <c r="I5339">
        <v>24.568370000000002</v>
      </c>
      <c r="J5339">
        <v>-422.9615</v>
      </c>
      <c r="K5339">
        <v>1.1107670000000001</v>
      </c>
      <c r="L5339">
        <v>61.008999999999901</v>
      </c>
      <c r="M5339">
        <v>2.4199390000000001E-2</v>
      </c>
      <c r="N5339">
        <v>-1.380615E-2</v>
      </c>
      <c r="O5339">
        <v>-0.9996121</v>
      </c>
      <c r="P5339">
        <v>0.154281</v>
      </c>
      <c r="Q5339">
        <v>0.1778354</v>
      </c>
      <c r="R5339">
        <v>-0.97189099999999995</v>
      </c>
      <c r="S5339">
        <v>0.151001</v>
      </c>
      <c r="T5339">
        <v>-9.3259690000000006E-2</v>
      </c>
      <c r="U5339">
        <v>-3.0796510000000001</v>
      </c>
      <c r="V5339">
        <v>-0.13076179999999901</v>
      </c>
      <c r="W5339">
        <v>0.1912519</v>
      </c>
      <c r="X5339">
        <v>0.97279190000000004</v>
      </c>
      <c r="Y5339">
        <v>-2.477188E-2</v>
      </c>
      <c r="Z5339">
        <v>1.6438069999999999E-2</v>
      </c>
      <c r="AA5339">
        <v>0.99955799999999995</v>
      </c>
      <c r="AB5339">
        <v>24</v>
      </c>
      <c r="AC5339">
        <v>1.79249999999996</v>
      </c>
      <c r="AD5339">
        <v>-1.1107748505670001</v>
      </c>
      <c r="AE5339">
        <v>-36.440629999999899</v>
      </c>
      <c r="AF5339">
        <v>-0.90920740843821701</v>
      </c>
      <c r="AG5339">
        <v>-1.1107748505670001</v>
      </c>
      <c r="AH5339">
        <v>36.439562264543703</v>
      </c>
      <c r="AI5339">
        <v>91.745444314752802</v>
      </c>
      <c r="AJ5339">
        <v>91.429296554352902</v>
      </c>
      <c r="AK5339">
        <v>36.467823857638798</v>
      </c>
      <c r="AL5339">
        <v>78.9741474364439</v>
      </c>
      <c r="AM5339">
        <v>97.655757189089698</v>
      </c>
      <c r="AN5339">
        <v>1.00000000914923</v>
      </c>
    </row>
    <row r="5340" spans="1:40" x14ac:dyDescent="0.25">
      <c r="A5340" t="str">
        <f>"20190304155209969"</f>
        <v>20190304155209969</v>
      </c>
      <c r="B5340" t="str">
        <f>"1551685929962184"</f>
        <v>1551685929962184</v>
      </c>
      <c r="C5340" t="s">
        <v>40</v>
      </c>
      <c r="D5340">
        <v>4.778181</v>
      </c>
      <c r="E5340">
        <v>0.53879619999999995</v>
      </c>
      <c r="F5340" t="s">
        <v>77</v>
      </c>
      <c r="G5340">
        <v>-421.16430000000003</v>
      </c>
      <c r="H5340" s="1">
        <v>-8.0078639999999999E-6</v>
      </c>
      <c r="I5340">
        <v>24.181509999999999</v>
      </c>
      <c r="J5340">
        <v>-422.95530000000002</v>
      </c>
      <c r="K5340">
        <v>1.1107590000000001</v>
      </c>
      <c r="L5340">
        <v>60.762450000000001</v>
      </c>
      <c r="M5340">
        <v>2.4369559999999998E-2</v>
      </c>
      <c r="N5340">
        <v>-1.3803259999999999E-2</v>
      </c>
      <c r="O5340">
        <v>-0.99960780000000005</v>
      </c>
      <c r="P5340">
        <v>0.15461159999999999</v>
      </c>
      <c r="Q5340">
        <v>0.17776900000000001</v>
      </c>
      <c r="R5340">
        <v>-0.97185060000000001</v>
      </c>
      <c r="S5340">
        <v>0.15029909999999999</v>
      </c>
      <c r="T5340">
        <v>-9.289443E-2</v>
      </c>
      <c r="U5340">
        <v>-3.079895</v>
      </c>
      <c r="V5340">
        <v>-0.13091929999999999</v>
      </c>
      <c r="W5340">
        <v>0.19118830000000001</v>
      </c>
      <c r="X5340">
        <v>0.97278319999999996</v>
      </c>
      <c r="Y5340">
        <v>-2.437079E-2</v>
      </c>
      <c r="Z5340">
        <v>1.6320390000000001E-2</v>
      </c>
      <c r="AA5340">
        <v>0.99956979999999995</v>
      </c>
      <c r="AB5340">
        <v>24</v>
      </c>
      <c r="AC5340">
        <v>1.7909999999999899</v>
      </c>
      <c r="AD5340">
        <v>-1.110767007864</v>
      </c>
      <c r="AE5340">
        <v>-36.580939999999998</v>
      </c>
      <c r="AF5340">
        <v>-0.89809565174041095</v>
      </c>
      <c r="AG5340">
        <v>-1.110767007864</v>
      </c>
      <c r="AH5340">
        <v>36.580077504052198</v>
      </c>
      <c r="AI5340">
        <v>91.738748561717998</v>
      </c>
      <c r="AJ5340">
        <v>91.406414602125096</v>
      </c>
      <c r="AK5340">
        <v>36.6079560935584</v>
      </c>
      <c r="AL5340">
        <v>78.977859759505407</v>
      </c>
      <c r="AM5340">
        <v>97.664936572779396</v>
      </c>
      <c r="AN5340">
        <v>0.99999999168581</v>
      </c>
    </row>
    <row r="5341" spans="1:40" x14ac:dyDescent="0.25">
      <c r="A5341" t="str">
        <f>"20190304155209991"</f>
        <v>20190304155209991</v>
      </c>
      <c r="B5341" t="str">
        <f>"1551685929982681"</f>
        <v>1551685929982681</v>
      </c>
      <c r="C5341" t="s">
        <v>40</v>
      </c>
      <c r="D5341">
        <v>4.7396330000000004</v>
      </c>
      <c r="E5341">
        <v>0.49913410000000002</v>
      </c>
      <c r="F5341" t="s">
        <v>77</v>
      </c>
      <c r="G5341">
        <v>-421.16300000000001</v>
      </c>
      <c r="H5341" s="1">
        <v>-7.9297169999999995E-6</v>
      </c>
      <c r="I5341">
        <v>24.373190000000001</v>
      </c>
      <c r="J5341">
        <v>-422.94940000000003</v>
      </c>
      <c r="K5341">
        <v>1.1107479999999901</v>
      </c>
      <c r="L5341">
        <v>60.525970000000001</v>
      </c>
      <c r="M5341">
        <v>2.4515639999999998E-2</v>
      </c>
      <c r="N5341">
        <v>-1.3800669999999999E-2</v>
      </c>
      <c r="O5341">
        <v>-0.99960420000000005</v>
      </c>
      <c r="P5341">
        <v>0.15520719999999999</v>
      </c>
      <c r="Q5341">
        <v>0.17818229999999999</v>
      </c>
      <c r="R5341">
        <v>-0.97167999999999999</v>
      </c>
      <c r="S5341">
        <v>0.1517029</v>
      </c>
      <c r="T5341">
        <v>-9.4014410000000007E-2</v>
      </c>
      <c r="U5341">
        <v>-3.0799560000000001</v>
      </c>
      <c r="V5341">
        <v>-0.13137109999999999</v>
      </c>
      <c r="W5341">
        <v>0.1916001</v>
      </c>
      <c r="X5341">
        <v>0.97264130000000004</v>
      </c>
      <c r="Y5341">
        <v>-2.467778E-2</v>
      </c>
      <c r="Z5341">
        <v>1.66847E-2</v>
      </c>
      <c r="AA5341">
        <v>0.99955620000000001</v>
      </c>
      <c r="AB5341">
        <v>24</v>
      </c>
      <c r="AC5341">
        <v>1.78640000000001</v>
      </c>
      <c r="AD5341">
        <v>-1.11075592971699</v>
      </c>
      <c r="AE5341">
        <v>-36.1527799999999</v>
      </c>
      <c r="AF5341">
        <v>-0.89862384958994701</v>
      </c>
      <c r="AG5341">
        <v>-1.11075592971699</v>
      </c>
      <c r="AH5341">
        <v>36.151668363013499</v>
      </c>
      <c r="AI5341">
        <v>91.759309630154405</v>
      </c>
      <c r="AJ5341">
        <v>91.423910873192199</v>
      </c>
      <c r="AK5341">
        <v>36.179889842117603</v>
      </c>
      <c r="AL5341">
        <v>78.9538214014445</v>
      </c>
      <c r="AM5341">
        <v>97.692180675417902</v>
      </c>
      <c r="AN5341">
        <v>1.00000003135045</v>
      </c>
    </row>
    <row r="5342" spans="1:40" x14ac:dyDescent="0.25">
      <c r="A5342" t="str">
        <f>"20190304155210013"</f>
        <v>20190304155210013</v>
      </c>
      <c r="B5342" t="str">
        <f>"1551685930002199"</f>
        <v>1551685930002199</v>
      </c>
      <c r="C5342" t="s">
        <v>40</v>
      </c>
      <c r="D5342">
        <v>4.7442729999999997</v>
      </c>
      <c r="E5342">
        <v>0.4856819</v>
      </c>
      <c r="F5342" t="s">
        <v>77</v>
      </c>
      <c r="G5342">
        <v>-418.63060000000002</v>
      </c>
      <c r="H5342" s="1">
        <v>-4.6076510000000001E-6</v>
      </c>
      <c r="I5342">
        <v>32.385249999999999</v>
      </c>
      <c r="J5342">
        <v>-422.9434</v>
      </c>
      <c r="K5342">
        <v>1.110744</v>
      </c>
      <c r="L5342">
        <v>60.290100000000002</v>
      </c>
      <c r="M5342">
        <v>2.4651650000000001E-2</v>
      </c>
      <c r="N5342">
        <v>-1.379828E-2</v>
      </c>
      <c r="O5342">
        <v>-0.99960110000000002</v>
      </c>
      <c r="P5342">
        <v>0.155387</v>
      </c>
      <c r="Q5342">
        <v>0.1782359</v>
      </c>
      <c r="R5342">
        <v>-0.9716418</v>
      </c>
      <c r="S5342">
        <v>0.46578979999999998</v>
      </c>
      <c r="T5342">
        <v>-0.11979579999999999</v>
      </c>
      <c r="U5342">
        <v>-3.0350039999999998</v>
      </c>
      <c r="V5342">
        <v>-0.13141600000000001</v>
      </c>
      <c r="W5342">
        <v>0.1916535</v>
      </c>
      <c r="X5342">
        <v>0.97262470000000001</v>
      </c>
      <c r="Y5342">
        <v>-0.1271872</v>
      </c>
      <c r="Z5342">
        <v>2.526896E-2</v>
      </c>
      <c r="AA5342">
        <v>0.99155680000000002</v>
      </c>
      <c r="AB5342">
        <v>24</v>
      </c>
      <c r="AC5342">
        <v>4.3127999999999798</v>
      </c>
      <c r="AD5342">
        <v>-1.110748607651</v>
      </c>
      <c r="AE5342">
        <v>-27.90485</v>
      </c>
      <c r="AF5342">
        <v>-3.61792456213644</v>
      </c>
      <c r="AG5342">
        <v>-1.110748607651</v>
      </c>
      <c r="AH5342">
        <v>27.9594297169279</v>
      </c>
      <c r="AI5342">
        <v>92.256210960437102</v>
      </c>
      <c r="AJ5342">
        <v>97.373051711372995</v>
      </c>
      <c r="AK5342">
        <v>28.214408565528</v>
      </c>
      <c r="AL5342">
        <v>78.950703887042096</v>
      </c>
      <c r="AM5342">
        <v>97.694907970217201</v>
      </c>
      <c r="AN5342">
        <v>1.0000000180841599</v>
      </c>
    </row>
    <row r="5343" spans="1:40" x14ac:dyDescent="0.25">
      <c r="A5343" t="str">
        <f>"20190304155210036"</f>
        <v>20190304155210036</v>
      </c>
      <c r="B5343" t="str">
        <f>"1551685930032455"</f>
        <v>1551685930032455</v>
      </c>
      <c r="C5343" t="s">
        <v>40</v>
      </c>
      <c r="D5343">
        <v>4.7421360000000004</v>
      </c>
      <c r="E5343">
        <v>0.48027419999999998</v>
      </c>
      <c r="F5343" t="s">
        <v>77</v>
      </c>
      <c r="G5343">
        <v>-418.11470000000003</v>
      </c>
      <c r="H5343" s="1">
        <v>-3.4631080000000001E-6</v>
      </c>
      <c r="I5343">
        <v>34.839579999999998</v>
      </c>
      <c r="J5343">
        <v>-422.93729999999999</v>
      </c>
      <c r="K5343">
        <v>1.110741</v>
      </c>
      <c r="L5343">
        <v>60.04956</v>
      </c>
      <c r="M5343">
        <v>2.478609E-2</v>
      </c>
      <c r="N5343">
        <v>-1.379588E-2</v>
      </c>
      <c r="O5343">
        <v>-0.99959779999999998</v>
      </c>
      <c r="P5343">
        <v>0.1559025</v>
      </c>
      <c r="Q5343">
        <v>0.17760020000000001</v>
      </c>
      <c r="R5343">
        <v>-0.97167559999999997</v>
      </c>
      <c r="S5343">
        <v>0.57299800000000001</v>
      </c>
      <c r="T5343">
        <v>-0.13180790000000001</v>
      </c>
      <c r="U5343">
        <v>-3.020111</v>
      </c>
      <c r="V5343">
        <v>-0.13179859999999999</v>
      </c>
      <c r="W5343">
        <v>0.19101650000000001</v>
      </c>
      <c r="X5343">
        <v>0.97269819999999996</v>
      </c>
      <c r="Y5343">
        <v>-0.1618491</v>
      </c>
      <c r="Z5343">
        <v>2.915744E-2</v>
      </c>
      <c r="AA5343">
        <v>0.9863847</v>
      </c>
      <c r="AB5343">
        <v>24</v>
      </c>
      <c r="AC5343">
        <v>4.8225999999999596</v>
      </c>
      <c r="AD5343">
        <v>-1.1107444631079999</v>
      </c>
      <c r="AE5343">
        <v>-25.209979999999899</v>
      </c>
      <c r="AF5343">
        <v>-4.1883582906617001</v>
      </c>
      <c r="AG5343">
        <v>-1.1107444631079999</v>
      </c>
      <c r="AH5343">
        <v>25.2744460838382</v>
      </c>
      <c r="AI5343">
        <v>92.482564055888005</v>
      </c>
      <c r="AJ5343">
        <v>99.409268869142494</v>
      </c>
      <c r="AK5343">
        <v>25.643200332215301</v>
      </c>
      <c r="AL5343">
        <v>78.987887877562301</v>
      </c>
      <c r="AM5343">
        <v>97.716464992892895</v>
      </c>
      <c r="AN5343">
        <v>0.99999998125872402</v>
      </c>
    </row>
    <row r="5344" spans="1:40" x14ac:dyDescent="0.25">
      <c r="A5344" t="str">
        <f>"20190304155210069"</f>
        <v>20190304155210069</v>
      </c>
      <c r="B5344" t="str">
        <f>"1551685930062715"</f>
        <v>1551685930062715</v>
      </c>
      <c r="C5344" t="s">
        <v>40</v>
      </c>
      <c r="D5344">
        <v>4.7474080000000001</v>
      </c>
      <c r="E5344">
        <v>0.4782054</v>
      </c>
      <c r="F5344" t="s">
        <v>77</v>
      </c>
      <c r="G5344">
        <v>-417.959</v>
      </c>
      <c r="H5344" s="1">
        <v>-3.0049939999999999E-6</v>
      </c>
      <c r="I5344">
        <v>35.722940000000001</v>
      </c>
      <c r="J5344">
        <v>-422.9282</v>
      </c>
      <c r="K5344">
        <v>1.1107400000000001</v>
      </c>
      <c r="L5344">
        <v>59.691740000000003</v>
      </c>
      <c r="M5344">
        <v>2.4986640000000001E-2</v>
      </c>
      <c r="N5344">
        <v>-1.37923E-2</v>
      </c>
      <c r="O5344">
        <v>-0.99959279999999995</v>
      </c>
      <c r="P5344">
        <v>0.15635489999999999</v>
      </c>
      <c r="Q5344">
        <v>0.1771045</v>
      </c>
      <c r="R5344">
        <v>-0.97169309999999998</v>
      </c>
      <c r="S5344">
        <v>0.61672969999999905</v>
      </c>
      <c r="T5344">
        <v>-0.137603</v>
      </c>
      <c r="U5344">
        <v>-3.0136720000000001</v>
      </c>
      <c r="V5344">
        <v>-0.1320556</v>
      </c>
      <c r="W5344">
        <v>0.19051799999999999</v>
      </c>
      <c r="X5344">
        <v>0.97276110000000005</v>
      </c>
      <c r="Y5344">
        <v>-0.17577799999999999</v>
      </c>
      <c r="Z5344">
        <v>3.1025069999999998E-2</v>
      </c>
      <c r="AA5344">
        <v>0.98394079999999995</v>
      </c>
      <c r="AB5344">
        <v>24</v>
      </c>
      <c r="AC5344">
        <v>4.9691999999999998</v>
      </c>
      <c r="AD5344">
        <v>-1.1107430049939999</v>
      </c>
      <c r="AE5344">
        <v>-23.968800000000002</v>
      </c>
      <c r="AF5344">
        <v>-4.3597149083885203</v>
      </c>
      <c r="AG5344">
        <v>-1.1107430049939999</v>
      </c>
      <c r="AH5344">
        <v>24.036000249345101</v>
      </c>
      <c r="AI5344">
        <v>92.603430050533504</v>
      </c>
      <c r="AJ5344">
        <v>100.280692449225</v>
      </c>
      <c r="AK5344">
        <v>24.453428636739002</v>
      </c>
      <c r="AL5344">
        <v>79.016984085745605</v>
      </c>
      <c r="AM5344">
        <v>97.7308359924656</v>
      </c>
      <c r="AN5344">
        <v>0.99999997374428395</v>
      </c>
    </row>
    <row r="5345" spans="1:40" x14ac:dyDescent="0.25">
      <c r="A5345" t="str">
        <f>"20190304155210092"</f>
        <v>20190304155210092</v>
      </c>
      <c r="B5345" t="str">
        <f>"1551685930082231"</f>
        <v>1551685930082231</v>
      </c>
      <c r="C5345" t="s">
        <v>40</v>
      </c>
      <c r="D5345">
        <v>4.7492799999999997</v>
      </c>
      <c r="E5345">
        <v>0.47745280000000001</v>
      </c>
      <c r="F5345" t="s">
        <v>77</v>
      </c>
      <c r="G5345">
        <v>-417.94</v>
      </c>
      <c r="H5345" s="1">
        <v>-2.833174E-6</v>
      </c>
      <c r="I5345">
        <v>36.001190000000001</v>
      </c>
      <c r="J5345">
        <v>-422.92180000000002</v>
      </c>
      <c r="K5345">
        <v>1.110746</v>
      </c>
      <c r="L5345">
        <v>59.443600000000004</v>
      </c>
      <c r="M5345">
        <v>2.5131230000000001E-2</v>
      </c>
      <c r="N5345">
        <v>-1.378976E-2</v>
      </c>
      <c r="O5345">
        <v>-0.99958899999999995</v>
      </c>
      <c r="P5345">
        <v>0.15585850000000001</v>
      </c>
      <c r="Q5345">
        <v>0.17737549999999999</v>
      </c>
      <c r="R5345">
        <v>-0.97172309999999995</v>
      </c>
      <c r="S5345">
        <v>0.63400269999999903</v>
      </c>
      <c r="T5345">
        <v>-0.14117729999999901</v>
      </c>
      <c r="U5345">
        <v>-3.0111080000000001</v>
      </c>
      <c r="V5345">
        <v>-0.13141910000000001</v>
      </c>
      <c r="W5345">
        <v>0.19078619999999999</v>
      </c>
      <c r="X5345">
        <v>0.97279479999999996</v>
      </c>
      <c r="Y5345">
        <v>-0.1811972</v>
      </c>
      <c r="Z5345">
        <v>3.2178690000000003E-2</v>
      </c>
      <c r="AA5345">
        <v>0.98292020000000002</v>
      </c>
      <c r="AB5345">
        <v>24</v>
      </c>
      <c r="AC5345">
        <v>4.9818000000000202</v>
      </c>
      <c r="AD5345">
        <v>-1.1107488331739901</v>
      </c>
      <c r="AE5345">
        <v>-23.442409999999999</v>
      </c>
      <c r="AF5345">
        <v>-4.3816216745548999</v>
      </c>
      <c r="AG5345">
        <v>-1.1107488331739901</v>
      </c>
      <c r="AH5345">
        <v>23.509715252250299</v>
      </c>
      <c r="AI5345">
        <v>92.659282174688897</v>
      </c>
      <c r="AJ5345">
        <v>100.55737044254801</v>
      </c>
      <c r="AK5345">
        <v>23.9403233627121</v>
      </c>
      <c r="AL5345">
        <v>79.001330949306507</v>
      </c>
      <c r="AM5345">
        <v>97.693757890005401</v>
      </c>
      <c r="AN5345">
        <v>1.00000003843114</v>
      </c>
    </row>
    <row r="5346" spans="1:40" x14ac:dyDescent="0.25">
      <c r="A5346" t="str">
        <f>"20190304155210115"</f>
        <v>20190304155210115</v>
      </c>
      <c r="B5346" t="str">
        <f>"1551685930112487"</f>
        <v>1551685930112487</v>
      </c>
      <c r="C5346" t="s">
        <v>40</v>
      </c>
      <c r="D5346">
        <v>4.7688139999999999</v>
      </c>
      <c r="E5346">
        <v>0.47661120000000001</v>
      </c>
      <c r="F5346" t="s">
        <v>77</v>
      </c>
      <c r="G5346">
        <v>-417.90280000000001</v>
      </c>
      <c r="H5346" s="1">
        <v>-2.9375499999999999E-6</v>
      </c>
      <c r="I5346">
        <v>35.852550000000001</v>
      </c>
      <c r="J5346">
        <v>-422.91570000000002</v>
      </c>
      <c r="K5346">
        <v>1.1107499999999999</v>
      </c>
      <c r="L5346">
        <v>59.20776</v>
      </c>
      <c r="M5346">
        <v>2.5273239999999999E-2</v>
      </c>
      <c r="N5346">
        <v>-1.378739E-2</v>
      </c>
      <c r="O5346">
        <v>-0.99958559999999996</v>
      </c>
      <c r="P5346">
        <v>0.15484970000000001</v>
      </c>
      <c r="Q5346">
        <v>0.17929909999999999</v>
      </c>
      <c r="R5346">
        <v>-0.97153149999999999</v>
      </c>
      <c r="S5346">
        <v>0.64047240000000005</v>
      </c>
      <c r="T5346">
        <v>-0.141741899999999</v>
      </c>
      <c r="U5346">
        <v>-3.010437</v>
      </c>
      <c r="V5346">
        <v>-0.1302779</v>
      </c>
      <c r="W5346">
        <v>0.1927036</v>
      </c>
      <c r="X5346">
        <v>0.9725703</v>
      </c>
      <c r="Y5346">
        <v>-0.18312100000000001</v>
      </c>
      <c r="Z5346">
        <v>3.2356360000000001E-2</v>
      </c>
      <c r="AA5346">
        <v>0.98255780000000004</v>
      </c>
      <c r="AB5346">
        <v>24</v>
      </c>
      <c r="AC5346">
        <v>5.0129000000000001</v>
      </c>
      <c r="AD5346">
        <v>-1.11075293754999</v>
      </c>
      <c r="AE5346">
        <v>-23.35521</v>
      </c>
      <c r="AF5346">
        <v>-4.4114419362617801</v>
      </c>
      <c r="AG5346">
        <v>-1.11075293754999</v>
      </c>
      <c r="AH5346">
        <v>23.423804486042599</v>
      </c>
      <c r="AI5346">
        <v>92.668087605845599</v>
      </c>
      <c r="AJ5346">
        <v>100.665675784987</v>
      </c>
      <c r="AK5346">
        <v>23.861458644551298</v>
      </c>
      <c r="AL5346">
        <v>78.889394564158394</v>
      </c>
      <c r="AM5346">
        <v>97.629477812789304</v>
      </c>
      <c r="AN5346">
        <v>0.99999999856173005</v>
      </c>
    </row>
    <row r="5347" spans="1:40" x14ac:dyDescent="0.25">
      <c r="A5347" t="str">
        <f>"20190304155210136"</f>
        <v>20190304155210136</v>
      </c>
      <c r="B5347" t="str">
        <f>"1551685930132027"</f>
        <v>1551685930132027</v>
      </c>
      <c r="C5347" t="s">
        <v>40</v>
      </c>
      <c r="D5347">
        <v>4.7516489999999996</v>
      </c>
      <c r="E5347">
        <v>0.47609479999999998</v>
      </c>
      <c r="F5347" t="s">
        <v>77</v>
      </c>
      <c r="G5347">
        <v>-417.71140000000003</v>
      </c>
      <c r="H5347" s="1">
        <v>-3.4988260000000002E-6</v>
      </c>
      <c r="I5347">
        <v>34.93777</v>
      </c>
      <c r="J5347">
        <v>-422.90960000000001</v>
      </c>
      <c r="K5347">
        <v>1.1107590000000001</v>
      </c>
      <c r="L5347">
        <v>58.971369999999901</v>
      </c>
      <c r="M5347">
        <v>2.5419400000000002E-2</v>
      </c>
      <c r="N5347">
        <v>-1.378502E-2</v>
      </c>
      <c r="O5347">
        <v>-0.99958179999999996</v>
      </c>
      <c r="P5347">
        <v>0.1548003</v>
      </c>
      <c r="Q5347">
        <v>0.18129229999999999</v>
      </c>
      <c r="R5347">
        <v>-0.97116950000000002</v>
      </c>
      <c r="S5347">
        <v>0.64553830000000001</v>
      </c>
      <c r="T5347">
        <v>-0.13777729999999999</v>
      </c>
      <c r="U5347">
        <v>-3.010437</v>
      </c>
      <c r="V5347">
        <v>-0.1300965</v>
      </c>
      <c r="W5347">
        <v>0.194689</v>
      </c>
      <c r="X5347">
        <v>0.97219909999999998</v>
      </c>
      <c r="Y5347">
        <v>-0.18456800000000001</v>
      </c>
      <c r="Z5347">
        <v>3.105772E-2</v>
      </c>
      <c r="AA5347">
        <v>0.98232889999999995</v>
      </c>
      <c r="AB5347">
        <v>24</v>
      </c>
      <c r="AC5347">
        <v>5.1981999999999804</v>
      </c>
      <c r="AD5347">
        <v>-1.1107624988259901</v>
      </c>
      <c r="AE5347">
        <v>-24.0336</v>
      </c>
      <c r="AF5347">
        <v>-4.5762042387635899</v>
      </c>
      <c r="AG5347">
        <v>-1.1107624988259901</v>
      </c>
      <c r="AH5347">
        <v>24.108784969209101</v>
      </c>
      <c r="AI5347">
        <v>92.591708056735499</v>
      </c>
      <c r="AJ5347">
        <v>100.747725374468</v>
      </c>
      <c r="AK5347">
        <v>24.564383795553301</v>
      </c>
      <c r="AL5347">
        <v>78.773443562284001</v>
      </c>
      <c r="AM5347">
        <v>97.621854190110895</v>
      </c>
      <c r="AN5347">
        <v>0.99999999803702899</v>
      </c>
    </row>
    <row r="5348" spans="1:40" x14ac:dyDescent="0.25">
      <c r="A5348" t="str">
        <f>"20190304155210159"</f>
        <v>20190304155210159</v>
      </c>
      <c r="B5348" t="str">
        <f>"1551685930152507"</f>
        <v>1551685930152507</v>
      </c>
      <c r="C5348" t="s">
        <v>40</v>
      </c>
      <c r="D5348">
        <v>4.7567680000000001</v>
      </c>
      <c r="E5348">
        <v>0.47557480000000002</v>
      </c>
      <c r="F5348" t="s">
        <v>77</v>
      </c>
      <c r="G5348">
        <v>-417.44400000000002</v>
      </c>
      <c r="H5348" s="1">
        <v>-4.1764759999999999E-6</v>
      </c>
      <c r="I5348">
        <v>33.747819999999997</v>
      </c>
      <c r="J5348">
        <v>-422.9033</v>
      </c>
      <c r="K5348">
        <v>1.110765</v>
      </c>
      <c r="L5348">
        <v>58.732759999999999</v>
      </c>
      <c r="M5348">
        <v>2.556926E-2</v>
      </c>
      <c r="N5348">
        <v>-1.3782600000000001E-2</v>
      </c>
      <c r="O5348">
        <v>-0.99957799999999997</v>
      </c>
      <c r="P5348">
        <v>0.15524279999999999</v>
      </c>
      <c r="Q5348">
        <v>0.1818304</v>
      </c>
      <c r="R5348">
        <v>-0.97099820000000003</v>
      </c>
      <c r="S5348">
        <v>0.65219119999999997</v>
      </c>
      <c r="T5348">
        <v>-0.13254299999999999</v>
      </c>
      <c r="U5348">
        <v>-3.009827</v>
      </c>
      <c r="V5348">
        <v>-0.1303985</v>
      </c>
      <c r="W5348">
        <v>0.19522210000000001</v>
      </c>
      <c r="X5348">
        <v>0.97205169999999996</v>
      </c>
      <c r="Y5348">
        <v>-0.1865484</v>
      </c>
      <c r="Z5348">
        <v>2.9351499999999999E-2</v>
      </c>
      <c r="AA5348">
        <v>0.98200719999999997</v>
      </c>
      <c r="AB5348">
        <v>24</v>
      </c>
      <c r="AC5348">
        <v>5.4592999999999803</v>
      </c>
      <c r="AD5348">
        <v>-1.1107691764759999</v>
      </c>
      <c r="AE5348">
        <v>-24.984939999999899</v>
      </c>
      <c r="AF5348">
        <v>-4.8095348711354102</v>
      </c>
      <c r="AG5348">
        <v>-1.1107691764759999</v>
      </c>
      <c r="AH5348">
        <v>25.069082675087799</v>
      </c>
      <c r="AI5348">
        <v>92.491639328737094</v>
      </c>
      <c r="AJ5348">
        <v>100.86030543086299</v>
      </c>
      <c r="AK5348">
        <v>25.550427393890399</v>
      </c>
      <c r="AL5348">
        <v>78.742301339341793</v>
      </c>
      <c r="AM5348">
        <v>97.640483232956001</v>
      </c>
      <c r="AN5348">
        <v>0.99999997230177395</v>
      </c>
    </row>
    <row r="5349" spans="1:40" x14ac:dyDescent="0.25">
      <c r="A5349" t="str">
        <f>"20190304155210181"</f>
        <v>20190304155210181</v>
      </c>
      <c r="B5349" t="str">
        <f>"1551685930172024"</f>
        <v>1551685930172024</v>
      </c>
      <c r="C5349" t="s">
        <v>40</v>
      </c>
      <c r="D5349">
        <v>4.7744780000000002</v>
      </c>
      <c r="E5349">
        <v>0.47512189999999999</v>
      </c>
      <c r="F5349" t="s">
        <v>77</v>
      </c>
      <c r="G5349">
        <v>-417.36470000000003</v>
      </c>
      <c r="H5349" s="1">
        <v>-4.3708409999999901E-6</v>
      </c>
      <c r="I5349">
        <v>33.400880000000001</v>
      </c>
      <c r="J5349">
        <v>-422.89710000000002</v>
      </c>
      <c r="K5349">
        <v>1.110771</v>
      </c>
      <c r="L5349">
        <v>58.496189999999999</v>
      </c>
      <c r="M5349">
        <v>2.571828E-2</v>
      </c>
      <c r="N5349">
        <v>-1.3780239999999999E-2</v>
      </c>
      <c r="O5349">
        <v>-0.99957439999999997</v>
      </c>
      <c r="P5349">
        <v>0.1559934</v>
      </c>
      <c r="Q5349">
        <v>0.1833544</v>
      </c>
      <c r="R5349">
        <v>-0.97059150000000005</v>
      </c>
      <c r="S5349">
        <v>0.65792850000000003</v>
      </c>
      <c r="T5349">
        <v>-0.13194610000000001</v>
      </c>
      <c r="U5349">
        <v>-3.009125</v>
      </c>
      <c r="V5349">
        <v>-0.1310153</v>
      </c>
      <c r="W5349">
        <v>0.19673760000000001</v>
      </c>
      <c r="X5349">
        <v>0.97166319999999995</v>
      </c>
      <c r="Y5349">
        <v>-0.1882375</v>
      </c>
      <c r="Z5349">
        <v>2.9154590000000001E-2</v>
      </c>
      <c r="AA5349">
        <v>0.98169070000000003</v>
      </c>
      <c r="AB5349">
        <v>24</v>
      </c>
      <c r="AC5349">
        <v>5.5323999999999902</v>
      </c>
      <c r="AD5349">
        <v>-1.110775370841</v>
      </c>
      <c r="AE5349">
        <v>-25.095310000000001</v>
      </c>
      <c r="AF5349">
        <v>-4.8759902683473104</v>
      </c>
      <c r="AG5349">
        <v>-1.110775370841</v>
      </c>
      <c r="AH5349">
        <v>25.1822558012625</v>
      </c>
      <c r="AI5349">
        <v>92.479651470469506</v>
      </c>
      <c r="AJ5349">
        <v>100.958460323362</v>
      </c>
      <c r="AK5349">
        <v>25.674016247204101</v>
      </c>
      <c r="AL5349">
        <v>78.653753125647995</v>
      </c>
      <c r="AM5349">
        <v>97.679226241590001</v>
      </c>
      <c r="AN5349">
        <v>1.0000000331610399</v>
      </c>
    </row>
    <row r="5350" spans="1:40" x14ac:dyDescent="0.25">
      <c r="A5350" t="str">
        <f>"20190304155210204"</f>
        <v>20190304155210204</v>
      </c>
      <c r="B5350" t="str">
        <f>"1551685930192523"</f>
        <v>1551685930192523</v>
      </c>
      <c r="C5350" t="s">
        <v>40</v>
      </c>
      <c r="D5350">
        <v>4.7835989999999997</v>
      </c>
      <c r="E5350">
        <v>0.47481210000000001</v>
      </c>
      <c r="F5350" t="s">
        <v>77</v>
      </c>
      <c r="G5350">
        <v>-417.15170000000001</v>
      </c>
      <c r="H5350" s="1">
        <v>-4.8699569999999998E-6</v>
      </c>
      <c r="I5350">
        <v>32.514009999999999</v>
      </c>
      <c r="J5350">
        <v>-422.89089999999999</v>
      </c>
      <c r="K5350">
        <v>1.110776</v>
      </c>
      <c r="L5350">
        <v>58.260770000000001</v>
      </c>
      <c r="M5350">
        <v>2.5866940000000001E-2</v>
      </c>
      <c r="N5350">
        <v>-1.377779E-2</v>
      </c>
      <c r="O5350">
        <v>-0.99957079999999998</v>
      </c>
      <c r="P5350">
        <v>0.15665780000000001</v>
      </c>
      <c r="Q5350">
        <v>0.18486639999999999</v>
      </c>
      <c r="R5350">
        <v>-0.9701978</v>
      </c>
      <c r="S5350">
        <v>0.66522219999999999</v>
      </c>
      <c r="T5350">
        <v>-0.128608</v>
      </c>
      <c r="U5350">
        <v>-3.00827</v>
      </c>
      <c r="V5350">
        <v>-0.13154540000000001</v>
      </c>
      <c r="W5350">
        <v>0.19824140000000001</v>
      </c>
      <c r="X5350">
        <v>0.97128579999999998</v>
      </c>
      <c r="Y5350">
        <v>-0.19042680000000001</v>
      </c>
      <c r="Z5350">
        <v>2.8065779999999999E-2</v>
      </c>
      <c r="AA5350">
        <v>0.98130010000000001</v>
      </c>
      <c r="AB5350">
        <v>24</v>
      </c>
      <c r="AC5350">
        <v>5.7391999999999799</v>
      </c>
      <c r="AD5350">
        <v>-1.1107808699570001</v>
      </c>
      <c r="AE5350">
        <v>-25.746759999999899</v>
      </c>
      <c r="AF5350">
        <v>-5.0622501450025696</v>
      </c>
      <c r="AG5350">
        <v>-1.1107808699570001</v>
      </c>
      <c r="AH5350">
        <v>25.840792755752702</v>
      </c>
      <c r="AI5350">
        <v>92.415517408981401</v>
      </c>
      <c r="AJ5350">
        <v>101.083960762773</v>
      </c>
      <c r="AK5350">
        <v>26.355393772763101</v>
      </c>
      <c r="AL5350">
        <v>78.565860011742799</v>
      </c>
      <c r="AM5350">
        <v>97.712883813070206</v>
      </c>
      <c r="AN5350">
        <v>0.99999997510837901</v>
      </c>
    </row>
    <row r="5351" spans="1:40" x14ac:dyDescent="0.25">
      <c r="A5351" t="str">
        <f>"20190304155210226"</f>
        <v>20190304155210226</v>
      </c>
      <c r="B5351" t="str">
        <f>"1551685930221799"</f>
        <v>1551685930221799</v>
      </c>
      <c r="C5351" t="s">
        <v>40</v>
      </c>
      <c r="D5351">
        <v>4.7665839999999999</v>
      </c>
      <c r="E5351">
        <v>0.47454209999999902</v>
      </c>
      <c r="F5351" t="s">
        <v>77</v>
      </c>
      <c r="G5351">
        <v>-416.94200000000001</v>
      </c>
      <c r="H5351" s="1">
        <v>-5.393542E-6</v>
      </c>
      <c r="I5351">
        <v>31.577670000000001</v>
      </c>
      <c r="J5351">
        <v>-422.88459999999998</v>
      </c>
      <c r="K5351">
        <v>1.110779</v>
      </c>
      <c r="L5351">
        <v>58.024140000000003</v>
      </c>
      <c r="M5351">
        <v>2.6017990000000001E-2</v>
      </c>
      <c r="N5351">
        <v>-1.3775229999999999E-2</v>
      </c>
      <c r="O5351">
        <v>-0.99956659999999997</v>
      </c>
      <c r="P5351">
        <v>0.1576506</v>
      </c>
      <c r="Q5351">
        <v>0.1863612</v>
      </c>
      <c r="R5351">
        <v>-0.96975049999999996</v>
      </c>
      <c r="S5351">
        <v>0.67056269999999996</v>
      </c>
      <c r="T5351">
        <v>-0.12520729999999999</v>
      </c>
      <c r="U5351">
        <v>-3.0077210000000001</v>
      </c>
      <c r="V5351">
        <v>-0.13240399999999999</v>
      </c>
      <c r="W5351">
        <v>0.1997274</v>
      </c>
      <c r="X5351">
        <v>0.97086470000000002</v>
      </c>
      <c r="Y5351">
        <v>-0.19198399999999999</v>
      </c>
      <c r="Z5351">
        <v>2.6958070000000001E-2</v>
      </c>
      <c r="AA5351">
        <v>0.98102769999999995</v>
      </c>
      <c r="AB5351">
        <v>24</v>
      </c>
      <c r="AC5351">
        <v>5.9426000000000201</v>
      </c>
      <c r="AD5351">
        <v>-1.1107843935420001</v>
      </c>
      <c r="AE5351">
        <v>-26.446470000000001</v>
      </c>
      <c r="AF5351">
        <v>-5.2436329404416604</v>
      </c>
      <c r="AG5351">
        <v>-1.1107843935420001</v>
      </c>
      <c r="AH5351">
        <v>26.547563014330599</v>
      </c>
      <c r="AI5351">
        <v>92.350571116216003</v>
      </c>
      <c r="AJ5351">
        <v>101.173152512058</v>
      </c>
      <c r="AK5351">
        <v>27.0832536890026</v>
      </c>
      <c r="AL5351">
        <v>78.478982112113002</v>
      </c>
      <c r="AM5351">
        <v>97.765940013985102</v>
      </c>
      <c r="AN5351">
        <v>1.00000005961642</v>
      </c>
    </row>
    <row r="5352" spans="1:40" x14ac:dyDescent="0.25">
      <c r="A5352" t="str">
        <f>"20190304155210241"</f>
        <v>20190304155210241</v>
      </c>
      <c r="B5352" t="str">
        <f>"1551685930232536"</f>
        <v>1551685930232536</v>
      </c>
      <c r="C5352" t="s">
        <v>40</v>
      </c>
      <c r="D5352">
        <v>4.7430589999999997</v>
      </c>
      <c r="E5352">
        <v>0.47449750000000002</v>
      </c>
      <c r="F5352" t="s">
        <v>77</v>
      </c>
      <c r="G5352">
        <v>-416.71179999999998</v>
      </c>
      <c r="H5352" s="1">
        <v>-5.8527979999999996E-6</v>
      </c>
      <c r="I5352">
        <v>30.616219999999998</v>
      </c>
      <c r="J5352">
        <v>-422.88049999999998</v>
      </c>
      <c r="K5352">
        <v>1.1107819999999999</v>
      </c>
      <c r="L5352">
        <v>57.867800000000003</v>
      </c>
      <c r="M5352">
        <v>2.6121849999999999E-2</v>
      </c>
      <c r="N5352">
        <v>-1.3773560000000001E-2</v>
      </c>
      <c r="O5352">
        <v>-0.99956420000000001</v>
      </c>
      <c r="P5352">
        <v>0.15828490000000001</v>
      </c>
      <c r="Q5352">
        <v>0.1864393</v>
      </c>
      <c r="R5352">
        <v>-0.9696323</v>
      </c>
      <c r="S5352">
        <v>0.67721560000000003</v>
      </c>
      <c r="T5352">
        <v>-0.1218632</v>
      </c>
      <c r="U5352">
        <v>-3.0068969999999999</v>
      </c>
      <c r="V5352">
        <v>-0.1329408</v>
      </c>
      <c r="W5352">
        <v>0.19980210000000001</v>
      </c>
      <c r="X5352">
        <v>0.97077590000000002</v>
      </c>
      <c r="Y5352">
        <v>-0.1940125</v>
      </c>
      <c r="Z5352">
        <v>2.5867879999999999E-2</v>
      </c>
      <c r="AA5352">
        <v>0.98065789999999997</v>
      </c>
      <c r="AB5352">
        <v>24</v>
      </c>
      <c r="AC5352">
        <v>6.1687000000000003</v>
      </c>
      <c r="AD5352">
        <v>-1.110787852798</v>
      </c>
      <c r="AE5352">
        <v>-27.251580000000001</v>
      </c>
      <c r="AF5352">
        <v>-5.4460584933185299</v>
      </c>
      <c r="AG5352">
        <v>-1.110787852798</v>
      </c>
      <c r="AH5352">
        <v>27.360191109134501</v>
      </c>
      <c r="AI5352">
        <v>92.280172641169898</v>
      </c>
      <c r="AJ5352">
        <v>101.25761051869701</v>
      </c>
      <c r="AK5352">
        <v>27.9190519232823</v>
      </c>
      <c r="AL5352">
        <v>78.474613282032706</v>
      </c>
      <c r="AM5352">
        <v>97.797743077555296</v>
      </c>
      <c r="AN5352">
        <v>0.99999999174493004</v>
      </c>
    </row>
    <row r="5353" spans="1:40" x14ac:dyDescent="0.25">
      <c r="A5353" t="str">
        <f>"20190304155210259"</f>
        <v>20190304155210259</v>
      </c>
      <c r="B5353" t="str">
        <f>"1551685930252055"</f>
        <v>1551685930252055</v>
      </c>
      <c r="C5353" t="s">
        <v>40</v>
      </c>
      <c r="D5353">
        <v>4.7256749999999998</v>
      </c>
      <c r="E5353">
        <v>0.47438930000000001</v>
      </c>
      <c r="F5353" t="s">
        <v>77</v>
      </c>
      <c r="G5353">
        <v>-416.68169999999998</v>
      </c>
      <c r="H5353" s="1">
        <v>-5.9225810000000004E-6</v>
      </c>
      <c r="I5353">
        <v>30.44425</v>
      </c>
      <c r="J5353">
        <v>-422.87520000000001</v>
      </c>
      <c r="K5353">
        <v>1.110787</v>
      </c>
      <c r="L5353">
        <v>57.672640000000001</v>
      </c>
      <c r="M5353">
        <v>2.6258819999999999E-2</v>
      </c>
      <c r="N5353">
        <v>-1.3771500000000001E-2</v>
      </c>
      <c r="O5353">
        <v>-0.99956040000000002</v>
      </c>
      <c r="P5353">
        <v>0.1596214</v>
      </c>
      <c r="Q5353">
        <v>0.1869632</v>
      </c>
      <c r="R5353">
        <v>-0.96931239999999996</v>
      </c>
      <c r="S5353">
        <v>0.67956539999999999</v>
      </c>
      <c r="T5353">
        <v>-0.12177549999999999</v>
      </c>
      <c r="U5353">
        <v>-3.0064389999999999</v>
      </c>
      <c r="V5353">
        <v>-0.13415479999999999</v>
      </c>
      <c r="W5353">
        <v>0.20031840000000001</v>
      </c>
      <c r="X5353">
        <v>0.97050250000000005</v>
      </c>
      <c r="Y5353">
        <v>-0.19463939999999999</v>
      </c>
      <c r="Z5353">
        <v>2.5841630000000001E-2</v>
      </c>
      <c r="AA5353">
        <v>0.98053440000000003</v>
      </c>
      <c r="AB5353">
        <v>24</v>
      </c>
      <c r="AC5353">
        <v>6.1935000000000198</v>
      </c>
      <c r="AD5353">
        <v>-1.110792922581</v>
      </c>
      <c r="AE5353">
        <v>-27.228390000000001</v>
      </c>
      <c r="AF5353">
        <v>-5.4676588248821902</v>
      </c>
      <c r="AG5353">
        <v>-1.110792922581</v>
      </c>
      <c r="AH5353">
        <v>27.3383886577179</v>
      </c>
      <c r="AI5353">
        <v>92.281584558510005</v>
      </c>
      <c r="AJ5353">
        <v>101.30989437346599</v>
      </c>
      <c r="AK5353">
        <v>27.901911195160199</v>
      </c>
      <c r="AL5353">
        <v>78.444421624567994</v>
      </c>
      <c r="AM5353">
        <v>97.870252010961195</v>
      </c>
      <c r="AN5353">
        <v>1.0000000371239199</v>
      </c>
    </row>
    <row r="5354" spans="1:40" x14ac:dyDescent="0.25">
      <c r="A5354" t="str">
        <f>"20190304155210283"</f>
        <v>20190304155210283</v>
      </c>
      <c r="B5354" t="str">
        <f>"1551685930272552"</f>
        <v>1551685930272552</v>
      </c>
      <c r="C5354" t="s">
        <v>40</v>
      </c>
      <c r="D5354">
        <v>4.7049440000000002</v>
      </c>
      <c r="E5354">
        <v>0.47428740000000003</v>
      </c>
      <c r="F5354" t="s">
        <v>77</v>
      </c>
      <c r="G5354">
        <v>-416.55959999999999</v>
      </c>
      <c r="H5354" s="1">
        <v>-6.1238560000000004E-6</v>
      </c>
      <c r="I5354">
        <v>29.96284</v>
      </c>
      <c r="J5354">
        <v>-422.86849999999998</v>
      </c>
      <c r="K5354">
        <v>1.1108039999999999</v>
      </c>
      <c r="L5354">
        <v>57.425719999999998</v>
      </c>
      <c r="M5354">
        <v>2.6448550000000001E-2</v>
      </c>
      <c r="N5354">
        <v>-1.3768910000000001E-2</v>
      </c>
      <c r="O5354">
        <v>-0.99955559999999999</v>
      </c>
      <c r="P5354">
        <v>0.16094929999999999</v>
      </c>
      <c r="Q5354">
        <v>0.1873562</v>
      </c>
      <c r="R5354">
        <v>-0.96901680000000001</v>
      </c>
      <c r="S5354">
        <v>0.68499759999999998</v>
      </c>
      <c r="T5354">
        <v>-0.1204765</v>
      </c>
      <c r="U5354">
        <v>-3.0054020000000001</v>
      </c>
      <c r="V5354">
        <v>-0.13531099999999999</v>
      </c>
      <c r="W5354">
        <v>0.2007015</v>
      </c>
      <c r="X5354">
        <v>0.97026279999999998</v>
      </c>
      <c r="Y5354">
        <v>-0.19621350000000001</v>
      </c>
      <c r="Z5354">
        <v>2.5422179999999999E-2</v>
      </c>
      <c r="AA5354">
        <v>0.98023159999999998</v>
      </c>
      <c r="AB5354">
        <v>24</v>
      </c>
      <c r="AC5354">
        <v>6.3088999999999897</v>
      </c>
      <c r="AD5354">
        <v>-1.110810123856</v>
      </c>
      <c r="AE5354">
        <v>-27.462879999999899</v>
      </c>
      <c r="AF5354">
        <v>-5.5716122276646303</v>
      </c>
      <c r="AG5354">
        <v>-1.110810123856</v>
      </c>
      <c r="AH5354">
        <v>27.577292771210502</v>
      </c>
      <c r="AI5354">
        <v>92.260985560767196</v>
      </c>
      <c r="AJ5354">
        <v>101.42206852349</v>
      </c>
      <c r="AK5354">
        <v>28.156417359738398</v>
      </c>
      <c r="AL5354">
        <v>78.422016519186201</v>
      </c>
      <c r="AM5354">
        <v>97.939156020500107</v>
      </c>
      <c r="AN5354">
        <v>1.0000000299435401</v>
      </c>
    </row>
    <row r="5355" spans="1:40" x14ac:dyDescent="0.25">
      <c r="A5355" t="str">
        <f>"20190304155210305"</f>
        <v>20190304155210305</v>
      </c>
      <c r="B5355" t="str">
        <f>"1551685930301831"</f>
        <v>1551685930301831</v>
      </c>
      <c r="C5355" t="s">
        <v>40</v>
      </c>
      <c r="D5355">
        <v>4.7008029999999996</v>
      </c>
      <c r="E5355">
        <v>0.47429890000000002</v>
      </c>
      <c r="F5355" t="s">
        <v>77</v>
      </c>
      <c r="G5355">
        <v>-416.4393</v>
      </c>
      <c r="H5355" s="1">
        <v>-8.5049560000000004E-6</v>
      </c>
      <c r="I5355">
        <v>29.46538</v>
      </c>
      <c r="J5355">
        <v>-422.86219999999997</v>
      </c>
      <c r="K5355">
        <v>1.1108199999999999</v>
      </c>
      <c r="L5355">
        <v>57.194000000000003</v>
      </c>
      <c r="M5355">
        <v>2.664594E-2</v>
      </c>
      <c r="N5355">
        <v>-1.3766479999999999E-2</v>
      </c>
      <c r="O5355">
        <v>-0.9995501</v>
      </c>
      <c r="P5355">
        <v>0.1618629</v>
      </c>
      <c r="Q5355">
        <v>0.18729560000000001</v>
      </c>
      <c r="R5355">
        <v>-0.96887599999999996</v>
      </c>
      <c r="S5355">
        <v>0.69079590000000002</v>
      </c>
      <c r="T5355">
        <v>-0.1193529</v>
      </c>
      <c r="U5355">
        <v>-3.0042420000000001</v>
      </c>
      <c r="V5355">
        <v>-0.136043</v>
      </c>
      <c r="W5355">
        <v>0.20063230000000001</v>
      </c>
      <c r="X5355">
        <v>0.97017469999999995</v>
      </c>
      <c r="Y5355">
        <v>-0.1979011</v>
      </c>
      <c r="Z5355">
        <v>2.5059999999999999E-2</v>
      </c>
      <c r="AA5355">
        <v>0.97990160000000004</v>
      </c>
      <c r="AB5355">
        <v>24</v>
      </c>
      <c r="AC5355">
        <v>6.4228999999999701</v>
      </c>
      <c r="AD5355">
        <v>-1.1108285049560001</v>
      </c>
      <c r="AE5355">
        <v>-27.728619999999999</v>
      </c>
      <c r="AF5355">
        <v>-5.6730529746681597</v>
      </c>
      <c r="AG5355">
        <v>-1.1108285049560001</v>
      </c>
      <c r="AH5355">
        <v>27.847517456328301</v>
      </c>
      <c r="AI5355">
        <v>92.238371935465807</v>
      </c>
      <c r="AJ5355">
        <v>101.514642187326</v>
      </c>
      <c r="AK5355">
        <v>28.441197205837199</v>
      </c>
      <c r="AL5355">
        <v>78.426063158919405</v>
      </c>
      <c r="AM5355">
        <v>97.982268372252307</v>
      </c>
      <c r="AN5355">
        <v>0.99999998308618898</v>
      </c>
    </row>
    <row r="5356" spans="1:40" x14ac:dyDescent="0.25">
      <c r="A5356" t="str">
        <f>"20190304155210327"</f>
        <v>20190304155210327</v>
      </c>
      <c r="B5356" t="str">
        <f>"1551685930322328"</f>
        <v>1551685930322328</v>
      </c>
      <c r="C5356" t="s">
        <v>40</v>
      </c>
      <c r="D5356">
        <v>4.6882519999999896</v>
      </c>
      <c r="E5356">
        <v>0.47420590000000001</v>
      </c>
      <c r="F5356" t="s">
        <v>77</v>
      </c>
      <c r="G5356">
        <v>-416.435</v>
      </c>
      <c r="H5356" s="1">
        <v>-8.4971269999999992E-6</v>
      </c>
      <c r="I5356">
        <v>29.382169999999999</v>
      </c>
      <c r="J5356">
        <v>-422.85570000000001</v>
      </c>
      <c r="K5356">
        <v>1.110841</v>
      </c>
      <c r="L5356">
        <v>56.961210000000001</v>
      </c>
      <c r="M5356">
        <v>2.6867510000000001E-2</v>
      </c>
      <c r="N5356">
        <v>-1.376402E-2</v>
      </c>
      <c r="O5356">
        <v>-0.9995444</v>
      </c>
      <c r="P5356">
        <v>0.1624649</v>
      </c>
      <c r="Q5356">
        <v>0.1879265</v>
      </c>
      <c r="R5356">
        <v>-0.96865310000000004</v>
      </c>
      <c r="S5356">
        <v>0.69412229999999997</v>
      </c>
      <c r="T5356">
        <v>-0.1199664</v>
      </c>
      <c r="U5356">
        <v>-3.0036010000000002</v>
      </c>
      <c r="V5356">
        <v>-0.1364435</v>
      </c>
      <c r="W5356">
        <v>0.2012526</v>
      </c>
      <c r="X5356">
        <v>0.96999000000000002</v>
      </c>
      <c r="Y5356">
        <v>-0.1987582</v>
      </c>
      <c r="Z5356">
        <v>2.526165E-2</v>
      </c>
      <c r="AA5356">
        <v>0.97972289999999995</v>
      </c>
      <c r="AB5356">
        <v>24</v>
      </c>
      <c r="AC5356">
        <v>6.4207000000000098</v>
      </c>
      <c r="AD5356">
        <v>-1.110849497127</v>
      </c>
      <c r="AE5356">
        <v>-27.5790399999999</v>
      </c>
      <c r="AF5356">
        <v>-5.6686077069392997</v>
      </c>
      <c r="AG5356">
        <v>-1.110849497127</v>
      </c>
      <c r="AH5356">
        <v>27.698978948419398</v>
      </c>
      <c r="AI5356">
        <v>92.249994959895005</v>
      </c>
      <c r="AJ5356">
        <v>101.565903298222</v>
      </c>
      <c r="AK5356">
        <v>28.294885310342298</v>
      </c>
      <c r="AL5356">
        <v>78.389782993795706</v>
      </c>
      <c r="AM5356">
        <v>98.006967929929502</v>
      </c>
      <c r="AN5356">
        <v>1.0000000188995</v>
      </c>
    </row>
    <row r="5357" spans="1:40" x14ac:dyDescent="0.25">
      <c r="A5357" t="str">
        <f>"20190304155210349"</f>
        <v>20190304155210349</v>
      </c>
      <c r="B5357" t="str">
        <f>"1551685930342823"</f>
        <v>1551685930342823</v>
      </c>
      <c r="C5357" t="s">
        <v>40</v>
      </c>
      <c r="D5357">
        <v>4.6548629999999998</v>
      </c>
      <c r="E5357">
        <v>0.47415079999999998</v>
      </c>
      <c r="F5357" t="s">
        <v>77</v>
      </c>
      <c r="G5357">
        <v>-416.30770000000001</v>
      </c>
      <c r="H5357" s="1">
        <v>-8.4731429999999995E-6</v>
      </c>
      <c r="I5357">
        <v>28.77177</v>
      </c>
      <c r="J5357">
        <v>-422.8492</v>
      </c>
      <c r="K5357">
        <v>1.110862</v>
      </c>
      <c r="L5357">
        <v>56.7256199999999</v>
      </c>
      <c r="M5357">
        <v>2.7119069999999999E-2</v>
      </c>
      <c r="N5357">
        <v>-1.3761529999999999E-2</v>
      </c>
      <c r="O5357">
        <v>-0.99953769999999997</v>
      </c>
      <c r="P5357">
        <v>0.16290769999999999</v>
      </c>
      <c r="Q5357">
        <v>0.18856419999999999</v>
      </c>
      <c r="R5357">
        <v>-0.96845510000000001</v>
      </c>
      <c r="S5357">
        <v>0.69757080000000005</v>
      </c>
      <c r="T5357">
        <v>-0.11834</v>
      </c>
      <c r="U5357">
        <v>-3.0030519999999998</v>
      </c>
      <c r="V5357">
        <v>-0.13665539999999901</v>
      </c>
      <c r="W5357">
        <v>0.2018799</v>
      </c>
      <c r="X5357">
        <v>0.96982979999999996</v>
      </c>
      <c r="Y5357">
        <v>-0.19962189999999999</v>
      </c>
      <c r="Z5357">
        <v>2.4735030000000002E-2</v>
      </c>
      <c r="AA5357">
        <v>0.97956069999999995</v>
      </c>
      <c r="AB5357">
        <v>24</v>
      </c>
      <c r="AC5357">
        <v>6.5414999999999797</v>
      </c>
      <c r="AD5357">
        <v>-1.1108704731429999</v>
      </c>
      <c r="AE5357">
        <v>-27.9538499999999</v>
      </c>
      <c r="AF5357">
        <v>-5.7722971311883997</v>
      </c>
      <c r="AG5357">
        <v>-1.1108704731429999</v>
      </c>
      <c r="AH5357">
        <v>28.078942347393401</v>
      </c>
      <c r="AI5357">
        <v>92.219217616200197</v>
      </c>
      <c r="AJ5357">
        <v>101.616677483321</v>
      </c>
      <c r="AK5357">
        <v>28.687635851130501</v>
      </c>
      <c r="AL5357">
        <v>78.353088159786594</v>
      </c>
      <c r="AM5357">
        <v>98.020548714473193</v>
      </c>
      <c r="AN5357">
        <v>1.0000000166706</v>
      </c>
    </row>
    <row r="5358" spans="1:40" x14ac:dyDescent="0.25">
      <c r="A5358" t="str">
        <f>"20190304155210371"</f>
        <v>20190304155210371</v>
      </c>
      <c r="B5358" t="str">
        <f>"1551685930362343"</f>
        <v>1551685930362343</v>
      </c>
      <c r="C5358" t="s">
        <v>40</v>
      </c>
      <c r="D5358">
        <v>4.6593059999999999</v>
      </c>
      <c r="E5358">
        <v>0.47409129999999999</v>
      </c>
      <c r="F5358" t="s">
        <v>77</v>
      </c>
      <c r="G5358">
        <v>-416.18049999999999</v>
      </c>
      <c r="H5358" s="1">
        <v>-8.4454039999999998E-6</v>
      </c>
      <c r="I5358">
        <v>28.128139999999998</v>
      </c>
      <c r="J5358">
        <v>-422.84269999999998</v>
      </c>
      <c r="K5358">
        <v>1.110881</v>
      </c>
      <c r="L5358">
        <v>56.497219999999999</v>
      </c>
      <c r="M5358">
        <v>2.7389409999999999E-2</v>
      </c>
      <c r="N5358">
        <v>-1.375914E-2</v>
      </c>
      <c r="O5358">
        <v>-0.99953009999999998</v>
      </c>
      <c r="P5358">
        <v>0.16280129999999901</v>
      </c>
      <c r="Q5358">
        <v>0.1896601</v>
      </c>
      <c r="R5358">
        <v>-0.96825859999999997</v>
      </c>
      <c r="S5358">
        <v>0.70019529999999996</v>
      </c>
      <c r="T5358">
        <v>-0.1166383</v>
      </c>
      <c r="U5358">
        <v>-3.0026549999999999</v>
      </c>
      <c r="V5358">
        <v>-0.13630039999999999</v>
      </c>
      <c r="W5358">
        <v>0.20296600000000001</v>
      </c>
      <c r="X5358">
        <v>0.96965299999999999</v>
      </c>
      <c r="Y5358">
        <v>-0.2002012</v>
      </c>
      <c r="Z5358">
        <v>2.4184190000000001E-2</v>
      </c>
      <c r="AA5358">
        <v>0.97945629999999995</v>
      </c>
      <c r="AB5358">
        <v>24</v>
      </c>
      <c r="AC5358">
        <v>6.6621999999999799</v>
      </c>
      <c r="AD5358">
        <v>-1.1108894454039999</v>
      </c>
      <c r="AE5358">
        <v>-28.36908</v>
      </c>
      <c r="AF5358">
        <v>-5.8740777388155401</v>
      </c>
      <c r="AG5358">
        <v>-1.1108894454039999</v>
      </c>
      <c r="AH5358">
        <v>28.4995094466158</v>
      </c>
      <c r="AI5358">
        <v>92.186306047862004</v>
      </c>
      <c r="AJ5358">
        <v>101.646230821777</v>
      </c>
      <c r="AK5358">
        <v>29.1197682569642</v>
      </c>
      <c r="AL5358">
        <v>78.289543152065804</v>
      </c>
      <c r="AM5358">
        <v>98.001422995294604</v>
      </c>
      <c r="AN5358">
        <v>0.99999996830257898</v>
      </c>
    </row>
    <row r="5359" spans="1:40" x14ac:dyDescent="0.25">
      <c r="A5359" t="str">
        <f>"20190304155210394"</f>
        <v>20190304155210394</v>
      </c>
      <c r="B5359" t="str">
        <f>"1551685930381864"</f>
        <v>1551685930381864</v>
      </c>
      <c r="C5359" t="s">
        <v>40</v>
      </c>
      <c r="D5359">
        <v>4.6771349999999998</v>
      </c>
      <c r="E5359">
        <v>0.4740489</v>
      </c>
      <c r="F5359" t="s">
        <v>77</v>
      </c>
      <c r="G5359">
        <v>-415.99900000000002</v>
      </c>
      <c r="H5359" s="1">
        <v>-8.4024760000000006E-6</v>
      </c>
      <c r="I5359">
        <v>27.180219999999998</v>
      </c>
      <c r="J5359">
        <v>-422.83580000000001</v>
      </c>
      <c r="K5359">
        <v>1.110895</v>
      </c>
      <c r="L5359">
        <v>56.256959999999999</v>
      </c>
      <c r="M5359">
        <v>2.7696080000000001E-2</v>
      </c>
      <c r="N5359">
        <v>-1.3756569999999999E-2</v>
      </c>
      <c r="O5359">
        <v>-0.99952180000000002</v>
      </c>
      <c r="P5359">
        <v>0.1625897</v>
      </c>
      <c r="Q5359">
        <v>0.19099250000000001</v>
      </c>
      <c r="R5359">
        <v>-0.96803240000000002</v>
      </c>
      <c r="S5359">
        <v>0.70095830000000003</v>
      </c>
      <c r="T5359">
        <v>-0.1137822</v>
      </c>
      <c r="U5359">
        <v>-3.002777</v>
      </c>
      <c r="V5359">
        <v>-0.13580439999999999</v>
      </c>
      <c r="W5359">
        <v>0.2042882</v>
      </c>
      <c r="X5359">
        <v>0.96944490000000005</v>
      </c>
      <c r="Y5359">
        <v>-0.20013420000000001</v>
      </c>
      <c r="Z5359">
        <v>2.3257549999999998E-2</v>
      </c>
      <c r="AA5359">
        <v>0.97949240000000004</v>
      </c>
      <c r="AB5359">
        <v>23</v>
      </c>
      <c r="AC5359">
        <v>6.8367999999999798</v>
      </c>
      <c r="AD5359">
        <v>-1.1109034024760001</v>
      </c>
      <c r="AE5359">
        <v>-29.076740000000001</v>
      </c>
      <c r="AF5359">
        <v>-6.0204613511710203</v>
      </c>
      <c r="AG5359">
        <v>-1.1109034024760001</v>
      </c>
      <c r="AH5359">
        <v>29.214544106284499</v>
      </c>
      <c r="AI5359">
        <v>92.132886690836401</v>
      </c>
      <c r="AJ5359">
        <v>101.644362162134</v>
      </c>
      <c r="AK5359">
        <v>29.849114703599099</v>
      </c>
      <c r="AL5359">
        <v>78.212165374662504</v>
      </c>
      <c r="AM5359">
        <v>97.974370118995296</v>
      </c>
      <c r="AN5359">
        <v>0.99999995892730398</v>
      </c>
    </row>
    <row r="5360" spans="1:40" x14ac:dyDescent="0.25">
      <c r="A5360" t="str">
        <f>"20190304155210417"</f>
        <v>20190304155210417</v>
      </c>
      <c r="B5360" t="str">
        <f>"1551685930412120"</f>
        <v>1551685930412120</v>
      </c>
      <c r="C5360" t="s">
        <v>40</v>
      </c>
      <c r="D5360">
        <v>4.6764580000000002</v>
      </c>
      <c r="E5360">
        <v>0.47397109999999898</v>
      </c>
      <c r="F5360" t="s">
        <v>77</v>
      </c>
      <c r="G5360">
        <v>-415.77190000000002</v>
      </c>
      <c r="H5360" s="1">
        <v>-8.3508660000000003E-6</v>
      </c>
      <c r="I5360">
        <v>26.012419999999999</v>
      </c>
      <c r="J5360">
        <v>-422.82889999999998</v>
      </c>
      <c r="K5360">
        <v>1.110914</v>
      </c>
      <c r="L5360">
        <v>56.021880000000003</v>
      </c>
      <c r="M5360">
        <v>2.8016030000000001E-2</v>
      </c>
      <c r="N5360">
        <v>-1.375412E-2</v>
      </c>
      <c r="O5360">
        <v>-0.99951319999999999</v>
      </c>
      <c r="P5360">
        <v>0.16186429999999999</v>
      </c>
      <c r="Q5360">
        <v>0.1926765</v>
      </c>
      <c r="R5360">
        <v>-0.96782080000000004</v>
      </c>
      <c r="S5360">
        <v>0.7013855</v>
      </c>
      <c r="T5360">
        <v>-0.1103032</v>
      </c>
      <c r="U5360">
        <v>-3.0030209999999999</v>
      </c>
      <c r="V5360">
        <v>-0.1347806</v>
      </c>
      <c r="W5360">
        <v>0.20596400000000001</v>
      </c>
      <c r="X5360">
        <v>0.96923320000000002</v>
      </c>
      <c r="Y5360">
        <v>-0.19994239999999999</v>
      </c>
      <c r="Z5360">
        <v>2.2128160000000001E-2</v>
      </c>
      <c r="AA5360">
        <v>0.97955780000000003</v>
      </c>
      <c r="AB5360">
        <v>23</v>
      </c>
      <c r="AC5360">
        <v>7.0569999999999604</v>
      </c>
      <c r="AD5360">
        <v>-1.110922350866</v>
      </c>
      <c r="AE5360">
        <v>-30.009459999999901</v>
      </c>
      <c r="AF5360">
        <v>-6.20534599506734</v>
      </c>
      <c r="AG5360">
        <v>-1.110922350866</v>
      </c>
      <c r="AH5360">
        <v>30.156245162744401</v>
      </c>
      <c r="AI5360">
        <v>92.066500215839</v>
      </c>
      <c r="AJ5360">
        <v>101.627632224788</v>
      </c>
      <c r="AK5360">
        <v>30.808109154956199</v>
      </c>
      <c r="AL5360">
        <v>78.114063344246702</v>
      </c>
      <c r="AM5360">
        <v>97.916724699650004</v>
      </c>
      <c r="AN5360">
        <v>0.99999998770729903</v>
      </c>
    </row>
    <row r="5361" spans="1:40" x14ac:dyDescent="0.25">
      <c r="A5361" t="str">
        <f>"20190304155210439"</f>
        <v>20190304155210439</v>
      </c>
      <c r="B5361" t="str">
        <f>"1551685930432619"</f>
        <v>1551685930432619</v>
      </c>
      <c r="C5361" t="s">
        <v>40</v>
      </c>
      <c r="D5361">
        <v>4.7269540000000001</v>
      </c>
      <c r="E5361">
        <v>0.47391810000000001</v>
      </c>
      <c r="F5361" t="s">
        <v>77</v>
      </c>
      <c r="G5361">
        <v>-415.45780000000002</v>
      </c>
      <c r="H5361" s="1">
        <v>-8.2823459999999995E-6</v>
      </c>
      <c r="I5361">
        <v>24.423290000000001</v>
      </c>
      <c r="J5361">
        <v>-422.822</v>
      </c>
      <c r="K5361">
        <v>1.1109359999999999</v>
      </c>
      <c r="L5361">
        <v>55.789639999999999</v>
      </c>
      <c r="M5361">
        <v>2.8349969999999999E-2</v>
      </c>
      <c r="N5361">
        <v>-1.37517E-2</v>
      </c>
      <c r="O5361">
        <v>-0.99950369999999999</v>
      </c>
      <c r="P5361">
        <v>0.160919799999999</v>
      </c>
      <c r="Q5361">
        <v>0.19433690000000001</v>
      </c>
      <c r="R5361">
        <v>-0.96764600000000001</v>
      </c>
      <c r="S5361">
        <v>0.70065310000000003</v>
      </c>
      <c r="T5361">
        <v>-0.1055986</v>
      </c>
      <c r="U5361">
        <v>-3.0036010000000002</v>
      </c>
      <c r="V5361">
        <v>-0.133522</v>
      </c>
      <c r="W5361">
        <v>0.207617</v>
      </c>
      <c r="X5361">
        <v>0.96905479999999999</v>
      </c>
      <c r="Y5361">
        <v>-0.19935639999999999</v>
      </c>
      <c r="Z5361">
        <v>2.060008E-2</v>
      </c>
      <c r="AA5361">
        <v>0.97971050000000004</v>
      </c>
      <c r="AB5361">
        <v>23</v>
      </c>
      <c r="AC5361">
        <v>7.3641999999999204</v>
      </c>
      <c r="AD5361">
        <v>-1.1109442823459901</v>
      </c>
      <c r="AE5361">
        <v>-31.366350000000001</v>
      </c>
      <c r="AF5361">
        <v>-6.46423502080156</v>
      </c>
      <c r="AG5361">
        <v>-1.1109442823459901</v>
      </c>
      <c r="AH5361">
        <v>31.525053850746701</v>
      </c>
      <c r="AI5361">
        <v>91.977166462892797</v>
      </c>
      <c r="AJ5361">
        <v>101.58791509141101</v>
      </c>
      <c r="AK5361">
        <v>32.200148321011099</v>
      </c>
      <c r="AL5361">
        <v>78.017262101766306</v>
      </c>
      <c r="AM5361">
        <v>97.845147706084006</v>
      </c>
      <c r="AN5361">
        <v>1.00000007428801</v>
      </c>
    </row>
    <row r="5362" spans="1:40" x14ac:dyDescent="0.25">
      <c r="A5362" t="str">
        <f>"20190304155210461"</f>
        <v>20190304155210461</v>
      </c>
      <c r="B5362" t="str">
        <f>"1551685930452136"</f>
        <v>1551685930452136</v>
      </c>
      <c r="C5362" t="s">
        <v>40</v>
      </c>
      <c r="D5362">
        <v>4.7484320000000002</v>
      </c>
      <c r="E5362">
        <v>0.50064019999999998</v>
      </c>
      <c r="F5362" t="s">
        <v>77</v>
      </c>
      <c r="G5362">
        <v>-415.15929999999997</v>
      </c>
      <c r="H5362" s="1">
        <v>-8.2276179999999999E-6</v>
      </c>
      <c r="I5362">
        <v>22.827559999999998</v>
      </c>
      <c r="J5362">
        <v>-422.81490000000002</v>
      </c>
      <c r="K5362">
        <v>1.110951</v>
      </c>
      <c r="L5362">
        <v>55.5535</v>
      </c>
      <c r="M5362">
        <v>2.870636E-2</v>
      </c>
      <c r="N5362">
        <v>-1.374919E-2</v>
      </c>
      <c r="O5362">
        <v>-0.99949339999999998</v>
      </c>
      <c r="P5362">
        <v>0.16039220000000001</v>
      </c>
      <c r="Q5362">
        <v>0.196136</v>
      </c>
      <c r="R5362">
        <v>-0.96737050000000002</v>
      </c>
      <c r="S5362">
        <v>0.69845579999999996</v>
      </c>
      <c r="T5362">
        <v>-0.1012623</v>
      </c>
      <c r="U5362">
        <v>-3.004486</v>
      </c>
      <c r="V5362">
        <v>-0.13266240000000001</v>
      </c>
      <c r="W5362">
        <v>0.20940690000000001</v>
      </c>
      <c r="X5362">
        <v>0.96878759999999997</v>
      </c>
      <c r="Y5362">
        <v>-0.1982719</v>
      </c>
      <c r="Z5362">
        <v>1.9191900000000001E-2</v>
      </c>
      <c r="AA5362">
        <v>0.97995909999999997</v>
      </c>
      <c r="AB5362">
        <v>23</v>
      </c>
      <c r="AC5362">
        <v>7.6556000000000397</v>
      </c>
      <c r="AD5362">
        <v>-1.110959227618</v>
      </c>
      <c r="AE5362">
        <v>-32.725939999999902</v>
      </c>
      <c r="AF5362">
        <v>-6.7055863546715102</v>
      </c>
      <c r="AG5362">
        <v>-1.110959227618</v>
      </c>
      <c r="AH5362">
        <v>32.896292357353602</v>
      </c>
      <c r="AI5362">
        <v>91.895287604493106</v>
      </c>
      <c r="AJ5362">
        <v>101.521339288202</v>
      </c>
      <c r="AK5362">
        <v>33.591147191274402</v>
      </c>
      <c r="AL5362">
        <v>77.9124025097572</v>
      </c>
      <c r="AM5362">
        <v>97.797387991780496</v>
      </c>
      <c r="AN5362">
        <v>0.99999998802756396</v>
      </c>
    </row>
    <row r="5363" spans="1:40" x14ac:dyDescent="0.25">
      <c r="A5363" t="str">
        <f>"20190304155210484"</f>
        <v>20190304155210484</v>
      </c>
      <c r="B5363" t="str">
        <f>"1551685930472632"</f>
        <v>1551685930472632</v>
      </c>
      <c r="C5363" t="s">
        <v>40</v>
      </c>
      <c r="D5363">
        <v>4.7731250000000003</v>
      </c>
      <c r="E5363">
        <v>0.51348669999999996</v>
      </c>
      <c r="F5363" t="s">
        <v>77</v>
      </c>
      <c r="G5363">
        <v>-417.95890000000003</v>
      </c>
      <c r="H5363" s="1">
        <v>-7.4942829999999997E-6</v>
      </c>
      <c r="I5363">
        <v>25.22185</v>
      </c>
      <c r="J5363">
        <v>-422.80779999999999</v>
      </c>
      <c r="K5363">
        <v>1.110973</v>
      </c>
      <c r="L5363">
        <v>55.320189999999997</v>
      </c>
      <c r="M5363">
        <v>2.907452E-2</v>
      </c>
      <c r="N5363">
        <v>-1.374672E-2</v>
      </c>
      <c r="O5363">
        <v>-0.99948289999999995</v>
      </c>
      <c r="P5363">
        <v>0.16042819999999999</v>
      </c>
      <c r="Q5363">
        <v>0.19734099999999999</v>
      </c>
      <c r="R5363">
        <v>-0.96711930000000002</v>
      </c>
      <c r="S5363">
        <v>0.48718260000000002</v>
      </c>
      <c r="T5363">
        <v>-0.111456</v>
      </c>
      <c r="U5363">
        <v>-3.042999</v>
      </c>
      <c r="V5363">
        <v>-0.1323541</v>
      </c>
      <c r="W5363">
        <v>0.2106036</v>
      </c>
      <c r="X5363">
        <v>0.96857040000000005</v>
      </c>
      <c r="Y5363">
        <v>-0.1292238</v>
      </c>
      <c r="Z5363">
        <v>2.248642E-2</v>
      </c>
      <c r="AA5363">
        <v>0.99136049999999998</v>
      </c>
      <c r="AB5363">
        <v>23</v>
      </c>
      <c r="AC5363">
        <v>4.8488999999999498</v>
      </c>
      <c r="AD5363">
        <v>-1.1109804942829999</v>
      </c>
      <c r="AE5363">
        <v>-30.09834</v>
      </c>
      <c r="AF5363">
        <v>-3.9664049928418699</v>
      </c>
      <c r="AG5363">
        <v>-1.1109804942829999</v>
      </c>
      <c r="AH5363">
        <v>30.1865182949598</v>
      </c>
      <c r="AI5363">
        <v>92.089807722932093</v>
      </c>
      <c r="AJ5363">
        <v>97.485585830261499</v>
      </c>
      <c r="AK5363">
        <v>30.4662523622099</v>
      </c>
      <c r="AL5363">
        <v>77.842273558468193</v>
      </c>
      <c r="AM5363">
        <v>97.781212608081304</v>
      </c>
      <c r="AN5363">
        <v>1.0000000519379599</v>
      </c>
    </row>
    <row r="5364" spans="1:40" x14ac:dyDescent="0.25">
      <c r="A5364" t="str">
        <f>"20190304155210505"</f>
        <v>20190304155210505</v>
      </c>
      <c r="B5364" t="str">
        <f>"1551685930501912"</f>
        <v>1551685930501912</v>
      </c>
      <c r="C5364" t="s">
        <v>40</v>
      </c>
      <c r="D5364">
        <v>4.7060899999999997</v>
      </c>
      <c r="E5364">
        <v>0.51841409999999999</v>
      </c>
      <c r="F5364" t="s">
        <v>77</v>
      </c>
      <c r="G5364">
        <v>-418.3254</v>
      </c>
      <c r="H5364" s="1">
        <v>-6.7754039999999996E-6</v>
      </c>
      <c r="I5364">
        <v>19.81382</v>
      </c>
      <c r="J5364">
        <v>-422.80099999999999</v>
      </c>
      <c r="K5364">
        <v>1.110989</v>
      </c>
      <c r="L5364">
        <v>55.098210000000002</v>
      </c>
      <c r="M5364">
        <v>2.9440620000000001E-2</v>
      </c>
      <c r="N5364">
        <v>-1.374438E-2</v>
      </c>
      <c r="O5364">
        <v>-0.99947220000000003</v>
      </c>
      <c r="P5364">
        <v>0.16052060000000001</v>
      </c>
      <c r="Q5364">
        <v>0.19848260000000001</v>
      </c>
      <c r="R5364">
        <v>-0.96687040000000002</v>
      </c>
      <c r="S5364">
        <v>0.3859863</v>
      </c>
      <c r="T5364">
        <v>-9.5667719999999998E-2</v>
      </c>
      <c r="U5364">
        <v>-3.0574949999999999</v>
      </c>
      <c r="V5364">
        <v>-0.1321049</v>
      </c>
      <c r="W5364">
        <v>0.21173620000000001</v>
      </c>
      <c r="X5364">
        <v>0.96835740000000003</v>
      </c>
      <c r="Y5364">
        <v>-9.5934469999999994E-2</v>
      </c>
      <c r="Z5364">
        <v>1.734347E-2</v>
      </c>
      <c r="AA5364">
        <v>0.99523660000000003</v>
      </c>
      <c r="AB5364">
        <v>23</v>
      </c>
      <c r="AC5364">
        <v>4.4755999999999796</v>
      </c>
      <c r="AD5364">
        <v>-1.1109957754040001</v>
      </c>
      <c r="AE5364">
        <v>-35.284389999999902</v>
      </c>
      <c r="AF5364">
        <v>-3.4314192013559999</v>
      </c>
      <c r="AG5364">
        <v>-1.1109957754040001</v>
      </c>
      <c r="AH5364">
        <v>35.366361424726399</v>
      </c>
      <c r="AI5364">
        <v>91.790888571567805</v>
      </c>
      <c r="AJ5364">
        <v>95.5417733934854</v>
      </c>
      <c r="AK5364">
        <v>35.549802668549098</v>
      </c>
      <c r="AL5364">
        <v>77.775882427312993</v>
      </c>
      <c r="AM5364">
        <v>97.768428418702399</v>
      </c>
      <c r="AN5364">
        <v>0.99999998856460504</v>
      </c>
    </row>
    <row r="5365" spans="1:40" x14ac:dyDescent="0.25">
      <c r="A5365" t="str">
        <f>"20190304155210530"</f>
        <v>20190304155210530</v>
      </c>
      <c r="B5365" t="str">
        <f>"1551685930522407"</f>
        <v>1551685930522407</v>
      </c>
      <c r="C5365" t="s">
        <v>40</v>
      </c>
      <c r="D5365">
        <v>4.7120220000000002</v>
      </c>
      <c r="E5365">
        <v>0.51958590000000004</v>
      </c>
      <c r="F5365" t="s">
        <v>77</v>
      </c>
      <c r="G5365">
        <v>-418.8503</v>
      </c>
      <c r="H5365" s="1">
        <v>-6.6393409999999998E-6</v>
      </c>
      <c r="I5365">
        <v>20.362130000000001</v>
      </c>
      <c r="J5365">
        <v>-422.79300000000001</v>
      </c>
      <c r="K5365">
        <v>1.111003</v>
      </c>
      <c r="L5365">
        <v>54.84525</v>
      </c>
      <c r="M5365">
        <v>2.988207E-2</v>
      </c>
      <c r="N5365">
        <v>-1.374176E-2</v>
      </c>
      <c r="O5365">
        <v>-0.99945910000000004</v>
      </c>
      <c r="P5365">
        <v>0.16125439999999999</v>
      </c>
      <c r="Q5365">
        <v>0.1979861</v>
      </c>
      <c r="R5365">
        <v>-0.96684979999999998</v>
      </c>
      <c r="S5365">
        <v>0.34860229999999998</v>
      </c>
      <c r="T5365">
        <v>-9.8031759999999996E-2</v>
      </c>
      <c r="U5365">
        <v>-3.0650330000000001</v>
      </c>
      <c r="V5365">
        <v>-0.13241700000000001</v>
      </c>
      <c r="W5365">
        <v>0.21123330000000001</v>
      </c>
      <c r="X5365">
        <v>0.96842459999999997</v>
      </c>
      <c r="Y5365">
        <v>-8.3218360000000005E-2</v>
      </c>
      <c r="Z5365">
        <v>1.8073840000000001E-2</v>
      </c>
      <c r="AA5365">
        <v>0.99636740000000001</v>
      </c>
      <c r="AB5365">
        <v>23</v>
      </c>
      <c r="AC5365">
        <v>3.9426999999999999</v>
      </c>
      <c r="AD5365">
        <v>-1.1110096393410001</v>
      </c>
      <c r="AE5365">
        <v>-34.48312</v>
      </c>
      <c r="AF5365">
        <v>-2.90743566133543</v>
      </c>
      <c r="AG5365">
        <v>-1.1110096393410001</v>
      </c>
      <c r="AH5365">
        <v>34.550142842636099</v>
      </c>
      <c r="AI5365">
        <v>91.835311332495905</v>
      </c>
      <c r="AJ5365">
        <v>94.810175139121</v>
      </c>
      <c r="AK5365">
        <v>34.690054698574301</v>
      </c>
      <c r="AL5365">
        <v>77.805363280103293</v>
      </c>
      <c r="AM5365">
        <v>97.786022886265997</v>
      </c>
      <c r="AN5365">
        <v>0.99999998740152396</v>
      </c>
    </row>
    <row r="5366" spans="1:40" x14ac:dyDescent="0.25">
      <c r="A5366" t="str">
        <f>"20190304155210550"</f>
        <v>20190304155210550</v>
      </c>
      <c r="B5366" t="str">
        <f>"1551685930541932"</f>
        <v>1551685930541932</v>
      </c>
      <c r="C5366" t="s">
        <v>40</v>
      </c>
      <c r="D5366">
        <v>4.7126279999999996</v>
      </c>
      <c r="E5366">
        <v>0.52019910000000003</v>
      </c>
      <c r="F5366" t="s">
        <v>77</v>
      </c>
      <c r="G5366">
        <v>-419.03870000000001</v>
      </c>
      <c r="H5366" s="1">
        <v>-6.6507030000000004E-6</v>
      </c>
      <c r="I5366">
        <v>21.091629999999999</v>
      </c>
      <c r="J5366">
        <v>-422.786</v>
      </c>
      <c r="K5366">
        <v>1.1110180000000001</v>
      </c>
      <c r="L5366">
        <v>54.629359999999998</v>
      </c>
      <c r="M5366">
        <v>3.028376E-2</v>
      </c>
      <c r="N5366">
        <v>-1.373955E-2</v>
      </c>
      <c r="O5366">
        <v>-0.99944719999999998</v>
      </c>
      <c r="P5366">
        <v>0.16230339999999999</v>
      </c>
      <c r="Q5366">
        <v>0.1966436</v>
      </c>
      <c r="R5366">
        <v>-0.96694849999999999</v>
      </c>
      <c r="S5366">
        <v>0.34109499999999998</v>
      </c>
      <c r="T5366">
        <v>-0.1009396</v>
      </c>
      <c r="U5366">
        <v>-3.0666500000000001</v>
      </c>
      <c r="V5366">
        <v>-0.1330789</v>
      </c>
      <c r="W5366">
        <v>0.20988660000000001</v>
      </c>
      <c r="X5366">
        <v>0.96862669999999995</v>
      </c>
      <c r="Y5366">
        <v>-8.0348310000000006E-2</v>
      </c>
      <c r="Z5366">
        <v>1.900868E-2</v>
      </c>
      <c r="AA5366">
        <v>0.99658559999999996</v>
      </c>
      <c r="AB5366">
        <v>23</v>
      </c>
      <c r="AC5366">
        <v>3.7472999999999899</v>
      </c>
      <c r="AD5366">
        <v>-1.1110246507029999</v>
      </c>
      <c r="AE5366">
        <v>-33.537730000000003</v>
      </c>
      <c r="AF5366">
        <v>-2.72688111671529</v>
      </c>
      <c r="AG5366">
        <v>-1.1110246507029999</v>
      </c>
      <c r="AH5366">
        <v>33.599419142582001</v>
      </c>
      <c r="AI5366">
        <v>91.8876948145775</v>
      </c>
      <c r="AJ5366">
        <v>94.639874709068906</v>
      </c>
      <c r="AK5366">
        <v>33.728196262445998</v>
      </c>
      <c r="AL5366">
        <v>77.8842935838763</v>
      </c>
      <c r="AM5366">
        <v>97.822848894424894</v>
      </c>
      <c r="AN5366">
        <v>1.00000003121882</v>
      </c>
    </row>
    <row r="5367" spans="1:40" x14ac:dyDescent="0.25">
      <c r="A5367" t="str">
        <f>"20190304155210572"</f>
        <v>20190304155210572</v>
      </c>
      <c r="B5367" t="str">
        <f>"1551685930562424"</f>
        <v>1551685930562424</v>
      </c>
      <c r="C5367" t="s">
        <v>40</v>
      </c>
      <c r="D5367">
        <v>4.7032550000000004</v>
      </c>
      <c r="E5367">
        <v>0.5209992</v>
      </c>
      <c r="F5367" t="s">
        <v>77</v>
      </c>
      <c r="G5367">
        <v>-419.24549999999999</v>
      </c>
      <c r="H5367" s="1">
        <v>-6.7394290000000004E-6</v>
      </c>
      <c r="I5367">
        <v>22.525739999999999</v>
      </c>
      <c r="J5367">
        <v>-422.77859999999998</v>
      </c>
      <c r="K5367">
        <v>1.11102099999999</v>
      </c>
      <c r="L5367">
        <v>54.399749999999997</v>
      </c>
      <c r="M5367">
        <v>3.0734109999999999E-2</v>
      </c>
      <c r="N5367">
        <v>-1.3737259999999999E-2</v>
      </c>
      <c r="O5367">
        <v>-0.99943340000000003</v>
      </c>
      <c r="P5367">
        <v>0.16397249999999999</v>
      </c>
      <c r="Q5367">
        <v>0.1957805</v>
      </c>
      <c r="R5367">
        <v>-0.96684230000000004</v>
      </c>
      <c r="S5367">
        <v>0.33828740000000002</v>
      </c>
      <c r="T5367">
        <v>-0.1061532</v>
      </c>
      <c r="U5367">
        <v>-3.0673520000000001</v>
      </c>
      <c r="V5367">
        <v>-0.1343192</v>
      </c>
      <c r="W5367">
        <v>0.2090157</v>
      </c>
      <c r="X5367">
        <v>0.96864380000000005</v>
      </c>
      <c r="Y5367">
        <v>-7.8968709999999998E-2</v>
      </c>
      <c r="Z5367">
        <v>2.0694939999999998E-2</v>
      </c>
      <c r="AA5367">
        <v>0.9966623</v>
      </c>
      <c r="AB5367">
        <v>23</v>
      </c>
      <c r="AC5367">
        <v>3.5330999999999899</v>
      </c>
      <c r="AD5367">
        <v>-1.11102773942899</v>
      </c>
      <c r="AE5367">
        <v>-31.874009999999998</v>
      </c>
      <c r="AF5367">
        <v>-2.54866002633486</v>
      </c>
      <c r="AG5367">
        <v>-1.11102773942899</v>
      </c>
      <c r="AH5367">
        <v>31.929223502881602</v>
      </c>
      <c r="AI5367">
        <v>91.986579341664907</v>
      </c>
      <c r="AJ5367">
        <v>94.563797216579303</v>
      </c>
      <c r="AK5367">
        <v>32.050044681163598</v>
      </c>
      <c r="AL5367">
        <v>77.935324137061201</v>
      </c>
      <c r="AM5367">
        <v>97.894705309146303</v>
      </c>
      <c r="AN5367">
        <v>1.0000000108067799</v>
      </c>
    </row>
    <row r="5368" spans="1:40" x14ac:dyDescent="0.25">
      <c r="A5368" t="str">
        <f>"20190304155210587"</f>
        <v>20190304155210587</v>
      </c>
      <c r="B5368" t="str">
        <f>"1551685930581944"</f>
        <v>1551685930581944</v>
      </c>
      <c r="C5368" t="s">
        <v>40</v>
      </c>
      <c r="D5368">
        <v>4.6997730000000004</v>
      </c>
      <c r="E5368">
        <v>0.5215611</v>
      </c>
      <c r="F5368" t="s">
        <v>77</v>
      </c>
      <c r="G5368">
        <v>-419.31049999999999</v>
      </c>
      <c r="H5368" s="1">
        <v>-6.7522920000000003E-6</v>
      </c>
      <c r="I5368">
        <v>22.843119999999999</v>
      </c>
      <c r="J5368">
        <v>-422.77339999999998</v>
      </c>
      <c r="K5368">
        <v>1.1110260000000001</v>
      </c>
      <c r="L5368">
        <v>54.243989999999997</v>
      </c>
      <c r="M5368">
        <v>3.1051769999999999E-2</v>
      </c>
      <c r="N5368">
        <v>-1.373572E-2</v>
      </c>
      <c r="O5368">
        <v>-0.99942359999999997</v>
      </c>
      <c r="P5368">
        <v>0.1645422</v>
      </c>
      <c r="Q5368">
        <v>0.19574530000000001</v>
      </c>
      <c r="R5368">
        <v>-0.96675239999999996</v>
      </c>
      <c r="S5368">
        <v>0.33712769999999997</v>
      </c>
      <c r="T5368">
        <v>-0.10800220000000001</v>
      </c>
      <c r="U5368">
        <v>-3.067596</v>
      </c>
      <c r="V5368">
        <v>-0.13458829999999999</v>
      </c>
      <c r="W5368">
        <v>0.2089751</v>
      </c>
      <c r="X5368">
        <v>0.96861520000000001</v>
      </c>
      <c r="Y5368">
        <v>-7.8269469999999994E-2</v>
      </c>
      <c r="Z5368">
        <v>2.129377E-2</v>
      </c>
      <c r="AA5368">
        <v>0.99670479999999995</v>
      </c>
      <c r="AB5368">
        <v>23</v>
      </c>
      <c r="AC5368">
        <v>3.4628999999999901</v>
      </c>
      <c r="AD5368">
        <v>-1.111032752292</v>
      </c>
      <c r="AE5368">
        <v>-31.400870000000001</v>
      </c>
      <c r="AF5368">
        <v>-2.4830142715892398</v>
      </c>
      <c r="AG5368">
        <v>-1.111032752292</v>
      </c>
      <c r="AH5368">
        <v>31.4543596106232</v>
      </c>
      <c r="AI5368">
        <v>92.016695265376896</v>
      </c>
      <c r="AJ5368">
        <v>94.513581789590006</v>
      </c>
      <c r="AK5368">
        <v>31.571767327217898</v>
      </c>
      <c r="AL5368">
        <v>77.937702796535703</v>
      </c>
      <c r="AM5368">
        <v>97.910552435517602</v>
      </c>
      <c r="AN5368">
        <v>1.0000000042939601</v>
      </c>
    </row>
    <row r="5369" spans="1:40" x14ac:dyDescent="0.25">
      <c r="A5369" t="str">
        <f>"20190304155210605"</f>
        <v>20190304155210605</v>
      </c>
      <c r="B5369" t="str">
        <f>"1551685930602440"</f>
        <v>1551685930602440</v>
      </c>
      <c r="C5369" t="s">
        <v>40</v>
      </c>
      <c r="D5369">
        <v>4.7397070000000001</v>
      </c>
      <c r="E5369">
        <v>0.52154509999999998</v>
      </c>
      <c r="F5369" t="s">
        <v>77</v>
      </c>
      <c r="G5369">
        <v>-419.34820000000002</v>
      </c>
      <c r="H5369" s="1">
        <v>-6.7364770000000002E-6</v>
      </c>
      <c r="I5369">
        <v>22.820129999999999</v>
      </c>
      <c r="J5369">
        <v>-422.7672</v>
      </c>
      <c r="K5369">
        <v>1.111043</v>
      </c>
      <c r="L5369">
        <v>54.056919999999998</v>
      </c>
      <c r="M5369">
        <v>3.1457930000000002E-2</v>
      </c>
      <c r="N5369">
        <v>-1.373394E-2</v>
      </c>
      <c r="O5369">
        <v>-0.99941069999999999</v>
      </c>
      <c r="P5369">
        <v>0.16627639999999999</v>
      </c>
      <c r="Q5369">
        <v>0.1951774</v>
      </c>
      <c r="R5369">
        <v>-0.9665705</v>
      </c>
      <c r="S5369">
        <v>0.33444210000000002</v>
      </c>
      <c r="T5369">
        <v>-0.1084816</v>
      </c>
      <c r="U5369">
        <v>-3.0682369999999999</v>
      </c>
      <c r="V5369">
        <v>-0.13593959999999999</v>
      </c>
      <c r="W5369">
        <v>0.20839820000000001</v>
      </c>
      <c r="X5369">
        <v>0.96855080000000005</v>
      </c>
      <c r="Y5369">
        <v>-7.6979580000000006E-2</v>
      </c>
      <c r="Z5369">
        <v>2.1446380000000001E-2</v>
      </c>
      <c r="AA5369">
        <v>0.99680199999999997</v>
      </c>
      <c r="AB5369">
        <v>23</v>
      </c>
      <c r="AC5369">
        <v>3.4189999999999801</v>
      </c>
      <c r="AD5369">
        <v>-1.111049736477</v>
      </c>
      <c r="AE5369">
        <v>-31.236789999999999</v>
      </c>
      <c r="AF5369">
        <v>-2.4315303054167798</v>
      </c>
      <c r="AG5369">
        <v>-1.111049736477</v>
      </c>
      <c r="AH5369">
        <v>31.289775163993799</v>
      </c>
      <c r="AI5369">
        <v>92.027519228910407</v>
      </c>
      <c r="AJ5369">
        <v>94.443528217233606</v>
      </c>
      <c r="AK5369">
        <v>31.403770489486899</v>
      </c>
      <c r="AL5369">
        <v>77.971501051655906</v>
      </c>
      <c r="AM5369">
        <v>97.9894802474697</v>
      </c>
      <c r="AN5369">
        <v>1.00000001839602</v>
      </c>
    </row>
    <row r="5370" spans="1:40" x14ac:dyDescent="0.25">
      <c r="A5370" t="str">
        <f>"20190304155210629"</f>
        <v>20190304155210629</v>
      </c>
      <c r="B5370" t="str">
        <f>"1551685930622627"</f>
        <v>1551685930622627</v>
      </c>
      <c r="C5370" t="s">
        <v>40</v>
      </c>
      <c r="D5370">
        <v>4.7147790000000001</v>
      </c>
      <c r="E5370">
        <v>0.52147179999999904</v>
      </c>
      <c r="F5370" t="s">
        <v>77</v>
      </c>
      <c r="G5370">
        <v>-419.39859999999999</v>
      </c>
      <c r="H5370" s="1">
        <v>-6.8093250000000002E-6</v>
      </c>
      <c r="I5370">
        <v>23.625050000000002</v>
      </c>
      <c r="J5370">
        <v>-422.75889999999998</v>
      </c>
      <c r="K5370">
        <v>1.111065</v>
      </c>
      <c r="L5370">
        <v>53.81476</v>
      </c>
      <c r="M5370">
        <v>3.2027989999999999E-2</v>
      </c>
      <c r="N5370">
        <v>-1.373166E-2</v>
      </c>
      <c r="O5370">
        <v>-0.99939290000000003</v>
      </c>
      <c r="P5370">
        <v>0.16799220000000001</v>
      </c>
      <c r="Q5370">
        <v>0.19445409999999999</v>
      </c>
      <c r="R5370">
        <v>-0.96641949999999999</v>
      </c>
      <c r="S5370">
        <v>0.339599599999999</v>
      </c>
      <c r="T5370">
        <v>-0.1120095</v>
      </c>
      <c r="U5370">
        <v>-3.0679630000000002</v>
      </c>
      <c r="V5370">
        <v>-0.1371184</v>
      </c>
      <c r="W5370">
        <v>0.20766270000000001</v>
      </c>
      <c r="X5370">
        <v>0.96854260000000003</v>
      </c>
      <c r="Y5370">
        <v>-7.8072459999999996E-2</v>
      </c>
      <c r="Z5370">
        <v>2.2588960000000002E-2</v>
      </c>
      <c r="AA5370">
        <v>0.99669180000000002</v>
      </c>
      <c r="AB5370">
        <v>23</v>
      </c>
      <c r="AC5370">
        <v>3.3602999999999899</v>
      </c>
      <c r="AD5370">
        <v>-1.111071809325</v>
      </c>
      <c r="AE5370">
        <v>-30.189710000000002</v>
      </c>
      <c r="AF5370">
        <v>-2.3883737264571399</v>
      </c>
      <c r="AG5370">
        <v>-1.111071809325</v>
      </c>
      <c r="AH5370">
        <v>30.241393184555601</v>
      </c>
      <c r="AI5370">
        <v>92.097580621995903</v>
      </c>
      <c r="AJ5370">
        <v>94.515674227964396</v>
      </c>
      <c r="AK5370">
        <v>30.355900107978901</v>
      </c>
      <c r="AL5370">
        <v>78.014584567587704</v>
      </c>
      <c r="AM5370">
        <v>98.057922258851207</v>
      </c>
      <c r="AN5370">
        <v>1.0000000103022999</v>
      </c>
    </row>
    <row r="5371" spans="1:40" x14ac:dyDescent="0.25">
      <c r="A5371" t="str">
        <f>"20190304155210650"</f>
        <v>20190304155210650</v>
      </c>
      <c r="B5371" t="str">
        <f>"1551685930642147"</f>
        <v>1551685930642147</v>
      </c>
      <c r="C5371" t="s">
        <v>40</v>
      </c>
      <c r="D5371">
        <v>4.7518960000000003</v>
      </c>
      <c r="E5371">
        <v>0.52140520000000001</v>
      </c>
      <c r="F5371" t="s">
        <v>77</v>
      </c>
      <c r="G5371">
        <v>-419.50720000000001</v>
      </c>
      <c r="H5371" s="1">
        <v>-6.9179819999999996E-6</v>
      </c>
      <c r="I5371">
        <v>24.930029999999999</v>
      </c>
      <c r="J5371">
        <v>-422.75099999999998</v>
      </c>
      <c r="K5371">
        <v>1.111094</v>
      </c>
      <c r="L5371">
        <v>53.591830000000002</v>
      </c>
      <c r="M5371">
        <v>3.2606330000000003E-2</v>
      </c>
      <c r="N5371">
        <v>-1.3729669999999999E-2</v>
      </c>
      <c r="O5371">
        <v>-0.99937419999999999</v>
      </c>
      <c r="P5371">
        <v>0.16945109999999999</v>
      </c>
      <c r="Q5371">
        <v>0.1936744</v>
      </c>
      <c r="R5371">
        <v>-0.96632130000000005</v>
      </c>
      <c r="S5371">
        <v>0.34536739999999999</v>
      </c>
      <c r="T5371">
        <v>-0.118010199999999</v>
      </c>
      <c r="U5371">
        <v>-3.0679319999999999</v>
      </c>
      <c r="V5371">
        <v>-0.138033399999999</v>
      </c>
      <c r="W5371">
        <v>0.20686969999999999</v>
      </c>
      <c r="X5371">
        <v>0.96858230000000001</v>
      </c>
      <c r="Y5371">
        <v>-7.9340679999999997E-2</v>
      </c>
      <c r="Z5371">
        <v>2.4527420000000001E-2</v>
      </c>
      <c r="AA5371">
        <v>0.99654580000000004</v>
      </c>
      <c r="AB5371">
        <v>23</v>
      </c>
      <c r="AC5371">
        <v>3.2437999999999598</v>
      </c>
      <c r="AD5371">
        <v>-1.1111009179819999</v>
      </c>
      <c r="AE5371">
        <v>-28.661799999999999</v>
      </c>
      <c r="AF5371">
        <v>-2.3040121981294002</v>
      </c>
      <c r="AG5371">
        <v>-1.1111009179819999</v>
      </c>
      <c r="AH5371">
        <v>28.709735971273201</v>
      </c>
      <c r="AI5371">
        <v>92.209213126501893</v>
      </c>
      <c r="AJ5371">
        <v>94.588264649770394</v>
      </c>
      <c r="AK5371">
        <v>28.8234619190563</v>
      </c>
      <c r="AL5371">
        <v>78.061028333026201</v>
      </c>
      <c r="AM5371">
        <v>98.110652079045707</v>
      </c>
      <c r="AN5371">
        <v>0.99999998208346896</v>
      </c>
    </row>
    <row r="5372" spans="1:40" x14ac:dyDescent="0.25">
      <c r="A5372" t="str">
        <f>"20190304155210665"</f>
        <v>20190304155210665</v>
      </c>
      <c r="B5372" t="str">
        <f>"1551685930662643"</f>
        <v>1551685930662643</v>
      </c>
      <c r="C5372" t="s">
        <v>40</v>
      </c>
      <c r="D5372">
        <v>4.7483380000000004</v>
      </c>
      <c r="E5372">
        <v>0.52137509999999998</v>
      </c>
      <c r="F5372" t="s">
        <v>77</v>
      </c>
      <c r="G5372">
        <v>-419.57709999999997</v>
      </c>
      <c r="H5372" s="1">
        <v>-6.9846849999999899E-6</v>
      </c>
      <c r="I5372">
        <v>25.74136</v>
      </c>
      <c r="J5372">
        <v>-422.74549999999999</v>
      </c>
      <c r="K5372">
        <v>1.11112099999999</v>
      </c>
      <c r="L5372">
        <v>53.434809999999999</v>
      </c>
      <c r="M5372">
        <v>3.3036490000000002E-2</v>
      </c>
      <c r="N5372">
        <v>-1.372833E-2</v>
      </c>
      <c r="O5372">
        <v>-0.99935980000000002</v>
      </c>
      <c r="P5372">
        <v>0.1705178</v>
      </c>
      <c r="Q5372">
        <v>0.19384999999999999</v>
      </c>
      <c r="R5372">
        <v>-0.96609820000000002</v>
      </c>
      <c r="S5372">
        <v>0.34960940000000001</v>
      </c>
      <c r="T5372">
        <v>-0.12238980000000001</v>
      </c>
      <c r="U5372">
        <v>-3.06778</v>
      </c>
      <c r="V5372">
        <v>-0.1387013</v>
      </c>
      <c r="W5372">
        <v>0.20703389999999999</v>
      </c>
      <c r="X5372">
        <v>0.96845179999999997</v>
      </c>
      <c r="Y5372">
        <v>-8.0272430000000006E-2</v>
      </c>
      <c r="Z5372">
        <v>2.5943029999999999E-2</v>
      </c>
      <c r="AA5372">
        <v>0.99643530000000002</v>
      </c>
      <c r="AB5372">
        <v>23</v>
      </c>
      <c r="AC5372">
        <v>3.1684000000000201</v>
      </c>
      <c r="AD5372">
        <v>-1.11112798468499</v>
      </c>
      <c r="AE5372">
        <v>-27.693449999999999</v>
      </c>
      <c r="AF5372">
        <v>-2.24811725146124</v>
      </c>
      <c r="AG5372">
        <v>-1.11112798468499</v>
      </c>
      <c r="AH5372">
        <v>27.738935856301701</v>
      </c>
      <c r="AI5372">
        <v>92.286360324157599</v>
      </c>
      <c r="AJ5372">
        <v>94.633440810177007</v>
      </c>
      <c r="AK5372">
        <v>27.8520591521469</v>
      </c>
      <c r="AL5372">
        <v>78.051412254702498</v>
      </c>
      <c r="AM5372">
        <v>98.150454433224198</v>
      </c>
      <c r="AN5372">
        <v>0.99999998764706899</v>
      </c>
    </row>
    <row r="5373" spans="1:40" x14ac:dyDescent="0.25">
      <c r="A5373" t="str">
        <f>"20190304155210684"</f>
        <v>20190304155210684</v>
      </c>
      <c r="B5373" t="str">
        <f>"1551685930672405"</f>
        <v>1551685930672405</v>
      </c>
      <c r="C5373" t="s">
        <v>40</v>
      </c>
      <c r="D5373">
        <v>4.624784</v>
      </c>
      <c r="E5373">
        <v>0.52129729999999996</v>
      </c>
      <c r="F5373" t="s">
        <v>77</v>
      </c>
      <c r="G5373">
        <v>-419.5702</v>
      </c>
      <c r="H5373" s="1">
        <v>-7.0000949999999998E-6</v>
      </c>
      <c r="I5373">
        <v>25.856670000000001</v>
      </c>
      <c r="J5373">
        <v>-422.73880000000003</v>
      </c>
      <c r="K5373">
        <v>1.111151</v>
      </c>
      <c r="L5373">
        <v>53.253269999999901</v>
      </c>
      <c r="M5373">
        <v>3.3565200000000003E-2</v>
      </c>
      <c r="N5373">
        <v>-1.3726759999999999E-2</v>
      </c>
      <c r="O5373">
        <v>-0.99934230000000002</v>
      </c>
      <c r="P5373">
        <v>0.1714658</v>
      </c>
      <c r="Q5373">
        <v>0.19403339999999999</v>
      </c>
      <c r="R5373">
        <v>-0.96589389999999997</v>
      </c>
      <c r="S5373">
        <v>0.35321039999999998</v>
      </c>
      <c r="T5373">
        <v>-0.1236001</v>
      </c>
      <c r="U5373">
        <v>-3.0677490000000001</v>
      </c>
      <c r="V5373">
        <v>-0.13915559999999999</v>
      </c>
      <c r="W5373">
        <v>0.20720459999999999</v>
      </c>
      <c r="X5373">
        <v>0.96835009999999999</v>
      </c>
      <c r="Y5373">
        <v>-8.0899109999999996E-2</v>
      </c>
      <c r="Z5373">
        <v>2.6332479999999998E-2</v>
      </c>
      <c r="AA5373">
        <v>0.99637439999999999</v>
      </c>
      <c r="AB5373">
        <v>23</v>
      </c>
      <c r="AC5373">
        <v>3.1686000000000201</v>
      </c>
      <c r="AD5373">
        <v>-1.1111580000949901</v>
      </c>
      <c r="AE5373">
        <v>-27.3965999999999</v>
      </c>
      <c r="AF5373">
        <v>-2.2435134827916401</v>
      </c>
      <c r="AG5373">
        <v>-1.1111580000949901</v>
      </c>
      <c r="AH5373">
        <v>27.442977610973202</v>
      </c>
      <c r="AI5373">
        <v>92.310921459152198</v>
      </c>
      <c r="AJ5373">
        <v>94.673641112644205</v>
      </c>
      <c r="AK5373">
        <v>27.556941865980299</v>
      </c>
      <c r="AL5373">
        <v>78.041414890110303</v>
      </c>
      <c r="AM5373">
        <v>98.177637024170394</v>
      </c>
      <c r="AN5373">
        <v>0.99999997172126398</v>
      </c>
    </row>
    <row r="5374" spans="1:40" x14ac:dyDescent="0.25">
      <c r="A5374" t="str">
        <f>"20190304155210707"</f>
        <v>20190304155210707</v>
      </c>
      <c r="B5374" t="str">
        <f>"1551685930702659"</f>
        <v>1551685930702659</v>
      </c>
      <c r="C5374" t="s">
        <v>40</v>
      </c>
      <c r="D5374">
        <v>4.7540899999999997</v>
      </c>
      <c r="E5374">
        <v>0.5213622</v>
      </c>
      <c r="F5374" t="s">
        <v>77</v>
      </c>
      <c r="G5374">
        <v>-419.61930000000001</v>
      </c>
      <c r="H5374" s="1">
        <v>-7.0446329999999997E-6</v>
      </c>
      <c r="I5374">
        <v>26.405729999999998</v>
      </c>
      <c r="J5374">
        <v>-422.72989999999999</v>
      </c>
      <c r="K5374">
        <v>1.111202</v>
      </c>
      <c r="L5374">
        <v>53.013399999999997</v>
      </c>
      <c r="M5374">
        <v>3.431969E-2</v>
      </c>
      <c r="N5374">
        <v>-1.3724800000000001E-2</v>
      </c>
      <c r="O5374">
        <v>-0.99931680000000001</v>
      </c>
      <c r="P5374">
        <v>0.1732069</v>
      </c>
      <c r="Q5374">
        <v>0.19460720000000001</v>
      </c>
      <c r="R5374">
        <v>-0.96546779999999999</v>
      </c>
      <c r="S5374">
        <v>0.3565063</v>
      </c>
      <c r="T5374">
        <v>-0.1269835</v>
      </c>
      <c r="U5374">
        <v>-3.068146</v>
      </c>
      <c r="V5374">
        <v>-0.14019699999999999</v>
      </c>
      <c r="W5374">
        <v>0.20775879999999999</v>
      </c>
      <c r="X5374">
        <v>0.96808110000000003</v>
      </c>
      <c r="Y5374">
        <v>-8.1184080000000006E-2</v>
      </c>
      <c r="Z5374">
        <v>2.7419740000000001E-2</v>
      </c>
      <c r="AA5374">
        <v>0.99632189999999998</v>
      </c>
      <c r="AB5374">
        <v>23</v>
      </c>
      <c r="AC5374">
        <v>3.1105999999999701</v>
      </c>
      <c r="AD5374">
        <v>-1.1112090446330001</v>
      </c>
      <c r="AE5374">
        <v>-26.607669999999999</v>
      </c>
      <c r="AF5374">
        <v>-2.1917432053205399</v>
      </c>
      <c r="AG5374">
        <v>-1.1112090446330001</v>
      </c>
      <c r="AH5374">
        <v>26.652898247512699</v>
      </c>
      <c r="AI5374">
        <v>92.379363225780693</v>
      </c>
      <c r="AJ5374">
        <v>94.701016575531497</v>
      </c>
      <c r="AK5374">
        <v>26.765939341095599</v>
      </c>
      <c r="AL5374">
        <v>78.008955151626793</v>
      </c>
      <c r="AM5374">
        <v>98.2402568325424</v>
      </c>
      <c r="AN5374">
        <v>0.99999996698182403</v>
      </c>
    </row>
    <row r="5375" spans="1:40" x14ac:dyDescent="0.25">
      <c r="A5375" t="str">
        <f>"20190304155210729"</f>
        <v>20190304155210729</v>
      </c>
      <c r="B5375" t="str">
        <f>"1551685930722526"</f>
        <v>1551685930722526</v>
      </c>
      <c r="C5375" t="s">
        <v>40</v>
      </c>
      <c r="D5375">
        <v>4.7668059999999999</v>
      </c>
      <c r="E5375">
        <v>0.52136919999999998</v>
      </c>
      <c r="F5375" t="s">
        <v>77</v>
      </c>
      <c r="G5375">
        <v>-419.61360000000002</v>
      </c>
      <c r="H5375" s="1">
        <v>-7.0546119999999997E-6</v>
      </c>
      <c r="I5375">
        <v>26.476880000000001</v>
      </c>
      <c r="J5375">
        <v>-422.72140000000002</v>
      </c>
      <c r="K5375">
        <v>1.1112390000000001</v>
      </c>
      <c r="L5375">
        <v>52.790280000000003</v>
      </c>
      <c r="M5375">
        <v>3.5096540000000002E-2</v>
      </c>
      <c r="N5375">
        <v>-1.372307E-2</v>
      </c>
      <c r="O5375">
        <v>-0.99928989999999995</v>
      </c>
      <c r="P5375">
        <v>0.17515520000000001</v>
      </c>
      <c r="Q5375">
        <v>0.19512309999999999</v>
      </c>
      <c r="R5375">
        <v>-0.96501190000000003</v>
      </c>
      <c r="S5375">
        <v>0.36035159999999999</v>
      </c>
      <c r="T5375">
        <v>-0.12849440000000001</v>
      </c>
      <c r="U5375">
        <v>-3.0685419999999999</v>
      </c>
      <c r="V5375">
        <v>-0.14142669999999999</v>
      </c>
      <c r="W5375">
        <v>0.20825360000000001</v>
      </c>
      <c r="X5375">
        <v>0.96779590000000004</v>
      </c>
      <c r="Y5375">
        <v>-8.1624199999999994E-2</v>
      </c>
      <c r="Z5375">
        <v>2.790012E-2</v>
      </c>
      <c r="AA5375">
        <v>0.99627259999999995</v>
      </c>
      <c r="AB5375">
        <v>23</v>
      </c>
      <c r="AC5375">
        <v>3.1077999999999899</v>
      </c>
      <c r="AD5375">
        <v>-1.11124605461199</v>
      </c>
      <c r="AE5375">
        <v>-26.313400000000001</v>
      </c>
      <c r="AF5375">
        <v>-2.1784571535541102</v>
      </c>
      <c r="AG5375">
        <v>-1.11124605461199</v>
      </c>
      <c r="AH5375">
        <v>26.359903834383001</v>
      </c>
      <c r="AI5375">
        <v>92.405778672940201</v>
      </c>
      <c r="AJ5375">
        <v>94.724349593085606</v>
      </c>
      <c r="AK5375">
        <v>26.473100942686699</v>
      </c>
      <c r="AL5375">
        <v>77.979971513605193</v>
      </c>
      <c r="AM5375">
        <v>98.313943685490798</v>
      </c>
      <c r="AN5375">
        <v>0.999999988721329</v>
      </c>
    </row>
    <row r="5376" spans="1:40" x14ac:dyDescent="0.25">
      <c r="A5376" t="str">
        <f>"20190304155210751"</f>
        <v>20190304155210751</v>
      </c>
      <c r="B5376" t="str">
        <f>"1551685930742046"</f>
        <v>1551685930742046</v>
      </c>
      <c r="C5376" t="s">
        <v>40</v>
      </c>
      <c r="D5376">
        <v>4.7791059999999996</v>
      </c>
      <c r="E5376">
        <v>0.52127889999999999</v>
      </c>
      <c r="F5376" t="s">
        <v>77</v>
      </c>
      <c r="G5376">
        <v>-419.57440000000003</v>
      </c>
      <c r="H5376" s="1">
        <v>-7.0536739999999996E-6</v>
      </c>
      <c r="I5376">
        <v>26.346170000000001</v>
      </c>
      <c r="J5376">
        <v>-422.7124</v>
      </c>
      <c r="K5376">
        <v>1.1112850000000001</v>
      </c>
      <c r="L5376">
        <v>52.56174</v>
      </c>
      <c r="M5376">
        <v>3.596332E-2</v>
      </c>
      <c r="N5376">
        <v>-1.372143E-2</v>
      </c>
      <c r="O5376">
        <v>-0.99925900000000001</v>
      </c>
      <c r="P5376">
        <v>0.17777319999999999</v>
      </c>
      <c r="Q5376">
        <v>0.1953396</v>
      </c>
      <c r="R5376">
        <v>-0.96448909999999999</v>
      </c>
      <c r="S5376">
        <v>0.36517329999999998</v>
      </c>
      <c r="T5376">
        <v>-0.12894890000000001</v>
      </c>
      <c r="U5376">
        <v>-3.0685730000000002</v>
      </c>
      <c r="V5376">
        <v>-0.14324229999999999</v>
      </c>
      <c r="W5376">
        <v>0.20844670000000001</v>
      </c>
      <c r="X5376">
        <v>0.96748730000000005</v>
      </c>
      <c r="Y5376">
        <v>-8.2301639999999995E-2</v>
      </c>
      <c r="Z5376">
        <v>2.804241E-2</v>
      </c>
      <c r="AA5376">
        <v>0.99621280000000001</v>
      </c>
      <c r="AB5376">
        <v>23</v>
      </c>
      <c r="AC5376">
        <v>3.1379999999999701</v>
      </c>
      <c r="AD5376">
        <v>-1.1112920536740001</v>
      </c>
      <c r="AE5376">
        <v>-26.21557</v>
      </c>
      <c r="AF5376">
        <v>-2.1892037307415699</v>
      </c>
      <c r="AG5376">
        <v>-1.1112920536740001</v>
      </c>
      <c r="AH5376">
        <v>26.2649414514315</v>
      </c>
      <c r="AI5376">
        <v>92.414425718258002</v>
      </c>
      <c r="AJ5376">
        <v>94.764635226199999</v>
      </c>
      <c r="AK5376">
        <v>26.379437682603701</v>
      </c>
      <c r="AL5376">
        <v>77.9686599446445</v>
      </c>
      <c r="AM5376">
        <v>98.421802660065396</v>
      </c>
      <c r="AN5376">
        <v>1.0000000294557301</v>
      </c>
    </row>
    <row r="5377" spans="1:40" x14ac:dyDescent="0.25">
      <c r="A5377" t="str">
        <f>"20190304155210773"</f>
        <v>20190304155210773</v>
      </c>
      <c r="B5377" t="str">
        <f>"1551685930762543"</f>
        <v>1551685930762543</v>
      </c>
      <c r="C5377" t="s">
        <v>40</v>
      </c>
      <c r="D5377">
        <v>4.7896769999999904</v>
      </c>
      <c r="E5377">
        <v>0.52129840000000005</v>
      </c>
      <c r="F5377" t="s">
        <v>77</v>
      </c>
      <c r="G5377">
        <v>-419.53449999999998</v>
      </c>
      <c r="H5377" s="1">
        <v>-7.0884660000000003E-6</v>
      </c>
      <c r="I5377">
        <v>26.53087</v>
      </c>
      <c r="J5377">
        <v>-422.70310000000001</v>
      </c>
      <c r="K5377">
        <v>1.1113360000000001</v>
      </c>
      <c r="L5377">
        <v>52.334380000000003</v>
      </c>
      <c r="M5377">
        <v>3.6882419999999999E-2</v>
      </c>
      <c r="N5377">
        <v>-1.371988E-2</v>
      </c>
      <c r="O5377">
        <v>-0.99922540000000004</v>
      </c>
      <c r="P5377">
        <v>0.17989669999999999</v>
      </c>
      <c r="Q5377">
        <v>0.1959814</v>
      </c>
      <c r="R5377">
        <v>-0.96396530000000002</v>
      </c>
      <c r="S5377">
        <v>0.37454219999999999</v>
      </c>
      <c r="T5377">
        <v>-0.13097539999999999</v>
      </c>
      <c r="U5377">
        <v>-3.0679630000000002</v>
      </c>
      <c r="V5377">
        <v>-0.144513</v>
      </c>
      <c r="W5377">
        <v>0.209066</v>
      </c>
      <c r="X5377">
        <v>0.96716460000000004</v>
      </c>
      <c r="Y5377">
        <v>-8.4403229999999996E-2</v>
      </c>
      <c r="Z5377">
        <v>2.8695129999999999E-2</v>
      </c>
      <c r="AA5377">
        <v>0.99601839999999997</v>
      </c>
      <c r="AB5377">
        <v>23</v>
      </c>
      <c r="AC5377">
        <v>3.1686000000000201</v>
      </c>
      <c r="AD5377">
        <v>-1.1113430884660001</v>
      </c>
      <c r="AE5377">
        <v>-25.803509999999999</v>
      </c>
      <c r="AF5377">
        <v>-2.2106184821563599</v>
      </c>
      <c r="AG5377">
        <v>-1.1113430884660001</v>
      </c>
      <c r="AH5377">
        <v>25.855577887198699</v>
      </c>
      <c r="AI5377">
        <v>92.452277729434201</v>
      </c>
      <c r="AJ5377">
        <v>94.886830573207504</v>
      </c>
      <c r="AK5377">
        <v>25.973694874140101</v>
      </c>
      <c r="AL5377">
        <v>77.932376690225894</v>
      </c>
      <c r="AM5377">
        <v>98.4982199883231</v>
      </c>
      <c r="AN5377">
        <v>0.99999998150907898</v>
      </c>
    </row>
    <row r="5378" spans="1:40" x14ac:dyDescent="0.25">
      <c r="A5378" t="str">
        <f>"20190304155210796"</f>
        <v>20190304155210796</v>
      </c>
      <c r="B5378" t="str">
        <f>"1551685930792800"</f>
        <v>1551685930792800</v>
      </c>
      <c r="C5378" t="s">
        <v>40</v>
      </c>
      <c r="D5378">
        <v>4.7917870000000002</v>
      </c>
      <c r="E5378">
        <v>0.52134799999999903</v>
      </c>
      <c r="F5378" t="s">
        <v>77</v>
      </c>
      <c r="G5378">
        <v>-419.43049999999999</v>
      </c>
      <c r="H5378" s="1">
        <v>-7.0732829999999999E-6</v>
      </c>
      <c r="I5378">
        <v>26.071459999999998</v>
      </c>
      <c r="J5378">
        <v>-422.69349999999997</v>
      </c>
      <c r="K5378">
        <v>1.11138</v>
      </c>
      <c r="L5378">
        <v>52.10342</v>
      </c>
      <c r="M5378">
        <v>3.7876930000000003E-2</v>
      </c>
      <c r="N5378">
        <v>-1.371825E-2</v>
      </c>
      <c r="O5378">
        <v>-0.99918839999999998</v>
      </c>
      <c r="P5378">
        <v>0.18208479999999999</v>
      </c>
      <c r="Q5378">
        <v>0.19598170000000001</v>
      </c>
      <c r="R5378">
        <v>-0.96355409999999997</v>
      </c>
      <c r="S5378">
        <v>0.38220209999999999</v>
      </c>
      <c r="T5378">
        <v>-0.12979169999999901</v>
      </c>
      <c r="U5378">
        <v>-3.0672000000000001</v>
      </c>
      <c r="V5378">
        <v>-0.14576979999999901</v>
      </c>
      <c r="W5378">
        <v>0.20904690000000001</v>
      </c>
      <c r="X5378">
        <v>0.96698019999999996</v>
      </c>
      <c r="Y5378">
        <v>-8.5892350000000006E-2</v>
      </c>
      <c r="Z5378">
        <v>2.8314720000000002E-2</v>
      </c>
      <c r="AA5378">
        <v>0.99590199999999995</v>
      </c>
      <c r="AB5378">
        <v>23</v>
      </c>
      <c r="AC5378">
        <v>3.2629999999999701</v>
      </c>
      <c r="AD5378">
        <v>-1.111387073283</v>
      </c>
      <c r="AE5378">
        <v>-26.031960000000002</v>
      </c>
      <c r="AF5378">
        <v>-2.2704802979276701</v>
      </c>
      <c r="AG5378">
        <v>-1.111387073283</v>
      </c>
      <c r="AH5378">
        <v>26.090061344796901</v>
      </c>
      <c r="AI5378">
        <v>92.430043429582099</v>
      </c>
      <c r="AJ5378">
        <v>94.973618885276906</v>
      </c>
      <c r="AK5378">
        <v>26.2122407089742</v>
      </c>
      <c r="AL5378">
        <v>77.933496901202503</v>
      </c>
      <c r="AM5378">
        <v>98.572644403009903</v>
      </c>
      <c r="AN5378">
        <v>1.00000007409184</v>
      </c>
    </row>
    <row r="5379" spans="1:40" x14ac:dyDescent="0.25">
      <c r="A5379" t="str">
        <f>"20190304155210819"</f>
        <v>20190304155210819</v>
      </c>
      <c r="B5379" t="str">
        <f>"1551685930812319"</f>
        <v>1551685930812319</v>
      </c>
      <c r="C5379" t="s">
        <v>40</v>
      </c>
      <c r="D5379">
        <v>4.8032979999999998</v>
      </c>
      <c r="E5379">
        <v>0.52140880000000001</v>
      </c>
      <c r="F5379" t="s">
        <v>77</v>
      </c>
      <c r="G5379">
        <v>-419.38479999999998</v>
      </c>
      <c r="H5379" s="1">
        <v>-7.082265E-6</v>
      </c>
      <c r="I5379">
        <v>26.00863</v>
      </c>
      <c r="J5379">
        <v>-422.68360000000001</v>
      </c>
      <c r="K5379">
        <v>1.111418</v>
      </c>
      <c r="L5379">
        <v>51.874659999999999</v>
      </c>
      <c r="M5379">
        <v>3.8930350000000002E-2</v>
      </c>
      <c r="N5379">
        <v>-1.371666E-2</v>
      </c>
      <c r="O5379">
        <v>-0.99914820000000004</v>
      </c>
      <c r="P5379">
        <v>0.1849556</v>
      </c>
      <c r="Q5379">
        <v>0.19592660000000001</v>
      </c>
      <c r="R5379">
        <v>-0.96301879999999995</v>
      </c>
      <c r="S5379">
        <v>0.38882450000000002</v>
      </c>
      <c r="T5379">
        <v>-0.1306059</v>
      </c>
      <c r="U5379">
        <v>-3.0665589999999998</v>
      </c>
      <c r="V5379">
        <v>-0.14765599999999901</v>
      </c>
      <c r="W5379">
        <v>0.2089704</v>
      </c>
      <c r="X5379">
        <v>0.96671039999999997</v>
      </c>
      <c r="Y5379">
        <v>-8.6983169999999999E-2</v>
      </c>
      <c r="Z5379">
        <v>2.8579380000000001E-2</v>
      </c>
      <c r="AA5379">
        <v>0.99579980000000001</v>
      </c>
      <c r="AB5379">
        <v>23</v>
      </c>
      <c r="AC5379">
        <v>3.2988000000000199</v>
      </c>
      <c r="AD5379">
        <v>-1.111425082265</v>
      </c>
      <c r="AE5379">
        <v>-25.866029999999999</v>
      </c>
      <c r="AF5379">
        <v>-2.2850794743588998</v>
      </c>
      <c r="AG5379">
        <v>-1.111425082265</v>
      </c>
      <c r="AH5379">
        <v>25.927749342848902</v>
      </c>
      <c r="AI5379">
        <v>92.445085866599698</v>
      </c>
      <c r="AJ5379">
        <v>95.036611463788702</v>
      </c>
      <c r="AK5379">
        <v>26.051968061995399</v>
      </c>
      <c r="AL5379">
        <v>77.937977623420096</v>
      </c>
      <c r="AM5379">
        <v>98.684277281011305</v>
      </c>
      <c r="AN5379">
        <v>0.999999959940159</v>
      </c>
    </row>
    <row r="5380" spans="1:40" x14ac:dyDescent="0.25">
      <c r="A5380" t="str">
        <f>"20190304155210840"</f>
        <v>20190304155210840</v>
      </c>
      <c r="B5380" t="str">
        <f>"1551685930832818"</f>
        <v>1551685930832818</v>
      </c>
      <c r="C5380" t="s">
        <v>40</v>
      </c>
      <c r="D5380">
        <v>5.1887980000000002</v>
      </c>
      <c r="E5380">
        <v>0.52121289999999998</v>
      </c>
      <c r="F5380" t="s">
        <v>77</v>
      </c>
      <c r="G5380">
        <v>-419.31920000000002</v>
      </c>
      <c r="H5380" s="1">
        <v>-7.0897529999999899E-6</v>
      </c>
      <c r="I5380">
        <v>25.870529999999999</v>
      </c>
      <c r="J5380">
        <v>-422.6739</v>
      </c>
      <c r="K5380">
        <v>1.111464</v>
      </c>
      <c r="L5380">
        <v>51.656950000000002</v>
      </c>
      <c r="M5380">
        <v>4.0001269999999998E-2</v>
      </c>
      <c r="N5380">
        <v>-1.371533E-2</v>
      </c>
      <c r="O5380">
        <v>-0.99910540000000003</v>
      </c>
      <c r="P5380">
        <v>0.18826319999999999</v>
      </c>
      <c r="Q5380">
        <v>0.1960896</v>
      </c>
      <c r="R5380">
        <v>-0.96234379999999997</v>
      </c>
      <c r="S5380">
        <v>0.39663700000000002</v>
      </c>
      <c r="T5380">
        <v>-0.13102919999999901</v>
      </c>
      <c r="U5380">
        <v>-3.0657040000000002</v>
      </c>
      <c r="V5380">
        <v>-0.1499692</v>
      </c>
      <c r="W5380">
        <v>0.2091085</v>
      </c>
      <c r="X5380">
        <v>0.96632439999999997</v>
      </c>
      <c r="Y5380">
        <v>-8.8445430000000005E-2</v>
      </c>
      <c r="Z5380">
        <v>2.8718540000000001E-2</v>
      </c>
      <c r="AA5380">
        <v>0.99566690000000002</v>
      </c>
      <c r="AB5380">
        <v>23</v>
      </c>
      <c r="AC5380">
        <v>3.3546999999999798</v>
      </c>
      <c r="AD5380">
        <v>-1.111471089753</v>
      </c>
      <c r="AE5380">
        <v>-25.78642</v>
      </c>
      <c r="AF5380">
        <v>-2.31619625081747</v>
      </c>
      <c r="AG5380">
        <v>-1.111471089753</v>
      </c>
      <c r="AH5380">
        <v>25.852750759989899</v>
      </c>
      <c r="AI5380">
        <v>92.451956672334404</v>
      </c>
      <c r="AJ5380">
        <v>95.119567401294404</v>
      </c>
      <c r="AK5380">
        <v>25.980085737229899</v>
      </c>
      <c r="AL5380">
        <v>77.929886634159601</v>
      </c>
      <c r="AM5380">
        <v>98.821671280429399</v>
      </c>
      <c r="AN5380">
        <v>0.999999985878125</v>
      </c>
    </row>
    <row r="5381" spans="1:40" x14ac:dyDescent="0.25">
      <c r="A5381" t="str">
        <f>"20190304155210863"</f>
        <v>20190304155210863</v>
      </c>
      <c r="B5381" t="str">
        <f>"1551685930852335"</f>
        <v>1551685930852335</v>
      </c>
      <c r="C5381" t="s">
        <v>40</v>
      </c>
      <c r="D5381">
        <v>4.8196389999999996</v>
      </c>
      <c r="E5381">
        <v>0.46386490000000002</v>
      </c>
      <c r="F5381" t="s">
        <v>77</v>
      </c>
      <c r="G5381">
        <v>-419.21140000000003</v>
      </c>
      <c r="H5381" s="1">
        <v>-7.1020610000000001E-6</v>
      </c>
      <c r="I5381">
        <v>25.643460000000001</v>
      </c>
      <c r="J5381">
        <v>-422.66340000000002</v>
      </c>
      <c r="K5381">
        <v>1.1115090000000001</v>
      </c>
      <c r="L5381">
        <v>51.427639999999997</v>
      </c>
      <c r="M5381">
        <v>4.120414E-2</v>
      </c>
      <c r="N5381">
        <v>-1.371415E-2</v>
      </c>
      <c r="O5381">
        <v>-0.99905690000000003</v>
      </c>
      <c r="P5381">
        <v>0.19172220000000001</v>
      </c>
      <c r="Q5381">
        <v>0.19518369999999999</v>
      </c>
      <c r="R5381">
        <v>-0.96184559999999997</v>
      </c>
      <c r="S5381">
        <v>0.40786739999999999</v>
      </c>
      <c r="T5381">
        <v>-0.1309263</v>
      </c>
      <c r="U5381">
        <v>-3.06427</v>
      </c>
      <c r="V5381">
        <v>-0.1523013</v>
      </c>
      <c r="W5381">
        <v>0.20817759999999999</v>
      </c>
      <c r="X5381">
        <v>0.96616069999999998</v>
      </c>
      <c r="Y5381">
        <v>-9.0891700000000006E-2</v>
      </c>
      <c r="Z5381">
        <v>2.869035E-2</v>
      </c>
      <c r="AA5381">
        <v>0.99544739999999998</v>
      </c>
      <c r="AB5381">
        <v>23</v>
      </c>
      <c r="AC5381">
        <v>3.4519999999999902</v>
      </c>
      <c r="AD5381">
        <v>-1.111516102061</v>
      </c>
      <c r="AE5381">
        <v>-25.784179999999999</v>
      </c>
      <c r="AF5381">
        <v>-2.38220425023892</v>
      </c>
      <c r="AG5381">
        <v>-1.111516102061</v>
      </c>
      <c r="AH5381">
        <v>25.857323123847902</v>
      </c>
      <c r="AI5381">
        <v>92.451063041161703</v>
      </c>
      <c r="AJ5381">
        <v>95.263732833210597</v>
      </c>
      <c r="AK5381">
        <v>25.990604538295699</v>
      </c>
      <c r="AL5381">
        <v>77.984424299916398</v>
      </c>
      <c r="AM5381">
        <v>98.958138491385299</v>
      </c>
      <c r="AN5381">
        <v>1.00000004867396</v>
      </c>
    </row>
    <row r="5382" spans="1:40" x14ac:dyDescent="0.25">
      <c r="A5382" t="str">
        <f>"20190304155210884"</f>
        <v>20190304155210884</v>
      </c>
      <c r="B5382" t="str">
        <f>"1551685930882591"</f>
        <v>1551685930882591</v>
      </c>
      <c r="C5382" t="s">
        <v>40</v>
      </c>
      <c r="D5382">
        <v>4.68804</v>
      </c>
      <c r="E5382">
        <v>0.455399</v>
      </c>
      <c r="F5382" t="s">
        <v>77</v>
      </c>
      <c r="G5382">
        <v>-417.48140000000001</v>
      </c>
      <c r="H5382" s="1">
        <v>-4.2427290000000002E-6</v>
      </c>
      <c r="I5382">
        <v>33.601520000000001</v>
      </c>
      <c r="J5382">
        <v>-422.65269999999998</v>
      </c>
      <c r="K5382">
        <v>1.111559</v>
      </c>
      <c r="L5382">
        <v>51.203339999999997</v>
      </c>
      <c r="M5382">
        <v>4.2456529999999999E-2</v>
      </c>
      <c r="N5382">
        <v>-1.371313E-2</v>
      </c>
      <c r="O5382">
        <v>-0.99900440000000001</v>
      </c>
      <c r="P5382">
        <v>0.1944207</v>
      </c>
      <c r="Q5382">
        <v>0.19368050000000001</v>
      </c>
      <c r="R5382">
        <v>-0.96160780000000001</v>
      </c>
      <c r="S5382">
        <v>0.86740110000000004</v>
      </c>
      <c r="T5382">
        <v>-0.18605269999999999</v>
      </c>
      <c r="U5382">
        <v>-2.9838559999999998</v>
      </c>
      <c r="V5382">
        <v>-0.1538156</v>
      </c>
      <c r="W5382">
        <v>0.20665269999999999</v>
      </c>
      <c r="X5382">
        <v>0.96624810000000005</v>
      </c>
      <c r="Y5382">
        <v>-0.23770060000000001</v>
      </c>
      <c r="Z5382">
        <v>4.6408680000000001E-2</v>
      </c>
      <c r="AA5382">
        <v>0.97022920000000001</v>
      </c>
      <c r="AB5382">
        <v>23</v>
      </c>
      <c r="AC5382">
        <v>5.1712999999999703</v>
      </c>
      <c r="AD5382">
        <v>-1.1115632427290001</v>
      </c>
      <c r="AE5382">
        <v>-17.60182</v>
      </c>
      <c r="AF5382">
        <v>-4.4030896814206599</v>
      </c>
      <c r="AG5382">
        <v>-1.1115632427290001</v>
      </c>
      <c r="AH5382">
        <v>17.740394810955902</v>
      </c>
      <c r="AI5382">
        <v>93.479992810781397</v>
      </c>
      <c r="AJ5382">
        <v>103.938904484574</v>
      </c>
      <c r="AK5382">
        <v>18.312410535858199</v>
      </c>
      <c r="AL5382">
        <v>78.073736137357997</v>
      </c>
      <c r="AM5382">
        <v>99.044937068761698</v>
      </c>
      <c r="AN5382">
        <v>0.99999998398712897</v>
      </c>
    </row>
    <row r="5383" spans="1:40" x14ac:dyDescent="0.25">
      <c r="A5383" t="str">
        <f>"20190304155210908"</f>
        <v>20190304155210908</v>
      </c>
      <c r="B5383" t="str">
        <f>"1551685930902110"</f>
        <v>1551685930902110</v>
      </c>
      <c r="C5383" t="s">
        <v>40</v>
      </c>
      <c r="D5383">
        <v>4.7012980000000004</v>
      </c>
      <c r="E5383">
        <v>0.4533297</v>
      </c>
      <c r="F5383" t="s">
        <v>77</v>
      </c>
      <c r="G5383">
        <v>-417.03179999999998</v>
      </c>
      <c r="H5383" s="1">
        <v>-4.4091949999999997E-6</v>
      </c>
      <c r="I5383">
        <v>33.470460000000003</v>
      </c>
      <c r="J5383">
        <v>-422.64120000000003</v>
      </c>
      <c r="K5383">
        <v>1.111602</v>
      </c>
      <c r="L5383">
        <v>50.970149999999997</v>
      </c>
      <c r="M5383">
        <v>4.3841779999999997E-2</v>
      </c>
      <c r="N5383">
        <v>-1.3712129999999999E-2</v>
      </c>
      <c r="O5383">
        <v>-0.99894430000000001</v>
      </c>
      <c r="P5383">
        <v>0.1974718</v>
      </c>
      <c r="Q5383">
        <v>0.19208310000000001</v>
      </c>
      <c r="R5383">
        <v>-0.96130599999999999</v>
      </c>
      <c r="S5383">
        <v>0.94049070000000001</v>
      </c>
      <c r="T5383">
        <v>-0.18598709999999999</v>
      </c>
      <c r="U5383">
        <v>-2.9670719999999999</v>
      </c>
      <c r="V5383">
        <v>-0.1555578</v>
      </c>
      <c r="W5383">
        <v>0.20503080000000001</v>
      </c>
      <c r="X5383">
        <v>0.96631469999999997</v>
      </c>
      <c r="Y5383">
        <v>-0.2596214</v>
      </c>
      <c r="Z5383">
        <v>4.6335510000000003E-2</v>
      </c>
      <c r="AA5383">
        <v>0.96459819999999996</v>
      </c>
      <c r="AB5383">
        <v>23</v>
      </c>
      <c r="AC5383">
        <v>5.6094000000000497</v>
      </c>
      <c r="AD5383">
        <v>-1.111606409195</v>
      </c>
      <c r="AE5383">
        <v>-17.499690000000001</v>
      </c>
      <c r="AF5383">
        <v>-4.8190825776444397</v>
      </c>
      <c r="AG5383">
        <v>-1.111606409195</v>
      </c>
      <c r="AH5383">
        <v>17.664176236061799</v>
      </c>
      <c r="AI5383">
        <v>93.474231081600905</v>
      </c>
      <c r="AJ5383">
        <v>105.25988860705699</v>
      </c>
      <c r="AK5383">
        <v>18.3434551761049</v>
      </c>
      <c r="AL5383">
        <v>78.168697688262597</v>
      </c>
      <c r="AM5383">
        <v>99.1450434048391</v>
      </c>
      <c r="AN5383">
        <v>0.99999997876278401</v>
      </c>
    </row>
    <row r="5384" spans="1:40" x14ac:dyDescent="0.25">
      <c r="A5384" t="str">
        <f>"20190304155210930"</f>
        <v>20190304155210930</v>
      </c>
      <c r="B5384" t="str">
        <f>"1551685930922607"</f>
        <v>1551685930922607</v>
      </c>
      <c r="C5384" t="s">
        <v>40</v>
      </c>
      <c r="D5384">
        <v>4.7330769999999998</v>
      </c>
      <c r="E5384">
        <v>0.45285500000000001</v>
      </c>
      <c r="F5384" t="s">
        <v>77</v>
      </c>
      <c r="G5384">
        <v>-417.02879999999999</v>
      </c>
      <c r="H5384" s="1">
        <v>-4.2544699999999899E-6</v>
      </c>
      <c r="I5384">
        <v>33.775419999999997</v>
      </c>
      <c r="J5384">
        <v>-422.62979999999999</v>
      </c>
      <c r="K5384">
        <v>1.1116459999999999</v>
      </c>
      <c r="L5384">
        <v>50.747959999999999</v>
      </c>
      <c r="M5384">
        <v>4.5253210000000002E-2</v>
      </c>
      <c r="N5384">
        <v>-1.371121E-2</v>
      </c>
      <c r="O5384">
        <v>-0.99888160000000004</v>
      </c>
      <c r="P5384">
        <v>0.20023469999999999</v>
      </c>
      <c r="Q5384">
        <v>0.1904537</v>
      </c>
      <c r="R5384">
        <v>-0.96105890000000005</v>
      </c>
      <c r="S5384">
        <v>0.96630859999999996</v>
      </c>
      <c r="T5384">
        <v>-0.19138930000000001</v>
      </c>
      <c r="U5384">
        <v>-2.96048</v>
      </c>
      <c r="V5384">
        <v>-0.15698219999999999</v>
      </c>
      <c r="W5384">
        <v>0.2033797</v>
      </c>
      <c r="X5384">
        <v>0.96643330000000005</v>
      </c>
      <c r="Y5384">
        <v>-0.26645869999999999</v>
      </c>
      <c r="Z5384">
        <v>4.8063259999999997E-2</v>
      </c>
      <c r="AA5384">
        <v>0.96264720000000004</v>
      </c>
      <c r="AB5384">
        <v>23</v>
      </c>
      <c r="AC5384">
        <v>5.6009999999999902</v>
      </c>
      <c r="AD5384">
        <v>-1.11165025447</v>
      </c>
      <c r="AE5384">
        <v>-16.972539999999899</v>
      </c>
      <c r="AF5384">
        <v>-4.8085248955453999</v>
      </c>
      <c r="AG5384">
        <v>-1.11165025447</v>
      </c>
      <c r="AH5384">
        <v>17.142320119851298</v>
      </c>
      <c r="AI5384">
        <v>93.572816670504906</v>
      </c>
      <c r="AJ5384">
        <v>105.66913075252999</v>
      </c>
      <c r="AK5384">
        <v>17.8386327124811</v>
      </c>
      <c r="AL5384">
        <v>78.265335570861296</v>
      </c>
      <c r="AM5384">
        <v>99.226235088191999</v>
      </c>
      <c r="AN5384">
        <v>1.00000001841891</v>
      </c>
    </row>
    <row r="5385" spans="1:40" x14ac:dyDescent="0.25">
      <c r="A5385" t="str">
        <f>"20190304155210952"</f>
        <v>20190304155210952</v>
      </c>
      <c r="B5385" t="str">
        <f>"1551685930942127"</f>
        <v>1551685930942127</v>
      </c>
      <c r="C5385" t="s">
        <v>40</v>
      </c>
      <c r="D5385">
        <v>4.8472499999999998</v>
      </c>
      <c r="E5385">
        <v>0.45159899999999997</v>
      </c>
      <c r="F5385" t="s">
        <v>77</v>
      </c>
      <c r="G5385">
        <v>-417.3578</v>
      </c>
      <c r="H5385" s="1">
        <v>-3.6585549999999998E-6</v>
      </c>
      <c r="I5385">
        <v>34.789090000000002</v>
      </c>
      <c r="J5385">
        <v>-422.61759999999998</v>
      </c>
      <c r="K5385">
        <v>1.111685</v>
      </c>
      <c r="L5385">
        <v>50.51773</v>
      </c>
      <c r="M5385">
        <v>4.678769E-2</v>
      </c>
      <c r="N5385">
        <v>-1.3710389999999999E-2</v>
      </c>
      <c r="O5385">
        <v>-0.99881089999999995</v>
      </c>
      <c r="P5385">
        <v>0.20324680000000001</v>
      </c>
      <c r="Q5385">
        <v>0.1882634</v>
      </c>
      <c r="R5385">
        <v>-0.9608582</v>
      </c>
      <c r="S5385">
        <v>0.97741699999999998</v>
      </c>
      <c r="T5385">
        <v>-0.20609749999999999</v>
      </c>
      <c r="U5385">
        <v>-2.9587400000000001</v>
      </c>
      <c r="V5385">
        <v>-0.158527799999999</v>
      </c>
      <c r="W5385">
        <v>0.2011704</v>
      </c>
      <c r="X5385">
        <v>0.96664340000000004</v>
      </c>
      <c r="Y5385">
        <v>-0.26832319999999998</v>
      </c>
      <c r="Z5385">
        <v>5.2764279999999997E-2</v>
      </c>
      <c r="AA5385">
        <v>0.96188280000000004</v>
      </c>
      <c r="AB5385">
        <v>23</v>
      </c>
      <c r="AC5385">
        <v>5.2597999999999798</v>
      </c>
      <c r="AD5385">
        <v>-1.1116886585549901</v>
      </c>
      <c r="AE5385">
        <v>-15.72864</v>
      </c>
      <c r="AF5385">
        <v>-4.4978535806894104</v>
      </c>
      <c r="AG5385">
        <v>-1.1116886585549901</v>
      </c>
      <c r="AH5385">
        <v>15.8861506122654</v>
      </c>
      <c r="AI5385">
        <v>93.852010780809806</v>
      </c>
      <c r="AJ5385">
        <v>105.808434881189</v>
      </c>
      <c r="AK5385">
        <v>16.548000476869198</v>
      </c>
      <c r="AL5385">
        <v>78.394591148765102</v>
      </c>
      <c r="AM5385">
        <v>99.313499768592706</v>
      </c>
      <c r="AN5385">
        <v>1.00000002798627</v>
      </c>
    </row>
    <row r="5386" spans="1:40" x14ac:dyDescent="0.25">
      <c r="A5386" t="str">
        <f>"20190304155210974"</f>
        <v>20190304155210974</v>
      </c>
      <c r="B5386" t="str">
        <f>"1551685930972383"</f>
        <v>1551685930972383</v>
      </c>
      <c r="C5386" t="s">
        <v>40</v>
      </c>
      <c r="D5386">
        <v>4.6825570000000001</v>
      </c>
      <c r="E5386">
        <v>0.45127260000000002</v>
      </c>
      <c r="F5386" t="s">
        <v>77</v>
      </c>
      <c r="G5386">
        <v>-417.29410000000001</v>
      </c>
      <c r="H5386" s="1">
        <v>-3.7114390000000002E-6</v>
      </c>
      <c r="I5386">
        <v>34.718240000000002</v>
      </c>
      <c r="J5386">
        <v>-422.60550000000001</v>
      </c>
      <c r="K5386">
        <v>1.111715</v>
      </c>
      <c r="L5386">
        <v>50.297519999999999</v>
      </c>
      <c r="M5386">
        <v>4.831908E-2</v>
      </c>
      <c r="N5386">
        <v>-1.370966E-2</v>
      </c>
      <c r="O5386">
        <v>-0.99873809999999996</v>
      </c>
      <c r="P5386">
        <v>0.2061432</v>
      </c>
      <c r="Q5386">
        <v>0.18633169999999999</v>
      </c>
      <c r="R5386">
        <v>-0.96061759999999996</v>
      </c>
      <c r="S5386">
        <v>0.99481200000000003</v>
      </c>
      <c r="T5386">
        <v>-0.2077435</v>
      </c>
      <c r="U5386">
        <v>-2.9524840000000001</v>
      </c>
      <c r="V5386">
        <v>-0.15995879999999901</v>
      </c>
      <c r="W5386">
        <v>0.19922319999999999</v>
      </c>
      <c r="X5386">
        <v>0.96681090000000003</v>
      </c>
      <c r="Y5386">
        <v>-0.27253640000000001</v>
      </c>
      <c r="Z5386">
        <v>5.3323839999999997E-2</v>
      </c>
      <c r="AA5386">
        <v>0.96066669999999998</v>
      </c>
      <c r="AB5386">
        <v>23</v>
      </c>
      <c r="AC5386">
        <v>5.3113999999999901</v>
      </c>
      <c r="AD5386">
        <v>-1.1117187114389999</v>
      </c>
      <c r="AE5386">
        <v>-15.579279999999899</v>
      </c>
      <c r="AF5386">
        <v>-4.5316749968558803</v>
      </c>
      <c r="AG5386">
        <v>-1.1117187114389999</v>
      </c>
      <c r="AH5386">
        <v>15.745914769756</v>
      </c>
      <c r="AI5386">
        <v>93.881545045440305</v>
      </c>
      <c r="AJ5386">
        <v>106.055820927356</v>
      </c>
      <c r="AK5386">
        <v>16.422722938261899</v>
      </c>
      <c r="AL5386">
        <v>78.508462534298204</v>
      </c>
      <c r="AM5386">
        <v>99.394479383138105</v>
      </c>
      <c r="AN5386">
        <v>1.00000000873724</v>
      </c>
    </row>
    <row r="5387" spans="1:40" x14ac:dyDescent="0.25">
      <c r="A5387" t="str">
        <f>"20190304155210996"</f>
        <v>20190304155210996</v>
      </c>
      <c r="B5387" t="str">
        <f>"1551685930992879"</f>
        <v>1551685930992879</v>
      </c>
      <c r="C5387" t="s">
        <v>40</v>
      </c>
      <c r="D5387">
        <v>4.8009209999999998</v>
      </c>
      <c r="E5387">
        <v>0.45059850000000001</v>
      </c>
      <c r="F5387" t="s">
        <v>77</v>
      </c>
      <c r="G5387">
        <v>-417.48910000000001</v>
      </c>
      <c r="H5387" s="1">
        <v>-3.3626619999999998E-6</v>
      </c>
      <c r="I5387">
        <v>35.276870000000002</v>
      </c>
      <c r="J5387">
        <v>-422.59309999999999</v>
      </c>
      <c r="K5387">
        <v>1.1117539999999999</v>
      </c>
      <c r="L5387">
        <v>50.078859999999999</v>
      </c>
      <c r="M5387">
        <v>4.989938E-2</v>
      </c>
      <c r="N5387">
        <v>-1.370886E-2</v>
      </c>
      <c r="O5387">
        <v>-0.9986602</v>
      </c>
      <c r="P5387">
        <v>0.2088566</v>
      </c>
      <c r="Q5387">
        <v>0.18545719999999999</v>
      </c>
      <c r="R5387">
        <v>-0.96020050000000001</v>
      </c>
      <c r="S5387">
        <v>1.004761</v>
      </c>
      <c r="T5387">
        <v>-0.21831800000000001</v>
      </c>
      <c r="U5387">
        <v>-2.949738</v>
      </c>
      <c r="V5387">
        <v>-0.16116710000000001</v>
      </c>
      <c r="W5387">
        <v>0.19833339999999999</v>
      </c>
      <c r="X5387">
        <v>0.96679320000000002</v>
      </c>
      <c r="Y5387">
        <v>-0.27412340000000002</v>
      </c>
      <c r="Z5387">
        <v>5.6720930000000003E-2</v>
      </c>
      <c r="AA5387">
        <v>0.9600204</v>
      </c>
      <c r="AB5387">
        <v>23</v>
      </c>
      <c r="AC5387">
        <v>5.1039999999999797</v>
      </c>
      <c r="AD5387">
        <v>-1.1117573626620001</v>
      </c>
      <c r="AE5387">
        <v>-14.801989999999901</v>
      </c>
      <c r="AF5387">
        <v>-4.3370940742621196</v>
      </c>
      <c r="AG5387">
        <v>-1.1117573626620001</v>
      </c>
      <c r="AH5387">
        <v>14.9628172609627</v>
      </c>
      <c r="AI5387">
        <v>94.081928988736806</v>
      </c>
      <c r="AJ5387">
        <v>106.16466020559</v>
      </c>
      <c r="AK5387">
        <v>15.6183318516221</v>
      </c>
      <c r="AL5387">
        <v>78.560482669162099</v>
      </c>
      <c r="AM5387">
        <v>99.464334600601603</v>
      </c>
      <c r="AN5387">
        <v>1.0000000316221</v>
      </c>
    </row>
    <row r="5388" spans="1:40" x14ac:dyDescent="0.25">
      <c r="A5388" t="str">
        <f>"20190304155211020"</f>
        <v>20190304155211020</v>
      </c>
      <c r="B5388" t="str">
        <f>"1551685931012399"</f>
        <v>1551685931012399</v>
      </c>
      <c r="C5388" t="s">
        <v>40</v>
      </c>
      <c r="D5388">
        <v>4.8543620000000001</v>
      </c>
      <c r="E5388">
        <v>0.45010240000000001</v>
      </c>
      <c r="F5388" t="s">
        <v>77</v>
      </c>
      <c r="G5388">
        <v>-417.38889999999998</v>
      </c>
      <c r="H5388" s="1">
        <v>-3.5284010000000002E-6</v>
      </c>
      <c r="I5388">
        <v>35.014429999999997</v>
      </c>
      <c r="J5388">
        <v>-422.5795</v>
      </c>
      <c r="K5388">
        <v>1.1117870000000001</v>
      </c>
      <c r="L5388">
        <v>49.84796</v>
      </c>
      <c r="M5388">
        <v>5.162518E-2</v>
      </c>
      <c r="N5388">
        <v>-1.3708E-2</v>
      </c>
      <c r="O5388">
        <v>-0.99857260000000003</v>
      </c>
      <c r="P5388">
        <v>0.2116603</v>
      </c>
      <c r="Q5388">
        <v>0.1857528</v>
      </c>
      <c r="R5388">
        <v>-0.95952930000000003</v>
      </c>
      <c r="S5388">
        <v>1.017395</v>
      </c>
      <c r="T5388">
        <v>-0.2173445</v>
      </c>
      <c r="U5388">
        <v>-2.9450379999999998</v>
      </c>
      <c r="V5388">
        <v>-0.16234019999999999</v>
      </c>
      <c r="W5388">
        <v>0.1986106</v>
      </c>
      <c r="X5388">
        <v>0.96653999999999995</v>
      </c>
      <c r="Y5388">
        <v>-0.2766169</v>
      </c>
      <c r="Z5388">
        <v>5.6438269999999999E-2</v>
      </c>
      <c r="AA5388">
        <v>0.95932150000000005</v>
      </c>
      <c r="AB5388">
        <v>23</v>
      </c>
      <c r="AC5388">
        <v>5.1906000000000097</v>
      </c>
      <c r="AD5388">
        <v>-1.1117905284009999</v>
      </c>
      <c r="AE5388">
        <v>-14.83353</v>
      </c>
      <c r="AF5388">
        <v>-4.3958212622372299</v>
      </c>
      <c r="AG5388">
        <v>-1.1117905284009999</v>
      </c>
      <c r="AH5388">
        <v>15.0066310603966</v>
      </c>
      <c r="AI5388">
        <v>94.066832054089701</v>
      </c>
      <c r="AJ5388">
        <v>106.326640550458</v>
      </c>
      <c r="AK5388">
        <v>15.676680086403501</v>
      </c>
      <c r="AL5388">
        <v>78.544278023317105</v>
      </c>
      <c r="AM5388">
        <v>99.534414985452102</v>
      </c>
      <c r="AN5388">
        <v>1.0000000412841901</v>
      </c>
    </row>
    <row r="5389" spans="1:40" x14ac:dyDescent="0.25">
      <c r="A5389" t="str">
        <f>"20190304155211041"</f>
        <v>20190304155211041</v>
      </c>
      <c r="B5389" t="str">
        <f>"1551685931032898"</f>
        <v>1551685931032898</v>
      </c>
      <c r="C5389" t="s">
        <v>40</v>
      </c>
      <c r="D5389">
        <v>4.7776990000000001</v>
      </c>
      <c r="E5389">
        <v>0.44992690000000002</v>
      </c>
      <c r="F5389" t="s">
        <v>77</v>
      </c>
      <c r="G5389">
        <v>-417.1814</v>
      </c>
      <c r="H5389" s="1">
        <v>-3.87955E-6</v>
      </c>
      <c r="I5389">
        <v>34.444830000000003</v>
      </c>
      <c r="J5389">
        <v>-422.56630000000001</v>
      </c>
      <c r="K5389">
        <v>1.1118140000000001</v>
      </c>
      <c r="L5389">
        <v>49.629330000000003</v>
      </c>
      <c r="M5389">
        <v>5.3304419999999998E-2</v>
      </c>
      <c r="N5389">
        <v>-1.3707189999999999E-2</v>
      </c>
      <c r="O5389">
        <v>-0.99848429999999999</v>
      </c>
      <c r="P5389">
        <v>0.21340690000000001</v>
      </c>
      <c r="Q5389">
        <v>0.1861894</v>
      </c>
      <c r="R5389">
        <v>-0.95905750000000001</v>
      </c>
      <c r="S5389">
        <v>1.030457</v>
      </c>
      <c r="T5389">
        <v>-0.21223</v>
      </c>
      <c r="U5389">
        <v>-2.9403079999999999</v>
      </c>
      <c r="V5389">
        <v>-0.16249330000000001</v>
      </c>
      <c r="W5389">
        <v>0.1990344</v>
      </c>
      <c r="X5389">
        <v>0.96642700000000004</v>
      </c>
      <c r="Y5389">
        <v>-0.27930830000000001</v>
      </c>
      <c r="Z5389">
        <v>5.4822709999999997E-2</v>
      </c>
      <c r="AA5389">
        <v>0.95863520000000002</v>
      </c>
      <c r="AB5389">
        <v>23</v>
      </c>
      <c r="AC5389">
        <v>5.3849000000000098</v>
      </c>
      <c r="AD5389">
        <v>-1.11181787954999</v>
      </c>
      <c r="AE5389">
        <v>-15.1845</v>
      </c>
      <c r="AF5389">
        <v>-4.5461158521813596</v>
      </c>
      <c r="AG5389">
        <v>-1.11181787954999</v>
      </c>
      <c r="AH5389">
        <v>15.3767451087607</v>
      </c>
      <c r="AI5389">
        <v>93.966441155669898</v>
      </c>
      <c r="AJ5389">
        <v>106.47024934100099</v>
      </c>
      <c r="AK5389">
        <v>16.073195030190401</v>
      </c>
      <c r="AL5389">
        <v>78.519500423971394</v>
      </c>
      <c r="AM5389">
        <v>99.544336728763099</v>
      </c>
      <c r="AN5389">
        <v>0.99999995562862398</v>
      </c>
    </row>
    <row r="5390" spans="1:40" x14ac:dyDescent="0.25">
      <c r="A5390" t="str">
        <f>"20190304155211064"</f>
        <v>20190304155211064</v>
      </c>
      <c r="B5390" t="str">
        <f>"1551685931052415"</f>
        <v>1551685931052415</v>
      </c>
      <c r="C5390" t="s">
        <v>40</v>
      </c>
      <c r="D5390">
        <v>4.8087039999999996</v>
      </c>
      <c r="E5390">
        <v>0.4495072</v>
      </c>
      <c r="F5390" t="s">
        <v>77</v>
      </c>
      <c r="G5390">
        <v>-417.06060000000002</v>
      </c>
      <c r="H5390" s="1">
        <v>-4.1095250000000003E-6</v>
      </c>
      <c r="I5390">
        <v>34.046050000000001</v>
      </c>
      <c r="J5390">
        <v>-422.55239999999998</v>
      </c>
      <c r="K5390">
        <v>1.1118319999999999</v>
      </c>
      <c r="L5390">
        <v>49.406370000000003</v>
      </c>
      <c r="M5390">
        <v>5.5054470000000001E-2</v>
      </c>
      <c r="N5390">
        <v>-1.3706299999999999E-2</v>
      </c>
      <c r="O5390">
        <v>-0.99838930000000004</v>
      </c>
      <c r="P5390">
        <v>0.21497649999999999</v>
      </c>
      <c r="Q5390">
        <v>0.18713859999999999</v>
      </c>
      <c r="R5390">
        <v>-0.95852230000000005</v>
      </c>
      <c r="S5390">
        <v>1.0379640000000001</v>
      </c>
      <c r="T5390">
        <v>-0.20960319999999999</v>
      </c>
      <c r="U5390">
        <v>-2.937805</v>
      </c>
      <c r="V5390">
        <v>-0.16240539999999901</v>
      </c>
      <c r="W5390">
        <v>0.19997129999999999</v>
      </c>
      <c r="X5390">
        <v>0.96624840000000001</v>
      </c>
      <c r="Y5390">
        <v>-0.28007609999999999</v>
      </c>
      <c r="Z5390">
        <v>5.3994449999999999E-2</v>
      </c>
      <c r="AA5390">
        <v>0.95845809999999998</v>
      </c>
      <c r="AB5390">
        <v>23</v>
      </c>
      <c r="AC5390">
        <v>5.4917999999999498</v>
      </c>
      <c r="AD5390">
        <v>-1.111836109525</v>
      </c>
      <c r="AE5390">
        <v>-15.36032</v>
      </c>
      <c r="AF5390">
        <v>-4.6162903689811303</v>
      </c>
      <c r="AG5390">
        <v>-1.111836109525</v>
      </c>
      <c r="AH5390">
        <v>15.5670782112319</v>
      </c>
      <c r="AI5390">
        <v>93.917211401813702</v>
      </c>
      <c r="AJ5390">
        <v>106.51729490365101</v>
      </c>
      <c r="AK5390">
        <v>16.275141791695798</v>
      </c>
      <c r="AL5390">
        <v>78.464719290376493</v>
      </c>
      <c r="AM5390">
        <v>99.540999483693398</v>
      </c>
      <c r="AN5390">
        <v>1.0000000026377001</v>
      </c>
    </row>
    <row r="5391" spans="1:40" x14ac:dyDescent="0.25">
      <c r="A5391" t="str">
        <f>"20190304155211086"</f>
        <v>20190304155211086</v>
      </c>
      <c r="B5391" t="str">
        <f>"1551685931082671"</f>
        <v>1551685931082671</v>
      </c>
      <c r="C5391" t="s">
        <v>40</v>
      </c>
      <c r="D5391">
        <v>4.7675900000000002</v>
      </c>
      <c r="E5391">
        <v>0.44908629999999999</v>
      </c>
      <c r="F5391" t="s">
        <v>77</v>
      </c>
      <c r="G5391">
        <v>-416.78699999999998</v>
      </c>
      <c r="H5391" s="1">
        <v>-4.5693840000000002E-6</v>
      </c>
      <c r="I5391">
        <v>33.262609999999903</v>
      </c>
      <c r="J5391">
        <v>-422.53800000000001</v>
      </c>
      <c r="K5391">
        <v>1.1118509999999999</v>
      </c>
      <c r="L5391">
        <v>49.182429999999997</v>
      </c>
      <c r="M5391">
        <v>5.6846559999999997E-2</v>
      </c>
      <c r="N5391">
        <v>-1.37053E-2</v>
      </c>
      <c r="O5391">
        <v>-0.99828899999999998</v>
      </c>
      <c r="P5391">
        <v>0.21635099999999999</v>
      </c>
      <c r="Q5391">
        <v>0.1871025</v>
      </c>
      <c r="R5391">
        <v>-0.95822010000000002</v>
      </c>
      <c r="S5391">
        <v>1.0479130000000001</v>
      </c>
      <c r="T5391">
        <v>-0.20208570000000001</v>
      </c>
      <c r="U5391">
        <v>-2.9342649999999999</v>
      </c>
      <c r="V5391">
        <v>-0.16206499999999999</v>
      </c>
      <c r="W5391">
        <v>0.19992779999999999</v>
      </c>
      <c r="X5391">
        <v>0.96631460000000002</v>
      </c>
      <c r="Y5391">
        <v>-0.28164739999999999</v>
      </c>
      <c r="Z5391">
        <v>5.16E-2</v>
      </c>
      <c r="AA5391">
        <v>0.95812949999999997</v>
      </c>
      <c r="AB5391">
        <v>22</v>
      </c>
      <c r="AC5391">
        <v>5.7510000000000296</v>
      </c>
      <c r="AD5391">
        <v>-1.111855569384</v>
      </c>
      <c r="AE5391">
        <v>-15.91982</v>
      </c>
      <c r="AF5391">
        <v>-4.8158476868245401</v>
      </c>
      <c r="AG5391">
        <v>-1.111855569384</v>
      </c>
      <c r="AH5391">
        <v>16.151338813783099</v>
      </c>
      <c r="AI5391">
        <v>93.774318628161197</v>
      </c>
      <c r="AJ5391">
        <v>106.603011768184</v>
      </c>
      <c r="AK5391">
        <v>16.890658874877499</v>
      </c>
      <c r="AL5391">
        <v>78.467263552510701</v>
      </c>
      <c r="AM5391">
        <v>99.520727816533906</v>
      </c>
      <c r="AN5391">
        <v>1.00000004780549</v>
      </c>
    </row>
    <row r="5392" spans="1:40" x14ac:dyDescent="0.25">
      <c r="A5392" t="str">
        <f>"20190304155211110"</f>
        <v>20190304155211110</v>
      </c>
      <c r="B5392" t="str">
        <f>"1551685931102190"</f>
        <v>1551685931102190</v>
      </c>
      <c r="C5392" t="s">
        <v>40</v>
      </c>
      <c r="D5392">
        <v>4.7659669999999998</v>
      </c>
      <c r="E5392">
        <v>0.44877159999999999</v>
      </c>
      <c r="F5392" t="s">
        <v>77</v>
      </c>
      <c r="G5392">
        <v>-416.56020000000001</v>
      </c>
      <c r="H5392" s="1">
        <v>-4.9687210000000003E-6</v>
      </c>
      <c r="I5392">
        <v>32.577550000000002</v>
      </c>
      <c r="J5392">
        <v>-422.52229999999997</v>
      </c>
      <c r="K5392">
        <v>1.1118729999999999</v>
      </c>
      <c r="L5392">
        <v>48.947850000000003</v>
      </c>
      <c r="M5392">
        <v>5.8766029999999997E-2</v>
      </c>
      <c r="N5392">
        <v>-1.370413E-2</v>
      </c>
      <c r="O5392">
        <v>-0.9981778</v>
      </c>
      <c r="P5392">
        <v>0.21829009999999999</v>
      </c>
      <c r="Q5392">
        <v>0.18571960000000001</v>
      </c>
      <c r="R5392">
        <v>-0.95804909999999999</v>
      </c>
      <c r="S5392">
        <v>1.055115</v>
      </c>
      <c r="T5392">
        <v>-0.19625029999999999</v>
      </c>
      <c r="U5392">
        <v>-2.9308779999999999</v>
      </c>
      <c r="V5392">
        <v>-0.1621522</v>
      </c>
      <c r="W5392">
        <v>0.19853999999999999</v>
      </c>
      <c r="X5392">
        <v>0.96658599999999995</v>
      </c>
      <c r="Y5392">
        <v>-0.28227400000000002</v>
      </c>
      <c r="Z5392">
        <v>4.9758499999999997E-2</v>
      </c>
      <c r="AA5392">
        <v>0.95804259999999997</v>
      </c>
      <c r="AB5392">
        <v>22</v>
      </c>
      <c r="AC5392">
        <v>5.9620999999999604</v>
      </c>
      <c r="AD5392">
        <v>-1.1118779687210001</v>
      </c>
      <c r="AE5392">
        <v>-16.3703</v>
      </c>
      <c r="AF5392">
        <v>-4.9694462107014399</v>
      </c>
      <c r="AG5392">
        <v>-1.1118779687210001</v>
      </c>
      <c r="AH5392">
        <v>16.624693735303602</v>
      </c>
      <c r="AI5392">
        <v>93.666472483541298</v>
      </c>
      <c r="AJ5392">
        <v>106.64243433509201</v>
      </c>
      <c r="AK5392">
        <v>17.387124835665801</v>
      </c>
      <c r="AL5392">
        <v>78.548404603104402</v>
      </c>
      <c r="AM5392">
        <v>99.523130979641195</v>
      </c>
      <c r="AN5392">
        <v>0.99999998148041902</v>
      </c>
    </row>
    <row r="5393" spans="1:40" x14ac:dyDescent="0.25">
      <c r="A5393" t="str">
        <f>"20190304155211131"</f>
        <v>20190304155211131</v>
      </c>
      <c r="B5393" t="str">
        <f>"1551685931122687"</f>
        <v>1551685931122687</v>
      </c>
      <c r="C5393" t="s">
        <v>40</v>
      </c>
      <c r="D5393">
        <v>4.789809</v>
      </c>
      <c r="E5393">
        <v>0.4484418</v>
      </c>
      <c r="F5393" t="s">
        <v>77</v>
      </c>
      <c r="G5393">
        <v>-416.57029999999997</v>
      </c>
      <c r="H5393" s="1">
        <v>-4.983193E-6</v>
      </c>
      <c r="I5393">
        <v>32.544750000000001</v>
      </c>
      <c r="J5393">
        <v>-422.50760000000002</v>
      </c>
      <c r="K5393">
        <v>1.111896</v>
      </c>
      <c r="L5393">
        <v>48.732669999999999</v>
      </c>
      <c r="M5393">
        <v>6.0566780000000001E-2</v>
      </c>
      <c r="N5393">
        <v>-1.3703069999999999E-2</v>
      </c>
      <c r="O5393">
        <v>-0.99807020000000002</v>
      </c>
      <c r="P5393">
        <v>0.2207337</v>
      </c>
      <c r="Q5393">
        <v>0.18586720000000001</v>
      </c>
      <c r="R5393">
        <v>-0.95746050000000005</v>
      </c>
      <c r="S5393">
        <v>1.062378</v>
      </c>
      <c r="T5393">
        <v>-0.19845950000000001</v>
      </c>
      <c r="U5393">
        <v>-2.9277950000000001</v>
      </c>
      <c r="V5393">
        <v>-0.16288639999999999</v>
      </c>
      <c r="W5393">
        <v>0.19867650000000001</v>
      </c>
      <c r="X5393">
        <v>0.96643449999999997</v>
      </c>
      <c r="Y5393">
        <v>-0.28295239999999999</v>
      </c>
      <c r="Z5393">
        <v>5.0495039999999998E-2</v>
      </c>
      <c r="AA5393">
        <v>0.95780379999999998</v>
      </c>
      <c r="AB5393">
        <v>22</v>
      </c>
      <c r="AC5393">
        <v>5.9373000000000502</v>
      </c>
      <c r="AD5393">
        <v>-1.111900983193</v>
      </c>
      <c r="AE5393">
        <v>-16.187919999999998</v>
      </c>
      <c r="AF5393">
        <v>-4.9253736308335201</v>
      </c>
      <c r="AG5393">
        <v>-1.111900983193</v>
      </c>
      <c r="AH5393">
        <v>16.449427677199399</v>
      </c>
      <c r="AI5393">
        <v>93.704993338316001</v>
      </c>
      <c r="AJ5393">
        <v>106.669026597517</v>
      </c>
      <c r="AK5393">
        <v>17.206954992303199</v>
      </c>
      <c r="AL5393">
        <v>78.540424824938</v>
      </c>
      <c r="AM5393">
        <v>99.5669270108733</v>
      </c>
      <c r="AN5393">
        <v>0.99999998687372904</v>
      </c>
    </row>
    <row r="5394" spans="1:40" x14ac:dyDescent="0.25">
      <c r="A5394" t="str">
        <f>"20190304155211152"</f>
        <v>20190304155211152</v>
      </c>
      <c r="B5394" t="str">
        <f>"1551685931142207"</f>
        <v>1551685931142207</v>
      </c>
      <c r="C5394" t="s">
        <v>40</v>
      </c>
      <c r="D5394">
        <v>4.7685199999999996</v>
      </c>
      <c r="E5394">
        <v>0.44813560000000002</v>
      </c>
      <c r="F5394" t="s">
        <v>77</v>
      </c>
      <c r="G5394">
        <v>-416.42939999999999</v>
      </c>
      <c r="H5394" s="1">
        <v>-5.2263329999999997E-6</v>
      </c>
      <c r="I5394">
        <v>32.128909999999998</v>
      </c>
      <c r="J5394">
        <v>-422.49209999999999</v>
      </c>
      <c r="K5394">
        <v>1.111923</v>
      </c>
      <c r="L5394">
        <v>48.513210000000001</v>
      </c>
      <c r="M5394">
        <v>6.2437680000000002E-2</v>
      </c>
      <c r="N5394">
        <v>-1.370206E-2</v>
      </c>
      <c r="O5394">
        <v>-0.99795480000000003</v>
      </c>
      <c r="P5394">
        <v>0.22307399999999999</v>
      </c>
      <c r="Q5394">
        <v>0.18735550000000001</v>
      </c>
      <c r="R5394">
        <v>-0.95662760000000002</v>
      </c>
      <c r="S5394">
        <v>1.070587</v>
      </c>
      <c r="T5394">
        <v>-0.1958445</v>
      </c>
      <c r="U5394">
        <v>-2.9245000000000001</v>
      </c>
      <c r="V5394">
        <v>-0.16346949999999999</v>
      </c>
      <c r="W5394">
        <v>0.20014970000000001</v>
      </c>
      <c r="X5394">
        <v>0.966032</v>
      </c>
      <c r="Y5394">
        <v>-0.2838888</v>
      </c>
      <c r="Z5394">
        <v>4.9678199999999999E-2</v>
      </c>
      <c r="AA5394">
        <v>0.95756940000000002</v>
      </c>
      <c r="AB5394">
        <v>22</v>
      </c>
      <c r="AC5394">
        <v>6.0627000000000004</v>
      </c>
      <c r="AD5394">
        <v>-1.1119282263329999</v>
      </c>
      <c r="AE5394">
        <v>-16.3843</v>
      </c>
      <c r="AF5394">
        <v>-5.00748935175426</v>
      </c>
      <c r="AG5394">
        <v>-1.1119282263329999</v>
      </c>
      <c r="AH5394">
        <v>16.663398350635401</v>
      </c>
      <c r="AI5394">
        <v>93.656550677700196</v>
      </c>
      <c r="AJ5394">
        <v>106.725958750427</v>
      </c>
      <c r="AK5394">
        <v>17.435027346706601</v>
      </c>
      <c r="AL5394">
        <v>78.454286813269405</v>
      </c>
      <c r="AM5394">
        <v>99.604463898827603</v>
      </c>
      <c r="AN5394">
        <v>1.00000000243217</v>
      </c>
    </row>
    <row r="5395" spans="1:40" x14ac:dyDescent="0.25">
      <c r="A5395" t="str">
        <f>"20190304155211175"</f>
        <v>20190304155211175</v>
      </c>
      <c r="B5395" t="str">
        <f>"1551685931172463"</f>
        <v>1551685931172463</v>
      </c>
      <c r="C5395" t="s">
        <v>40</v>
      </c>
      <c r="D5395">
        <v>4.7119730000000004</v>
      </c>
      <c r="E5395">
        <v>0.4477196</v>
      </c>
      <c r="F5395" t="s">
        <v>77</v>
      </c>
      <c r="G5395">
        <v>-416.14569999999998</v>
      </c>
      <c r="H5395" s="1">
        <v>-5.6660109999999997E-6</v>
      </c>
      <c r="I5395">
        <v>31.343399999999999</v>
      </c>
      <c r="J5395">
        <v>-422.47620000000001</v>
      </c>
      <c r="K5395">
        <v>1.1119600000000001</v>
      </c>
      <c r="L5395">
        <v>48.295810000000003</v>
      </c>
      <c r="M5395">
        <v>6.4333020000000005E-2</v>
      </c>
      <c r="N5395">
        <v>-1.3701069999999999E-2</v>
      </c>
      <c r="O5395">
        <v>-0.99783469999999996</v>
      </c>
      <c r="P5395">
        <v>0.22611690000000001</v>
      </c>
      <c r="Q5395">
        <v>0.18947430000000001</v>
      </c>
      <c r="R5395">
        <v>-0.95549519999999999</v>
      </c>
      <c r="S5395">
        <v>1.0797730000000001</v>
      </c>
      <c r="T5395">
        <v>-0.18918489999999999</v>
      </c>
      <c r="U5395">
        <v>-2.9212950000000002</v>
      </c>
      <c r="V5395">
        <v>-0.16475529999999999</v>
      </c>
      <c r="W5395">
        <v>0.20224739999999999</v>
      </c>
      <c r="X5395">
        <v>0.96537640000000002</v>
      </c>
      <c r="Y5395">
        <v>-0.28509770000000001</v>
      </c>
      <c r="Z5395">
        <v>4.7550849999999999E-2</v>
      </c>
      <c r="AA5395">
        <v>0.95731820000000001</v>
      </c>
      <c r="AB5395">
        <v>22</v>
      </c>
      <c r="AC5395">
        <v>6.3305000000000202</v>
      </c>
      <c r="AD5395">
        <v>-1.111965666011</v>
      </c>
      <c r="AE5395">
        <v>-16.952409999999901</v>
      </c>
      <c r="AF5395">
        <v>-5.2070206044415102</v>
      </c>
      <c r="AG5395">
        <v>-1.111965666011</v>
      </c>
      <c r="AH5395">
        <v>17.259414025418401</v>
      </c>
      <c r="AI5395">
        <v>93.529573132809801</v>
      </c>
      <c r="AJ5395">
        <v>106.78812275997799</v>
      </c>
      <c r="AK5395">
        <v>18.0620293355502</v>
      </c>
      <c r="AL5395">
        <v>78.331587764115994</v>
      </c>
      <c r="AM5395">
        <v>99.685034472575396</v>
      </c>
      <c r="AN5395">
        <v>0.99999995668090402</v>
      </c>
    </row>
    <row r="5396" spans="1:40" x14ac:dyDescent="0.25">
      <c r="A5396" t="str">
        <f>"20190304155211191"</f>
        <v>20190304155211191</v>
      </c>
      <c r="B5396" t="str">
        <f>"1551685931182223"</f>
        <v>1551685931182223</v>
      </c>
      <c r="C5396" t="s">
        <v>40</v>
      </c>
      <c r="D5396">
        <v>4.7123439999999999</v>
      </c>
      <c r="E5396">
        <v>0.44758189999999998</v>
      </c>
      <c r="F5396" t="s">
        <v>77</v>
      </c>
      <c r="G5396">
        <v>-415.71300000000002</v>
      </c>
      <c r="H5396" s="1">
        <v>-6.1536730000000004E-6</v>
      </c>
      <c r="I5396">
        <v>30.233440000000002</v>
      </c>
      <c r="J5396">
        <v>-422.46469999999999</v>
      </c>
      <c r="K5396">
        <v>1.111982</v>
      </c>
      <c r="L5396">
        <v>48.140839999999997</v>
      </c>
      <c r="M5396">
        <v>6.5715229999999999E-2</v>
      </c>
      <c r="N5396">
        <v>-1.370043E-2</v>
      </c>
      <c r="O5396">
        <v>-0.99774439999999998</v>
      </c>
      <c r="P5396">
        <v>0.22815849999999999</v>
      </c>
      <c r="Q5396">
        <v>0.1908041</v>
      </c>
      <c r="R5396">
        <v>-0.95474510000000001</v>
      </c>
      <c r="S5396">
        <v>1.0921940000000001</v>
      </c>
      <c r="T5396">
        <v>-0.17957190000000001</v>
      </c>
      <c r="U5396">
        <v>-2.9169010000000002</v>
      </c>
      <c r="V5396">
        <v>-0.16551389999999999</v>
      </c>
      <c r="W5396">
        <v>0.20356089999999999</v>
      </c>
      <c r="X5396">
        <v>0.96497049999999995</v>
      </c>
      <c r="Y5396">
        <v>-0.28787230000000003</v>
      </c>
      <c r="Z5396">
        <v>4.4469729999999999E-2</v>
      </c>
      <c r="AA5396">
        <v>0.95663580000000004</v>
      </c>
      <c r="AB5396">
        <v>22</v>
      </c>
      <c r="AC5396">
        <v>6.7516999999999703</v>
      </c>
      <c r="AD5396">
        <v>-1.1119881536730001</v>
      </c>
      <c r="AE5396">
        <v>-17.907399999999999</v>
      </c>
      <c r="AF5396">
        <v>-5.5414951578870397</v>
      </c>
      <c r="AG5396">
        <v>-1.1119881536730001</v>
      </c>
      <c r="AH5396">
        <v>18.250799744069901</v>
      </c>
      <c r="AI5396">
        <v>93.336569780016703</v>
      </c>
      <c r="AJ5396">
        <v>106.88987768833999</v>
      </c>
      <c r="AK5396">
        <v>19.105925194476601</v>
      </c>
      <c r="AL5396">
        <v>78.254731280145506</v>
      </c>
      <c r="AM5396">
        <v>99.732791970236306</v>
      </c>
      <c r="AN5396">
        <v>0.99999997848613398</v>
      </c>
    </row>
    <row r="5397" spans="1:40" x14ac:dyDescent="0.25">
      <c r="A5397" t="str">
        <f>"20190304155211204"</f>
        <v>20190304155211204</v>
      </c>
      <c r="B5397" t="str">
        <f>"1551685931202718"</f>
        <v>1551685931202718</v>
      </c>
      <c r="C5397" t="s">
        <v>40</v>
      </c>
      <c r="D5397">
        <v>4.5611889999999997</v>
      </c>
      <c r="E5397">
        <v>0.44738549999999999</v>
      </c>
      <c r="F5397" t="s">
        <v>77</v>
      </c>
      <c r="G5397">
        <v>-415.45960000000002</v>
      </c>
      <c r="H5397" s="1">
        <v>-8.8611340000000003E-6</v>
      </c>
      <c r="I5397">
        <v>29.574739999999998</v>
      </c>
      <c r="J5397">
        <v>-422.45400000000001</v>
      </c>
      <c r="K5397">
        <v>1.1120049999999999</v>
      </c>
      <c r="L5397">
        <v>48.000639999999997</v>
      </c>
      <c r="M5397">
        <v>6.699637E-2</v>
      </c>
      <c r="N5397">
        <v>-1.370003E-2</v>
      </c>
      <c r="O5397">
        <v>-0.99765930000000003</v>
      </c>
      <c r="P5397">
        <v>0.23008120000000001</v>
      </c>
      <c r="Q5397">
        <v>0.19193640000000001</v>
      </c>
      <c r="R5397">
        <v>-0.95405640000000003</v>
      </c>
      <c r="S5397">
        <v>1.0995790000000001</v>
      </c>
      <c r="T5397">
        <v>-0.17454839999999999</v>
      </c>
      <c r="U5397">
        <v>-2.914307</v>
      </c>
      <c r="V5397">
        <v>-0.1662506</v>
      </c>
      <c r="W5397">
        <v>0.20467650000000001</v>
      </c>
      <c r="X5397">
        <v>0.96460780000000002</v>
      </c>
      <c r="Y5397">
        <v>-0.28907339999999998</v>
      </c>
      <c r="Z5397">
        <v>4.2861320000000001E-2</v>
      </c>
      <c r="AA5397">
        <v>0.9563469</v>
      </c>
      <c r="AB5397">
        <v>22</v>
      </c>
      <c r="AC5397">
        <v>6.9943999999999802</v>
      </c>
      <c r="AD5397">
        <v>-1.11201386113399</v>
      </c>
      <c r="AE5397">
        <v>-18.425899999999999</v>
      </c>
      <c r="AF5397">
        <v>-5.7258698936333197</v>
      </c>
      <c r="AG5397">
        <v>-1.11201386113399</v>
      </c>
      <c r="AH5397">
        <v>18.793308552927101</v>
      </c>
      <c r="AI5397">
        <v>93.239594387643294</v>
      </c>
      <c r="AJ5397">
        <v>106.944719935932</v>
      </c>
      <c r="AK5397">
        <v>19.677667728460399</v>
      </c>
      <c r="AL5397">
        <v>78.1894373108465</v>
      </c>
      <c r="AM5397">
        <v>99.778883142602496</v>
      </c>
      <c r="AN5397">
        <v>0.999999969736724</v>
      </c>
    </row>
    <row r="5398" spans="1:40" x14ac:dyDescent="0.25">
      <c r="A5398" t="str">
        <f>"20190304155211220"</f>
        <v>20190304155211220</v>
      </c>
      <c r="B5398" t="str">
        <f>"1551685931212481"</f>
        <v>1551685931212481</v>
      </c>
      <c r="C5398" t="s">
        <v>40</v>
      </c>
      <c r="D5398">
        <v>4.6756140000000004</v>
      </c>
      <c r="E5398">
        <v>0.44729780000000002</v>
      </c>
      <c r="F5398" t="s">
        <v>77</v>
      </c>
      <c r="G5398">
        <v>-415.18450000000001</v>
      </c>
      <c r="H5398" s="1">
        <v>-8.8785490000000005E-6</v>
      </c>
      <c r="I5398">
        <v>28.871130000000001</v>
      </c>
      <c r="J5398">
        <v>-422.44229999999999</v>
      </c>
      <c r="K5398">
        <v>1.1120410000000001</v>
      </c>
      <c r="L5398">
        <v>47.8504</v>
      </c>
      <c r="M5398">
        <v>6.8413260000000004E-2</v>
      </c>
      <c r="N5398">
        <v>-1.3699889999999999E-2</v>
      </c>
      <c r="O5398">
        <v>-0.99756310000000004</v>
      </c>
      <c r="P5398">
        <v>0.233288</v>
      </c>
      <c r="Q5398">
        <v>0.19376009999999999</v>
      </c>
      <c r="R5398">
        <v>-0.95290859999999999</v>
      </c>
      <c r="S5398">
        <v>1.106476</v>
      </c>
      <c r="T5398">
        <v>-0.169258399999999</v>
      </c>
      <c r="U5398">
        <v>-2.9116819999999999</v>
      </c>
      <c r="V5398">
        <v>-0.16817570000000001</v>
      </c>
      <c r="W5398">
        <v>0.20647170000000001</v>
      </c>
      <c r="X5398">
        <v>0.96389130000000001</v>
      </c>
      <c r="Y5398">
        <v>-0.29000749999999997</v>
      </c>
      <c r="Z5398">
        <v>4.1169589999999999E-2</v>
      </c>
      <c r="AA5398">
        <v>0.95613840000000005</v>
      </c>
      <c r="AB5398">
        <v>22</v>
      </c>
      <c r="AC5398">
        <v>7.2577999999999703</v>
      </c>
      <c r="AD5398">
        <v>-1.1120498785490001</v>
      </c>
      <c r="AE5398">
        <v>-18.97927</v>
      </c>
      <c r="AF5398">
        <v>-5.9244921738337304</v>
      </c>
      <c r="AG5398">
        <v>-1.1120498785490001</v>
      </c>
      <c r="AH5398">
        <v>19.3733451116046</v>
      </c>
      <c r="AI5398">
        <v>93.141910337403203</v>
      </c>
      <c r="AJ5398">
        <v>107.00396539088</v>
      </c>
      <c r="AK5398">
        <v>20.289474198794199</v>
      </c>
      <c r="AL5398">
        <v>78.0843358596873</v>
      </c>
      <c r="AM5398">
        <v>99.897100612698296</v>
      </c>
      <c r="AN5398">
        <v>1.00000003359353</v>
      </c>
    </row>
    <row r="5399" spans="1:40" x14ac:dyDescent="0.25">
      <c r="A5399" t="str">
        <f>"20190304155211236"</f>
        <v>20190304155211236</v>
      </c>
      <c r="B5399" t="str">
        <f>"1551685931231999"</f>
        <v>1551685931231999</v>
      </c>
      <c r="C5399" t="s">
        <v>40</v>
      </c>
      <c r="D5399">
        <v>4.6667699999999996</v>
      </c>
      <c r="E5399">
        <v>0.44710260000000002</v>
      </c>
      <c r="F5399" t="s">
        <v>77</v>
      </c>
      <c r="G5399">
        <v>-414.8485</v>
      </c>
      <c r="H5399" s="1">
        <v>-8.9073050000000006E-6</v>
      </c>
      <c r="I5399">
        <v>28.07818</v>
      </c>
      <c r="J5399">
        <v>-422.42930000000001</v>
      </c>
      <c r="K5399">
        <v>1.112088</v>
      </c>
      <c r="L5399">
        <v>47.687620000000003</v>
      </c>
      <c r="M5399">
        <v>6.9998790000000005E-2</v>
      </c>
      <c r="N5399">
        <v>-1.370005E-2</v>
      </c>
      <c r="O5399">
        <v>-0.99745329999999999</v>
      </c>
      <c r="P5399">
        <v>0.23579369999999999</v>
      </c>
      <c r="Q5399">
        <v>0.19418560000000001</v>
      </c>
      <c r="R5399">
        <v>-0.95220479999999996</v>
      </c>
      <c r="S5399">
        <v>1.1168819999999999</v>
      </c>
      <c r="T5399">
        <v>-0.16355919999999999</v>
      </c>
      <c r="U5399">
        <v>-2.9080810000000001</v>
      </c>
      <c r="V5399">
        <v>-0.16921069999999999</v>
      </c>
      <c r="W5399">
        <v>0.206873</v>
      </c>
      <c r="X5399">
        <v>0.96362409999999998</v>
      </c>
      <c r="Y5399">
        <v>-0.29189340000000003</v>
      </c>
      <c r="Z5399">
        <v>3.9342160000000001E-2</v>
      </c>
      <c r="AA5399">
        <v>0.95564139999999997</v>
      </c>
      <c r="AB5399">
        <v>22</v>
      </c>
      <c r="AC5399">
        <v>7.5808000000000098</v>
      </c>
      <c r="AD5399">
        <v>-1.112096907305</v>
      </c>
      <c r="AE5399">
        <v>-19.609439999999999</v>
      </c>
      <c r="AF5399">
        <v>-6.1721655233378696</v>
      </c>
      <c r="AG5399">
        <v>-1.112096907305</v>
      </c>
      <c r="AH5399">
        <v>20.0359642294192</v>
      </c>
      <c r="AI5399">
        <v>93.036417249900893</v>
      </c>
      <c r="AJ5399">
        <v>107.12167542309901</v>
      </c>
      <c r="AK5399">
        <v>20.9945766659222</v>
      </c>
      <c r="AL5399">
        <v>78.0608359309105</v>
      </c>
      <c r="AM5399">
        <v>99.959500454537803</v>
      </c>
      <c r="AN5399">
        <v>1.00000005261214</v>
      </c>
    </row>
    <row r="5400" spans="1:40" x14ac:dyDescent="0.25">
      <c r="A5400" t="str">
        <f>"20190304155211253"</f>
        <v>20190304155211253</v>
      </c>
      <c r="B5400" t="str">
        <f>"1551685931242735"</f>
        <v>1551685931242735</v>
      </c>
      <c r="C5400" t="s">
        <v>40</v>
      </c>
      <c r="D5400">
        <v>4.7310860000000003</v>
      </c>
      <c r="E5400">
        <v>0.44705519999999999</v>
      </c>
      <c r="F5400" t="s">
        <v>77</v>
      </c>
      <c r="G5400">
        <v>-414.65440000000001</v>
      </c>
      <c r="H5400" s="1">
        <v>-8.9258330000000004E-6</v>
      </c>
      <c r="I5400">
        <v>27.637039999999999</v>
      </c>
      <c r="J5400">
        <v>-422.41590000000002</v>
      </c>
      <c r="K5400">
        <v>1.1121449999999999</v>
      </c>
      <c r="L5400">
        <v>47.522919999999999</v>
      </c>
      <c r="M5400">
        <v>7.166525E-2</v>
      </c>
      <c r="N5400">
        <v>-1.3700530000000001E-2</v>
      </c>
      <c r="O5400">
        <v>-0.99733470000000002</v>
      </c>
      <c r="P5400">
        <v>0.23957600000000001</v>
      </c>
      <c r="Q5400">
        <v>0.19536519999999999</v>
      </c>
      <c r="R5400">
        <v>-0.95101829999999998</v>
      </c>
      <c r="S5400">
        <v>1.126282</v>
      </c>
      <c r="T5400">
        <v>-0.1610992</v>
      </c>
      <c r="U5400">
        <v>-2.904541</v>
      </c>
      <c r="V5400">
        <v>-0.171484</v>
      </c>
      <c r="W5400">
        <v>0.2080148</v>
      </c>
      <c r="X5400">
        <v>0.96297619999999895</v>
      </c>
      <c r="Y5400">
        <v>-0.29338789999999998</v>
      </c>
      <c r="Z5400">
        <v>3.8562569999999997E-2</v>
      </c>
      <c r="AA5400">
        <v>0.95521540000000005</v>
      </c>
      <c r="AB5400">
        <v>22</v>
      </c>
      <c r="AC5400">
        <v>7.7615000000000096</v>
      </c>
      <c r="AD5400">
        <v>-1.112153925833</v>
      </c>
      <c r="AE5400">
        <v>-19.88588</v>
      </c>
      <c r="AF5400">
        <v>-6.29918117202046</v>
      </c>
      <c r="AG5400">
        <v>-1.112153925833</v>
      </c>
      <c r="AH5400">
        <v>20.3358227044688</v>
      </c>
      <c r="AI5400">
        <v>92.990444994439798</v>
      </c>
      <c r="AJ5400">
        <v>107.210778727178</v>
      </c>
      <c r="AK5400">
        <v>21.318120340693099</v>
      </c>
      <c r="AL5400">
        <v>77.993960723093096</v>
      </c>
      <c r="AM5400">
        <v>100.09722109105699</v>
      </c>
      <c r="AN5400">
        <v>1.0000000405207301</v>
      </c>
    </row>
    <row r="5401" spans="1:40" x14ac:dyDescent="0.25">
      <c r="A5401" t="str">
        <f>"20190304155211275"</f>
        <v>20190304155211275</v>
      </c>
      <c r="B5401" t="str">
        <f>"1551685931272015"</f>
        <v>1551685931272015</v>
      </c>
      <c r="C5401" t="s">
        <v>40</v>
      </c>
      <c r="D5401">
        <v>4.5643789999999997</v>
      </c>
      <c r="E5401">
        <v>0.44712030000000003</v>
      </c>
      <c r="F5401" t="s">
        <v>77</v>
      </c>
      <c r="G5401">
        <v>-414.35239999999999</v>
      </c>
      <c r="H5401" s="1">
        <v>-8.9581820000000008E-6</v>
      </c>
      <c r="I5401">
        <v>26.982250000000001</v>
      </c>
      <c r="J5401">
        <v>-422.39729999999997</v>
      </c>
      <c r="K5401">
        <v>1.1122320000000001</v>
      </c>
      <c r="L5401">
        <v>47.302149999999997</v>
      </c>
      <c r="M5401">
        <v>7.4011809999999997E-2</v>
      </c>
      <c r="N5401">
        <v>-1.370175E-2</v>
      </c>
      <c r="O5401">
        <v>-0.99716340000000003</v>
      </c>
      <c r="P5401">
        <v>0.24402450000000001</v>
      </c>
      <c r="Q5401">
        <v>0.19557530000000001</v>
      </c>
      <c r="R5401">
        <v>-0.94984360000000001</v>
      </c>
      <c r="S5401">
        <v>1.138428</v>
      </c>
      <c r="T5401">
        <v>-0.1570172</v>
      </c>
      <c r="U5401">
        <v>-2.899994</v>
      </c>
      <c r="V5401">
        <v>-0.1737756</v>
      </c>
      <c r="W5401">
        <v>0.208179</v>
      </c>
      <c r="X5401">
        <v>0.96252979999999999</v>
      </c>
      <c r="Y5401">
        <v>-0.29513420000000001</v>
      </c>
      <c r="Z5401">
        <v>3.7262450000000003E-2</v>
      </c>
      <c r="AA5401">
        <v>0.95472889999999999</v>
      </c>
      <c r="AB5401">
        <v>22</v>
      </c>
      <c r="AC5401">
        <v>8.0448999999999806</v>
      </c>
      <c r="AD5401">
        <v>-1.1122409581820001</v>
      </c>
      <c r="AE5401">
        <v>-20.319900000000001</v>
      </c>
      <c r="AF5401">
        <v>-6.5019374522730704</v>
      </c>
      <c r="AG5401">
        <v>-1.1122409581820001</v>
      </c>
      <c r="AH5401">
        <v>20.8057439395653</v>
      </c>
      <c r="AI5401">
        <v>92.920974512787296</v>
      </c>
      <c r="AJ5401">
        <v>107.354382072958</v>
      </c>
      <c r="AK5401">
        <v>21.826388878169698</v>
      </c>
      <c r="AL5401">
        <v>77.984342128902796</v>
      </c>
      <c r="AM5401">
        <v>100.233966720578</v>
      </c>
      <c r="AN5401">
        <v>1.0000000355421901</v>
      </c>
    </row>
    <row r="5402" spans="1:40" x14ac:dyDescent="0.25">
      <c r="A5402" t="str">
        <f>"20190304155211299"</f>
        <v>20190304155211299</v>
      </c>
      <c r="B5402" t="str">
        <f>"1551685931292510"</f>
        <v>1551685931292510</v>
      </c>
      <c r="C5402" t="s">
        <v>40</v>
      </c>
      <c r="D5402">
        <v>4.5631449999999996</v>
      </c>
      <c r="E5402">
        <v>0.42490539999999999</v>
      </c>
      <c r="F5402" t="s">
        <v>77</v>
      </c>
      <c r="G5402">
        <v>-414.31610000000001</v>
      </c>
      <c r="H5402" s="1">
        <v>-8.9707899999999999E-6</v>
      </c>
      <c r="I5402">
        <v>26.981010000000001</v>
      </c>
      <c r="J5402">
        <v>-422.3775</v>
      </c>
      <c r="K5402">
        <v>1.112317</v>
      </c>
      <c r="L5402">
        <v>47.074829999999999</v>
      </c>
      <c r="M5402">
        <v>7.6560600000000006E-2</v>
      </c>
      <c r="N5402">
        <v>-1.3703389999999999E-2</v>
      </c>
      <c r="O5402">
        <v>-0.99697089999999999</v>
      </c>
      <c r="P5402">
        <v>0.24864929999999999</v>
      </c>
      <c r="Q5402">
        <v>0.19590060000000001</v>
      </c>
      <c r="R5402">
        <v>-0.94857610000000003</v>
      </c>
      <c r="S5402">
        <v>1.151367</v>
      </c>
      <c r="T5402">
        <v>-0.15846540000000001</v>
      </c>
      <c r="U5402">
        <v>-2.8952330000000002</v>
      </c>
      <c r="V5402">
        <v>-0.17605879999999999</v>
      </c>
      <c r="W5402">
        <v>0.20845559999999999</v>
      </c>
      <c r="X5402">
        <v>0.96205479999999999</v>
      </c>
      <c r="Y5402">
        <v>-0.29690699999999998</v>
      </c>
      <c r="Z5402">
        <v>3.7745099999999997E-2</v>
      </c>
      <c r="AA5402">
        <v>0.95416009999999996</v>
      </c>
      <c r="AB5402">
        <v>22</v>
      </c>
      <c r="AC5402">
        <v>8.0613999999999901</v>
      </c>
      <c r="AD5402">
        <v>-1.11232597079</v>
      </c>
      <c r="AE5402">
        <v>-20.093820000000001</v>
      </c>
      <c r="AF5402">
        <v>-6.4820860279717696</v>
      </c>
      <c r="AG5402">
        <v>-1.11232597079</v>
      </c>
      <c r="AH5402">
        <v>20.597707585300601</v>
      </c>
      <c r="AI5402">
        <v>92.948806204136503</v>
      </c>
      <c r="AJ5402">
        <v>107.46875707860499</v>
      </c>
      <c r="AK5402">
        <v>21.622216956382399</v>
      </c>
      <c r="AL5402">
        <v>77.968137444613902</v>
      </c>
      <c r="AM5402">
        <v>100.370538896726</v>
      </c>
      <c r="AN5402">
        <v>0.99999993821591804</v>
      </c>
    </row>
    <row r="5403" spans="1:40" x14ac:dyDescent="0.25">
      <c r="A5403" t="str">
        <f>"20190304155211321"</f>
        <v>20190304155211321</v>
      </c>
      <c r="B5403" t="str">
        <f>"1551685931312030"</f>
        <v>1551685931312030</v>
      </c>
      <c r="C5403" t="s">
        <v>40</v>
      </c>
      <c r="D5403">
        <v>4.618023</v>
      </c>
      <c r="E5403">
        <v>0.42254510000000001</v>
      </c>
      <c r="F5403" t="s">
        <v>77</v>
      </c>
      <c r="G5403">
        <v>-404.70089999999999</v>
      </c>
      <c r="H5403">
        <v>4.8353210000000001E-2</v>
      </c>
      <c r="I5403">
        <v>9.6162360000000007</v>
      </c>
      <c r="J5403">
        <v>-422.35759999999999</v>
      </c>
      <c r="K5403">
        <v>1.1123970000000001</v>
      </c>
      <c r="L5403">
        <v>46.855260000000001</v>
      </c>
      <c r="M5403">
        <v>7.9155699999999996E-2</v>
      </c>
      <c r="N5403">
        <v>-1.3705169999999999E-2</v>
      </c>
      <c r="O5403">
        <v>-0.99676819999999999</v>
      </c>
      <c r="P5403">
        <v>0.25362400000000002</v>
      </c>
      <c r="Q5403">
        <v>0.19638929999999999</v>
      </c>
      <c r="R5403">
        <v>-0.94715700000000003</v>
      </c>
      <c r="S5403">
        <v>1.3351139999999999</v>
      </c>
      <c r="T5403">
        <v>-8.0361370000000001E-2</v>
      </c>
      <c r="U5403">
        <v>-2.8292540000000002</v>
      </c>
      <c r="V5403">
        <v>-0.1786596</v>
      </c>
      <c r="W5403">
        <v>0.20889489999999999</v>
      </c>
      <c r="X5403">
        <v>0.96148</v>
      </c>
      <c r="Y5403">
        <v>-0.35370960000000001</v>
      </c>
      <c r="Z5403">
        <v>1.250836E-2</v>
      </c>
      <c r="AA5403">
        <v>0.93527159999999998</v>
      </c>
      <c r="AB5403">
        <v>22</v>
      </c>
      <c r="AC5403">
        <v>17.656700000000001</v>
      </c>
      <c r="AD5403">
        <v>-1.0640437899999999</v>
      </c>
      <c r="AE5403">
        <v>-37.239023999999901</v>
      </c>
      <c r="AF5403">
        <v>-14.643568989614201</v>
      </c>
      <c r="AG5403">
        <v>-1.0640437899999999</v>
      </c>
      <c r="AH5403">
        <v>38.494255861221099</v>
      </c>
      <c r="AI5403">
        <v>91.479931619068395</v>
      </c>
      <c r="AJ5403">
        <v>110.82727521147901</v>
      </c>
      <c r="AK5403">
        <v>41.199199461273402</v>
      </c>
      <c r="AL5403">
        <v>77.942402319310503</v>
      </c>
      <c r="AM5403">
        <v>100.52648869650599</v>
      </c>
      <c r="AN5403">
        <v>1.00000006115908</v>
      </c>
    </row>
    <row r="5404" spans="1:40" x14ac:dyDescent="0.25">
      <c r="A5404" t="str">
        <f>"20190304155211343"</f>
        <v>20190304155211343</v>
      </c>
      <c r="B5404" t="str">
        <f>"1551685931332527"</f>
        <v>1551685931332527</v>
      </c>
      <c r="C5404" t="s">
        <v>40</v>
      </c>
      <c r="D5404">
        <v>4.62026</v>
      </c>
      <c r="E5404">
        <v>0.4230237</v>
      </c>
      <c r="F5404" t="s">
        <v>42</v>
      </c>
      <c r="G5404">
        <v>-398.57920000000001</v>
      </c>
      <c r="H5404">
        <v>-0.05</v>
      </c>
      <c r="I5404">
        <v>-2.0727540000000002</v>
      </c>
      <c r="J5404">
        <v>-422.33769999999998</v>
      </c>
      <c r="K5404">
        <v>1.112465</v>
      </c>
      <c r="L5404">
        <v>46.64255</v>
      </c>
      <c r="M5404">
        <v>8.180229E-2</v>
      </c>
      <c r="N5404">
        <v>-1.3707169999999999E-2</v>
      </c>
      <c r="O5404">
        <v>-0.99655439999999995</v>
      </c>
      <c r="P5404">
        <v>0.258044</v>
      </c>
      <c r="Q5404">
        <v>0.19648879999999999</v>
      </c>
      <c r="R5404">
        <v>-0.9459419</v>
      </c>
      <c r="S5404">
        <v>1.3680110000000001</v>
      </c>
      <c r="T5404">
        <v>-6.6874619999999996E-2</v>
      </c>
      <c r="U5404">
        <v>-2.8149109999999999</v>
      </c>
      <c r="V5404">
        <v>-0.1806412</v>
      </c>
      <c r="W5404">
        <v>0.20895079999999999</v>
      </c>
      <c r="X5404">
        <v>0.96109739999999999</v>
      </c>
      <c r="Y5404">
        <v>-0.3619598</v>
      </c>
      <c r="Z5404">
        <v>8.1687789999999993E-3</v>
      </c>
      <c r="AA5404">
        <v>0.93215789999999998</v>
      </c>
      <c r="AB5404">
        <v>22</v>
      </c>
      <c r="AC5404">
        <v>23.758499999999898</v>
      </c>
      <c r="AD5404">
        <v>-1.1624649999999901</v>
      </c>
      <c r="AE5404">
        <v>-48.715303999999897</v>
      </c>
      <c r="AF5404">
        <v>-19.684407859546599</v>
      </c>
      <c r="AG5404">
        <v>-1.1624649999999901</v>
      </c>
      <c r="AH5404">
        <v>50.472472370829003</v>
      </c>
      <c r="AI5404">
        <v>91.229237476622103</v>
      </c>
      <c r="AJ5404">
        <v>111.30592514424301</v>
      </c>
      <c r="AK5404">
        <v>54.187615788861798</v>
      </c>
      <c r="AL5404">
        <v>77.939125802451102</v>
      </c>
      <c r="AM5404">
        <v>100.64473019193299</v>
      </c>
      <c r="AN5404">
        <v>0.99999994612241805</v>
      </c>
    </row>
    <row r="5405" spans="1:40" x14ac:dyDescent="0.25">
      <c r="A5405" t="str">
        <f>"20190304155211365"</f>
        <v>20190304155211365</v>
      </c>
      <c r="B5405" t="str">
        <f>"1551685931362785"</f>
        <v>1551685931362785</v>
      </c>
      <c r="C5405" t="s">
        <v>40</v>
      </c>
      <c r="D5405">
        <v>4.606865</v>
      </c>
      <c r="E5405">
        <v>0.42362889999999997</v>
      </c>
      <c r="F5405" t="s">
        <v>77</v>
      </c>
      <c r="G5405">
        <v>-402.00700000000001</v>
      </c>
      <c r="H5405">
        <v>7.9987000000000003E-2</v>
      </c>
      <c r="I5405">
        <v>5.1645699999999897</v>
      </c>
      <c r="J5405">
        <v>-422.31659999999999</v>
      </c>
      <c r="K5405">
        <v>1.1125350000000001</v>
      </c>
      <c r="L5405">
        <v>46.42557</v>
      </c>
      <c r="M5405">
        <v>8.4634329999999994E-2</v>
      </c>
      <c r="N5405">
        <v>-1.370967E-2</v>
      </c>
      <c r="O5405">
        <v>-0.99631789999999998</v>
      </c>
      <c r="P5405">
        <v>0.2629707</v>
      </c>
      <c r="Q5405">
        <v>0.19616549999999999</v>
      </c>
      <c r="R5405">
        <v>-0.94465109999999997</v>
      </c>
      <c r="S5405">
        <v>1.3774409999999999</v>
      </c>
      <c r="T5405">
        <v>-6.995237E-2</v>
      </c>
      <c r="U5405">
        <v>-2.8102109999999998</v>
      </c>
      <c r="V5405">
        <v>-0.18295549999999999</v>
      </c>
      <c r="W5405">
        <v>0.20858289999999999</v>
      </c>
      <c r="X5405">
        <v>0.96073960000000003</v>
      </c>
      <c r="Y5405">
        <v>-0.36244209999999999</v>
      </c>
      <c r="Z5405">
        <v>9.17953E-3</v>
      </c>
      <c r="AA5405">
        <v>0.93196109999999999</v>
      </c>
      <c r="AB5405">
        <v>22</v>
      </c>
      <c r="AC5405">
        <v>20.3096</v>
      </c>
      <c r="AD5405">
        <v>-1.032548</v>
      </c>
      <c r="AE5405">
        <v>-41.261000000000003</v>
      </c>
      <c r="AF5405">
        <v>-16.735855608812901</v>
      </c>
      <c r="AG5405">
        <v>-1.032548</v>
      </c>
      <c r="AH5405">
        <v>42.810400730825002</v>
      </c>
      <c r="AI5405">
        <v>91.286852210958003</v>
      </c>
      <c r="AJ5405">
        <v>111.352002784348</v>
      </c>
      <c r="AK5405">
        <v>45.977009788210097</v>
      </c>
      <c r="AL5405">
        <v>77.960681247655899</v>
      </c>
      <c r="AM5405">
        <v>100.781850910263</v>
      </c>
      <c r="AN5405">
        <v>1.0000000600804</v>
      </c>
    </row>
    <row r="5406" spans="1:40" x14ac:dyDescent="0.25">
      <c r="A5406" t="str">
        <f>"20190304155211389"</f>
        <v>20190304155211389</v>
      </c>
      <c r="B5406" t="str">
        <f>"1551685931382303"</f>
        <v>1551685931382303</v>
      </c>
      <c r="C5406" t="s">
        <v>40</v>
      </c>
      <c r="D5406">
        <v>4.6238519999999896</v>
      </c>
      <c r="E5406">
        <v>0.42414109999999999</v>
      </c>
      <c r="F5406" t="s">
        <v>77</v>
      </c>
      <c r="G5406">
        <v>-403.15839999999997</v>
      </c>
      <c r="H5406">
        <v>7.998682E-2</v>
      </c>
      <c r="I5406">
        <v>7.6932929999999997</v>
      </c>
      <c r="J5406">
        <v>-422.29430000000002</v>
      </c>
      <c r="K5406">
        <v>1.1126069999999999</v>
      </c>
      <c r="L5406">
        <v>46.203580000000002</v>
      </c>
      <c r="M5406">
        <v>8.7662279999999995E-2</v>
      </c>
      <c r="N5406">
        <v>-1.371256E-2</v>
      </c>
      <c r="O5406">
        <v>-0.99605600000000005</v>
      </c>
      <c r="P5406">
        <v>0.2680459</v>
      </c>
      <c r="Q5406">
        <v>0.1953444</v>
      </c>
      <c r="R5406">
        <v>-0.94339419999999996</v>
      </c>
      <c r="S5406">
        <v>1.3874820000000001</v>
      </c>
      <c r="T5406">
        <v>-7.477963E-2</v>
      </c>
      <c r="U5406">
        <v>-2.8050839999999999</v>
      </c>
      <c r="V5406">
        <v>-0.18522640000000001</v>
      </c>
      <c r="W5406">
        <v>0.20771770000000001</v>
      </c>
      <c r="X5406">
        <v>0.96049180000000001</v>
      </c>
      <c r="Y5406">
        <v>-0.36295539999999998</v>
      </c>
      <c r="Z5406">
        <v>1.0758119999999999E-2</v>
      </c>
      <c r="AA5406">
        <v>0.93174440000000003</v>
      </c>
      <c r="AB5406">
        <v>22</v>
      </c>
      <c r="AC5406">
        <v>19.135899999999999</v>
      </c>
      <c r="AD5406">
        <v>-1.0326201800000001</v>
      </c>
      <c r="AE5406">
        <v>-38.510286999999998</v>
      </c>
      <c r="AF5406">
        <v>-15.6769615074359</v>
      </c>
      <c r="AG5406">
        <v>-1.0326201800000001</v>
      </c>
      <c r="AH5406">
        <v>40.016583884713398</v>
      </c>
      <c r="AI5406">
        <v>91.376369939583597</v>
      </c>
      <c r="AJ5406">
        <v>111.39333924773599</v>
      </c>
      <c r="AK5406">
        <v>42.990236244339002</v>
      </c>
      <c r="AL5406">
        <v>78.011362684945396</v>
      </c>
      <c r="AM5406">
        <v>100.915232282388</v>
      </c>
      <c r="AN5406">
        <v>0.99999998000874402</v>
      </c>
    </row>
    <row r="5407" spans="1:40" x14ac:dyDescent="0.25">
      <c r="A5407" t="str">
        <f>"20190304155211411"</f>
        <v>20190304155211411</v>
      </c>
      <c r="B5407" t="str">
        <f>"1551685931402799"</f>
        <v>1551685931402799</v>
      </c>
      <c r="C5407" t="s">
        <v>40</v>
      </c>
      <c r="D5407">
        <v>4.6286160000000001</v>
      </c>
      <c r="E5407">
        <v>0.42454520000000001</v>
      </c>
      <c r="F5407" t="s">
        <v>77</v>
      </c>
      <c r="G5407">
        <v>-404.01889999999997</v>
      </c>
      <c r="H5407">
        <v>5.6547649999999998E-2</v>
      </c>
      <c r="I5407">
        <v>9.6096710000000005</v>
      </c>
      <c r="J5407">
        <v>-422.27179999999998</v>
      </c>
      <c r="K5407">
        <v>1.112668</v>
      </c>
      <c r="L5407">
        <v>45.988430000000001</v>
      </c>
      <c r="M5407">
        <v>9.0713310000000005E-2</v>
      </c>
      <c r="N5407">
        <v>-1.3715450000000001E-2</v>
      </c>
      <c r="O5407">
        <v>-0.99578270000000002</v>
      </c>
      <c r="P5407">
        <v>0.27285609999999999</v>
      </c>
      <c r="Q5407">
        <v>0.1944893</v>
      </c>
      <c r="R5407">
        <v>-0.94219070000000005</v>
      </c>
      <c r="S5407">
        <v>1.398102</v>
      </c>
      <c r="T5407">
        <v>-8.0790399999999998E-2</v>
      </c>
      <c r="U5407">
        <v>-2.7995000000000001</v>
      </c>
      <c r="V5407">
        <v>-0.1872038</v>
      </c>
      <c r="W5407">
        <v>0.20682400000000001</v>
      </c>
      <c r="X5407">
        <v>0.96030130000000002</v>
      </c>
      <c r="Y5407">
        <v>-0.36365760000000003</v>
      </c>
      <c r="Z5407">
        <v>1.2721990000000001E-2</v>
      </c>
      <c r="AA5407">
        <v>0.93144579999999999</v>
      </c>
      <c r="AB5407">
        <v>22</v>
      </c>
      <c r="AC5407">
        <v>18.2529</v>
      </c>
      <c r="AD5407">
        <v>-1.05612035</v>
      </c>
      <c r="AE5407">
        <v>-36.378759000000002</v>
      </c>
      <c r="AF5407">
        <v>-14.867272008369699</v>
      </c>
      <c r="AG5407">
        <v>-1.05612035</v>
      </c>
      <c r="AH5407">
        <v>37.859188559902996</v>
      </c>
      <c r="AI5407">
        <v>91.487387936552395</v>
      </c>
      <c r="AJ5407">
        <v>111.43989499525</v>
      </c>
      <c r="AK5407">
        <v>40.687459070072599</v>
      </c>
      <c r="AL5407">
        <v>78.063704946452901</v>
      </c>
      <c r="AM5407">
        <v>101.0310503109</v>
      </c>
      <c r="AN5407">
        <v>1.0000000082460601</v>
      </c>
    </row>
    <row r="5408" spans="1:40" x14ac:dyDescent="0.25">
      <c r="A5408" t="str">
        <f>"20190304155211433"</f>
        <v>20190304155211433</v>
      </c>
      <c r="B5408" t="str">
        <f>"1551685931422320"</f>
        <v>1551685931422320</v>
      </c>
      <c r="C5408" t="s">
        <v>40</v>
      </c>
      <c r="D5408">
        <v>5.0086729999999999</v>
      </c>
      <c r="E5408">
        <v>0.4246587</v>
      </c>
      <c r="F5408" t="s">
        <v>77</v>
      </c>
      <c r="G5408">
        <v>-404.05059999999997</v>
      </c>
      <c r="H5408" s="1">
        <v>-4.7350429999999997E-6</v>
      </c>
      <c r="I5408">
        <v>9.8553350000000002</v>
      </c>
      <c r="J5408">
        <v>-422.24779999999998</v>
      </c>
      <c r="K5408">
        <v>1.112727</v>
      </c>
      <c r="L5408">
        <v>45.76614</v>
      </c>
      <c r="M5408">
        <v>9.3951889999999996E-2</v>
      </c>
      <c r="N5408">
        <v>-1.371792E-2</v>
      </c>
      <c r="O5408">
        <v>-0.99548239999999999</v>
      </c>
      <c r="P5408">
        <v>0.2781439</v>
      </c>
      <c r="Q5408">
        <v>0.19373280000000001</v>
      </c>
      <c r="R5408">
        <v>-0.94079939999999995</v>
      </c>
      <c r="S5408">
        <v>1.4088750000000001</v>
      </c>
      <c r="T5408">
        <v>-8.6032269999999994E-2</v>
      </c>
      <c r="U5408">
        <v>-2.7938230000000002</v>
      </c>
      <c r="V5408">
        <v>-0.18948899999999999</v>
      </c>
      <c r="W5408">
        <v>0.20603079999999999</v>
      </c>
      <c r="X5408">
        <v>0.96002359999999998</v>
      </c>
      <c r="Y5408">
        <v>-0.36423699999999998</v>
      </c>
      <c r="Z5408">
        <v>1.4439499999999999E-2</v>
      </c>
      <c r="AA5408">
        <v>0.93119439999999998</v>
      </c>
      <c r="AB5408">
        <v>22</v>
      </c>
      <c r="AC5408">
        <v>18.197199999999999</v>
      </c>
      <c r="AD5408">
        <v>-1.1127317350429999</v>
      </c>
      <c r="AE5408">
        <v>-35.910805000000003</v>
      </c>
      <c r="AF5408">
        <v>-14.7312348539889</v>
      </c>
      <c r="AG5408">
        <v>-1.1127317350429999</v>
      </c>
      <c r="AH5408">
        <v>37.433156616804197</v>
      </c>
      <c r="AI5408">
        <v>91.584453525851501</v>
      </c>
      <c r="AJ5408">
        <v>111.48134442961501</v>
      </c>
      <c r="AK5408">
        <v>40.242871002647597</v>
      </c>
      <c r="AL5408">
        <v>78.110152756190502</v>
      </c>
      <c r="AM5408">
        <v>101.165492407809</v>
      </c>
      <c r="AN5408">
        <v>1.00000004211329</v>
      </c>
    </row>
    <row r="5409" spans="1:40" x14ac:dyDescent="0.25">
      <c r="A5409" t="str">
        <f>"20190304155211454"</f>
        <v>20190304155211454</v>
      </c>
      <c r="B5409" t="str">
        <f>"1551685931452576"</f>
        <v>1551685931452576</v>
      </c>
      <c r="C5409" t="s">
        <v>40</v>
      </c>
      <c r="D5409">
        <v>4.6106790000000002</v>
      </c>
      <c r="E5409">
        <v>0.42518470000000003</v>
      </c>
      <c r="F5409" t="s">
        <v>77</v>
      </c>
      <c r="G5409">
        <v>-404.55799999999999</v>
      </c>
      <c r="H5409" s="1">
        <v>-4.7250709999999997E-6</v>
      </c>
      <c r="I5409">
        <v>11.12701</v>
      </c>
      <c r="J5409">
        <v>-422.22489999999999</v>
      </c>
      <c r="K5409">
        <v>1.1127629999999999</v>
      </c>
      <c r="L5409">
        <v>45.561920000000001</v>
      </c>
      <c r="M5409">
        <v>9.6994540000000004E-2</v>
      </c>
      <c r="N5409">
        <v>-1.3719520000000001E-2</v>
      </c>
      <c r="O5409">
        <v>-0.99519029999999997</v>
      </c>
      <c r="P5409">
        <v>0.28311619999999998</v>
      </c>
      <c r="Q5409">
        <v>0.1939729</v>
      </c>
      <c r="R5409">
        <v>-0.93926569999999998</v>
      </c>
      <c r="S5409">
        <v>1.423035</v>
      </c>
      <c r="T5409">
        <v>-8.9512229999999998E-2</v>
      </c>
      <c r="U5409">
        <v>-2.7864990000000001</v>
      </c>
      <c r="V5409">
        <v>-0.1916621</v>
      </c>
      <c r="W5409">
        <v>0.20623839999999999</v>
      </c>
      <c r="X5409">
        <v>0.9595475</v>
      </c>
      <c r="Y5409">
        <v>-0.36612289999999997</v>
      </c>
      <c r="Z5409">
        <v>1.558931E-2</v>
      </c>
      <c r="AA5409">
        <v>0.93043589999999998</v>
      </c>
      <c r="AB5409">
        <v>22</v>
      </c>
      <c r="AC5409">
        <v>17.666899999999899</v>
      </c>
      <c r="AD5409">
        <v>-1.112767725071</v>
      </c>
      <c r="AE5409">
        <v>-34.434909999999903</v>
      </c>
      <c r="AF5409">
        <v>-14.2315057719896</v>
      </c>
      <c r="AG5409">
        <v>-1.112767725071</v>
      </c>
      <c r="AH5409">
        <v>35.956545847036999</v>
      </c>
      <c r="AI5409">
        <v>91.648266145664095</v>
      </c>
      <c r="AJ5409">
        <v>111.593528300247</v>
      </c>
      <c r="AK5409">
        <v>38.686524757313201</v>
      </c>
      <c r="AL5409">
        <v>78.097996844424799</v>
      </c>
      <c r="AM5409">
        <v>101.295727382528</v>
      </c>
      <c r="AN5409">
        <v>1.0000000214836</v>
      </c>
    </row>
    <row r="5410" spans="1:40" x14ac:dyDescent="0.25">
      <c r="A5410" t="str">
        <f>"20190304155211477"</f>
        <v>20190304155211477</v>
      </c>
      <c r="B5410" t="str">
        <f>"1551685931472096"</f>
        <v>1551685931472096</v>
      </c>
      <c r="C5410" t="s">
        <v>40</v>
      </c>
      <c r="D5410">
        <v>4.5016759999999998</v>
      </c>
      <c r="E5410">
        <v>0.42541410000000002</v>
      </c>
      <c r="F5410" t="s">
        <v>77</v>
      </c>
      <c r="G5410">
        <v>-404.92829999999998</v>
      </c>
      <c r="H5410" s="1">
        <v>-4.7065310000000004E-6</v>
      </c>
      <c r="I5410">
        <v>11.991860000000001</v>
      </c>
      <c r="J5410">
        <v>-422.19970000000001</v>
      </c>
      <c r="K5410">
        <v>1.112795</v>
      </c>
      <c r="L5410">
        <v>45.343049999999998</v>
      </c>
      <c r="M5410">
        <v>0.1003193</v>
      </c>
      <c r="N5410">
        <v>-1.372076E-2</v>
      </c>
      <c r="O5410">
        <v>-0.99486079999999999</v>
      </c>
      <c r="P5410">
        <v>0.28814260000000003</v>
      </c>
      <c r="Q5410">
        <v>0.194379</v>
      </c>
      <c r="R5410">
        <v>-0.93765160000000003</v>
      </c>
      <c r="S5410">
        <v>1.4329529999999999</v>
      </c>
      <c r="T5410">
        <v>-9.2187759999999994E-2</v>
      </c>
      <c r="U5410">
        <v>-2.7811279999999998</v>
      </c>
      <c r="V5410">
        <v>-0.1936243</v>
      </c>
      <c r="W5410">
        <v>0.2066173</v>
      </c>
      <c r="X5410">
        <v>0.95907189999999998</v>
      </c>
      <c r="Y5410">
        <v>-0.36635849999999998</v>
      </c>
      <c r="Z5410">
        <v>1.6479130000000002E-2</v>
      </c>
      <c r="AA5410">
        <v>0.93032780000000004</v>
      </c>
      <c r="AB5410">
        <v>22</v>
      </c>
      <c r="AC5410">
        <v>17.2714</v>
      </c>
      <c r="AD5410">
        <v>-1.112799706531</v>
      </c>
      <c r="AE5410">
        <v>-33.351189999999903</v>
      </c>
      <c r="AF5410">
        <v>-13.8260343884508</v>
      </c>
      <c r="AG5410">
        <v>-1.112799706531</v>
      </c>
      <c r="AH5410">
        <v>34.885104507957898</v>
      </c>
      <c r="AI5410">
        <v>91.698599686960307</v>
      </c>
      <c r="AJ5410">
        <v>111.619938101082</v>
      </c>
      <c r="AK5410">
        <v>37.541551201683603</v>
      </c>
      <c r="AL5410">
        <v>78.075809266090801</v>
      </c>
      <c r="AM5410">
        <v>101.413862119493</v>
      </c>
      <c r="AN5410">
        <v>0.99999999378969495</v>
      </c>
    </row>
    <row r="5411" spans="1:40" x14ac:dyDescent="0.25">
      <c r="A5411" t="str">
        <f>"20190304155211493"</f>
        <v>20190304155211493</v>
      </c>
      <c r="B5411" t="str">
        <f>"1551685931481856"</f>
        <v>1551685931481856</v>
      </c>
      <c r="C5411" t="s">
        <v>40</v>
      </c>
      <c r="D5411">
        <v>4.6165500000000002</v>
      </c>
      <c r="E5411">
        <v>0.42568739999999999</v>
      </c>
      <c r="F5411" t="s">
        <v>77</v>
      </c>
      <c r="G5411">
        <v>-404.95429999999999</v>
      </c>
      <c r="H5411" s="1">
        <v>-4.7364089999999997E-6</v>
      </c>
      <c r="I5411">
        <v>12.22786</v>
      </c>
      <c r="J5411">
        <v>-422.18200000000002</v>
      </c>
      <c r="K5411">
        <v>1.1128089999999999</v>
      </c>
      <c r="L5411">
        <v>45.193080000000002</v>
      </c>
      <c r="M5411">
        <v>0.10262739999999999</v>
      </c>
      <c r="N5411">
        <v>-1.3721499999999999E-2</v>
      </c>
      <c r="O5411">
        <v>-0.99462530000000005</v>
      </c>
      <c r="P5411">
        <v>0.29151339999999998</v>
      </c>
      <c r="Q5411">
        <v>0.19460050000000001</v>
      </c>
      <c r="R5411">
        <v>-0.93656309999999998</v>
      </c>
      <c r="S5411">
        <v>1.4450069999999999</v>
      </c>
      <c r="T5411">
        <v>-9.3242409999999998E-2</v>
      </c>
      <c r="U5411">
        <v>-2.77475</v>
      </c>
      <c r="V5411">
        <v>-0.1948645</v>
      </c>
      <c r="W5411">
        <v>0.20682349999999999</v>
      </c>
      <c r="X5411">
        <v>0.95877619999999997</v>
      </c>
      <c r="Y5411">
        <v>-0.36825000000000002</v>
      </c>
      <c r="Z5411">
        <v>1.6841020000000002E-2</v>
      </c>
      <c r="AA5411">
        <v>0.92957429999999996</v>
      </c>
      <c r="AB5411">
        <v>22</v>
      </c>
      <c r="AC5411">
        <v>17.227699999999899</v>
      </c>
      <c r="AD5411">
        <v>-1.1128137364089901</v>
      </c>
      <c r="AE5411">
        <v>-32.965220000000002</v>
      </c>
      <c r="AF5411">
        <v>-13.7409658383903</v>
      </c>
      <c r="AG5411">
        <v>-1.1128137364089901</v>
      </c>
      <c r="AH5411">
        <v>34.52842086295</v>
      </c>
      <c r="AI5411">
        <v>91.715198647238495</v>
      </c>
      <c r="AJ5411">
        <v>111.700627930401</v>
      </c>
      <c r="AK5411">
        <v>37.178815794384199</v>
      </c>
      <c r="AL5411">
        <v>78.0637337351383</v>
      </c>
      <c r="AM5411">
        <v>101.48848126823999</v>
      </c>
      <c r="AN5411">
        <v>0.99999996759946896</v>
      </c>
    </row>
    <row r="5412" spans="1:40" x14ac:dyDescent="0.25">
      <c r="A5412" t="str">
        <f>"20190304155211511"</f>
        <v>20190304155211511</v>
      </c>
      <c r="B5412" t="str">
        <f>"1551685931502351"</f>
        <v>1551685931502351</v>
      </c>
      <c r="C5412" t="s">
        <v>40</v>
      </c>
      <c r="D5412">
        <v>4.6152389999999999</v>
      </c>
      <c r="E5412">
        <v>0.4260582</v>
      </c>
      <c r="F5412" t="s">
        <v>77</v>
      </c>
      <c r="G5412">
        <v>-405.04649999999998</v>
      </c>
      <c r="H5412" s="1">
        <v>-4.7409190000000001E-6</v>
      </c>
      <c r="I5412">
        <v>12.51313</v>
      </c>
      <c r="J5412">
        <v>-422.16050000000001</v>
      </c>
      <c r="K5412">
        <v>1.112819</v>
      </c>
      <c r="L5412">
        <v>45.015230000000003</v>
      </c>
      <c r="M5412">
        <v>0.1053915</v>
      </c>
      <c r="N5412">
        <v>-1.372231E-2</v>
      </c>
      <c r="O5412">
        <v>-0.99433640000000001</v>
      </c>
      <c r="P5412">
        <v>0.29682839999999999</v>
      </c>
      <c r="Q5412">
        <v>0.19368469999999999</v>
      </c>
      <c r="R5412">
        <v>-0.93508259999999999</v>
      </c>
      <c r="S5412">
        <v>1.4527589999999999</v>
      </c>
      <c r="T5412">
        <v>-9.4345090000000006E-2</v>
      </c>
      <c r="U5412">
        <v>-2.7706300000000001</v>
      </c>
      <c r="V5412">
        <v>-0.197634</v>
      </c>
      <c r="W5412">
        <v>0.20588380000000001</v>
      </c>
      <c r="X5412">
        <v>0.95841149999999997</v>
      </c>
      <c r="Y5412">
        <v>-0.3682706</v>
      </c>
      <c r="Z5412">
        <v>1.7216430000000001E-2</v>
      </c>
      <c r="AA5412">
        <v>0.92955920000000003</v>
      </c>
      <c r="AB5412">
        <v>22</v>
      </c>
      <c r="AC5412">
        <v>17.114000000000001</v>
      </c>
      <c r="AD5412">
        <v>-1.112823740919</v>
      </c>
      <c r="AE5412">
        <v>-32.502099999999999</v>
      </c>
      <c r="AF5412">
        <v>-13.5804399628892</v>
      </c>
      <c r="AG5412">
        <v>-1.112823740919</v>
      </c>
      <c r="AH5412">
        <v>34.093603550784799</v>
      </c>
      <c r="AI5412">
        <v>91.7368569722247</v>
      </c>
      <c r="AJ5412">
        <v>111.71878137096</v>
      </c>
      <c r="AK5412">
        <v>36.715671440708803</v>
      </c>
      <c r="AL5412">
        <v>78.118758894237203</v>
      </c>
      <c r="AM5412">
        <v>101.651640220771</v>
      </c>
      <c r="AN5412">
        <v>0.99999997019534403</v>
      </c>
    </row>
    <row r="5413" spans="1:40" x14ac:dyDescent="0.25">
      <c r="A5413" t="str">
        <f>"20190304155211533"</f>
        <v>20190304155211533</v>
      </c>
      <c r="B5413" t="str">
        <f>"1551685931521871"</f>
        <v>1551685931521871</v>
      </c>
      <c r="C5413" t="s">
        <v>40</v>
      </c>
      <c r="D5413">
        <v>4.6834259999999999</v>
      </c>
      <c r="E5413">
        <v>0.4263999</v>
      </c>
      <c r="F5413" t="s">
        <v>77</v>
      </c>
      <c r="G5413">
        <v>-405.7679</v>
      </c>
      <c r="H5413" s="1">
        <v>-4.6598870000000003E-6</v>
      </c>
      <c r="I5413">
        <v>14.097239999999999</v>
      </c>
      <c r="J5413">
        <v>-422.1336</v>
      </c>
      <c r="K5413">
        <v>1.112827</v>
      </c>
      <c r="L5413">
        <v>44.799219999999998</v>
      </c>
      <c r="M5413">
        <v>0.10877870000000001</v>
      </c>
      <c r="N5413">
        <v>-1.3722959999999999E-2</v>
      </c>
      <c r="O5413">
        <v>-0.9939713</v>
      </c>
      <c r="P5413">
        <v>0.30235390000000001</v>
      </c>
      <c r="Q5413">
        <v>0.19311619999999999</v>
      </c>
      <c r="R5413">
        <v>-0.93342860000000005</v>
      </c>
      <c r="S5413">
        <v>1.4653020000000001</v>
      </c>
      <c r="T5413">
        <v>-9.9473240000000004E-2</v>
      </c>
      <c r="U5413">
        <v>-2.7637019999999999</v>
      </c>
      <c r="V5413">
        <v>-0.20003280000000001</v>
      </c>
      <c r="W5413">
        <v>0.20529349999999999</v>
      </c>
      <c r="X5413">
        <v>0.95804040000000001</v>
      </c>
      <c r="Y5413">
        <v>-0.36934139999999999</v>
      </c>
      <c r="Z5413">
        <v>1.8905720000000001E-2</v>
      </c>
      <c r="AA5413">
        <v>0.92910150000000002</v>
      </c>
      <c r="AB5413">
        <v>22</v>
      </c>
      <c r="AC5413">
        <v>16.3657</v>
      </c>
      <c r="AD5413">
        <v>-1.1128316598870001</v>
      </c>
      <c r="AE5413">
        <v>-30.701979999999999</v>
      </c>
      <c r="AF5413">
        <v>-12.915318078208699</v>
      </c>
      <c r="AG5413">
        <v>-1.1128316598870001</v>
      </c>
      <c r="AH5413">
        <v>32.267154794351299</v>
      </c>
      <c r="AI5413">
        <v>91.833896568937803</v>
      </c>
      <c r="AJ5413">
        <v>111.81435257526201</v>
      </c>
      <c r="AK5413">
        <v>34.773741729747499</v>
      </c>
      <c r="AL5413">
        <v>78.153318906315704</v>
      </c>
      <c r="AM5413">
        <v>101.793566465837</v>
      </c>
      <c r="AN5413">
        <v>0.99999997512512395</v>
      </c>
    </row>
    <row r="5414" spans="1:40" x14ac:dyDescent="0.25">
      <c r="A5414" t="str">
        <f>"20190304155211549"</f>
        <v>20190304155211549</v>
      </c>
      <c r="B5414" t="str">
        <f>"1551685931542367"</f>
        <v>1551685931542367</v>
      </c>
      <c r="C5414" t="s">
        <v>40</v>
      </c>
      <c r="D5414">
        <v>4.7600040000000003</v>
      </c>
      <c r="E5414">
        <v>0.4265523</v>
      </c>
      <c r="F5414" t="s">
        <v>77</v>
      </c>
      <c r="G5414">
        <v>-406.21809999999999</v>
      </c>
      <c r="H5414" s="1">
        <v>-4.6177519999999996E-6</v>
      </c>
      <c r="I5414">
        <v>15.133089999999999</v>
      </c>
      <c r="J5414">
        <v>-422.11470000000003</v>
      </c>
      <c r="K5414">
        <v>1.1128279999999999</v>
      </c>
      <c r="L5414">
        <v>44.65137</v>
      </c>
      <c r="M5414">
        <v>0.1111101</v>
      </c>
      <c r="N5414">
        <v>-1.372315E-2</v>
      </c>
      <c r="O5414">
        <v>-0.99371359999999997</v>
      </c>
      <c r="P5414">
        <v>0.30597269999999999</v>
      </c>
      <c r="Q5414">
        <v>0.1925422</v>
      </c>
      <c r="R5414">
        <v>-0.93236730000000001</v>
      </c>
      <c r="S5414">
        <v>1.4787600000000001</v>
      </c>
      <c r="T5414">
        <v>-0.1033968</v>
      </c>
      <c r="U5414">
        <v>-2.7563780000000002</v>
      </c>
      <c r="V5414">
        <v>-0.20149329999999999</v>
      </c>
      <c r="W5414">
        <v>0.20470679999999999</v>
      </c>
      <c r="X5414">
        <v>0.95785989999999999</v>
      </c>
      <c r="Y5414">
        <v>-0.37169550000000001</v>
      </c>
      <c r="Z5414">
        <v>2.0201070000000002E-2</v>
      </c>
      <c r="AA5414">
        <v>0.92813489999999998</v>
      </c>
      <c r="AB5414">
        <v>22</v>
      </c>
      <c r="AC5414">
        <v>15.896599999999999</v>
      </c>
      <c r="AD5414">
        <v>-1.112832617752</v>
      </c>
      <c r="AE5414">
        <v>-29.518279999999901</v>
      </c>
      <c r="AF5414">
        <v>-12.504287691064</v>
      </c>
      <c r="AG5414">
        <v>-1.112832617752</v>
      </c>
      <c r="AH5414">
        <v>31.067681429063398</v>
      </c>
      <c r="AI5414">
        <v>91.903188624412394</v>
      </c>
      <c r="AJ5414">
        <v>111.924064538248</v>
      </c>
      <c r="AK5414">
        <v>33.508154775722801</v>
      </c>
      <c r="AL5414">
        <v>78.187664129191305</v>
      </c>
      <c r="AM5414">
        <v>101.879412180831</v>
      </c>
      <c r="AN5414">
        <v>1.0000000059695699</v>
      </c>
    </row>
    <row r="5415" spans="1:40" x14ac:dyDescent="0.25">
      <c r="A5415" t="str">
        <f>"20190304155211565"</f>
        <v>20190304155211565</v>
      </c>
      <c r="B5415" t="str">
        <f>"1551685931561890"</f>
        <v>1551685931561890</v>
      </c>
      <c r="C5415" t="s">
        <v>40</v>
      </c>
      <c r="D5415">
        <v>4.5675749999999997</v>
      </c>
      <c r="E5415">
        <v>0.42667529999999998</v>
      </c>
      <c r="F5415" t="s">
        <v>77</v>
      </c>
      <c r="G5415">
        <v>-406.54239999999999</v>
      </c>
      <c r="H5415" s="1">
        <v>-4.583E-6</v>
      </c>
      <c r="I5415">
        <v>15.854760000000001</v>
      </c>
      <c r="J5415">
        <v>-422.09320000000002</v>
      </c>
      <c r="K5415">
        <v>1.1128290000000001</v>
      </c>
      <c r="L5415">
        <v>44.485529999999997</v>
      </c>
      <c r="M5415">
        <v>0.1137378</v>
      </c>
      <c r="N5415">
        <v>-1.372309E-2</v>
      </c>
      <c r="O5415">
        <v>-0.99341599999999997</v>
      </c>
      <c r="P5415">
        <v>0.31131829999999999</v>
      </c>
      <c r="Q5415">
        <v>0.1911128</v>
      </c>
      <c r="R5415">
        <v>-0.93089069999999996</v>
      </c>
      <c r="S5415">
        <v>1.4878229999999999</v>
      </c>
      <c r="T5415">
        <v>-0.10632320000000001</v>
      </c>
      <c r="U5415">
        <v>-2.751312</v>
      </c>
      <c r="V5415">
        <v>-0.20442560000000001</v>
      </c>
      <c r="W5415">
        <v>0.20325689999999999</v>
      </c>
      <c r="X5415">
        <v>0.95754729999999999</v>
      </c>
      <c r="Y5415">
        <v>-0.3723091</v>
      </c>
      <c r="Z5415">
        <v>2.1171510000000001E-2</v>
      </c>
      <c r="AA5415">
        <v>0.92786729999999995</v>
      </c>
      <c r="AB5415">
        <v>22</v>
      </c>
      <c r="AC5415">
        <v>15.550800000000001</v>
      </c>
      <c r="AD5415">
        <v>-1.112833583</v>
      </c>
      <c r="AE5415">
        <v>-28.630769999999998</v>
      </c>
      <c r="AF5415">
        <v>-12.178953245961701</v>
      </c>
      <c r="AG5415">
        <v>-1.112833583</v>
      </c>
      <c r="AH5415">
        <v>30.1786182503633</v>
      </c>
      <c r="AI5415">
        <v>91.958484424032605</v>
      </c>
      <c r="AJ5415">
        <v>111.977146507288</v>
      </c>
      <c r="AK5415">
        <v>32.562467662201698</v>
      </c>
      <c r="AL5415">
        <v>78.2725215190287</v>
      </c>
      <c r="AM5415">
        <v>102.051093334561</v>
      </c>
      <c r="AN5415">
        <v>1.00000001253513</v>
      </c>
    </row>
    <row r="5416" spans="1:40" x14ac:dyDescent="0.25">
      <c r="A5416" t="str">
        <f>"20190304155211590"</f>
        <v>20190304155211590</v>
      </c>
      <c r="B5416" t="str">
        <f>"1551685931582383"</f>
        <v>1551685931582383</v>
      </c>
      <c r="C5416" t="s">
        <v>40</v>
      </c>
      <c r="D5416">
        <v>4.642919</v>
      </c>
      <c r="E5416">
        <v>0.42685020000000001</v>
      </c>
      <c r="F5416" t="s">
        <v>77</v>
      </c>
      <c r="G5416">
        <v>-407.17520000000002</v>
      </c>
      <c r="H5416" s="1">
        <v>-4.5086280000000003E-6</v>
      </c>
      <c r="I5416">
        <v>17.2258</v>
      </c>
      <c r="J5416">
        <v>-422.06369999999998</v>
      </c>
      <c r="K5416">
        <v>1.1128229999999999</v>
      </c>
      <c r="L5416">
        <v>44.264400000000002</v>
      </c>
      <c r="M5416">
        <v>0.1172604</v>
      </c>
      <c r="N5416">
        <v>-1.3722689999999999E-2</v>
      </c>
      <c r="O5416">
        <v>-0.99300659999999996</v>
      </c>
      <c r="P5416">
        <v>0.31725049999999999</v>
      </c>
      <c r="Q5416">
        <v>0.18902389999999999</v>
      </c>
      <c r="R5416">
        <v>-0.9293129</v>
      </c>
      <c r="S5416">
        <v>1.5014339999999999</v>
      </c>
      <c r="T5416">
        <v>-0.11200259999999999</v>
      </c>
      <c r="U5416">
        <v>-2.7435909999999999</v>
      </c>
      <c r="V5416">
        <v>-0.20708509999999999</v>
      </c>
      <c r="W5416">
        <v>0.20115130000000001</v>
      </c>
      <c r="X5416">
        <v>0.95742050000000001</v>
      </c>
      <c r="Y5416">
        <v>-0.37363420000000003</v>
      </c>
      <c r="Z5416">
        <v>2.3045340000000001E-2</v>
      </c>
      <c r="AA5416">
        <v>0.92728980000000005</v>
      </c>
      <c r="AB5416">
        <v>22</v>
      </c>
      <c r="AC5416">
        <v>14.888499999999899</v>
      </c>
      <c r="AD5416">
        <v>-1.112827508628</v>
      </c>
      <c r="AE5416">
        <v>-27.038599999999999</v>
      </c>
      <c r="AF5416">
        <v>-11.599835511324301</v>
      </c>
      <c r="AG5416">
        <v>-1.112827508628</v>
      </c>
      <c r="AH5416">
        <v>28.560903150658401</v>
      </c>
      <c r="AI5416">
        <v>92.067453874757007</v>
      </c>
      <c r="AJ5416">
        <v>112.104228366443</v>
      </c>
      <c r="AK5416">
        <v>30.846713888760199</v>
      </c>
      <c r="AL5416">
        <v>78.395708582370204</v>
      </c>
      <c r="AM5416">
        <v>102.20477148424401</v>
      </c>
      <c r="AN5416">
        <v>1.00000004897697</v>
      </c>
    </row>
    <row r="5417" spans="1:40" x14ac:dyDescent="0.25">
      <c r="A5417" t="str">
        <f>"20190304155211611"</f>
        <v>20190304155211611</v>
      </c>
      <c r="B5417" t="str">
        <f>"1551685931601907"</f>
        <v>1551685931601907</v>
      </c>
      <c r="C5417" t="s">
        <v>40</v>
      </c>
      <c r="D5417">
        <v>4.6266259999999999</v>
      </c>
      <c r="E5417">
        <v>0.42689090000000002</v>
      </c>
      <c r="F5417" t="s">
        <v>77</v>
      </c>
      <c r="G5417">
        <v>-408.05220000000003</v>
      </c>
      <c r="H5417" s="1">
        <v>-4.3822820000000003E-6</v>
      </c>
      <c r="I5417">
        <v>18.995159999999998</v>
      </c>
      <c r="J5417">
        <v>-422.03539999999998</v>
      </c>
      <c r="K5417">
        <v>1.1128169999999999</v>
      </c>
      <c r="L5417">
        <v>44.058259999999997</v>
      </c>
      <c r="M5417">
        <v>0.12056989999999899</v>
      </c>
      <c r="N5417">
        <v>-1.372224E-2</v>
      </c>
      <c r="O5417">
        <v>-0.99260999999999999</v>
      </c>
      <c r="P5417">
        <v>0.32458819999999999</v>
      </c>
      <c r="Q5417">
        <v>0.1854131</v>
      </c>
      <c r="R5417">
        <v>-0.92750449999999995</v>
      </c>
      <c r="S5417">
        <v>1.51651</v>
      </c>
      <c r="T5417">
        <v>-0.1204455</v>
      </c>
      <c r="U5417">
        <v>-2.734985</v>
      </c>
      <c r="V5417">
        <v>-0.21136930000000001</v>
      </c>
      <c r="W5417">
        <v>0.1975141</v>
      </c>
      <c r="X5417">
        <v>0.95724149999999997</v>
      </c>
      <c r="Y5417">
        <v>-0.37564799999999998</v>
      </c>
      <c r="Z5417">
        <v>2.5817679999999999E-2</v>
      </c>
      <c r="AA5417">
        <v>0.92640270000000002</v>
      </c>
      <c r="AB5417">
        <v>22</v>
      </c>
      <c r="AC5417">
        <v>13.983199999999901</v>
      </c>
      <c r="AD5417">
        <v>-1.1128213822819999</v>
      </c>
      <c r="AE5417">
        <v>-25.063099999999899</v>
      </c>
      <c r="AF5417">
        <v>-10.8427295927417</v>
      </c>
      <c r="AG5417">
        <v>-1.1128213822819999</v>
      </c>
      <c r="AH5417">
        <v>26.526456798217801</v>
      </c>
      <c r="AI5417">
        <v>92.223825912147504</v>
      </c>
      <c r="AJ5417">
        <v>112.232363988732</v>
      </c>
      <c r="AK5417">
        <v>28.678494847496701</v>
      </c>
      <c r="AL5417">
        <v>78.608372639916098</v>
      </c>
      <c r="AM5417">
        <v>102.451723959741</v>
      </c>
      <c r="AN5417">
        <v>1.0000000450017701</v>
      </c>
    </row>
    <row r="5418" spans="1:40" x14ac:dyDescent="0.25">
      <c r="A5418" t="str">
        <f>"20190304155211644"</f>
        <v>20190304155211644</v>
      </c>
      <c r="B5418" t="str">
        <f>"1551685931641919"</f>
        <v>1551685931641919</v>
      </c>
      <c r="C5418" t="s">
        <v>40</v>
      </c>
      <c r="D5418">
        <v>4.6188349999999998</v>
      </c>
      <c r="E5418">
        <v>0.42669869999999999</v>
      </c>
      <c r="F5418" t="s">
        <v>77</v>
      </c>
      <c r="G5418">
        <v>-409.14890000000003</v>
      </c>
      <c r="H5418" s="1">
        <v>-1.7071050000000001E-6</v>
      </c>
      <c r="I5418">
        <v>21.213249999999999</v>
      </c>
      <c r="J5418">
        <v>-421.9907</v>
      </c>
      <c r="K5418">
        <v>1.1128199999999999</v>
      </c>
      <c r="L5418">
        <v>43.742429999999999</v>
      </c>
      <c r="M5418">
        <v>0.12568579999999999</v>
      </c>
      <c r="N5418">
        <v>-1.372161E-2</v>
      </c>
      <c r="O5418">
        <v>-0.9919753</v>
      </c>
      <c r="P5418">
        <v>0.33329510000000001</v>
      </c>
      <c r="Q5418">
        <v>0.18357319999999999</v>
      </c>
      <c r="R5418">
        <v>-0.92477880000000001</v>
      </c>
      <c r="S5418">
        <v>1.536224</v>
      </c>
      <c r="T5418">
        <v>-0.13266069999999999</v>
      </c>
      <c r="U5418">
        <v>-2.7233890000000001</v>
      </c>
      <c r="V5418">
        <v>-0.21539220000000001</v>
      </c>
      <c r="W5418">
        <v>0.19564300000000001</v>
      </c>
      <c r="X5418">
        <v>0.95672880000000005</v>
      </c>
      <c r="Y5418">
        <v>-0.37757940000000001</v>
      </c>
      <c r="Z5418">
        <v>2.9832190000000001E-2</v>
      </c>
      <c r="AA5418">
        <v>0.92549650000000006</v>
      </c>
      <c r="AB5418">
        <v>22</v>
      </c>
      <c r="AC5418">
        <v>12.8417999999999</v>
      </c>
      <c r="AD5418">
        <v>-1.1128217071049999</v>
      </c>
      <c r="AE5418">
        <v>-22.52918</v>
      </c>
      <c r="AF5418">
        <v>-9.8898699017727392</v>
      </c>
      <c r="AG5418">
        <v>-1.1128217071049999</v>
      </c>
      <c r="AH5418">
        <v>23.920625669209699</v>
      </c>
      <c r="AI5418">
        <v>92.461736505189094</v>
      </c>
      <c r="AJ5418">
        <v>112.46241719605401</v>
      </c>
      <c r="AK5418">
        <v>25.908381486157101</v>
      </c>
      <c r="AL5418">
        <v>78.717711582633996</v>
      </c>
      <c r="AM5418">
        <v>102.687692010471</v>
      </c>
      <c r="AN5418">
        <v>0.99999999000964002</v>
      </c>
    </row>
    <row r="5419" spans="1:40" x14ac:dyDescent="0.25">
      <c r="A5419" t="str">
        <f>"20190304155211667"</f>
        <v>20190304155211667</v>
      </c>
      <c r="B5419" t="str">
        <f>"1551685931662415"</f>
        <v>1551685931662415</v>
      </c>
      <c r="C5419" t="s">
        <v>40</v>
      </c>
      <c r="D5419">
        <v>4.6054559999999896</v>
      </c>
      <c r="E5419">
        <v>0.42672979999999999</v>
      </c>
      <c r="F5419" t="s">
        <v>77</v>
      </c>
      <c r="G5419">
        <v>-409.39960000000002</v>
      </c>
      <c r="H5419" s="1">
        <v>-1.714498E-6</v>
      </c>
      <c r="I5419">
        <v>21.913910000000001</v>
      </c>
      <c r="J5419">
        <v>-421.95940000000002</v>
      </c>
      <c r="K5419">
        <v>1.1128340000000001</v>
      </c>
      <c r="L5419">
        <v>43.528559999999999</v>
      </c>
      <c r="M5419">
        <v>0.12919120000000001</v>
      </c>
      <c r="N5419">
        <v>-1.3721290000000001E-2</v>
      </c>
      <c r="O5419">
        <v>-0.99152490000000004</v>
      </c>
      <c r="P5419">
        <v>0.3386248</v>
      </c>
      <c r="Q5419">
        <v>0.18397079999999999</v>
      </c>
      <c r="R5419">
        <v>-0.92276139999999995</v>
      </c>
      <c r="S5419">
        <v>1.5622560000000001</v>
      </c>
      <c r="T5419">
        <v>-0.1380749</v>
      </c>
      <c r="U5419">
        <v>-2.708405</v>
      </c>
      <c r="V5419">
        <v>-0.2175531</v>
      </c>
      <c r="W5419">
        <v>0.1960162</v>
      </c>
      <c r="X5419">
        <v>0.95616330000000005</v>
      </c>
      <c r="Y5419">
        <v>-0.38315630000000001</v>
      </c>
      <c r="Z5419">
        <v>3.1640189999999999E-2</v>
      </c>
      <c r="AA5419">
        <v>0.92314149999999995</v>
      </c>
      <c r="AB5419">
        <v>22</v>
      </c>
      <c r="AC5419">
        <v>12.5597999999999</v>
      </c>
      <c r="AD5419">
        <v>-1.1128357144979999</v>
      </c>
      <c r="AE5419">
        <v>-21.614650000000001</v>
      </c>
      <c r="AF5419">
        <v>-9.6427318259091308</v>
      </c>
      <c r="AG5419">
        <v>-1.1128357144979999</v>
      </c>
      <c r="AH5419">
        <v>23.0106481809974</v>
      </c>
      <c r="AI5419">
        <v>92.553912093130293</v>
      </c>
      <c r="AJ5419">
        <v>112.736374464319</v>
      </c>
      <c r="AK5419">
        <v>24.974198888122601</v>
      </c>
      <c r="AL5419">
        <v>78.695906483441505</v>
      </c>
      <c r="AM5419">
        <v>102.81812606862999</v>
      </c>
      <c r="AN5419">
        <v>0.99999997912446903</v>
      </c>
    </row>
    <row r="5420" spans="1:40" x14ac:dyDescent="0.25">
      <c r="A5420" t="str">
        <f>"20190304155211689"</f>
        <v>20190304155211689</v>
      </c>
      <c r="B5420" t="str">
        <f>"1551685931681935"</f>
        <v>1551685931681935</v>
      </c>
      <c r="C5420" t="s">
        <v>40</v>
      </c>
      <c r="D5420">
        <v>4.6186949999999998</v>
      </c>
      <c r="E5420">
        <v>0.42670760000000002</v>
      </c>
      <c r="F5420" t="s">
        <v>77</v>
      </c>
      <c r="G5420">
        <v>-409.13729999999998</v>
      </c>
      <c r="H5420" s="1">
        <v>-1.79917399999999E-6</v>
      </c>
      <c r="I5420">
        <v>21.59647</v>
      </c>
      <c r="J5420">
        <v>-421.9273</v>
      </c>
      <c r="K5420">
        <v>1.11287</v>
      </c>
      <c r="L5420">
        <v>43.314700000000002</v>
      </c>
      <c r="M5420">
        <v>0.132766299999999</v>
      </c>
      <c r="N5420">
        <v>-1.372161E-2</v>
      </c>
      <c r="O5420">
        <v>-0.9910525</v>
      </c>
      <c r="P5420">
        <v>0.3437538</v>
      </c>
      <c r="Q5420">
        <v>0.18465200000000001</v>
      </c>
      <c r="R5420">
        <v>-0.92072659999999995</v>
      </c>
      <c r="S5420">
        <v>1.5780940000000001</v>
      </c>
      <c r="T5420">
        <v>-0.1369631</v>
      </c>
      <c r="U5420">
        <v>-2.6993100000000001</v>
      </c>
      <c r="V5420">
        <v>-0.21946399999999999</v>
      </c>
      <c r="W5420">
        <v>0.1966656</v>
      </c>
      <c r="X5420">
        <v>0.95559309999999997</v>
      </c>
      <c r="Y5420">
        <v>-0.38522210000000001</v>
      </c>
      <c r="Z5420">
        <v>3.131337E-2</v>
      </c>
      <c r="AA5420">
        <v>0.92229249999999996</v>
      </c>
      <c r="AB5420">
        <v>22</v>
      </c>
      <c r="AC5420">
        <v>12.79</v>
      </c>
      <c r="AD5420">
        <v>-1.112871799174</v>
      </c>
      <c r="AE5420">
        <v>-21.718229999999998</v>
      </c>
      <c r="AF5420">
        <v>-9.7739783939243505</v>
      </c>
      <c r="AG5420">
        <v>-1.112871799174</v>
      </c>
      <c r="AH5420">
        <v>23.178982248769699</v>
      </c>
      <c r="AI5420">
        <v>92.533103079852495</v>
      </c>
      <c r="AJ5420">
        <v>112.863896918024</v>
      </c>
      <c r="AK5420">
        <v>25.180038827910501</v>
      </c>
      <c r="AL5420">
        <v>78.657960115923004</v>
      </c>
      <c r="AM5420">
        <v>102.934403060561</v>
      </c>
      <c r="AN5420">
        <v>0.99999998914348398</v>
      </c>
    </row>
    <row r="5421" spans="1:40" x14ac:dyDescent="0.25">
      <c r="A5421" t="str">
        <f>"20190304155211712"</f>
        <v>20190304155211712</v>
      </c>
      <c r="B5421" t="str">
        <f>"1551685931702433"</f>
        <v>1551685931702433</v>
      </c>
      <c r="C5421" t="s">
        <v>40</v>
      </c>
      <c r="D5421">
        <v>4.6076870000000003</v>
      </c>
      <c r="E5421">
        <v>0.42673440000000001</v>
      </c>
      <c r="F5421" t="s">
        <v>77</v>
      </c>
      <c r="G5421">
        <v>-408.8116</v>
      </c>
      <c r="H5421" s="1">
        <v>-1.8942659999999999E-6</v>
      </c>
      <c r="I5421">
        <v>21.157080000000001</v>
      </c>
      <c r="J5421">
        <v>-421.89400000000001</v>
      </c>
      <c r="K5421">
        <v>1.1129290000000001</v>
      </c>
      <c r="L5421">
        <v>43.098970000000001</v>
      </c>
      <c r="M5421">
        <v>0.1364631</v>
      </c>
      <c r="N5421">
        <v>-1.3723040000000001E-2</v>
      </c>
      <c r="O5421">
        <v>-0.99055009999999999</v>
      </c>
      <c r="P5421">
        <v>0.34872959999999997</v>
      </c>
      <c r="Q5421">
        <v>0.18647079999999999</v>
      </c>
      <c r="R5421">
        <v>-0.91848609999999997</v>
      </c>
      <c r="S5421">
        <v>1.592743</v>
      </c>
      <c r="T5421">
        <v>-0.1351444</v>
      </c>
      <c r="U5421">
        <v>-2.6907649999999999</v>
      </c>
      <c r="V5421">
        <v>-0.22115399999999999</v>
      </c>
      <c r="W5421">
        <v>0.1984418</v>
      </c>
      <c r="X5421">
        <v>0.95483600000000002</v>
      </c>
      <c r="Y5421">
        <v>-0.38679059999999998</v>
      </c>
      <c r="Z5421">
        <v>3.0754699999999999E-2</v>
      </c>
      <c r="AA5421">
        <v>0.92165459999999999</v>
      </c>
      <c r="AB5421">
        <v>22</v>
      </c>
      <c r="AC5421">
        <v>13.0824</v>
      </c>
      <c r="AD5421">
        <v>-1.1129308942659999</v>
      </c>
      <c r="AE5421">
        <v>-21.941890000000001</v>
      </c>
      <c r="AF5421">
        <v>-9.9465742763094394</v>
      </c>
      <c r="AG5421">
        <v>-1.1129308942659999</v>
      </c>
      <c r="AH5421">
        <v>23.477461343829201</v>
      </c>
      <c r="AI5421">
        <v>92.499289947281596</v>
      </c>
      <c r="AJ5421">
        <v>112.960664210872</v>
      </c>
      <c r="AK5421">
        <v>25.521836653355201</v>
      </c>
      <c r="AL5421">
        <v>78.554145641528294</v>
      </c>
      <c r="AM5421">
        <v>103.040597719373</v>
      </c>
      <c r="AN5421">
        <v>1.0000000132996201</v>
      </c>
    </row>
    <row r="5422" spans="1:40" x14ac:dyDescent="0.25">
      <c r="A5422" t="str">
        <f>"20190304155211734"</f>
        <v>20190304155211734</v>
      </c>
      <c r="B5422" t="str">
        <f>"1551685931732687"</f>
        <v>1551685931732687</v>
      </c>
      <c r="C5422" t="s">
        <v>40</v>
      </c>
      <c r="D5422">
        <v>4.5868769999999897</v>
      </c>
      <c r="E5422">
        <v>0.4267744</v>
      </c>
      <c r="F5422" t="s">
        <v>77</v>
      </c>
      <c r="G5422">
        <v>-408.0822</v>
      </c>
      <c r="H5422" s="1">
        <v>-2.0818289999999999E-6</v>
      </c>
      <c r="I5422">
        <v>20.059180000000001</v>
      </c>
      <c r="J5422">
        <v>-421.8612</v>
      </c>
      <c r="K5422">
        <v>1.1129819999999999</v>
      </c>
      <c r="L5422">
        <v>42.892400000000002</v>
      </c>
      <c r="M5422">
        <v>0.14008519999999999</v>
      </c>
      <c r="N5422">
        <v>-1.372519E-2</v>
      </c>
      <c r="O5422">
        <v>-0.99004440000000005</v>
      </c>
      <c r="P5422">
        <v>0.3527942</v>
      </c>
      <c r="Q5422">
        <v>0.18750430000000001</v>
      </c>
      <c r="R5422">
        <v>-0.91672180000000003</v>
      </c>
      <c r="S5422">
        <v>1.6078490000000001</v>
      </c>
      <c r="T5422">
        <v>-0.12955810000000001</v>
      </c>
      <c r="U5422">
        <v>-2.6820979999999999</v>
      </c>
      <c r="V5422">
        <v>-0.2219526</v>
      </c>
      <c r="W5422">
        <v>0.19944000000000001</v>
      </c>
      <c r="X5422">
        <v>0.95444260000000003</v>
      </c>
      <c r="Y5422">
        <v>-0.38858120000000002</v>
      </c>
      <c r="Z5422">
        <v>2.8967799999999998E-2</v>
      </c>
      <c r="AA5422">
        <v>0.92095910000000003</v>
      </c>
      <c r="AB5422">
        <v>22</v>
      </c>
      <c r="AC5422">
        <v>13.7789999999999</v>
      </c>
      <c r="AD5422">
        <v>-1.112984081829</v>
      </c>
      <c r="AE5422">
        <v>-22.833220000000001</v>
      </c>
      <c r="AF5422">
        <v>-10.4260494050828</v>
      </c>
      <c r="AG5422">
        <v>-1.112984081829</v>
      </c>
      <c r="AH5422">
        <v>24.495780468988698</v>
      </c>
      <c r="AI5422">
        <v>92.393941427547404</v>
      </c>
      <c r="AJ5422">
        <v>113.05588149647799</v>
      </c>
      <c r="AK5422">
        <v>26.645534345336799</v>
      </c>
      <c r="AL5422">
        <v>78.495786015217703</v>
      </c>
      <c r="AM5422">
        <v>103.091278261806</v>
      </c>
      <c r="AN5422">
        <v>0.99999997347075897</v>
      </c>
    </row>
    <row r="5423" spans="1:40" x14ac:dyDescent="0.25">
      <c r="A5423" t="str">
        <f>"20190304155211757"</f>
        <v>20190304155211757</v>
      </c>
      <c r="B5423" t="str">
        <f>"1551685931752208"</f>
        <v>1551685931752208</v>
      </c>
      <c r="C5423" t="s">
        <v>40</v>
      </c>
      <c r="D5423">
        <v>4.592015</v>
      </c>
      <c r="E5423">
        <v>0.42680259999999998</v>
      </c>
      <c r="F5423" t="s">
        <v>77</v>
      </c>
      <c r="G5423">
        <v>-407.58749999999998</v>
      </c>
      <c r="H5423" s="1">
        <v>-4.6750889999999901E-6</v>
      </c>
      <c r="I5423">
        <v>19.326139999999999</v>
      </c>
      <c r="J5423">
        <v>-421.82690000000002</v>
      </c>
      <c r="K5423">
        <v>1.113035</v>
      </c>
      <c r="L5423">
        <v>42.682070000000003</v>
      </c>
      <c r="M5423">
        <v>0.1438721</v>
      </c>
      <c r="N5423">
        <v>-1.3727649999999999E-2</v>
      </c>
      <c r="O5423">
        <v>-0.98950130000000003</v>
      </c>
      <c r="P5423">
        <v>0.35664810000000002</v>
      </c>
      <c r="Q5423">
        <v>0.1861544</v>
      </c>
      <c r="R5423">
        <v>-0.91550520000000002</v>
      </c>
      <c r="S5423">
        <v>1.6201479999999999</v>
      </c>
      <c r="T5423">
        <v>-0.12632989999999999</v>
      </c>
      <c r="U5423">
        <v>-2.6748959999999999</v>
      </c>
      <c r="V5423">
        <v>-0.2222991</v>
      </c>
      <c r="W5423">
        <v>0.19806099999999999</v>
      </c>
      <c r="X5423">
        <v>0.95464919999999998</v>
      </c>
      <c r="Y5423">
        <v>-0.38927040000000002</v>
      </c>
      <c r="Z5423">
        <v>2.794379E-2</v>
      </c>
      <c r="AA5423">
        <v>0.92069959999999995</v>
      </c>
      <c r="AB5423">
        <v>22</v>
      </c>
      <c r="AC5423">
        <v>14.2394</v>
      </c>
      <c r="AD5423">
        <v>-1.1130396750889999</v>
      </c>
      <c r="AE5423">
        <v>-23.355930000000001</v>
      </c>
      <c r="AF5423">
        <v>-10.7129099829494</v>
      </c>
      <c r="AG5423">
        <v>-1.1130396750889999</v>
      </c>
      <c r="AH5423">
        <v>25.120150544444801</v>
      </c>
      <c r="AI5423">
        <v>92.333915688078093</v>
      </c>
      <c r="AJ5423">
        <v>113.09663781545299</v>
      </c>
      <c r="AK5423">
        <v>27.3317994467373</v>
      </c>
      <c r="AL5423">
        <v>78.576406393093293</v>
      </c>
      <c r="AM5423">
        <v>103.108270717754</v>
      </c>
      <c r="AN5423">
        <v>1.0000000723212199</v>
      </c>
    </row>
    <row r="5424" spans="1:40" x14ac:dyDescent="0.25">
      <c r="A5424" t="str">
        <f>"20190304155211778"</f>
        <v>20190304155211778</v>
      </c>
      <c r="B5424" t="str">
        <f>"1551685931772703"</f>
        <v>1551685931772703</v>
      </c>
      <c r="C5424" t="s">
        <v>40</v>
      </c>
      <c r="D5424">
        <v>4.5452409999999999</v>
      </c>
      <c r="E5424">
        <v>0.42686099999999999</v>
      </c>
      <c r="F5424" t="s">
        <v>77</v>
      </c>
      <c r="G5424">
        <v>-407.86520000000002</v>
      </c>
      <c r="H5424" s="1">
        <v>-2.1648329999999999E-6</v>
      </c>
      <c r="I5424">
        <v>19.85472</v>
      </c>
      <c r="J5424">
        <v>-421.7921</v>
      </c>
      <c r="K5424">
        <v>1.1131089999999999</v>
      </c>
      <c r="L5424">
        <v>42.47336</v>
      </c>
      <c r="M5424">
        <v>0.147753</v>
      </c>
      <c r="N5424">
        <v>-1.3730590000000001E-2</v>
      </c>
      <c r="O5424">
        <v>-0.98892910000000001</v>
      </c>
      <c r="P5424">
        <v>0.36047439999999997</v>
      </c>
      <c r="Q5424">
        <v>0.18687889999999999</v>
      </c>
      <c r="R5424">
        <v>-0.91385700000000003</v>
      </c>
      <c r="S5424">
        <v>1.6316219999999999</v>
      </c>
      <c r="T5424">
        <v>-0.13007389999999999</v>
      </c>
      <c r="U5424">
        <v>-2.667694</v>
      </c>
      <c r="V5424">
        <v>-0.2226062</v>
      </c>
      <c r="W5424">
        <v>0.19874790000000001</v>
      </c>
      <c r="X5424">
        <v>0.95443480000000003</v>
      </c>
      <c r="Y5424">
        <v>-0.38962370000000002</v>
      </c>
      <c r="Z5424">
        <v>2.9189920000000001E-2</v>
      </c>
      <c r="AA5424">
        <v>0.92051150000000004</v>
      </c>
      <c r="AB5424">
        <v>21</v>
      </c>
      <c r="AC5424">
        <v>13.9268999999999</v>
      </c>
      <c r="AD5424">
        <v>-1.1131111648330001</v>
      </c>
      <c r="AE5424">
        <v>-22.618639999999999</v>
      </c>
      <c r="AF5424">
        <v>-10.4134401401293</v>
      </c>
      <c r="AG5424">
        <v>-1.1131111648330001</v>
      </c>
      <c r="AH5424">
        <v>24.385449816076601</v>
      </c>
      <c r="AI5424">
        <v>92.403813809133695</v>
      </c>
      <c r="AJ5424">
        <v>113.12417741201</v>
      </c>
      <c r="AK5424">
        <v>26.539195819574601</v>
      </c>
      <c r="AL5424">
        <v>78.536251023311294</v>
      </c>
      <c r="AM5424">
        <v>103.12859927103899</v>
      </c>
      <c r="AN5424">
        <v>1.0000000177419399</v>
      </c>
    </row>
    <row r="5425" spans="1:40" x14ac:dyDescent="0.25">
      <c r="A5425" t="str">
        <f>"20190304155211801"</f>
        <v>20190304155211801</v>
      </c>
      <c r="B5425" t="str">
        <f>"1551685931792224"</f>
        <v>1551685931792224</v>
      </c>
      <c r="C5425" t="s">
        <v>40</v>
      </c>
      <c r="D5425">
        <v>4.6095009999999998</v>
      </c>
      <c r="E5425">
        <v>0.42691420000000002</v>
      </c>
      <c r="F5425" t="s">
        <v>77</v>
      </c>
      <c r="G5425">
        <v>-407.46749999999997</v>
      </c>
      <c r="H5425" s="1">
        <v>-4.7271409999999997E-6</v>
      </c>
      <c r="I5425">
        <v>19.27938</v>
      </c>
      <c r="J5425">
        <v>-421.75510000000003</v>
      </c>
      <c r="K5425">
        <v>1.113184</v>
      </c>
      <c r="L5425">
        <v>42.259030000000003</v>
      </c>
      <c r="M5425">
        <v>0.15188170000000001</v>
      </c>
      <c r="N5425">
        <v>-1.373484E-2</v>
      </c>
      <c r="O5425">
        <v>-0.98830309999999999</v>
      </c>
      <c r="P5425">
        <v>0.36441420000000002</v>
      </c>
      <c r="Q5425">
        <v>0.1862201</v>
      </c>
      <c r="R5425">
        <v>-0.91242760000000001</v>
      </c>
      <c r="S5425">
        <v>1.6432500000000001</v>
      </c>
      <c r="T5425">
        <v>-0.12769130000000001</v>
      </c>
      <c r="U5425">
        <v>-2.6607059999999998</v>
      </c>
      <c r="V5425">
        <v>-0.2227519</v>
      </c>
      <c r="W5425">
        <v>0.19805200000000001</v>
      </c>
      <c r="X5425">
        <v>0.95454539999999999</v>
      </c>
      <c r="Y5425">
        <v>-0.38978410000000002</v>
      </c>
      <c r="Z5425">
        <v>2.8438729999999999E-2</v>
      </c>
      <c r="AA5425">
        <v>0.92046709999999998</v>
      </c>
      <c r="AB5425">
        <v>21</v>
      </c>
      <c r="AC5425">
        <v>14.287599999999999</v>
      </c>
      <c r="AD5425">
        <v>-1.1131887271409999</v>
      </c>
      <c r="AE5425">
        <v>-22.979649999999999</v>
      </c>
      <c r="AF5425">
        <v>-10.6133331958832</v>
      </c>
      <c r="AG5425">
        <v>-1.1131887271409999</v>
      </c>
      <c r="AH5425">
        <v>24.8411933205027</v>
      </c>
      <c r="AI5425">
        <v>92.359746529010295</v>
      </c>
      <c r="AJ5425">
        <v>113.13446610163</v>
      </c>
      <c r="AK5425">
        <v>27.036399839025499</v>
      </c>
      <c r="AL5425">
        <v>78.576931201134599</v>
      </c>
      <c r="AM5425">
        <v>103.135424928126</v>
      </c>
      <c r="AN5425">
        <v>0.99999996215938403</v>
      </c>
    </row>
    <row r="5426" spans="1:40" x14ac:dyDescent="0.25">
      <c r="A5426" t="str">
        <f>"20190304155211824"</f>
        <v>20190304155211824</v>
      </c>
      <c r="B5426" t="str">
        <f>"1551685931812720"</f>
        <v>1551685931812720</v>
      </c>
      <c r="C5426" t="s">
        <v>40</v>
      </c>
      <c r="D5426">
        <v>4.5521190000000002</v>
      </c>
      <c r="E5426">
        <v>0.4269712</v>
      </c>
      <c r="F5426" t="s">
        <v>77</v>
      </c>
      <c r="G5426">
        <v>-407.53919999999999</v>
      </c>
      <c r="H5426" s="1">
        <v>-4.7232529999999999E-6</v>
      </c>
      <c r="I5426">
        <v>19.460229999999999</v>
      </c>
      <c r="J5426">
        <v>-421.71850000000001</v>
      </c>
      <c r="K5426">
        <v>1.113264</v>
      </c>
      <c r="L5426">
        <v>42.052030000000002</v>
      </c>
      <c r="M5426">
        <v>0.15601870000000001</v>
      </c>
      <c r="N5426">
        <v>-1.374037E-2</v>
      </c>
      <c r="O5426">
        <v>-0.9876587</v>
      </c>
      <c r="P5426">
        <v>0.36822110000000002</v>
      </c>
      <c r="Q5426">
        <v>0.18489639999999999</v>
      </c>
      <c r="R5426">
        <v>-0.91116770000000002</v>
      </c>
      <c r="S5426">
        <v>1.6546019999999999</v>
      </c>
      <c r="T5426">
        <v>-0.1295646</v>
      </c>
      <c r="U5426">
        <v>-2.6535639999999998</v>
      </c>
      <c r="V5426">
        <v>-0.22273080000000001</v>
      </c>
      <c r="W5426">
        <v>0.19669220000000001</v>
      </c>
      <c r="X5426">
        <v>0.95483150000000006</v>
      </c>
      <c r="Y5426">
        <v>-0.38986490000000001</v>
      </c>
      <c r="Z5426">
        <v>2.9072750000000001E-2</v>
      </c>
      <c r="AA5426">
        <v>0.92041309999999998</v>
      </c>
      <c r="AB5426">
        <v>21</v>
      </c>
      <c r="AC5426">
        <v>14.1793</v>
      </c>
      <c r="AD5426">
        <v>-1.1132687232529901</v>
      </c>
      <c r="AE5426">
        <v>-22.591799999999999</v>
      </c>
      <c r="AF5426">
        <v>-10.462327460593899</v>
      </c>
      <c r="AG5426">
        <v>-1.1132687232529901</v>
      </c>
      <c r="AH5426">
        <v>24.484881201323201</v>
      </c>
      <c r="AI5426">
        <v>92.394175192863997</v>
      </c>
      <c r="AJ5426">
        <v>113.136895392429</v>
      </c>
      <c r="AK5426">
        <v>26.649748039818</v>
      </c>
      <c r="AL5426">
        <v>78.656405950870493</v>
      </c>
      <c r="AM5426">
        <v>103.130424728999</v>
      </c>
      <c r="AN5426">
        <v>1.0000000121008601</v>
      </c>
    </row>
    <row r="5427" spans="1:40" x14ac:dyDescent="0.25">
      <c r="A5427" t="str">
        <f>"20190304155211845"</f>
        <v>20190304155211845</v>
      </c>
      <c r="B5427" t="str">
        <f>"1551685931842000"</f>
        <v>1551685931842000</v>
      </c>
      <c r="C5427" t="s">
        <v>40</v>
      </c>
      <c r="D5427">
        <v>4.6023690000000004</v>
      </c>
      <c r="E5427">
        <v>0.42707060000000002</v>
      </c>
      <c r="F5427" t="s">
        <v>77</v>
      </c>
      <c r="G5427">
        <v>-407.86009999999999</v>
      </c>
      <c r="H5427" s="1">
        <v>-2.2066979999999999E-6</v>
      </c>
      <c r="I5427">
        <v>20.029350000000001</v>
      </c>
      <c r="J5427">
        <v>-421.6814</v>
      </c>
      <c r="K5427">
        <v>1.1133459999999999</v>
      </c>
      <c r="L5427">
        <v>41.848140000000001</v>
      </c>
      <c r="M5427">
        <v>0.16024150000000001</v>
      </c>
      <c r="N5427">
        <v>-1.3746670000000001E-2</v>
      </c>
      <c r="O5427">
        <v>-0.98698229999999998</v>
      </c>
      <c r="P5427">
        <v>0.3718919</v>
      </c>
      <c r="Q5427">
        <v>0.1840994</v>
      </c>
      <c r="R5427">
        <v>-0.90983749999999997</v>
      </c>
      <c r="S5427">
        <v>1.6654359999999999</v>
      </c>
      <c r="T5427">
        <v>-0.13378679999999901</v>
      </c>
      <c r="U5427">
        <v>-2.646576</v>
      </c>
      <c r="V5427">
        <v>-0.22250829999999999</v>
      </c>
      <c r="W5427">
        <v>0.19585720000000001</v>
      </c>
      <c r="X5427">
        <v>0.95505499999999999</v>
      </c>
      <c r="Y5427">
        <v>-0.38969569999999998</v>
      </c>
      <c r="Z5427">
        <v>3.0470549999999999E-2</v>
      </c>
      <c r="AA5427">
        <v>0.92043949999999997</v>
      </c>
      <c r="AB5427">
        <v>21</v>
      </c>
      <c r="AC5427">
        <v>13.821300000000001</v>
      </c>
      <c r="AD5427">
        <v>-1.1133482066980001</v>
      </c>
      <c r="AE5427">
        <v>-21.81879</v>
      </c>
      <c r="AF5427">
        <v>-10.1272417943955</v>
      </c>
      <c r="AG5427">
        <v>-1.1133482066980001</v>
      </c>
      <c r="AH5427">
        <v>23.7076930257276</v>
      </c>
      <c r="AI5427">
        <v>92.472854481841296</v>
      </c>
      <c r="AJ5427">
        <v>113.13077417276099</v>
      </c>
      <c r="AK5427">
        <v>25.804171740120701</v>
      </c>
      <c r="AL5427">
        <v>78.705197051130398</v>
      </c>
      <c r="AM5427">
        <v>103.114798035524</v>
      </c>
      <c r="AN5427">
        <v>1.00000001969286</v>
      </c>
    </row>
    <row r="5428" spans="1:40" x14ac:dyDescent="0.25">
      <c r="A5428" t="str">
        <f>"20190304155211868"</f>
        <v>20190304155211868</v>
      </c>
      <c r="B5428" t="str">
        <f>"1551685931862499"</f>
        <v>1551685931862499</v>
      </c>
      <c r="C5428" t="s">
        <v>40</v>
      </c>
      <c r="D5428">
        <v>4.5708979999999997</v>
      </c>
      <c r="E5428">
        <v>0.42713469999999998</v>
      </c>
      <c r="F5428" t="s">
        <v>77</v>
      </c>
      <c r="G5428">
        <v>-408.06659999999999</v>
      </c>
      <c r="H5428" s="1">
        <v>-2.1638529999999999E-6</v>
      </c>
      <c r="I5428">
        <v>20.386379999999999</v>
      </c>
      <c r="J5428">
        <v>-421.64240000000001</v>
      </c>
      <c r="K5428">
        <v>1.113442</v>
      </c>
      <c r="L5428">
        <v>41.64029</v>
      </c>
      <c r="M5428">
        <v>0.16470470000000001</v>
      </c>
      <c r="N5428">
        <v>-1.375377E-2</v>
      </c>
      <c r="O5428">
        <v>-0.9862474</v>
      </c>
      <c r="P5428">
        <v>0.37562459999999998</v>
      </c>
      <c r="Q5428">
        <v>0.1843553</v>
      </c>
      <c r="R5428">
        <v>-0.90825109999999998</v>
      </c>
      <c r="S5428">
        <v>1.6749879999999999</v>
      </c>
      <c r="T5428">
        <v>-0.13697219999999999</v>
      </c>
      <c r="U5428">
        <v>-2.6403810000000001</v>
      </c>
      <c r="V5428">
        <v>-0.2221639</v>
      </c>
      <c r="W5428">
        <v>0.1960713</v>
      </c>
      <c r="X5428">
        <v>0.95509120000000003</v>
      </c>
      <c r="Y5428">
        <v>-0.38886100000000001</v>
      </c>
      <c r="Z5428">
        <v>3.1527579999999999E-2</v>
      </c>
      <c r="AA5428">
        <v>0.92075680000000004</v>
      </c>
      <c r="AB5428">
        <v>21</v>
      </c>
      <c r="AC5428">
        <v>13.575799999999999</v>
      </c>
      <c r="AD5428">
        <v>-1.1134441638529999</v>
      </c>
      <c r="AE5428">
        <v>-21.253910000000001</v>
      </c>
      <c r="AF5428">
        <v>-9.8701713120085692</v>
      </c>
      <c r="AG5428">
        <v>-1.1134441638529999</v>
      </c>
      <c r="AH5428">
        <v>23.154664092503602</v>
      </c>
      <c r="AI5428">
        <v>92.532879858405295</v>
      </c>
      <c r="AJ5428">
        <v>113.087165339837</v>
      </c>
      <c r="AK5428">
        <v>25.195208053737002</v>
      </c>
      <c r="AL5428">
        <v>78.692686985164599</v>
      </c>
      <c r="AM5428">
        <v>103.09471969894101</v>
      </c>
      <c r="AN5428">
        <v>0.999999976732169</v>
      </c>
    </row>
    <row r="5429" spans="1:40" x14ac:dyDescent="0.25">
      <c r="A5429" t="str">
        <f>"20190304155211890"</f>
        <v>20190304155211890</v>
      </c>
      <c r="B5429" t="str">
        <f>"1551685931882022"</f>
        <v>1551685931882022</v>
      </c>
      <c r="C5429" t="s">
        <v>40</v>
      </c>
      <c r="D5429">
        <v>4.6160180000000004</v>
      </c>
      <c r="E5429">
        <v>0.4271721</v>
      </c>
      <c r="F5429" t="s">
        <v>77</v>
      </c>
      <c r="G5429">
        <v>-407.93119999999999</v>
      </c>
      <c r="H5429" s="1">
        <v>-2.2043120000000001E-6</v>
      </c>
      <c r="I5429">
        <v>20.20787</v>
      </c>
      <c r="J5429">
        <v>-421.6026</v>
      </c>
      <c r="K5429">
        <v>1.1135349999999999</v>
      </c>
      <c r="L5429">
        <v>41.434809999999999</v>
      </c>
      <c r="M5429">
        <v>0.1692852</v>
      </c>
      <c r="N5429">
        <v>-1.376141E-2</v>
      </c>
      <c r="O5429">
        <v>-0.98547110000000004</v>
      </c>
      <c r="P5429">
        <v>0.3795712</v>
      </c>
      <c r="Q5429">
        <v>0.1844461</v>
      </c>
      <c r="R5429">
        <v>-0.90659000000000001</v>
      </c>
      <c r="S5429">
        <v>1.6850590000000001</v>
      </c>
      <c r="T5429">
        <v>-0.1368386</v>
      </c>
      <c r="U5429">
        <v>-2.633972</v>
      </c>
      <c r="V5429">
        <v>-0.22192799999999999</v>
      </c>
      <c r="W5429">
        <v>0.19612180000000001</v>
      </c>
      <c r="X5429">
        <v>0.95513570000000003</v>
      </c>
      <c r="Y5429">
        <v>-0.38809680000000002</v>
      </c>
      <c r="Z5429">
        <v>3.1502599999999999E-2</v>
      </c>
      <c r="AA5429">
        <v>0.92108009999999996</v>
      </c>
      <c r="AB5429">
        <v>21</v>
      </c>
      <c r="AC5429">
        <v>13.6714</v>
      </c>
      <c r="AD5429">
        <v>-1.113537204312</v>
      </c>
      <c r="AE5429">
        <v>-21.226939999999999</v>
      </c>
      <c r="AF5429">
        <v>-9.8611170965181891</v>
      </c>
      <c r="AG5429">
        <v>-1.113537204312</v>
      </c>
      <c r="AH5429">
        <v>23.1899938739009</v>
      </c>
      <c r="AI5429">
        <v>92.530183969768402</v>
      </c>
      <c r="AJ5429">
        <v>113.036728322103</v>
      </c>
      <c r="AK5429">
        <v>25.2241434218923</v>
      </c>
      <c r="AL5429">
        <v>78.689736542691804</v>
      </c>
      <c r="AM5429">
        <v>103.080705262767</v>
      </c>
      <c r="AN5429">
        <v>1.00000000151686</v>
      </c>
    </row>
    <row r="5430" spans="1:40" x14ac:dyDescent="0.25">
      <c r="A5430" t="str">
        <f>"20190304155211914"</f>
        <v>20190304155211914</v>
      </c>
      <c r="B5430" t="str">
        <f>"1551685931902511"</f>
        <v>1551685931902511</v>
      </c>
      <c r="C5430" t="s">
        <v>40</v>
      </c>
      <c r="D5430">
        <v>4.6172490000000002</v>
      </c>
      <c r="E5430">
        <v>0.4271916</v>
      </c>
      <c r="F5430" t="s">
        <v>77</v>
      </c>
      <c r="G5430">
        <v>-407.76150000000001</v>
      </c>
      <c r="H5430" s="1">
        <v>-2.260301E-6</v>
      </c>
      <c r="I5430">
        <v>20.007899999999999</v>
      </c>
      <c r="J5430">
        <v>-421.56029999999998</v>
      </c>
      <c r="K5430">
        <v>1.113613</v>
      </c>
      <c r="L5430">
        <v>41.222659999999998</v>
      </c>
      <c r="M5430">
        <v>0.17415359999999999</v>
      </c>
      <c r="N5430">
        <v>-1.376921E-2</v>
      </c>
      <c r="O5430">
        <v>-0.98462229999999995</v>
      </c>
      <c r="P5430">
        <v>0.38374019999999998</v>
      </c>
      <c r="Q5430">
        <v>0.18325169999999999</v>
      </c>
      <c r="R5430">
        <v>-0.90507599999999999</v>
      </c>
      <c r="S5430">
        <v>1.696655</v>
      </c>
      <c r="T5430">
        <v>-0.13649810000000001</v>
      </c>
      <c r="U5430">
        <v>-2.6265260000000001</v>
      </c>
      <c r="V5430">
        <v>-0.22159039999999999</v>
      </c>
      <c r="W5430">
        <v>0.1948985</v>
      </c>
      <c r="X5430">
        <v>0.95546439999999999</v>
      </c>
      <c r="Y5430">
        <v>-0.387604</v>
      </c>
      <c r="Z5430">
        <v>3.1412639999999999E-2</v>
      </c>
      <c r="AA5430">
        <v>0.92129059999999896</v>
      </c>
      <c r="AB5430">
        <v>21</v>
      </c>
      <c r="AC5430">
        <v>13.7987999999999</v>
      </c>
      <c r="AD5430">
        <v>-1.1136152603010001</v>
      </c>
      <c r="AE5430">
        <v>-21.214759999999998</v>
      </c>
      <c r="AF5430">
        <v>-9.8737980169146802</v>
      </c>
      <c r="AG5430">
        <v>-1.1136152603010001</v>
      </c>
      <c r="AH5430">
        <v>23.248826709358099</v>
      </c>
      <c r="AI5430">
        <v>92.524447645718993</v>
      </c>
      <c r="AJ5430">
        <v>113.010975923819</v>
      </c>
      <c r="AK5430">
        <v>25.283195399090001</v>
      </c>
      <c r="AL5430">
        <v>78.761205409789696</v>
      </c>
      <c r="AM5430">
        <v>103.05715003197901</v>
      </c>
      <c r="AN5430">
        <v>0.99999997517088401</v>
      </c>
    </row>
    <row r="5431" spans="1:40" x14ac:dyDescent="0.25">
      <c r="A5431" t="str">
        <f>"20190304155211935"</f>
        <v>20190304155211935</v>
      </c>
      <c r="B5431" t="str">
        <f>"1551685931932198"</f>
        <v>1551685931932198</v>
      </c>
      <c r="C5431" t="s">
        <v>40</v>
      </c>
      <c r="D5431">
        <v>4.7815830000000004</v>
      </c>
      <c r="E5431">
        <v>0.42718810000000002</v>
      </c>
      <c r="F5431" t="s">
        <v>77</v>
      </c>
      <c r="G5431">
        <v>-407.98469999999998</v>
      </c>
      <c r="H5431" s="1">
        <v>-2.2187800000000001E-6</v>
      </c>
      <c r="I5431">
        <v>20.41534</v>
      </c>
      <c r="J5431">
        <v>-421.51900000000001</v>
      </c>
      <c r="K5431">
        <v>1.1136680000000001</v>
      </c>
      <c r="L5431">
        <v>41.02075</v>
      </c>
      <c r="M5431">
        <v>0.1789087</v>
      </c>
      <c r="N5431">
        <v>-1.377606E-2</v>
      </c>
      <c r="O5431">
        <v>-0.98376940000000002</v>
      </c>
      <c r="P5431">
        <v>0.38822509999999999</v>
      </c>
      <c r="Q5431">
        <v>0.18107219999999999</v>
      </c>
      <c r="R5431">
        <v>-0.90360079999999998</v>
      </c>
      <c r="S5431">
        <v>1.7085269999999999</v>
      </c>
      <c r="T5431">
        <v>-0.14015129999999901</v>
      </c>
      <c r="U5431">
        <v>-2.618652</v>
      </c>
      <c r="V5431">
        <v>-0.22165090000000001</v>
      </c>
      <c r="W5431">
        <v>0.19269649999999999</v>
      </c>
      <c r="X5431">
        <v>0.95589690000000005</v>
      </c>
      <c r="Y5431">
        <v>-0.38732359999999999</v>
      </c>
      <c r="Z5431">
        <v>3.262499E-2</v>
      </c>
      <c r="AA5431">
        <v>0.92136640000000003</v>
      </c>
      <c r="AB5431">
        <v>21</v>
      </c>
      <c r="AC5431">
        <v>13.5343</v>
      </c>
      <c r="AD5431">
        <v>-1.1136702187799901</v>
      </c>
      <c r="AE5431">
        <v>-20.605409999999999</v>
      </c>
      <c r="AF5431">
        <v>-9.6094451285963203</v>
      </c>
      <c r="AG5431">
        <v>-1.1136702187799901</v>
      </c>
      <c r="AH5431">
        <v>22.648307040349401</v>
      </c>
      <c r="AI5431">
        <v>92.591803725472104</v>
      </c>
      <c r="AJ5431">
        <v>112.99101601504201</v>
      </c>
      <c r="AK5431">
        <v>24.627779210266699</v>
      </c>
      <c r="AL5431">
        <v>78.889808846647497</v>
      </c>
      <c r="AM5431">
        <v>103.054885906564</v>
      </c>
      <c r="AN5431">
        <v>0.99999997300633403</v>
      </c>
    </row>
    <row r="5432" spans="1:40" x14ac:dyDescent="0.25">
      <c r="A5432" t="str">
        <f>"20190304155211957"</f>
        <v>20190304155211957</v>
      </c>
      <c r="B5432" t="str">
        <f>"1551685931952697"</f>
        <v>1551685931952697</v>
      </c>
      <c r="C5432" t="s">
        <v>40</v>
      </c>
      <c r="D5432">
        <v>4.6644969999999999</v>
      </c>
      <c r="E5432">
        <v>0.42790669999999997</v>
      </c>
      <c r="F5432" t="s">
        <v>77</v>
      </c>
      <c r="G5432">
        <v>-408.39640000000003</v>
      </c>
      <c r="H5432" s="1">
        <v>-2.132175E-6</v>
      </c>
      <c r="I5432">
        <v>21.121759999999998</v>
      </c>
      <c r="J5432">
        <v>-421.476</v>
      </c>
      <c r="K5432">
        <v>1.1137170000000001</v>
      </c>
      <c r="L5432">
        <v>40.816859999999998</v>
      </c>
      <c r="M5432">
        <v>0.18383279999999999</v>
      </c>
      <c r="N5432">
        <v>-1.378274E-2</v>
      </c>
      <c r="O5432">
        <v>-0.98286099999999998</v>
      </c>
      <c r="P5432">
        <v>0.39301510000000001</v>
      </c>
      <c r="Q5432">
        <v>0.1799193</v>
      </c>
      <c r="R5432">
        <v>-0.90175859999999997</v>
      </c>
      <c r="S5432">
        <v>1.7211000000000001</v>
      </c>
      <c r="T5432">
        <v>-0.146064</v>
      </c>
      <c r="U5432">
        <v>-2.6098629999999998</v>
      </c>
      <c r="V5432">
        <v>-0.22191350000000001</v>
      </c>
      <c r="W5432">
        <v>0.19152060000000001</v>
      </c>
      <c r="X5432">
        <v>0.95607229999999999</v>
      </c>
      <c r="Y5432">
        <v>-0.38718550000000002</v>
      </c>
      <c r="Z5432">
        <v>3.4578699999999997E-2</v>
      </c>
      <c r="AA5432">
        <v>0.92135319999999998</v>
      </c>
      <c r="AB5432">
        <v>21</v>
      </c>
      <c r="AC5432">
        <v>13.0795999999999</v>
      </c>
      <c r="AD5432">
        <v>-1.113719132175</v>
      </c>
      <c r="AE5432">
        <v>-19.6951</v>
      </c>
      <c r="AF5432">
        <v>-9.2152508667982698</v>
      </c>
      <c r="AG5432">
        <v>-1.113719132175</v>
      </c>
      <c r="AH5432">
        <v>21.715882295367699</v>
      </c>
      <c r="AI5432">
        <v>92.702982435964302</v>
      </c>
      <c r="AJ5432">
        <v>112.99419993689899</v>
      </c>
      <c r="AK5432">
        <v>23.6165357897737</v>
      </c>
      <c r="AL5432">
        <v>78.958461925520794</v>
      </c>
      <c r="AM5432">
        <v>103.06750646379299</v>
      </c>
      <c r="AN5432">
        <v>0.99999999226695002</v>
      </c>
    </row>
    <row r="5433" spans="1:40" x14ac:dyDescent="0.25">
      <c r="A5433" t="str">
        <f>"20190304155211980"</f>
        <v>20190304155211980</v>
      </c>
      <c r="B5433" t="str">
        <f>"1551685931972214"</f>
        <v>1551685931972214</v>
      </c>
      <c r="C5433" t="s">
        <v>40</v>
      </c>
      <c r="D5433">
        <v>4.7971209999999997</v>
      </c>
      <c r="E5433">
        <v>0.42839120000000003</v>
      </c>
      <c r="F5433" t="s">
        <v>77</v>
      </c>
      <c r="G5433">
        <v>-408.87580000000003</v>
      </c>
      <c r="H5433" s="1">
        <v>-2.0098019999999999E-6</v>
      </c>
      <c r="I5433">
        <v>21.847570000000001</v>
      </c>
      <c r="J5433">
        <v>-421.43220000000002</v>
      </c>
      <c r="K5433">
        <v>1.1137699999999999</v>
      </c>
      <c r="L5433">
        <v>40.614620000000002</v>
      </c>
      <c r="M5433">
        <v>0.18883430000000001</v>
      </c>
      <c r="N5433">
        <v>-1.378974E-2</v>
      </c>
      <c r="O5433">
        <v>-0.98191209999999995</v>
      </c>
      <c r="P5433">
        <v>0.39822419999999997</v>
      </c>
      <c r="Q5433">
        <v>0.1790282</v>
      </c>
      <c r="R5433">
        <v>-0.899648</v>
      </c>
      <c r="S5433">
        <v>1.7294309999999999</v>
      </c>
      <c r="T5433">
        <v>-0.1528621</v>
      </c>
      <c r="U5433">
        <v>-2.6036069999999998</v>
      </c>
      <c r="V5433">
        <v>-0.22256310000000001</v>
      </c>
      <c r="W5433">
        <v>0.19060179999999999</v>
      </c>
      <c r="X5433">
        <v>0.95610490000000004</v>
      </c>
      <c r="Y5433">
        <v>-0.38550800000000002</v>
      </c>
      <c r="Z5433">
        <v>3.681247E-2</v>
      </c>
      <c r="AA5433">
        <v>0.92196990000000001</v>
      </c>
      <c r="AB5433">
        <v>21</v>
      </c>
      <c r="AC5433">
        <v>12.556399999999901</v>
      </c>
      <c r="AD5433">
        <v>-1.1137720098019901</v>
      </c>
      <c r="AE5433">
        <v>-18.767050000000001</v>
      </c>
      <c r="AF5433">
        <v>-8.7649292818352897</v>
      </c>
      <c r="AG5433">
        <v>-1.1137720098019901</v>
      </c>
      <c r="AH5433">
        <v>20.750166507838198</v>
      </c>
      <c r="AI5433">
        <v>92.830694340734098</v>
      </c>
      <c r="AJ5433">
        <v>112.899334026494</v>
      </c>
      <c r="AK5433">
        <v>22.5529129716851</v>
      </c>
      <c r="AL5433">
        <v>79.012093140819303</v>
      </c>
      <c r="AM5433">
        <v>103.10400885159</v>
      </c>
      <c r="AN5433">
        <v>0.999999979724429</v>
      </c>
    </row>
    <row r="5434" spans="1:40" x14ac:dyDescent="0.25">
      <c r="A5434" t="str">
        <f>"20190304155212001"</f>
        <v>20190304155212001</v>
      </c>
      <c r="B5434" t="str">
        <f>"1551685931992710"</f>
        <v>1551685931992710</v>
      </c>
      <c r="C5434" t="s">
        <v>40</v>
      </c>
      <c r="D5434">
        <v>4.7730709999999998</v>
      </c>
      <c r="E5434">
        <v>0.42879060000000002</v>
      </c>
      <c r="F5434" t="s">
        <v>77</v>
      </c>
      <c r="G5434">
        <v>-409.12380000000002</v>
      </c>
      <c r="H5434" s="1">
        <v>-1.956115E-6</v>
      </c>
      <c r="I5434">
        <v>22.266390000000001</v>
      </c>
      <c r="J5434">
        <v>-421.38659999999999</v>
      </c>
      <c r="K5434">
        <v>1.113831</v>
      </c>
      <c r="L5434">
        <v>40.409910000000004</v>
      </c>
      <c r="M5434">
        <v>0.19400899999999999</v>
      </c>
      <c r="N5434">
        <v>-1.379741E-2</v>
      </c>
      <c r="O5434">
        <v>-0.98090279999999996</v>
      </c>
      <c r="P5434">
        <v>0.40377659999999999</v>
      </c>
      <c r="Q5434">
        <v>0.17836939999999901</v>
      </c>
      <c r="R5434">
        <v>-0.89730069999999995</v>
      </c>
      <c r="S5434">
        <v>1.74102799999999</v>
      </c>
      <c r="T5434">
        <v>-0.15754370000000001</v>
      </c>
      <c r="U5434">
        <v>-2.595367</v>
      </c>
      <c r="V5434">
        <v>-0.22342999999999999</v>
      </c>
      <c r="W5434">
        <v>0.18991179999999999</v>
      </c>
      <c r="X5434">
        <v>0.95604</v>
      </c>
      <c r="Y5434">
        <v>-0.38480219999999998</v>
      </c>
      <c r="Z5434">
        <v>3.8359789999999998E-2</v>
      </c>
      <c r="AA5434">
        <v>0.92220159999999995</v>
      </c>
      <c r="AB5434">
        <v>21</v>
      </c>
      <c r="AC5434">
        <v>12.262799999999899</v>
      </c>
      <c r="AD5434">
        <v>-1.113832956115</v>
      </c>
      <c r="AE5434">
        <v>-18.143519999999999</v>
      </c>
      <c r="AF5434">
        <v>-8.4874610535014305</v>
      </c>
      <c r="AG5434">
        <v>-1.113832956115</v>
      </c>
      <c r="AH5434">
        <v>20.125976605109699</v>
      </c>
      <c r="AI5434">
        <v>92.919212029018396</v>
      </c>
      <c r="AJ5434">
        <v>112.865966676578</v>
      </c>
      <c r="AK5434">
        <v>21.870815103654799</v>
      </c>
      <c r="AL5434">
        <v>79.052362663938496</v>
      </c>
      <c r="AM5434">
        <v>103.154140571517</v>
      </c>
      <c r="AN5434">
        <v>0.99999996913961897</v>
      </c>
    </row>
    <row r="5435" spans="1:40" x14ac:dyDescent="0.25">
      <c r="A5435" t="str">
        <f>"20190304155212023"</f>
        <v>20190304155212023</v>
      </c>
      <c r="B5435" t="str">
        <f>"1551685932012230"</f>
        <v>1551685932012230</v>
      </c>
      <c r="C5435" t="s">
        <v>40</v>
      </c>
      <c r="D5435">
        <v>4.7803319999999996</v>
      </c>
      <c r="E5435">
        <v>0.42912220000000001</v>
      </c>
      <c r="F5435" t="s">
        <v>77</v>
      </c>
      <c r="G5435">
        <v>-409.25479999999999</v>
      </c>
      <c r="H5435" s="1">
        <v>-1.933975E-6</v>
      </c>
      <c r="I5435">
        <v>22.515419999999999</v>
      </c>
      <c r="J5435">
        <v>-421.34050000000002</v>
      </c>
      <c r="K5435">
        <v>1.113899</v>
      </c>
      <c r="L5435">
        <v>40.208190000000002</v>
      </c>
      <c r="M5435">
        <v>0.1992188</v>
      </c>
      <c r="N5435">
        <v>-1.380522E-2</v>
      </c>
      <c r="O5435">
        <v>-0.97985789999999995</v>
      </c>
      <c r="P5435">
        <v>0.4092343</v>
      </c>
      <c r="Q5435">
        <v>0.1785938</v>
      </c>
      <c r="R5435">
        <v>-0.89478049999999998</v>
      </c>
      <c r="S5435">
        <v>1.7534479999999999</v>
      </c>
      <c r="T5435">
        <v>-0.16098499999999999</v>
      </c>
      <c r="U5435">
        <v>-2.5863339999999999</v>
      </c>
      <c r="V5435">
        <v>-0.22421289999999999</v>
      </c>
      <c r="W5435">
        <v>0.1901023</v>
      </c>
      <c r="X5435">
        <v>0.95581879999999997</v>
      </c>
      <c r="Y5435">
        <v>-0.38439970000000001</v>
      </c>
      <c r="Z5435">
        <v>3.9506800000000002E-2</v>
      </c>
      <c r="AA5435">
        <v>0.92232099999999995</v>
      </c>
      <c r="AB5435">
        <v>21</v>
      </c>
      <c r="AC5435">
        <v>12.085699999999999</v>
      </c>
      <c r="AD5435">
        <v>-1.1139009339749999</v>
      </c>
      <c r="AE5435">
        <v>-17.692769999999999</v>
      </c>
      <c r="AF5435">
        <v>-8.2959071989231905</v>
      </c>
      <c r="AG5435">
        <v>-1.1139009339749999</v>
      </c>
      <c r="AH5435">
        <v>19.692756330416799</v>
      </c>
      <c r="AI5435">
        <v>92.983978119346602</v>
      </c>
      <c r="AJ5435">
        <v>112.84408327698</v>
      </c>
      <c r="AK5435">
        <v>21.397838756122699</v>
      </c>
      <c r="AL5435">
        <v>79.041245007215096</v>
      </c>
      <c r="AM5435">
        <v>103.201569566103</v>
      </c>
      <c r="AN5435">
        <v>0.99999994371256795</v>
      </c>
    </row>
    <row r="5436" spans="1:40" x14ac:dyDescent="0.25">
      <c r="A5436" t="str">
        <f>"20190304155212047"</f>
        <v>20190304155212047</v>
      </c>
      <c r="B5436" t="str">
        <f>"1551685932042486"</f>
        <v>1551685932042486</v>
      </c>
      <c r="C5436" t="s">
        <v>40</v>
      </c>
      <c r="D5436">
        <v>4.8067039999999999</v>
      </c>
      <c r="E5436">
        <v>0.42975180000000002</v>
      </c>
      <c r="F5436" t="s">
        <v>77</v>
      </c>
      <c r="G5436">
        <v>-409.02699999999999</v>
      </c>
      <c r="H5436" s="1">
        <v>-2.0125440000000002E-6</v>
      </c>
      <c r="I5436">
        <v>22.26258</v>
      </c>
      <c r="J5436">
        <v>-421.29239999999999</v>
      </c>
      <c r="K5436">
        <v>1.1139680000000001</v>
      </c>
      <c r="L5436">
        <v>40.003270000000001</v>
      </c>
      <c r="M5436">
        <v>0.204624</v>
      </c>
      <c r="N5436">
        <v>-1.381316E-2</v>
      </c>
      <c r="O5436">
        <v>-0.97874309999999998</v>
      </c>
      <c r="P5436">
        <v>0.41496470000000002</v>
      </c>
      <c r="Q5436">
        <v>0.178833299999999</v>
      </c>
      <c r="R5436">
        <v>-0.89208899999999902</v>
      </c>
      <c r="S5436">
        <v>1.7677</v>
      </c>
      <c r="T5436">
        <v>-0.1599091</v>
      </c>
      <c r="U5436">
        <v>-2.5762330000000002</v>
      </c>
      <c r="V5436">
        <v>-0.22511039999999999</v>
      </c>
      <c r="W5436">
        <v>0.19030459999999999</v>
      </c>
      <c r="X5436">
        <v>0.95556759999999996</v>
      </c>
      <c r="Y5436">
        <v>-0.3844689</v>
      </c>
      <c r="Z5436">
        <v>3.9183740000000002E-2</v>
      </c>
      <c r="AA5436">
        <v>0.92230599999999996</v>
      </c>
      <c r="AB5436">
        <v>21</v>
      </c>
      <c r="AC5436">
        <v>12.2654</v>
      </c>
      <c r="AD5436">
        <v>-1.113970012544</v>
      </c>
      <c r="AE5436">
        <v>-17.740690000000001</v>
      </c>
      <c r="AF5436">
        <v>-8.3530212255913092</v>
      </c>
      <c r="AG5436">
        <v>-1.113970012544</v>
      </c>
      <c r="AH5436">
        <v>19.822391199169498</v>
      </c>
      <c r="AI5436">
        <v>92.964548164726907</v>
      </c>
      <c r="AJ5436">
        <v>112.850227743383</v>
      </c>
      <c r="AK5436">
        <v>21.539291669805198</v>
      </c>
      <c r="AL5436">
        <v>79.029439004552003</v>
      </c>
      <c r="AM5436">
        <v>103.255913666989</v>
      </c>
      <c r="AN5436">
        <v>0.99999998556953995</v>
      </c>
    </row>
    <row r="5437" spans="1:40" x14ac:dyDescent="0.25">
      <c r="A5437" t="str">
        <f>"20190304155212069"</f>
        <v>20190304155212069</v>
      </c>
      <c r="B5437" t="str">
        <f>"1551685932062009"</f>
        <v>1551685932062009</v>
      </c>
      <c r="C5437" t="s">
        <v>40</v>
      </c>
      <c r="D5437">
        <v>4.6658480000000004</v>
      </c>
      <c r="E5437">
        <v>0.43012529999999999</v>
      </c>
      <c r="F5437" t="s">
        <v>77</v>
      </c>
      <c r="G5437">
        <v>-408.98439999999999</v>
      </c>
      <c r="H5437" s="1">
        <v>-2.0366800000000002E-6</v>
      </c>
      <c r="I5437">
        <v>22.257709999999999</v>
      </c>
      <c r="J5437">
        <v>-421.24270000000001</v>
      </c>
      <c r="K5437">
        <v>1.1140350000000001</v>
      </c>
      <c r="L5437">
        <v>39.79813</v>
      </c>
      <c r="M5437">
        <v>0.21016799999999999</v>
      </c>
      <c r="N5437">
        <v>-1.3821369999999999E-2</v>
      </c>
      <c r="O5437">
        <v>-0.97756759999999998</v>
      </c>
      <c r="P5437">
        <v>0.42099700000000001</v>
      </c>
      <c r="Q5437">
        <v>0.1789897</v>
      </c>
      <c r="R5437">
        <v>-0.88922679999999998</v>
      </c>
      <c r="S5437">
        <v>1.7804259999999901</v>
      </c>
      <c r="T5437">
        <v>-0.16114339999999999</v>
      </c>
      <c r="U5437">
        <v>-2.5670169999999999</v>
      </c>
      <c r="V5437">
        <v>-0.2262063</v>
      </c>
      <c r="W5437">
        <v>0.19042210000000001</v>
      </c>
      <c r="X5437">
        <v>0.95528539999999995</v>
      </c>
      <c r="Y5437">
        <v>-0.3838646</v>
      </c>
      <c r="Z5437">
        <v>3.9607150000000001E-2</v>
      </c>
      <c r="AA5437">
        <v>0.92253960000000002</v>
      </c>
      <c r="AB5437">
        <v>21</v>
      </c>
      <c r="AC5437">
        <v>12.2583</v>
      </c>
      <c r="AD5437">
        <v>-1.1140370366799901</v>
      </c>
      <c r="AE5437">
        <v>-17.540420000000001</v>
      </c>
      <c r="AF5437">
        <v>-8.2752469797765702</v>
      </c>
      <c r="AG5437">
        <v>-1.1140370366799901</v>
      </c>
      <c r="AH5437">
        <v>19.671818353873299</v>
      </c>
      <c r="AI5437">
        <v>92.9881546220643</v>
      </c>
      <c r="AJ5437">
        <v>112.81479016346501</v>
      </c>
      <c r="AK5437">
        <v>21.370569211960198</v>
      </c>
      <c r="AL5437">
        <v>79.022581852919899</v>
      </c>
      <c r="AM5437">
        <v>103.32194690129199</v>
      </c>
      <c r="AN5437">
        <v>1.0000000308906201</v>
      </c>
    </row>
    <row r="5438" spans="1:40" x14ac:dyDescent="0.25">
      <c r="A5438" t="str">
        <f>"20190304155212092"</f>
        <v>20190304155212092</v>
      </c>
      <c r="B5438" t="str">
        <f>"1551685932082506"</f>
        <v>1551685932082506</v>
      </c>
      <c r="C5438" t="s">
        <v>40</v>
      </c>
      <c r="D5438">
        <v>4.7546920000000004</v>
      </c>
      <c r="E5438">
        <v>0.43041180000000001</v>
      </c>
      <c r="F5438" t="s">
        <v>77</v>
      </c>
      <c r="G5438">
        <v>-408.90679999999998</v>
      </c>
      <c r="H5438" s="1">
        <v>-2.0758079999999999E-6</v>
      </c>
      <c r="I5438">
        <v>22.226980000000001</v>
      </c>
      <c r="J5438">
        <v>-421.19240000000002</v>
      </c>
      <c r="K5438">
        <v>1.114096</v>
      </c>
      <c r="L5438">
        <v>39.59592</v>
      </c>
      <c r="M5438">
        <v>0.21575829999999999</v>
      </c>
      <c r="N5438">
        <v>-1.382977E-2</v>
      </c>
      <c r="O5438">
        <v>-0.97634889999999996</v>
      </c>
      <c r="P5438">
        <v>0.42724849999999998</v>
      </c>
      <c r="Q5438">
        <v>0.17899010000000001</v>
      </c>
      <c r="R5438">
        <v>-0.88624009999999998</v>
      </c>
      <c r="S5438">
        <v>1.794861</v>
      </c>
      <c r="T5438">
        <v>-0.16209100000000001</v>
      </c>
      <c r="U5438">
        <v>-2.5565799999999999</v>
      </c>
      <c r="V5438">
        <v>-0.22749739999999999</v>
      </c>
      <c r="W5438">
        <v>0.1903832</v>
      </c>
      <c r="X5438">
        <v>0.95498649999999996</v>
      </c>
      <c r="Y5438">
        <v>-0.38383289999999998</v>
      </c>
      <c r="Z5438">
        <v>3.9939370000000002E-2</v>
      </c>
      <c r="AA5438">
        <v>0.92253839999999998</v>
      </c>
      <c r="AB5438">
        <v>21</v>
      </c>
      <c r="AC5438">
        <v>12.285600000000001</v>
      </c>
      <c r="AD5438">
        <v>-1.1140980758079999</v>
      </c>
      <c r="AE5438">
        <v>-17.368939999999998</v>
      </c>
      <c r="AF5438">
        <v>-8.2257699502342003</v>
      </c>
      <c r="AG5438">
        <v>-1.1140980758079999</v>
      </c>
      <c r="AH5438">
        <v>19.557108629555099</v>
      </c>
      <c r="AI5438">
        <v>93.005880636810403</v>
      </c>
      <c r="AJ5438">
        <v>112.811746686064</v>
      </c>
      <c r="AK5438">
        <v>21.245823207042701</v>
      </c>
      <c r="AL5438">
        <v>79.024852099012705</v>
      </c>
      <c r="AM5438">
        <v>103.399291693968</v>
      </c>
      <c r="AN5438">
        <v>1.00000002251562</v>
      </c>
    </row>
    <row r="5439" spans="1:40" x14ac:dyDescent="0.25">
      <c r="A5439" t="str">
        <f>"20190304155212114"</f>
        <v>20190304155212114</v>
      </c>
      <c r="B5439" t="str">
        <f>"1551685932102025"</f>
        <v>1551685932102025</v>
      </c>
      <c r="C5439" t="s">
        <v>40</v>
      </c>
      <c r="D5439">
        <v>4.6623539999999997</v>
      </c>
      <c r="E5439">
        <v>0.43078509999999998</v>
      </c>
      <c r="F5439" t="s">
        <v>77</v>
      </c>
      <c r="G5439">
        <v>-408.76179999999999</v>
      </c>
      <c r="H5439" s="1">
        <v>-2.1392159999999998E-6</v>
      </c>
      <c r="I5439">
        <v>22.126270000000002</v>
      </c>
      <c r="J5439">
        <v>-421.14159999999998</v>
      </c>
      <c r="K5439">
        <v>1.114152</v>
      </c>
      <c r="L5439">
        <v>39.397030000000001</v>
      </c>
      <c r="M5439">
        <v>0.22135669999999999</v>
      </c>
      <c r="N5439">
        <v>-1.3837769999999999E-2</v>
      </c>
      <c r="O5439">
        <v>-0.97509489999999999</v>
      </c>
      <c r="P5439">
        <v>0.43300450000000001</v>
      </c>
      <c r="Q5439">
        <v>0.1799471</v>
      </c>
      <c r="R5439">
        <v>-0.88324769999999897</v>
      </c>
      <c r="S5439">
        <v>1.8108219999999999</v>
      </c>
      <c r="T5439">
        <v>-0.1622963</v>
      </c>
      <c r="U5439">
        <v>-2.5448909999999998</v>
      </c>
      <c r="V5439">
        <v>-0.2283056</v>
      </c>
      <c r="W5439">
        <v>0.19131000000000001</v>
      </c>
      <c r="X5439">
        <v>0.95460829999999997</v>
      </c>
      <c r="Y5439">
        <v>-0.38437510000000003</v>
      </c>
      <c r="Z5439">
        <v>4.0034550000000002E-2</v>
      </c>
      <c r="AA5439">
        <v>0.92230860000000003</v>
      </c>
      <c r="AB5439">
        <v>21</v>
      </c>
      <c r="AC5439">
        <v>12.3797999999999</v>
      </c>
      <c r="AD5439">
        <v>-1.1141541392159999</v>
      </c>
      <c r="AE5439">
        <v>-17.270759999999999</v>
      </c>
      <c r="AF5439">
        <v>-8.2266536924961198</v>
      </c>
      <c r="AG5439">
        <v>-1.1141541392159999</v>
      </c>
      <c r="AH5439">
        <v>19.5291651017418</v>
      </c>
      <c r="AI5439">
        <v>93.009629772753399</v>
      </c>
      <c r="AJ5439">
        <v>112.84324126120499</v>
      </c>
      <c r="AK5439">
        <v>21.220449099707601</v>
      </c>
      <c r="AL5439">
        <v>78.970755656236094</v>
      </c>
      <c r="AM5439">
        <v>103.450301341768</v>
      </c>
      <c r="AN5439">
        <v>0.99999998476012397</v>
      </c>
    </row>
    <row r="5440" spans="1:40" x14ac:dyDescent="0.25">
      <c r="A5440" t="str">
        <f>"20190304155212137"</f>
        <v>20190304155212137</v>
      </c>
      <c r="B5440" t="str">
        <f>"1551685932132278"</f>
        <v>1551685932132278</v>
      </c>
      <c r="C5440" t="s">
        <v>40</v>
      </c>
      <c r="D5440">
        <v>4.7941669999999998</v>
      </c>
      <c r="E5440">
        <v>0.43125350000000001</v>
      </c>
      <c r="F5440" t="s">
        <v>77</v>
      </c>
      <c r="G5440">
        <v>-408.447</v>
      </c>
      <c r="H5440" s="1">
        <v>-2.2469180000000001E-6</v>
      </c>
      <c r="I5440">
        <v>21.772559999999999</v>
      </c>
      <c r="J5440">
        <v>-421.08870000000002</v>
      </c>
      <c r="K5440">
        <v>1.11419</v>
      </c>
      <c r="L5440">
        <v>39.195309999999999</v>
      </c>
      <c r="M5440">
        <v>0.22713149999999999</v>
      </c>
      <c r="N5440">
        <v>-1.3845140000000001E-2</v>
      </c>
      <c r="O5440">
        <v>-0.97376589999999996</v>
      </c>
      <c r="P5440">
        <v>0.43818200000000002</v>
      </c>
      <c r="Q5440">
        <v>0.1808459</v>
      </c>
      <c r="R5440">
        <v>-0.88050659999999903</v>
      </c>
      <c r="S5440">
        <v>1.8254090000000001</v>
      </c>
      <c r="T5440">
        <v>-0.1602092</v>
      </c>
      <c r="U5440">
        <v>-2.5343019999999998</v>
      </c>
      <c r="V5440">
        <v>-0.2283202</v>
      </c>
      <c r="W5440">
        <v>0.19219069999999999</v>
      </c>
      <c r="X5440">
        <v>0.9544279</v>
      </c>
      <c r="Y5440">
        <v>-0.3842448</v>
      </c>
      <c r="Z5440">
        <v>3.9375090000000001E-2</v>
      </c>
      <c r="AA5440">
        <v>0.92239119999999997</v>
      </c>
      <c r="AB5440">
        <v>21</v>
      </c>
      <c r="AC5440">
        <v>12.6417</v>
      </c>
      <c r="AD5440">
        <v>-1.1141922469179999</v>
      </c>
      <c r="AE5440">
        <v>-17.422749999999901</v>
      </c>
      <c r="AF5440">
        <v>-8.3312791463193303</v>
      </c>
      <c r="AG5440">
        <v>-1.1141922469179999</v>
      </c>
      <c r="AH5440">
        <v>19.785895933193999</v>
      </c>
      <c r="AI5440">
        <v>92.970939157527496</v>
      </c>
      <c r="AJ5440">
        <v>112.83457803037</v>
      </c>
      <c r="AK5440">
        <v>21.497286211430801</v>
      </c>
      <c r="AL5440">
        <v>78.919341344253894</v>
      </c>
      <c r="AM5440">
        <v>103.45358025243</v>
      </c>
      <c r="AN5440">
        <v>0.99999999759646996</v>
      </c>
    </row>
    <row r="5441" spans="1:40" x14ac:dyDescent="0.25">
      <c r="A5441" t="str">
        <f>"20190304155212158"</f>
        <v>20190304155212158</v>
      </c>
      <c r="B5441" t="str">
        <f>"1551685932152777"</f>
        <v>1551685932152777</v>
      </c>
      <c r="C5441" t="s">
        <v>40</v>
      </c>
      <c r="D5441">
        <v>4.7720140000000004</v>
      </c>
      <c r="E5441">
        <v>0.4316429</v>
      </c>
      <c r="F5441" t="s">
        <v>77</v>
      </c>
      <c r="G5441">
        <v>-408.0992</v>
      </c>
      <c r="H5441" s="1">
        <v>-2.3576160000000001E-6</v>
      </c>
      <c r="I5441">
        <v>21.344560000000001</v>
      </c>
      <c r="J5441">
        <v>-421.03570000000002</v>
      </c>
      <c r="K5441">
        <v>1.1142299999999901</v>
      </c>
      <c r="L5441">
        <v>38.99823</v>
      </c>
      <c r="M5441">
        <v>0.2328749</v>
      </c>
      <c r="N5441">
        <v>-1.3852049999999999E-2</v>
      </c>
      <c r="O5441">
        <v>-0.97240819999999994</v>
      </c>
      <c r="P5441">
        <v>0.4441522</v>
      </c>
      <c r="Q5441">
        <v>0.18134919999999999</v>
      </c>
      <c r="R5441">
        <v>-0.87740620000000002</v>
      </c>
      <c r="S5441">
        <v>1.8374330000000001</v>
      </c>
      <c r="T5441">
        <v>-0.15760850000000001</v>
      </c>
      <c r="U5441">
        <v>-2.5250849999999998</v>
      </c>
      <c r="V5441">
        <v>-0.2292179</v>
      </c>
      <c r="W5441">
        <v>0.19266800000000001</v>
      </c>
      <c r="X5441">
        <v>0.95411650000000003</v>
      </c>
      <c r="Y5441">
        <v>-0.38329079999999999</v>
      </c>
      <c r="Z5441">
        <v>3.854556E-2</v>
      </c>
      <c r="AA5441">
        <v>0.92282310000000001</v>
      </c>
      <c r="AB5441">
        <v>21</v>
      </c>
      <c r="AC5441">
        <v>12.936500000000001</v>
      </c>
      <c r="AD5441">
        <v>-1.11423235761599</v>
      </c>
      <c r="AE5441">
        <v>-17.653669999999899</v>
      </c>
      <c r="AF5441">
        <v>-8.4473789101460195</v>
      </c>
      <c r="AG5441">
        <v>-1.11423235761599</v>
      </c>
      <c r="AH5441">
        <v>20.128921456631399</v>
      </c>
      <c r="AI5441">
        <v>92.921970136686994</v>
      </c>
      <c r="AJ5441">
        <v>112.766027532781</v>
      </c>
      <c r="AK5441">
        <v>21.8580237717314</v>
      </c>
      <c r="AL5441">
        <v>78.891473823110601</v>
      </c>
      <c r="AM5441">
        <v>103.508788691924</v>
      </c>
      <c r="AN5441">
        <v>1.0000000497383199</v>
      </c>
    </row>
    <row r="5442" spans="1:40" x14ac:dyDescent="0.25">
      <c r="A5442" t="str">
        <f>"20190304155212172"</f>
        <v>20190304155212172</v>
      </c>
      <c r="B5442" t="str">
        <f>"1551685932162533"</f>
        <v>1551685932162533</v>
      </c>
      <c r="C5442" t="s">
        <v>40</v>
      </c>
      <c r="D5442">
        <v>4.6888769999999997</v>
      </c>
      <c r="E5442">
        <v>0.43185560000000001</v>
      </c>
      <c r="F5442" t="s">
        <v>77</v>
      </c>
      <c r="G5442">
        <v>-407.88490000000002</v>
      </c>
      <c r="H5442" s="1">
        <v>-2.4409089999999998E-6</v>
      </c>
      <c r="I5442">
        <v>21.148849999999999</v>
      </c>
      <c r="J5442">
        <v>-421.00310000000002</v>
      </c>
      <c r="K5442">
        <v>1.11426</v>
      </c>
      <c r="L5442">
        <v>38.879240000000003</v>
      </c>
      <c r="M5442">
        <v>0.23638870000000001</v>
      </c>
      <c r="N5442">
        <v>-1.385637E-2</v>
      </c>
      <c r="O5442">
        <v>-0.97155979999999997</v>
      </c>
      <c r="P5442">
        <v>0.44778810000000002</v>
      </c>
      <c r="Q5442">
        <v>0.18134639999999999</v>
      </c>
      <c r="R5442">
        <v>-0.87555649999999996</v>
      </c>
      <c r="S5442">
        <v>1.852203</v>
      </c>
      <c r="T5442">
        <v>-0.15693299999999999</v>
      </c>
      <c r="U5442">
        <v>-2.5139770000000001</v>
      </c>
      <c r="V5442">
        <v>-0.2297392</v>
      </c>
      <c r="W5442">
        <v>0.19264980000000001</v>
      </c>
      <c r="X5442">
        <v>0.95399480000000003</v>
      </c>
      <c r="Y5442">
        <v>-0.38541639999999999</v>
      </c>
      <c r="Z5442">
        <v>3.8357889999999999E-2</v>
      </c>
      <c r="AA5442">
        <v>0.92194520000000002</v>
      </c>
      <c r="AB5442">
        <v>21</v>
      </c>
      <c r="AC5442">
        <v>13.1182</v>
      </c>
      <c r="AD5442">
        <v>-1.1142624409090001</v>
      </c>
      <c r="AE5442">
        <v>-17.73039</v>
      </c>
      <c r="AF5442">
        <v>-8.5328943614424304</v>
      </c>
      <c r="AG5442">
        <v>-1.1142624409090001</v>
      </c>
      <c r="AH5442">
        <v>20.277325451827899</v>
      </c>
      <c r="AI5442">
        <v>92.899514999771696</v>
      </c>
      <c r="AJ5442">
        <v>112.821828117896</v>
      </c>
      <c r="AK5442">
        <v>22.0277505535655</v>
      </c>
      <c r="AL5442">
        <v>78.892536652211305</v>
      </c>
      <c r="AM5442">
        <v>103.540044984712</v>
      </c>
      <c r="AN5442">
        <v>1.0000000619418501</v>
      </c>
    </row>
    <row r="5443" spans="1:40" x14ac:dyDescent="0.25">
      <c r="A5443" t="str">
        <f>"20190304155212185"</f>
        <v>20190304155212185</v>
      </c>
      <c r="B5443" t="str">
        <f>"1551685932182055"</f>
        <v>1551685932182055</v>
      </c>
      <c r="C5443" t="s">
        <v>40</v>
      </c>
      <c r="D5443">
        <v>4.8326570000000002</v>
      </c>
      <c r="E5443">
        <v>0.43220130000000001</v>
      </c>
      <c r="F5443" t="s">
        <v>77</v>
      </c>
      <c r="G5443">
        <v>-407.85829999999999</v>
      </c>
      <c r="H5443" s="1">
        <v>-2.4629850000000002E-6</v>
      </c>
      <c r="I5443">
        <v>21.17719</v>
      </c>
      <c r="J5443">
        <v>-420.96910000000003</v>
      </c>
      <c r="K5443">
        <v>1.1142909999999999</v>
      </c>
      <c r="L5443">
        <v>38.756959999999999</v>
      </c>
      <c r="M5443">
        <v>0.2400378</v>
      </c>
      <c r="N5443">
        <v>-1.3861099999999999E-2</v>
      </c>
      <c r="O5443">
        <v>-0.97066479999999999</v>
      </c>
      <c r="P5443">
        <v>0.45169350000000003</v>
      </c>
      <c r="Q5443">
        <v>0.18141669999999999</v>
      </c>
      <c r="R5443">
        <v>-0.87353380000000003</v>
      </c>
      <c r="S5443">
        <v>1.8616029999999999</v>
      </c>
      <c r="T5443">
        <v>-0.15780520000000001</v>
      </c>
      <c r="U5443">
        <v>-2.5070190000000001</v>
      </c>
      <c r="V5443">
        <v>-0.23043279999999999</v>
      </c>
      <c r="W5443">
        <v>0.1927017</v>
      </c>
      <c r="X5443">
        <v>0.95381700000000003</v>
      </c>
      <c r="Y5443">
        <v>-0.38539489999999998</v>
      </c>
      <c r="Z5443">
        <v>3.8651520000000002E-2</v>
      </c>
      <c r="AA5443">
        <v>0.92194189999999998</v>
      </c>
      <c r="AB5443">
        <v>21</v>
      </c>
      <c r="AC5443">
        <v>13.110799999999999</v>
      </c>
      <c r="AD5443">
        <v>-1.1142934629850001</v>
      </c>
      <c r="AE5443">
        <v>-17.57977</v>
      </c>
      <c r="AF5443">
        <v>-8.4852916613113205</v>
      </c>
      <c r="AG5443">
        <v>-1.1142934629850001</v>
      </c>
      <c r="AH5443">
        <v>20.1610391400176</v>
      </c>
      <c r="AI5443">
        <v>92.916222548072</v>
      </c>
      <c r="AJ5443">
        <v>112.825043262558</v>
      </c>
      <c r="AK5443">
        <v>21.902267547094102</v>
      </c>
      <c r="AL5443">
        <v>78.889506027940001</v>
      </c>
      <c r="AM5443">
        <v>103.581849415816</v>
      </c>
      <c r="AN5443">
        <v>1.00000004499386</v>
      </c>
    </row>
    <row r="5444" spans="1:40" x14ac:dyDescent="0.25">
      <c r="A5444" t="str">
        <f>"20190304155212203"</f>
        <v>20190304155212203</v>
      </c>
      <c r="B5444" t="str">
        <f>"1551685932192790"</f>
        <v>1551685932192790</v>
      </c>
      <c r="C5444" t="s">
        <v>40</v>
      </c>
      <c r="D5444">
        <v>4.8207899999999997</v>
      </c>
      <c r="E5444">
        <v>0.43237779999999998</v>
      </c>
      <c r="F5444" t="s">
        <v>77</v>
      </c>
      <c r="G5444">
        <v>-407.76429999999999</v>
      </c>
      <c r="H5444" s="1">
        <v>-2.503055E-6</v>
      </c>
      <c r="I5444">
        <v>21.107189999999999</v>
      </c>
      <c r="J5444">
        <v>-420.92529999999999</v>
      </c>
      <c r="K5444">
        <v>1.1143320000000001</v>
      </c>
      <c r="L5444">
        <v>38.602939999999997</v>
      </c>
      <c r="M5444">
        <v>0.24469560000000001</v>
      </c>
      <c r="N5444">
        <v>-1.386747E-2</v>
      </c>
      <c r="O5444">
        <v>-0.96950069999999999</v>
      </c>
      <c r="P5444">
        <v>0.45675949999999998</v>
      </c>
      <c r="Q5444">
        <v>0.18160689999999999</v>
      </c>
      <c r="R5444">
        <v>-0.87085569999999901</v>
      </c>
      <c r="S5444">
        <v>1.8703609999999999</v>
      </c>
      <c r="T5444">
        <v>-0.157832</v>
      </c>
      <c r="U5444">
        <v>-2.4999690000000001</v>
      </c>
      <c r="V5444">
        <v>-0.23142380000000001</v>
      </c>
      <c r="W5444">
        <v>0.1928655</v>
      </c>
      <c r="X5444">
        <v>0.9535439</v>
      </c>
      <c r="Y5444">
        <v>-0.38428210000000002</v>
      </c>
      <c r="Z5444">
        <v>3.8668899999999999E-2</v>
      </c>
      <c r="AA5444">
        <v>0.92240549999999999</v>
      </c>
      <c r="AB5444">
        <v>21</v>
      </c>
      <c r="AC5444">
        <v>13.161</v>
      </c>
      <c r="AD5444">
        <v>-1.11433450305499</v>
      </c>
      <c r="AE5444">
        <v>-17.495750000000001</v>
      </c>
      <c r="AF5444">
        <v>-8.4573714104968101</v>
      </c>
      <c r="AG5444">
        <v>-1.11433450305499</v>
      </c>
      <c r="AH5444">
        <v>20.132366793521498</v>
      </c>
      <c r="AI5444">
        <v>92.9212963750565</v>
      </c>
      <c r="AJ5444">
        <v>112.786705387518</v>
      </c>
      <c r="AK5444">
        <v>21.8650649500219</v>
      </c>
      <c r="AL5444">
        <v>78.879941312351207</v>
      </c>
      <c r="AM5444">
        <v>103.641842635073</v>
      </c>
      <c r="AN5444">
        <v>1.0000000227619401</v>
      </c>
    </row>
    <row r="5445" spans="1:40" x14ac:dyDescent="0.25">
      <c r="A5445" t="str">
        <f>"20190304155212225"</f>
        <v>20190304155212225</v>
      </c>
      <c r="B5445" t="str">
        <f>"1551685932222746"</f>
        <v>1551685932222746</v>
      </c>
      <c r="C5445" t="s">
        <v>40</v>
      </c>
      <c r="D5445">
        <v>4.7488409999999996</v>
      </c>
      <c r="E5445">
        <v>0.43294529999999998</v>
      </c>
      <c r="F5445" t="s">
        <v>77</v>
      </c>
      <c r="G5445">
        <v>-407.56990000000002</v>
      </c>
      <c r="H5445" s="1">
        <v>-2.5850659999999999E-6</v>
      </c>
      <c r="I5445">
        <v>20.95834</v>
      </c>
      <c r="J5445">
        <v>-420.86779999999999</v>
      </c>
      <c r="K5445">
        <v>1.1143879999999999</v>
      </c>
      <c r="L5445">
        <v>38.40466</v>
      </c>
      <c r="M5445">
        <v>0.2507761</v>
      </c>
      <c r="N5445">
        <v>-1.3875790000000001E-2</v>
      </c>
      <c r="O5445">
        <v>-0.96794579999999997</v>
      </c>
      <c r="P5445">
        <v>0.46357409999999999</v>
      </c>
      <c r="Q5445">
        <v>0.18132039999999999</v>
      </c>
      <c r="R5445">
        <v>-0.86730750000000001</v>
      </c>
      <c r="S5445">
        <v>1.884247</v>
      </c>
      <c r="T5445">
        <v>-0.15721540000000001</v>
      </c>
      <c r="U5445">
        <v>-2.4893800000000001</v>
      </c>
      <c r="V5445">
        <v>-0.23292640000000001</v>
      </c>
      <c r="W5445">
        <v>0.1925403</v>
      </c>
      <c r="X5445">
        <v>0.95324370000000003</v>
      </c>
      <c r="Y5445">
        <v>-0.3836524</v>
      </c>
      <c r="Z5445">
        <v>3.8478230000000002E-2</v>
      </c>
      <c r="AA5445">
        <v>0.92267560000000004</v>
      </c>
      <c r="AB5445">
        <v>21</v>
      </c>
      <c r="AC5445">
        <v>13.297899999999901</v>
      </c>
      <c r="AD5445">
        <v>-1.1143905850660001</v>
      </c>
      <c r="AE5445">
        <v>-17.44632</v>
      </c>
      <c r="AF5445">
        <v>-8.47547045806032</v>
      </c>
      <c r="AG5445">
        <v>-1.1143905850660001</v>
      </c>
      <c r="AH5445">
        <v>20.171774227521301</v>
      </c>
      <c r="AI5445">
        <v>92.915666109662695</v>
      </c>
      <c r="AJ5445">
        <v>112.790434084273</v>
      </c>
      <c r="AK5445">
        <v>21.908353232217799</v>
      </c>
      <c r="AL5445">
        <v>78.898929691097905</v>
      </c>
      <c r="AM5445">
        <v>103.73123587857501</v>
      </c>
      <c r="AN5445">
        <v>1.0000000132653699</v>
      </c>
    </row>
    <row r="5446" spans="1:40" x14ac:dyDescent="0.25">
      <c r="A5446" t="str">
        <f>"20190304155212239"</f>
        <v>20190304155212239</v>
      </c>
      <c r="B5446" t="str">
        <f>"1551685932232508"</f>
        <v>1551685932232508</v>
      </c>
      <c r="C5446" t="s">
        <v>40</v>
      </c>
      <c r="D5446">
        <v>4.8270039999999996</v>
      </c>
      <c r="E5446">
        <v>0.43311369999999999</v>
      </c>
      <c r="F5446" t="s">
        <v>77</v>
      </c>
      <c r="G5446">
        <v>-407.52949999999998</v>
      </c>
      <c r="H5446" s="1">
        <v>-2.6235829999999999E-6</v>
      </c>
      <c r="I5446">
        <v>21.024290000000001</v>
      </c>
      <c r="J5446">
        <v>-420.83269999999999</v>
      </c>
      <c r="K5446">
        <v>1.1144210000000001</v>
      </c>
      <c r="L5446">
        <v>38.286650000000002</v>
      </c>
      <c r="M5446">
        <v>0.25445509999999999</v>
      </c>
      <c r="N5446">
        <v>-1.388086E-2</v>
      </c>
      <c r="O5446">
        <v>-0.96698510000000004</v>
      </c>
      <c r="P5446">
        <v>0.46744920000000001</v>
      </c>
      <c r="Q5446">
        <v>0.18093219999999999</v>
      </c>
      <c r="R5446">
        <v>-0.86530649999999998</v>
      </c>
      <c r="S5446">
        <v>1.900452</v>
      </c>
      <c r="T5446">
        <v>-0.1587799</v>
      </c>
      <c r="U5446">
        <v>-2.4763790000000001</v>
      </c>
      <c r="V5446">
        <v>-0.23355860000000001</v>
      </c>
      <c r="W5446">
        <v>0.19213230000000001</v>
      </c>
      <c r="X5446">
        <v>0.95317130000000005</v>
      </c>
      <c r="Y5446">
        <v>-0.38626260000000001</v>
      </c>
      <c r="Z5446">
        <v>3.9026999999999999E-2</v>
      </c>
      <c r="AA5446">
        <v>0.92156289999999996</v>
      </c>
      <c r="AB5446">
        <v>21</v>
      </c>
      <c r="AC5446">
        <v>13.3032</v>
      </c>
      <c r="AD5446">
        <v>-1.1144236235829901</v>
      </c>
      <c r="AE5446">
        <v>-17.262360000000001</v>
      </c>
      <c r="AF5446">
        <v>-8.4502200966659</v>
      </c>
      <c r="AG5446">
        <v>-1.1144236235829901</v>
      </c>
      <c r="AH5446">
        <v>20.027076964687101</v>
      </c>
      <c r="AI5446">
        <v>92.934921808568205</v>
      </c>
      <c r="AJ5446">
        <v>112.876815101978</v>
      </c>
      <c r="AK5446">
        <v>21.765384707015802</v>
      </c>
      <c r="AL5446">
        <v>78.922750806322597</v>
      </c>
      <c r="AM5446">
        <v>103.768094394614</v>
      </c>
      <c r="AN5446">
        <v>0.99999998374046895</v>
      </c>
    </row>
    <row r="5447" spans="1:40" x14ac:dyDescent="0.25">
      <c r="A5447" t="str">
        <f>"20190304155212252"</f>
        <v>20190304155212252</v>
      </c>
      <c r="B5447" t="str">
        <f>"1551685932242268"</f>
        <v>1551685932242268</v>
      </c>
      <c r="C5447" t="s">
        <v>40</v>
      </c>
      <c r="D5447">
        <v>4.8038730000000003</v>
      </c>
      <c r="E5447">
        <v>0.43329970000000001</v>
      </c>
      <c r="F5447" t="s">
        <v>77</v>
      </c>
      <c r="G5447">
        <v>-407.48399999999998</v>
      </c>
      <c r="H5447" s="1">
        <v>-2.655508E-6</v>
      </c>
      <c r="I5447">
        <v>21.04663</v>
      </c>
      <c r="J5447">
        <v>-420.79880000000003</v>
      </c>
      <c r="K5447">
        <v>1.1144510000000001</v>
      </c>
      <c r="L5447">
        <v>38.173769999999998</v>
      </c>
      <c r="M5447">
        <v>0.25799949999999999</v>
      </c>
      <c r="N5447">
        <v>-1.3885649999999999E-2</v>
      </c>
      <c r="O5447">
        <v>-0.96604540000000005</v>
      </c>
      <c r="P5447">
        <v>0.47108280000000002</v>
      </c>
      <c r="Q5447">
        <v>0.18085660000000001</v>
      </c>
      <c r="R5447">
        <v>-0.86334940000000004</v>
      </c>
      <c r="S5447">
        <v>1.9109499999999999</v>
      </c>
      <c r="T5447">
        <v>-0.1595367</v>
      </c>
      <c r="U5447">
        <v>-2.4680179999999998</v>
      </c>
      <c r="V5447">
        <v>-0.23408109999999999</v>
      </c>
      <c r="W5447">
        <v>0.19203770000000001</v>
      </c>
      <c r="X5447">
        <v>0.95306219999999997</v>
      </c>
      <c r="Y5447">
        <v>-0.38683519999999999</v>
      </c>
      <c r="Z5447">
        <v>3.9289079999999997E-2</v>
      </c>
      <c r="AA5447">
        <v>0.92131160000000001</v>
      </c>
      <c r="AB5447">
        <v>21</v>
      </c>
      <c r="AC5447">
        <v>13.3147999999999</v>
      </c>
      <c r="AD5447">
        <v>-1.114453655508</v>
      </c>
      <c r="AE5447">
        <v>-17.127140000000001</v>
      </c>
      <c r="AF5447">
        <v>-8.4224932052903707</v>
      </c>
      <c r="AG5447">
        <v>-1.114453655508</v>
      </c>
      <c r="AH5447">
        <v>19.930133383188601</v>
      </c>
      <c r="AI5447">
        <v>92.948554463321798</v>
      </c>
      <c r="AJ5447">
        <v>112.908965307042</v>
      </c>
      <c r="AK5447">
        <v>21.665424422686101</v>
      </c>
      <c r="AL5447">
        <v>78.928273999004304</v>
      </c>
      <c r="AM5447">
        <v>103.79923861358699</v>
      </c>
      <c r="AN5447">
        <v>0.99999999833366904</v>
      </c>
    </row>
    <row r="5448" spans="1:40" x14ac:dyDescent="0.25">
      <c r="A5448" t="str">
        <f>"20190304155212270"</f>
        <v>20190304155212270</v>
      </c>
      <c r="B5448" t="str">
        <f>"1551685932262766"</f>
        <v>1551685932262766</v>
      </c>
      <c r="C5448" t="s">
        <v>40</v>
      </c>
      <c r="D5448">
        <v>4.7678880000000001</v>
      </c>
      <c r="E5448">
        <v>0.4336661</v>
      </c>
      <c r="F5448" t="s">
        <v>77</v>
      </c>
      <c r="G5448">
        <v>-407.39690000000002</v>
      </c>
      <c r="H5448" s="1">
        <v>-2.6969399999999998E-6</v>
      </c>
      <c r="I5448">
        <v>21.00123</v>
      </c>
      <c r="J5448">
        <v>-420.75020000000001</v>
      </c>
      <c r="K5448">
        <v>1.114495</v>
      </c>
      <c r="L5448">
        <v>38.015050000000002</v>
      </c>
      <c r="M5448">
        <v>0.26304420000000001</v>
      </c>
      <c r="N5448">
        <v>-1.3892359999999999E-2</v>
      </c>
      <c r="O5448">
        <v>-0.96468379999999998</v>
      </c>
      <c r="P5448">
        <v>0.47675430000000002</v>
      </c>
      <c r="Q5448">
        <v>0.18156890000000001</v>
      </c>
      <c r="R5448">
        <v>-0.86008059999999997</v>
      </c>
      <c r="S5448">
        <v>1.920258</v>
      </c>
      <c r="T5448">
        <v>-0.15968280000000001</v>
      </c>
      <c r="U5448">
        <v>-2.4605410000000001</v>
      </c>
      <c r="V5448">
        <v>-0.2354415</v>
      </c>
      <c r="W5448">
        <v>0.19271440000000001</v>
      </c>
      <c r="X5448">
        <v>0.95259039999999995</v>
      </c>
      <c r="Y5448">
        <v>-0.38553939999999998</v>
      </c>
      <c r="Z5448">
        <v>3.9336490000000002E-2</v>
      </c>
      <c r="AA5448">
        <v>0.92185249999999996</v>
      </c>
      <c r="AB5448">
        <v>21</v>
      </c>
      <c r="AC5448">
        <v>13.3532999999999</v>
      </c>
      <c r="AD5448">
        <v>-1.11449769694</v>
      </c>
      <c r="AE5448">
        <v>-17.013819999999999</v>
      </c>
      <c r="AF5448">
        <v>-8.3848720086747495</v>
      </c>
      <c r="AG5448">
        <v>-1.11449769694</v>
      </c>
      <c r="AH5448">
        <v>19.874613522630099</v>
      </c>
      <c r="AI5448">
        <v>92.957646926006305</v>
      </c>
      <c r="AJ5448">
        <v>112.87432455959301</v>
      </c>
      <c r="AK5448">
        <v>21.5997325537205</v>
      </c>
      <c r="AL5448">
        <v>78.888764022261199</v>
      </c>
      <c r="AM5448">
        <v>103.882951045967</v>
      </c>
      <c r="AN5448">
        <v>1.0000000050308799</v>
      </c>
    </row>
    <row r="5449" spans="1:40" x14ac:dyDescent="0.25">
      <c r="A5449" t="str">
        <f>"20190304155212283"</f>
        <v>20190304155212283</v>
      </c>
      <c r="B5449" t="str">
        <f>"1551685932272523"</f>
        <v>1551685932272523</v>
      </c>
      <c r="C5449" t="s">
        <v>40</v>
      </c>
      <c r="D5449">
        <v>4.8117010000000002</v>
      </c>
      <c r="E5449">
        <v>0.4336274</v>
      </c>
      <c r="F5449" t="s">
        <v>77</v>
      </c>
      <c r="G5449">
        <v>-407.12060000000002</v>
      </c>
      <c r="H5449" s="1">
        <v>-2.8068069999999999E-6</v>
      </c>
      <c r="I5449">
        <v>20.759609999999999</v>
      </c>
      <c r="J5449">
        <v>-420.71370000000002</v>
      </c>
      <c r="K5449">
        <v>1.1145229999999999</v>
      </c>
      <c r="L5449">
        <v>37.897739999999999</v>
      </c>
      <c r="M5449">
        <v>0.26681870000000002</v>
      </c>
      <c r="N5449">
        <v>-1.389721E-2</v>
      </c>
      <c r="O5449">
        <v>-0.96364649999999996</v>
      </c>
      <c r="P5449">
        <v>0.48090060000000001</v>
      </c>
      <c r="Q5449">
        <v>0.1816817</v>
      </c>
      <c r="R5449">
        <v>-0.85774519999999999</v>
      </c>
      <c r="S5449">
        <v>1.934509</v>
      </c>
      <c r="T5449">
        <v>-0.15818489999999999</v>
      </c>
      <c r="U5449">
        <v>-2.4491269999999998</v>
      </c>
      <c r="V5449">
        <v>-0.2363324</v>
      </c>
      <c r="W5449">
        <v>0.19280559999999999</v>
      </c>
      <c r="X5449">
        <v>0.95235130000000001</v>
      </c>
      <c r="Y5449">
        <v>-0.3873317</v>
      </c>
      <c r="Z5449">
        <v>3.8876389999999997E-2</v>
      </c>
      <c r="AA5449">
        <v>0.92112039999999995</v>
      </c>
      <c r="AB5449">
        <v>21</v>
      </c>
      <c r="AC5449">
        <v>13.5930999999999</v>
      </c>
      <c r="AD5449">
        <v>-1.1145258068070001</v>
      </c>
      <c r="AE5449">
        <v>-17.138129999999901</v>
      </c>
      <c r="AF5449">
        <v>-8.5049144443332096</v>
      </c>
      <c r="AG5449">
        <v>-1.1145258068070001</v>
      </c>
      <c r="AH5449">
        <v>20.0917794876916</v>
      </c>
      <c r="AI5449">
        <v>92.924327006790705</v>
      </c>
      <c r="AJ5449">
        <v>112.943095705872</v>
      </c>
      <c r="AK5449">
        <v>21.846174504052001</v>
      </c>
      <c r="AL5449">
        <v>78.883438727834502</v>
      </c>
      <c r="AM5449">
        <v>103.936802176664</v>
      </c>
      <c r="AN5449">
        <v>1.0000000006464</v>
      </c>
    </row>
    <row r="5450" spans="1:40" x14ac:dyDescent="0.25">
      <c r="A5450" t="str">
        <f>"20190304155212296"</f>
        <v>20190304155212296</v>
      </c>
      <c r="B5450" t="str">
        <f>"1551685932292044"</f>
        <v>1551685932292044</v>
      </c>
      <c r="C5450" t="s">
        <v>40</v>
      </c>
      <c r="D5450">
        <v>4.69963</v>
      </c>
      <c r="E5450">
        <v>0.43332599999999999</v>
      </c>
      <c r="F5450" t="s">
        <v>77</v>
      </c>
      <c r="G5450">
        <v>-406.9348</v>
      </c>
      <c r="H5450" s="1">
        <v>-2.8885450000000001E-6</v>
      </c>
      <c r="I5450">
        <v>20.632750000000001</v>
      </c>
      <c r="J5450">
        <v>-420.6782</v>
      </c>
      <c r="K5450">
        <v>1.1145449999999999</v>
      </c>
      <c r="L5450">
        <v>37.785550000000001</v>
      </c>
      <c r="M5450">
        <v>0.27045989999999998</v>
      </c>
      <c r="N5450">
        <v>-1.390165E-2</v>
      </c>
      <c r="O5450">
        <v>-0.96263080000000001</v>
      </c>
      <c r="P5450">
        <v>0.48485840000000002</v>
      </c>
      <c r="Q5450">
        <v>0.18164540000000001</v>
      </c>
      <c r="R5450">
        <v>-0.85552169999999905</v>
      </c>
      <c r="S5450">
        <v>1.9468080000000001</v>
      </c>
      <c r="T5450">
        <v>-0.15747079999999999</v>
      </c>
      <c r="U5450">
        <v>-2.439362</v>
      </c>
      <c r="V5450">
        <v>-0.2371423</v>
      </c>
      <c r="W5450">
        <v>0.19275039999999999</v>
      </c>
      <c r="X5450">
        <v>0.95216109999999998</v>
      </c>
      <c r="Y5450">
        <v>-0.38848670000000002</v>
      </c>
      <c r="Z5450">
        <v>3.866178E-2</v>
      </c>
      <c r="AA5450">
        <v>0.92064290000000004</v>
      </c>
      <c r="AB5450">
        <v>21</v>
      </c>
      <c r="AC5450">
        <v>13.743399999999999</v>
      </c>
      <c r="AD5450">
        <v>-1.114547888545</v>
      </c>
      <c r="AE5450">
        <v>-17.152799999999999</v>
      </c>
      <c r="AF5450">
        <v>-8.5694712503360009</v>
      </c>
      <c r="AG5450">
        <v>-1.114547888545</v>
      </c>
      <c r="AH5450">
        <v>20.178921419767299</v>
      </c>
      <c r="AI5450">
        <v>92.910345710655406</v>
      </c>
      <c r="AJ5450">
        <v>113.009688543799</v>
      </c>
      <c r="AK5450">
        <v>21.951467471933199</v>
      </c>
      <c r="AL5450">
        <v>78.886661611409096</v>
      </c>
      <c r="AM5450">
        <v>103.985375572107</v>
      </c>
      <c r="AN5450">
        <v>0.99999997375132899</v>
      </c>
    </row>
    <row r="5451" spans="1:40" x14ac:dyDescent="0.25">
      <c r="A5451" t="str">
        <f>"20190304155212311"</f>
        <v>20190304155212311</v>
      </c>
      <c r="B5451" t="str">
        <f>"1551685932302779"</f>
        <v>1551685932302779</v>
      </c>
      <c r="C5451" t="s">
        <v>40</v>
      </c>
      <c r="D5451">
        <v>4.7729679999999997</v>
      </c>
      <c r="E5451">
        <v>0.43337290000000001</v>
      </c>
      <c r="F5451" t="s">
        <v>77</v>
      </c>
      <c r="G5451">
        <v>-406.71120000000002</v>
      </c>
      <c r="H5451" s="1">
        <v>-2.9860939999999999E-6</v>
      </c>
      <c r="I5451">
        <v>20.476030000000002</v>
      </c>
      <c r="J5451">
        <v>-420.637</v>
      </c>
      <c r="K5451">
        <v>1.1145579999999999</v>
      </c>
      <c r="L5451">
        <v>37.657319999999999</v>
      </c>
      <c r="M5451">
        <v>0.27465079999999997</v>
      </c>
      <c r="N5451">
        <v>-1.390651E-2</v>
      </c>
      <c r="O5451">
        <v>-0.96144370000000001</v>
      </c>
      <c r="P5451">
        <v>0.48928480000000002</v>
      </c>
      <c r="Q5451">
        <v>0.1815813</v>
      </c>
      <c r="R5451">
        <v>-0.85301209999999905</v>
      </c>
      <c r="S5451">
        <v>1.959991</v>
      </c>
      <c r="T5451">
        <v>-0.1564046</v>
      </c>
      <c r="U5451">
        <v>-2.4290470000000002</v>
      </c>
      <c r="V5451">
        <v>-0.2379366</v>
      </c>
      <c r="W5451">
        <v>0.19266800000000001</v>
      </c>
      <c r="X5451">
        <v>0.95197960000000004</v>
      </c>
      <c r="Y5451">
        <v>-0.38941910000000002</v>
      </c>
      <c r="Z5451">
        <v>3.832808E-2</v>
      </c>
      <c r="AA5451">
        <v>0.92026289999999999</v>
      </c>
      <c r="AB5451">
        <v>21</v>
      </c>
      <c r="AC5451">
        <v>13.925799999999899</v>
      </c>
      <c r="AD5451">
        <v>-1.114560986094</v>
      </c>
      <c r="AE5451">
        <v>-17.181290000000001</v>
      </c>
      <c r="AF5451">
        <v>-8.6488883229911799</v>
      </c>
      <c r="AG5451">
        <v>-1.114560986094</v>
      </c>
      <c r="AH5451">
        <v>20.2939967248935</v>
      </c>
      <c r="AI5451">
        <v>92.892338846485401</v>
      </c>
      <c r="AJ5451">
        <v>113.082715917109</v>
      </c>
      <c r="AK5451">
        <v>22.088273325121801</v>
      </c>
      <c r="AL5451">
        <v>78.891472941027899</v>
      </c>
      <c r="AM5451">
        <v>104.03294098284699</v>
      </c>
      <c r="AN5451">
        <v>0.99999997132985896</v>
      </c>
    </row>
    <row r="5452" spans="1:40" x14ac:dyDescent="0.25">
      <c r="A5452" t="str">
        <f>"20190304155212326"</f>
        <v>20190304155212326</v>
      </c>
      <c r="B5452" t="str">
        <f>"1551685932322361"</f>
        <v>1551685932322361</v>
      </c>
      <c r="C5452" t="s">
        <v>40</v>
      </c>
      <c r="D5452">
        <v>4.6036950000000001</v>
      </c>
      <c r="E5452">
        <v>0.43335210000000002</v>
      </c>
      <c r="F5452" t="s">
        <v>77</v>
      </c>
      <c r="G5452">
        <v>-406.62209999999999</v>
      </c>
      <c r="H5452" s="1">
        <v>-3.0365329999999999E-6</v>
      </c>
      <c r="I5452">
        <v>20.465920000000001</v>
      </c>
      <c r="J5452">
        <v>-420.59429999999998</v>
      </c>
      <c r="K5452">
        <v>1.1145700000000001</v>
      </c>
      <c r="L5452">
        <v>37.526090000000003</v>
      </c>
      <c r="M5452">
        <v>0.27898089999999998</v>
      </c>
      <c r="N5452">
        <v>-1.391124E-2</v>
      </c>
      <c r="O5452">
        <v>-0.96019589999999999</v>
      </c>
      <c r="P5452">
        <v>0.49469750000000001</v>
      </c>
      <c r="Q5452">
        <v>0.18019689999999999</v>
      </c>
      <c r="R5452">
        <v>-0.85017849999999995</v>
      </c>
      <c r="S5452">
        <v>1.972137</v>
      </c>
      <c r="T5452">
        <v>-0.15683820000000001</v>
      </c>
      <c r="U5452">
        <v>-2.4191280000000002</v>
      </c>
      <c r="V5452">
        <v>-0.23961730000000001</v>
      </c>
      <c r="W5452">
        <v>0.1912585</v>
      </c>
      <c r="X5452">
        <v>0.95184230000000003</v>
      </c>
      <c r="Y5452">
        <v>-0.38988780000000001</v>
      </c>
      <c r="Z5452">
        <v>3.8481330000000001E-2</v>
      </c>
      <c r="AA5452">
        <v>0.92005800000000004</v>
      </c>
      <c r="AB5452">
        <v>21</v>
      </c>
      <c r="AC5452">
        <v>13.9721999999999</v>
      </c>
      <c r="AD5452">
        <v>-1.114573036533</v>
      </c>
      <c r="AE5452">
        <v>-17.060169999999999</v>
      </c>
      <c r="AF5452">
        <v>-8.6353645119094793</v>
      </c>
      <c r="AG5452">
        <v>-1.114573036533</v>
      </c>
      <c r="AH5452">
        <v>20.229364682159101</v>
      </c>
      <c r="AI5452">
        <v>92.900870882949405</v>
      </c>
      <c r="AJ5452">
        <v>113.11631528824999</v>
      </c>
      <c r="AK5452">
        <v>22.0236007217507</v>
      </c>
      <c r="AL5452">
        <v>78.973762228576803</v>
      </c>
      <c r="AM5452">
        <v>104.13006465114201</v>
      </c>
      <c r="AN5452">
        <v>1.00000001417541</v>
      </c>
    </row>
    <row r="5453" spans="1:40" x14ac:dyDescent="0.25">
      <c r="A5453" t="str">
        <f>"20190304155212350"</f>
        <v>20190304155212350</v>
      </c>
      <c r="B5453" t="str">
        <f>"1551685932342838"</f>
        <v>1551685932342838</v>
      </c>
      <c r="C5453" t="s">
        <v>40</v>
      </c>
      <c r="D5453">
        <v>4.6476569999999997</v>
      </c>
      <c r="E5453">
        <v>0.43345299999999998</v>
      </c>
      <c r="F5453" t="s">
        <v>77</v>
      </c>
      <c r="G5453">
        <v>-406.81630000000001</v>
      </c>
      <c r="H5453" s="1">
        <v>-3.005453E-6</v>
      </c>
      <c r="I5453">
        <v>20.842919999999999</v>
      </c>
      <c r="J5453">
        <v>-420.52699999999999</v>
      </c>
      <c r="K5453">
        <v>1.114598</v>
      </c>
      <c r="L5453">
        <v>37.324190000000002</v>
      </c>
      <c r="M5453">
        <v>0.28572189999999997</v>
      </c>
      <c r="N5453">
        <v>-1.391506E-2</v>
      </c>
      <c r="O5453">
        <v>-0.9582117</v>
      </c>
      <c r="P5453">
        <v>0.50216479999999997</v>
      </c>
      <c r="Q5453">
        <v>0.1782562</v>
      </c>
      <c r="R5453">
        <v>-0.84620079999999998</v>
      </c>
      <c r="S5453">
        <v>1.9873350000000001</v>
      </c>
      <c r="T5453">
        <v>-0.16076550000000001</v>
      </c>
      <c r="U5453">
        <v>-2.4063720000000002</v>
      </c>
      <c r="V5453">
        <v>-0.24119170000000001</v>
      </c>
      <c r="W5453">
        <v>0.1892905</v>
      </c>
      <c r="X5453">
        <v>0.95183799999999996</v>
      </c>
      <c r="Y5453">
        <v>-0.38923059999999998</v>
      </c>
      <c r="Z5453">
        <v>3.9765380000000003E-2</v>
      </c>
      <c r="AA5453">
        <v>0.92028160000000003</v>
      </c>
      <c r="AB5453">
        <v>21</v>
      </c>
      <c r="AC5453">
        <v>13.7106999999999</v>
      </c>
      <c r="AD5453">
        <v>-1.114601005453</v>
      </c>
      <c r="AE5453">
        <v>-16.481269999999999</v>
      </c>
      <c r="AF5453">
        <v>-8.4067848305720005</v>
      </c>
      <c r="AG5453">
        <v>-1.114601005453</v>
      </c>
      <c r="AH5453">
        <v>19.658761181259901</v>
      </c>
      <c r="AI5453">
        <v>92.984173431663393</v>
      </c>
      <c r="AJ5453">
        <v>113.15327312641099</v>
      </c>
      <c r="AK5453">
        <v>21.409886916345499</v>
      </c>
      <c r="AL5453">
        <v>79.088617996639499</v>
      </c>
      <c r="AM5453">
        <v>104.219213743399</v>
      </c>
      <c r="AN5453">
        <v>0.99999995389156804</v>
      </c>
    </row>
    <row r="5454" spans="1:40" x14ac:dyDescent="0.25">
      <c r="A5454" t="str">
        <f>"20190304155212371"</f>
        <v>20190304155212371</v>
      </c>
      <c r="B5454" t="str">
        <f>"1551685932362358"</f>
        <v>1551685932362358</v>
      </c>
      <c r="C5454" t="s">
        <v>40</v>
      </c>
      <c r="D5454">
        <v>4.5935930000000003</v>
      </c>
      <c r="E5454">
        <v>0.43343870000000001</v>
      </c>
      <c r="F5454" t="s">
        <v>77</v>
      </c>
      <c r="G5454">
        <v>-407.09899999999999</v>
      </c>
      <c r="H5454" s="1">
        <v>-2.9490960000000002E-6</v>
      </c>
      <c r="I5454">
        <v>21.342120000000001</v>
      </c>
      <c r="J5454">
        <v>-420.46429999999998</v>
      </c>
      <c r="K5454">
        <v>1.114614</v>
      </c>
      <c r="L5454">
        <v>37.14029</v>
      </c>
      <c r="M5454">
        <v>0.29193999999999998</v>
      </c>
      <c r="N5454">
        <v>-1.390597E-2</v>
      </c>
      <c r="O5454">
        <v>-0.95633559999999995</v>
      </c>
      <c r="P5454">
        <v>0.50873859999999904</v>
      </c>
      <c r="Q5454">
        <v>0.17764389999999999</v>
      </c>
      <c r="R5454">
        <v>-0.84239409999999904</v>
      </c>
      <c r="S5454">
        <v>2.007355</v>
      </c>
      <c r="T5454">
        <v>-0.16662170000000001</v>
      </c>
      <c r="U5454">
        <v>-2.38916</v>
      </c>
      <c r="V5454">
        <v>-0.24239260000000001</v>
      </c>
      <c r="W5454">
        <v>0.18863959999999999</v>
      </c>
      <c r="X5454">
        <v>0.95166220000000001</v>
      </c>
      <c r="Y5454">
        <v>-0.39097480000000001</v>
      </c>
      <c r="Z5454">
        <v>4.1711560000000002E-2</v>
      </c>
      <c r="AA5454">
        <v>0.91945569999999999</v>
      </c>
      <c r="AB5454">
        <v>21</v>
      </c>
      <c r="AC5454">
        <v>13.3652999999999</v>
      </c>
      <c r="AD5454">
        <v>-1.1146169490960001</v>
      </c>
      <c r="AE5454">
        <v>-15.798170000000001</v>
      </c>
      <c r="AF5454">
        <v>-8.1467479020186406</v>
      </c>
      <c r="AG5454">
        <v>-1.1146169490960001</v>
      </c>
      <c r="AH5454">
        <v>18.957055360104199</v>
      </c>
      <c r="AI5454">
        <v>93.092106303399902</v>
      </c>
      <c r="AJ5454">
        <v>113.25549598936701</v>
      </c>
      <c r="AK5454">
        <v>20.663538425165999</v>
      </c>
      <c r="AL5454">
        <v>79.126596626837696</v>
      </c>
      <c r="AM5454">
        <v>104.289650999977</v>
      </c>
      <c r="AN5454">
        <v>1.0000000070658699</v>
      </c>
    </row>
    <row r="5455" spans="1:40" x14ac:dyDescent="0.25">
      <c r="A5455" t="str">
        <f>"20190304155212394"</f>
        <v>20190304155212394</v>
      </c>
      <c r="B5455" t="str">
        <f>"1551685932381879"</f>
        <v>1551685932381879</v>
      </c>
      <c r="C5455" t="s">
        <v>40</v>
      </c>
      <c r="D5455">
        <v>4.7612199999999998</v>
      </c>
      <c r="E5455">
        <v>0.43330489999999999</v>
      </c>
      <c r="F5455" t="s">
        <v>77</v>
      </c>
      <c r="G5455">
        <v>-407.02359999999999</v>
      </c>
      <c r="H5455" s="1">
        <v>-3.0063299999999999E-6</v>
      </c>
      <c r="I5455">
        <v>21.398689999999998</v>
      </c>
      <c r="J5455">
        <v>-420.3963</v>
      </c>
      <c r="K5455">
        <v>1.11463</v>
      </c>
      <c r="L5455">
        <v>36.945619999999998</v>
      </c>
      <c r="M5455">
        <v>0.2985836</v>
      </c>
      <c r="N5455">
        <v>-1.388518E-2</v>
      </c>
      <c r="O5455">
        <v>-0.95428270000000004</v>
      </c>
      <c r="P5455">
        <v>0.51589830000000003</v>
      </c>
      <c r="Q5455">
        <v>0.17681920000000001</v>
      </c>
      <c r="R5455">
        <v>-0.83820300000000003</v>
      </c>
      <c r="S5455">
        <v>2.0261840000000002</v>
      </c>
      <c r="T5455">
        <v>-0.1680285</v>
      </c>
      <c r="U5455">
        <v>-2.3730470000000001</v>
      </c>
      <c r="V5455">
        <v>-0.2438389</v>
      </c>
      <c r="W5455">
        <v>0.1877634</v>
      </c>
      <c r="X5455">
        <v>0.95146600000000003</v>
      </c>
      <c r="Y5455">
        <v>-0.3918623</v>
      </c>
      <c r="Z5455">
        <v>4.2208700000000002E-2</v>
      </c>
      <c r="AA5455">
        <v>0.91905519999999996</v>
      </c>
      <c r="AB5455">
        <v>21</v>
      </c>
      <c r="AC5455">
        <v>13.3727</v>
      </c>
      <c r="AD5455">
        <v>-1.1146330063299901</v>
      </c>
      <c r="AE5455">
        <v>-15.54693</v>
      </c>
      <c r="AF5455">
        <v>-8.0961402170815706</v>
      </c>
      <c r="AG5455">
        <v>-1.1146330063299901</v>
      </c>
      <c r="AH5455">
        <v>18.775377654858701</v>
      </c>
      <c r="AI5455">
        <v>93.120357617438003</v>
      </c>
      <c r="AJ5455">
        <v>113.326213347955</v>
      </c>
      <c r="AK5455">
        <v>20.476930903727101</v>
      </c>
      <c r="AL5455">
        <v>79.177712821771706</v>
      </c>
      <c r="AM5455">
        <v>104.37423304664399</v>
      </c>
      <c r="AN5455">
        <v>1.00000002634438</v>
      </c>
    </row>
    <row r="5456" spans="1:40" x14ac:dyDescent="0.25">
      <c r="A5456" t="str">
        <f>"20190304155212416"</f>
        <v>20190304155212416</v>
      </c>
      <c r="B5456" t="str">
        <f>"1551685932412135"</f>
        <v>1551685932412135</v>
      </c>
      <c r="C5456" t="s">
        <v>40</v>
      </c>
      <c r="D5456">
        <v>4.5629689999999998</v>
      </c>
      <c r="E5456">
        <v>0.43327660000000001</v>
      </c>
      <c r="F5456" t="s">
        <v>77</v>
      </c>
      <c r="G5456">
        <v>-406.96019999999999</v>
      </c>
      <c r="H5456" s="1">
        <v>-3.0638100000000001E-6</v>
      </c>
      <c r="I5456">
        <v>21.488399999999999</v>
      </c>
      <c r="J5456">
        <v>-420.33049999999997</v>
      </c>
      <c r="K5456">
        <v>1.1146419999999999</v>
      </c>
      <c r="L5456">
        <v>36.76126</v>
      </c>
      <c r="M5456">
        <v>0.3049307</v>
      </c>
      <c r="N5456">
        <v>-1.385816E-2</v>
      </c>
      <c r="O5456">
        <v>-0.95227379999999995</v>
      </c>
      <c r="P5456">
        <v>0.52300849999999999</v>
      </c>
      <c r="Q5456">
        <v>0.17555109999999999</v>
      </c>
      <c r="R5456">
        <v>-0.83405319999999905</v>
      </c>
      <c r="S5456">
        <v>2.0470579999999998</v>
      </c>
      <c r="T5456">
        <v>-0.16981959999999999</v>
      </c>
      <c r="U5456">
        <v>-2.3549799999999999</v>
      </c>
      <c r="V5456">
        <v>-0.24551680000000001</v>
      </c>
      <c r="W5456">
        <v>0.1864383</v>
      </c>
      <c r="X5456">
        <v>0.95129509999999995</v>
      </c>
      <c r="Y5456">
        <v>-0.39384809999999998</v>
      </c>
      <c r="Z5456">
        <v>4.2845279999999999E-2</v>
      </c>
      <c r="AA5456">
        <v>0.9181764</v>
      </c>
      <c r="AB5456">
        <v>21</v>
      </c>
      <c r="AC5456">
        <v>13.370299999999901</v>
      </c>
      <c r="AD5456">
        <v>-1.1146450638099901</v>
      </c>
      <c r="AE5456">
        <v>-15.27286</v>
      </c>
      <c r="AF5456">
        <v>-8.0515185174029398</v>
      </c>
      <c r="AG5456">
        <v>-1.1146450638099901</v>
      </c>
      <c r="AH5456">
        <v>18.566759313286301</v>
      </c>
      <c r="AI5456">
        <v>93.152581911084098</v>
      </c>
      <c r="AJ5456">
        <v>113.44407892269</v>
      </c>
      <c r="AK5456">
        <v>20.268052088246201</v>
      </c>
      <c r="AL5456">
        <v>79.255000595766305</v>
      </c>
      <c r="AM5456">
        <v>104.471496327917</v>
      </c>
      <c r="AN5456">
        <v>1.00000005303656</v>
      </c>
    </row>
    <row r="5457" spans="1:40" x14ac:dyDescent="0.25">
      <c r="A5457" t="str">
        <f>"20190304155212431"</f>
        <v>20190304155212431</v>
      </c>
      <c r="B5457" t="str">
        <f>"1551685932422251"</f>
        <v>1551685932422251</v>
      </c>
      <c r="C5457" t="s">
        <v>40</v>
      </c>
      <c r="D5457">
        <v>4.5773210000000004</v>
      </c>
      <c r="E5457">
        <v>0.4332491</v>
      </c>
      <c r="F5457" t="s">
        <v>77</v>
      </c>
      <c r="G5457">
        <v>-407.0478</v>
      </c>
      <c r="H5457" s="1">
        <v>-3.0678609999999999E-6</v>
      </c>
      <c r="I5457">
        <v>21.739940000000001</v>
      </c>
      <c r="J5457">
        <v>-420.28440000000001</v>
      </c>
      <c r="K5457">
        <v>1.114657</v>
      </c>
      <c r="L5457">
        <v>36.634279999999997</v>
      </c>
      <c r="M5457">
        <v>0.30933519999999998</v>
      </c>
      <c r="N5457">
        <v>-1.383555E-2</v>
      </c>
      <c r="O5457">
        <v>-0.95085249999999999</v>
      </c>
      <c r="P5457">
        <v>0.52768090000000001</v>
      </c>
      <c r="Q5457">
        <v>0.17508609999999999</v>
      </c>
      <c r="R5457">
        <v>-0.83120269999999996</v>
      </c>
      <c r="S5457">
        <v>2.0668329999999999</v>
      </c>
      <c r="T5457">
        <v>-0.17344279999999901</v>
      </c>
      <c r="U5457">
        <v>-2.3373719999999998</v>
      </c>
      <c r="V5457">
        <v>-0.24642700000000001</v>
      </c>
      <c r="W5457">
        <v>0.18593229999999999</v>
      </c>
      <c r="X5457">
        <v>0.95115870000000002</v>
      </c>
      <c r="Y5457">
        <v>-0.39734259999999999</v>
      </c>
      <c r="Z5457">
        <v>4.4089530000000002E-2</v>
      </c>
      <c r="AA5457">
        <v>0.91661060000000005</v>
      </c>
      <c r="AB5457">
        <v>21</v>
      </c>
      <c r="AC5457">
        <v>13.236599999999999</v>
      </c>
      <c r="AD5457">
        <v>-1.1146600678609999</v>
      </c>
      <c r="AE5457">
        <v>-14.8943399999999</v>
      </c>
      <c r="AF5457">
        <v>-7.9545817532429801</v>
      </c>
      <c r="AG5457">
        <v>-1.1146600678609999</v>
      </c>
      <c r="AH5457">
        <v>18.2016552572051</v>
      </c>
      <c r="AI5457">
        <v>93.211772122409698</v>
      </c>
      <c r="AJ5457">
        <v>113.60653946932599</v>
      </c>
      <c r="AK5457">
        <v>19.895177607602601</v>
      </c>
      <c r="AL5457">
        <v>79.284507413208402</v>
      </c>
      <c r="AM5457">
        <v>104.524876123157</v>
      </c>
      <c r="AN5457">
        <v>0.999999979548989</v>
      </c>
    </row>
    <row r="5458" spans="1:40" x14ac:dyDescent="0.25">
      <c r="A5458" t="str">
        <f>"20190304155212444"</f>
        <v>20190304155212444</v>
      </c>
      <c r="B5458" t="str">
        <f>"1551685932442712"</f>
        <v>1551685932442712</v>
      </c>
      <c r="C5458" t="s">
        <v>40</v>
      </c>
      <c r="D5458">
        <v>4.6194860000000002</v>
      </c>
      <c r="E5458">
        <v>0.43321500000000002</v>
      </c>
      <c r="F5458" t="s">
        <v>77</v>
      </c>
      <c r="G5458">
        <v>-407.01130000000001</v>
      </c>
      <c r="H5458" s="1">
        <v>-3.101787E-6</v>
      </c>
      <c r="I5458">
        <v>21.795390000000001</v>
      </c>
      <c r="J5458">
        <v>-420.23970000000003</v>
      </c>
      <c r="K5458">
        <v>1.114665</v>
      </c>
      <c r="L5458">
        <v>36.513309999999997</v>
      </c>
      <c r="M5458">
        <v>0.31356250000000002</v>
      </c>
      <c r="N5458">
        <v>-1.3809689999999999E-2</v>
      </c>
      <c r="O5458">
        <v>-0.94946710000000001</v>
      </c>
      <c r="P5458">
        <v>0.53199949999999996</v>
      </c>
      <c r="Q5458">
        <v>0.17486289999999999</v>
      </c>
      <c r="R5458">
        <v>-0.82849259999999902</v>
      </c>
      <c r="S5458">
        <v>2.0801090000000002</v>
      </c>
      <c r="T5458">
        <v>-0.1746857</v>
      </c>
      <c r="U5458">
        <v>-2.3254999999999999</v>
      </c>
      <c r="V5458">
        <v>-0.24713669999999999</v>
      </c>
      <c r="W5458">
        <v>0.1856662</v>
      </c>
      <c r="X5458">
        <v>0.95102660000000006</v>
      </c>
      <c r="Y5458">
        <v>-0.39847759999999999</v>
      </c>
      <c r="Z5458">
        <v>4.4533120000000002E-2</v>
      </c>
      <c r="AA5458">
        <v>0.91609629999999997</v>
      </c>
      <c r="AB5458">
        <v>21</v>
      </c>
      <c r="AC5458">
        <v>13.228400000000001</v>
      </c>
      <c r="AD5458">
        <v>-1.1146681017869999</v>
      </c>
      <c r="AE5458">
        <v>-14.7179199999999</v>
      </c>
      <c r="AF5458">
        <v>-7.92057056696851</v>
      </c>
      <c r="AG5458">
        <v>-1.1146681017869999</v>
      </c>
      <c r="AH5458">
        <v>18.066518872926899</v>
      </c>
      <c r="AI5458">
        <v>93.234124438253204</v>
      </c>
      <c r="AJ5458">
        <v>113.673200364289</v>
      </c>
      <c r="AK5458">
        <v>19.757961111139299</v>
      </c>
      <c r="AL5458">
        <v>79.300024655193496</v>
      </c>
      <c r="AM5458">
        <v>104.566867672071</v>
      </c>
      <c r="AN5458">
        <v>1.0000000401084399</v>
      </c>
    </row>
    <row r="5459" spans="1:40" x14ac:dyDescent="0.25">
      <c r="A5459" t="str">
        <f>"20190304155212460"</f>
        <v>20190304155212460</v>
      </c>
      <c r="B5459" t="str">
        <f>"1551685932452471"</f>
        <v>1551685932452471</v>
      </c>
      <c r="C5459" t="s">
        <v>40</v>
      </c>
      <c r="D5459">
        <v>4.5569769999999998</v>
      </c>
      <c r="E5459">
        <v>0.4331932</v>
      </c>
      <c r="F5459" t="s">
        <v>77</v>
      </c>
      <c r="G5459">
        <v>-406.92770000000002</v>
      </c>
      <c r="H5459" s="1">
        <v>-3.1501339999999998E-6</v>
      </c>
      <c r="I5459">
        <v>21.79025</v>
      </c>
      <c r="J5459">
        <v>-420.19040000000001</v>
      </c>
      <c r="K5459">
        <v>1.1146720000000001</v>
      </c>
      <c r="L5459">
        <v>36.381929999999997</v>
      </c>
      <c r="M5459">
        <v>0.31819160000000002</v>
      </c>
      <c r="N5459">
        <v>-1.377957E-2</v>
      </c>
      <c r="O5459">
        <v>-0.94792639999999995</v>
      </c>
      <c r="P5459">
        <v>0.53697669999999997</v>
      </c>
      <c r="Q5459">
        <v>0.17359569999999999</v>
      </c>
      <c r="R5459">
        <v>-0.82554269999999996</v>
      </c>
      <c r="S5459">
        <v>2.0925289999999999</v>
      </c>
      <c r="T5459">
        <v>-0.1752157</v>
      </c>
      <c r="U5459">
        <v>-2.3143310000000001</v>
      </c>
      <c r="V5459">
        <v>-0.24813379999999999</v>
      </c>
      <c r="W5459">
        <v>0.18435029999999999</v>
      </c>
      <c r="X5459">
        <v>0.9510229</v>
      </c>
      <c r="Y5459">
        <v>-0.39890150000000002</v>
      </c>
      <c r="Z5459">
        <v>4.4738970000000003E-2</v>
      </c>
      <c r="AA5459">
        <v>0.91590170000000004</v>
      </c>
      <c r="AB5459">
        <v>21</v>
      </c>
      <c r="AC5459">
        <v>13.262699999999899</v>
      </c>
      <c r="AD5459">
        <v>-1.114675150134</v>
      </c>
      <c r="AE5459">
        <v>-14.591679999999901</v>
      </c>
      <c r="AF5459">
        <v>-7.90460548702998</v>
      </c>
      <c r="AG5459">
        <v>-1.114675150134</v>
      </c>
      <c r="AH5459">
        <v>17.996122034294299</v>
      </c>
      <c r="AI5459">
        <v>93.245782344627997</v>
      </c>
      <c r="AJ5459">
        <v>113.712972604859</v>
      </c>
      <c r="AK5459">
        <v>19.687196267349101</v>
      </c>
      <c r="AL5459">
        <v>79.376744012584396</v>
      </c>
      <c r="AM5459">
        <v>104.623179325208</v>
      </c>
      <c r="AN5459">
        <v>0.99999998606846996</v>
      </c>
    </row>
    <row r="5460" spans="1:40" x14ac:dyDescent="0.25">
      <c r="A5460" t="str">
        <f>"20190304155212473"</f>
        <v>20190304155212473</v>
      </c>
      <c r="B5460" t="str">
        <f>"1551685932462232"</f>
        <v>1551685932462232</v>
      </c>
      <c r="C5460" t="s">
        <v>40</v>
      </c>
      <c r="D5460">
        <v>4.6375570000000002</v>
      </c>
      <c r="E5460">
        <v>0.43309370000000003</v>
      </c>
      <c r="F5460" t="s">
        <v>77</v>
      </c>
      <c r="G5460">
        <v>-407.05779999999999</v>
      </c>
      <c r="H5460" s="1">
        <v>-3.1271140000000001E-6</v>
      </c>
      <c r="I5460">
        <v>22.032859999999999</v>
      </c>
      <c r="J5460">
        <v>-420.14749999999998</v>
      </c>
      <c r="K5460">
        <v>1.114682</v>
      </c>
      <c r="L5460">
        <v>36.268889999999999</v>
      </c>
      <c r="M5460">
        <v>0.32219490000000001</v>
      </c>
      <c r="N5460">
        <v>-1.3752479999999999E-2</v>
      </c>
      <c r="O5460">
        <v>-0.94657360000000001</v>
      </c>
      <c r="P5460">
        <v>0.54105389999999998</v>
      </c>
      <c r="Q5460">
        <v>0.1732407</v>
      </c>
      <c r="R5460">
        <v>-0.82295110000000005</v>
      </c>
      <c r="S5460">
        <v>2.1063540000000001</v>
      </c>
      <c r="T5460">
        <v>-0.1787832</v>
      </c>
      <c r="U5460">
        <v>-2.301453</v>
      </c>
      <c r="V5460">
        <v>-0.2488002</v>
      </c>
      <c r="W5460">
        <v>0.1839519</v>
      </c>
      <c r="X5460">
        <v>0.95092589999999999</v>
      </c>
      <c r="Y5460">
        <v>-0.40053129999999998</v>
      </c>
      <c r="Z5460">
        <v>4.5943909999999998E-2</v>
      </c>
      <c r="AA5460">
        <v>0.91513049999999996</v>
      </c>
      <c r="AB5460">
        <v>21</v>
      </c>
      <c r="AC5460">
        <v>13.089699999999899</v>
      </c>
      <c r="AD5460">
        <v>-1.1146851271139999</v>
      </c>
      <c r="AE5460">
        <v>-14.23603</v>
      </c>
      <c r="AF5460">
        <v>-7.77848344606151</v>
      </c>
      <c r="AG5460">
        <v>-1.1146851271139999</v>
      </c>
      <c r="AH5460">
        <v>17.635965377815101</v>
      </c>
      <c r="AI5460">
        <v>93.309735130476199</v>
      </c>
      <c r="AJ5460">
        <v>113.800260854294</v>
      </c>
      <c r="AK5460">
        <v>19.307371712917199</v>
      </c>
      <c r="AL5460">
        <v>79.399967484444304</v>
      </c>
      <c r="AM5460">
        <v>104.662193278007</v>
      </c>
      <c r="AN5460">
        <v>0.99999995416222798</v>
      </c>
    </row>
    <row r="5461" spans="1:40" x14ac:dyDescent="0.25">
      <c r="A5461" t="str">
        <f>"20190304155212487"</f>
        <v>20190304155212487</v>
      </c>
      <c r="B5461" t="str">
        <f>"1551685932482728"</f>
        <v>1551685932482728</v>
      </c>
      <c r="C5461" t="s">
        <v>40</v>
      </c>
      <c r="D5461">
        <v>4.6890679999999998</v>
      </c>
      <c r="E5461">
        <v>0.43289179999999999</v>
      </c>
      <c r="F5461" t="s">
        <v>77</v>
      </c>
      <c r="G5461">
        <v>-406.9699</v>
      </c>
      <c r="H5461" s="1">
        <v>-3.1774310000000001E-6</v>
      </c>
      <c r="I5461">
        <v>22.025379999999998</v>
      </c>
      <c r="J5461">
        <v>-420.10289999999998</v>
      </c>
      <c r="K5461">
        <v>1.114692</v>
      </c>
      <c r="L5461">
        <v>36.152920000000002</v>
      </c>
      <c r="M5461">
        <v>0.32632440000000001</v>
      </c>
      <c r="N5461">
        <v>-1.372366E-2</v>
      </c>
      <c r="O5461">
        <v>-0.94515839999999995</v>
      </c>
      <c r="P5461">
        <v>0.54499600000000004</v>
      </c>
      <c r="Q5461">
        <v>0.17304069999999999</v>
      </c>
      <c r="R5461">
        <v>-0.82038820000000001</v>
      </c>
      <c r="S5461">
        <v>2.1187740000000002</v>
      </c>
      <c r="T5461">
        <v>-0.1792262</v>
      </c>
      <c r="U5461">
        <v>-2.2901609999999999</v>
      </c>
      <c r="V5461">
        <v>-0.24920390000000001</v>
      </c>
      <c r="W5461">
        <v>0.1837096</v>
      </c>
      <c r="X5461">
        <v>0.95086709999999997</v>
      </c>
      <c r="Y5461">
        <v>-0.40144930000000001</v>
      </c>
      <c r="Z5461">
        <v>4.6122610000000001E-2</v>
      </c>
      <c r="AA5461">
        <v>0.91471919999999995</v>
      </c>
      <c r="AB5461">
        <v>20</v>
      </c>
      <c r="AC5461">
        <v>13.1329999999999</v>
      </c>
      <c r="AD5461">
        <v>-1.1146951774310001</v>
      </c>
      <c r="AE5461">
        <v>-14.12754</v>
      </c>
      <c r="AF5461">
        <v>-7.7773643833431398</v>
      </c>
      <c r="AG5461">
        <v>-1.1146951774310001</v>
      </c>
      <c r="AH5461">
        <v>17.581324798474199</v>
      </c>
      <c r="AI5461">
        <v>93.318428322444504</v>
      </c>
      <c r="AJ5461">
        <v>113.862925827577</v>
      </c>
      <c r="AK5461">
        <v>19.2570227127488</v>
      </c>
      <c r="AL5461">
        <v>79.414091665621399</v>
      </c>
      <c r="AM5461">
        <v>104.685825307445</v>
      </c>
      <c r="AN5461">
        <v>1.0000000213848801</v>
      </c>
    </row>
    <row r="5462" spans="1:40" x14ac:dyDescent="0.25">
      <c r="A5462" t="str">
        <f>"20190304155212500"</f>
        <v>20190304155212500</v>
      </c>
      <c r="B5462" t="str">
        <f>"1551685932492488"</f>
        <v>1551685932492488</v>
      </c>
      <c r="C5462" t="s">
        <v>40</v>
      </c>
      <c r="D5462">
        <v>4.6453790000000001</v>
      </c>
      <c r="E5462">
        <v>0.4328206</v>
      </c>
      <c r="F5462" t="s">
        <v>77</v>
      </c>
      <c r="G5462">
        <v>-406.81380000000001</v>
      </c>
      <c r="H5462" s="1">
        <v>-3.2510849999999999E-6</v>
      </c>
      <c r="I5462">
        <v>21.940909999999999</v>
      </c>
      <c r="J5462">
        <v>-420.06049999999999</v>
      </c>
      <c r="K5462">
        <v>1.1147039999999999</v>
      </c>
      <c r="L5462">
        <v>36.04477</v>
      </c>
      <c r="M5462">
        <v>0.33021129999999999</v>
      </c>
      <c r="N5462">
        <v>-1.3696369999999999E-2</v>
      </c>
      <c r="O5462">
        <v>-0.94380770000000003</v>
      </c>
      <c r="P5462">
        <v>0.54877200000000004</v>
      </c>
      <c r="Q5462">
        <v>0.17269100000000001</v>
      </c>
      <c r="R5462">
        <v>-0.81794089999999997</v>
      </c>
      <c r="S5462">
        <v>2.1309200000000001</v>
      </c>
      <c r="T5462">
        <v>-0.1787417</v>
      </c>
      <c r="U5462">
        <v>-2.2789000000000001</v>
      </c>
      <c r="V5462">
        <v>-0.24965499999999999</v>
      </c>
      <c r="W5462">
        <v>0.1833187</v>
      </c>
      <c r="X5462">
        <v>0.95082420000000001</v>
      </c>
      <c r="Y5462">
        <v>-0.40254089999999998</v>
      </c>
      <c r="Z5462">
        <v>4.6002889999999998E-2</v>
      </c>
      <c r="AA5462">
        <v>0.91424539999999999</v>
      </c>
      <c r="AB5462">
        <v>20</v>
      </c>
      <c r="AC5462">
        <v>13.246699999999899</v>
      </c>
      <c r="AD5462">
        <v>-1.114707251085</v>
      </c>
      <c r="AE5462">
        <v>-14.1038599999999</v>
      </c>
      <c r="AF5462">
        <v>-7.8198659087355198</v>
      </c>
      <c r="AG5462">
        <v>-1.114707251085</v>
      </c>
      <c r="AH5462">
        <v>17.628692458827398</v>
      </c>
      <c r="AI5462">
        <v>93.308073080054797</v>
      </c>
      <c r="AJ5462">
        <v>113.921470854513</v>
      </c>
      <c r="AK5462">
        <v>19.317444781702999</v>
      </c>
      <c r="AL5462">
        <v>79.436875422441702</v>
      </c>
      <c r="AM5462">
        <v>104.711891937396</v>
      </c>
      <c r="AN5462">
        <v>1.00000001205016</v>
      </c>
    </row>
    <row r="5463" spans="1:40" x14ac:dyDescent="0.25">
      <c r="A5463" t="str">
        <f>"20190304155212513"</f>
        <v>20190304155212513</v>
      </c>
      <c r="B5463" t="str">
        <f>"1551685932502248"</f>
        <v>1551685932502248</v>
      </c>
      <c r="C5463" t="s">
        <v>40</v>
      </c>
      <c r="D5463">
        <v>4.6811369999999997</v>
      </c>
      <c r="E5463">
        <v>0.43276320000000001</v>
      </c>
      <c r="F5463" t="s">
        <v>77</v>
      </c>
      <c r="G5463">
        <v>-406.7697</v>
      </c>
      <c r="H5463" s="1">
        <v>-3.2828799999999998E-6</v>
      </c>
      <c r="I5463">
        <v>21.966429999999999</v>
      </c>
      <c r="J5463">
        <v>-420.01740000000001</v>
      </c>
      <c r="K5463">
        <v>1.1147199999999999</v>
      </c>
      <c r="L5463">
        <v>35.935389999999998</v>
      </c>
      <c r="M5463">
        <v>0.33415329999999999</v>
      </c>
      <c r="N5463">
        <v>-1.366793E-2</v>
      </c>
      <c r="O5463">
        <v>-0.94241989999999998</v>
      </c>
      <c r="P5463">
        <v>0.55268030000000001</v>
      </c>
      <c r="Q5463">
        <v>0.17267729999999901</v>
      </c>
      <c r="R5463">
        <v>-0.81530829999999999</v>
      </c>
      <c r="S5463">
        <v>2.141785</v>
      </c>
      <c r="T5463">
        <v>-0.1796315</v>
      </c>
      <c r="U5463">
        <v>-2.2686769999999998</v>
      </c>
      <c r="V5463">
        <v>-0.25023849999999997</v>
      </c>
      <c r="W5463">
        <v>0.18326010000000001</v>
      </c>
      <c r="X5463">
        <v>0.95068209999999997</v>
      </c>
      <c r="Y5463">
        <v>-0.4030763</v>
      </c>
      <c r="Z5463">
        <v>4.6321309999999997E-2</v>
      </c>
      <c r="AA5463">
        <v>0.91399339999999996</v>
      </c>
      <c r="AB5463">
        <v>20</v>
      </c>
      <c r="AC5463">
        <v>13.2477</v>
      </c>
      <c r="AD5463">
        <v>-1.11472328288</v>
      </c>
      <c r="AE5463">
        <v>-13.968959999999999</v>
      </c>
      <c r="AF5463">
        <v>-7.7917272934989601</v>
      </c>
      <c r="AG5463">
        <v>-1.11472328288</v>
      </c>
      <c r="AH5463">
        <v>17.534241102856601</v>
      </c>
      <c r="AI5463">
        <v>93.324934858458803</v>
      </c>
      <c r="AJ5463">
        <v>113.95902689202801</v>
      </c>
      <c r="AK5463">
        <v>19.219865589195901</v>
      </c>
      <c r="AL5463">
        <v>79.440290827505095</v>
      </c>
      <c r="AM5463">
        <v>104.74688830307301</v>
      </c>
      <c r="AN5463">
        <v>1.0000000131973299</v>
      </c>
    </row>
    <row r="5464" spans="1:40" x14ac:dyDescent="0.25">
      <c r="A5464" t="str">
        <f>"20190304155212529"</f>
        <v>20190304155212529</v>
      </c>
      <c r="B5464" t="str">
        <f>"1551685932522377"</f>
        <v>1551685932522377</v>
      </c>
      <c r="C5464" t="s">
        <v>40</v>
      </c>
      <c r="D5464">
        <v>4.9116359999999997</v>
      </c>
      <c r="E5464">
        <v>0.4327088</v>
      </c>
      <c r="F5464" t="s">
        <v>77</v>
      </c>
      <c r="G5464">
        <v>-406.64710000000002</v>
      </c>
      <c r="H5464" s="1">
        <v>-3.3431479999999999E-6</v>
      </c>
      <c r="I5464">
        <v>21.911280000000001</v>
      </c>
      <c r="J5464">
        <v>-419.96690000000001</v>
      </c>
      <c r="K5464">
        <v>1.1147309999999999</v>
      </c>
      <c r="L5464">
        <v>35.809229999999999</v>
      </c>
      <c r="M5464">
        <v>0.33872370000000002</v>
      </c>
      <c r="N5464">
        <v>-1.363384E-2</v>
      </c>
      <c r="O5464">
        <v>-0.94078709999999999</v>
      </c>
      <c r="P5464">
        <v>0.557145</v>
      </c>
      <c r="Q5464">
        <v>0.17246139999999999</v>
      </c>
      <c r="R5464">
        <v>-0.81230939999999996</v>
      </c>
      <c r="S5464">
        <v>2.1528930000000002</v>
      </c>
      <c r="T5464">
        <v>-0.17949389999999901</v>
      </c>
      <c r="U5464">
        <v>-2.2581790000000002</v>
      </c>
      <c r="V5464">
        <v>-0.25083179999999999</v>
      </c>
      <c r="W5464">
        <v>0.18299380000000001</v>
      </c>
      <c r="X5464">
        <v>0.95057700000000001</v>
      </c>
      <c r="Y5464">
        <v>-0.40311380000000002</v>
      </c>
      <c r="Z5464">
        <v>4.6303459999999998E-2</v>
      </c>
      <c r="AA5464">
        <v>0.9139777</v>
      </c>
      <c r="AB5464">
        <v>20</v>
      </c>
      <c r="AC5464">
        <v>13.319799999999899</v>
      </c>
      <c r="AD5464">
        <v>-1.1147343431479999</v>
      </c>
      <c r="AE5464">
        <v>-13.89795</v>
      </c>
      <c r="AF5464">
        <v>-7.7981088199848099</v>
      </c>
      <c r="AG5464">
        <v>-1.1147343431479999</v>
      </c>
      <c r="AH5464">
        <v>17.529596825492099</v>
      </c>
      <c r="AI5464">
        <v>93.325253277280595</v>
      </c>
      <c r="AJ5464">
        <v>113.98207447775501</v>
      </c>
      <c r="AK5464">
        <v>19.218217885340501</v>
      </c>
      <c r="AL5464">
        <v>79.455810776220503</v>
      </c>
      <c r="AM5464">
        <v>104.781885945395</v>
      </c>
      <c r="AN5464">
        <v>0.99999997782933903</v>
      </c>
    </row>
    <row r="5465" spans="1:40" x14ac:dyDescent="0.25">
      <c r="A5465" t="str">
        <f>"20190304155212552"</f>
        <v>20190304155212552</v>
      </c>
      <c r="B5465" t="str">
        <f>"1551685932542856"</f>
        <v>1551685932542856</v>
      </c>
      <c r="C5465" t="s">
        <v>40</v>
      </c>
      <c r="D5465">
        <v>4.692577</v>
      </c>
      <c r="E5465">
        <v>0.43261460000000002</v>
      </c>
      <c r="F5465" t="s">
        <v>77</v>
      </c>
      <c r="G5465">
        <v>-406.59789999999998</v>
      </c>
      <c r="H5465" s="1">
        <v>-3.3784819999999999E-6</v>
      </c>
      <c r="I5465">
        <v>21.93919</v>
      </c>
      <c r="J5465">
        <v>-419.88720000000001</v>
      </c>
      <c r="K5465">
        <v>1.114746</v>
      </c>
      <c r="L5465">
        <v>35.614350000000002</v>
      </c>
      <c r="M5465">
        <v>0.3458389</v>
      </c>
      <c r="N5465">
        <v>-1.358001E-2</v>
      </c>
      <c r="O5465">
        <v>-0.93819589999999997</v>
      </c>
      <c r="P5465">
        <v>0.56384659999999998</v>
      </c>
      <c r="Q5465">
        <v>0.17213800000000001</v>
      </c>
      <c r="R5465">
        <v>-0.80774119999999905</v>
      </c>
      <c r="S5465">
        <v>2.1652529999999999</v>
      </c>
      <c r="T5465">
        <v>-0.18054290000000001</v>
      </c>
      <c r="U5465">
        <v>-2.2463989999999998</v>
      </c>
      <c r="V5465">
        <v>-0.25148110000000001</v>
      </c>
      <c r="W5465">
        <v>0.1825986</v>
      </c>
      <c r="X5465">
        <v>0.95048149999999998</v>
      </c>
      <c r="Y5465">
        <v>-0.40117419999999998</v>
      </c>
      <c r="Z5465">
        <v>4.6653479999999997E-2</v>
      </c>
      <c r="AA5465">
        <v>0.91481290000000004</v>
      </c>
      <c r="AB5465">
        <v>20</v>
      </c>
      <c r="AC5465">
        <v>13.289300000000001</v>
      </c>
      <c r="AD5465">
        <v>-1.114749378482</v>
      </c>
      <c r="AE5465">
        <v>-13.67516</v>
      </c>
      <c r="AF5465">
        <v>-7.7129170632223696</v>
      </c>
      <c r="AG5465">
        <v>-1.114749378482</v>
      </c>
      <c r="AH5465">
        <v>17.368182296074899</v>
      </c>
      <c r="AI5465">
        <v>93.357089960223902</v>
      </c>
      <c r="AJ5465">
        <v>113.945200437922</v>
      </c>
      <c r="AK5465">
        <v>19.036425926908201</v>
      </c>
      <c r="AL5465">
        <v>79.478842759013105</v>
      </c>
      <c r="AM5465">
        <v>104.8198918929</v>
      </c>
      <c r="AN5465">
        <v>1.0000000371107001</v>
      </c>
    </row>
    <row r="5466" spans="1:40" x14ac:dyDescent="0.25">
      <c r="A5466" t="str">
        <f>"20190304155212572"</f>
        <v>20190304155212572</v>
      </c>
      <c r="B5466" t="str">
        <f>"1551685932562376"</f>
        <v>1551685932562376</v>
      </c>
      <c r="C5466" t="s">
        <v>40</v>
      </c>
      <c r="D5466">
        <v>4.678636</v>
      </c>
      <c r="E5466">
        <v>0.43249939999999998</v>
      </c>
      <c r="F5466" t="s">
        <v>77</v>
      </c>
      <c r="G5466">
        <v>-406.46730000000002</v>
      </c>
      <c r="H5466" s="1">
        <v>-3.4526000000000002E-6</v>
      </c>
      <c r="I5466">
        <v>21.924790000000002</v>
      </c>
      <c r="J5466">
        <v>-419.81670000000003</v>
      </c>
      <c r="K5466">
        <v>1.1147560000000001</v>
      </c>
      <c r="L5466">
        <v>35.445159999999902</v>
      </c>
      <c r="M5466">
        <v>0.35205069999999999</v>
      </c>
      <c r="N5466">
        <v>-1.3535790000000001E-2</v>
      </c>
      <c r="O5466">
        <v>-0.93588320000000003</v>
      </c>
      <c r="P5466">
        <v>0.56915000000000004</v>
      </c>
      <c r="Q5466">
        <v>0.17201350000000001</v>
      </c>
      <c r="R5466">
        <v>-0.80404010000000004</v>
      </c>
      <c r="S5466">
        <v>2.1842039999999998</v>
      </c>
      <c r="T5466">
        <v>-0.1814346</v>
      </c>
      <c r="U5466">
        <v>-2.2280880000000001</v>
      </c>
      <c r="V5466">
        <v>-0.25142900000000001</v>
      </c>
      <c r="W5466">
        <v>0.18242610000000001</v>
      </c>
      <c r="X5466">
        <v>0.95052840000000005</v>
      </c>
      <c r="Y5466">
        <v>-0.40281689999999998</v>
      </c>
      <c r="Z5466">
        <v>4.6991909999999998E-2</v>
      </c>
      <c r="AA5466">
        <v>0.91407349999999998</v>
      </c>
      <c r="AB5466">
        <v>20</v>
      </c>
      <c r="AC5466">
        <v>13.349399999999999</v>
      </c>
      <c r="AD5466">
        <v>-1.11475945259999</v>
      </c>
      <c r="AE5466">
        <v>-13.5203699999999</v>
      </c>
      <c r="AF5466">
        <v>-7.7077985208834097</v>
      </c>
      <c r="AG5466">
        <v>-1.11475945259999</v>
      </c>
      <c r="AH5466">
        <v>17.295205243137101</v>
      </c>
      <c r="AI5466">
        <v>93.369282648280205</v>
      </c>
      <c r="AJ5466">
        <v>114.020668858253</v>
      </c>
      <c r="AK5466">
        <v>18.967787722292002</v>
      </c>
      <c r="AL5466">
        <v>79.488895066024</v>
      </c>
      <c r="AM5466">
        <v>104.816257772904</v>
      </c>
      <c r="AN5466">
        <v>1.00000003160438</v>
      </c>
    </row>
    <row r="5467" spans="1:40" x14ac:dyDescent="0.25">
      <c r="A5467" t="str">
        <f>"20190304155212584"</f>
        <v>20190304155212584</v>
      </c>
      <c r="B5467" t="str">
        <f>"1551685932582873"</f>
        <v>1551685932582873</v>
      </c>
      <c r="C5467" t="s">
        <v>40</v>
      </c>
      <c r="D5467">
        <v>4.6666499999999997</v>
      </c>
      <c r="E5467">
        <v>0.4323689</v>
      </c>
      <c r="F5467" t="s">
        <v>77</v>
      </c>
      <c r="G5467">
        <v>-406.29860000000002</v>
      </c>
      <c r="H5467" s="1">
        <v>-3.5347889999999999E-6</v>
      </c>
      <c r="I5467">
        <v>21.845300000000002</v>
      </c>
      <c r="J5467">
        <v>-419.7704</v>
      </c>
      <c r="K5467">
        <v>1.1147579999999999</v>
      </c>
      <c r="L5467">
        <v>35.335880000000003</v>
      </c>
      <c r="M5467">
        <v>0.35607640000000002</v>
      </c>
      <c r="N5467">
        <v>-1.350925E-2</v>
      </c>
      <c r="O5467">
        <v>-0.9343593</v>
      </c>
      <c r="P5467">
        <v>0.57249410000000001</v>
      </c>
      <c r="Q5467">
        <v>0.17247079999999901</v>
      </c>
      <c r="R5467">
        <v>-0.80156400000000005</v>
      </c>
      <c r="S5467">
        <v>2.1996150000000001</v>
      </c>
      <c r="T5467">
        <v>-0.18138969999999999</v>
      </c>
      <c r="U5467">
        <v>-2.2129210000000001</v>
      </c>
      <c r="V5467">
        <v>-0.25133640000000002</v>
      </c>
      <c r="W5467">
        <v>0.18285650000000001</v>
      </c>
      <c r="X5467">
        <v>0.95047009999999998</v>
      </c>
      <c r="Y5467">
        <v>-0.40520929999999999</v>
      </c>
      <c r="Z5467">
        <v>4.7027329999999999E-2</v>
      </c>
      <c r="AA5467">
        <v>0.91301359999999998</v>
      </c>
      <c r="AB5467">
        <v>20</v>
      </c>
      <c r="AC5467">
        <v>13.471799999999901</v>
      </c>
      <c r="AD5467">
        <v>-1.1147615347890001</v>
      </c>
      <c r="AE5467">
        <v>-13.4905799999999</v>
      </c>
      <c r="AF5467">
        <v>-7.7580107277004098</v>
      </c>
      <c r="AG5467">
        <v>-1.1147615347890001</v>
      </c>
      <c r="AH5467">
        <v>17.344328029013699</v>
      </c>
      <c r="AI5467">
        <v>93.357731354570006</v>
      </c>
      <c r="AJ5467">
        <v>114.09867284301799</v>
      </c>
      <c r="AK5467">
        <v>19.033001300598698</v>
      </c>
      <c r="AL5467">
        <v>79.463812186356705</v>
      </c>
      <c r="AM5467">
        <v>104.811909468682</v>
      </c>
      <c r="AN5467">
        <v>0.99999994827560801</v>
      </c>
    </row>
    <row r="5468" spans="1:40" x14ac:dyDescent="0.25">
      <c r="A5468" t="str">
        <f>"20190304155212605"</f>
        <v>20190304155212605</v>
      </c>
      <c r="B5468" t="str">
        <f>"1551685932602393"</f>
        <v>1551685932602393</v>
      </c>
      <c r="C5468" t="s">
        <v>40</v>
      </c>
      <c r="D5468">
        <v>4.6602739999999896</v>
      </c>
      <c r="E5468">
        <v>0.43224430000000003</v>
      </c>
      <c r="F5468" t="s">
        <v>77</v>
      </c>
      <c r="G5468">
        <v>-406.03789999999998</v>
      </c>
      <c r="H5468" s="1">
        <v>-3.6447349999999999E-6</v>
      </c>
      <c r="I5468">
        <v>21.645859999999999</v>
      </c>
      <c r="J5468">
        <v>-419.7004</v>
      </c>
      <c r="K5468">
        <v>1.1147549999999999</v>
      </c>
      <c r="L5468">
        <v>35.173220000000001</v>
      </c>
      <c r="M5468">
        <v>0.36208820000000003</v>
      </c>
      <c r="N5468">
        <v>-1.347275E-2</v>
      </c>
      <c r="O5468">
        <v>-0.9320465</v>
      </c>
      <c r="P5468">
        <v>0.57792679999999996</v>
      </c>
      <c r="Q5468">
        <v>0.1726792</v>
      </c>
      <c r="R5468">
        <v>-0.7976105</v>
      </c>
      <c r="S5468">
        <v>2.2098080000000002</v>
      </c>
      <c r="T5468">
        <v>-0.1793855</v>
      </c>
      <c r="U5468">
        <v>-2.2029719999999999</v>
      </c>
      <c r="V5468">
        <v>-0.25169059999999999</v>
      </c>
      <c r="W5468">
        <v>0.18302479999999999</v>
      </c>
      <c r="X5468">
        <v>0.95034399999999997</v>
      </c>
      <c r="Y5468">
        <v>-0.40351300000000001</v>
      </c>
      <c r="Z5468">
        <v>4.637339E-2</v>
      </c>
      <c r="AA5468">
        <v>0.913798</v>
      </c>
      <c r="AB5468">
        <v>20</v>
      </c>
      <c r="AC5468">
        <v>13.6625</v>
      </c>
      <c r="AD5468">
        <v>-1.114758644735</v>
      </c>
      <c r="AE5468">
        <v>-13.52736</v>
      </c>
      <c r="AF5468">
        <v>-7.8104420674244297</v>
      </c>
      <c r="AG5468">
        <v>-1.114758644735</v>
      </c>
      <c r="AH5468">
        <v>17.497927670764401</v>
      </c>
      <c r="AI5468">
        <v>93.329465080224196</v>
      </c>
      <c r="AJ5468">
        <v>114.0542565426</v>
      </c>
      <c r="AK5468">
        <v>19.194352421895001</v>
      </c>
      <c r="AL5468">
        <v>79.454004084802904</v>
      </c>
      <c r="AM5468">
        <v>104.83374515409101</v>
      </c>
      <c r="AN5468">
        <v>0.999999976939699</v>
      </c>
    </row>
    <row r="5469" spans="1:40" x14ac:dyDescent="0.25">
      <c r="A5469" t="str">
        <f>"20190304155212618"</f>
        <v>20190304155212618</v>
      </c>
      <c r="B5469" t="str">
        <f>"1551685932612153"</f>
        <v>1551685932612153</v>
      </c>
      <c r="C5469" t="s">
        <v>40</v>
      </c>
      <c r="D5469">
        <v>4.651783</v>
      </c>
      <c r="E5469">
        <v>0.43218400000000001</v>
      </c>
      <c r="F5469" t="s">
        <v>77</v>
      </c>
      <c r="G5469">
        <v>-405.7586</v>
      </c>
      <c r="H5469" s="1">
        <v>-3.7610780000000001E-6</v>
      </c>
      <c r="I5469">
        <v>21.477350000000001</v>
      </c>
      <c r="J5469">
        <v>-419.65109999999999</v>
      </c>
      <c r="K5469">
        <v>1.114754</v>
      </c>
      <c r="L5469">
        <v>35.06033</v>
      </c>
      <c r="M5469">
        <v>0.3662744</v>
      </c>
      <c r="N5469">
        <v>-1.344922E-2</v>
      </c>
      <c r="O5469">
        <v>-0.93040970000000001</v>
      </c>
      <c r="P5469">
        <v>0.58157590000000003</v>
      </c>
      <c r="Q5469">
        <v>0.17294379999999901</v>
      </c>
      <c r="R5469">
        <v>-0.79489639999999995</v>
      </c>
      <c r="S5469">
        <v>2.2260740000000001</v>
      </c>
      <c r="T5469">
        <v>-0.1779917</v>
      </c>
      <c r="U5469">
        <v>-2.186798</v>
      </c>
      <c r="V5469">
        <v>-0.25179689999999999</v>
      </c>
      <c r="W5469">
        <v>0.1832657</v>
      </c>
      <c r="X5469">
        <v>0.95026949999999999</v>
      </c>
      <c r="Y5469">
        <v>-0.40613090000000002</v>
      </c>
      <c r="Z5469">
        <v>4.597101E-2</v>
      </c>
      <c r="AA5469">
        <v>0.91265790000000002</v>
      </c>
      <c r="AB5469">
        <v>20</v>
      </c>
      <c r="AC5469">
        <v>13.892499999999901</v>
      </c>
      <c r="AD5469">
        <v>-1.114757761078</v>
      </c>
      <c r="AE5469">
        <v>-13.582979999999999</v>
      </c>
      <c r="AF5469">
        <v>-7.9252489081424997</v>
      </c>
      <c r="AG5469">
        <v>-1.114757761078</v>
      </c>
      <c r="AH5469">
        <v>17.669640082454499</v>
      </c>
      <c r="AI5469">
        <v>93.294530915255507</v>
      </c>
      <c r="AJ5469">
        <v>114.15735559853999</v>
      </c>
      <c r="AK5469">
        <v>19.397639953493801</v>
      </c>
      <c r="AL5469">
        <v>79.439964934190598</v>
      </c>
      <c r="AM5469">
        <v>104.840845784319</v>
      </c>
      <c r="AN5469">
        <v>1.0000000591381699</v>
      </c>
    </row>
    <row r="5470" spans="1:40" x14ac:dyDescent="0.25">
      <c r="A5470" t="str">
        <f>"20190304155212631"</f>
        <v>20190304155212631</v>
      </c>
      <c r="B5470" t="str">
        <f>"1551685932621913"</f>
        <v>1551685932621913</v>
      </c>
      <c r="C5470" t="s">
        <v>40</v>
      </c>
      <c r="D5470">
        <v>4.637359</v>
      </c>
      <c r="E5470">
        <v>0.43212020000000001</v>
      </c>
      <c r="F5470" t="s">
        <v>77</v>
      </c>
      <c r="G5470">
        <v>-405.54259999999999</v>
      </c>
      <c r="H5470" s="1">
        <v>-3.8443660000000003E-6</v>
      </c>
      <c r="I5470">
        <v>21.334779999999999</v>
      </c>
      <c r="J5470">
        <v>-419.60289999999998</v>
      </c>
      <c r="K5470">
        <v>1.1147499999999999</v>
      </c>
      <c r="L5470">
        <v>34.95129</v>
      </c>
      <c r="M5470">
        <v>0.37032219999999999</v>
      </c>
      <c r="N5470">
        <v>-1.342747E-2</v>
      </c>
      <c r="O5470">
        <v>-0.92880620000000003</v>
      </c>
      <c r="P5470">
        <v>0.58522949999999996</v>
      </c>
      <c r="Q5470">
        <v>0.1730129</v>
      </c>
      <c r="R5470">
        <v>-0.79219479999999998</v>
      </c>
      <c r="S5470">
        <v>2.2367249999999999</v>
      </c>
      <c r="T5470">
        <v>-0.17673179999999999</v>
      </c>
      <c r="U5470">
        <v>-2.1760250000000001</v>
      </c>
      <c r="V5470">
        <v>-0.25204070000000001</v>
      </c>
      <c r="W5470">
        <v>0.18331120000000001</v>
      </c>
      <c r="X5470">
        <v>0.95019600000000004</v>
      </c>
      <c r="Y5470">
        <v>-0.40659780000000001</v>
      </c>
      <c r="Z5470">
        <v>4.5580410000000002E-2</v>
      </c>
      <c r="AA5470">
        <v>0.91246959999999999</v>
      </c>
      <c r="AB5470">
        <v>20</v>
      </c>
      <c r="AC5470">
        <v>14.0602999999999</v>
      </c>
      <c r="AD5470">
        <v>-1.1147538443659999</v>
      </c>
      <c r="AE5470">
        <v>-13.61651</v>
      </c>
      <c r="AF5470">
        <v>-7.9915989704828796</v>
      </c>
      <c r="AG5470">
        <v>-1.1147538443659999</v>
      </c>
      <c r="AH5470">
        <v>17.7978205102063</v>
      </c>
      <c r="AI5470">
        <v>93.270237119536603</v>
      </c>
      <c r="AJ5470">
        <v>114.18109180593601</v>
      </c>
      <c r="AK5470">
        <v>19.541513379266998</v>
      </c>
      <c r="AL5470">
        <v>79.437312146588894</v>
      </c>
      <c r="AM5470">
        <v>104.85567850119401</v>
      </c>
      <c r="AN5470">
        <v>0.99999997445896405</v>
      </c>
    </row>
    <row r="5471" spans="1:40" x14ac:dyDescent="0.25">
      <c r="A5471" t="str">
        <f>"20190304155212644"</f>
        <v>20190304155212644</v>
      </c>
      <c r="B5471" t="str">
        <f>"1551685932632649"</f>
        <v>1551685932632649</v>
      </c>
      <c r="C5471" t="s">
        <v>40</v>
      </c>
      <c r="D5471">
        <v>4.710928</v>
      </c>
      <c r="E5471">
        <v>0.43213119999999999</v>
      </c>
      <c r="F5471" t="s">
        <v>77</v>
      </c>
      <c r="G5471">
        <v>-405.38850000000002</v>
      </c>
      <c r="H5471" s="1">
        <v>-3.9077449999999996E-6</v>
      </c>
      <c r="I5471">
        <v>21.254950000000001</v>
      </c>
      <c r="J5471">
        <v>-419.55650000000003</v>
      </c>
      <c r="K5471">
        <v>1.1147480000000001</v>
      </c>
      <c r="L5471">
        <v>34.847559999999902</v>
      </c>
      <c r="M5471">
        <v>0.37417859999999997</v>
      </c>
      <c r="N5471">
        <v>-1.340796E-2</v>
      </c>
      <c r="O5471">
        <v>-0.92725990000000003</v>
      </c>
      <c r="P5471">
        <v>0.58881039999999996</v>
      </c>
      <c r="Q5471">
        <v>0.17346400000000001</v>
      </c>
      <c r="R5471">
        <v>-0.78943819999999998</v>
      </c>
      <c r="S5471">
        <v>2.247223</v>
      </c>
      <c r="T5471">
        <v>-0.17623620000000001</v>
      </c>
      <c r="U5471">
        <v>-2.165314</v>
      </c>
      <c r="V5471">
        <v>-0.2524362</v>
      </c>
      <c r="W5471">
        <v>0.1837377</v>
      </c>
      <c r="X5471">
        <v>0.95000859999999998</v>
      </c>
      <c r="Y5471">
        <v>-0.40719290000000002</v>
      </c>
      <c r="Z5471">
        <v>4.5435589999999998E-2</v>
      </c>
      <c r="AA5471">
        <v>0.91221140000000001</v>
      </c>
      <c r="AB5471">
        <v>20</v>
      </c>
      <c r="AC5471">
        <v>14.167999999999999</v>
      </c>
      <c r="AD5471">
        <v>-1.1147519077450001</v>
      </c>
      <c r="AE5471">
        <v>-13.592609999999899</v>
      </c>
      <c r="AF5471">
        <v>-8.0262036856890493</v>
      </c>
      <c r="AG5471">
        <v>-1.1147519077450001</v>
      </c>
      <c r="AH5471">
        <v>17.849312243935699</v>
      </c>
      <c r="AI5471">
        <v>93.260035324193296</v>
      </c>
      <c r="AJ5471">
        <v>114.21176199550899</v>
      </c>
      <c r="AK5471">
        <v>19.602565265839601</v>
      </c>
      <c r="AL5471">
        <v>79.412453103396203</v>
      </c>
      <c r="AM5471">
        <v>104.880761446088</v>
      </c>
      <c r="AN5471">
        <v>0.99999995877284398</v>
      </c>
    </row>
    <row r="5472" spans="1:40" x14ac:dyDescent="0.25">
      <c r="A5472" t="str">
        <f>"20190304155212657"</f>
        <v>20190304155212657</v>
      </c>
      <c r="B5472" t="str">
        <f>"1551685932652169"</f>
        <v>1551685932652169</v>
      </c>
      <c r="C5472" t="s">
        <v>40</v>
      </c>
      <c r="D5472">
        <v>4.6045769999999999</v>
      </c>
      <c r="E5472">
        <v>0.43197160000000001</v>
      </c>
      <c r="F5472" t="s">
        <v>77</v>
      </c>
      <c r="G5472">
        <v>-405.16699999999997</v>
      </c>
      <c r="H5472" s="1">
        <v>-3.9932180000000002E-6</v>
      </c>
      <c r="I5472">
        <v>21.108979999999999</v>
      </c>
      <c r="J5472">
        <v>-419.51260000000002</v>
      </c>
      <c r="K5472">
        <v>1.1147480000000001</v>
      </c>
      <c r="L5472">
        <v>34.750489999999999</v>
      </c>
      <c r="M5472">
        <v>0.37779459999999998</v>
      </c>
      <c r="N5472">
        <v>-1.339097E-2</v>
      </c>
      <c r="O5472">
        <v>-0.92579259999999997</v>
      </c>
      <c r="P5472">
        <v>0.5926285</v>
      </c>
      <c r="Q5472">
        <v>0.17391709999999999</v>
      </c>
      <c r="R5472">
        <v>-0.78647599999999995</v>
      </c>
      <c r="S5472">
        <v>2.2571720000000002</v>
      </c>
      <c r="T5472">
        <v>-0.17486209999999999</v>
      </c>
      <c r="U5472">
        <v>-2.1550600000000002</v>
      </c>
      <c r="V5472">
        <v>-0.25337549999999998</v>
      </c>
      <c r="W5472">
        <v>0.18416099999999999</v>
      </c>
      <c r="X5472">
        <v>0.94967659999999998</v>
      </c>
      <c r="Y5472">
        <v>-0.40782099999999999</v>
      </c>
      <c r="Z5472">
        <v>4.5007199999999997E-2</v>
      </c>
      <c r="AA5472">
        <v>0.91195199999999998</v>
      </c>
      <c r="AB5472">
        <v>20</v>
      </c>
      <c r="AC5472">
        <v>14.345599999999999</v>
      </c>
      <c r="AD5472">
        <v>-1.1147519932179999</v>
      </c>
      <c r="AE5472">
        <v>-13.64151</v>
      </c>
      <c r="AF5472">
        <v>-8.1023975668963306</v>
      </c>
      <c r="AG5472">
        <v>-1.1147519932179999</v>
      </c>
      <c r="AH5472">
        <v>17.993460362953801</v>
      </c>
      <c r="AI5472">
        <v>93.233211258821996</v>
      </c>
      <c r="AJ5472">
        <v>114.24188529456301</v>
      </c>
      <c r="AK5472">
        <v>19.765022999521701</v>
      </c>
      <c r="AL5472">
        <v>79.387779526784897</v>
      </c>
      <c r="AM5472">
        <v>104.938649626165</v>
      </c>
      <c r="AN5472">
        <v>1.0000000312544</v>
      </c>
    </row>
    <row r="5473" spans="1:40" x14ac:dyDescent="0.25">
      <c r="A5473" t="str">
        <f>"20190304155212669"</f>
        <v>20190304155212669</v>
      </c>
      <c r="B5473" t="str">
        <f>"1551685932661928"</f>
        <v>1551685932661928</v>
      </c>
      <c r="C5473" t="s">
        <v>40</v>
      </c>
      <c r="D5473">
        <v>4.5955820000000003</v>
      </c>
      <c r="E5473">
        <v>0.43189129999999998</v>
      </c>
      <c r="F5473" t="s">
        <v>77</v>
      </c>
      <c r="G5473">
        <v>-404.8732</v>
      </c>
      <c r="H5473" s="1">
        <v>-4.1046929999999999E-6</v>
      </c>
      <c r="I5473">
        <v>20.922619999999998</v>
      </c>
      <c r="J5473">
        <v>-419.46550000000002</v>
      </c>
      <c r="K5473">
        <v>1.114749</v>
      </c>
      <c r="L5473">
        <v>34.647129999999997</v>
      </c>
      <c r="M5473">
        <v>0.38164520000000002</v>
      </c>
      <c r="N5473">
        <v>-1.337354E-2</v>
      </c>
      <c r="O5473">
        <v>-0.92421220000000004</v>
      </c>
      <c r="P5473">
        <v>0.59642240000000002</v>
      </c>
      <c r="Q5473">
        <v>0.17410390000000001</v>
      </c>
      <c r="R5473">
        <v>-0.78356130000000002</v>
      </c>
      <c r="S5473">
        <v>2.2688290000000002</v>
      </c>
      <c r="T5473">
        <v>-0.17276610000000001</v>
      </c>
      <c r="U5473">
        <v>-2.1430660000000001</v>
      </c>
      <c r="V5473">
        <v>-0.25403110000000001</v>
      </c>
      <c r="W5473">
        <v>0.18432219999999999</v>
      </c>
      <c r="X5473">
        <v>0.94947020000000004</v>
      </c>
      <c r="Y5473">
        <v>-0.40893160000000001</v>
      </c>
      <c r="Z5473">
        <v>4.4351809999999998E-2</v>
      </c>
      <c r="AA5473">
        <v>0.91148660000000004</v>
      </c>
      <c r="AB5473">
        <v>20</v>
      </c>
      <c r="AC5473">
        <v>14.5923</v>
      </c>
      <c r="AD5473">
        <v>-1.1147531046929999</v>
      </c>
      <c r="AE5473">
        <v>-13.724509999999899</v>
      </c>
      <c r="AF5473">
        <v>-8.2237595907402099</v>
      </c>
      <c r="AG5473">
        <v>-1.1147531046929999</v>
      </c>
      <c r="AH5473">
        <v>18.198717540774901</v>
      </c>
      <c r="AI5473">
        <v>93.1949235623688</v>
      </c>
      <c r="AJ5473">
        <v>114.317580902044</v>
      </c>
      <c r="AK5473">
        <v>20.001655341986702</v>
      </c>
      <c r="AL5473">
        <v>79.378382964346002</v>
      </c>
      <c r="AM5473">
        <v>104.978677562505</v>
      </c>
      <c r="AN5473">
        <v>1.0000000669340401</v>
      </c>
    </row>
    <row r="5474" spans="1:40" x14ac:dyDescent="0.25">
      <c r="A5474" t="str">
        <f>"20190304155212682"</f>
        <v>20190304155212682</v>
      </c>
      <c r="B5474" t="str">
        <f>"1551685932672665"</f>
        <v>1551685932672665</v>
      </c>
      <c r="C5474" t="s">
        <v>40</v>
      </c>
      <c r="D5474">
        <v>4.5931129999999998</v>
      </c>
      <c r="E5474">
        <v>0.43181409999999998</v>
      </c>
      <c r="F5474" t="s">
        <v>77</v>
      </c>
      <c r="G5474">
        <v>-404.68299999999999</v>
      </c>
      <c r="H5474" s="1">
        <v>-4.1757749999999998E-6</v>
      </c>
      <c r="I5474">
        <v>20.824020000000001</v>
      </c>
      <c r="J5474">
        <v>-419.4144</v>
      </c>
      <c r="K5474">
        <v>1.1147480000000001</v>
      </c>
      <c r="L5474">
        <v>34.536929999999998</v>
      </c>
      <c r="M5474">
        <v>0.38575589999999998</v>
      </c>
      <c r="N5474">
        <v>-1.335659E-2</v>
      </c>
      <c r="O5474">
        <v>-0.92250430000000005</v>
      </c>
      <c r="P5474">
        <v>0.60086049999999902</v>
      </c>
      <c r="Q5474">
        <v>0.17349349999999999</v>
      </c>
      <c r="R5474">
        <v>-0.78029939999999998</v>
      </c>
      <c r="S5474">
        <v>2.279633</v>
      </c>
      <c r="T5474">
        <v>-0.1719079</v>
      </c>
      <c r="U5474">
        <v>-2.1316830000000002</v>
      </c>
      <c r="V5474">
        <v>-0.25513819999999998</v>
      </c>
      <c r="W5474">
        <v>0.18368190000000001</v>
      </c>
      <c r="X5474">
        <v>0.94929739999999996</v>
      </c>
      <c r="Y5474">
        <v>-0.40946260000000001</v>
      </c>
      <c r="Z5474">
        <v>4.4086180000000003E-2</v>
      </c>
      <c r="AA5474">
        <v>0.91126110000000005</v>
      </c>
      <c r="AB5474">
        <v>20</v>
      </c>
      <c r="AC5474">
        <v>14.731399999999899</v>
      </c>
      <c r="AD5474">
        <v>-1.1147521757750001</v>
      </c>
      <c r="AE5474">
        <v>-13.7129099999999</v>
      </c>
      <c r="AF5474">
        <v>-8.2752958643054502</v>
      </c>
      <c r="AG5474">
        <v>-1.1147521757750001</v>
      </c>
      <c r="AH5474">
        <v>18.278500230899699</v>
      </c>
      <c r="AI5474">
        <v>93.179994736691896</v>
      </c>
      <c r="AJ5474">
        <v>114.357872527317</v>
      </c>
      <c r="AK5474">
        <v>20.0954413921712</v>
      </c>
      <c r="AL5474">
        <v>79.415706513853294</v>
      </c>
      <c r="AM5474">
        <v>105.043618289569</v>
      </c>
      <c r="AN5474">
        <v>1.0000000475668001</v>
      </c>
    </row>
    <row r="5475" spans="1:40" x14ac:dyDescent="0.25">
      <c r="A5475" t="str">
        <f>"20190304155212705"</f>
        <v>20190304155212705</v>
      </c>
      <c r="B5475" t="str">
        <f>"1551685932701944"</f>
        <v>1551685932701944</v>
      </c>
      <c r="C5475" t="s">
        <v>40</v>
      </c>
      <c r="D5475">
        <v>4.6370069999999997</v>
      </c>
      <c r="E5475">
        <v>0.4315754</v>
      </c>
      <c r="F5475" t="s">
        <v>77</v>
      </c>
      <c r="G5475">
        <v>-404.67669999999998</v>
      </c>
      <c r="H5475" s="1">
        <v>-4.1951519999999996E-6</v>
      </c>
      <c r="I5475">
        <v>20.916530000000002</v>
      </c>
      <c r="J5475">
        <v>-419.3261</v>
      </c>
      <c r="K5475">
        <v>1.1147450000000001</v>
      </c>
      <c r="L5475">
        <v>34.348849999999999</v>
      </c>
      <c r="M5475">
        <v>0.3927814</v>
      </c>
      <c r="N5475">
        <v>-1.333022E-2</v>
      </c>
      <c r="O5475">
        <v>-0.9195354</v>
      </c>
      <c r="P5475">
        <v>0.60689559999999998</v>
      </c>
      <c r="Q5475">
        <v>0.1733739</v>
      </c>
      <c r="R5475">
        <v>-0.77564109999999997</v>
      </c>
      <c r="S5475">
        <v>2.2920229999999999</v>
      </c>
      <c r="T5475">
        <v>-0.1733674</v>
      </c>
      <c r="U5475">
        <v>-2.1182560000000001</v>
      </c>
      <c r="V5475">
        <v>-0.25524989999999997</v>
      </c>
      <c r="W5475">
        <v>0.1835357</v>
      </c>
      <c r="X5475">
        <v>0.94929560000000002</v>
      </c>
      <c r="Y5475">
        <v>-0.40782289999999999</v>
      </c>
      <c r="Z5475">
        <v>4.4531080000000001E-2</v>
      </c>
      <c r="AA5475">
        <v>0.91197450000000002</v>
      </c>
      <c r="AB5475">
        <v>20</v>
      </c>
      <c r="AC5475">
        <v>14.6494</v>
      </c>
      <c r="AD5475">
        <v>-1.1147491951520001</v>
      </c>
      <c r="AE5475">
        <v>-13.432320000000001</v>
      </c>
      <c r="AF5475">
        <v>-8.1697037708803393</v>
      </c>
      <c r="AG5475">
        <v>-1.1147491951520001</v>
      </c>
      <c r="AH5475">
        <v>18.050330412278299</v>
      </c>
      <c r="AI5475">
        <v>93.220252901414298</v>
      </c>
      <c r="AJ5475">
        <v>114.35183475348001</v>
      </c>
      <c r="AK5475">
        <v>19.8444237372731</v>
      </c>
      <c r="AL5475">
        <v>79.424227522759196</v>
      </c>
      <c r="AM5475">
        <v>105.049932927665</v>
      </c>
      <c r="AN5475">
        <v>1.00000000040193</v>
      </c>
    </row>
    <row r="5476" spans="1:40" x14ac:dyDescent="0.25">
      <c r="A5476" t="str">
        <f>"20190304155212730"</f>
        <v>20190304155212730</v>
      </c>
      <c r="B5476" t="str">
        <f>"1551685932722440"</f>
        <v>1551685932722440</v>
      </c>
      <c r="C5476" t="s">
        <v>40</v>
      </c>
      <c r="D5476">
        <v>4.5076349999999996</v>
      </c>
      <c r="E5476">
        <v>0.43144270000000001</v>
      </c>
      <c r="F5476" t="s">
        <v>77</v>
      </c>
      <c r="G5476">
        <v>-404.36849999999998</v>
      </c>
      <c r="H5476" s="1">
        <v>-4.3112530000000003E-6</v>
      </c>
      <c r="I5476">
        <v>20.76219</v>
      </c>
      <c r="J5476">
        <v>-419.23790000000002</v>
      </c>
      <c r="K5476">
        <v>1.1147480000000001</v>
      </c>
      <c r="L5476">
        <v>34.164700000000003</v>
      </c>
      <c r="M5476">
        <v>0.3996769</v>
      </c>
      <c r="N5476">
        <v>-1.3307640000000001E-2</v>
      </c>
      <c r="O5476">
        <v>-0.91655960000000003</v>
      </c>
      <c r="P5476">
        <v>0.61306939999999999</v>
      </c>
      <c r="Q5476">
        <v>0.17350560000000001</v>
      </c>
      <c r="R5476">
        <v>-0.77074140000000002</v>
      </c>
      <c r="S5476">
        <v>2.310333</v>
      </c>
      <c r="T5476">
        <v>-0.17218229999999901</v>
      </c>
      <c r="U5476">
        <v>-2.0985719999999999</v>
      </c>
      <c r="V5476">
        <v>-0.25571329999999998</v>
      </c>
      <c r="W5476">
        <v>0.18363930000000001</v>
      </c>
      <c r="X5476">
        <v>0.94915090000000002</v>
      </c>
      <c r="Y5476">
        <v>-0.408835</v>
      </c>
      <c r="Z5476">
        <v>4.4158940000000001E-2</v>
      </c>
      <c r="AA5476">
        <v>0.9115394</v>
      </c>
      <c r="AB5476">
        <v>20</v>
      </c>
      <c r="AC5476">
        <v>14.869400000000001</v>
      </c>
      <c r="AD5476">
        <v>-1.11475231125299</v>
      </c>
      <c r="AE5476">
        <v>-13.402509999999999</v>
      </c>
      <c r="AF5476">
        <v>-8.2471744149304005</v>
      </c>
      <c r="AG5476">
        <v>-1.11475231125299</v>
      </c>
      <c r="AH5476">
        <v>18.172413503894401</v>
      </c>
      <c r="AI5476">
        <v>93.197206279824101</v>
      </c>
      <c r="AJ5476">
        <v>114.40994098006399</v>
      </c>
      <c r="AK5476">
        <v>19.987375292975599</v>
      </c>
      <c r="AL5476">
        <v>79.418189658886206</v>
      </c>
      <c r="AM5476">
        <v>105.078206695503</v>
      </c>
      <c r="AN5476">
        <v>1.0000000576360899</v>
      </c>
    </row>
    <row r="5477" spans="1:40" x14ac:dyDescent="0.25">
      <c r="A5477" t="str">
        <f>"20190304155212751"</f>
        <v>20190304155212751</v>
      </c>
      <c r="B5477" t="str">
        <f>"1551685932741960"</f>
        <v>1551685932741960</v>
      </c>
      <c r="C5477" t="s">
        <v>40</v>
      </c>
      <c r="D5477">
        <v>4.5022129999999896</v>
      </c>
      <c r="E5477">
        <v>0.43134329999999999</v>
      </c>
      <c r="F5477" t="s">
        <v>51</v>
      </c>
      <c r="G5477">
        <v>-418.43110000000001</v>
      </c>
      <c r="H5477">
        <v>1.0556099999999999</v>
      </c>
      <c r="I5477">
        <v>33.444470000000003</v>
      </c>
      <c r="J5477">
        <v>-419.14890000000003</v>
      </c>
      <c r="K5477">
        <v>1.114741</v>
      </c>
      <c r="L5477">
        <v>33.982570000000003</v>
      </c>
      <c r="M5477">
        <v>0.40651789999999999</v>
      </c>
      <c r="N5477">
        <v>-1.3288289999999999E-2</v>
      </c>
      <c r="O5477">
        <v>-0.91354639999999998</v>
      </c>
      <c r="P5477">
        <v>0.61882559999999998</v>
      </c>
      <c r="Q5477">
        <v>0.1737078</v>
      </c>
      <c r="R5477">
        <v>-0.76608169999999898</v>
      </c>
      <c r="S5477">
        <v>2.32843</v>
      </c>
      <c r="T5477">
        <v>-0.17067579999999999</v>
      </c>
      <c r="U5477">
        <v>-2.0786739999999999</v>
      </c>
      <c r="V5477">
        <v>-0.25574740000000001</v>
      </c>
      <c r="W5477">
        <v>0.1838226</v>
      </c>
      <c r="X5477">
        <v>0.94910620000000001</v>
      </c>
      <c r="Y5477">
        <v>-0.40988570000000002</v>
      </c>
      <c r="Z5477">
        <v>4.3682230000000002E-2</v>
      </c>
      <c r="AA5477">
        <v>0.91109030000000002</v>
      </c>
      <c r="AB5477">
        <v>20</v>
      </c>
      <c r="AC5477">
        <v>0.71780000000001098</v>
      </c>
      <c r="AD5477">
        <v>-5.9131000000000003E-2</v>
      </c>
      <c r="AE5477">
        <v>-0.53810000000000002</v>
      </c>
      <c r="AF5477">
        <v>-0.43514429908409602</v>
      </c>
      <c r="AG5477">
        <v>-5.9131000000000003E-2</v>
      </c>
      <c r="AH5477">
        <v>0.78005784935007705</v>
      </c>
      <c r="AI5477">
        <v>93.787446560238905</v>
      </c>
      <c r="AJ5477">
        <v>119.154348395786</v>
      </c>
      <c r="AK5477">
        <v>0.89517444362484899</v>
      </c>
      <c r="AL5477">
        <v>79.407505164004306</v>
      </c>
      <c r="AM5477">
        <v>105.08080371361</v>
      </c>
      <c r="AN5477">
        <v>1.0000000298779701</v>
      </c>
    </row>
    <row r="5478" spans="1:40" x14ac:dyDescent="0.25">
      <c r="A5478" t="str">
        <f>"20190304155212772"</f>
        <v>20190304155212772</v>
      </c>
      <c r="B5478" t="str">
        <f>"1551685932762457"</f>
        <v>1551685932762457</v>
      </c>
      <c r="C5478" t="s">
        <v>40</v>
      </c>
      <c r="D5478">
        <v>4.488702</v>
      </c>
      <c r="E5478">
        <v>0.43123590000000001</v>
      </c>
      <c r="F5478" t="s">
        <v>77</v>
      </c>
      <c r="G5478">
        <v>-403.7448</v>
      </c>
      <c r="H5478" s="1">
        <v>-4.5452670000000001E-6</v>
      </c>
      <c r="I5478">
        <v>20.44473</v>
      </c>
      <c r="J5478">
        <v>-419.06470000000002</v>
      </c>
      <c r="K5478">
        <v>1.114738</v>
      </c>
      <c r="L5478">
        <v>33.813450000000003</v>
      </c>
      <c r="M5478">
        <v>0.4128851</v>
      </c>
      <c r="N5478">
        <v>-1.327128E-2</v>
      </c>
      <c r="O5478">
        <v>-0.91068660000000001</v>
      </c>
      <c r="P5478">
        <v>0.6243069</v>
      </c>
      <c r="Q5478">
        <v>0.17252219999999999</v>
      </c>
      <c r="R5478">
        <v>-0.76189079999999998</v>
      </c>
      <c r="S5478">
        <v>2.3446349999999998</v>
      </c>
      <c r="T5478">
        <v>-0.16967389999999999</v>
      </c>
      <c r="U5478">
        <v>-2.0605769999999999</v>
      </c>
      <c r="V5478">
        <v>-0.25580960000000003</v>
      </c>
      <c r="W5478">
        <v>0.18262400000000001</v>
      </c>
      <c r="X5478">
        <v>0.94932079999999996</v>
      </c>
      <c r="Y5478">
        <v>-0.41062159999999898</v>
      </c>
      <c r="Z5478">
        <v>4.3360719999999998E-2</v>
      </c>
      <c r="AA5478">
        <v>0.91077430000000004</v>
      </c>
      <c r="AB5478">
        <v>20</v>
      </c>
      <c r="AC5478">
        <v>15.319900000000001</v>
      </c>
      <c r="AD5478">
        <v>-1.1147425452669999</v>
      </c>
      <c r="AE5478">
        <v>-13.36872</v>
      </c>
      <c r="AF5478">
        <v>-8.40735309606257</v>
      </c>
      <c r="AG5478">
        <v>-1.1147425452669999</v>
      </c>
      <c r="AH5478">
        <v>18.446253904424601</v>
      </c>
      <c r="AI5478">
        <v>93.147506719205097</v>
      </c>
      <c r="AJ5478">
        <v>114.50234267067501</v>
      </c>
      <c r="AK5478">
        <v>20.302475714321101</v>
      </c>
      <c r="AL5478">
        <v>79.477362471379806</v>
      </c>
      <c r="AM5478">
        <v>105.08104981092799</v>
      </c>
      <c r="AN5478">
        <v>1.0000000290703901</v>
      </c>
    </row>
    <row r="5479" spans="1:40" x14ac:dyDescent="0.25">
      <c r="A5479" t="str">
        <f>"20190304155212794"</f>
        <v>20190304155212794</v>
      </c>
      <c r="B5479" t="str">
        <f>"1551685932792713"</f>
        <v>1551685932792713</v>
      </c>
      <c r="C5479" t="s">
        <v>40</v>
      </c>
      <c r="D5479">
        <v>4.523523</v>
      </c>
      <c r="E5479">
        <v>0.4310927</v>
      </c>
      <c r="F5479" t="s">
        <v>77</v>
      </c>
      <c r="G5479">
        <v>-403.8528</v>
      </c>
      <c r="H5479" s="1">
        <v>-4.5299100000000003E-6</v>
      </c>
      <c r="I5479">
        <v>20.641200000000001</v>
      </c>
      <c r="J5479">
        <v>-418.97539999999998</v>
      </c>
      <c r="K5479">
        <v>1.1147279999999999</v>
      </c>
      <c r="L5479">
        <v>33.637390000000003</v>
      </c>
      <c r="M5479">
        <v>0.41952640000000002</v>
      </c>
      <c r="N5479">
        <v>-1.324998E-2</v>
      </c>
      <c r="O5479">
        <v>-0.90764659999999997</v>
      </c>
      <c r="P5479">
        <v>0.63012290000000004</v>
      </c>
      <c r="Q5479">
        <v>0.17232910000000001</v>
      </c>
      <c r="R5479">
        <v>-0.75713160000000002</v>
      </c>
      <c r="S5479">
        <v>2.3596189999999999</v>
      </c>
      <c r="T5479">
        <v>-0.17291579999999901</v>
      </c>
      <c r="U5479">
        <v>-2.0432429999999999</v>
      </c>
      <c r="V5479">
        <v>-0.25612459999999998</v>
      </c>
      <c r="W5479">
        <v>0.18240780000000001</v>
      </c>
      <c r="X5479">
        <v>0.94927740000000005</v>
      </c>
      <c r="Y5479">
        <v>-0.4106091</v>
      </c>
      <c r="Z5479">
        <v>4.4384460000000001E-2</v>
      </c>
      <c r="AA5479">
        <v>0.91073059999999995</v>
      </c>
      <c r="AB5479">
        <v>20</v>
      </c>
      <c r="AC5479">
        <v>15.122599999999901</v>
      </c>
      <c r="AD5479">
        <v>-1.1147325299099999</v>
      </c>
      <c r="AE5479">
        <v>-12.99619</v>
      </c>
      <c r="AF5479">
        <v>-8.2486765740056196</v>
      </c>
      <c r="AG5479">
        <v>-1.1147325299099999</v>
      </c>
      <c r="AH5479">
        <v>18.085343941703599</v>
      </c>
      <c r="AI5479">
        <v>93.209770356608203</v>
      </c>
      <c r="AJ5479">
        <v>114.51760093356</v>
      </c>
      <c r="AK5479">
        <v>19.908866349581601</v>
      </c>
      <c r="AL5479">
        <v>79.489961127125895</v>
      </c>
      <c r="AM5479">
        <v>105.099431760717</v>
      </c>
      <c r="AN5479">
        <v>0.99999999918838001</v>
      </c>
    </row>
    <row r="5480" spans="1:40" x14ac:dyDescent="0.25">
      <c r="A5480" t="str">
        <f>"20190304155212819"</f>
        <v>20190304155212819</v>
      </c>
      <c r="B5480" t="str">
        <f>"1551685932812232"</f>
        <v>1551685932812232</v>
      </c>
      <c r="C5480" t="s">
        <v>40</v>
      </c>
      <c r="D5480">
        <v>4.5115030000000003</v>
      </c>
      <c r="E5480">
        <v>0.43100549999999999</v>
      </c>
      <c r="F5480" t="s">
        <v>77</v>
      </c>
      <c r="G5480">
        <v>-403.58019999999999</v>
      </c>
      <c r="H5480" s="1">
        <v>-4.6368859999999996E-6</v>
      </c>
      <c r="I5480">
        <v>20.528659999999999</v>
      </c>
      <c r="J5480">
        <v>-418.87920000000003</v>
      </c>
      <c r="K5480">
        <v>1.1147199999999999</v>
      </c>
      <c r="L5480">
        <v>33.450899999999997</v>
      </c>
      <c r="M5480">
        <v>0.4265719</v>
      </c>
      <c r="N5480">
        <v>-1.322507E-2</v>
      </c>
      <c r="O5480">
        <v>-0.90435699999999997</v>
      </c>
      <c r="P5480">
        <v>0.63587590000000005</v>
      </c>
      <c r="Q5480">
        <v>0.17240529999999901</v>
      </c>
      <c r="R5480">
        <v>-0.75228890000000004</v>
      </c>
      <c r="S5480">
        <v>2.3765559999999999</v>
      </c>
      <c r="T5480">
        <v>-0.17208090000000001</v>
      </c>
      <c r="U5480">
        <v>-2.02359</v>
      </c>
      <c r="V5480">
        <v>-0.25598480000000001</v>
      </c>
      <c r="W5480">
        <v>0.1824645</v>
      </c>
      <c r="X5480">
        <v>0.94930420000000004</v>
      </c>
      <c r="Y5480">
        <v>-0.41110010000000002</v>
      </c>
      <c r="Z5480">
        <v>4.4112119999999998E-2</v>
      </c>
      <c r="AA5480">
        <v>0.91052230000000001</v>
      </c>
      <c r="AB5480">
        <v>20</v>
      </c>
      <c r="AC5480">
        <v>15.298999999999999</v>
      </c>
      <c r="AD5480">
        <v>-1.114724636886</v>
      </c>
      <c r="AE5480">
        <v>-12.922239999999899</v>
      </c>
      <c r="AF5480">
        <v>-8.2985085145498108</v>
      </c>
      <c r="AG5480">
        <v>-1.114724636886</v>
      </c>
      <c r="AH5480">
        <v>18.157773127887001</v>
      </c>
      <c r="AI5480">
        <v>93.195856166133495</v>
      </c>
      <c r="AJ5480">
        <v>114.561460966788</v>
      </c>
      <c r="AK5480">
        <v>19.995313939669799</v>
      </c>
      <c r="AL5480">
        <v>79.486656885269696</v>
      </c>
      <c r="AM5480">
        <v>105.091159484119</v>
      </c>
      <c r="AN5480">
        <v>0.99999998786446498</v>
      </c>
    </row>
    <row r="5481" spans="1:40" x14ac:dyDescent="0.25">
      <c r="A5481" t="str">
        <f>"20190304155212839"</f>
        <v>20190304155212839</v>
      </c>
      <c r="B5481" t="str">
        <f>"1551685932832732"</f>
        <v>1551685932832732</v>
      </c>
      <c r="C5481" t="s">
        <v>40</v>
      </c>
      <c r="D5481">
        <v>4.5198999999999998</v>
      </c>
      <c r="E5481">
        <v>0.43090970000000001</v>
      </c>
      <c r="F5481" t="s">
        <v>77</v>
      </c>
      <c r="G5481">
        <v>-403.28089999999997</v>
      </c>
      <c r="H5481" s="1">
        <v>-4.7510820000000001E-6</v>
      </c>
      <c r="I5481">
        <v>20.386790000000001</v>
      </c>
      <c r="J5481">
        <v>-418.79050000000001</v>
      </c>
      <c r="K5481">
        <v>1.114711</v>
      </c>
      <c r="L5481">
        <v>33.282409999999999</v>
      </c>
      <c r="M5481">
        <v>0.43294490000000002</v>
      </c>
      <c r="N5481">
        <v>-1.320438E-2</v>
      </c>
      <c r="O5481">
        <v>-0.90132389999999996</v>
      </c>
      <c r="P5481">
        <v>0.6410536</v>
      </c>
      <c r="Q5481">
        <v>0.17180210000000001</v>
      </c>
      <c r="R5481">
        <v>-0.74802040000000003</v>
      </c>
      <c r="S5481">
        <v>2.3930660000000001</v>
      </c>
      <c r="T5481">
        <v>-0.17101920000000001</v>
      </c>
      <c r="U5481">
        <v>-2.0042719999999998</v>
      </c>
      <c r="V5481">
        <v>-0.2557682</v>
      </c>
      <c r="W5481">
        <v>0.18184890000000001</v>
      </c>
      <c r="X5481">
        <v>0.94948069999999896</v>
      </c>
      <c r="Y5481">
        <v>-0.4120916</v>
      </c>
      <c r="Z5481">
        <v>4.3772709999999999E-2</v>
      </c>
      <c r="AA5481">
        <v>0.91009039999999997</v>
      </c>
      <c r="AB5481">
        <v>20</v>
      </c>
      <c r="AC5481">
        <v>15.509600000000001</v>
      </c>
      <c r="AD5481">
        <v>-1.1147157510820001</v>
      </c>
      <c r="AE5481">
        <v>-12.895619999999999</v>
      </c>
      <c r="AF5481">
        <v>-8.3712429782262401</v>
      </c>
      <c r="AG5481">
        <v>-1.1147157510820001</v>
      </c>
      <c r="AH5481">
        <v>18.283685491886398</v>
      </c>
      <c r="AI5481">
        <v>93.172872244095501</v>
      </c>
      <c r="AJ5481">
        <v>114.600824324603</v>
      </c>
      <c r="AK5481">
        <v>20.139847451567999</v>
      </c>
      <c r="AL5481">
        <v>79.522528412716298</v>
      </c>
      <c r="AM5481">
        <v>105.07629649621001</v>
      </c>
      <c r="AN5481">
        <v>0.99999999711746901</v>
      </c>
    </row>
    <row r="5482" spans="1:40" x14ac:dyDescent="0.25">
      <c r="A5482" t="str">
        <f>"20190304155212862"</f>
        <v>20190304155212862</v>
      </c>
      <c r="B5482" t="str">
        <f>"1551685932852252"</f>
        <v>1551685932852252</v>
      </c>
      <c r="C5482" t="s">
        <v>40</v>
      </c>
      <c r="D5482">
        <v>4.5053390000000002</v>
      </c>
      <c r="E5482">
        <v>0.4307049</v>
      </c>
      <c r="F5482" t="s">
        <v>77</v>
      </c>
      <c r="G5482">
        <v>-403.23070000000001</v>
      </c>
      <c r="H5482" s="1">
        <v>-4.7832189999999997E-6</v>
      </c>
      <c r="I5482">
        <v>20.43627</v>
      </c>
      <c r="J5482">
        <v>-418.69580000000002</v>
      </c>
      <c r="K5482">
        <v>1.1146879999999999</v>
      </c>
      <c r="L5482">
        <v>33.105319999999999</v>
      </c>
      <c r="M5482">
        <v>0.43964730000000002</v>
      </c>
      <c r="N5482">
        <v>-1.3185499999999999E-2</v>
      </c>
      <c r="O5482">
        <v>-0.89807399999999904</v>
      </c>
      <c r="P5482">
        <v>0.64638859999999998</v>
      </c>
      <c r="Q5482">
        <v>0.17067860000000001</v>
      </c>
      <c r="R5482">
        <v>-0.74367399999999995</v>
      </c>
      <c r="S5482">
        <v>2.4071039999999999</v>
      </c>
      <c r="T5482">
        <v>-0.17244709999999999</v>
      </c>
      <c r="U5482">
        <v>-1.9873050000000001</v>
      </c>
      <c r="V5482">
        <v>-0.255359</v>
      </c>
      <c r="W5482">
        <v>0.1807202</v>
      </c>
      <c r="X5482">
        <v>0.94980629999999999</v>
      </c>
      <c r="Y5482">
        <v>-0.4117093</v>
      </c>
      <c r="Z5482">
        <v>4.4198359999999999E-2</v>
      </c>
      <c r="AA5482">
        <v>0.91024280000000002</v>
      </c>
      <c r="AB5482">
        <v>20</v>
      </c>
      <c r="AC5482">
        <v>15.4651</v>
      </c>
      <c r="AD5482">
        <v>-1.1146927832189999</v>
      </c>
      <c r="AE5482">
        <v>-12.66905</v>
      </c>
      <c r="AF5482">
        <v>-8.2938271571777804</v>
      </c>
      <c r="AG5482">
        <v>-1.1146927832189999</v>
      </c>
      <c r="AH5482">
        <v>18.122169789489</v>
      </c>
      <c r="AI5482">
        <v>93.201257606021997</v>
      </c>
      <c r="AJ5482">
        <v>114.59176619850901</v>
      </c>
      <c r="AK5482">
        <v>19.9610407242</v>
      </c>
      <c r="AL5482">
        <v>79.588287870645701</v>
      </c>
      <c r="AM5482">
        <v>105.048345428172</v>
      </c>
      <c r="AN5482">
        <v>1.0000000085443601</v>
      </c>
    </row>
    <row r="5483" spans="1:40" x14ac:dyDescent="0.25">
      <c r="A5483" t="str">
        <f>"20190304155212884"</f>
        <v>20190304155212884</v>
      </c>
      <c r="B5483" t="str">
        <f>"1551685932882759"</f>
        <v>1551685932882759</v>
      </c>
      <c r="C5483" t="s">
        <v>40</v>
      </c>
      <c r="D5483">
        <v>4.5360399999999998</v>
      </c>
      <c r="E5483">
        <v>0.43044060000000001</v>
      </c>
      <c r="F5483" t="s">
        <v>77</v>
      </c>
      <c r="G5483">
        <v>-403.24099999999999</v>
      </c>
      <c r="H5483" s="1">
        <v>-4.7974540000000002E-6</v>
      </c>
      <c r="I5483">
        <v>20.543119999999998</v>
      </c>
      <c r="J5483">
        <v>-418.60219999999998</v>
      </c>
      <c r="K5483">
        <v>1.1146769999999999</v>
      </c>
      <c r="L5483">
        <v>32.93338</v>
      </c>
      <c r="M5483">
        <v>0.44615939999999998</v>
      </c>
      <c r="N5483">
        <v>-1.316869E-2</v>
      </c>
      <c r="O5483">
        <v>-0.89485669999999995</v>
      </c>
      <c r="P5483">
        <v>0.65196809999999905</v>
      </c>
      <c r="Q5483">
        <v>0.16946269999999999</v>
      </c>
      <c r="R5483">
        <v>-0.73906709999999998</v>
      </c>
      <c r="S5483">
        <v>2.4221499999999998</v>
      </c>
      <c r="T5483">
        <v>-0.1747003</v>
      </c>
      <c r="U5483">
        <v>-1.9688110000000001</v>
      </c>
      <c r="V5483">
        <v>-0.2554689</v>
      </c>
      <c r="W5483">
        <v>0.1794955</v>
      </c>
      <c r="X5483">
        <v>0.95000899999999999</v>
      </c>
      <c r="Y5483">
        <v>-0.41201460000000001</v>
      </c>
      <c r="Z5483">
        <v>4.4892559999999998E-2</v>
      </c>
      <c r="AA5483">
        <v>0.91007070000000001</v>
      </c>
      <c r="AB5483">
        <v>20</v>
      </c>
      <c r="AC5483">
        <v>15.361199999999901</v>
      </c>
      <c r="AD5483">
        <v>-1.114681797454</v>
      </c>
      <c r="AE5483">
        <v>-12.3902599999999</v>
      </c>
      <c r="AF5483">
        <v>-8.1926181818897703</v>
      </c>
      <c r="AG5483">
        <v>-1.114681797454</v>
      </c>
      <c r="AH5483">
        <v>17.885547955437399</v>
      </c>
      <c r="AI5483">
        <v>93.243002627333794</v>
      </c>
      <c r="AJ5483">
        <v>114.61052624293001</v>
      </c>
      <c r="AK5483">
        <v>19.704170468458098</v>
      </c>
      <c r="AL5483">
        <v>79.659624994242904</v>
      </c>
      <c r="AM5483">
        <v>105.05146155673199</v>
      </c>
      <c r="AN5483">
        <v>1.00000004673422</v>
      </c>
    </row>
    <row r="5484" spans="1:40" x14ac:dyDescent="0.25">
      <c r="A5484" t="str">
        <f>"20190304155212907"</f>
        <v>20190304155212907</v>
      </c>
      <c r="B5484" t="str">
        <f>"1551685932902280"</f>
        <v>1551685932902280</v>
      </c>
      <c r="C5484" t="s">
        <v>40</v>
      </c>
      <c r="D5484">
        <v>4.5797869999999996</v>
      </c>
      <c r="E5484">
        <v>0.43028860000000002</v>
      </c>
      <c r="F5484" t="s">
        <v>77</v>
      </c>
      <c r="G5484">
        <v>-403.279</v>
      </c>
      <c r="H5484" s="1">
        <v>-4.8038069999999996E-6</v>
      </c>
      <c r="I5484">
        <v>20.678059999999999</v>
      </c>
      <c r="J5484">
        <v>-418.50569999999999</v>
      </c>
      <c r="K5484">
        <v>1.1146780000000001</v>
      </c>
      <c r="L5484">
        <v>32.759120000000003</v>
      </c>
      <c r="M5484">
        <v>0.45276090000000002</v>
      </c>
      <c r="N5484">
        <v>-1.315238E-2</v>
      </c>
      <c r="O5484">
        <v>-0.89153490000000002</v>
      </c>
      <c r="P5484">
        <v>0.65716300000000005</v>
      </c>
      <c r="Q5484">
        <v>0.17121239999999999</v>
      </c>
      <c r="R5484">
        <v>-0.73404579999999997</v>
      </c>
      <c r="S5484">
        <v>2.4375610000000001</v>
      </c>
      <c r="T5484">
        <v>-0.1773188</v>
      </c>
      <c r="U5484">
        <v>-1.949524</v>
      </c>
      <c r="V5484">
        <v>-0.25534230000000002</v>
      </c>
      <c r="W5484">
        <v>0.1812318</v>
      </c>
      <c r="X5484">
        <v>0.94971329999999998</v>
      </c>
      <c r="Y5484">
        <v>-0.41244609999999898</v>
      </c>
      <c r="Z5484">
        <v>4.5698860000000001E-2</v>
      </c>
      <c r="AA5484">
        <v>0.90983499999999995</v>
      </c>
      <c r="AB5484">
        <v>20</v>
      </c>
      <c r="AC5484">
        <v>15.2266999999999</v>
      </c>
      <c r="AD5484">
        <v>-1.114682803807</v>
      </c>
      <c r="AE5484">
        <v>-12.081060000000001</v>
      </c>
      <c r="AF5484">
        <v>-8.0794329017163804</v>
      </c>
      <c r="AG5484">
        <v>-1.114682803807</v>
      </c>
      <c r="AH5484">
        <v>17.6083598805089</v>
      </c>
      <c r="AI5484">
        <v>93.292970443928397</v>
      </c>
      <c r="AJ5484">
        <v>114.647585515364</v>
      </c>
      <c r="AK5484">
        <v>19.405517036347099</v>
      </c>
      <c r="AL5484">
        <v>79.558483150921305</v>
      </c>
      <c r="AM5484">
        <v>105.048812599276</v>
      </c>
      <c r="AN5484">
        <v>1.00000000384871</v>
      </c>
    </row>
    <row r="5485" spans="1:40" x14ac:dyDescent="0.25">
      <c r="A5485" t="str">
        <f>"20190304155212930"</f>
        <v>20190304155212930</v>
      </c>
      <c r="B5485" t="str">
        <f>"1551685932922775"</f>
        <v>1551685932922775</v>
      </c>
      <c r="C5485" t="s">
        <v>40</v>
      </c>
      <c r="D5485">
        <v>4.5920930000000002</v>
      </c>
      <c r="E5485">
        <v>0.43015199999999998</v>
      </c>
      <c r="F5485" t="s">
        <v>77</v>
      </c>
      <c r="G5485">
        <v>-402.51519999999999</v>
      </c>
      <c r="H5485" s="1">
        <v>-5.0694180000000002E-6</v>
      </c>
      <c r="I5485">
        <v>20.171579999999999</v>
      </c>
      <c r="J5485">
        <v>-418.40460000000002</v>
      </c>
      <c r="K5485">
        <v>1.1146780000000001</v>
      </c>
      <c r="L5485">
        <v>32.579799999999999</v>
      </c>
      <c r="M5485">
        <v>0.4595552</v>
      </c>
      <c r="N5485">
        <v>-1.313691E-2</v>
      </c>
      <c r="O5485">
        <v>-0.88805219999999896</v>
      </c>
      <c r="P5485">
        <v>0.66185190000000005</v>
      </c>
      <c r="Q5485">
        <v>0.17319619999999999</v>
      </c>
      <c r="R5485">
        <v>-0.72935289999999997</v>
      </c>
      <c r="S5485">
        <v>2.4528810000000001</v>
      </c>
      <c r="T5485">
        <v>-0.17098769999999999</v>
      </c>
      <c r="U5485">
        <v>-1.9308780000000001</v>
      </c>
      <c r="V5485">
        <v>-0.25440200000000002</v>
      </c>
      <c r="W5485">
        <v>0.18321370000000001</v>
      </c>
      <c r="X5485">
        <v>0.94958540000000002</v>
      </c>
      <c r="Y5485">
        <v>-0.4126068</v>
      </c>
      <c r="Z5485">
        <v>4.3661909999999998E-2</v>
      </c>
      <c r="AA5485">
        <v>0.90986219999999995</v>
      </c>
      <c r="AB5485">
        <v>20</v>
      </c>
      <c r="AC5485">
        <v>15.8894</v>
      </c>
      <c r="AD5485">
        <v>-1.1146830694179899</v>
      </c>
      <c r="AE5485">
        <v>-12.40822</v>
      </c>
      <c r="AF5485">
        <v>-8.3834500672074395</v>
      </c>
      <c r="AG5485">
        <v>-1.1146830694179899</v>
      </c>
      <c r="AH5485">
        <v>18.2669382613404</v>
      </c>
      <c r="AI5485">
        <v>93.174376389733197</v>
      </c>
      <c r="AJ5485">
        <v>114.652338846219</v>
      </c>
      <c r="AK5485">
        <v>20.129723962792699</v>
      </c>
      <c r="AL5485">
        <v>79.4429953683333</v>
      </c>
      <c r="AM5485">
        <v>104.997824646849</v>
      </c>
      <c r="AN5485">
        <v>1.00000003468242</v>
      </c>
    </row>
    <row r="5486" spans="1:40" x14ac:dyDescent="0.25">
      <c r="A5486" t="str">
        <f>"20190304155212953"</f>
        <v>20190304155212953</v>
      </c>
      <c r="B5486" t="str">
        <f>"1551685932942296"</f>
        <v>1551685932942296</v>
      </c>
      <c r="C5486" t="s">
        <v>40</v>
      </c>
      <c r="D5486">
        <v>4.5749029999999999</v>
      </c>
      <c r="E5486">
        <v>0.43003340000000001</v>
      </c>
      <c r="F5486" t="s">
        <v>51</v>
      </c>
      <c r="G5486">
        <v>-417.55500000000001</v>
      </c>
      <c r="H5486">
        <v>1.058279</v>
      </c>
      <c r="I5486">
        <v>31.920639999999999</v>
      </c>
      <c r="J5486">
        <v>-418.30439999999999</v>
      </c>
      <c r="K5486">
        <v>1.1146799999999999</v>
      </c>
      <c r="L5486">
        <v>32.405459999999998</v>
      </c>
      <c r="M5486">
        <v>0.46616010000000002</v>
      </c>
      <c r="N5486">
        <v>-1.3123610000000001E-2</v>
      </c>
      <c r="O5486">
        <v>-0.88460309999999898</v>
      </c>
      <c r="P5486">
        <v>0.66607249999999996</v>
      </c>
      <c r="Q5486">
        <v>0.1751537</v>
      </c>
      <c r="R5486">
        <v>-0.72503019999999996</v>
      </c>
      <c r="S5486">
        <v>2.4669490000000001</v>
      </c>
      <c r="T5486">
        <v>-0.1637332</v>
      </c>
      <c r="U5486">
        <v>-1.913483</v>
      </c>
      <c r="V5486">
        <v>-0.25306650000000003</v>
      </c>
      <c r="W5486">
        <v>0.18517600000000001</v>
      </c>
      <c r="X5486">
        <v>0.94956160000000001</v>
      </c>
      <c r="Y5486">
        <v>-0.41243000000000002</v>
      </c>
      <c r="Z5486">
        <v>4.13339E-2</v>
      </c>
      <c r="AA5486">
        <v>0.9100511</v>
      </c>
      <c r="AB5486">
        <v>20</v>
      </c>
      <c r="AC5486">
        <v>0.74939999999997997</v>
      </c>
      <c r="AD5486">
        <v>-5.6400999999999701E-2</v>
      </c>
      <c r="AE5486">
        <v>-0.48481999999999498</v>
      </c>
      <c r="AF5486">
        <v>-0.43521757969785102</v>
      </c>
      <c r="AG5486">
        <v>-5.6400999999999701E-2</v>
      </c>
      <c r="AH5486">
        <v>0.77518527454375996</v>
      </c>
      <c r="AI5486">
        <v>93.630149275996004</v>
      </c>
      <c r="AJ5486">
        <v>119.311459622366</v>
      </c>
      <c r="AK5486">
        <v>0.89079044917900796</v>
      </c>
      <c r="AL5486">
        <v>79.328606446456902</v>
      </c>
      <c r="AM5486">
        <v>104.92297098674101</v>
      </c>
      <c r="AN5486">
        <v>1.0000000182964</v>
      </c>
    </row>
    <row r="5487" spans="1:40" x14ac:dyDescent="0.25">
      <c r="A5487" t="str">
        <f>"20190304155212973"</f>
        <v>20190304155212973</v>
      </c>
      <c r="B5487" t="str">
        <f>"1551685932962792"</f>
        <v>1551685932962792</v>
      </c>
      <c r="C5487" t="s">
        <v>40</v>
      </c>
      <c r="D5487">
        <v>4.5908670000000003</v>
      </c>
      <c r="E5487">
        <v>0.42999169999999998</v>
      </c>
      <c r="F5487" t="s">
        <v>77</v>
      </c>
      <c r="G5487">
        <v>-400.60739999999998</v>
      </c>
      <c r="H5487" s="1">
        <v>-7.4223029999999999E-6</v>
      </c>
      <c r="I5487">
        <v>18.869479999999999</v>
      </c>
      <c r="J5487">
        <v>-418.2106</v>
      </c>
      <c r="K5487">
        <v>1.114682</v>
      </c>
      <c r="L5487">
        <v>32.244720000000001</v>
      </c>
      <c r="M5487">
        <v>0.4722499</v>
      </c>
      <c r="N5487">
        <v>-1.3112560000000001E-2</v>
      </c>
      <c r="O5487">
        <v>-0.88136719999999902</v>
      </c>
      <c r="P5487">
        <v>0.66987989999999997</v>
      </c>
      <c r="Q5487">
        <v>0.17625009999999999</v>
      </c>
      <c r="R5487">
        <v>-0.72124679999999997</v>
      </c>
      <c r="S5487">
        <v>2.480194</v>
      </c>
      <c r="T5487">
        <v>-0.15622079999999999</v>
      </c>
      <c r="U5487">
        <v>-1.8970340000000001</v>
      </c>
      <c r="V5487">
        <v>-0.25164609999999998</v>
      </c>
      <c r="W5487">
        <v>0.1862818</v>
      </c>
      <c r="X5487">
        <v>0.94972279999999998</v>
      </c>
      <c r="Y5487">
        <v>-0.41239120000000001</v>
      </c>
      <c r="Z5487">
        <v>3.8934320000000001E-2</v>
      </c>
      <c r="AA5487">
        <v>0.9101745</v>
      </c>
      <c r="AB5487">
        <v>20</v>
      </c>
      <c r="AC5487">
        <v>17.603200000000001</v>
      </c>
      <c r="AD5487">
        <v>-1.1146894223029999</v>
      </c>
      <c r="AE5487">
        <v>-13.37524</v>
      </c>
      <c r="AF5487">
        <v>-9.1758913899048302</v>
      </c>
      <c r="AG5487">
        <v>-1.1146894223029999</v>
      </c>
      <c r="AH5487">
        <v>20.0523587546774</v>
      </c>
      <c r="AI5487">
        <v>92.893726910673294</v>
      </c>
      <c r="AJ5487">
        <v>114.588671820995</v>
      </c>
      <c r="AK5487">
        <v>22.0802311340668</v>
      </c>
      <c r="AL5487">
        <v>79.264127049868193</v>
      </c>
      <c r="AM5487">
        <v>104.84051101831299</v>
      </c>
      <c r="AN5487">
        <v>1.00000003274814</v>
      </c>
    </row>
    <row r="5488" spans="1:40" x14ac:dyDescent="0.25">
      <c r="A5488" t="str">
        <f>"20190304155212996"</f>
        <v>20190304155212996</v>
      </c>
      <c r="B5488" t="str">
        <f>"1551685932993048"</f>
        <v>1551685932993048</v>
      </c>
      <c r="C5488" t="s">
        <v>40</v>
      </c>
      <c r="D5488">
        <v>4.6440789999999996</v>
      </c>
      <c r="E5488">
        <v>0.4298208</v>
      </c>
      <c r="F5488" t="s">
        <v>41</v>
      </c>
      <c r="G5488">
        <v>-399.86649999999997</v>
      </c>
      <c r="H5488" s="1">
        <v>-3.6239689999999999E-7</v>
      </c>
      <c r="I5488">
        <v>18.38758</v>
      </c>
      <c r="J5488">
        <v>-418.10860000000002</v>
      </c>
      <c r="K5488">
        <v>1.1146720000000001</v>
      </c>
      <c r="L5488">
        <v>32.072719999999997</v>
      </c>
      <c r="M5488">
        <v>0.47876790000000002</v>
      </c>
      <c r="N5488">
        <v>-1.3101990000000001E-2</v>
      </c>
      <c r="O5488">
        <v>-0.8778437</v>
      </c>
      <c r="P5488">
        <v>0.67443109999999995</v>
      </c>
      <c r="Q5488">
        <v>0.1772165</v>
      </c>
      <c r="R5488">
        <v>-0.71675469999999997</v>
      </c>
      <c r="S5488">
        <v>2.4916990000000001</v>
      </c>
      <c r="T5488">
        <v>-0.15140870000000001</v>
      </c>
      <c r="U5488">
        <v>-1.882233</v>
      </c>
      <c r="V5488">
        <v>-0.25073719999999999</v>
      </c>
      <c r="W5488">
        <v>0.18725149999999999</v>
      </c>
      <c r="X5488">
        <v>0.94977250000000002</v>
      </c>
      <c r="Y5488">
        <v>-0.411161</v>
      </c>
      <c r="Z5488">
        <v>3.7369270000000003E-2</v>
      </c>
      <c r="AA5488">
        <v>0.91079650000000001</v>
      </c>
      <c r="AB5488">
        <v>20</v>
      </c>
      <c r="AC5488">
        <v>18.242100000000001</v>
      </c>
      <c r="AD5488">
        <v>-1.1146723623968999</v>
      </c>
      <c r="AE5488">
        <v>-13.685140000000001</v>
      </c>
      <c r="AF5488">
        <v>-9.4399658965042192</v>
      </c>
      <c r="AG5488">
        <v>-1.1146723623968999</v>
      </c>
      <c r="AH5488">
        <v>20.699473456628098</v>
      </c>
      <c r="AI5488">
        <v>92.805003958157002</v>
      </c>
      <c r="AJ5488">
        <v>114.51529101161999</v>
      </c>
      <c r="AK5488">
        <v>22.777700761584899</v>
      </c>
      <c r="AL5488">
        <v>79.207572231861107</v>
      </c>
      <c r="AM5488">
        <v>104.788523091019</v>
      </c>
      <c r="AN5488">
        <v>1.0000000347361599</v>
      </c>
    </row>
    <row r="5489" spans="1:40" x14ac:dyDescent="0.25">
      <c r="A5489" t="str">
        <f>"20190304155213019"</f>
        <v>20190304155213019</v>
      </c>
      <c r="B5489" t="str">
        <f>"1551685933012567"</f>
        <v>1551685933012567</v>
      </c>
      <c r="C5489" t="s">
        <v>40</v>
      </c>
      <c r="D5489">
        <v>4.6664219999999998</v>
      </c>
      <c r="E5489">
        <v>0.4297646</v>
      </c>
      <c r="F5489" t="s">
        <v>41</v>
      </c>
      <c r="G5489">
        <v>-399.16430000000003</v>
      </c>
      <c r="H5489" s="1">
        <v>-7.4399749999999897E-7</v>
      </c>
      <c r="I5489">
        <v>17.96688</v>
      </c>
      <c r="J5489">
        <v>-418.0009</v>
      </c>
      <c r="K5489">
        <v>1.1146609999999999</v>
      </c>
      <c r="L5489">
        <v>31.894259999999999</v>
      </c>
      <c r="M5489">
        <v>0.4855331</v>
      </c>
      <c r="N5489">
        <v>-1.309217E-2</v>
      </c>
      <c r="O5489">
        <v>-0.87412040000000002</v>
      </c>
      <c r="P5489">
        <v>0.67935100000000004</v>
      </c>
      <c r="Q5489">
        <v>0.17693529999999999</v>
      </c>
      <c r="R5489">
        <v>-0.7121634</v>
      </c>
      <c r="S5489">
        <v>2.5048219999999999</v>
      </c>
      <c r="T5489">
        <v>-0.1473825</v>
      </c>
      <c r="U5489">
        <v>-1.8650819999999999</v>
      </c>
      <c r="V5489">
        <v>-0.24990080000000001</v>
      </c>
      <c r="W5489">
        <v>0.186976</v>
      </c>
      <c r="X5489">
        <v>0.95004710000000003</v>
      </c>
      <c r="Y5489">
        <v>-0.41046529999999998</v>
      </c>
      <c r="Z5489">
        <v>3.6061450000000002E-2</v>
      </c>
      <c r="AA5489">
        <v>0.9111629</v>
      </c>
      <c r="AB5489">
        <v>20</v>
      </c>
      <c r="AC5489">
        <v>18.836599999999901</v>
      </c>
      <c r="AD5489">
        <v>-1.1146617439975</v>
      </c>
      <c r="AE5489">
        <v>-13.927379999999999</v>
      </c>
      <c r="AF5489">
        <v>-9.6821621113329304</v>
      </c>
      <c r="AG5489">
        <v>-1.1146617439975</v>
      </c>
      <c r="AH5489">
        <v>21.273660286956101</v>
      </c>
      <c r="AI5489">
        <v>92.730335992945299</v>
      </c>
      <c r="AJ5489">
        <v>114.47144045655099</v>
      </c>
      <c r="AK5489">
        <v>23.399900768133101</v>
      </c>
      <c r="AL5489">
        <v>79.223640242654298</v>
      </c>
      <c r="AM5489">
        <v>104.73726844631599</v>
      </c>
      <c r="AN5489">
        <v>0.99999996331752405</v>
      </c>
    </row>
    <row r="5490" spans="1:40" x14ac:dyDescent="0.25">
      <c r="A5490" t="str">
        <f>"20190304155213040"</f>
        <v>20190304155213040</v>
      </c>
      <c r="B5490" t="str">
        <f>"1551685933033067"</f>
        <v>1551685933033067</v>
      </c>
      <c r="C5490" t="s">
        <v>40</v>
      </c>
      <c r="D5490">
        <v>4.6374639999999996</v>
      </c>
      <c r="E5490">
        <v>0.42966310000000002</v>
      </c>
      <c r="F5490" t="s">
        <v>41</v>
      </c>
      <c r="G5490">
        <v>-399.01330000000002</v>
      </c>
      <c r="H5490" s="1">
        <v>-8.0281669999999903E-7</v>
      </c>
      <c r="I5490">
        <v>17.963789999999999</v>
      </c>
      <c r="J5490">
        <v>-417.9015</v>
      </c>
      <c r="K5490">
        <v>1.1146529999999999</v>
      </c>
      <c r="L5490">
        <v>31.732299999999999</v>
      </c>
      <c r="M5490">
        <v>0.49167719999999998</v>
      </c>
      <c r="N5490">
        <v>-1.308425E-2</v>
      </c>
      <c r="O5490">
        <v>-0.87067939999999999</v>
      </c>
      <c r="P5490">
        <v>0.68427530000000003</v>
      </c>
      <c r="Q5490">
        <v>0.177014</v>
      </c>
      <c r="R5490">
        <v>-0.70741339999999997</v>
      </c>
      <c r="S5490">
        <v>2.517944</v>
      </c>
      <c r="T5490">
        <v>-0.14781529999999901</v>
      </c>
      <c r="U5490">
        <v>-1.847321</v>
      </c>
      <c r="V5490">
        <v>-0.2498089</v>
      </c>
      <c r="W5490">
        <v>0.187052</v>
      </c>
      <c r="X5490">
        <v>0.95005640000000002</v>
      </c>
      <c r="Y5490">
        <v>-0.41048319999999999</v>
      </c>
      <c r="Z5490">
        <v>3.6165269999999999E-2</v>
      </c>
      <c r="AA5490">
        <v>0.91115069999999998</v>
      </c>
      <c r="AB5490">
        <v>20</v>
      </c>
      <c r="AC5490">
        <v>18.888199999999902</v>
      </c>
      <c r="AD5490">
        <v>-1.1146538028166999</v>
      </c>
      <c r="AE5490">
        <v>-13.768509999999999</v>
      </c>
      <c r="AF5490">
        <v>-9.6547747132576394</v>
      </c>
      <c r="AG5490">
        <v>-1.1146538028166999</v>
      </c>
      <c r="AH5490">
        <v>21.2283969451736</v>
      </c>
      <c r="AI5490">
        <v>92.736458589074104</v>
      </c>
      <c r="AJ5490">
        <v>114.456263832217</v>
      </c>
      <c r="AK5490">
        <v>23.347418802209202</v>
      </c>
      <c r="AL5490">
        <v>79.219208506397294</v>
      </c>
      <c r="AM5490">
        <v>104.731946706732</v>
      </c>
      <c r="AN5490">
        <v>1.00000005020208</v>
      </c>
    </row>
    <row r="5491" spans="1:40" x14ac:dyDescent="0.25">
      <c r="A5491" t="str">
        <f>"20190304155213063"</f>
        <v>20190304155213063</v>
      </c>
      <c r="B5491" t="str">
        <f>"1551685933052584"</f>
        <v>1551685933052584</v>
      </c>
      <c r="C5491" t="s">
        <v>40</v>
      </c>
      <c r="D5491">
        <v>4.6509819999999999</v>
      </c>
      <c r="E5491">
        <v>0.42956420000000001</v>
      </c>
      <c r="F5491" t="s">
        <v>41</v>
      </c>
      <c r="G5491">
        <v>-398.69200000000001</v>
      </c>
      <c r="H5491" s="1">
        <v>-9.5568080000000004E-7</v>
      </c>
      <c r="I5491">
        <v>17.853020000000001</v>
      </c>
      <c r="J5491">
        <v>-417.79680000000002</v>
      </c>
      <c r="K5491">
        <v>1.114635</v>
      </c>
      <c r="L5491">
        <v>31.56439</v>
      </c>
      <c r="M5491">
        <v>0.4980483</v>
      </c>
      <c r="N5491">
        <v>-1.3076900000000001E-2</v>
      </c>
      <c r="O5491">
        <v>-0.86705080000000001</v>
      </c>
      <c r="P5491">
        <v>0.68914940000000002</v>
      </c>
      <c r="Q5491">
        <v>0.17657020000000001</v>
      </c>
      <c r="R5491">
        <v>-0.7027776</v>
      </c>
      <c r="S5491">
        <v>2.531342</v>
      </c>
      <c r="T5491">
        <v>-0.14688409999999999</v>
      </c>
      <c r="U5491">
        <v>-1.8289489999999999</v>
      </c>
      <c r="V5491">
        <v>-0.2493467</v>
      </c>
      <c r="W5491">
        <v>0.1866121</v>
      </c>
      <c r="X5491">
        <v>0.95026429999999995</v>
      </c>
      <c r="Y5491">
        <v>-0.41044239999999999</v>
      </c>
      <c r="Z5491">
        <v>3.5838699999999897E-2</v>
      </c>
      <c r="AA5491">
        <v>0.91118200000000005</v>
      </c>
      <c r="AB5491">
        <v>20</v>
      </c>
      <c r="AC5491">
        <v>19.104800000000001</v>
      </c>
      <c r="AD5491">
        <v>-1.1146359556808001</v>
      </c>
      <c r="AE5491">
        <v>-13.711370000000001</v>
      </c>
      <c r="AF5491">
        <v>-9.7149126803707393</v>
      </c>
      <c r="AG5491">
        <v>-1.1146359556808001</v>
      </c>
      <c r="AH5491">
        <v>21.357411928249402</v>
      </c>
      <c r="AI5491">
        <v>92.719839684306194</v>
      </c>
      <c r="AJ5491">
        <v>114.459512188448</v>
      </c>
      <c r="AK5491">
        <v>23.489593141939501</v>
      </c>
      <c r="AL5491">
        <v>79.2448646330175</v>
      </c>
      <c r="AM5491">
        <v>104.702793924315</v>
      </c>
      <c r="AN5491">
        <v>1.00000004626089</v>
      </c>
    </row>
    <row r="5492" spans="1:40" x14ac:dyDescent="0.25">
      <c r="A5492" t="str">
        <f>"20190304155213085"</f>
        <v>20190304155213085</v>
      </c>
      <c r="B5492" t="str">
        <f>"1551685933082840"</f>
        <v>1551685933082840</v>
      </c>
      <c r="C5492" t="s">
        <v>40</v>
      </c>
      <c r="D5492">
        <v>4.6931859999999999</v>
      </c>
      <c r="E5492">
        <v>0.4294596</v>
      </c>
      <c r="F5492" t="s">
        <v>41</v>
      </c>
      <c r="G5492">
        <v>-398.53219999999999</v>
      </c>
      <c r="H5492" s="1">
        <v>-1.0158770000000001E-6</v>
      </c>
      <c r="I5492">
        <v>17.857420000000001</v>
      </c>
      <c r="J5492">
        <v>-417.69240000000002</v>
      </c>
      <c r="K5492">
        <v>1.1146229999999999</v>
      </c>
      <c r="L5492">
        <v>31.399439999999998</v>
      </c>
      <c r="M5492">
        <v>0.50430920000000001</v>
      </c>
      <c r="N5492">
        <v>-1.3070389999999999E-2</v>
      </c>
      <c r="O5492">
        <v>-0.86342430000000003</v>
      </c>
      <c r="P5492">
        <v>0.69396179999999996</v>
      </c>
      <c r="Q5492">
        <v>0.1752204</v>
      </c>
      <c r="R5492">
        <v>-0.69836589999999998</v>
      </c>
      <c r="S5492">
        <v>2.5446170000000001</v>
      </c>
      <c r="T5492">
        <v>-0.1472292</v>
      </c>
      <c r="U5492">
        <v>-1.810516</v>
      </c>
      <c r="V5492">
        <v>-0.24881149999999999</v>
      </c>
      <c r="W5492">
        <v>0.1852693</v>
      </c>
      <c r="X5492">
        <v>0.95066719999999905</v>
      </c>
      <c r="Y5492">
        <v>-0.41046939999999998</v>
      </c>
      <c r="Z5492">
        <v>3.59084E-2</v>
      </c>
      <c r="AA5492">
        <v>0.91116710000000001</v>
      </c>
      <c r="AB5492">
        <v>20</v>
      </c>
      <c r="AC5492">
        <v>19.1602</v>
      </c>
      <c r="AD5492">
        <v>-1.114624015877</v>
      </c>
      <c r="AE5492">
        <v>-13.542020000000001</v>
      </c>
      <c r="AF5492">
        <v>-9.6929708055661603</v>
      </c>
      <c r="AG5492">
        <v>-1.114624015877</v>
      </c>
      <c r="AH5492">
        <v>21.308906579982999</v>
      </c>
      <c r="AI5492">
        <v>92.725986486851198</v>
      </c>
      <c r="AJ5492">
        <v>114.45978377326099</v>
      </c>
      <c r="AK5492">
        <v>23.436415454774099</v>
      </c>
      <c r="AL5492">
        <v>79.323166431675702</v>
      </c>
      <c r="AM5492">
        <v>104.66664861315</v>
      </c>
      <c r="AN5492">
        <v>1.00000000060528</v>
      </c>
    </row>
    <row r="5493" spans="1:40" x14ac:dyDescent="0.25">
      <c r="A5493" t="str">
        <f>"20190304155213108"</f>
        <v>20190304155213108</v>
      </c>
      <c r="B5493" t="str">
        <f>"1551685933102360"</f>
        <v>1551685933102360</v>
      </c>
      <c r="C5493" t="s">
        <v>40</v>
      </c>
      <c r="D5493">
        <v>4.708234</v>
      </c>
      <c r="E5493">
        <v>0.42940919999999999</v>
      </c>
      <c r="F5493" t="s">
        <v>41</v>
      </c>
      <c r="G5493">
        <v>-398.68529999999998</v>
      </c>
      <c r="H5493" s="1">
        <v>-8.9678689999999995E-7</v>
      </c>
      <c r="I5493">
        <v>18.08399</v>
      </c>
      <c r="J5493">
        <v>-417.58409999999998</v>
      </c>
      <c r="K5493">
        <v>1.1146160000000001</v>
      </c>
      <c r="L5493">
        <v>31.231259999999999</v>
      </c>
      <c r="M5493">
        <v>0.51069629999999999</v>
      </c>
      <c r="N5493">
        <v>-1.306451E-2</v>
      </c>
      <c r="O5493">
        <v>-0.85966180000000003</v>
      </c>
      <c r="P5493">
        <v>0.69892759999999998</v>
      </c>
      <c r="Q5493">
        <v>0.17484089999999999</v>
      </c>
      <c r="R5493">
        <v>-0.69349159999999999</v>
      </c>
      <c r="S5493">
        <v>2.557709</v>
      </c>
      <c r="T5493">
        <v>-0.1499907</v>
      </c>
      <c r="U5493">
        <v>-1.791809</v>
      </c>
      <c r="V5493">
        <v>-0.24849260000000001</v>
      </c>
      <c r="W5493">
        <v>0.18489249999999999</v>
      </c>
      <c r="X5493">
        <v>0.950824</v>
      </c>
      <c r="Y5493">
        <v>-0.41034219999999999</v>
      </c>
      <c r="Z5493">
        <v>3.6721700000000003E-2</v>
      </c>
      <c r="AA5493">
        <v>0.91119190000000005</v>
      </c>
      <c r="AB5493">
        <v>20</v>
      </c>
      <c r="AC5493">
        <v>18.898799999999898</v>
      </c>
      <c r="AD5493">
        <v>-1.1146168967868999</v>
      </c>
      <c r="AE5493">
        <v>-13.147270000000001</v>
      </c>
      <c r="AF5493">
        <v>-9.5108351572622407</v>
      </c>
      <c r="AG5493">
        <v>-1.1146168967868999</v>
      </c>
      <c r="AH5493">
        <v>20.906538022404501</v>
      </c>
      <c r="AI5493">
        <v>92.778307172773395</v>
      </c>
      <c r="AJ5493">
        <v>114.46181216785401</v>
      </c>
      <c r="AK5493">
        <v>22.995253603678002</v>
      </c>
      <c r="AL5493">
        <v>79.345135493241898</v>
      </c>
      <c r="AM5493">
        <v>104.646347653932</v>
      </c>
      <c r="AN5493">
        <v>1.0000000438934999</v>
      </c>
    </row>
    <row r="5494" spans="1:40" x14ac:dyDescent="0.25">
      <c r="A5494" t="str">
        <f>"20190304155213130"</f>
        <v>20190304155213130</v>
      </c>
      <c r="B5494" t="str">
        <f>"1551685933122856"</f>
        <v>1551685933122856</v>
      </c>
      <c r="C5494" t="s">
        <v>40</v>
      </c>
      <c r="D5494">
        <v>4.7077260000000001</v>
      </c>
      <c r="E5494">
        <v>0.429373</v>
      </c>
      <c r="F5494" t="s">
        <v>51</v>
      </c>
      <c r="G5494">
        <v>-416.69549999999998</v>
      </c>
      <c r="H5494">
        <v>1.0624229999999999</v>
      </c>
      <c r="I5494">
        <v>30.61787</v>
      </c>
      <c r="J5494">
        <v>-417.47609999999997</v>
      </c>
      <c r="K5494">
        <v>1.114601</v>
      </c>
      <c r="L5494">
        <v>31.066379999999999</v>
      </c>
      <c r="M5494">
        <v>0.51696339999999996</v>
      </c>
      <c r="N5494">
        <v>-1.305921E-2</v>
      </c>
      <c r="O5494">
        <v>-0.85590809999999995</v>
      </c>
      <c r="P5494">
        <v>0.70368299999999995</v>
      </c>
      <c r="Q5494">
        <v>0.17428070000000001</v>
      </c>
      <c r="R5494">
        <v>-0.68880830000000004</v>
      </c>
      <c r="S5494">
        <v>2.5703130000000001</v>
      </c>
      <c r="T5494">
        <v>-0.1509347</v>
      </c>
      <c r="U5494">
        <v>-1.7734989999999999</v>
      </c>
      <c r="V5494">
        <v>-0.24800610000000001</v>
      </c>
      <c r="W5494">
        <v>0.18433769999999999</v>
      </c>
      <c r="X5494">
        <v>0.95105870000000003</v>
      </c>
      <c r="Y5494">
        <v>-0.41015699999999999</v>
      </c>
      <c r="Z5494">
        <v>3.6966579999999999E-2</v>
      </c>
      <c r="AA5494">
        <v>0.9112654</v>
      </c>
      <c r="AB5494">
        <v>20</v>
      </c>
      <c r="AC5494">
        <v>0.78059999999999197</v>
      </c>
      <c r="AD5494">
        <v>-5.2178000000000002E-2</v>
      </c>
      <c r="AE5494">
        <v>-0.44850999999999802</v>
      </c>
      <c r="AF5494">
        <v>-0.43483507638121499</v>
      </c>
      <c r="AG5494">
        <v>-5.2178000000000002E-2</v>
      </c>
      <c r="AH5494">
        <v>0.78485556799747003</v>
      </c>
      <c r="AI5494">
        <v>93.328141310722998</v>
      </c>
      <c r="AJ5494">
        <v>118.98785437492199</v>
      </c>
      <c r="AK5494">
        <v>0.89877825404940004</v>
      </c>
      <c r="AL5494">
        <v>79.3774790219382</v>
      </c>
      <c r="AM5494">
        <v>104.615449348762</v>
      </c>
      <c r="AN5494">
        <v>1.0000000320620901</v>
      </c>
    </row>
    <row r="5495" spans="1:40" x14ac:dyDescent="0.25">
      <c r="A5495" t="str">
        <f>"20190304155213153"</f>
        <v>20190304155213153</v>
      </c>
      <c r="B5495" t="str">
        <f>"1551685933142377"</f>
        <v>1551685933142377</v>
      </c>
      <c r="C5495" t="s">
        <v>40</v>
      </c>
      <c r="D5495">
        <v>4.7013759999999998</v>
      </c>
      <c r="E5495">
        <v>0.42934070000000002</v>
      </c>
      <c r="F5495" t="s">
        <v>41</v>
      </c>
      <c r="G5495">
        <v>-398.60120000000001</v>
      </c>
      <c r="H5495" s="1">
        <v>-8.8945210000000001E-7</v>
      </c>
      <c r="I5495">
        <v>18.232959999999999</v>
      </c>
      <c r="J5495">
        <v>-417.36509999999998</v>
      </c>
      <c r="K5495">
        <v>1.1145830000000001</v>
      </c>
      <c r="L5495">
        <v>30.899539999999998</v>
      </c>
      <c r="M5495">
        <v>0.52330739999999998</v>
      </c>
      <c r="N5495">
        <v>-1.3054359999999999E-2</v>
      </c>
      <c r="O5495">
        <v>-0.85204389999999997</v>
      </c>
      <c r="P5495">
        <v>0.70861540000000001</v>
      </c>
      <c r="Q5495">
        <v>0.17270089999999999</v>
      </c>
      <c r="R5495">
        <v>-0.68413389999999996</v>
      </c>
      <c r="S5495">
        <v>2.5823670000000001</v>
      </c>
      <c r="T5495">
        <v>-0.15249379999999901</v>
      </c>
      <c r="U5495">
        <v>-1.755798</v>
      </c>
      <c r="V5495">
        <v>-0.2475484</v>
      </c>
      <c r="W5495">
        <v>0.18276600000000001</v>
      </c>
      <c r="X5495">
        <v>0.95148120000000003</v>
      </c>
      <c r="Y5495">
        <v>-0.40961510000000001</v>
      </c>
      <c r="Z5495">
        <v>3.7388780000000003E-2</v>
      </c>
      <c r="AA5495">
        <v>0.91149190000000002</v>
      </c>
      <c r="AB5495">
        <v>20</v>
      </c>
      <c r="AC5495">
        <v>18.7638999999999</v>
      </c>
      <c r="AD5495">
        <v>-1.1145838894521001</v>
      </c>
      <c r="AE5495">
        <v>-12.66658</v>
      </c>
      <c r="AF5495">
        <v>-9.3373172774838498</v>
      </c>
      <c r="AG5495">
        <v>-1.1145838894521001</v>
      </c>
      <c r="AH5495">
        <v>20.563684204687199</v>
      </c>
      <c r="AI5495">
        <v>92.825377867196096</v>
      </c>
      <c r="AJ5495">
        <v>114.421293436165</v>
      </c>
      <c r="AK5495">
        <v>22.611786732965701</v>
      </c>
      <c r="AL5495">
        <v>79.469087391601505</v>
      </c>
      <c r="AM5495">
        <v>104.58342599319801</v>
      </c>
      <c r="AN5495">
        <v>1.00000004752599</v>
      </c>
    </row>
    <row r="5496" spans="1:40" x14ac:dyDescent="0.25">
      <c r="A5496" t="str">
        <f>"20190304155213175"</f>
        <v>20190304155213175</v>
      </c>
      <c r="B5496" t="str">
        <f>"1551685933172632"</f>
        <v>1551685933172632</v>
      </c>
      <c r="C5496" t="s">
        <v>40</v>
      </c>
      <c r="D5496">
        <v>4.691967</v>
      </c>
      <c r="E5496">
        <v>0.42934339999999999</v>
      </c>
      <c r="F5496" t="s">
        <v>41</v>
      </c>
      <c r="G5496">
        <v>-398.85860000000002</v>
      </c>
      <c r="H5496" s="1">
        <v>-7.1562209999999904E-7</v>
      </c>
      <c r="I5496">
        <v>18.514810000000001</v>
      </c>
      <c r="J5496">
        <v>-417.25630000000001</v>
      </c>
      <c r="K5496">
        <v>1.114574</v>
      </c>
      <c r="L5496">
        <v>30.738589999999999</v>
      </c>
      <c r="M5496">
        <v>0.52943130000000005</v>
      </c>
      <c r="N5496">
        <v>-1.305017E-2</v>
      </c>
      <c r="O5496">
        <v>-0.84825229999999996</v>
      </c>
      <c r="P5496">
        <v>0.71381490000000003</v>
      </c>
      <c r="Q5496">
        <v>0.171348</v>
      </c>
      <c r="R5496">
        <v>-0.67904960000000003</v>
      </c>
      <c r="S5496">
        <v>2.595062</v>
      </c>
      <c r="T5496">
        <v>-0.15629119999999999</v>
      </c>
      <c r="U5496">
        <v>-1.7366330000000001</v>
      </c>
      <c r="V5496">
        <v>-0.24775900000000001</v>
      </c>
      <c r="W5496">
        <v>0.18141280000000001</v>
      </c>
      <c r="X5496">
        <v>0.95168520000000001</v>
      </c>
      <c r="Y5496">
        <v>-0.4097113</v>
      </c>
      <c r="Z5496">
        <v>3.8509059999999998E-2</v>
      </c>
      <c r="AA5496">
        <v>0.91140200000000005</v>
      </c>
      <c r="AB5496">
        <v>20</v>
      </c>
      <c r="AC5496">
        <v>18.397699999999901</v>
      </c>
      <c r="AD5496">
        <v>-1.1145747156221</v>
      </c>
      <c r="AE5496">
        <v>-12.22378</v>
      </c>
      <c r="AF5496">
        <v>-9.1118181239129292</v>
      </c>
      <c r="AG5496">
        <v>-1.1145747156221</v>
      </c>
      <c r="AH5496">
        <v>20.0598064988327</v>
      </c>
      <c r="AI5496">
        <v>92.8960258968864</v>
      </c>
      <c r="AJ5496">
        <v>114.429097323777</v>
      </c>
      <c r="AK5496">
        <v>22.060447481648801</v>
      </c>
      <c r="AL5496">
        <v>79.547936957805902</v>
      </c>
      <c r="AM5496">
        <v>104.592308107989</v>
      </c>
      <c r="AN5496">
        <v>0.99999992299193696</v>
      </c>
    </row>
    <row r="5497" spans="1:40" x14ac:dyDescent="0.25">
      <c r="A5497" t="str">
        <f>"20190304155213198"</f>
        <v>20190304155213198</v>
      </c>
      <c r="B5497" t="str">
        <f>"1551685933192151"</f>
        <v>1551685933192151</v>
      </c>
      <c r="C5497" t="s">
        <v>40</v>
      </c>
      <c r="D5497">
        <v>4.6180329999999996</v>
      </c>
      <c r="E5497">
        <v>0.42940339999999999</v>
      </c>
      <c r="F5497" t="s">
        <v>41</v>
      </c>
      <c r="G5497">
        <v>-399.03160000000003</v>
      </c>
      <c r="H5497" s="1">
        <v>-5.9246780000000002E-7</v>
      </c>
      <c r="I5497">
        <v>18.74672</v>
      </c>
      <c r="J5497">
        <v>-417.1447</v>
      </c>
      <c r="K5497">
        <v>1.1145640000000001</v>
      </c>
      <c r="L5497">
        <v>30.575990000000001</v>
      </c>
      <c r="M5497">
        <v>0.53561990000000004</v>
      </c>
      <c r="N5497">
        <v>-1.304637E-2</v>
      </c>
      <c r="O5497">
        <v>-0.84435869999999902</v>
      </c>
      <c r="P5497">
        <v>0.71867130000000001</v>
      </c>
      <c r="Q5497">
        <v>0.1694088</v>
      </c>
      <c r="R5497">
        <v>-0.67439789999999999</v>
      </c>
      <c r="S5497">
        <v>2.608368</v>
      </c>
      <c r="T5497">
        <v>-0.159521</v>
      </c>
      <c r="U5497">
        <v>-1.7163090000000001</v>
      </c>
      <c r="V5497">
        <v>-0.24734890000000001</v>
      </c>
      <c r="W5497">
        <v>0.1794829</v>
      </c>
      <c r="X5497">
        <v>0.95215780000000005</v>
      </c>
      <c r="Y5497">
        <v>-0.41009410000000002</v>
      </c>
      <c r="Z5497">
        <v>3.9451140000000003E-2</v>
      </c>
      <c r="AA5497">
        <v>0.91118960000000004</v>
      </c>
      <c r="AB5497">
        <v>20</v>
      </c>
      <c r="AC5497">
        <v>18.1130999999999</v>
      </c>
      <c r="AD5497">
        <v>-1.11456459246779</v>
      </c>
      <c r="AE5497">
        <v>-11.829269999999999</v>
      </c>
      <c r="AF5497">
        <v>-8.9350052010546204</v>
      </c>
      <c r="AG5497">
        <v>-1.11456459246779</v>
      </c>
      <c r="AH5497">
        <v>19.6394259332275</v>
      </c>
      <c r="AI5497">
        <v>92.957078743039403</v>
      </c>
      <c r="AJ5497">
        <v>114.463278557679</v>
      </c>
      <c r="AK5497">
        <v>21.6051758419223</v>
      </c>
      <c r="AL5497">
        <v>79.6603586942188</v>
      </c>
      <c r="AM5497">
        <v>104.562259075144</v>
      </c>
      <c r="AN5497">
        <v>1.0000000329122201</v>
      </c>
    </row>
    <row r="5498" spans="1:40" x14ac:dyDescent="0.25">
      <c r="A5498" t="str">
        <f>"20190304155213209"</f>
        <v>20190304155213209</v>
      </c>
      <c r="B5498" t="str">
        <f>"1551685933202889"</f>
        <v>1551685933202889</v>
      </c>
      <c r="C5498" t="s">
        <v>40</v>
      </c>
      <c r="D5498">
        <v>4.6209439999999997</v>
      </c>
      <c r="E5498">
        <v>0.42944399999999999</v>
      </c>
      <c r="F5498" t="s">
        <v>41</v>
      </c>
      <c r="G5498">
        <v>-399.41019999999997</v>
      </c>
      <c r="H5498" s="1">
        <v>-3.5313020000000002E-7</v>
      </c>
      <c r="I5498">
        <v>19.08727</v>
      </c>
      <c r="J5498">
        <v>-417.08530000000002</v>
      </c>
      <c r="K5498">
        <v>1.1145579999999999</v>
      </c>
      <c r="L5498">
        <v>30.490390000000001</v>
      </c>
      <c r="M5498">
        <v>0.53887769999999902</v>
      </c>
      <c r="N5498">
        <v>-1.3044490000000001E-2</v>
      </c>
      <c r="O5498">
        <v>-0.84228329999999996</v>
      </c>
      <c r="P5498">
        <v>0.72098200000000001</v>
      </c>
      <c r="Q5498">
        <v>0.16894110000000001</v>
      </c>
      <c r="R5498">
        <v>-0.67204509999999995</v>
      </c>
      <c r="S5498">
        <v>2.6202700000000001</v>
      </c>
      <c r="T5498">
        <v>-0.16467599999999999</v>
      </c>
      <c r="U5498">
        <v>-1.697449</v>
      </c>
      <c r="V5498">
        <v>-0.24686910000000001</v>
      </c>
      <c r="W5498">
        <v>0.17902219999999999</v>
      </c>
      <c r="X5498">
        <v>0.95236900000000002</v>
      </c>
      <c r="Y5498">
        <v>-0.41300989999999999</v>
      </c>
      <c r="Z5498">
        <v>4.1060630000000001E-2</v>
      </c>
      <c r="AA5498">
        <v>0.90980039999999995</v>
      </c>
      <c r="AB5498">
        <v>20</v>
      </c>
      <c r="AC5498">
        <v>17.6751</v>
      </c>
      <c r="AD5498">
        <v>-1.1145583531301999</v>
      </c>
      <c r="AE5498">
        <v>-11.403119999999999</v>
      </c>
      <c r="AF5498">
        <v>-8.7188163990935301</v>
      </c>
      <c r="AG5498">
        <v>-1.1145583531301999</v>
      </c>
      <c r="AH5498">
        <v>19.077434056605899</v>
      </c>
      <c r="AI5498">
        <v>93.041637958905895</v>
      </c>
      <c r="AJ5498">
        <v>114.561466598981</v>
      </c>
      <c r="AK5498">
        <v>21.004963458853801</v>
      </c>
      <c r="AL5498">
        <v>79.687189157776601</v>
      </c>
      <c r="AM5498">
        <v>104.532122288998</v>
      </c>
      <c r="AN5498">
        <v>1.00000000639432</v>
      </c>
    </row>
    <row r="5499" spans="1:40" x14ac:dyDescent="0.25">
      <c r="A5499" t="str">
        <f>"20190304155213220"</f>
        <v>20190304155213220</v>
      </c>
      <c r="B5499" t="str">
        <f>"1551685933212648"</f>
        <v>1551685933212648</v>
      </c>
      <c r="C5499" t="s">
        <v>40</v>
      </c>
      <c r="D5499">
        <v>4.7253910000000001</v>
      </c>
      <c r="E5499">
        <v>0.42947980000000002</v>
      </c>
      <c r="F5499" t="s">
        <v>41</v>
      </c>
      <c r="G5499">
        <v>-399.44709999999998</v>
      </c>
      <c r="H5499" s="1">
        <v>-3.2432729999999999E-7</v>
      </c>
      <c r="I5499">
        <v>19.151319999999998</v>
      </c>
      <c r="J5499">
        <v>-417.02890000000002</v>
      </c>
      <c r="K5499">
        <v>1.114555</v>
      </c>
      <c r="L5499">
        <v>30.409939999999999</v>
      </c>
      <c r="M5499">
        <v>0.54194200000000003</v>
      </c>
      <c r="N5499">
        <v>-1.3042750000000001E-2</v>
      </c>
      <c r="O5499">
        <v>-0.84031489999999998</v>
      </c>
      <c r="P5499">
        <v>0.72335729999999998</v>
      </c>
      <c r="Q5499">
        <v>0.1687591</v>
      </c>
      <c r="R5499">
        <v>-0.66953339999999995</v>
      </c>
      <c r="S5499">
        <v>2.6261899999999998</v>
      </c>
      <c r="T5499">
        <v>-0.1659485</v>
      </c>
      <c r="U5499">
        <v>-1.688293</v>
      </c>
      <c r="V5499">
        <v>-0.2467442</v>
      </c>
      <c r="W5499">
        <v>0.17884249999999999</v>
      </c>
      <c r="X5499">
        <v>0.95243509999999998</v>
      </c>
      <c r="Y5499">
        <v>-0.41285490000000002</v>
      </c>
      <c r="Z5499">
        <v>4.14133E-2</v>
      </c>
      <c r="AA5499">
        <v>0.90985479999999996</v>
      </c>
      <c r="AB5499">
        <v>20</v>
      </c>
      <c r="AC5499">
        <v>17.581800000000001</v>
      </c>
      <c r="AD5499">
        <v>-1.1145553243273001</v>
      </c>
      <c r="AE5499">
        <v>-11.258620000000001</v>
      </c>
      <c r="AF5499">
        <v>-8.6488167490710808</v>
      </c>
      <c r="AG5499">
        <v>-1.1145553243273001</v>
      </c>
      <c r="AH5499">
        <v>18.936744651808699</v>
      </c>
      <c r="AI5499">
        <v>93.064532468492203</v>
      </c>
      <c r="AJ5499">
        <v>114.547195055535</v>
      </c>
      <c r="AK5499">
        <v>20.848130917130302</v>
      </c>
      <c r="AL5499">
        <v>79.697653822833402</v>
      </c>
      <c r="AM5499">
        <v>104.524115601278</v>
      </c>
      <c r="AN5499">
        <v>0.99999997987594902</v>
      </c>
    </row>
    <row r="5500" spans="1:40" x14ac:dyDescent="0.25">
      <c r="A5500" t="str">
        <f>"20190304155213232"</f>
        <v>20190304155213232</v>
      </c>
      <c r="B5500" t="str">
        <f>"1551685933222410"</f>
        <v>1551685933222410</v>
      </c>
      <c r="C5500" t="s">
        <v>40</v>
      </c>
      <c r="D5500">
        <v>4.7529089999999998</v>
      </c>
      <c r="E5500">
        <v>0.42948809999999898</v>
      </c>
      <c r="F5500" t="s">
        <v>41</v>
      </c>
      <c r="G5500">
        <v>-399.4</v>
      </c>
      <c r="H5500" s="1">
        <v>-3.4391769999999999E-7</v>
      </c>
      <c r="I5500">
        <v>19.166260000000001</v>
      </c>
      <c r="J5500">
        <v>-416.97269999999997</v>
      </c>
      <c r="K5500">
        <v>1.1145529999999999</v>
      </c>
      <c r="L5500">
        <v>30.330079999999999</v>
      </c>
      <c r="M5500">
        <v>0.54498449999999998</v>
      </c>
      <c r="N5500">
        <v>-1.304107E-2</v>
      </c>
      <c r="O5500">
        <v>-0.83834500000000001</v>
      </c>
      <c r="P5500">
        <v>0.72518970000000005</v>
      </c>
      <c r="Q5500">
        <v>0.1693318</v>
      </c>
      <c r="R5500">
        <v>-0.66740350000000004</v>
      </c>
      <c r="S5500">
        <v>2.6322329999999998</v>
      </c>
      <c r="T5500">
        <v>-0.16641810000000001</v>
      </c>
      <c r="U5500">
        <v>-1.678833</v>
      </c>
      <c r="V5500">
        <v>-0.2459837</v>
      </c>
      <c r="W5500">
        <v>0.17942379999999999</v>
      </c>
      <c r="X5500">
        <v>0.95252250000000005</v>
      </c>
      <c r="Y5500">
        <v>-0.41282010000000002</v>
      </c>
      <c r="Z5500">
        <v>4.1522070000000001E-2</v>
      </c>
      <c r="AA5500">
        <v>0.90986560000000005</v>
      </c>
      <c r="AB5500">
        <v>20</v>
      </c>
      <c r="AC5500">
        <v>17.572699999999902</v>
      </c>
      <c r="AD5500">
        <v>-1.1145533439177</v>
      </c>
      <c r="AE5500">
        <v>-11.1638199999999</v>
      </c>
      <c r="AF5500">
        <v>-8.6238931488771495</v>
      </c>
      <c r="AG5500">
        <v>-1.1145533439177</v>
      </c>
      <c r="AH5500">
        <v>18.883466606739098</v>
      </c>
      <c r="AI5500">
        <v>93.0731930155291</v>
      </c>
      <c r="AJ5500">
        <v>114.545712898174</v>
      </c>
      <c r="AK5500">
        <v>20.78939809825</v>
      </c>
      <c r="AL5500">
        <v>79.663800374406605</v>
      </c>
      <c r="AM5500">
        <v>104.479962287383</v>
      </c>
      <c r="AN5500">
        <v>0.99999999683918905</v>
      </c>
    </row>
    <row r="5501" spans="1:40" x14ac:dyDescent="0.25">
      <c r="A5501" t="str">
        <f>"20190304155213242"</f>
        <v>20190304155213242</v>
      </c>
      <c r="B5501" t="str">
        <f>"1551685933232168"</f>
        <v>1551685933232168</v>
      </c>
      <c r="C5501" t="s">
        <v>40</v>
      </c>
      <c r="D5501">
        <v>4.7250899999999998</v>
      </c>
      <c r="E5501">
        <v>0.42949229999999999</v>
      </c>
      <c r="F5501" t="s">
        <v>41</v>
      </c>
      <c r="G5501">
        <v>-399.07900000000001</v>
      </c>
      <c r="H5501" s="1">
        <v>-5.2658000000000005E-7</v>
      </c>
      <c r="I5501">
        <v>18.99193</v>
      </c>
      <c r="J5501">
        <v>-416.91199999999998</v>
      </c>
      <c r="K5501">
        <v>1.1145529999999999</v>
      </c>
      <c r="L5501">
        <v>30.244779999999999</v>
      </c>
      <c r="M5501">
        <v>0.54823299999999997</v>
      </c>
      <c r="N5501">
        <v>-1.303937E-2</v>
      </c>
      <c r="O5501">
        <v>-0.83622419999999997</v>
      </c>
      <c r="P5501">
        <v>0.72737189999999996</v>
      </c>
      <c r="Q5501">
        <v>0.1700217</v>
      </c>
      <c r="R5501">
        <v>-0.66484809999999905</v>
      </c>
      <c r="S5501">
        <v>2.6372680000000002</v>
      </c>
      <c r="T5501">
        <v>-0.16426930000000001</v>
      </c>
      <c r="U5501">
        <v>-1.671082</v>
      </c>
      <c r="V5501">
        <v>-0.2455087</v>
      </c>
      <c r="W5501">
        <v>0.180118</v>
      </c>
      <c r="X5501">
        <v>0.95251410000000003</v>
      </c>
      <c r="Y5501">
        <v>-0.41200989999999998</v>
      </c>
      <c r="Z5501">
        <v>4.0811199999999999E-2</v>
      </c>
      <c r="AA5501">
        <v>0.91026499999999999</v>
      </c>
      <c r="AB5501">
        <v>20</v>
      </c>
      <c r="AC5501">
        <v>17.832999999999899</v>
      </c>
      <c r="AD5501">
        <v>-1.11455352658</v>
      </c>
      <c r="AE5501">
        <v>-11.25285</v>
      </c>
      <c r="AF5501">
        <v>-8.7195837231978093</v>
      </c>
      <c r="AG5501">
        <v>-1.11455352658</v>
      </c>
      <c r="AH5501">
        <v>19.1347144101371</v>
      </c>
      <c r="AI5501">
        <v>93.034055254056994</v>
      </c>
      <c r="AJ5501">
        <v>114.49849244366</v>
      </c>
      <c r="AK5501">
        <v>21.057318571626698</v>
      </c>
      <c r="AL5501">
        <v>79.623367618077594</v>
      </c>
      <c r="AM5501">
        <v>104.453295495087</v>
      </c>
      <c r="AN5501">
        <v>1.0000000631992401</v>
      </c>
    </row>
    <row r="5502" spans="1:40" x14ac:dyDescent="0.25">
      <c r="A5502" t="str">
        <f>"20190304155213254"</f>
        <v>20190304155213254</v>
      </c>
      <c r="B5502" t="str">
        <f>"1551685933242904"</f>
        <v>1551685933242904</v>
      </c>
      <c r="C5502" t="s">
        <v>40</v>
      </c>
      <c r="D5502">
        <v>4.6447139999999996</v>
      </c>
      <c r="E5502">
        <v>0.42954500000000001</v>
      </c>
      <c r="F5502" t="s">
        <v>41</v>
      </c>
      <c r="G5502">
        <v>-398.6644</v>
      </c>
      <c r="H5502" s="1">
        <v>-7.60789E-7</v>
      </c>
      <c r="I5502">
        <v>18.776610000000002</v>
      </c>
      <c r="J5502">
        <v>-416.85599999999999</v>
      </c>
      <c r="K5502">
        <v>1.1145529999999999</v>
      </c>
      <c r="L5502">
        <v>30.166779999999999</v>
      </c>
      <c r="M5502">
        <v>0.55120780000000003</v>
      </c>
      <c r="N5502">
        <v>-1.30379E-2</v>
      </c>
      <c r="O5502">
        <v>-0.83426619999999996</v>
      </c>
      <c r="P5502">
        <v>0.72925739999999994</v>
      </c>
      <c r="Q5502">
        <v>0.17068749999999999</v>
      </c>
      <c r="R5502">
        <v>-0.66260819999999998</v>
      </c>
      <c r="S5502">
        <v>2.6435550000000001</v>
      </c>
      <c r="T5502">
        <v>-0.16146659999999999</v>
      </c>
      <c r="U5502">
        <v>-1.6614070000000001</v>
      </c>
      <c r="V5502">
        <v>-0.24491979999999999</v>
      </c>
      <c r="W5502">
        <v>0.18079010000000001</v>
      </c>
      <c r="X5502">
        <v>0.95253829999999995</v>
      </c>
      <c r="Y5502">
        <v>-0.4121648</v>
      </c>
      <c r="Z5502">
        <v>3.992449E-2</v>
      </c>
      <c r="AA5502">
        <v>0.91023419999999999</v>
      </c>
      <c r="AB5502">
        <v>20</v>
      </c>
      <c r="AC5502">
        <v>18.191599999999902</v>
      </c>
      <c r="AD5502">
        <v>-1.1145537607889999</v>
      </c>
      <c r="AE5502">
        <v>-11.3901699999999</v>
      </c>
      <c r="AF5502">
        <v>-8.8751099599634191</v>
      </c>
      <c r="AG5502">
        <v>-1.1145537607889999</v>
      </c>
      <c r="AH5502">
        <v>19.478918334716202</v>
      </c>
      <c r="AI5502">
        <v>92.980616274433402</v>
      </c>
      <c r="AJ5502">
        <v>114.495263690204</v>
      </c>
      <c r="AK5502">
        <v>21.434506441196</v>
      </c>
      <c r="AL5502">
        <v>79.5842156348277</v>
      </c>
      <c r="AM5502">
        <v>104.41972258212</v>
      </c>
      <c r="AN5502">
        <v>0.99999999082846902</v>
      </c>
    </row>
    <row r="5503" spans="1:40" x14ac:dyDescent="0.25">
      <c r="A5503" t="str">
        <f>"20190304155213266"</f>
        <v>20190304155213266</v>
      </c>
      <c r="B5503" t="str">
        <f>"1551685933262424"</f>
        <v>1551685933262424</v>
      </c>
      <c r="C5503" t="s">
        <v>40</v>
      </c>
      <c r="D5503">
        <v>4.751811</v>
      </c>
      <c r="E5503">
        <v>0.42961909999999998</v>
      </c>
      <c r="F5503" t="s">
        <v>41</v>
      </c>
      <c r="G5503">
        <v>-398.21480000000003</v>
      </c>
      <c r="H5503" s="1">
        <v>-1.0155459999999899E-6</v>
      </c>
      <c r="I5503">
        <v>18.538450000000001</v>
      </c>
      <c r="J5503">
        <v>-416.79270000000002</v>
      </c>
      <c r="K5503">
        <v>1.1145590000000001</v>
      </c>
      <c r="L5503">
        <v>30.079039999999999</v>
      </c>
      <c r="M5503">
        <v>0.55454950000000003</v>
      </c>
      <c r="N5503">
        <v>-1.3036310000000001E-2</v>
      </c>
      <c r="O5503">
        <v>-0.83204869999999898</v>
      </c>
      <c r="P5503">
        <v>0.73145890000000002</v>
      </c>
      <c r="Q5503">
        <v>0.17130329999999999</v>
      </c>
      <c r="R5503">
        <v>-0.66001759999999998</v>
      </c>
      <c r="S5503">
        <v>2.649292</v>
      </c>
      <c r="T5503">
        <v>-0.1584005</v>
      </c>
      <c r="U5503">
        <v>-1.6526179999999999</v>
      </c>
      <c r="V5503">
        <v>-0.2443613</v>
      </c>
      <c r="W5503">
        <v>0.18141189999999999</v>
      </c>
      <c r="X5503">
        <v>0.95256350000000001</v>
      </c>
      <c r="Y5503">
        <v>-0.41160989999999997</v>
      </c>
      <c r="Z5503">
        <v>3.8940240000000001E-2</v>
      </c>
      <c r="AA5503">
        <v>0.9105278</v>
      </c>
      <c r="AB5503">
        <v>20</v>
      </c>
      <c r="AC5503">
        <v>18.5779</v>
      </c>
      <c r="AD5503">
        <v>-1.114560015546</v>
      </c>
      <c r="AE5503">
        <v>-11.54059</v>
      </c>
      <c r="AF5503">
        <v>-9.0351931922148196</v>
      </c>
      <c r="AG5503">
        <v>-1.114560015546</v>
      </c>
      <c r="AH5503">
        <v>19.854823773867398</v>
      </c>
      <c r="AI5503">
        <v>92.924920954268501</v>
      </c>
      <c r="AJ5503">
        <v>114.468519635078</v>
      </c>
      <c r="AK5503">
        <v>21.842412576000601</v>
      </c>
      <c r="AL5503">
        <v>79.547989911710204</v>
      </c>
      <c r="AM5503">
        <v>104.38784242284601</v>
      </c>
      <c r="AN5503">
        <v>0.99999997196577395</v>
      </c>
    </row>
    <row r="5504" spans="1:40" x14ac:dyDescent="0.25">
      <c r="A5504" t="str">
        <f>"20190304155213278"</f>
        <v>20190304155213278</v>
      </c>
      <c r="B5504" t="str">
        <f>"1551685933272184"</f>
        <v>1551685933272184</v>
      </c>
      <c r="C5504" t="s">
        <v>40</v>
      </c>
      <c r="D5504">
        <v>4.7743159999999998</v>
      </c>
      <c r="E5504">
        <v>0.42963109999999999</v>
      </c>
      <c r="F5504" t="s">
        <v>41</v>
      </c>
      <c r="G5504">
        <v>-397.72800000000001</v>
      </c>
      <c r="H5504" s="1">
        <v>-1.2895750000000001E-6</v>
      </c>
      <c r="I5504">
        <v>18.290880000000001</v>
      </c>
      <c r="J5504">
        <v>-416.73250000000002</v>
      </c>
      <c r="K5504">
        <v>1.114557</v>
      </c>
      <c r="L5504">
        <v>29.996549999999999</v>
      </c>
      <c r="M5504">
        <v>0.55769729999999995</v>
      </c>
      <c r="N5504">
        <v>-1.303494E-2</v>
      </c>
      <c r="O5504">
        <v>-0.82994210000000002</v>
      </c>
      <c r="P5504">
        <v>0.73403969999999996</v>
      </c>
      <c r="Q5504">
        <v>0.17177210000000001</v>
      </c>
      <c r="R5504">
        <v>-0.65702399999999905</v>
      </c>
      <c r="S5504">
        <v>2.6559140000000001</v>
      </c>
      <c r="T5504">
        <v>-0.15526970000000001</v>
      </c>
      <c r="U5504">
        <v>-1.642212</v>
      </c>
      <c r="V5504">
        <v>-0.24455789999999999</v>
      </c>
      <c r="W5504">
        <v>0.1818766</v>
      </c>
      <c r="X5504">
        <v>0.95242450000000001</v>
      </c>
      <c r="Y5504">
        <v>-0.41179369999999998</v>
      </c>
      <c r="Z5504">
        <v>3.79566E-2</v>
      </c>
      <c r="AA5504">
        <v>0.91048629999999997</v>
      </c>
      <c r="AB5504">
        <v>20</v>
      </c>
      <c r="AC5504">
        <v>19.0045</v>
      </c>
      <c r="AD5504">
        <v>-1.1145582895749999</v>
      </c>
      <c r="AE5504">
        <v>-11.70567</v>
      </c>
      <c r="AF5504">
        <v>-9.2222037294026897</v>
      </c>
      <c r="AG5504">
        <v>-1.1145582895749999</v>
      </c>
      <c r="AH5504">
        <v>20.2649813754118</v>
      </c>
      <c r="AI5504">
        <v>92.8657973164444</v>
      </c>
      <c r="AJ5504">
        <v>114.46936997159899</v>
      </c>
      <c r="AK5504">
        <v>22.292616534477499</v>
      </c>
      <c r="AL5504">
        <v>79.520914923810395</v>
      </c>
      <c r="AM5504">
        <v>104.400951068426</v>
      </c>
      <c r="AN5504">
        <v>1.0000000461401</v>
      </c>
    </row>
    <row r="5505" spans="1:40" x14ac:dyDescent="0.25">
      <c r="A5505" t="str">
        <f>"20190304155213298"</f>
        <v>20190304155213298</v>
      </c>
      <c r="B5505" t="str">
        <f>"1551685933292683"</f>
        <v>1551685933292683</v>
      </c>
      <c r="C5505" t="s">
        <v>40</v>
      </c>
      <c r="D5505">
        <v>4.6407040000000004</v>
      </c>
      <c r="E5505">
        <v>0.42965959999999997</v>
      </c>
      <c r="F5505" t="s">
        <v>41</v>
      </c>
      <c r="G5505">
        <v>-397.23689999999999</v>
      </c>
      <c r="H5505" s="1">
        <v>-1.5616340000000001E-6</v>
      </c>
      <c r="I5505">
        <v>18.065709999999999</v>
      </c>
      <c r="J5505">
        <v>-416.6259</v>
      </c>
      <c r="K5505">
        <v>1.1145579999999999</v>
      </c>
      <c r="L5505">
        <v>29.85181</v>
      </c>
      <c r="M5505">
        <v>0.56322099999999997</v>
      </c>
      <c r="N5505">
        <v>-1.302735E-2</v>
      </c>
      <c r="O5505">
        <v>-0.82620360000000004</v>
      </c>
      <c r="P5505">
        <v>0.73847010000000002</v>
      </c>
      <c r="Q5505">
        <v>0.1718527</v>
      </c>
      <c r="R5505">
        <v>-0.65201880000000001</v>
      </c>
      <c r="S5505">
        <v>2.663605</v>
      </c>
      <c r="T5505">
        <v>-0.15227789999999999</v>
      </c>
      <c r="U5505">
        <v>-1.630066</v>
      </c>
      <c r="V5505">
        <v>-0.24466260000000001</v>
      </c>
      <c r="W5505">
        <v>0.1819511</v>
      </c>
      <c r="X5505">
        <v>0.95238330000000004</v>
      </c>
      <c r="Y5505">
        <v>-0.4099449</v>
      </c>
      <c r="Z5505">
        <v>3.6954319999999999E-2</v>
      </c>
      <c r="AA5505">
        <v>0.91136139999999999</v>
      </c>
      <c r="AB5505">
        <v>20</v>
      </c>
      <c r="AC5505">
        <v>19.388999999999999</v>
      </c>
      <c r="AD5505">
        <v>-1.1145595616339901</v>
      </c>
      <c r="AE5505">
        <v>-11.7860999999999</v>
      </c>
      <c r="AF5505">
        <v>-9.3592961923893601</v>
      </c>
      <c r="AG5505">
        <v>-1.1145595616339901</v>
      </c>
      <c r="AH5505">
        <v>20.610034598304299</v>
      </c>
      <c r="AI5505">
        <v>92.818924691182005</v>
      </c>
      <c r="AJ5505">
        <v>114.423443013978</v>
      </c>
      <c r="AK5505">
        <v>22.663013797299801</v>
      </c>
      <c r="AL5505">
        <v>79.5165731538507</v>
      </c>
      <c r="AM5505">
        <v>104.40745714044699</v>
      </c>
      <c r="AN5505">
        <v>0.999999970374429</v>
      </c>
    </row>
    <row r="5506" spans="1:40" x14ac:dyDescent="0.25">
      <c r="A5506" t="str">
        <f>"20190304155213310"</f>
        <v>20190304155213310</v>
      </c>
      <c r="B5506" t="str">
        <f>"1551685933302439"</f>
        <v>1551685933302439</v>
      </c>
      <c r="C5506" t="s">
        <v>40</v>
      </c>
      <c r="D5506">
        <v>4.7396190000000002</v>
      </c>
      <c r="E5506">
        <v>0.43897570000000002</v>
      </c>
      <c r="F5506" t="s">
        <v>41</v>
      </c>
      <c r="G5506">
        <v>-396.83629999999999</v>
      </c>
      <c r="H5506" s="1">
        <v>-1.77356E-6</v>
      </c>
      <c r="I5506">
        <v>17.938569999999999</v>
      </c>
      <c r="J5506">
        <v>-416.56650000000002</v>
      </c>
      <c r="K5506">
        <v>1.1145590000000001</v>
      </c>
      <c r="L5506">
        <v>29.772030000000001</v>
      </c>
      <c r="M5506">
        <v>0.56626469999999995</v>
      </c>
      <c r="N5506">
        <v>-1.3019090000000001E-2</v>
      </c>
      <c r="O5506">
        <v>-0.82412050000000003</v>
      </c>
      <c r="P5506">
        <v>0.74112959999999894</v>
      </c>
      <c r="Q5506">
        <v>0.17235329999999999</v>
      </c>
      <c r="R5506">
        <v>-0.64886129999999997</v>
      </c>
      <c r="S5506">
        <v>2.6754760000000002</v>
      </c>
      <c r="T5506">
        <v>-0.1506845</v>
      </c>
      <c r="U5506">
        <v>-1.6106259999999999</v>
      </c>
      <c r="V5506">
        <v>-0.24512320000000001</v>
      </c>
      <c r="W5506">
        <v>0.18243780000000001</v>
      </c>
      <c r="X5506">
        <v>0.95217169999999896</v>
      </c>
      <c r="Y5506">
        <v>-0.4132422</v>
      </c>
      <c r="Z5506">
        <v>3.650954E-2</v>
      </c>
      <c r="AA5506">
        <v>0.90988899999999995</v>
      </c>
      <c r="AB5506">
        <v>20</v>
      </c>
      <c r="AC5506">
        <v>19.7302</v>
      </c>
      <c r="AD5506">
        <v>-1.1145607735600001</v>
      </c>
      <c r="AE5506">
        <v>-11.833459999999899</v>
      </c>
      <c r="AF5506">
        <v>-9.5376188529633392</v>
      </c>
      <c r="AG5506">
        <v>-1.1145607735600001</v>
      </c>
      <c r="AH5506">
        <v>20.877490793021501</v>
      </c>
      <c r="AI5506">
        <v>92.780018916545302</v>
      </c>
      <c r="AJ5506">
        <v>114.552694015792</v>
      </c>
      <c r="AK5506">
        <v>22.9799486708534</v>
      </c>
      <c r="AL5506">
        <v>79.488212291614801</v>
      </c>
      <c r="AM5506">
        <v>104.43652199649</v>
      </c>
      <c r="AN5506">
        <v>0.99999994016398297</v>
      </c>
    </row>
    <row r="5507" spans="1:40" x14ac:dyDescent="0.25">
      <c r="A5507" t="str">
        <f>"20190304155213321"</f>
        <v>20190304155213321</v>
      </c>
      <c r="B5507" t="str">
        <f>"1551685933312200"</f>
        <v>1551685933312200</v>
      </c>
      <c r="C5507" t="s">
        <v>40</v>
      </c>
      <c r="D5507">
        <v>4.7710499999999998</v>
      </c>
      <c r="E5507">
        <v>0.43781019999999998</v>
      </c>
      <c r="F5507" t="s">
        <v>77</v>
      </c>
      <c r="G5507">
        <v>-402.7559</v>
      </c>
      <c r="H5507" s="1">
        <v>-5.1194109999999997E-6</v>
      </c>
      <c r="I5507">
        <v>21.0823</v>
      </c>
      <c r="J5507">
        <v>-416.50040000000001</v>
      </c>
      <c r="K5507">
        <v>1.1145560000000001</v>
      </c>
      <c r="L5507">
        <v>29.684049999999999</v>
      </c>
      <c r="M5507">
        <v>0.56962679999999999</v>
      </c>
      <c r="N5507">
        <v>-1.300337E-2</v>
      </c>
      <c r="O5507">
        <v>-0.82180059999999999</v>
      </c>
      <c r="P5507">
        <v>0.74387959999999997</v>
      </c>
      <c r="Q5507">
        <v>0.17321339999999999</v>
      </c>
      <c r="R5507">
        <v>-0.64547690000000002</v>
      </c>
      <c r="S5507">
        <v>2.642029</v>
      </c>
      <c r="T5507">
        <v>-0.21322099999999999</v>
      </c>
      <c r="U5507">
        <v>-1.6623840000000001</v>
      </c>
      <c r="V5507">
        <v>-0.24541750000000001</v>
      </c>
      <c r="W5507">
        <v>0.18327740000000001</v>
      </c>
      <c r="X5507">
        <v>0.95193470000000002</v>
      </c>
      <c r="Y5507">
        <v>-0.39058389999999998</v>
      </c>
      <c r="Z5507">
        <v>5.4773099999999998E-2</v>
      </c>
      <c r="AA5507">
        <v>0.91893639999999999</v>
      </c>
      <c r="AB5507">
        <v>20</v>
      </c>
      <c r="AC5507">
        <v>13.7445</v>
      </c>
      <c r="AD5507">
        <v>-1.1145611194109999</v>
      </c>
      <c r="AE5507">
        <v>-8.6017499999999991</v>
      </c>
      <c r="AF5507">
        <v>-6.3659119272544302</v>
      </c>
      <c r="AG5507">
        <v>-1.1145611194109999</v>
      </c>
      <c r="AH5507">
        <v>14.829347752116201</v>
      </c>
      <c r="AI5507">
        <v>93.950829292674001</v>
      </c>
      <c r="AJ5507">
        <v>113.232780725349</v>
      </c>
      <c r="AK5507">
        <v>16.1764222221002</v>
      </c>
      <c r="AL5507">
        <v>79.439282539979502</v>
      </c>
      <c r="AM5507">
        <v>104.456576783972</v>
      </c>
      <c r="AN5507">
        <v>1.00000001386055</v>
      </c>
    </row>
    <row r="5508" spans="1:40" x14ac:dyDescent="0.25">
      <c r="A5508" t="str">
        <f>"20190304155213334"</f>
        <v>20190304155213334</v>
      </c>
      <c r="B5508" t="str">
        <f>"1551685933332696"</f>
        <v>1551685933332696</v>
      </c>
      <c r="C5508" t="s">
        <v>40</v>
      </c>
      <c r="D5508">
        <v>4.7391969999999999</v>
      </c>
      <c r="E5508">
        <v>0.43814769999999997</v>
      </c>
      <c r="F5508" t="s">
        <v>77</v>
      </c>
      <c r="G5508">
        <v>-401.6277</v>
      </c>
      <c r="H5508" s="1">
        <v>-5.5374599999999997E-6</v>
      </c>
      <c r="I5508">
        <v>20.478349999999999</v>
      </c>
      <c r="J5508">
        <v>-416.43709999999999</v>
      </c>
      <c r="K5508">
        <v>1.1145499999999999</v>
      </c>
      <c r="L5508">
        <v>29.600339999999999</v>
      </c>
      <c r="M5508">
        <v>0.57282719999999998</v>
      </c>
      <c r="N5508">
        <v>-1.298301E-2</v>
      </c>
      <c r="O5508">
        <v>-0.81957340000000001</v>
      </c>
      <c r="P5508">
        <v>0.74645260000000002</v>
      </c>
      <c r="Q5508">
        <v>0.1737602</v>
      </c>
      <c r="R5508">
        <v>-0.64235220000000004</v>
      </c>
      <c r="S5508">
        <v>2.6539000000000001</v>
      </c>
      <c r="T5508">
        <v>-0.1988828</v>
      </c>
      <c r="U5508">
        <v>-1.6426700000000001</v>
      </c>
      <c r="V5508">
        <v>-0.24559829999999999</v>
      </c>
      <c r="W5508">
        <v>0.18380199999999999</v>
      </c>
      <c r="X5508">
        <v>0.95178689999999999</v>
      </c>
      <c r="Y5508">
        <v>-0.39399909999999999</v>
      </c>
      <c r="Z5508">
        <v>5.0528679999999999E-2</v>
      </c>
      <c r="AA5508">
        <v>0.91772089999999995</v>
      </c>
      <c r="AB5508">
        <v>20</v>
      </c>
      <c r="AC5508">
        <v>14.809399999999901</v>
      </c>
      <c r="AD5508">
        <v>-1.11455553746</v>
      </c>
      <c r="AE5508">
        <v>-9.1219900000000003</v>
      </c>
      <c r="AF5508">
        <v>-6.8843801317070801</v>
      </c>
      <c r="AG5508">
        <v>-1.11455553746</v>
      </c>
      <c r="AH5508">
        <v>15.895442464173501</v>
      </c>
      <c r="AI5508">
        <v>93.681477961131407</v>
      </c>
      <c r="AJ5508">
        <v>113.417630620043</v>
      </c>
      <c r="AK5508">
        <v>17.358053317574999</v>
      </c>
      <c r="AL5508">
        <v>79.408705613134202</v>
      </c>
      <c r="AM5508">
        <v>104.468932445538</v>
      </c>
      <c r="AN5508">
        <v>1.0000000015892501</v>
      </c>
    </row>
    <row r="5509" spans="1:40" x14ac:dyDescent="0.25">
      <c r="A5509" t="str">
        <f>"20190304155213348"</f>
        <v>20190304155213348</v>
      </c>
      <c r="B5509" t="str">
        <f>"1551685933342455"</f>
        <v>1551685933342455</v>
      </c>
      <c r="C5509" t="s">
        <v>40</v>
      </c>
      <c r="D5509">
        <v>4.8205159999999996</v>
      </c>
      <c r="E5509">
        <v>0.43888070000000001</v>
      </c>
      <c r="F5509" t="s">
        <v>77</v>
      </c>
      <c r="G5509">
        <v>-401.59769999999997</v>
      </c>
      <c r="H5509" s="1">
        <v>-5.5517310000000004E-6</v>
      </c>
      <c r="I5509">
        <v>20.48019</v>
      </c>
      <c r="J5509">
        <v>-416.36779999999999</v>
      </c>
      <c r="K5509">
        <v>1.1145449999999999</v>
      </c>
      <c r="L5509">
        <v>29.509460000000001</v>
      </c>
      <c r="M5509">
        <v>0.57629909999999995</v>
      </c>
      <c r="N5509">
        <v>-1.295664E-2</v>
      </c>
      <c r="O5509">
        <v>-0.81713630000000004</v>
      </c>
      <c r="P5509">
        <v>0.74926190000000004</v>
      </c>
      <c r="Q5509">
        <v>0.17417839999999901</v>
      </c>
      <c r="R5509">
        <v>-0.63895919999999995</v>
      </c>
      <c r="S5509">
        <v>2.659119</v>
      </c>
      <c r="T5509">
        <v>-0.1997218</v>
      </c>
      <c r="U5509">
        <v>-1.634277</v>
      </c>
      <c r="V5509">
        <v>-0.24580370000000001</v>
      </c>
      <c r="W5509">
        <v>0.18419140000000001</v>
      </c>
      <c r="X5509">
        <v>0.95165860000000002</v>
      </c>
      <c r="Y5509">
        <v>-0.39299590000000001</v>
      </c>
      <c r="Z5509">
        <v>5.0702999999999998E-2</v>
      </c>
      <c r="AA5509">
        <v>0.91814130000000005</v>
      </c>
      <c r="AB5509">
        <v>20</v>
      </c>
      <c r="AC5509">
        <v>14.770099999999999</v>
      </c>
      <c r="AD5509">
        <v>-1.1145505517309999</v>
      </c>
      <c r="AE5509">
        <v>-9.0292699999999897</v>
      </c>
      <c r="AF5509">
        <v>-6.83785644876603</v>
      </c>
      <c r="AG5509">
        <v>-1.1145505517309999</v>
      </c>
      <c r="AH5509">
        <v>15.8258714325812</v>
      </c>
      <c r="AI5509">
        <v>93.698992555965802</v>
      </c>
      <c r="AJ5509">
        <v>113.3676394408</v>
      </c>
      <c r="AK5509">
        <v>17.275899697176001</v>
      </c>
      <c r="AL5509">
        <v>79.386007201178401</v>
      </c>
      <c r="AM5509">
        <v>104.48239476984099</v>
      </c>
      <c r="AN5509">
        <v>1.0000000108608</v>
      </c>
    </row>
    <row r="5510" spans="1:40" x14ac:dyDescent="0.25">
      <c r="A5510" t="str">
        <f>"20190304155213362"</f>
        <v>20190304155213362</v>
      </c>
      <c r="B5510" t="str">
        <f>"1551685933352217"</f>
        <v>1551685933352217</v>
      </c>
      <c r="C5510" t="s">
        <v>40</v>
      </c>
      <c r="D5510">
        <v>4.7907780000000004</v>
      </c>
      <c r="E5510">
        <v>0.43877500000000003</v>
      </c>
      <c r="F5510" t="s">
        <v>77</v>
      </c>
      <c r="G5510">
        <v>-401.95710000000003</v>
      </c>
      <c r="H5510" s="1">
        <v>-5.423469E-6</v>
      </c>
      <c r="I5510">
        <v>20.699909999999999</v>
      </c>
      <c r="J5510">
        <v>-416.28890000000001</v>
      </c>
      <c r="K5510">
        <v>1.114536</v>
      </c>
      <c r="L5510">
        <v>29.407350000000001</v>
      </c>
      <c r="M5510">
        <v>0.58021269999999903</v>
      </c>
      <c r="N5510">
        <v>-1.291225E-2</v>
      </c>
      <c r="O5510">
        <v>-0.8143629</v>
      </c>
      <c r="P5510">
        <v>0.75231990000000004</v>
      </c>
      <c r="Q5510">
        <v>0.17429500000000001</v>
      </c>
      <c r="R5510">
        <v>-0.63532369999999905</v>
      </c>
      <c r="S5510">
        <v>2.6633300000000002</v>
      </c>
      <c r="T5510">
        <v>-0.20598639999999999</v>
      </c>
      <c r="U5510">
        <v>-1.6281429999999999</v>
      </c>
      <c r="V5510">
        <v>-0.24582619999999999</v>
      </c>
      <c r="W5510">
        <v>0.18426409999999999</v>
      </c>
      <c r="X5510">
        <v>0.95163869999999895</v>
      </c>
      <c r="Y5510">
        <v>-0.39067380000000002</v>
      </c>
      <c r="Z5510">
        <v>5.2451680000000001E-2</v>
      </c>
      <c r="AA5510">
        <v>0.91903360000000001</v>
      </c>
      <c r="AB5510">
        <v>20</v>
      </c>
      <c r="AC5510">
        <v>14.3317999999999</v>
      </c>
      <c r="AD5510">
        <v>-1.1145414234690001</v>
      </c>
      <c r="AE5510">
        <v>-8.7074400000000001</v>
      </c>
      <c r="AF5510">
        <v>-6.5905575980447004</v>
      </c>
      <c r="AG5510">
        <v>-1.1145414234690001</v>
      </c>
      <c r="AH5510">
        <v>15.340029748803</v>
      </c>
      <c r="AI5510">
        <v>93.819143764586201</v>
      </c>
      <c r="AJ5510">
        <v>113.249876083405</v>
      </c>
      <c r="AK5510">
        <v>16.733026167789699</v>
      </c>
      <c r="AL5510">
        <v>79.381769113437997</v>
      </c>
      <c r="AM5510">
        <v>104.48395481497001</v>
      </c>
      <c r="AN5510">
        <v>0.99999999724646904</v>
      </c>
    </row>
    <row r="5511" spans="1:40" x14ac:dyDescent="0.25">
      <c r="A5511" t="str">
        <f>"20190304155213378"</f>
        <v>20190304155213378</v>
      </c>
      <c r="B5511" t="str">
        <f>"1551685933372712"</f>
        <v>1551685933372712</v>
      </c>
      <c r="C5511" t="s">
        <v>40</v>
      </c>
      <c r="D5511">
        <v>4.7979969999999996</v>
      </c>
      <c r="E5511">
        <v>0.43880649999999899</v>
      </c>
      <c r="F5511" t="s">
        <v>77</v>
      </c>
      <c r="G5511">
        <v>-401.68680000000001</v>
      </c>
      <c r="H5511" s="1">
        <v>-5.528045E-6</v>
      </c>
      <c r="I5511">
        <v>20.580220000000001</v>
      </c>
      <c r="J5511">
        <v>-416.2056</v>
      </c>
      <c r="K5511">
        <v>1.114528</v>
      </c>
      <c r="L5511">
        <v>29.300319999999999</v>
      </c>
      <c r="M5511">
        <v>0.58431540000000004</v>
      </c>
      <c r="N5511">
        <v>-1.285792E-2</v>
      </c>
      <c r="O5511">
        <v>-0.81142479999999995</v>
      </c>
      <c r="P5511">
        <v>0.75528549999999905</v>
      </c>
      <c r="Q5511">
        <v>0.17495759999999999</v>
      </c>
      <c r="R5511">
        <v>-0.63161230000000002</v>
      </c>
      <c r="S5511">
        <v>2.671265</v>
      </c>
      <c r="T5511">
        <v>-0.20389070000000001</v>
      </c>
      <c r="U5511">
        <v>-1.6148070000000001</v>
      </c>
      <c r="V5511">
        <v>-0.245591</v>
      </c>
      <c r="W5511">
        <v>0.1848747</v>
      </c>
      <c r="X5511">
        <v>0.95158100000000001</v>
      </c>
      <c r="Y5511">
        <v>-0.39063369999999997</v>
      </c>
      <c r="Z5511">
        <v>5.1779609999999997E-2</v>
      </c>
      <c r="AA5511">
        <v>0.91908880000000004</v>
      </c>
      <c r="AB5511">
        <v>20</v>
      </c>
      <c r="AC5511">
        <v>14.518800000000001</v>
      </c>
      <c r="AD5511">
        <v>-1.1145335280449999</v>
      </c>
      <c r="AE5511">
        <v>-8.7201000000000004</v>
      </c>
      <c r="AF5511">
        <v>-6.6573476843773003</v>
      </c>
      <c r="AG5511">
        <v>-1.1145335280449999</v>
      </c>
      <c r="AH5511">
        <v>15.4934532951618</v>
      </c>
      <c r="AI5511">
        <v>93.781331157876096</v>
      </c>
      <c r="AJ5511">
        <v>113.252606133893</v>
      </c>
      <c r="AK5511">
        <v>16.899986928550501</v>
      </c>
      <c r="AL5511">
        <v>79.346172740628603</v>
      </c>
      <c r="AM5511">
        <v>104.47151963971299</v>
      </c>
      <c r="AN5511">
        <v>0.99999999677104401</v>
      </c>
    </row>
    <row r="5512" spans="1:40" x14ac:dyDescent="0.25">
      <c r="A5512" t="str">
        <f>"20190304155213400"</f>
        <v>20190304155213400</v>
      </c>
      <c r="B5512" t="str">
        <f>"1551685933392233"</f>
        <v>1551685933392233</v>
      </c>
      <c r="C5512" t="s">
        <v>40</v>
      </c>
      <c r="D5512">
        <v>4.8709339999999903</v>
      </c>
      <c r="E5512">
        <v>0.4393939</v>
      </c>
      <c r="F5512" t="s">
        <v>77</v>
      </c>
      <c r="G5512">
        <v>-401.19139999999999</v>
      </c>
      <c r="H5512" s="1">
        <v>-5.7128049999999899E-6</v>
      </c>
      <c r="I5512">
        <v>20.321729999999999</v>
      </c>
      <c r="J5512">
        <v>-416.08569999999997</v>
      </c>
      <c r="K5512">
        <v>1.1145160000000001</v>
      </c>
      <c r="L5512">
        <v>29.148219999999998</v>
      </c>
      <c r="M5512">
        <v>0.59015859999999998</v>
      </c>
      <c r="N5512">
        <v>-1.2770760000000001E-2</v>
      </c>
      <c r="O5512">
        <v>-0.80718650000000003</v>
      </c>
      <c r="P5512">
        <v>0.75952609999999998</v>
      </c>
      <c r="Q5512">
        <v>0.17493839999999999</v>
      </c>
      <c r="R5512">
        <v>-0.62651190000000001</v>
      </c>
      <c r="S5512">
        <v>2.678528</v>
      </c>
      <c r="T5512">
        <v>-0.19883219999999999</v>
      </c>
      <c r="U5512">
        <v>-1.6017760000000001</v>
      </c>
      <c r="V5512">
        <v>-0.24513380000000001</v>
      </c>
      <c r="W5512">
        <v>0.18477489999999999</v>
      </c>
      <c r="X5512">
        <v>0.95171830000000002</v>
      </c>
      <c r="Y5512">
        <v>-0.38846520000000001</v>
      </c>
      <c r="Z5512">
        <v>5.0168070000000002E-2</v>
      </c>
      <c r="AA5512">
        <v>0.92009669999999999</v>
      </c>
      <c r="AB5512">
        <v>20</v>
      </c>
      <c r="AC5512">
        <v>14.8942999999999</v>
      </c>
      <c r="AD5512">
        <v>-1.114521712805</v>
      </c>
      <c r="AE5512">
        <v>-8.8264899999999997</v>
      </c>
      <c r="AF5512">
        <v>-6.7858826746989003</v>
      </c>
      <c r="AG5512">
        <v>-1.114521712805</v>
      </c>
      <c r="AH5512">
        <v>15.850234539331201</v>
      </c>
      <c r="AI5512">
        <v>93.698502196913694</v>
      </c>
      <c r="AJ5512">
        <v>113.176980714829</v>
      </c>
      <c r="AK5512">
        <v>17.277739935387999</v>
      </c>
      <c r="AL5512">
        <v>79.351991492108198</v>
      </c>
      <c r="AM5512">
        <v>104.443710413011</v>
      </c>
      <c r="AN5512">
        <v>1.00000003306366</v>
      </c>
    </row>
    <row r="5513" spans="1:40" x14ac:dyDescent="0.25">
      <c r="A5513" t="str">
        <f>"20190304155213413"</f>
        <v>20190304155213413</v>
      </c>
      <c r="B5513" t="str">
        <f>"1551685933402969"</f>
        <v>1551685933402969</v>
      </c>
      <c r="C5513" t="s">
        <v>40</v>
      </c>
      <c r="D5513">
        <v>4.836023</v>
      </c>
      <c r="E5513">
        <v>0.4395792</v>
      </c>
      <c r="F5513" t="s">
        <v>77</v>
      </c>
      <c r="G5513">
        <v>-401.24149999999997</v>
      </c>
      <c r="H5513" s="1">
        <v>-5.6993590000000004E-6</v>
      </c>
      <c r="I5513">
        <v>20.377310000000001</v>
      </c>
      <c r="J5513">
        <v>-416.00979999999998</v>
      </c>
      <c r="K5513">
        <v>1.1145119999999999</v>
      </c>
      <c r="L5513">
        <v>29.053159999999998</v>
      </c>
      <c r="M5513">
        <v>0.5938177</v>
      </c>
      <c r="N5513">
        <v>-1.271362E-2</v>
      </c>
      <c r="O5513">
        <v>-0.80449930000000003</v>
      </c>
      <c r="P5513">
        <v>0.76239460000000003</v>
      </c>
      <c r="Q5513">
        <v>0.17463670000000001</v>
      </c>
      <c r="R5513">
        <v>-0.62310259999999995</v>
      </c>
      <c r="S5513">
        <v>2.6868289999999999</v>
      </c>
      <c r="T5513">
        <v>-0.20173079999999999</v>
      </c>
      <c r="U5513">
        <v>-1.5875549999999901</v>
      </c>
      <c r="V5513">
        <v>-0.2451315</v>
      </c>
      <c r="W5513">
        <v>0.18441589999999999</v>
      </c>
      <c r="X5513">
        <v>0.95178850000000004</v>
      </c>
      <c r="Y5513">
        <v>-0.3890903</v>
      </c>
      <c r="Z5513">
        <v>5.1001190000000002E-2</v>
      </c>
      <c r="AA5513">
        <v>0.91978680000000002</v>
      </c>
      <c r="AB5513">
        <v>20</v>
      </c>
      <c r="AC5513">
        <v>14.7683</v>
      </c>
      <c r="AD5513">
        <v>-1.114517699359</v>
      </c>
      <c r="AE5513">
        <v>-8.6758499999999898</v>
      </c>
      <c r="AF5513">
        <v>-6.70138304246752</v>
      </c>
      <c r="AG5513">
        <v>-1.114517699359</v>
      </c>
      <c r="AH5513">
        <v>15.6842568619813</v>
      </c>
      <c r="AI5513">
        <v>93.738672490265003</v>
      </c>
      <c r="AJ5513">
        <v>113.135474339281</v>
      </c>
      <c r="AK5513">
        <v>17.092296443037199</v>
      </c>
      <c r="AL5513">
        <v>79.372920127105104</v>
      </c>
      <c r="AM5513">
        <v>104.442559820044</v>
      </c>
      <c r="AN5513">
        <v>1.0000000125986499</v>
      </c>
    </row>
    <row r="5514" spans="1:40" x14ac:dyDescent="0.25">
      <c r="A5514" t="str">
        <f>"20190304155213427"</f>
        <v>20190304155213427</v>
      </c>
      <c r="B5514" t="str">
        <f>"1551685933422488"</f>
        <v>1551685933422488</v>
      </c>
      <c r="C5514" t="s">
        <v>40</v>
      </c>
      <c r="D5514">
        <v>4.8294750000000004</v>
      </c>
      <c r="E5514">
        <v>0.43992290000000001</v>
      </c>
      <c r="F5514" t="s">
        <v>77</v>
      </c>
      <c r="G5514">
        <v>-401.22519999999997</v>
      </c>
      <c r="H5514" s="1">
        <v>-5.7111409999999999E-6</v>
      </c>
      <c r="I5514">
        <v>20.400680000000001</v>
      </c>
      <c r="J5514">
        <v>-415.93290000000002</v>
      </c>
      <c r="K5514">
        <v>1.1145069999999999</v>
      </c>
      <c r="L5514">
        <v>28.957519999999999</v>
      </c>
      <c r="M5514">
        <v>0.59750519999999996</v>
      </c>
      <c r="N5514">
        <v>-1.265522E-2</v>
      </c>
      <c r="O5514">
        <v>-0.80176539999999996</v>
      </c>
      <c r="P5514">
        <v>0.76528869999999904</v>
      </c>
      <c r="Q5514">
        <v>0.17429919999999999</v>
      </c>
      <c r="R5514">
        <v>-0.61964010000000003</v>
      </c>
      <c r="S5514">
        <v>2.6932369999999999</v>
      </c>
      <c r="T5514">
        <v>-0.20302500000000001</v>
      </c>
      <c r="U5514">
        <v>-1.5761719999999999</v>
      </c>
      <c r="V5514">
        <v>-0.24513789999999999</v>
      </c>
      <c r="W5514">
        <v>0.18401899999999999</v>
      </c>
      <c r="X5514">
        <v>0.95186360000000003</v>
      </c>
      <c r="Y5514">
        <v>-0.38869189999999998</v>
      </c>
      <c r="Z5514">
        <v>5.133244E-2</v>
      </c>
      <c r="AA5514">
        <v>0.91993670000000005</v>
      </c>
      <c r="AB5514">
        <v>20</v>
      </c>
      <c r="AC5514">
        <v>14.707700000000001</v>
      </c>
      <c r="AD5514">
        <v>-1.11451271114099</v>
      </c>
      <c r="AE5514">
        <v>-8.5568399999999993</v>
      </c>
      <c r="AF5514">
        <v>-6.65136721473724</v>
      </c>
      <c r="AG5514">
        <v>-1.11451271114099</v>
      </c>
      <c r="AH5514">
        <v>15.582903542886999</v>
      </c>
      <c r="AI5514">
        <v>93.763486550340801</v>
      </c>
      <c r="AJ5514">
        <v>113.11460577046699</v>
      </c>
      <c r="AK5514">
        <v>16.979685133579402</v>
      </c>
      <c r="AL5514">
        <v>79.396056097817606</v>
      </c>
      <c r="AM5514">
        <v>104.44182926237001</v>
      </c>
      <c r="AN5514">
        <v>0.99999994769118306</v>
      </c>
    </row>
    <row r="5515" spans="1:40" x14ac:dyDescent="0.25">
      <c r="A5515" t="str">
        <f>"20190304155213443"</f>
        <v>20190304155213443</v>
      </c>
      <c r="B5515" t="str">
        <f>"1551685933432248"</f>
        <v>1551685933432248</v>
      </c>
      <c r="C5515" t="s">
        <v>40</v>
      </c>
      <c r="D5515">
        <v>4.855359</v>
      </c>
      <c r="E5515">
        <v>0.44010589999999999</v>
      </c>
      <c r="F5515" t="s">
        <v>77</v>
      </c>
      <c r="G5515">
        <v>-401.21300000000002</v>
      </c>
      <c r="H5515" s="1">
        <v>-5.7199229999999996E-6</v>
      </c>
      <c r="I5515">
        <v>20.418150000000001</v>
      </c>
      <c r="J5515">
        <v>-415.84190000000001</v>
      </c>
      <c r="K5515">
        <v>1.114498</v>
      </c>
      <c r="L5515">
        <v>28.84592</v>
      </c>
      <c r="M5515">
        <v>0.60183059999999999</v>
      </c>
      <c r="N5515">
        <v>-1.258431E-2</v>
      </c>
      <c r="O5515">
        <v>-0.79852469999999998</v>
      </c>
      <c r="P5515">
        <v>0.76869279999999995</v>
      </c>
      <c r="Q5515">
        <v>0.17394599999999999</v>
      </c>
      <c r="R5515">
        <v>-0.61551180000000005</v>
      </c>
      <c r="S5515">
        <v>2.6989139999999998</v>
      </c>
      <c r="T5515">
        <v>-0.2043471</v>
      </c>
      <c r="U5515">
        <v>-1.565704</v>
      </c>
      <c r="V5515">
        <v>-0.24518229999999999</v>
      </c>
      <c r="W5515">
        <v>0.18359149999999999</v>
      </c>
      <c r="X5515">
        <v>0.95193479999999997</v>
      </c>
      <c r="Y5515">
        <v>-0.38720280000000001</v>
      </c>
      <c r="Z5515">
        <v>5.163483E-2</v>
      </c>
      <c r="AA5515">
        <v>0.92054760000000002</v>
      </c>
      <c r="AB5515">
        <v>20</v>
      </c>
      <c r="AC5515">
        <v>14.6288999999999</v>
      </c>
      <c r="AD5515">
        <v>-1.1145037199229999</v>
      </c>
      <c r="AE5515">
        <v>-8.42776999999999</v>
      </c>
      <c r="AF5515">
        <v>-6.5812909962136299</v>
      </c>
      <c r="AG5515">
        <v>-1.1145037199229999</v>
      </c>
      <c r="AH5515">
        <v>15.4677257239226</v>
      </c>
      <c r="AI5515">
        <v>93.793242719067806</v>
      </c>
      <c r="AJ5515">
        <v>113.049042897909</v>
      </c>
      <c r="AK5515">
        <v>16.846544120058098</v>
      </c>
      <c r="AL5515">
        <v>79.4209754838744</v>
      </c>
      <c r="AM5515">
        <v>104.443300411021</v>
      </c>
      <c r="AN5515">
        <v>1.00000003127828</v>
      </c>
    </row>
    <row r="5516" spans="1:40" x14ac:dyDescent="0.25">
      <c r="A5516" t="str">
        <f>"20190304155213454"</f>
        <v>20190304155213454</v>
      </c>
      <c r="B5516" t="str">
        <f>"1551685933452744"</f>
        <v>1551685933452744</v>
      </c>
      <c r="C5516" t="s">
        <v>40</v>
      </c>
      <c r="D5516">
        <v>4.8639789999999996</v>
      </c>
      <c r="E5516">
        <v>0.44041940000000002</v>
      </c>
      <c r="F5516" t="s">
        <v>77</v>
      </c>
      <c r="G5516">
        <v>-401.16309999999999</v>
      </c>
      <c r="H5516" s="1">
        <v>-5.7448819999999998E-6</v>
      </c>
      <c r="I5516">
        <v>20.427820000000001</v>
      </c>
      <c r="J5516">
        <v>-415.77960000000002</v>
      </c>
      <c r="K5516">
        <v>1.1145039999999999</v>
      </c>
      <c r="L5516">
        <v>28.770050000000001</v>
      </c>
      <c r="M5516">
        <v>0.60478089999999995</v>
      </c>
      <c r="N5516">
        <v>-1.253604E-2</v>
      </c>
      <c r="O5516">
        <v>-0.79629359999999905</v>
      </c>
      <c r="P5516">
        <v>0.77101519999999901</v>
      </c>
      <c r="Q5516">
        <v>0.1739656</v>
      </c>
      <c r="R5516">
        <v>-0.61259449999999904</v>
      </c>
      <c r="S5516">
        <v>2.7064210000000002</v>
      </c>
      <c r="T5516">
        <v>-0.20548749999999999</v>
      </c>
      <c r="U5516">
        <v>-1.5520940000000001</v>
      </c>
      <c r="V5516">
        <v>-0.24526970000000001</v>
      </c>
      <c r="W5516">
        <v>0.18355679999999999</v>
      </c>
      <c r="X5516">
        <v>0.95191899999999996</v>
      </c>
      <c r="Y5516">
        <v>-0.38835789999999998</v>
      </c>
      <c r="Z5516">
        <v>5.1966859999999997E-2</v>
      </c>
      <c r="AA5516">
        <v>0.92004220000000003</v>
      </c>
      <c r="AB5516">
        <v>20</v>
      </c>
      <c r="AC5516">
        <v>14.6165</v>
      </c>
      <c r="AD5516">
        <v>-1.1145097448819901</v>
      </c>
      <c r="AE5516">
        <v>-8.3422300000000007</v>
      </c>
      <c r="AF5516">
        <v>-6.5655270342844299</v>
      </c>
      <c r="AG5516">
        <v>-1.1145097448819901</v>
      </c>
      <c r="AH5516">
        <v>15.416248297993</v>
      </c>
      <c r="AI5516">
        <v>93.805347808414396</v>
      </c>
      <c r="AJ5516">
        <v>113.068358599153</v>
      </c>
      <c r="AK5516">
        <v>16.7931232590823</v>
      </c>
      <c r="AL5516">
        <v>79.422998257002604</v>
      </c>
      <c r="AM5516">
        <v>104.44846331198001</v>
      </c>
      <c r="AN5516">
        <v>1.0000000535626601</v>
      </c>
    </row>
    <row r="5517" spans="1:40" x14ac:dyDescent="0.25">
      <c r="A5517" t="str">
        <f>"20190304155213466"</f>
        <v>20190304155213466</v>
      </c>
      <c r="B5517" t="str">
        <f>"1551685933462504"</f>
        <v>1551685933462504</v>
      </c>
      <c r="C5517" t="s">
        <v>40</v>
      </c>
      <c r="D5517">
        <v>4.7485730000000004</v>
      </c>
      <c r="E5517">
        <v>0.44088050000000001</v>
      </c>
      <c r="F5517" t="s">
        <v>77</v>
      </c>
      <c r="G5517">
        <v>-401.10309999999998</v>
      </c>
      <c r="H5517" s="1">
        <v>-5.7702409999999999E-6</v>
      </c>
      <c r="I5517">
        <v>20.41347</v>
      </c>
      <c r="J5517">
        <v>-415.71620000000001</v>
      </c>
      <c r="K5517">
        <v>1.114517</v>
      </c>
      <c r="L5517">
        <v>28.693390000000001</v>
      </c>
      <c r="M5517">
        <v>0.60776549999999996</v>
      </c>
      <c r="N5517">
        <v>-1.2487140000000001E-2</v>
      </c>
      <c r="O5517">
        <v>-0.79401840000000001</v>
      </c>
      <c r="P5517">
        <v>0.77344179999999996</v>
      </c>
      <c r="Q5517">
        <v>0.1742243</v>
      </c>
      <c r="R5517">
        <v>-0.60945400000000005</v>
      </c>
      <c r="S5517">
        <v>2.7109990000000002</v>
      </c>
      <c r="T5517">
        <v>-0.20586979999999999</v>
      </c>
      <c r="U5517">
        <v>-1.5436099999999999</v>
      </c>
      <c r="V5517">
        <v>-0.24553040000000001</v>
      </c>
      <c r="W5517">
        <v>0.183757</v>
      </c>
      <c r="X5517">
        <v>0.95181309999999997</v>
      </c>
      <c r="Y5517">
        <v>-0.38773740000000001</v>
      </c>
      <c r="Z5517">
        <v>5.2025660000000001E-2</v>
      </c>
      <c r="AA5517">
        <v>0.92030049999999997</v>
      </c>
      <c r="AB5517">
        <v>20</v>
      </c>
      <c r="AC5517">
        <v>14.613099999999999</v>
      </c>
      <c r="AD5517">
        <v>-1.1145227702410001</v>
      </c>
      <c r="AE5517">
        <v>-8.27991999999999</v>
      </c>
      <c r="AF5517">
        <v>-6.5425242529232301</v>
      </c>
      <c r="AG5517">
        <v>-1.1145227702410001</v>
      </c>
      <c r="AH5517">
        <v>15.3891888708342</v>
      </c>
      <c r="AI5517">
        <v>93.813085135684204</v>
      </c>
      <c r="AJ5517">
        <v>113.03217392180601</v>
      </c>
      <c r="AK5517">
        <v>16.759293502641501</v>
      </c>
      <c r="AL5517">
        <v>79.411328527075398</v>
      </c>
      <c r="AM5517">
        <v>104.46471862851899</v>
      </c>
      <c r="AN5517">
        <v>0.999999994852385</v>
      </c>
    </row>
    <row r="5518" spans="1:40" x14ac:dyDescent="0.25">
      <c r="A5518" t="str">
        <f>"20190304155213478"</f>
        <v>20190304155213478</v>
      </c>
      <c r="B5518" t="str">
        <f>"1551685933472264"</f>
        <v>1551685933472264</v>
      </c>
      <c r="C5518" t="s">
        <v>40</v>
      </c>
      <c r="D5518">
        <v>4.8360690000000002</v>
      </c>
      <c r="E5518">
        <v>0.44107239999999998</v>
      </c>
      <c r="F5518" t="s">
        <v>77</v>
      </c>
      <c r="G5518">
        <v>-401.18950000000001</v>
      </c>
      <c r="H5518" s="1">
        <v>-5.7412729999999999E-6</v>
      </c>
      <c r="I5518">
        <v>20.476700000000001</v>
      </c>
      <c r="J5518">
        <v>-415.654</v>
      </c>
      <c r="K5518">
        <v>1.114527</v>
      </c>
      <c r="L5518">
        <v>28.619050000000001</v>
      </c>
      <c r="M5518">
        <v>0.61067749999999998</v>
      </c>
      <c r="N5518">
        <v>-1.244236E-2</v>
      </c>
      <c r="O5518">
        <v>-0.79178169999999903</v>
      </c>
      <c r="P5518">
        <v>0.77561769999999997</v>
      </c>
      <c r="Q5518">
        <v>0.17457429999999999</v>
      </c>
      <c r="R5518">
        <v>-0.606581699999999</v>
      </c>
      <c r="S5518">
        <v>2.7154240000000001</v>
      </c>
      <c r="T5518">
        <v>-0.20833409999999999</v>
      </c>
      <c r="U5518">
        <v>-1.535919</v>
      </c>
      <c r="V5518">
        <v>-0.24551239999999999</v>
      </c>
      <c r="W5518">
        <v>0.18405460000000001</v>
      </c>
      <c r="X5518">
        <v>0.95176019999999995</v>
      </c>
      <c r="Y5518">
        <v>-0.38693139999999998</v>
      </c>
      <c r="Z5518">
        <v>5.2678969999999999E-2</v>
      </c>
      <c r="AA5518">
        <v>0.92060249999999999</v>
      </c>
      <c r="AB5518">
        <v>20</v>
      </c>
      <c r="AC5518">
        <v>14.4644999999999</v>
      </c>
      <c r="AD5518">
        <v>-1.1145327412729999</v>
      </c>
      <c r="AE5518">
        <v>-8.1423500000000004</v>
      </c>
      <c r="AF5518">
        <v>-6.4517899065625404</v>
      </c>
      <c r="AG5518">
        <v>-1.1145327412729999</v>
      </c>
      <c r="AH5518">
        <v>15.212704068298899</v>
      </c>
      <c r="AI5518">
        <v>93.858651339849601</v>
      </c>
      <c r="AJ5518">
        <v>112.982062937137</v>
      </c>
      <c r="AK5518">
        <v>16.561827836909501</v>
      </c>
      <c r="AL5518">
        <v>79.393981015194896</v>
      </c>
      <c r="AM5518">
        <v>104.464472878755</v>
      </c>
      <c r="AN5518">
        <v>0.99999995631947802</v>
      </c>
    </row>
    <row r="5519" spans="1:40" x14ac:dyDescent="0.25">
      <c r="A5519" t="str">
        <f>"20190304155213489"</f>
        <v>20190304155213489</v>
      </c>
      <c r="B5519" t="str">
        <f>"1551685933483000"</f>
        <v>1551685933483000</v>
      </c>
      <c r="C5519" t="s">
        <v>40</v>
      </c>
      <c r="D5519">
        <v>4.8528659999999997</v>
      </c>
      <c r="E5519">
        <v>0.4412779</v>
      </c>
      <c r="F5519" t="s">
        <v>77</v>
      </c>
      <c r="G5519">
        <v>-401.02980000000002</v>
      </c>
      <c r="H5519" s="1">
        <v>-5.8038100000000001E-6</v>
      </c>
      <c r="I5519">
        <v>20.410219999999999</v>
      </c>
      <c r="J5519">
        <v>-415.58330000000001</v>
      </c>
      <c r="K5519">
        <v>1.114541</v>
      </c>
      <c r="L5519">
        <v>28.534790000000001</v>
      </c>
      <c r="M5519">
        <v>0.61397990000000002</v>
      </c>
      <c r="N5519">
        <v>-1.239227E-2</v>
      </c>
      <c r="O5519">
        <v>-0.78922460000000005</v>
      </c>
      <c r="P5519">
        <v>0.77794010000000002</v>
      </c>
      <c r="Q5519">
        <v>0.17456070000000001</v>
      </c>
      <c r="R5519">
        <v>-0.60360449999999999</v>
      </c>
      <c r="S5519">
        <v>2.7203369999999998</v>
      </c>
      <c r="T5519">
        <v>-0.20732159999999999</v>
      </c>
      <c r="U5519">
        <v>-1.5269779999999999</v>
      </c>
      <c r="V5519">
        <v>-0.24519469999999999</v>
      </c>
      <c r="W5519">
        <v>0.18398619999999999</v>
      </c>
      <c r="X5519">
        <v>0.95185540000000002</v>
      </c>
      <c r="Y5519">
        <v>-0.38611089999999998</v>
      </c>
      <c r="Z5519">
        <v>5.2311139999999999E-2</v>
      </c>
      <c r="AA5519">
        <v>0.92096789999999995</v>
      </c>
      <c r="AB5519">
        <v>20</v>
      </c>
      <c r="AC5519">
        <v>14.5534999999999</v>
      </c>
      <c r="AD5519">
        <v>-1.1145468038099999</v>
      </c>
      <c r="AE5519">
        <v>-8.1245699999999896</v>
      </c>
      <c r="AF5519">
        <v>-6.4692288151033104</v>
      </c>
      <c r="AG5519">
        <v>-1.1145468038099999</v>
      </c>
      <c r="AH5519">
        <v>15.280517460474799</v>
      </c>
      <c r="AI5519">
        <v>93.842646276487201</v>
      </c>
      <c r="AJ5519">
        <v>112.94607499535699</v>
      </c>
      <c r="AK5519">
        <v>16.6309154859233</v>
      </c>
      <c r="AL5519">
        <v>79.397968955195097</v>
      </c>
      <c r="AM5519">
        <v>104.445154771221</v>
      </c>
      <c r="AN5519">
        <v>1.0000000326038401</v>
      </c>
    </row>
    <row r="5520" spans="1:40" x14ac:dyDescent="0.25">
      <c r="A5520" t="str">
        <f>"20190304155213501"</f>
        <v>20190304155213501</v>
      </c>
      <c r="B5520" t="str">
        <f>"1551685933492760"</f>
        <v>1551685933492760</v>
      </c>
      <c r="C5520" t="s">
        <v>40</v>
      </c>
      <c r="D5520">
        <v>4.853364</v>
      </c>
      <c r="E5520">
        <v>0.44150010000000001</v>
      </c>
      <c r="F5520" t="s">
        <v>77</v>
      </c>
      <c r="G5520">
        <v>-400.9547</v>
      </c>
      <c r="H5520" s="1">
        <v>-5.8344319999999996E-6</v>
      </c>
      <c r="I5520">
        <v>20.385480000000001</v>
      </c>
      <c r="J5520">
        <v>-415.51479999999998</v>
      </c>
      <c r="K5520">
        <v>1.114557</v>
      </c>
      <c r="L5520">
        <v>28.454249999999998</v>
      </c>
      <c r="M5520">
        <v>0.61715710000000001</v>
      </c>
      <c r="N5520">
        <v>-1.2346070000000001E-2</v>
      </c>
      <c r="O5520">
        <v>-0.78674309999999903</v>
      </c>
      <c r="P5520">
        <v>0.78016700000000005</v>
      </c>
      <c r="Q5520">
        <v>0.17469089999999901</v>
      </c>
      <c r="R5520">
        <v>-0.60068489999999997</v>
      </c>
      <c r="S5520">
        <v>2.7250369999999999</v>
      </c>
      <c r="T5520">
        <v>-0.20761950000000001</v>
      </c>
      <c r="U5520">
        <v>-1.5180659999999999</v>
      </c>
      <c r="V5520">
        <v>-0.24491019999999999</v>
      </c>
      <c r="W5520">
        <v>0.18406349999999999</v>
      </c>
      <c r="X5520">
        <v>0.95191369999999997</v>
      </c>
      <c r="Y5520">
        <v>-0.38536330000000002</v>
      </c>
      <c r="Z5520">
        <v>5.2329149999999998E-2</v>
      </c>
      <c r="AA5520">
        <v>0.92127999999999999</v>
      </c>
      <c r="AB5520">
        <v>20</v>
      </c>
      <c r="AC5520">
        <v>14.560099999999901</v>
      </c>
      <c r="AD5520">
        <v>-1.114562834432</v>
      </c>
      <c r="AE5520">
        <v>-8.06876999999999</v>
      </c>
      <c r="AF5520">
        <v>-6.4469512471471102</v>
      </c>
      <c r="AG5520">
        <v>-1.114562834432</v>
      </c>
      <c r="AH5520">
        <v>15.266646261931299</v>
      </c>
      <c r="AI5520">
        <v>93.847660685906007</v>
      </c>
      <c r="AJ5520">
        <v>112.893844847305</v>
      </c>
      <c r="AK5520">
        <v>16.609512900200599</v>
      </c>
      <c r="AL5520">
        <v>79.393463065240596</v>
      </c>
      <c r="AM5520">
        <v>104.428247302553</v>
      </c>
      <c r="AN5520">
        <v>1.00000003517198</v>
      </c>
    </row>
    <row r="5521" spans="1:40" x14ac:dyDescent="0.25">
      <c r="A5521" t="str">
        <f>"20190304155213513"</f>
        <v>20190304155213513</v>
      </c>
      <c r="B5521" t="str">
        <f>"1551685933502520"</f>
        <v>1551685933502520</v>
      </c>
      <c r="C5521" t="s">
        <v>40</v>
      </c>
      <c r="D5521">
        <v>4.8499739999999996</v>
      </c>
      <c r="E5521">
        <v>0.44166539999999999</v>
      </c>
      <c r="F5521" t="s">
        <v>77</v>
      </c>
      <c r="G5521">
        <v>-400.83359999999999</v>
      </c>
      <c r="H5521" s="1">
        <v>-5.8823870000000001E-6</v>
      </c>
      <c r="I5521">
        <v>20.337990000000001</v>
      </c>
      <c r="J5521">
        <v>-415.45150000000001</v>
      </c>
      <c r="K5521">
        <v>1.114573</v>
      </c>
      <c r="L5521">
        <v>28.38025</v>
      </c>
      <c r="M5521">
        <v>0.62008490000000005</v>
      </c>
      <c r="N5521">
        <v>-1.2304209999999999E-2</v>
      </c>
      <c r="O5521">
        <v>-0.78443819999999997</v>
      </c>
      <c r="P5521">
        <v>0.78216699999999995</v>
      </c>
      <c r="Q5521">
        <v>0.1749106</v>
      </c>
      <c r="R5521">
        <v>-0.59801470000000001</v>
      </c>
      <c r="S5521">
        <v>2.729797</v>
      </c>
      <c r="T5521">
        <v>-0.2072399</v>
      </c>
      <c r="U5521">
        <v>-1.509125</v>
      </c>
      <c r="V5521">
        <v>-0.24458849999999999</v>
      </c>
      <c r="W5521">
        <v>0.1842355</v>
      </c>
      <c r="X5521">
        <v>0.95196309999999995</v>
      </c>
      <c r="Y5521">
        <v>-0.38492510000000002</v>
      </c>
      <c r="Z5521">
        <v>5.2159669999999998E-2</v>
      </c>
      <c r="AA5521">
        <v>0.92147279999999998</v>
      </c>
      <c r="AB5521">
        <v>20</v>
      </c>
      <c r="AC5521">
        <v>14.617900000000001</v>
      </c>
      <c r="AD5521">
        <v>-1.114578882387</v>
      </c>
      <c r="AE5521">
        <v>-8.0422600000000006</v>
      </c>
      <c r="AF5521">
        <v>-6.4516530245347301</v>
      </c>
      <c r="AG5521">
        <v>-1.114578882387</v>
      </c>
      <c r="AH5521">
        <v>15.3058512153119</v>
      </c>
      <c r="AI5521">
        <v>93.838951256622096</v>
      </c>
      <c r="AJ5521">
        <v>112.856175593762</v>
      </c>
      <c r="AK5521">
        <v>16.647377999532399</v>
      </c>
      <c r="AL5521">
        <v>79.383436332604305</v>
      </c>
      <c r="AM5521">
        <v>104.409368172074</v>
      </c>
      <c r="AN5521">
        <v>0.99999999877705403</v>
      </c>
    </row>
    <row r="5522" spans="1:40" x14ac:dyDescent="0.25">
      <c r="A5522" t="str">
        <f>"20190304155213533"</f>
        <v>20190304155213533</v>
      </c>
      <c r="B5522" t="str">
        <f>"1551685933523021"</f>
        <v>1551685933523021</v>
      </c>
      <c r="C5522" t="s">
        <v>40</v>
      </c>
      <c r="D5522">
        <v>4.7686270000000004</v>
      </c>
      <c r="E5522">
        <v>0.44182700000000003</v>
      </c>
      <c r="F5522" t="s">
        <v>77</v>
      </c>
      <c r="G5522">
        <v>-400.68810000000002</v>
      </c>
      <c r="H5522" s="1">
        <v>-5.9389290000000002E-6</v>
      </c>
      <c r="I5522">
        <v>20.27487</v>
      </c>
      <c r="J5522">
        <v>-415.33330000000001</v>
      </c>
      <c r="K5522">
        <v>1.114606</v>
      </c>
      <c r="L5522">
        <v>28.24362</v>
      </c>
      <c r="M5522">
        <v>0.62551829999999997</v>
      </c>
      <c r="N5522">
        <v>-1.222962E-2</v>
      </c>
      <c r="O5522">
        <v>-0.78011379999999997</v>
      </c>
      <c r="P5522">
        <v>0.78551110000000002</v>
      </c>
      <c r="Q5522">
        <v>0.17572969999999999</v>
      </c>
      <c r="R5522">
        <v>-0.5933735</v>
      </c>
      <c r="S5522">
        <v>2.7340390000000001</v>
      </c>
      <c r="T5522">
        <v>-0.20640919999999999</v>
      </c>
      <c r="U5522">
        <v>-1.5010380000000001</v>
      </c>
      <c r="V5522">
        <v>-0.24349270000000001</v>
      </c>
      <c r="W5522">
        <v>0.1849741</v>
      </c>
      <c r="X5522">
        <v>0.95210079999999997</v>
      </c>
      <c r="Y5522">
        <v>-0.3812335</v>
      </c>
      <c r="Z5522">
        <v>5.1722270000000001E-2</v>
      </c>
      <c r="AA5522">
        <v>0.92303080000000004</v>
      </c>
      <c r="AB5522">
        <v>20</v>
      </c>
      <c r="AC5522">
        <v>14.6451999999999</v>
      </c>
      <c r="AD5522">
        <v>-1.1146119389289999</v>
      </c>
      <c r="AE5522">
        <v>-7.96875</v>
      </c>
      <c r="AF5522">
        <v>-6.4121474032933197</v>
      </c>
      <c r="AG5522">
        <v>-1.1146119389289999</v>
      </c>
      <c r="AH5522">
        <v>15.310096801525299</v>
      </c>
      <c r="AI5522">
        <v>93.8416910013257</v>
      </c>
      <c r="AJ5522">
        <v>112.724823368475</v>
      </c>
      <c r="AK5522">
        <v>16.6360168961215</v>
      </c>
      <c r="AL5522">
        <v>79.340377872482094</v>
      </c>
      <c r="AM5522">
        <v>104.345492905906</v>
      </c>
      <c r="AN5522">
        <v>1.00000002299236</v>
      </c>
    </row>
    <row r="5523" spans="1:40" x14ac:dyDescent="0.25">
      <c r="A5523" t="str">
        <f>"20190304155213545"</f>
        <v>20190304155213545</v>
      </c>
      <c r="B5523" t="str">
        <f>"1551685933542536"</f>
        <v>1551685933542536</v>
      </c>
      <c r="C5523" t="s">
        <v>40</v>
      </c>
      <c r="D5523">
        <v>4.8976319999999998</v>
      </c>
      <c r="E5523">
        <v>0.44250689999999998</v>
      </c>
      <c r="F5523" t="s">
        <v>77</v>
      </c>
      <c r="G5523">
        <v>-400.3691</v>
      </c>
      <c r="H5523" s="1">
        <v>-6.0617339999999996E-6</v>
      </c>
      <c r="I5523">
        <v>20.130050000000001</v>
      </c>
      <c r="J5523">
        <v>-415.2638</v>
      </c>
      <c r="K5523">
        <v>1.1146259999999999</v>
      </c>
      <c r="L5523">
        <v>28.164149999999999</v>
      </c>
      <c r="M5523">
        <v>0.62869359999999996</v>
      </c>
      <c r="N5523">
        <v>-1.2188289999999999E-2</v>
      </c>
      <c r="O5523">
        <v>-0.77755769999999902</v>
      </c>
      <c r="P5523">
        <v>0.78753300000000004</v>
      </c>
      <c r="Q5523">
        <v>0.17581529999999901</v>
      </c>
      <c r="R5523">
        <v>-0.59066149999999995</v>
      </c>
      <c r="S5523">
        <v>2.7418520000000002</v>
      </c>
      <c r="T5523">
        <v>-0.20422799999999999</v>
      </c>
      <c r="U5523">
        <v>-1.4866330000000001</v>
      </c>
      <c r="V5523">
        <v>-0.24288779999999999</v>
      </c>
      <c r="W5523">
        <v>0.18501570000000001</v>
      </c>
      <c r="X5523">
        <v>0.95224719999999996</v>
      </c>
      <c r="Y5523">
        <v>-0.3823512</v>
      </c>
      <c r="Z5523">
        <v>5.1064310000000002E-2</v>
      </c>
      <c r="AA5523">
        <v>0.92260500000000001</v>
      </c>
      <c r="AB5523">
        <v>20</v>
      </c>
      <c r="AC5523">
        <v>14.8947</v>
      </c>
      <c r="AD5523">
        <v>-1.114632061734</v>
      </c>
      <c r="AE5523">
        <v>-8.0340999999999898</v>
      </c>
      <c r="AF5523">
        <v>-6.5027767844440199</v>
      </c>
      <c r="AG5523">
        <v>-1.114632061734</v>
      </c>
      <c r="AH5523">
        <v>15.544903069721901</v>
      </c>
      <c r="AI5523">
        <v>93.784566816417296</v>
      </c>
      <c r="AJ5523">
        <v>112.700636702046</v>
      </c>
      <c r="AK5523">
        <v>16.8870519034081</v>
      </c>
      <c r="AL5523">
        <v>79.337952378578507</v>
      </c>
      <c r="AM5523">
        <v>104.30921065544</v>
      </c>
      <c r="AN5523">
        <v>1.0000000112715799</v>
      </c>
    </row>
    <row r="5524" spans="1:40" x14ac:dyDescent="0.25">
      <c r="A5524" t="str">
        <f>"20190304155213559"</f>
        <v>20190304155213559</v>
      </c>
      <c r="B5524" t="str">
        <f>"1551685933552296"</f>
        <v>1551685933552296</v>
      </c>
      <c r="C5524" t="s">
        <v>40</v>
      </c>
      <c r="D5524">
        <v>4.813345</v>
      </c>
      <c r="E5524">
        <v>0.4637655</v>
      </c>
      <c r="F5524" t="s">
        <v>77</v>
      </c>
      <c r="G5524">
        <v>-400.49110000000002</v>
      </c>
      <c r="H5524" s="1">
        <v>-6.0146500000000001E-6</v>
      </c>
      <c r="I5524">
        <v>20.18488</v>
      </c>
      <c r="J5524">
        <v>-415.18599999999998</v>
      </c>
      <c r="K5524">
        <v>1.1146450000000001</v>
      </c>
      <c r="L5524">
        <v>28.076260000000001</v>
      </c>
      <c r="M5524">
        <v>0.63222679999999998</v>
      </c>
      <c r="N5524">
        <v>-1.214399E-2</v>
      </c>
      <c r="O5524">
        <v>-0.7746885</v>
      </c>
      <c r="P5524">
        <v>0.78978819999999905</v>
      </c>
      <c r="Q5524">
        <v>0.1758555</v>
      </c>
      <c r="R5524">
        <v>-0.58763100000000001</v>
      </c>
      <c r="S5524">
        <v>2.7440190000000002</v>
      </c>
      <c r="T5524">
        <v>-0.20704249999999999</v>
      </c>
      <c r="U5524">
        <v>-1.4821470000000001</v>
      </c>
      <c r="V5524">
        <v>-0.2422137</v>
      </c>
      <c r="W5524">
        <v>0.1850097</v>
      </c>
      <c r="X5524">
        <v>0.95242009999999999</v>
      </c>
      <c r="Y5524">
        <v>-0.37957560000000001</v>
      </c>
      <c r="Z5524">
        <v>5.1731039999999999E-2</v>
      </c>
      <c r="AA5524">
        <v>0.92371329999999996</v>
      </c>
      <c r="AB5524">
        <v>20</v>
      </c>
      <c r="AC5524">
        <v>14.694899999999899</v>
      </c>
      <c r="AD5524">
        <v>-1.1146510146499999</v>
      </c>
      <c r="AE5524">
        <v>-7.8913799999999901</v>
      </c>
      <c r="AF5524">
        <v>-6.3668650673327001</v>
      </c>
      <c r="AG5524">
        <v>-1.1146510146499999</v>
      </c>
      <c r="AH5524">
        <v>15.3365135131826</v>
      </c>
      <c r="AI5524">
        <v>93.840221117053503</v>
      </c>
      <c r="AJ5524">
        <v>112.54549924319301</v>
      </c>
      <c r="AK5524">
        <v>16.642958403184</v>
      </c>
      <c r="AL5524">
        <v>79.338302677258497</v>
      </c>
      <c r="AM5524">
        <v>104.26863695121099</v>
      </c>
      <c r="AN5524">
        <v>1.0000000562228899</v>
      </c>
    </row>
    <row r="5525" spans="1:40" x14ac:dyDescent="0.25">
      <c r="A5525" t="str">
        <f>"20190304155213573"</f>
        <v>20190304155213573</v>
      </c>
      <c r="B5525" t="str">
        <f>"1551685933563032"</f>
        <v>1551685933563032</v>
      </c>
      <c r="C5525" t="s">
        <v>40</v>
      </c>
      <c r="D5525">
        <v>4.8598889999999999</v>
      </c>
      <c r="E5525">
        <v>0.4654625</v>
      </c>
      <c r="F5525" t="s">
        <v>77</v>
      </c>
      <c r="G5525">
        <v>-402.54700000000003</v>
      </c>
      <c r="H5525" s="1">
        <v>-5.0951779999999998E-6</v>
      </c>
      <c r="I5525">
        <v>20.399509999999999</v>
      </c>
      <c r="J5525">
        <v>-415.09719999999999</v>
      </c>
      <c r="K5525">
        <v>1.1146659999999999</v>
      </c>
      <c r="L5525">
        <v>27.976649999999999</v>
      </c>
      <c r="M5525">
        <v>0.63624380000000003</v>
      </c>
      <c r="N5525">
        <v>-1.209476E-2</v>
      </c>
      <c r="O5525">
        <v>-0.77139309999999905</v>
      </c>
      <c r="P5525">
        <v>0.79244879999999995</v>
      </c>
      <c r="Q5525">
        <v>0.17617240000000001</v>
      </c>
      <c r="R5525">
        <v>-0.58394179999999996</v>
      </c>
      <c r="S5525">
        <v>2.6520389999999998</v>
      </c>
      <c r="T5525">
        <v>-0.23388639999999999</v>
      </c>
      <c r="U5525">
        <v>-1.6108089999999999</v>
      </c>
      <c r="V5525">
        <v>-0.2416633</v>
      </c>
      <c r="W5525">
        <v>0.1852721</v>
      </c>
      <c r="X5525">
        <v>0.95250880000000004</v>
      </c>
      <c r="Y5525">
        <v>-0.32708389999999998</v>
      </c>
      <c r="Z5525">
        <v>5.8055620000000002E-2</v>
      </c>
      <c r="AA5525">
        <v>0.94321029999999995</v>
      </c>
      <c r="AB5525">
        <v>20</v>
      </c>
      <c r="AC5525">
        <v>12.5502</v>
      </c>
      <c r="AD5525">
        <v>-1.1146710951779999</v>
      </c>
      <c r="AE5525">
        <v>-7.5771399999999902</v>
      </c>
      <c r="AF5525">
        <v>-4.8326470790792602</v>
      </c>
      <c r="AG5525">
        <v>-1.1146710951779999</v>
      </c>
      <c r="AH5525">
        <v>13.751454241947201</v>
      </c>
      <c r="AI5525">
        <v>94.373099936886504</v>
      </c>
      <c r="AJ5525">
        <v>109.36290693349299</v>
      </c>
      <c r="AK5525">
        <v>14.618463093284699</v>
      </c>
      <c r="AL5525">
        <v>79.323002715203103</v>
      </c>
      <c r="AM5525">
        <v>104.236261097967</v>
      </c>
      <c r="AN5525">
        <v>0.99999995784136897</v>
      </c>
    </row>
    <row r="5526" spans="1:40" x14ac:dyDescent="0.25">
      <c r="A5526" t="str">
        <f>"20190304155213590"</f>
        <v>20190304155213590</v>
      </c>
      <c r="B5526" t="str">
        <f>"1551685933582552"</f>
        <v>1551685933582552</v>
      </c>
      <c r="C5526" t="s">
        <v>40</v>
      </c>
      <c r="D5526">
        <v>4.7986639999999996</v>
      </c>
      <c r="E5526">
        <v>0.46756189999999997</v>
      </c>
      <c r="F5526" t="s">
        <v>77</v>
      </c>
      <c r="G5526">
        <v>-401.9511</v>
      </c>
      <c r="H5526" s="1">
        <v>-5.3006830000000001E-6</v>
      </c>
      <c r="I5526">
        <v>19.99456</v>
      </c>
      <c r="J5526">
        <v>-414.99950000000001</v>
      </c>
      <c r="K5526">
        <v>1.1146860000000001</v>
      </c>
      <c r="L5526">
        <v>27.868289999999998</v>
      </c>
      <c r="M5526">
        <v>0.64063319999999901</v>
      </c>
      <c r="N5526">
        <v>-1.204302E-2</v>
      </c>
      <c r="O5526">
        <v>-0.76775280000000001</v>
      </c>
      <c r="P5526">
        <v>0.79504330000000001</v>
      </c>
      <c r="Q5526">
        <v>0.17670039999999901</v>
      </c>
      <c r="R5526">
        <v>-0.58024409999999904</v>
      </c>
      <c r="S5526">
        <v>2.6499630000000001</v>
      </c>
      <c r="T5526">
        <v>-0.22469249999999999</v>
      </c>
      <c r="U5526">
        <v>-1.6090089999999999</v>
      </c>
      <c r="V5526">
        <v>-0.2405919</v>
      </c>
      <c r="W5526">
        <v>0.1857501</v>
      </c>
      <c r="X5526">
        <v>0.95268699999999995</v>
      </c>
      <c r="Y5526">
        <v>-0.32200400000000001</v>
      </c>
      <c r="Z5526">
        <v>5.5250319999999999E-2</v>
      </c>
      <c r="AA5526">
        <v>0.94512479999999999</v>
      </c>
      <c r="AB5526">
        <v>20</v>
      </c>
      <c r="AC5526">
        <v>13.048400000000001</v>
      </c>
      <c r="AD5526">
        <v>-1.1146913006829999</v>
      </c>
      <c r="AE5526">
        <v>-7.8737300000000001</v>
      </c>
      <c r="AF5526">
        <v>-4.9476635264278297</v>
      </c>
      <c r="AG5526">
        <v>-1.1146913006829999</v>
      </c>
      <c r="AH5526">
        <v>14.328702654464699</v>
      </c>
      <c r="AI5526">
        <v>94.205616781481595</v>
      </c>
      <c r="AJ5526">
        <v>109.049659412879</v>
      </c>
      <c r="AK5526">
        <v>15.199790486274001</v>
      </c>
      <c r="AL5526">
        <v>79.295132448600697</v>
      </c>
      <c r="AM5526">
        <v>104.173150387913</v>
      </c>
      <c r="AN5526">
        <v>1.0000000409823</v>
      </c>
    </row>
    <row r="5527" spans="1:40" x14ac:dyDescent="0.25">
      <c r="A5527" t="str">
        <f>"20190304155213602"</f>
        <v>20190304155213602</v>
      </c>
      <c r="B5527" t="str">
        <f>"1551685933592312"</f>
        <v>1551685933592312</v>
      </c>
      <c r="C5527" t="s">
        <v>40</v>
      </c>
      <c r="D5527">
        <v>4.8836769999999996</v>
      </c>
      <c r="E5527">
        <v>0.46814689999999998</v>
      </c>
      <c r="F5527" t="s">
        <v>77</v>
      </c>
      <c r="G5527">
        <v>-401.87090000000001</v>
      </c>
      <c r="H5527" s="1">
        <v>-5.318164E-6</v>
      </c>
      <c r="I5527">
        <v>19.882860000000001</v>
      </c>
      <c r="J5527">
        <v>-414.92570000000001</v>
      </c>
      <c r="K5527">
        <v>1.1146969999999901</v>
      </c>
      <c r="L5527">
        <v>27.78745</v>
      </c>
      <c r="M5527">
        <v>0.64392609999999995</v>
      </c>
      <c r="N5527">
        <v>-1.2006960000000001E-2</v>
      </c>
      <c r="O5527">
        <v>-0.7649937</v>
      </c>
      <c r="P5527">
        <v>0.79720740000000001</v>
      </c>
      <c r="Q5527">
        <v>0.17641999999999999</v>
      </c>
      <c r="R5527">
        <v>-0.57735349999999996</v>
      </c>
      <c r="S5527">
        <v>2.647888</v>
      </c>
      <c r="T5527">
        <v>-0.22481999999999999</v>
      </c>
      <c r="U5527">
        <v>-1.610565</v>
      </c>
      <c r="V5527">
        <v>-0.24000869999999999</v>
      </c>
      <c r="W5527">
        <v>0.18543380000000001</v>
      </c>
      <c r="X5527">
        <v>0.95289570000000001</v>
      </c>
      <c r="Y5527">
        <v>-0.31720690000000001</v>
      </c>
      <c r="Z5527">
        <v>5.5067640000000001E-2</v>
      </c>
      <c r="AA5527">
        <v>0.94675620000000005</v>
      </c>
      <c r="AB5527">
        <v>20</v>
      </c>
      <c r="AC5527">
        <v>13.0548</v>
      </c>
      <c r="AD5527">
        <v>-1.1147023181639999</v>
      </c>
      <c r="AE5527">
        <v>-7.90458999999999</v>
      </c>
      <c r="AF5527">
        <v>-4.8712324056420702</v>
      </c>
      <c r="AG5527">
        <v>-1.1147023181639999</v>
      </c>
      <c r="AH5527">
        <v>14.3776237558424</v>
      </c>
      <c r="AI5527">
        <v>94.199708669741597</v>
      </c>
      <c r="AJ5527">
        <v>108.71671439923</v>
      </c>
      <c r="AK5527">
        <v>15.2212854671497</v>
      </c>
      <c r="AL5527">
        <v>79.313575534432204</v>
      </c>
      <c r="AM5527">
        <v>104.137201295533</v>
      </c>
      <c r="AN5527">
        <v>1.0000000426683</v>
      </c>
    </row>
    <row r="5528" spans="1:40" x14ac:dyDescent="0.25">
      <c r="A5528" t="str">
        <f>"20190304155213614"</f>
        <v>20190304155213614</v>
      </c>
      <c r="B5528" t="str">
        <f>"1551685933612808"</f>
        <v>1551685933612808</v>
      </c>
      <c r="C5528" t="s">
        <v>40</v>
      </c>
      <c r="D5528">
        <v>4.8119290000000001</v>
      </c>
      <c r="E5528">
        <v>0.46920400000000001</v>
      </c>
      <c r="F5528" t="s">
        <v>77</v>
      </c>
      <c r="G5528">
        <v>-401.62549999999999</v>
      </c>
      <c r="H5528" s="1">
        <v>-5.4067299999999998E-6</v>
      </c>
      <c r="I5528">
        <v>19.738320000000002</v>
      </c>
      <c r="J5528">
        <v>-414.85579999999999</v>
      </c>
      <c r="K5528">
        <v>1.114708</v>
      </c>
      <c r="L5528">
        <v>27.711359999999999</v>
      </c>
      <c r="M5528">
        <v>0.64703120000000003</v>
      </c>
      <c r="N5528">
        <v>-1.197517E-2</v>
      </c>
      <c r="O5528">
        <v>-0.76236969999999904</v>
      </c>
      <c r="P5528">
        <v>0.79928390000000005</v>
      </c>
      <c r="Q5528">
        <v>0.17629900000000001</v>
      </c>
      <c r="R5528">
        <v>-0.57451240000000003</v>
      </c>
      <c r="S5528">
        <v>2.6505740000000002</v>
      </c>
      <c r="T5528">
        <v>-0.22214709999999999</v>
      </c>
      <c r="U5528">
        <v>-1.604095</v>
      </c>
      <c r="V5528">
        <v>-0.23954990000000001</v>
      </c>
      <c r="W5528">
        <v>0.185281</v>
      </c>
      <c r="X5528">
        <v>0.95304080000000002</v>
      </c>
      <c r="Y5528">
        <v>-0.3155172</v>
      </c>
      <c r="Z5528">
        <v>5.4200100000000001E-2</v>
      </c>
      <c r="AA5528">
        <v>0.94737070000000001</v>
      </c>
      <c r="AB5528">
        <v>20</v>
      </c>
      <c r="AC5528">
        <v>13.2303</v>
      </c>
      <c r="AD5528">
        <v>-1.11471340673</v>
      </c>
      <c r="AE5528">
        <v>-7.9730399999999904</v>
      </c>
      <c r="AF5528">
        <v>-4.90239701496977</v>
      </c>
      <c r="AG5528">
        <v>-1.11471340673</v>
      </c>
      <c r="AH5528">
        <v>14.5640246918844</v>
      </c>
      <c r="AI5528">
        <v>94.148939430002301</v>
      </c>
      <c r="AJ5528">
        <v>108.603750002968</v>
      </c>
      <c r="AK5528">
        <v>15.407365047189201</v>
      </c>
      <c r="AL5528">
        <v>79.322484091911804</v>
      </c>
      <c r="AM5528">
        <v>104.109194661738</v>
      </c>
      <c r="AN5528">
        <v>0.99999998500782405</v>
      </c>
    </row>
    <row r="5529" spans="1:40" x14ac:dyDescent="0.25">
      <c r="A5529" t="str">
        <f>"20190304155213625"</f>
        <v>20190304155213625</v>
      </c>
      <c r="B5529" t="str">
        <f>"1551685933622567"</f>
        <v>1551685933622567</v>
      </c>
      <c r="C5529" t="s">
        <v>40</v>
      </c>
      <c r="D5529">
        <v>4.8234309999999896</v>
      </c>
      <c r="E5529">
        <v>0.46947909999999998</v>
      </c>
      <c r="F5529" t="s">
        <v>77</v>
      </c>
      <c r="G5529">
        <v>-401.87849999999997</v>
      </c>
      <c r="H5529" s="1">
        <v>-5.3128390000000002E-6</v>
      </c>
      <c r="I5529">
        <v>19.873000000000001</v>
      </c>
      <c r="J5529">
        <v>-414.78460000000001</v>
      </c>
      <c r="K5529">
        <v>1.114716</v>
      </c>
      <c r="L5529">
        <v>27.634519999999998</v>
      </c>
      <c r="M5529">
        <v>0.65017130000000001</v>
      </c>
      <c r="N5529">
        <v>-1.19446E-2</v>
      </c>
      <c r="O5529">
        <v>-0.75969390000000003</v>
      </c>
      <c r="P5529">
        <v>0.80147049999999997</v>
      </c>
      <c r="Q5529">
        <v>0.17603659999999999</v>
      </c>
      <c r="R5529">
        <v>-0.57153869999999996</v>
      </c>
      <c r="S5529">
        <v>2.652161</v>
      </c>
      <c r="T5529">
        <v>-0.2278143</v>
      </c>
      <c r="U5529">
        <v>-1.6019289999999999</v>
      </c>
      <c r="V5529">
        <v>-0.23920429999999901</v>
      </c>
      <c r="W5529">
        <v>0.1849877</v>
      </c>
      <c r="X5529">
        <v>0.95318460000000005</v>
      </c>
      <c r="Y5529">
        <v>-0.31233050000000001</v>
      </c>
      <c r="Z5529">
        <v>5.5576830000000001E-2</v>
      </c>
      <c r="AA5529">
        <v>0.94834640000000003</v>
      </c>
      <c r="AB5529">
        <v>20</v>
      </c>
      <c r="AC5529">
        <v>12.9061</v>
      </c>
      <c r="AD5529">
        <v>-1.1147213128389999</v>
      </c>
      <c r="AE5529">
        <v>-7.76152</v>
      </c>
      <c r="AF5529">
        <v>-4.7327776632652698</v>
      </c>
      <c r="AG5529">
        <v>-1.1147213128389999</v>
      </c>
      <c r="AH5529">
        <v>14.2107175565913</v>
      </c>
      <c r="AI5529">
        <v>94.256298796388094</v>
      </c>
      <c r="AJ5529">
        <v>108.419967625075</v>
      </c>
      <c r="AK5529">
        <v>15.0195300022475</v>
      </c>
      <c r="AL5529">
        <v>79.339584868849002</v>
      </c>
      <c r="AM5529">
        <v>104.087609592353</v>
      </c>
      <c r="AN5529">
        <v>1.0000000139834699</v>
      </c>
    </row>
    <row r="5530" spans="1:40" x14ac:dyDescent="0.25">
      <c r="A5530" t="str">
        <f>"20190304155213638"</f>
        <v>20190304155213638</v>
      </c>
      <c r="B5530" t="str">
        <f>"1551685933632328"</f>
        <v>1551685933632328</v>
      </c>
      <c r="C5530" t="s">
        <v>40</v>
      </c>
      <c r="D5530">
        <v>4.8260239999999897</v>
      </c>
      <c r="E5530">
        <v>0.46982069999999998</v>
      </c>
      <c r="F5530" t="s">
        <v>77</v>
      </c>
      <c r="G5530">
        <v>-401.73039999999997</v>
      </c>
      <c r="H5530" s="1">
        <v>-5.3691449999999997E-6</v>
      </c>
      <c r="I5530">
        <v>19.801749999999998</v>
      </c>
      <c r="J5530">
        <v>-414.71429999999998</v>
      </c>
      <c r="K5530">
        <v>1.1147260000000001</v>
      </c>
      <c r="L5530">
        <v>27.55951</v>
      </c>
      <c r="M5530">
        <v>0.6532521</v>
      </c>
      <c r="N5530">
        <v>-1.191767E-2</v>
      </c>
      <c r="O5530">
        <v>-0.75704669999999996</v>
      </c>
      <c r="P5530">
        <v>0.80375269999999899</v>
      </c>
      <c r="Q5530">
        <v>0.17583950000000001</v>
      </c>
      <c r="R5530">
        <v>-0.56838540000000004</v>
      </c>
      <c r="S5530">
        <v>2.6563110000000001</v>
      </c>
      <c r="T5530">
        <v>-0.22682769999999999</v>
      </c>
      <c r="U5530">
        <v>-1.593842</v>
      </c>
      <c r="V5530">
        <v>-0.23911250000000001</v>
      </c>
      <c r="W5530">
        <v>0.18476039999999999</v>
      </c>
      <c r="X5530">
        <v>0.95325170000000004</v>
      </c>
      <c r="Y5530">
        <v>-0.31126959999999998</v>
      </c>
      <c r="Z5530">
        <v>5.5181800000000003E-2</v>
      </c>
      <c r="AA5530">
        <v>0.94871819999999896</v>
      </c>
      <c r="AB5530">
        <v>20</v>
      </c>
      <c r="AC5530">
        <v>12.9839</v>
      </c>
      <c r="AD5530">
        <v>-1.114731369145</v>
      </c>
      <c r="AE5530">
        <v>-7.7577599999999904</v>
      </c>
      <c r="AF5530">
        <v>-4.7362568443154096</v>
      </c>
      <c r="AG5530">
        <v>-1.114731369145</v>
      </c>
      <c r="AH5530">
        <v>14.2782079504638</v>
      </c>
      <c r="AI5530">
        <v>94.237972864718898</v>
      </c>
      <c r="AJ5530">
        <v>108.35131639736299</v>
      </c>
      <c r="AK5530">
        <v>15.0844945953574</v>
      </c>
      <c r="AL5530">
        <v>79.352836461452995</v>
      </c>
      <c r="AM5530">
        <v>104.08146648333999</v>
      </c>
      <c r="AN5530">
        <v>0.99999999830865005</v>
      </c>
    </row>
    <row r="5531" spans="1:40" x14ac:dyDescent="0.25">
      <c r="A5531" t="str">
        <f>"20190304155213650"</f>
        <v>20190304155213650</v>
      </c>
      <c r="B5531" t="str">
        <f>"1551685933642088"</f>
        <v>1551685933642088</v>
      </c>
      <c r="C5531" t="s">
        <v>40</v>
      </c>
      <c r="D5531">
        <v>4.8349489999999999</v>
      </c>
      <c r="E5531">
        <v>0.46997090000000002</v>
      </c>
      <c r="F5531" t="s">
        <v>77</v>
      </c>
      <c r="G5531">
        <v>-401.59249999999997</v>
      </c>
      <c r="H5531" s="1">
        <v>-5.4223130000000003E-6</v>
      </c>
      <c r="I5531">
        <v>19.739360000000001</v>
      </c>
      <c r="J5531">
        <v>-414.6343</v>
      </c>
      <c r="K5531">
        <v>1.1147320000000001</v>
      </c>
      <c r="L5531">
        <v>27.47458</v>
      </c>
      <c r="M5531">
        <v>0.65673959999999998</v>
      </c>
      <c r="N5531">
        <v>-1.1888350000000001E-2</v>
      </c>
      <c r="O5531">
        <v>-0.75402389999999997</v>
      </c>
      <c r="P5531">
        <v>0.80631719999999996</v>
      </c>
      <c r="Q5531">
        <v>0.1756868</v>
      </c>
      <c r="R5531">
        <v>-0.56478930000000005</v>
      </c>
      <c r="S5531">
        <v>2.6606139999999998</v>
      </c>
      <c r="T5531">
        <v>-0.22602559999999999</v>
      </c>
      <c r="U5531">
        <v>-1.5856319999999999</v>
      </c>
      <c r="V5531">
        <v>-0.23899909999999999</v>
      </c>
      <c r="W5531">
        <v>0.1845743</v>
      </c>
      <c r="X5531">
        <v>0.95331619999999995</v>
      </c>
      <c r="Y5531">
        <v>-0.3097376</v>
      </c>
      <c r="Z5531">
        <v>5.4806729999999998E-2</v>
      </c>
      <c r="AA5531">
        <v>0.94924120000000001</v>
      </c>
      <c r="AB5531">
        <v>20</v>
      </c>
      <c r="AC5531">
        <v>13.0418</v>
      </c>
      <c r="AD5531">
        <v>-1.114737422313</v>
      </c>
      <c r="AE5531">
        <v>-7.7352199999999902</v>
      </c>
      <c r="AF5531">
        <v>-4.72858277979494</v>
      </c>
      <c r="AG5531">
        <v>-1.114737422313</v>
      </c>
      <c r="AH5531">
        <v>14.3212221989025</v>
      </c>
      <c r="AI5531">
        <v>94.227237452904106</v>
      </c>
      <c r="AJ5531">
        <v>108.27219576327199</v>
      </c>
      <c r="AK5531">
        <v>15.1228152106814</v>
      </c>
      <c r="AL5531">
        <v>79.363685924492302</v>
      </c>
      <c r="AM5531">
        <v>104.07413935270699</v>
      </c>
      <c r="AN5531">
        <v>1.00000000960187</v>
      </c>
    </row>
    <row r="5532" spans="1:40" x14ac:dyDescent="0.25">
      <c r="A5532" t="str">
        <f>"20190304155213662"</f>
        <v>20190304155213662</v>
      </c>
      <c r="B5532" t="str">
        <f>"1551685933652824"</f>
        <v>1551685933652824</v>
      </c>
      <c r="C5532" t="s">
        <v>40</v>
      </c>
      <c r="D5532">
        <v>4.823359</v>
      </c>
      <c r="E5532">
        <v>0.47024270000000001</v>
      </c>
      <c r="F5532" t="s">
        <v>77</v>
      </c>
      <c r="G5532">
        <v>-401.74299999999999</v>
      </c>
      <c r="H5532" s="1">
        <v>-5.3738369999999997E-6</v>
      </c>
      <c r="I5532">
        <v>19.861049999999999</v>
      </c>
      <c r="J5532">
        <v>-414.5609</v>
      </c>
      <c r="K5532">
        <v>1.114738</v>
      </c>
      <c r="L5532">
        <v>27.397549999999999</v>
      </c>
      <c r="M5532">
        <v>0.65991379999999999</v>
      </c>
      <c r="N5532">
        <v>-1.1863769999999999E-2</v>
      </c>
      <c r="O5532">
        <v>-0.75124760000000002</v>
      </c>
      <c r="P5532">
        <v>0.80888740000000003</v>
      </c>
      <c r="Q5532">
        <v>0.1753856</v>
      </c>
      <c r="R5532">
        <v>-0.56119619999999903</v>
      </c>
      <c r="S5532">
        <v>2.667389</v>
      </c>
      <c r="T5532">
        <v>-0.230655</v>
      </c>
      <c r="U5532">
        <v>-1.575348</v>
      </c>
      <c r="V5532">
        <v>-0.2392707</v>
      </c>
      <c r="W5532">
        <v>0.18424109999999999</v>
      </c>
      <c r="X5532">
        <v>0.95331250000000001</v>
      </c>
      <c r="Y5532">
        <v>-0.30942190000000003</v>
      </c>
      <c r="Z5532">
        <v>5.5947499999999997E-2</v>
      </c>
      <c r="AA5532">
        <v>0.94927760000000005</v>
      </c>
      <c r="AB5532">
        <v>20</v>
      </c>
      <c r="AC5532">
        <v>12.8178999999999</v>
      </c>
      <c r="AD5532">
        <v>-1.1147433738370001</v>
      </c>
      <c r="AE5532">
        <v>-7.5365000000000002</v>
      </c>
      <c r="AF5532">
        <v>-4.6302801565595404</v>
      </c>
      <c r="AG5532">
        <v>-1.1147433738370001</v>
      </c>
      <c r="AH5532">
        <v>14.0425563698278</v>
      </c>
      <c r="AI5532">
        <v>94.311406816745404</v>
      </c>
      <c r="AJ5532">
        <v>108.249041391259</v>
      </c>
      <c r="AK5532">
        <v>14.8282007174685</v>
      </c>
      <c r="AL5532">
        <v>79.383109758666095</v>
      </c>
      <c r="AM5532">
        <v>104.08954910931899</v>
      </c>
      <c r="AN5532">
        <v>0.99999998673197499</v>
      </c>
    </row>
    <row r="5533" spans="1:40" x14ac:dyDescent="0.25">
      <c r="A5533" t="str">
        <f>"20190304155213679"</f>
        <v>20190304155213679</v>
      </c>
      <c r="B5533" t="str">
        <f>"1551685933672344"</f>
        <v>1551685933672344</v>
      </c>
      <c r="C5533" t="s">
        <v>40</v>
      </c>
      <c r="D5533">
        <v>4.8282400000000001</v>
      </c>
      <c r="E5533">
        <v>0.47105829999999999</v>
      </c>
      <c r="F5533" t="s">
        <v>77</v>
      </c>
      <c r="G5533">
        <v>-401.61079999999998</v>
      </c>
      <c r="H5533" s="1">
        <v>-5.4272049999999998E-6</v>
      </c>
      <c r="I5533">
        <v>19.814900000000002</v>
      </c>
      <c r="J5533">
        <v>-414.464</v>
      </c>
      <c r="K5533">
        <v>1.114744</v>
      </c>
      <c r="L5533">
        <v>27.296779999999998</v>
      </c>
      <c r="M5533">
        <v>0.66407499999999997</v>
      </c>
      <c r="N5533">
        <v>-1.183377E-2</v>
      </c>
      <c r="O5533">
        <v>-0.74757220000000002</v>
      </c>
      <c r="P5533">
        <v>0.81232320000000002</v>
      </c>
      <c r="Q5533">
        <v>0.17448269999999999</v>
      </c>
      <c r="R5533">
        <v>-0.55649469999999901</v>
      </c>
      <c r="S5533">
        <v>2.6729129999999999</v>
      </c>
      <c r="T5533">
        <v>-0.2300837</v>
      </c>
      <c r="U5533">
        <v>-1.5650630000000001</v>
      </c>
      <c r="V5533">
        <v>-0.23964859999999999</v>
      </c>
      <c r="W5533">
        <v>0.1832995</v>
      </c>
      <c r="X5533">
        <v>0.95339910000000005</v>
      </c>
      <c r="Y5533">
        <v>-0.30773470000000003</v>
      </c>
      <c r="Z5533">
        <v>5.5595249999999999E-2</v>
      </c>
      <c r="AA5533">
        <v>0.94984659999999999</v>
      </c>
      <c r="AB5533">
        <v>20</v>
      </c>
      <c r="AC5533">
        <v>12.853199999999999</v>
      </c>
      <c r="AD5533">
        <v>-1.114749427205</v>
      </c>
      <c r="AE5533">
        <v>-7.4818799999999896</v>
      </c>
      <c r="AF5533">
        <v>-4.6145650009243004</v>
      </c>
      <c r="AG5533">
        <v>-1.114749427205</v>
      </c>
      <c r="AH5533">
        <v>14.0507837837389</v>
      </c>
      <c r="AI5533">
        <v>94.310587087409601</v>
      </c>
      <c r="AJ5533">
        <v>108.181238796515</v>
      </c>
      <c r="AK5533">
        <v>14.8310957575827</v>
      </c>
      <c r="AL5533">
        <v>79.4379943454596</v>
      </c>
      <c r="AM5533">
        <v>104.109683045422</v>
      </c>
      <c r="AN5533">
        <v>1.00000000103151</v>
      </c>
    </row>
    <row r="5534" spans="1:40" x14ac:dyDescent="0.25">
      <c r="A5534" t="str">
        <f>"20190304155213690"</f>
        <v>20190304155213690</v>
      </c>
      <c r="B5534" t="str">
        <f>"1551685933682105"</f>
        <v>1551685933682105</v>
      </c>
      <c r="C5534" t="s">
        <v>40</v>
      </c>
      <c r="D5534">
        <v>4.7636010000000004</v>
      </c>
      <c r="E5534">
        <v>0.47153200000000001</v>
      </c>
      <c r="F5534" t="s">
        <v>77</v>
      </c>
      <c r="G5534">
        <v>-401.45209999999997</v>
      </c>
      <c r="H5534" s="1">
        <v>-5.4883480000000001E-6</v>
      </c>
      <c r="I5534">
        <v>19.742999999999999</v>
      </c>
      <c r="J5534">
        <v>-414.39100000000002</v>
      </c>
      <c r="K5534">
        <v>1.1147499999999999</v>
      </c>
      <c r="L5534">
        <v>27.221499999999999</v>
      </c>
      <c r="M5534">
        <v>0.66718350000000004</v>
      </c>
      <c r="N5534">
        <v>-1.1812619999999999E-2</v>
      </c>
      <c r="O5534">
        <v>-0.74479989999999996</v>
      </c>
      <c r="P5534">
        <v>0.81474659999999999</v>
      </c>
      <c r="Q5534">
        <v>0.17389549999999901</v>
      </c>
      <c r="R5534">
        <v>-0.55312629999999996</v>
      </c>
      <c r="S5534">
        <v>2.677521</v>
      </c>
      <c r="T5534">
        <v>-0.22938790000000001</v>
      </c>
      <c r="U5534">
        <v>-1.5543819999999999</v>
      </c>
      <c r="V5534">
        <v>-0.2397164</v>
      </c>
      <c r="W5534">
        <v>0.18268809999999999</v>
      </c>
      <c r="X5534">
        <v>0.9534994</v>
      </c>
      <c r="Y5534">
        <v>-0.30732910000000002</v>
      </c>
      <c r="Z5534">
        <v>5.5304300000000001E-2</v>
      </c>
      <c r="AA5534">
        <v>0.94999489999999998</v>
      </c>
      <c r="AB5534">
        <v>20</v>
      </c>
      <c r="AC5534">
        <v>12.938899999999901</v>
      </c>
      <c r="AD5534">
        <v>-1.114755488348</v>
      </c>
      <c r="AE5534">
        <v>-7.4785000000000004</v>
      </c>
      <c r="AF5534">
        <v>-4.6219667136239799</v>
      </c>
      <c r="AG5534">
        <v>-1.114755488348</v>
      </c>
      <c r="AH5534">
        <v>14.125004408191501</v>
      </c>
      <c r="AI5534">
        <v>94.289564678608002</v>
      </c>
      <c r="AJ5534">
        <v>108.119068300799</v>
      </c>
      <c r="AK5534">
        <v>14.903724555696799</v>
      </c>
      <c r="AL5534">
        <v>79.473626660297001</v>
      </c>
      <c r="AM5534">
        <v>104.11209006993801</v>
      </c>
      <c r="AN5534">
        <v>1.0000000000554601</v>
      </c>
    </row>
    <row r="5535" spans="1:40" x14ac:dyDescent="0.25">
      <c r="A5535" t="str">
        <f>"20190304155213702"</f>
        <v>20190304155213702</v>
      </c>
      <c r="B5535" t="str">
        <f>"1551685933692840"</f>
        <v>1551685933692840</v>
      </c>
      <c r="C5535" t="s">
        <v>40</v>
      </c>
      <c r="D5535">
        <v>4.8436750000000002</v>
      </c>
      <c r="E5535">
        <v>0.471827</v>
      </c>
      <c r="F5535" t="s">
        <v>77</v>
      </c>
      <c r="G5535">
        <v>-401.51569999999998</v>
      </c>
      <c r="H5535" s="1">
        <v>-5.4684970000000004E-6</v>
      </c>
      <c r="I5535">
        <v>19.797809999999998</v>
      </c>
      <c r="J5535">
        <v>-414.31479999999999</v>
      </c>
      <c r="K5535">
        <v>1.114757</v>
      </c>
      <c r="L5535">
        <v>27.14377</v>
      </c>
      <c r="M5535">
        <v>0.67040409999999995</v>
      </c>
      <c r="N5535">
        <v>-1.179262E-2</v>
      </c>
      <c r="O5535">
        <v>-0.74190290000000003</v>
      </c>
      <c r="P5535">
        <v>0.81727799999999995</v>
      </c>
      <c r="Q5535">
        <v>0.17352200000000001</v>
      </c>
      <c r="R5535">
        <v>-0.54949729999999997</v>
      </c>
      <c r="S5535">
        <v>2.6818849999999999</v>
      </c>
      <c r="T5535">
        <v>-0.2321994</v>
      </c>
      <c r="U5535">
        <v>-1.5463260000000001</v>
      </c>
      <c r="V5535">
        <v>-0.23988490000000001</v>
      </c>
      <c r="W5535">
        <v>0.1822897</v>
      </c>
      <c r="X5535">
        <v>0.95353330000000003</v>
      </c>
      <c r="Y5535">
        <v>-0.30597410000000003</v>
      </c>
      <c r="Z5535">
        <v>5.5909069999999998E-2</v>
      </c>
      <c r="AA5535">
        <v>0.95039680000000004</v>
      </c>
      <c r="AB5535">
        <v>20</v>
      </c>
      <c r="AC5535">
        <v>12.799099999999999</v>
      </c>
      <c r="AD5535">
        <v>-1.1147624684969999</v>
      </c>
      <c r="AE5535">
        <v>-7.3459599999999901</v>
      </c>
      <c r="AF5535">
        <v>-4.5453077078536896</v>
      </c>
      <c r="AG5535">
        <v>-1.1147624684969999</v>
      </c>
      <c r="AH5535">
        <v>13.9519170269197</v>
      </c>
      <c r="AI5535">
        <v>94.344437783147498</v>
      </c>
      <c r="AJ5535">
        <v>108.044767270853</v>
      </c>
      <c r="AK5535">
        <v>14.7159269584453</v>
      </c>
      <c r="AL5535">
        <v>79.496843439554397</v>
      </c>
      <c r="AM5535">
        <v>104.12113094997601</v>
      </c>
      <c r="AN5535">
        <v>1.0000000270914899</v>
      </c>
    </row>
    <row r="5536" spans="1:40" x14ac:dyDescent="0.25">
      <c r="A5536" t="str">
        <f>"20190304155213714"</f>
        <v>20190304155213714</v>
      </c>
      <c r="B5536" t="str">
        <f>"1551685933702600"</f>
        <v>1551685933702600</v>
      </c>
      <c r="C5536" t="s">
        <v>40</v>
      </c>
      <c r="D5536">
        <v>4.7818969999999998</v>
      </c>
      <c r="E5536">
        <v>0.47205200000000003</v>
      </c>
      <c r="F5536" t="s">
        <v>77</v>
      </c>
      <c r="G5536">
        <v>-401.40690000000001</v>
      </c>
      <c r="H5536" s="1">
        <v>-5.513628E-6</v>
      </c>
      <c r="I5536">
        <v>19.766629999999999</v>
      </c>
      <c r="J5536">
        <v>-414.24630000000002</v>
      </c>
      <c r="K5536">
        <v>1.114762</v>
      </c>
      <c r="L5536">
        <v>27.074400000000001</v>
      </c>
      <c r="M5536">
        <v>0.67327859999999995</v>
      </c>
      <c r="N5536">
        <v>-1.1775880000000001E-2</v>
      </c>
      <c r="O5536">
        <v>-0.73929540000000005</v>
      </c>
      <c r="P5536">
        <v>0.81957099999999905</v>
      </c>
      <c r="Q5536">
        <v>0.17344899999999999</v>
      </c>
      <c r="R5536">
        <v>-0.54609459999999999</v>
      </c>
      <c r="S5536">
        <v>2.6873779999999998</v>
      </c>
      <c r="T5536">
        <v>-0.23208880000000001</v>
      </c>
      <c r="U5536">
        <v>-1.5358889999999901</v>
      </c>
      <c r="V5536">
        <v>-0.2401626</v>
      </c>
      <c r="W5536">
        <v>0.1821931</v>
      </c>
      <c r="X5536">
        <v>0.95348189999999999</v>
      </c>
      <c r="Y5536">
        <v>-0.30590339999999999</v>
      </c>
      <c r="Z5536">
        <v>5.5771080000000001E-2</v>
      </c>
      <c r="AA5536">
        <v>0.95042769999999999</v>
      </c>
      <c r="AB5536">
        <v>20</v>
      </c>
      <c r="AC5536">
        <v>12.839399999999999</v>
      </c>
      <c r="AD5536">
        <v>-1.114767513628</v>
      </c>
      <c r="AE5536">
        <v>-7.3077699999999997</v>
      </c>
      <c r="AF5536">
        <v>-4.54637381666645</v>
      </c>
      <c r="AG5536">
        <v>-1.114767513628</v>
      </c>
      <c r="AH5536">
        <v>13.968530131007601</v>
      </c>
      <c r="AI5536">
        <v>94.339706143914199</v>
      </c>
      <c r="AJ5536">
        <v>108.02864930221899</v>
      </c>
      <c r="AK5536">
        <v>14.7320078574232</v>
      </c>
      <c r="AL5536">
        <v>79.502472898963006</v>
      </c>
      <c r="AM5536">
        <v>104.13755457525799</v>
      </c>
      <c r="AN5536">
        <v>1.00000006687698</v>
      </c>
    </row>
    <row r="5537" spans="1:40" x14ac:dyDescent="0.25">
      <c r="A5537" t="str">
        <f>"20190304155213725"</f>
        <v>20190304155213725</v>
      </c>
      <c r="B5537" t="str">
        <f>"1551685933722120"</f>
        <v>1551685933722120</v>
      </c>
      <c r="C5537" t="s">
        <v>40</v>
      </c>
      <c r="D5537">
        <v>4.8326180000000001</v>
      </c>
      <c r="E5537">
        <v>0.47268880000000002</v>
      </c>
      <c r="F5537" t="s">
        <v>77</v>
      </c>
      <c r="G5537">
        <v>-401.47059999999999</v>
      </c>
      <c r="H5537" s="1">
        <v>-5.4957370000000001E-6</v>
      </c>
      <c r="I5537">
        <v>19.832909999999998</v>
      </c>
      <c r="J5537">
        <v>-414.17509999999999</v>
      </c>
      <c r="K5537">
        <v>1.114768</v>
      </c>
      <c r="L5537">
        <v>27.002839999999999</v>
      </c>
      <c r="M5537">
        <v>0.67624530000000005</v>
      </c>
      <c r="N5537">
        <v>-1.1759439999999999E-2</v>
      </c>
      <c r="O5537">
        <v>-0.73658279999999998</v>
      </c>
      <c r="P5537">
        <v>0.82193240000000001</v>
      </c>
      <c r="Q5537">
        <v>0.17326720000000001</v>
      </c>
      <c r="R5537">
        <v>-0.54259179999999996</v>
      </c>
      <c r="S5537">
        <v>2.693085</v>
      </c>
      <c r="T5537">
        <v>-0.23499039999999999</v>
      </c>
      <c r="U5537">
        <v>-1.526489</v>
      </c>
      <c r="V5537">
        <v>-0.24042820000000001</v>
      </c>
      <c r="W5537">
        <v>0.18198909999999999</v>
      </c>
      <c r="X5537">
        <v>0.95345380000000002</v>
      </c>
      <c r="Y5537">
        <v>-0.30540469999999997</v>
      </c>
      <c r="Z5537">
        <v>5.6414140000000002E-2</v>
      </c>
      <c r="AA5537">
        <v>0.95055009999999995</v>
      </c>
      <c r="AB5537">
        <v>20</v>
      </c>
      <c r="AC5537">
        <v>12.7044999999999</v>
      </c>
      <c r="AD5537">
        <v>-1.1147734957369999</v>
      </c>
      <c r="AE5537">
        <v>-7.1699299999999999</v>
      </c>
      <c r="AF5537">
        <v>-4.4834150903750896</v>
      </c>
      <c r="AG5537">
        <v>-1.1147734957369999</v>
      </c>
      <c r="AH5537">
        <v>13.7930188157942</v>
      </c>
      <c r="AI5537">
        <v>94.395280597505803</v>
      </c>
      <c r="AJ5537">
        <v>108.006731347805</v>
      </c>
      <c r="AK5537">
        <v>14.5461712788023</v>
      </c>
      <c r="AL5537">
        <v>79.514358733058302</v>
      </c>
      <c r="AM5537">
        <v>104.152961963026</v>
      </c>
      <c r="AN5537">
        <v>0.99999995030424305</v>
      </c>
    </row>
    <row r="5538" spans="1:40" x14ac:dyDescent="0.25">
      <c r="A5538" t="str">
        <f>"20190304155213737"</f>
        <v>20190304155213737</v>
      </c>
      <c r="B5538" t="str">
        <f>"1551685933732856"</f>
        <v>1551685933732856</v>
      </c>
      <c r="C5538" t="s">
        <v>40</v>
      </c>
      <c r="D5538">
        <v>4.8087749999999998</v>
      </c>
      <c r="E5538">
        <v>0.4730509</v>
      </c>
      <c r="F5538" t="s">
        <v>77</v>
      </c>
      <c r="G5538">
        <v>-401.31599999999997</v>
      </c>
      <c r="H5538" s="1">
        <v>-5.5546829999999997E-6</v>
      </c>
      <c r="I5538">
        <v>19.759460000000001</v>
      </c>
      <c r="J5538">
        <v>-414.0992</v>
      </c>
      <c r="K5538">
        <v>1.1147640000000001</v>
      </c>
      <c r="L5538">
        <v>26.927309999999999</v>
      </c>
      <c r="M5538">
        <v>0.67938569999999998</v>
      </c>
      <c r="N5538">
        <v>-1.174381E-2</v>
      </c>
      <c r="O5538">
        <v>-0.73368739999999999</v>
      </c>
      <c r="P5538">
        <v>0.82440659999999899</v>
      </c>
      <c r="Q5538">
        <v>0.17291960000000001</v>
      </c>
      <c r="R5538">
        <v>-0.53893659999999999</v>
      </c>
      <c r="S5538">
        <v>2.6965330000000001</v>
      </c>
      <c r="T5538">
        <v>-0.23376559999999999</v>
      </c>
      <c r="U5538">
        <v>-1.518921</v>
      </c>
      <c r="V5538">
        <v>-0.24064179999999999</v>
      </c>
      <c r="W5538">
        <v>0.18162059999999999</v>
      </c>
      <c r="X5538">
        <v>0.95347020000000005</v>
      </c>
      <c r="Y5538">
        <v>-0.30391020000000002</v>
      </c>
      <c r="Z5538">
        <v>5.5918500000000003E-2</v>
      </c>
      <c r="AA5538">
        <v>0.95105819999999996</v>
      </c>
      <c r="AB5538">
        <v>20</v>
      </c>
      <c r="AC5538">
        <v>12.783200000000001</v>
      </c>
      <c r="AD5538">
        <v>-1.1147695546830001</v>
      </c>
      <c r="AE5538">
        <v>-7.1678499999999898</v>
      </c>
      <c r="AF5538">
        <v>-4.4835083944091796</v>
      </c>
      <c r="AG5538">
        <v>-1.1147695546830001</v>
      </c>
      <c r="AH5538">
        <v>13.864429698429801</v>
      </c>
      <c r="AI5538">
        <v>94.374846020601098</v>
      </c>
      <c r="AJ5538">
        <v>107.920278852615</v>
      </c>
      <c r="AK5538">
        <v>14.6139306671918</v>
      </c>
      <c r="AL5538">
        <v>79.535830267836801</v>
      </c>
      <c r="AM5538">
        <v>104.16479592231801</v>
      </c>
      <c r="AN5538">
        <v>0.99999997026981902</v>
      </c>
    </row>
    <row r="5539" spans="1:40" x14ac:dyDescent="0.25">
      <c r="A5539" t="str">
        <f>"20190304155213749"</f>
        <v>20190304155213749</v>
      </c>
      <c r="B5539" t="str">
        <f>"1551685933742616"</f>
        <v>1551685933742616</v>
      </c>
      <c r="C5539" t="s">
        <v>40</v>
      </c>
      <c r="D5539">
        <v>4.8013490000000001</v>
      </c>
      <c r="E5539">
        <v>0.47333150000000002</v>
      </c>
      <c r="F5539" t="s">
        <v>77</v>
      </c>
      <c r="G5539">
        <v>-401.25630000000001</v>
      </c>
      <c r="H5539" s="1">
        <v>-5.5813000000000002E-6</v>
      </c>
      <c r="I5539">
        <v>19.752870000000001</v>
      </c>
      <c r="J5539">
        <v>-414.02350000000001</v>
      </c>
      <c r="K5539">
        <v>1.114768</v>
      </c>
      <c r="L5539">
        <v>26.85239</v>
      </c>
      <c r="M5539">
        <v>0.68249700000000002</v>
      </c>
      <c r="N5539">
        <v>-1.172895E-2</v>
      </c>
      <c r="O5539">
        <v>-0.73079459999999996</v>
      </c>
      <c r="P5539">
        <v>0.82680049999999905</v>
      </c>
      <c r="Q5539">
        <v>0.17286279999999901</v>
      </c>
      <c r="R5539">
        <v>-0.53527550000000002</v>
      </c>
      <c r="S5539">
        <v>2.7015690000000001</v>
      </c>
      <c r="T5539">
        <v>-0.2344987</v>
      </c>
      <c r="U5539">
        <v>-1.5091859999999999</v>
      </c>
      <c r="V5539">
        <v>-0.2408303</v>
      </c>
      <c r="W5539">
        <v>0.1815437</v>
      </c>
      <c r="X5539">
        <v>0.95343730000000004</v>
      </c>
      <c r="Y5539">
        <v>-0.30322139999999997</v>
      </c>
      <c r="Z5539">
        <v>5.5968810000000001E-2</v>
      </c>
      <c r="AA5539">
        <v>0.95127510000000004</v>
      </c>
      <c r="AB5539">
        <v>20</v>
      </c>
      <c r="AC5539">
        <v>12.767200000000001</v>
      </c>
      <c r="AD5539">
        <v>-1.1147735812999999</v>
      </c>
      <c r="AE5539">
        <v>-7.0995200000000001</v>
      </c>
      <c r="AF5539">
        <v>-4.4591402375472002</v>
      </c>
      <c r="AG5539">
        <v>-1.1147735812999999</v>
      </c>
      <c r="AH5539">
        <v>13.822327987968601</v>
      </c>
      <c r="AI5539">
        <v>94.389129952452606</v>
      </c>
      <c r="AJ5539">
        <v>107.87991588223301</v>
      </c>
      <c r="AK5539">
        <v>14.566516495121901</v>
      </c>
      <c r="AL5539">
        <v>79.540311290073802</v>
      </c>
      <c r="AM5539">
        <v>104.175913841484</v>
      </c>
      <c r="AN5539">
        <v>1.00000001671953</v>
      </c>
    </row>
    <row r="5540" spans="1:40" x14ac:dyDescent="0.25">
      <c r="A5540" t="str">
        <f>"20190304155213765"</f>
        <v>20190304155213765</v>
      </c>
      <c r="B5540" t="str">
        <f>"1551685933762137"</f>
        <v>1551685933762137</v>
      </c>
      <c r="C5540" t="s">
        <v>40</v>
      </c>
      <c r="D5540">
        <v>4.7501759999999997</v>
      </c>
      <c r="E5540">
        <v>0.47389039999999999</v>
      </c>
      <c r="F5540" t="s">
        <v>77</v>
      </c>
      <c r="G5540">
        <v>-401.13060000000002</v>
      </c>
      <c r="H5540" s="1">
        <v>-5.632844E-6</v>
      </c>
      <c r="I5540">
        <v>19.713439999999999</v>
      </c>
      <c r="J5540">
        <v>-413.92329999999998</v>
      </c>
      <c r="K5540">
        <v>1.114771</v>
      </c>
      <c r="L5540">
        <v>26.754460000000002</v>
      </c>
      <c r="M5540">
        <v>0.68657409999999996</v>
      </c>
      <c r="N5540">
        <v>-1.1711589999999999E-2</v>
      </c>
      <c r="O5540">
        <v>-0.72696559999999999</v>
      </c>
      <c r="P5540">
        <v>0.82991340000000002</v>
      </c>
      <c r="Q5540">
        <v>0.1728489</v>
      </c>
      <c r="R5540">
        <v>-0.53044040000000003</v>
      </c>
      <c r="S5540">
        <v>2.707001</v>
      </c>
      <c r="T5540">
        <v>-0.23405909999999999</v>
      </c>
      <c r="U5540">
        <v>-1.498901</v>
      </c>
      <c r="V5540">
        <v>-0.241067</v>
      </c>
      <c r="W5540">
        <v>0.18150659999999999</v>
      </c>
      <c r="X5540">
        <v>0.95338449999999997</v>
      </c>
      <c r="Y5540">
        <v>-0.30148330000000001</v>
      </c>
      <c r="Z5540">
        <v>5.562193E-2</v>
      </c>
      <c r="AA5540">
        <v>0.95184769999999996</v>
      </c>
      <c r="AB5540">
        <v>20</v>
      </c>
      <c r="AC5540">
        <v>12.7926999999999</v>
      </c>
      <c r="AD5540">
        <v>-1.1147766328440001</v>
      </c>
      <c r="AE5540">
        <v>-7.0410199999999996</v>
      </c>
      <c r="AF5540">
        <v>-4.44009936720611</v>
      </c>
      <c r="AG5540">
        <v>-1.1147766328440001</v>
      </c>
      <c r="AH5540">
        <v>13.8221112841359</v>
      </c>
      <c r="AI5540">
        <v>94.390961148752595</v>
      </c>
      <c r="AJ5540">
        <v>107.808661169313</v>
      </c>
      <c r="AK5540">
        <v>14.5604934560212</v>
      </c>
      <c r="AL5540">
        <v>79.542472429814495</v>
      </c>
      <c r="AM5540">
        <v>104.19003825649099</v>
      </c>
      <c r="AN5540">
        <v>0.99999997458640399</v>
      </c>
    </row>
    <row r="5541" spans="1:40" x14ac:dyDescent="0.25">
      <c r="A5541" t="str">
        <f>"20190304155213781"</f>
        <v>20190304155213781</v>
      </c>
      <c r="B5541" t="str">
        <f>"1551685933772873"</f>
        <v>1551685933772873</v>
      </c>
      <c r="C5541" t="s">
        <v>40</v>
      </c>
      <c r="D5541">
        <v>4.8422159999999996</v>
      </c>
      <c r="E5541">
        <v>0.4742671</v>
      </c>
      <c r="F5541" t="s">
        <v>77</v>
      </c>
      <c r="G5541">
        <v>-401.08699999999999</v>
      </c>
      <c r="H5541" s="1">
        <v>-5.6540560000000003E-6</v>
      </c>
      <c r="I5541">
        <v>19.71855</v>
      </c>
      <c r="J5541">
        <v>-413.82600000000002</v>
      </c>
      <c r="K5541">
        <v>1.114768</v>
      </c>
      <c r="L5541">
        <v>26.660520000000002</v>
      </c>
      <c r="M5541">
        <v>0.69049090000000002</v>
      </c>
      <c r="N5541">
        <v>-1.169656E-2</v>
      </c>
      <c r="O5541">
        <v>-0.72324639999999996</v>
      </c>
      <c r="P5541">
        <v>0.83301990000000004</v>
      </c>
      <c r="Q5541">
        <v>0.17244319999999999</v>
      </c>
      <c r="R5541">
        <v>-0.52568139999999997</v>
      </c>
      <c r="S5541">
        <v>2.7133180000000001</v>
      </c>
      <c r="T5541">
        <v>-0.2356405</v>
      </c>
      <c r="U5541">
        <v>-1.487244</v>
      </c>
      <c r="V5541">
        <v>-0.24143410000000001</v>
      </c>
      <c r="W5541">
        <v>0.18107899999999999</v>
      </c>
      <c r="X5541">
        <v>0.95337300000000003</v>
      </c>
      <c r="Y5541">
        <v>-0.30039159999999998</v>
      </c>
      <c r="Z5541">
        <v>5.583519E-2</v>
      </c>
      <c r="AA5541">
        <v>0.95218029999999998</v>
      </c>
      <c r="AB5541">
        <v>20</v>
      </c>
      <c r="AC5541">
        <v>12.7389999999999</v>
      </c>
      <c r="AD5541">
        <v>-1.114773654056</v>
      </c>
      <c r="AE5541">
        <v>-6.9419700000000004</v>
      </c>
      <c r="AF5541">
        <v>-4.3944249902078099</v>
      </c>
      <c r="AG5541">
        <v>-1.114773654056</v>
      </c>
      <c r="AH5541">
        <v>13.736757167167999</v>
      </c>
      <c r="AI5541">
        <v>94.419825594142907</v>
      </c>
      <c r="AJ5541">
        <v>107.739611731389</v>
      </c>
      <c r="AK5541">
        <v>14.4655517960457</v>
      </c>
      <c r="AL5541">
        <v>79.567385754182098</v>
      </c>
      <c r="AM5541">
        <v>104.210936773772</v>
      </c>
      <c r="AN5541">
        <v>1.0000000530063999</v>
      </c>
    </row>
    <row r="5542" spans="1:40" x14ac:dyDescent="0.25">
      <c r="A5542" t="str">
        <f>"20190304155213802"</f>
        <v>20190304155213802</v>
      </c>
      <c r="B5542" t="str">
        <f>"1551685933792392"</f>
        <v>1551685933792392</v>
      </c>
      <c r="C5542" t="s">
        <v>40</v>
      </c>
      <c r="D5542">
        <v>4.9857940000000003</v>
      </c>
      <c r="E5542">
        <v>0.47469810000000001</v>
      </c>
      <c r="F5542" t="s">
        <v>77</v>
      </c>
      <c r="G5542">
        <v>-400.9966</v>
      </c>
      <c r="H5542" s="1">
        <v>-5.6941699999999899E-6</v>
      </c>
      <c r="I5542">
        <v>19.707409999999999</v>
      </c>
      <c r="J5542">
        <v>-413.68610000000001</v>
      </c>
      <c r="K5542">
        <v>1.114781</v>
      </c>
      <c r="L5542">
        <v>26.52692</v>
      </c>
      <c r="M5542">
        <v>0.6960655</v>
      </c>
      <c r="N5542">
        <v>-1.16773E-2</v>
      </c>
      <c r="O5542">
        <v>-0.71788369999999901</v>
      </c>
      <c r="P5542">
        <v>0.83702299999999996</v>
      </c>
      <c r="Q5542">
        <v>0.17235980000000001</v>
      </c>
      <c r="R5542">
        <v>-0.5193122</v>
      </c>
      <c r="S5542">
        <v>2.7200009999999999</v>
      </c>
      <c r="T5542">
        <v>-0.23634649999999999</v>
      </c>
      <c r="U5542">
        <v>-1.4741519999999999</v>
      </c>
      <c r="V5542">
        <v>-0.24134610000000001</v>
      </c>
      <c r="W5542">
        <v>0.18097389999999999</v>
      </c>
      <c r="X5542">
        <v>0.95341520000000002</v>
      </c>
      <c r="Y5542">
        <v>-0.29753639999999998</v>
      </c>
      <c r="Z5542">
        <v>5.5679159999999998E-2</v>
      </c>
      <c r="AA5542">
        <v>0.95308550000000003</v>
      </c>
      <c r="AB5542">
        <v>20</v>
      </c>
      <c r="AC5542">
        <v>12.689500000000001</v>
      </c>
      <c r="AD5542">
        <v>-1.11478669417</v>
      </c>
      <c r="AE5542">
        <v>-6.8195100000000002</v>
      </c>
      <c r="AF5542">
        <v>-4.3370840462415101</v>
      </c>
      <c r="AG5542">
        <v>-1.11478669417</v>
      </c>
      <c r="AH5542">
        <v>13.647544801212399</v>
      </c>
      <c r="AI5542">
        <v>94.451360825622004</v>
      </c>
      <c r="AJ5542">
        <v>107.62985360843599</v>
      </c>
      <c r="AK5542">
        <v>14.3634441029567</v>
      </c>
      <c r="AL5542">
        <v>79.573508333461305</v>
      </c>
      <c r="AM5542">
        <v>104.205363439709</v>
      </c>
      <c r="AN5542">
        <v>1.0000000180287201</v>
      </c>
    </row>
    <row r="5543" spans="1:40" x14ac:dyDescent="0.25">
      <c r="A5543" t="str">
        <f>"20190304155213816"</f>
        <v>20190304155213816</v>
      </c>
      <c r="B5543" t="str">
        <f>"1551685933812888"</f>
        <v>1551685933812888</v>
      </c>
      <c r="C5543" t="s">
        <v>40</v>
      </c>
      <c r="D5543">
        <v>4.8124690000000001</v>
      </c>
      <c r="E5543">
        <v>0.4902784</v>
      </c>
      <c r="F5543" t="s">
        <v>77</v>
      </c>
      <c r="G5543">
        <v>-400.80439999999999</v>
      </c>
      <c r="H5543" s="1">
        <v>-5.7745140000000003E-6</v>
      </c>
      <c r="I5543">
        <v>19.655519999999999</v>
      </c>
      <c r="J5543">
        <v>-413.59879999999998</v>
      </c>
      <c r="K5543">
        <v>1.1147849999999999</v>
      </c>
      <c r="L5543">
        <v>26.444610000000001</v>
      </c>
      <c r="M5543">
        <v>0.69950669999999904</v>
      </c>
      <c r="N5543">
        <v>-1.1666889999999999E-2</v>
      </c>
      <c r="O5543">
        <v>-0.71453080000000002</v>
      </c>
      <c r="P5543">
        <v>0.83944339999999995</v>
      </c>
      <c r="Q5543">
        <v>0.172322</v>
      </c>
      <c r="R5543">
        <v>-0.5154029</v>
      </c>
      <c r="S5543">
        <v>2.729492</v>
      </c>
      <c r="T5543">
        <v>-0.23620949999999999</v>
      </c>
      <c r="U5543">
        <v>-1.4559629999999999</v>
      </c>
      <c r="V5543">
        <v>-0.2412183</v>
      </c>
      <c r="W5543">
        <v>0.18092469999999999</v>
      </c>
      <c r="X5543">
        <v>0.95345690000000005</v>
      </c>
      <c r="Y5543">
        <v>-0.29927300000000001</v>
      </c>
      <c r="Z5543">
        <v>5.5541729999999997E-2</v>
      </c>
      <c r="AA5543">
        <v>0.9525496</v>
      </c>
      <c r="AB5543">
        <v>20</v>
      </c>
      <c r="AC5543">
        <v>12.7943999999999</v>
      </c>
      <c r="AD5543">
        <v>-1.114790774514</v>
      </c>
      <c r="AE5543">
        <v>-6.7890899999999901</v>
      </c>
      <c r="AF5543">
        <v>-4.3674059976014599</v>
      </c>
      <c r="AG5543">
        <v>-1.114790774514</v>
      </c>
      <c r="AH5543">
        <v>13.720443686000699</v>
      </c>
      <c r="AI5543">
        <v>94.4271562325048</v>
      </c>
      <c r="AJ5543">
        <v>107.656988605408</v>
      </c>
      <c r="AK5543">
        <v>14.441868596533601</v>
      </c>
      <c r="AL5543">
        <v>79.576374808658102</v>
      </c>
      <c r="AM5543">
        <v>104.197549676444</v>
      </c>
      <c r="AN5543">
        <v>1.0000000377412901</v>
      </c>
    </row>
    <row r="5544" spans="1:40" x14ac:dyDescent="0.25">
      <c r="A5544" t="str">
        <f>"20190304155213835"</f>
        <v>20190304155213835</v>
      </c>
      <c r="B5544" t="str">
        <f>"1551685933832408"</f>
        <v>1551685933832408</v>
      </c>
      <c r="C5544" t="s">
        <v>40</v>
      </c>
      <c r="D5544">
        <v>4.7884890000000002</v>
      </c>
      <c r="E5544">
        <v>0.49143740000000002</v>
      </c>
      <c r="F5544" t="s">
        <v>41</v>
      </c>
      <c r="G5544">
        <v>-399.74419999999998</v>
      </c>
      <c r="H5544" s="1">
        <v>-4.0355370000000001E-7</v>
      </c>
      <c r="I5544">
        <v>18.409479999999999</v>
      </c>
      <c r="J5544">
        <v>-413.47190000000001</v>
      </c>
      <c r="K5544">
        <v>1.1147899999999999</v>
      </c>
      <c r="L5544">
        <v>26.32639</v>
      </c>
      <c r="M5544">
        <v>0.70445530000000001</v>
      </c>
      <c r="N5544">
        <v>-1.165357E-2</v>
      </c>
      <c r="O5544">
        <v>-0.70965290000000003</v>
      </c>
      <c r="P5544">
        <v>0.84289799999999904</v>
      </c>
      <c r="Q5544">
        <v>0.17249729999999999</v>
      </c>
      <c r="R5544">
        <v>-0.50967479999999998</v>
      </c>
      <c r="S5544">
        <v>2.6678769999999998</v>
      </c>
      <c r="T5544">
        <v>-0.21466660000000001</v>
      </c>
      <c r="U5544">
        <v>-1.547272</v>
      </c>
      <c r="V5544">
        <v>-0.24106469999999999</v>
      </c>
      <c r="W5544">
        <v>0.1810841</v>
      </c>
      <c r="X5544">
        <v>0.95346549999999997</v>
      </c>
      <c r="Y5544">
        <v>-0.25897199999999998</v>
      </c>
      <c r="Z5544">
        <v>4.8584519999999999E-2</v>
      </c>
      <c r="AA5544">
        <v>0.96466209999999997</v>
      </c>
      <c r="AB5544">
        <v>20</v>
      </c>
      <c r="AC5544">
        <v>13.7277</v>
      </c>
      <c r="AD5544">
        <v>-1.1147904035537</v>
      </c>
      <c r="AE5544">
        <v>-7.9169099999999997</v>
      </c>
      <c r="AF5544">
        <v>-4.1445648018979098</v>
      </c>
      <c r="AG5544">
        <v>-1.1147904035537</v>
      </c>
      <c r="AH5544">
        <v>15.2145524985814</v>
      </c>
      <c r="AI5544">
        <v>94.043811669013905</v>
      </c>
      <c r="AJ5544">
        <v>105.238087222017</v>
      </c>
      <c r="AK5544">
        <v>15.808313723262</v>
      </c>
      <c r="AL5544">
        <v>79.567088604932394</v>
      </c>
      <c r="AM5544">
        <v>104.188751545701</v>
      </c>
      <c r="AN5544">
        <v>1.0000000502745701</v>
      </c>
    </row>
    <row r="5545" spans="1:40" x14ac:dyDescent="0.25">
      <c r="A5545" t="str">
        <f>"20190304155213846"</f>
        <v>20190304155213846</v>
      </c>
      <c r="B5545" t="str">
        <f>"1551685933842169"</f>
        <v>1551685933842169</v>
      </c>
      <c r="C5545" t="s">
        <v>40</v>
      </c>
      <c r="D5545">
        <v>4.8156150000000002</v>
      </c>
      <c r="E5545">
        <v>0.4916758</v>
      </c>
      <c r="F5545" t="s">
        <v>41</v>
      </c>
      <c r="G5545">
        <v>-399.7697</v>
      </c>
      <c r="H5545" s="1">
        <v>-3.8375529999999999E-7</v>
      </c>
      <c r="I5545">
        <v>18.447089999999999</v>
      </c>
      <c r="J5545">
        <v>-413.39699999999999</v>
      </c>
      <c r="K5545">
        <v>1.114795</v>
      </c>
      <c r="L5545">
        <v>26.25723</v>
      </c>
      <c r="M5545">
        <v>0.70734859999999999</v>
      </c>
      <c r="N5545">
        <v>-1.1646419999999999E-2</v>
      </c>
      <c r="O5545">
        <v>-0.70676930000000004</v>
      </c>
      <c r="P5545">
        <v>0.84476669999999998</v>
      </c>
      <c r="Q5545">
        <v>0.1723914</v>
      </c>
      <c r="R5545">
        <v>-0.50660709999999998</v>
      </c>
      <c r="S5545">
        <v>2.67395</v>
      </c>
      <c r="T5545">
        <v>-0.2175491</v>
      </c>
      <c r="U5545">
        <v>-1.537628</v>
      </c>
      <c r="V5545">
        <v>-0.24065139999999999</v>
      </c>
      <c r="W5545">
        <v>0.18097440000000001</v>
      </c>
      <c r="X5545">
        <v>0.95359070000000001</v>
      </c>
      <c r="Y5545">
        <v>-0.25854850000000001</v>
      </c>
      <c r="Z5545">
        <v>4.9176530000000003E-2</v>
      </c>
      <c r="AA5545">
        <v>0.96474579999999999</v>
      </c>
      <c r="AB5545">
        <v>20</v>
      </c>
      <c r="AC5545">
        <v>13.6272999999999</v>
      </c>
      <c r="AD5545">
        <v>-1.1147953837553</v>
      </c>
      <c r="AE5545">
        <v>-7.8101399999999996</v>
      </c>
      <c r="AF5545">
        <v>-4.0865569763170102</v>
      </c>
      <c r="AG5545">
        <v>-1.1147953837553</v>
      </c>
      <c r="AH5545">
        <v>15.084255461214999</v>
      </c>
      <c r="AI5545">
        <v>94.080177870086402</v>
      </c>
      <c r="AJ5545">
        <v>105.158448258013</v>
      </c>
      <c r="AK5545">
        <v>15.667720941078899</v>
      </c>
      <c r="AL5545">
        <v>79.573479293398805</v>
      </c>
      <c r="AM5545">
        <v>104.16362030221499</v>
      </c>
      <c r="AN5545">
        <v>1.0000000264519</v>
      </c>
    </row>
    <row r="5546" spans="1:40" x14ac:dyDescent="0.25">
      <c r="A5546" t="str">
        <f>"20190304155213857"</f>
        <v>20190304155213857</v>
      </c>
      <c r="B5546" t="str">
        <f>"1551685933852905"</f>
        <v>1551685933852905</v>
      </c>
      <c r="C5546" t="s">
        <v>40</v>
      </c>
      <c r="D5546">
        <v>4.8042069999999999</v>
      </c>
      <c r="E5546">
        <v>0.49145929999999999</v>
      </c>
      <c r="F5546" t="s">
        <v>41</v>
      </c>
      <c r="G5546">
        <v>-399.46319999999997</v>
      </c>
      <c r="H5546" s="1">
        <v>-5.4027560000000004E-7</v>
      </c>
      <c r="I5546">
        <v>18.301179999999999</v>
      </c>
      <c r="J5546">
        <v>-413.32319999999999</v>
      </c>
      <c r="K5546">
        <v>1.1147990000000001</v>
      </c>
      <c r="L5546">
        <v>26.19</v>
      </c>
      <c r="M5546">
        <v>0.71017369999999902</v>
      </c>
      <c r="N5546">
        <v>-1.164043E-2</v>
      </c>
      <c r="O5546">
        <v>-0.70393019999999995</v>
      </c>
      <c r="P5546">
        <v>0.84661019999999898</v>
      </c>
      <c r="Q5546">
        <v>0.17237429999999901</v>
      </c>
      <c r="R5546">
        <v>-0.50352580000000002</v>
      </c>
      <c r="S5546">
        <v>2.6779480000000002</v>
      </c>
      <c r="T5546">
        <v>-0.2142539</v>
      </c>
      <c r="U5546">
        <v>-1.529083</v>
      </c>
      <c r="V5546">
        <v>-0.24030989999999999</v>
      </c>
      <c r="W5546">
        <v>0.18095330000000001</v>
      </c>
      <c r="X5546">
        <v>0.9536808</v>
      </c>
      <c r="Y5546">
        <v>-0.25767590000000001</v>
      </c>
      <c r="Z5546">
        <v>4.8183709999999998E-2</v>
      </c>
      <c r="AA5546">
        <v>0.96502920000000003</v>
      </c>
      <c r="AB5546">
        <v>20</v>
      </c>
      <c r="AC5546">
        <v>13.86</v>
      </c>
      <c r="AD5546">
        <v>-1.1147995402755999</v>
      </c>
      <c r="AE5546">
        <v>-7.8888199999999999</v>
      </c>
      <c r="AF5546">
        <v>-4.1341206882835202</v>
      </c>
      <c r="AG5546">
        <v>-1.1147995402755999</v>
      </c>
      <c r="AH5546">
        <v>15.322358543146199</v>
      </c>
      <c r="AI5546">
        <v>94.018113268398494</v>
      </c>
      <c r="AJ5546">
        <v>105.099411144469</v>
      </c>
      <c r="AK5546">
        <v>15.9093809812016</v>
      </c>
      <c r="AL5546">
        <v>79.574708319543802</v>
      </c>
      <c r="AM5546">
        <v>104.143045761739</v>
      </c>
      <c r="AN5546">
        <v>1.00000000655377</v>
      </c>
    </row>
    <row r="5547" spans="1:40" x14ac:dyDescent="0.25">
      <c r="A5547" t="str">
        <f>"20190304155213870"</f>
        <v>20190304155213870</v>
      </c>
      <c r="B5547" t="str">
        <f>"1551685933862666"</f>
        <v>1551685933862666</v>
      </c>
      <c r="C5547" t="s">
        <v>40</v>
      </c>
      <c r="D5547">
        <v>4.8299329999999996</v>
      </c>
      <c r="E5547">
        <v>0.49195650000000002</v>
      </c>
      <c r="F5547" t="s">
        <v>41</v>
      </c>
      <c r="G5547">
        <v>-399.29680000000002</v>
      </c>
      <c r="H5547" s="1">
        <v>-6.1526940000000002E-7</v>
      </c>
      <c r="I5547">
        <v>18.25957</v>
      </c>
      <c r="J5547">
        <v>-413.24029999999999</v>
      </c>
      <c r="K5547">
        <v>1.1148049999999901</v>
      </c>
      <c r="L5547">
        <v>26.114840000000001</v>
      </c>
      <c r="M5547">
        <v>0.71332709999999999</v>
      </c>
      <c r="N5547">
        <v>-1.1634E-2</v>
      </c>
      <c r="O5547">
        <v>-0.70073490000000005</v>
      </c>
      <c r="P5547">
        <v>0.84855650000000005</v>
      </c>
      <c r="Q5547">
        <v>0.17250929999999901</v>
      </c>
      <c r="R5547">
        <v>-0.50019259999999999</v>
      </c>
      <c r="S5547">
        <v>2.684326</v>
      </c>
      <c r="T5547">
        <v>-0.2133467</v>
      </c>
      <c r="U5547">
        <v>-1.5177</v>
      </c>
      <c r="V5547">
        <v>-0.23976230000000001</v>
      </c>
      <c r="W5547">
        <v>0.181086</v>
      </c>
      <c r="X5547">
        <v>0.95379340000000001</v>
      </c>
      <c r="Y5547">
        <v>-0.25744</v>
      </c>
      <c r="Z5547">
        <v>4.7798479999999997E-2</v>
      </c>
      <c r="AA5547">
        <v>0.96511139999999995</v>
      </c>
      <c r="AB5547">
        <v>20</v>
      </c>
      <c r="AC5547">
        <v>13.943499999999901</v>
      </c>
      <c r="AD5547">
        <v>-1.1148056152693999</v>
      </c>
      <c r="AE5547">
        <v>-7.85527</v>
      </c>
      <c r="AF5547">
        <v>-4.1474769062638197</v>
      </c>
      <c r="AG5547">
        <v>-1.1148056152693999</v>
      </c>
      <c r="AH5547">
        <v>15.3771676817382</v>
      </c>
      <c r="AI5547">
        <v>94.003953283417005</v>
      </c>
      <c r="AJ5547">
        <v>105.094438050135</v>
      </c>
      <c r="AK5547">
        <v>15.965639422212901</v>
      </c>
      <c r="AL5547">
        <v>79.566977117641002</v>
      </c>
      <c r="AM5547">
        <v>104.110507277948</v>
      </c>
      <c r="AN5547">
        <v>0.99999997489042403</v>
      </c>
    </row>
    <row r="5548" spans="1:40" x14ac:dyDescent="0.25">
      <c r="A5548" t="str">
        <f>"20190304155213881"</f>
        <v>20190304155213881</v>
      </c>
      <c r="B5548" t="str">
        <f>"1551685933872424"</f>
        <v>1551685933872424</v>
      </c>
      <c r="C5548" t="s">
        <v>40</v>
      </c>
      <c r="D5548">
        <v>4.87174</v>
      </c>
      <c r="E5548">
        <v>0.4925136</v>
      </c>
      <c r="F5548" t="s">
        <v>41</v>
      </c>
      <c r="G5548">
        <v>-398.93380000000002</v>
      </c>
      <c r="H5548" s="1">
        <v>-8.0327569999999899E-7</v>
      </c>
      <c r="I5548">
        <v>18.076789999999999</v>
      </c>
      <c r="J5548">
        <v>-413.16460000000001</v>
      </c>
      <c r="K5548">
        <v>1.1148119999999999</v>
      </c>
      <c r="L5548">
        <v>26.046939999999999</v>
      </c>
      <c r="M5548">
        <v>0.71618409999999999</v>
      </c>
      <c r="N5548">
        <v>-1.162883E-2</v>
      </c>
      <c r="O5548">
        <v>-0.6978145</v>
      </c>
      <c r="P5548">
        <v>0.85034359999999998</v>
      </c>
      <c r="Q5548">
        <v>0.17246059999999999</v>
      </c>
      <c r="R5548">
        <v>-0.49716539999999998</v>
      </c>
      <c r="S5548">
        <v>2.687805</v>
      </c>
      <c r="T5548">
        <v>-0.20944170000000001</v>
      </c>
      <c r="U5548">
        <v>-1.510132</v>
      </c>
      <c r="V5548">
        <v>-0.2392724</v>
      </c>
      <c r="W5548">
        <v>0.1810358</v>
      </c>
      <c r="X5548">
        <v>0.95392600000000005</v>
      </c>
      <c r="Y5548">
        <v>-0.25615490000000002</v>
      </c>
      <c r="Z5548">
        <v>4.6639600000000003E-2</v>
      </c>
      <c r="AA5548">
        <v>0.96550999999999998</v>
      </c>
      <c r="AB5548">
        <v>20</v>
      </c>
      <c r="AC5548">
        <v>14.230799999999901</v>
      </c>
      <c r="AD5548">
        <v>-1.1148128032756901</v>
      </c>
      <c r="AE5548">
        <v>-7.9701500000000003</v>
      </c>
      <c r="AF5548">
        <v>-4.2030149777303496</v>
      </c>
      <c r="AG5548">
        <v>-1.1148128032756901</v>
      </c>
      <c r="AH5548">
        <v>15.6813685355615</v>
      </c>
      <c r="AI5548">
        <v>93.928211277611894</v>
      </c>
      <c r="AJ5548">
        <v>105.004107562447</v>
      </c>
      <c r="AK5548">
        <v>16.273090107213001</v>
      </c>
      <c r="AL5548">
        <v>79.569902262610498</v>
      </c>
      <c r="AM5548">
        <v>104.080944317798</v>
      </c>
      <c r="AN5548">
        <v>1.0000000278796899</v>
      </c>
    </row>
    <row r="5549" spans="1:40" x14ac:dyDescent="0.25">
      <c r="A5549" t="str">
        <f>"20190304155213891"</f>
        <v>20190304155213891</v>
      </c>
      <c r="B5549" t="str">
        <f>"1551685933882185"</f>
        <v>1551685933882185</v>
      </c>
      <c r="C5549" t="s">
        <v>40</v>
      </c>
      <c r="D5549">
        <v>4.840738</v>
      </c>
      <c r="E5549">
        <v>0.49276900000000001</v>
      </c>
      <c r="F5549" t="s">
        <v>41</v>
      </c>
      <c r="G5549">
        <v>-398.64100000000002</v>
      </c>
      <c r="H5549" s="1">
        <v>-9.5563039999999996E-7</v>
      </c>
      <c r="I5549">
        <v>17.926749999999998</v>
      </c>
      <c r="J5549">
        <v>-413.09559999999999</v>
      </c>
      <c r="K5549">
        <v>1.114816</v>
      </c>
      <c r="L5549">
        <v>25.98535</v>
      </c>
      <c r="M5549">
        <v>0.71877630000000003</v>
      </c>
      <c r="N5549">
        <v>-1.162448E-2</v>
      </c>
      <c r="O5549">
        <v>-0.6951444</v>
      </c>
      <c r="P5549">
        <v>0.85193660000000004</v>
      </c>
      <c r="Q5549">
        <v>0.17247870000000001</v>
      </c>
      <c r="R5549">
        <v>-0.49442419999999998</v>
      </c>
      <c r="S5549">
        <v>2.6903990000000002</v>
      </c>
      <c r="T5549">
        <v>-0.206512</v>
      </c>
      <c r="U5549">
        <v>-1.504211</v>
      </c>
      <c r="V5549">
        <v>-0.2387927</v>
      </c>
      <c r="W5549">
        <v>0.1810522</v>
      </c>
      <c r="X5549">
        <v>0.95404299999999997</v>
      </c>
      <c r="Y5549">
        <v>-0.25462099999999999</v>
      </c>
      <c r="Z5549">
        <v>4.5737989999999999E-2</v>
      </c>
      <c r="AA5549">
        <v>0.96595869999999995</v>
      </c>
      <c r="AB5549">
        <v>20</v>
      </c>
      <c r="AC5549">
        <v>14.454599999999999</v>
      </c>
      <c r="AD5549">
        <v>-1.1148169556304</v>
      </c>
      <c r="AE5549">
        <v>-8.0586000000000002</v>
      </c>
      <c r="AF5549">
        <v>-4.2367647142886904</v>
      </c>
      <c r="AG5549">
        <v>-1.1148169556304</v>
      </c>
      <c r="AH5549">
        <v>15.920348728298199</v>
      </c>
      <c r="AI5549">
        <v>93.871270730869995</v>
      </c>
      <c r="AJ5549">
        <v>104.902310468604</v>
      </c>
      <c r="AK5549">
        <v>16.512131773924001</v>
      </c>
      <c r="AL5549">
        <v>79.568945994089404</v>
      </c>
      <c r="AM5549">
        <v>104.05217903907101</v>
      </c>
      <c r="AN5549">
        <v>0.99999994927356295</v>
      </c>
    </row>
    <row r="5550" spans="1:40" x14ac:dyDescent="0.25">
      <c r="A5550" t="str">
        <f>"20190304155213913"</f>
        <v>20190304155213913</v>
      </c>
      <c r="B5550" t="str">
        <f>"1551685933902680"</f>
        <v>1551685933902680</v>
      </c>
      <c r="C5550" t="s">
        <v>40</v>
      </c>
      <c r="D5550">
        <v>4.8465749999999996</v>
      </c>
      <c r="E5550">
        <v>0.49320150000000001</v>
      </c>
      <c r="F5550" t="s">
        <v>41</v>
      </c>
      <c r="G5550">
        <v>-398.6026</v>
      </c>
      <c r="H5550" s="1">
        <v>-9.6937230000000009E-7</v>
      </c>
      <c r="I5550">
        <v>17.93056</v>
      </c>
      <c r="J5550">
        <v>-412.95510000000002</v>
      </c>
      <c r="K5550">
        <v>1.114824</v>
      </c>
      <c r="L5550">
        <v>25.861719999999998</v>
      </c>
      <c r="M5550">
        <v>0.72398949999999995</v>
      </c>
      <c r="N5550">
        <v>-1.161702E-2</v>
      </c>
      <c r="O5550">
        <v>-0.68971340000000003</v>
      </c>
      <c r="P5550">
        <v>0.85523130000000003</v>
      </c>
      <c r="Q5550">
        <v>0.17183180000000001</v>
      </c>
      <c r="R5550">
        <v>-0.48893110000000001</v>
      </c>
      <c r="S5550">
        <v>2.6942750000000002</v>
      </c>
      <c r="T5550">
        <v>-0.2072474</v>
      </c>
      <c r="U5550">
        <v>-1.497406</v>
      </c>
      <c r="V5550">
        <v>-0.2378363</v>
      </c>
      <c r="W5550">
        <v>0.18040590000000001</v>
      </c>
      <c r="X5550">
        <v>0.95440429999999998</v>
      </c>
      <c r="Y5550">
        <v>-0.2497964</v>
      </c>
      <c r="Z5550">
        <v>4.5535869999999999E-2</v>
      </c>
      <c r="AA5550">
        <v>0.96722710000000001</v>
      </c>
      <c r="AB5550">
        <v>20</v>
      </c>
      <c r="AC5550">
        <v>14.352499999999999</v>
      </c>
      <c r="AD5550">
        <v>-1.1148249693723</v>
      </c>
      <c r="AE5550">
        <v>-7.9311600000000002</v>
      </c>
      <c r="AF5550">
        <v>-4.1381883134745499</v>
      </c>
      <c r="AG5550">
        <v>-1.1148249693723</v>
      </c>
      <c r="AH5550">
        <v>15.789376513126699</v>
      </c>
      <c r="AI5550">
        <v>93.907190853426599</v>
      </c>
      <c r="AJ5550">
        <v>104.686157105568</v>
      </c>
      <c r="AK5550">
        <v>16.3606799340183</v>
      </c>
      <c r="AL5550">
        <v>79.606596583228196</v>
      </c>
      <c r="AM5550">
        <v>103.993024260539</v>
      </c>
      <c r="AN5550">
        <v>0.99999998110549404</v>
      </c>
    </row>
    <row r="5551" spans="1:40" x14ac:dyDescent="0.25">
      <c r="A5551" t="str">
        <f>"20190304155213925"</f>
        <v>20190304155213925</v>
      </c>
      <c r="B5551" t="str">
        <f>"1551685933922201"</f>
        <v>1551685933922201</v>
      </c>
      <c r="C5551" t="s">
        <v>40</v>
      </c>
      <c r="D5551">
        <v>4.8433529999999996</v>
      </c>
      <c r="E5551">
        <v>0.49396250000000003</v>
      </c>
      <c r="F5551" t="s">
        <v>41</v>
      </c>
      <c r="G5551">
        <v>-398.68950000000001</v>
      </c>
      <c r="H5551" s="1">
        <v>-9.0821159999999998E-7</v>
      </c>
      <c r="I5551">
        <v>18.035019999999999</v>
      </c>
      <c r="J5551">
        <v>-412.87569999999999</v>
      </c>
      <c r="K5551">
        <v>1.1148260000000001</v>
      </c>
      <c r="L5551">
        <v>25.79251</v>
      </c>
      <c r="M5551">
        <v>0.72691229999999996</v>
      </c>
      <c r="N5551">
        <v>-1.1613399999999999E-2</v>
      </c>
      <c r="O5551">
        <v>-0.68663229999999997</v>
      </c>
      <c r="P5551">
        <v>0.85706249999999995</v>
      </c>
      <c r="Q5551">
        <v>0.17176449999999999</v>
      </c>
      <c r="R5551">
        <v>-0.48573749999999999</v>
      </c>
      <c r="S5551">
        <v>2.7026059999999998</v>
      </c>
      <c r="T5551">
        <v>-0.2112019</v>
      </c>
      <c r="U5551">
        <v>-1.482758</v>
      </c>
      <c r="V5551">
        <v>-0.23735329999999999</v>
      </c>
      <c r="W5551">
        <v>0.18033840000000001</v>
      </c>
      <c r="X5551">
        <v>0.95453730000000003</v>
      </c>
      <c r="Y5551">
        <v>-0.25091479999999999</v>
      </c>
      <c r="Z5551">
        <v>4.6421879999999999E-2</v>
      </c>
      <c r="AA5551">
        <v>0.96689539999999996</v>
      </c>
      <c r="AB5551">
        <v>20</v>
      </c>
      <c r="AC5551">
        <v>14.1861999999999</v>
      </c>
      <c r="AD5551">
        <v>-1.1148269082116</v>
      </c>
      <c r="AE5551">
        <v>-7.75748999999999</v>
      </c>
      <c r="AF5551">
        <v>-4.0825555821423398</v>
      </c>
      <c r="AG5551">
        <v>-1.1148269082116</v>
      </c>
      <c r="AH5551">
        <v>15.5657186562281</v>
      </c>
      <c r="AI5551">
        <v>93.9629751664054</v>
      </c>
      <c r="AJ5551">
        <v>104.69643807563</v>
      </c>
      <c r="AK5551">
        <v>16.130768624011701</v>
      </c>
      <c r="AL5551">
        <v>79.610528656368601</v>
      </c>
      <c r="AM5551">
        <v>103.96385067626299</v>
      </c>
      <c r="AN5551">
        <v>0.999999992313369</v>
      </c>
    </row>
    <row r="5552" spans="1:40" x14ac:dyDescent="0.25">
      <c r="A5552" t="str">
        <f>"20190304155213937"</f>
        <v>20190304155213937</v>
      </c>
      <c r="B5552" t="str">
        <f>"1551685933931961"</f>
        <v>1551685933931961</v>
      </c>
      <c r="C5552" t="s">
        <v>40</v>
      </c>
      <c r="D5552">
        <v>4.8293229999999996</v>
      </c>
      <c r="E5552">
        <v>0.4942917</v>
      </c>
      <c r="F5552" t="s">
        <v>41</v>
      </c>
      <c r="G5552">
        <v>-398.61090000000002</v>
      </c>
      <c r="H5552" s="1">
        <v>-9.4802819999999998E-7</v>
      </c>
      <c r="I5552">
        <v>17.99879</v>
      </c>
      <c r="J5552">
        <v>-412.79250000000002</v>
      </c>
      <c r="K5552">
        <v>1.1148359999999999</v>
      </c>
      <c r="L5552">
        <v>25.720890000000001</v>
      </c>
      <c r="M5552">
        <v>0.72994479999999995</v>
      </c>
      <c r="N5552">
        <v>-1.161014E-2</v>
      </c>
      <c r="O5552">
        <v>-0.68340749999999995</v>
      </c>
      <c r="P5552">
        <v>0.85905750000000003</v>
      </c>
      <c r="Q5552">
        <v>0.1713962</v>
      </c>
      <c r="R5552">
        <v>-0.48233150000000002</v>
      </c>
      <c r="S5552">
        <v>2.7050480000000001</v>
      </c>
      <c r="T5552">
        <v>-0.2114065</v>
      </c>
      <c r="U5552">
        <v>-1.4779359999999999</v>
      </c>
      <c r="V5552">
        <v>-0.23696539999999999</v>
      </c>
      <c r="W5552">
        <v>0.1799684</v>
      </c>
      <c r="X5552">
        <v>0.95470350000000004</v>
      </c>
      <c r="Y5552">
        <v>-0.24832899999999999</v>
      </c>
      <c r="Z5552">
        <v>4.6246700000000002E-2</v>
      </c>
      <c r="AA5552">
        <v>0.96757110000000002</v>
      </c>
      <c r="AB5552">
        <v>20</v>
      </c>
      <c r="AC5552">
        <v>14.1816</v>
      </c>
      <c r="AD5552">
        <v>-1.1148369480281899</v>
      </c>
      <c r="AE5552">
        <v>-7.7221000000000002</v>
      </c>
      <c r="AF5552">
        <v>-4.0361400479635297</v>
      </c>
      <c r="AG5552">
        <v>-1.1148369480281899</v>
      </c>
      <c r="AH5552">
        <v>15.5560315538371</v>
      </c>
      <c r="AI5552">
        <v>93.968194684773295</v>
      </c>
      <c r="AJ5552">
        <v>104.54513548242301</v>
      </c>
      <c r="AK5552">
        <v>16.1097301532781</v>
      </c>
      <c r="AL5552">
        <v>79.632080792374794</v>
      </c>
      <c r="AM5552">
        <v>103.939588402814</v>
      </c>
      <c r="AN5552">
        <v>0.99999999935398498</v>
      </c>
    </row>
    <row r="5553" spans="1:40" x14ac:dyDescent="0.25">
      <c r="A5553" t="str">
        <f>"20190304155213949"</f>
        <v>20190304155213949</v>
      </c>
      <c r="B5553" t="str">
        <f>"1551685933942696"</f>
        <v>1551685933942696</v>
      </c>
      <c r="C5553" t="s">
        <v>40</v>
      </c>
      <c r="D5553">
        <v>4.8024230000000001</v>
      </c>
      <c r="E5553">
        <v>0.49462099999999998</v>
      </c>
      <c r="F5553" t="s">
        <v>41</v>
      </c>
      <c r="G5553">
        <v>-398.59629999999999</v>
      </c>
      <c r="H5553" s="1">
        <v>-9.4702969999999995E-7</v>
      </c>
      <c r="I5553">
        <v>18.023689999999998</v>
      </c>
      <c r="J5553">
        <v>-412.71089999999998</v>
      </c>
      <c r="K5553">
        <v>1.1148400000000001</v>
      </c>
      <c r="L5553">
        <v>25.651</v>
      </c>
      <c r="M5553">
        <v>0.73290230000000001</v>
      </c>
      <c r="N5553">
        <v>-1.160714E-2</v>
      </c>
      <c r="O5553">
        <v>-0.68023509999999998</v>
      </c>
      <c r="P5553">
        <v>0.86095059999999901</v>
      </c>
      <c r="Q5553">
        <v>0.17116700000000001</v>
      </c>
      <c r="R5553">
        <v>-0.47902630000000002</v>
      </c>
      <c r="S5553">
        <v>2.709778</v>
      </c>
      <c r="T5553">
        <v>-0.2127995</v>
      </c>
      <c r="U5553">
        <v>-1.4692379999999901</v>
      </c>
      <c r="V5553">
        <v>-0.23652429999999999</v>
      </c>
      <c r="W5553">
        <v>0.17973900000000001</v>
      </c>
      <c r="X5553">
        <v>0.95485609999999999</v>
      </c>
      <c r="Y5553">
        <v>-0.24722069999999999</v>
      </c>
      <c r="Z5553">
        <v>4.6411540000000001E-2</v>
      </c>
      <c r="AA5553">
        <v>0.96784700000000001</v>
      </c>
      <c r="AB5553">
        <v>20</v>
      </c>
      <c r="AC5553">
        <v>14.1145999999999</v>
      </c>
      <c r="AD5553">
        <v>-1.1148409470297</v>
      </c>
      <c r="AE5553">
        <v>-7.6273099999999996</v>
      </c>
      <c r="AF5553">
        <v>-3.9921663689378</v>
      </c>
      <c r="AG5553">
        <v>-1.1148409470297</v>
      </c>
      <c r="AH5553">
        <v>15.459383776532601</v>
      </c>
      <c r="AI5553">
        <v>93.994117451353503</v>
      </c>
      <c r="AJ5553">
        <v>104.47949490564601</v>
      </c>
      <c r="AK5553">
        <v>16.005399382851099</v>
      </c>
      <c r="AL5553">
        <v>79.645442459872399</v>
      </c>
      <c r="AM5553">
        <v>103.912512311501</v>
      </c>
      <c r="AN5553">
        <v>1.00000001215935</v>
      </c>
    </row>
    <row r="5554" spans="1:40" x14ac:dyDescent="0.25">
      <c r="A5554" t="str">
        <f>"20190304155213962"</f>
        <v>20190304155213962</v>
      </c>
      <c r="B5554" t="str">
        <f>"1551685933952457"</f>
        <v>1551685933952457</v>
      </c>
      <c r="C5554" t="s">
        <v>40</v>
      </c>
      <c r="D5554">
        <v>4.8201589999999896</v>
      </c>
      <c r="E5554">
        <v>0.49497200000000002</v>
      </c>
      <c r="F5554" t="s">
        <v>41</v>
      </c>
      <c r="G5554">
        <v>-398.50779999999997</v>
      </c>
      <c r="H5554" s="1">
        <v>-9.8552609999999995E-7</v>
      </c>
      <c r="I5554">
        <v>18.006679999999999</v>
      </c>
      <c r="J5554">
        <v>-412.62</v>
      </c>
      <c r="K5554">
        <v>1.114846</v>
      </c>
      <c r="L5554">
        <v>25.573969999999999</v>
      </c>
      <c r="M5554">
        <v>0.73617279999999996</v>
      </c>
      <c r="N5554">
        <v>-1.160454E-2</v>
      </c>
      <c r="O5554">
        <v>-0.67669419999999902</v>
      </c>
      <c r="P5554">
        <v>0.86320629999999998</v>
      </c>
      <c r="Q5554">
        <v>0.17074120000000001</v>
      </c>
      <c r="R5554">
        <v>-0.47510279999999999</v>
      </c>
      <c r="S5554">
        <v>2.7140810000000002</v>
      </c>
      <c r="T5554">
        <v>-0.21303510000000001</v>
      </c>
      <c r="U5554">
        <v>-1.4607540000000001</v>
      </c>
      <c r="V5554">
        <v>-0.23632320000000001</v>
      </c>
      <c r="W5554">
        <v>0.17930929999999901</v>
      </c>
      <c r="X5554">
        <v>0.95498660000000002</v>
      </c>
      <c r="Y5554">
        <v>-0.24553990000000001</v>
      </c>
      <c r="Z5554">
        <v>4.6253830000000003E-2</v>
      </c>
      <c r="AA5554">
        <v>0.96828230000000004</v>
      </c>
      <c r="AB5554">
        <v>20</v>
      </c>
      <c r="AC5554">
        <v>14.1122</v>
      </c>
      <c r="AD5554">
        <v>-1.1148469855261001</v>
      </c>
      <c r="AE5554">
        <v>-7.5672899999999998</v>
      </c>
      <c r="AF5554">
        <v>-3.9598846058836399</v>
      </c>
      <c r="AG5554">
        <v>-1.1148469855261001</v>
      </c>
      <c r="AH5554">
        <v>15.435982966224801</v>
      </c>
      <c r="AI5554">
        <v>94.001810860037907</v>
      </c>
      <c r="AJ5554">
        <v>104.388152002241</v>
      </c>
      <c r="AK5554">
        <v>15.974765726815299</v>
      </c>
      <c r="AL5554">
        <v>79.670468327371495</v>
      </c>
      <c r="AM5554">
        <v>103.89931648208901</v>
      </c>
      <c r="AN5554">
        <v>0.99999994305214301</v>
      </c>
    </row>
    <row r="5555" spans="1:40" x14ac:dyDescent="0.25">
      <c r="A5555" t="str">
        <f>"20190304155213976"</f>
        <v>20190304155213976</v>
      </c>
      <c r="B5555" t="str">
        <f>"1551685933972952"</f>
        <v>1551685933972952</v>
      </c>
      <c r="C5555" t="s">
        <v>40</v>
      </c>
      <c r="D5555">
        <v>4.8409589999999998</v>
      </c>
      <c r="E5555">
        <v>0.49530059999999898</v>
      </c>
      <c r="F5555" t="s">
        <v>41</v>
      </c>
      <c r="G5555">
        <v>-398.4375</v>
      </c>
      <c r="H5555" s="1">
        <v>-1.0116819999999999E-6</v>
      </c>
      <c r="I5555">
        <v>18.009810000000002</v>
      </c>
      <c r="J5555">
        <v>-412.5258</v>
      </c>
      <c r="K5555">
        <v>1.114851</v>
      </c>
      <c r="L5555">
        <v>25.495149999999999</v>
      </c>
      <c r="M5555">
        <v>0.73952669999999998</v>
      </c>
      <c r="N5555">
        <v>-1.160226E-2</v>
      </c>
      <c r="O5555">
        <v>-0.67302729999999999</v>
      </c>
      <c r="P5555">
        <v>0.86542649999999999</v>
      </c>
      <c r="Q5555">
        <v>0.1704774</v>
      </c>
      <c r="R5555">
        <v>-0.47114200000000001</v>
      </c>
      <c r="S5555">
        <v>2.7193909999999999</v>
      </c>
      <c r="T5555">
        <v>-0.2137647</v>
      </c>
      <c r="U5555">
        <v>-1.4503779999999999</v>
      </c>
      <c r="V5555">
        <v>-0.23598920000000001</v>
      </c>
      <c r="W5555">
        <v>0.17904329999999999</v>
      </c>
      <c r="X5555">
        <v>0.9551191</v>
      </c>
      <c r="Y5555">
        <v>-0.24437980000000001</v>
      </c>
      <c r="Z5555">
        <v>4.6226339999999998E-2</v>
      </c>
      <c r="AA5555">
        <v>0.96857709999999997</v>
      </c>
      <c r="AB5555">
        <v>20</v>
      </c>
      <c r="AC5555">
        <v>14.0883</v>
      </c>
      <c r="AD5555">
        <v>-1.114852011682</v>
      </c>
      <c r="AE5555">
        <v>-7.4853399999999901</v>
      </c>
      <c r="AF5555">
        <v>-3.9272883538973402</v>
      </c>
      <c r="AG5555">
        <v>-1.114852011682</v>
      </c>
      <c r="AH5555">
        <v>15.382432156862601</v>
      </c>
      <c r="AI5555">
        <v>94.016893704764698</v>
      </c>
      <c r="AJ5555">
        <v>104.322226462675</v>
      </c>
      <c r="AK5555">
        <v>15.914952336814901</v>
      </c>
      <c r="AL5555">
        <v>79.685959780417605</v>
      </c>
      <c r="AM5555">
        <v>103.878581323464</v>
      </c>
      <c r="AN5555">
        <v>0.99999995048816803</v>
      </c>
    </row>
    <row r="5556" spans="1:40" x14ac:dyDescent="0.25">
      <c r="A5556" t="str">
        <f>"20190304155213993"</f>
        <v>20190304155213993</v>
      </c>
      <c r="B5556" t="str">
        <f>"1551685933982712"</f>
        <v>1551685933982712</v>
      </c>
      <c r="C5556" t="s">
        <v>40</v>
      </c>
      <c r="D5556">
        <v>4.8304349999999996</v>
      </c>
      <c r="E5556">
        <v>0.50333819999999996</v>
      </c>
      <c r="F5556" t="s">
        <v>41</v>
      </c>
      <c r="G5556">
        <v>-398.35680000000002</v>
      </c>
      <c r="H5556" s="1">
        <v>-1.043353E-6</v>
      </c>
      <c r="I5556">
        <v>18.007359999999998</v>
      </c>
      <c r="J5556">
        <v>-412.41399999999999</v>
      </c>
      <c r="K5556">
        <v>1.11486</v>
      </c>
      <c r="L5556">
        <v>25.402280000000001</v>
      </c>
      <c r="M5556">
        <v>0.74348179999999997</v>
      </c>
      <c r="N5556">
        <v>-1.1600060000000001E-2</v>
      </c>
      <c r="O5556">
        <v>-0.66865559999999902</v>
      </c>
      <c r="P5556">
        <v>0.86803030000000003</v>
      </c>
      <c r="Q5556">
        <v>0.16958529999999999</v>
      </c>
      <c r="R5556">
        <v>-0.46665240000000002</v>
      </c>
      <c r="S5556">
        <v>2.7248540000000001</v>
      </c>
      <c r="T5556">
        <v>-0.2143967</v>
      </c>
      <c r="U5556">
        <v>-1.439972</v>
      </c>
      <c r="V5556">
        <v>-0.2354166</v>
      </c>
      <c r="W5556">
        <v>0.1781519</v>
      </c>
      <c r="X5556">
        <v>0.95542709999999997</v>
      </c>
      <c r="Y5556">
        <v>-0.24235680000000001</v>
      </c>
      <c r="Z5556">
        <v>4.6107969999999998E-2</v>
      </c>
      <c r="AA5556">
        <v>0.96909089999999998</v>
      </c>
      <c r="AB5556">
        <v>20</v>
      </c>
      <c r="AC5556">
        <v>14.0571999999999</v>
      </c>
      <c r="AD5556">
        <v>-1.114861043353</v>
      </c>
      <c r="AE5556">
        <v>-7.3949199999999902</v>
      </c>
      <c r="AF5556">
        <v>-3.8825718271845999</v>
      </c>
      <c r="AG5556">
        <v>-1.114861043353</v>
      </c>
      <c r="AH5556">
        <v>15.321480647903201</v>
      </c>
      <c r="AI5556">
        <v>94.034681252800794</v>
      </c>
      <c r="AJ5556">
        <v>104.21982449992601</v>
      </c>
      <c r="AK5556">
        <v>15.845032293539401</v>
      </c>
      <c r="AL5556">
        <v>79.737868418938106</v>
      </c>
      <c r="AM5556">
        <v>103.841912011579</v>
      </c>
      <c r="AN5556">
        <v>1.00000000922179</v>
      </c>
    </row>
    <row r="5557" spans="1:40" x14ac:dyDescent="0.25">
      <c r="A5557" t="str">
        <f>"20190304155214006"</f>
        <v>20190304155214006</v>
      </c>
      <c r="B5557" t="str">
        <f>"1551685934002232"</f>
        <v>1551685934002232</v>
      </c>
      <c r="C5557" t="s">
        <v>40</v>
      </c>
      <c r="D5557">
        <v>4.8207630000000004</v>
      </c>
      <c r="E5557">
        <v>0.50373809999999997</v>
      </c>
      <c r="F5557" t="s">
        <v>41</v>
      </c>
      <c r="G5557">
        <v>-397.92309999999998</v>
      </c>
      <c r="H5557" s="1">
        <v>-1.35678E-6</v>
      </c>
      <c r="I5557">
        <v>17.45524</v>
      </c>
      <c r="J5557">
        <v>-412.31659999999999</v>
      </c>
      <c r="K5557">
        <v>1.11487</v>
      </c>
      <c r="L5557">
        <v>25.322299999999998</v>
      </c>
      <c r="M5557">
        <v>0.74689369999999999</v>
      </c>
      <c r="N5557">
        <v>-1.159866E-2</v>
      </c>
      <c r="O5557">
        <v>-0.66484239999999994</v>
      </c>
      <c r="P5557">
        <v>0.87035830000000003</v>
      </c>
      <c r="Q5557">
        <v>0.16908870000000001</v>
      </c>
      <c r="R5557">
        <v>-0.46247729999999998</v>
      </c>
      <c r="S5557">
        <v>2.7005309999999998</v>
      </c>
      <c r="T5557">
        <v>-0.2077668</v>
      </c>
      <c r="U5557">
        <v>-1.4810179999999999</v>
      </c>
      <c r="V5557">
        <v>-0.23518040000000001</v>
      </c>
      <c r="W5557">
        <v>0.1776517</v>
      </c>
      <c r="X5557">
        <v>0.95557840000000005</v>
      </c>
      <c r="Y5557">
        <v>-0.2224844</v>
      </c>
      <c r="Z5557">
        <v>4.372235E-2</v>
      </c>
      <c r="AA5557">
        <v>0.97395540000000003</v>
      </c>
      <c r="AB5557">
        <v>20</v>
      </c>
      <c r="AC5557">
        <v>14.3935</v>
      </c>
      <c r="AD5557">
        <v>-1.1148713567799999</v>
      </c>
      <c r="AE5557">
        <v>-7.8670599999999897</v>
      </c>
      <c r="AF5557">
        <v>-3.6768146975812299</v>
      </c>
      <c r="AG5557">
        <v>-1.1148713567799999</v>
      </c>
      <c r="AH5557">
        <v>15.9083548003036</v>
      </c>
      <c r="AI5557">
        <v>93.906142163803395</v>
      </c>
      <c r="AJ5557">
        <v>103.013955691219</v>
      </c>
      <c r="AK5557">
        <v>16.3657464515023</v>
      </c>
      <c r="AL5557">
        <v>79.766992382672996</v>
      </c>
      <c r="AM5557">
        <v>103.82645187417</v>
      </c>
      <c r="AN5557">
        <v>1.0000000128018001</v>
      </c>
    </row>
    <row r="5558" spans="1:40" x14ac:dyDescent="0.25">
      <c r="A5558" t="str">
        <f>"20190304155214017"</f>
        <v>20190304155214017</v>
      </c>
      <c r="B5558" t="str">
        <f>"1551685934012969"</f>
        <v>1551685934012969</v>
      </c>
      <c r="C5558" t="s">
        <v>40</v>
      </c>
      <c r="D5558">
        <v>4.8153519999999999</v>
      </c>
      <c r="E5558">
        <v>0.50439129999999999</v>
      </c>
      <c r="F5558" t="s">
        <v>41</v>
      </c>
      <c r="G5558">
        <v>-398.07839999999999</v>
      </c>
      <c r="H5558" s="1">
        <v>-1.2619839999999999E-6</v>
      </c>
      <c r="I5558">
        <v>17.58736</v>
      </c>
      <c r="J5558">
        <v>-412.23849999999999</v>
      </c>
      <c r="K5558">
        <v>1.114878</v>
      </c>
      <c r="L5558">
        <v>25.25909</v>
      </c>
      <c r="M5558">
        <v>0.74960559999999998</v>
      </c>
      <c r="N5558">
        <v>-1.1597970000000001E-2</v>
      </c>
      <c r="O5558">
        <v>-0.66178329999999996</v>
      </c>
      <c r="P5558">
        <v>0.87211280000000002</v>
      </c>
      <c r="Q5558">
        <v>0.16882239999999901</v>
      </c>
      <c r="R5558">
        <v>-0.45925840000000001</v>
      </c>
      <c r="S5558">
        <v>2.7067570000000001</v>
      </c>
      <c r="T5558">
        <v>-0.21194389999999999</v>
      </c>
      <c r="U5558">
        <v>-1.470459</v>
      </c>
      <c r="V5558">
        <v>-0.23483879999999999</v>
      </c>
      <c r="W5558">
        <v>0.17738419999999999</v>
      </c>
      <c r="X5558">
        <v>0.95571209999999995</v>
      </c>
      <c r="Y5558">
        <v>-0.22231780000000001</v>
      </c>
      <c r="Z5558">
        <v>4.4572279999999999E-2</v>
      </c>
      <c r="AA5558">
        <v>0.97395489999999996</v>
      </c>
      <c r="AB5558">
        <v>20</v>
      </c>
      <c r="AC5558">
        <v>14.1601</v>
      </c>
      <c r="AD5558">
        <v>-1.114879261984</v>
      </c>
      <c r="AE5558">
        <v>-7.6717300000000002</v>
      </c>
      <c r="AF5558">
        <v>-3.6031217413844399</v>
      </c>
      <c r="AG5558">
        <v>-1.114879261984</v>
      </c>
      <c r="AH5558">
        <v>15.617721723045699</v>
      </c>
      <c r="AI5558">
        <v>93.978992088324503</v>
      </c>
      <c r="AJ5558">
        <v>102.991245454561</v>
      </c>
      <c r="AK5558">
        <v>16.066694553346402</v>
      </c>
      <c r="AL5558">
        <v>79.782566402039805</v>
      </c>
      <c r="AM5558">
        <v>103.805280307516</v>
      </c>
      <c r="AN5558">
        <v>1.0000000172407399</v>
      </c>
    </row>
    <row r="5559" spans="1:40" x14ac:dyDescent="0.25">
      <c r="A5559" t="str">
        <f>"20190304155214031"</f>
        <v>20190304155214031</v>
      </c>
      <c r="B5559" t="str">
        <f>"1551685934022728"</f>
        <v>1551685934022728</v>
      </c>
      <c r="C5559" t="s">
        <v>40</v>
      </c>
      <c r="D5559">
        <v>4.8149119999999996</v>
      </c>
      <c r="E5559">
        <v>0.50489659999999903</v>
      </c>
      <c r="F5559" t="s">
        <v>41</v>
      </c>
      <c r="G5559">
        <v>-398.04539999999997</v>
      </c>
      <c r="H5559" s="1">
        <v>-1.2749390000000001E-6</v>
      </c>
      <c r="I5559">
        <v>17.586359999999999</v>
      </c>
      <c r="J5559">
        <v>-412.1456</v>
      </c>
      <c r="K5559">
        <v>1.1148899999999999</v>
      </c>
      <c r="L5559">
        <v>25.184229999999999</v>
      </c>
      <c r="M5559">
        <v>0.7528127</v>
      </c>
      <c r="N5559">
        <v>-1.159732E-2</v>
      </c>
      <c r="O5559">
        <v>-0.65813290000000002</v>
      </c>
      <c r="P5559">
        <v>0.87422219999999995</v>
      </c>
      <c r="Q5559">
        <v>0.16818369999999999</v>
      </c>
      <c r="R5559">
        <v>-0.45546710000000001</v>
      </c>
      <c r="S5559">
        <v>2.7097470000000001</v>
      </c>
      <c r="T5559">
        <v>-0.21285209999999999</v>
      </c>
      <c r="U5559">
        <v>-1.464874</v>
      </c>
      <c r="V5559">
        <v>-0.2344231</v>
      </c>
      <c r="W5559">
        <v>0.1767455</v>
      </c>
      <c r="X5559">
        <v>0.95593240000000002</v>
      </c>
      <c r="Y5559">
        <v>-0.21957960000000001</v>
      </c>
      <c r="Z5559">
        <v>4.4525719999999998E-2</v>
      </c>
      <c r="AA5559">
        <v>0.97457800000000006</v>
      </c>
      <c r="AB5559">
        <v>20</v>
      </c>
      <c r="AC5559">
        <v>14.100199999999999</v>
      </c>
      <c r="AD5559">
        <v>-1.1148912749390001</v>
      </c>
      <c r="AE5559">
        <v>-7.5978699999999897</v>
      </c>
      <c r="AF5559">
        <v>-3.5431044943310201</v>
      </c>
      <c r="AG5559">
        <v>-1.1148912749390001</v>
      </c>
      <c r="AH5559">
        <v>15.5409673183085</v>
      </c>
      <c r="AI5559">
        <v>94.000987967377796</v>
      </c>
      <c r="AJ5559">
        <v>102.843055574183</v>
      </c>
      <c r="AK5559">
        <v>15.9786807090391</v>
      </c>
      <c r="AL5559">
        <v>79.819748112557505</v>
      </c>
      <c r="AM5559">
        <v>103.778720388301</v>
      </c>
      <c r="AN5559">
        <v>0.99999995747680903</v>
      </c>
    </row>
    <row r="5560" spans="1:40" x14ac:dyDescent="0.25">
      <c r="A5560" t="str">
        <f>"20190304155214048"</f>
        <v>20190304155214048</v>
      </c>
      <c r="B5560" t="str">
        <f>"1551685934042249"</f>
        <v>1551685934042249</v>
      </c>
      <c r="C5560" t="s">
        <v>40</v>
      </c>
      <c r="D5560">
        <v>4.830743</v>
      </c>
      <c r="E5560">
        <v>0.50529629999999903</v>
      </c>
      <c r="F5560" t="s">
        <v>41</v>
      </c>
      <c r="G5560">
        <v>-397.98140000000001</v>
      </c>
      <c r="H5560" s="1">
        <v>-1.299453E-6</v>
      </c>
      <c r="I5560">
        <v>17.586539999999999</v>
      </c>
      <c r="J5560">
        <v>-412.0324</v>
      </c>
      <c r="K5560">
        <v>1.114905</v>
      </c>
      <c r="L5560">
        <v>25.093990000000002</v>
      </c>
      <c r="M5560">
        <v>0.75668950000000001</v>
      </c>
      <c r="N5560">
        <v>-1.1597089999999999E-2</v>
      </c>
      <c r="O5560">
        <v>-0.65367169999999997</v>
      </c>
      <c r="P5560">
        <v>0.87644169999999999</v>
      </c>
      <c r="Q5560">
        <v>0.1686657</v>
      </c>
      <c r="R5560">
        <v>-0.45100129999999999</v>
      </c>
      <c r="S5560">
        <v>2.7142029999999999</v>
      </c>
      <c r="T5560">
        <v>-0.2136401</v>
      </c>
      <c r="U5560">
        <v>-1.455902</v>
      </c>
      <c r="V5560">
        <v>-0.2335988</v>
      </c>
      <c r="W5560">
        <v>0.17722839999999901</v>
      </c>
      <c r="X5560">
        <v>0.95604480000000003</v>
      </c>
      <c r="Y5560">
        <v>-0.21698010000000001</v>
      </c>
      <c r="Z5560">
        <v>4.4415620000000003E-2</v>
      </c>
      <c r="AA5560">
        <v>0.97516510000000001</v>
      </c>
      <c r="AB5560">
        <v>20</v>
      </c>
      <c r="AC5560">
        <v>14.050999999999901</v>
      </c>
      <c r="AD5560">
        <v>-1.1149062994529999</v>
      </c>
      <c r="AE5560">
        <v>-7.5074499999999897</v>
      </c>
      <c r="AF5560">
        <v>-3.4870888503635999</v>
      </c>
      <c r="AG5560">
        <v>-1.1149062994529999</v>
      </c>
      <c r="AH5560">
        <v>15.464951703879301</v>
      </c>
      <c r="AI5560">
        <v>94.022806231287802</v>
      </c>
      <c r="AJ5560">
        <v>102.706739285889</v>
      </c>
      <c r="AK5560">
        <v>15.892373514054199</v>
      </c>
      <c r="AL5560">
        <v>79.791636438446801</v>
      </c>
      <c r="AM5560">
        <v>103.730554261074</v>
      </c>
      <c r="AN5560">
        <v>0.99999998236751897</v>
      </c>
    </row>
    <row r="5561" spans="1:40" x14ac:dyDescent="0.25">
      <c r="A5561" t="str">
        <f>"20190304155214059"</f>
        <v>20190304155214059</v>
      </c>
      <c r="B5561" t="str">
        <f>"1551685934052010"</f>
        <v>1551685934052010</v>
      </c>
      <c r="C5561" t="s">
        <v>40</v>
      </c>
      <c r="D5561">
        <v>4.8498070000000002</v>
      </c>
      <c r="E5561">
        <v>0.50993999999999995</v>
      </c>
      <c r="F5561" t="s">
        <v>41</v>
      </c>
      <c r="G5561">
        <v>-397.66809999999998</v>
      </c>
      <c r="H5561" s="1">
        <v>-1.4643229999999999E-6</v>
      </c>
      <c r="I5561">
        <v>17.46536</v>
      </c>
      <c r="J5561">
        <v>-411.94779999999997</v>
      </c>
      <c r="K5561">
        <v>1.114916</v>
      </c>
      <c r="L5561">
        <v>25.02759</v>
      </c>
      <c r="M5561">
        <v>0.75955980000000001</v>
      </c>
      <c r="N5561">
        <v>-1.159728E-2</v>
      </c>
      <c r="O5561">
        <v>-0.65033450000000004</v>
      </c>
      <c r="P5561">
        <v>0.87831700000000001</v>
      </c>
      <c r="Q5561">
        <v>0.16852929999999999</v>
      </c>
      <c r="R5561">
        <v>-0.4473895</v>
      </c>
      <c r="S5561">
        <v>2.7201840000000002</v>
      </c>
      <c r="T5561">
        <v>-0.2111307</v>
      </c>
      <c r="U5561">
        <v>-1.4446410000000001</v>
      </c>
      <c r="V5561">
        <v>-0.23334630000000001</v>
      </c>
      <c r="W5561">
        <v>0.17708950000000001</v>
      </c>
      <c r="X5561">
        <v>0.95613219999999999</v>
      </c>
      <c r="Y5561">
        <v>-0.21676110000000001</v>
      </c>
      <c r="Z5561">
        <v>4.3647039999999998E-2</v>
      </c>
      <c r="AA5561">
        <v>0.97524849999999996</v>
      </c>
      <c r="AB5561">
        <v>20</v>
      </c>
      <c r="AC5561">
        <v>14.279699999999901</v>
      </c>
      <c r="AD5561">
        <v>-1.114917464323</v>
      </c>
      <c r="AE5561">
        <v>-7.5622299999999996</v>
      </c>
      <c r="AF5561">
        <v>-3.5260659163580299</v>
      </c>
      <c r="AG5561">
        <v>-1.114917464323</v>
      </c>
      <c r="AH5561">
        <v>15.6906205622118</v>
      </c>
      <c r="AI5561">
        <v>93.965816774480501</v>
      </c>
      <c r="AJ5561">
        <v>102.665354945552</v>
      </c>
      <c r="AK5561">
        <v>16.120538310678601</v>
      </c>
      <c r="AL5561">
        <v>79.799722759566393</v>
      </c>
      <c r="AM5561">
        <v>103.715067134661</v>
      </c>
      <c r="AN5561">
        <v>0.99999998530538903</v>
      </c>
    </row>
    <row r="5562" spans="1:40" x14ac:dyDescent="0.25">
      <c r="A5562" t="str">
        <f>"20190304155214071"</f>
        <v>20190304155214071</v>
      </c>
      <c r="B5562" t="str">
        <f>"1551685934062745"</f>
        <v>1551685934062745</v>
      </c>
      <c r="C5562" t="s">
        <v>40</v>
      </c>
      <c r="D5562">
        <v>4.8250849999999996</v>
      </c>
      <c r="E5562">
        <v>0.51041599999999998</v>
      </c>
      <c r="F5562" t="s">
        <v>41</v>
      </c>
      <c r="G5562">
        <v>-397.2602</v>
      </c>
      <c r="H5562" s="1">
        <v>-1.725467E-6</v>
      </c>
      <c r="I5562">
        <v>17.08004</v>
      </c>
      <c r="J5562">
        <v>-411.86110000000002</v>
      </c>
      <c r="K5562">
        <v>1.1149260000000001</v>
      </c>
      <c r="L5562">
        <v>24.959959999999999</v>
      </c>
      <c r="M5562">
        <v>0.76247779999999998</v>
      </c>
      <c r="N5562">
        <v>-1.159751E-2</v>
      </c>
      <c r="O5562">
        <v>-0.6469104</v>
      </c>
      <c r="P5562">
        <v>0.8800962</v>
      </c>
      <c r="Q5562">
        <v>0.1686925</v>
      </c>
      <c r="R5562">
        <v>-0.4438165</v>
      </c>
      <c r="S5562">
        <v>2.7085270000000001</v>
      </c>
      <c r="T5562">
        <v>-0.2056017</v>
      </c>
      <c r="U5562">
        <v>-1.4656070000000001</v>
      </c>
      <c r="V5562">
        <v>-0.23291490000000001</v>
      </c>
      <c r="W5562">
        <v>0.1772523</v>
      </c>
      <c r="X5562">
        <v>0.95620720000000003</v>
      </c>
      <c r="Y5562">
        <v>-0.2048604</v>
      </c>
      <c r="Z5562">
        <v>4.1810180000000002E-2</v>
      </c>
      <c r="AA5562">
        <v>0.97789780000000004</v>
      </c>
      <c r="AB5562">
        <v>20</v>
      </c>
      <c r="AC5562">
        <v>14.600899999999999</v>
      </c>
      <c r="AD5562">
        <v>-1.114927725467</v>
      </c>
      <c r="AE5562">
        <v>-7.8799199999999896</v>
      </c>
      <c r="AF5562">
        <v>-3.4219887534764801</v>
      </c>
      <c r="AG5562">
        <v>-1.114927725467</v>
      </c>
      <c r="AH5562">
        <v>16.1585897962056</v>
      </c>
      <c r="AI5562">
        <v>93.861720658269107</v>
      </c>
      <c r="AJ5562">
        <v>101.957160273372</v>
      </c>
      <c r="AK5562">
        <v>16.554549074619199</v>
      </c>
      <c r="AL5562">
        <v>79.790244901288006</v>
      </c>
      <c r="AM5562">
        <v>103.689632931671</v>
      </c>
      <c r="AN5562">
        <v>0.99999996891456899</v>
      </c>
    </row>
    <row r="5563" spans="1:40" x14ac:dyDescent="0.25">
      <c r="A5563" t="str">
        <f>"20190304155214083"</f>
        <v>20190304155214083</v>
      </c>
      <c r="B5563" t="str">
        <f>"1551685934072505"</f>
        <v>1551685934072505</v>
      </c>
      <c r="C5563" t="s">
        <v>40</v>
      </c>
      <c r="D5563">
        <v>4.811928</v>
      </c>
      <c r="E5563">
        <v>0.51086359999999997</v>
      </c>
      <c r="F5563" t="s">
        <v>41</v>
      </c>
      <c r="G5563">
        <v>-397.02330000000001</v>
      </c>
      <c r="H5563" s="1">
        <v>-1.8543190000000001E-6</v>
      </c>
      <c r="I5563">
        <v>16.98507</v>
      </c>
      <c r="J5563">
        <v>-411.77659999999997</v>
      </c>
      <c r="K5563">
        <v>1.114935</v>
      </c>
      <c r="L5563">
        <v>24.894680000000001</v>
      </c>
      <c r="M5563">
        <v>0.76530540000000002</v>
      </c>
      <c r="N5563">
        <v>-1.1597909999999999E-2</v>
      </c>
      <c r="O5563">
        <v>-0.6435632</v>
      </c>
      <c r="P5563">
        <v>0.88181330000000002</v>
      </c>
      <c r="Q5563">
        <v>0.16887160000000001</v>
      </c>
      <c r="R5563">
        <v>-0.44032729999999998</v>
      </c>
      <c r="S5563">
        <v>2.7126160000000001</v>
      </c>
      <c r="T5563">
        <v>-0.20382800000000001</v>
      </c>
      <c r="U5563">
        <v>-1.4579470000000001</v>
      </c>
      <c r="V5563">
        <v>-0.23249639999999999</v>
      </c>
      <c r="W5563">
        <v>0.17743120000000001</v>
      </c>
      <c r="X5563">
        <v>0.95627589999999996</v>
      </c>
      <c r="Y5563">
        <v>-0.20335909999999999</v>
      </c>
      <c r="Z5563">
        <v>4.1188500000000003E-2</v>
      </c>
      <c r="AA5563">
        <v>0.97823749999999998</v>
      </c>
      <c r="AB5563">
        <v>20</v>
      </c>
      <c r="AC5563">
        <v>14.7532999999999</v>
      </c>
      <c r="AD5563">
        <v>-1.1149368543189999</v>
      </c>
      <c r="AE5563">
        <v>-7.90960999999999</v>
      </c>
      <c r="AF5563">
        <v>-3.4264444455697398</v>
      </c>
      <c r="AG5563">
        <v>-1.1149368543189999</v>
      </c>
      <c r="AH5563">
        <v>16.3098604301364</v>
      </c>
      <c r="AI5563">
        <v>93.827344969142203</v>
      </c>
      <c r="AJ5563">
        <v>101.86440114601101</v>
      </c>
      <c r="AK5563">
        <v>16.703147996058199</v>
      </c>
      <c r="AL5563">
        <v>79.779829936480596</v>
      </c>
      <c r="AM5563">
        <v>103.66501363904</v>
      </c>
      <c r="AN5563">
        <v>1.0000000018335999</v>
      </c>
    </row>
    <row r="5564" spans="1:40" x14ac:dyDescent="0.25">
      <c r="A5564" t="str">
        <f>"20190304155214094"</f>
        <v>20190304155214094</v>
      </c>
      <c r="B5564" t="str">
        <f>"1551685934082266"</f>
        <v>1551685934082266</v>
      </c>
      <c r="C5564" t="s">
        <v>40</v>
      </c>
      <c r="D5564">
        <v>4.8164999999999996</v>
      </c>
      <c r="E5564">
        <v>0.51139179999999995</v>
      </c>
      <c r="F5564" t="s">
        <v>41</v>
      </c>
      <c r="G5564">
        <v>-396.9599</v>
      </c>
      <c r="H5564" s="1">
        <v>-1.8844319999999999E-6</v>
      </c>
      <c r="I5564">
        <v>16.98413</v>
      </c>
      <c r="J5564">
        <v>-411.7</v>
      </c>
      <c r="K5564">
        <v>1.114943</v>
      </c>
      <c r="L5564">
        <v>24.83597</v>
      </c>
      <c r="M5564">
        <v>0.76785360000000003</v>
      </c>
      <c r="N5564">
        <v>-1.159838E-2</v>
      </c>
      <c r="O5564">
        <v>-0.64052030000000004</v>
      </c>
      <c r="P5564">
        <v>0.88329579999999996</v>
      </c>
      <c r="Q5564">
        <v>0.16917409999999999</v>
      </c>
      <c r="R5564">
        <v>-0.43722840000000002</v>
      </c>
      <c r="S5564">
        <v>2.716888</v>
      </c>
      <c r="T5564">
        <v>-0.20444209999999999</v>
      </c>
      <c r="U5564">
        <v>-1.450531</v>
      </c>
      <c r="V5564">
        <v>-0.2320275</v>
      </c>
      <c r="W5564">
        <v>0.17773429999999901</v>
      </c>
      <c r="X5564">
        <v>0.95633349999999995</v>
      </c>
      <c r="Y5564">
        <v>-0.20218810000000001</v>
      </c>
      <c r="Z5564">
        <v>4.1145569999999999E-2</v>
      </c>
      <c r="AA5564">
        <v>0.97848199999999996</v>
      </c>
      <c r="AB5564">
        <v>20</v>
      </c>
      <c r="AC5564">
        <v>14.740099999999901</v>
      </c>
      <c r="AD5564">
        <v>-1.114944884432</v>
      </c>
      <c r="AE5564">
        <v>-7.8518399999999904</v>
      </c>
      <c r="AF5564">
        <v>-3.3973579435988199</v>
      </c>
      <c r="AG5564">
        <v>-1.114944884432</v>
      </c>
      <c r="AH5564">
        <v>16.276062693331099</v>
      </c>
      <c r="AI5564">
        <v>93.836332781369606</v>
      </c>
      <c r="AJ5564">
        <v>101.790255939682</v>
      </c>
      <c r="AK5564">
        <v>16.664193946588</v>
      </c>
      <c r="AL5564">
        <v>79.762183113496604</v>
      </c>
      <c r="AM5564">
        <v>103.637693486244</v>
      </c>
      <c r="AN5564">
        <v>1.00000000268749</v>
      </c>
    </row>
    <row r="5565" spans="1:40" x14ac:dyDescent="0.25">
      <c r="A5565" t="str">
        <f>"20190304155214106"</f>
        <v>20190304155214106</v>
      </c>
      <c r="B5565" t="str">
        <f>"1551685934102762"</f>
        <v>1551685934102762</v>
      </c>
      <c r="C5565" t="s">
        <v>40</v>
      </c>
      <c r="D5565">
        <v>4.8414089999999996</v>
      </c>
      <c r="E5565">
        <v>0.51179449999999904</v>
      </c>
      <c r="F5565" t="s">
        <v>41</v>
      </c>
      <c r="G5565">
        <v>-396.70409999999998</v>
      </c>
      <c r="H5565" s="1">
        <v>-2.0254289999999999E-6</v>
      </c>
      <c r="I5565">
        <v>16.87106</v>
      </c>
      <c r="J5565">
        <v>-411.6123</v>
      </c>
      <c r="K5565">
        <v>1.1149469999999999</v>
      </c>
      <c r="L5565">
        <v>24.769290000000002</v>
      </c>
      <c r="M5565">
        <v>0.77074589999999998</v>
      </c>
      <c r="N5565">
        <v>-1.159896E-2</v>
      </c>
      <c r="O5565">
        <v>-0.63703699999999996</v>
      </c>
      <c r="P5565">
        <v>0.88513399999999998</v>
      </c>
      <c r="Q5565">
        <v>0.1689136</v>
      </c>
      <c r="R5565">
        <v>-0.4335966</v>
      </c>
      <c r="S5565">
        <v>2.7199399999999998</v>
      </c>
      <c r="T5565">
        <v>-0.20222809999999999</v>
      </c>
      <c r="U5565">
        <v>-1.444672</v>
      </c>
      <c r="V5565">
        <v>-0.23165820000000001</v>
      </c>
      <c r="W5565">
        <v>0.17747479999999999</v>
      </c>
      <c r="X5565">
        <v>0.95647119999999997</v>
      </c>
      <c r="Y5565">
        <v>-0.19988980000000001</v>
      </c>
      <c r="Z5565">
        <v>4.0395760000000003E-2</v>
      </c>
      <c r="AA5565">
        <v>0.97898529999999995</v>
      </c>
      <c r="AB5565">
        <v>20</v>
      </c>
      <c r="AC5565">
        <v>14.908200000000001</v>
      </c>
      <c r="AD5565">
        <v>-1.114949025429</v>
      </c>
      <c r="AE5565">
        <v>-7.8982299999999901</v>
      </c>
      <c r="AF5565">
        <v>-3.3949491483869298</v>
      </c>
      <c r="AG5565">
        <v>-1.114949025429</v>
      </c>
      <c r="AH5565">
        <v>16.451162725719801</v>
      </c>
      <c r="AI5565">
        <v>93.797418031175795</v>
      </c>
      <c r="AJ5565">
        <v>101.660177146843</v>
      </c>
      <c r="AK5565">
        <v>16.8347719342304</v>
      </c>
      <c r="AL5565">
        <v>79.7772914461748</v>
      </c>
      <c r="AM5565">
        <v>103.61490879060599</v>
      </c>
      <c r="AN5565">
        <v>0.99999999134585904</v>
      </c>
    </row>
    <row r="5566" spans="1:40" x14ac:dyDescent="0.25">
      <c r="A5566" t="str">
        <f>"20190304155214118"</f>
        <v>20190304155214118</v>
      </c>
      <c r="B5566" t="str">
        <f>"1551685934112520"</f>
        <v>1551685934112520</v>
      </c>
      <c r="C5566" t="s">
        <v>40</v>
      </c>
      <c r="D5566">
        <v>4.2393839999999896</v>
      </c>
      <c r="E5566">
        <v>0.51179449999999904</v>
      </c>
      <c r="F5566" t="s">
        <v>41</v>
      </c>
      <c r="G5566">
        <v>-396.48930000000001</v>
      </c>
      <c r="H5566" s="1">
        <v>-2.140305E-6</v>
      </c>
      <c r="I5566">
        <v>16.795839999999998</v>
      </c>
      <c r="J5566">
        <v>-411.5301</v>
      </c>
      <c r="K5566">
        <v>1.1149549999999999</v>
      </c>
      <c r="L5566">
        <v>24.707640000000001</v>
      </c>
      <c r="M5566">
        <v>0.77343419999999996</v>
      </c>
      <c r="N5566">
        <v>-1.1599480000000001E-2</v>
      </c>
      <c r="O5566">
        <v>-0.63377069999999902</v>
      </c>
      <c r="P5566">
        <v>0.88684449999999904</v>
      </c>
      <c r="Q5566">
        <v>0.16866449999999999</v>
      </c>
      <c r="R5566">
        <v>-0.43018519999999999</v>
      </c>
      <c r="S5566">
        <v>2.724091</v>
      </c>
      <c r="T5566">
        <v>-0.2008346</v>
      </c>
      <c r="U5566">
        <v>-1.4362490000000001</v>
      </c>
      <c r="V5566">
        <v>-0.23132430000000001</v>
      </c>
      <c r="W5566">
        <v>0.177227</v>
      </c>
      <c r="X5566">
        <v>0.95659799999999995</v>
      </c>
      <c r="Y5566">
        <v>-0.19875229999999999</v>
      </c>
      <c r="Z5566">
        <v>3.9888670000000001E-2</v>
      </c>
      <c r="AA5566">
        <v>0.97923769999999999</v>
      </c>
      <c r="AB5566">
        <v>20</v>
      </c>
      <c r="AC5566">
        <v>15.0407999999999</v>
      </c>
      <c r="AD5566">
        <v>-1.11495714030499</v>
      </c>
      <c r="AE5566">
        <v>-7.9117999999999897</v>
      </c>
      <c r="AF5566">
        <v>-3.3987620275506099</v>
      </c>
      <c r="AG5566">
        <v>-1.11495714030499</v>
      </c>
      <c r="AH5566">
        <v>16.5771035428121</v>
      </c>
      <c r="AI5566">
        <v>93.769671042855293</v>
      </c>
      <c r="AJ5566">
        <v>101.586638075986</v>
      </c>
      <c r="AK5566">
        <v>16.9586283234744</v>
      </c>
      <c r="AL5566">
        <v>79.791718511104904</v>
      </c>
      <c r="AM5566">
        <v>103.59427857132199</v>
      </c>
      <c r="AN5566">
        <v>1.0000000374517399</v>
      </c>
    </row>
    <row r="5567" spans="1:40" x14ac:dyDescent="0.25">
      <c r="A5567" t="str">
        <f>"20190304155214130"</f>
        <v>20190304155214130</v>
      </c>
      <c r="B5567" t="str">
        <f>"1551685934122280"</f>
        <v>1551685934122280</v>
      </c>
      <c r="C5567" t="s">
        <v>40</v>
      </c>
      <c r="D5567">
        <v>5.0153819999999998</v>
      </c>
      <c r="E5567">
        <v>0.48566510000000002</v>
      </c>
      <c r="F5567" t="s">
        <v>41</v>
      </c>
      <c r="G5567">
        <v>-396.43180000000001</v>
      </c>
      <c r="H5567" s="1">
        <v>-2.1625160000000001E-6</v>
      </c>
      <c r="I5567">
        <v>16.823929999999901</v>
      </c>
      <c r="J5567">
        <v>-411.44529999999997</v>
      </c>
      <c r="K5567">
        <v>1.114959</v>
      </c>
      <c r="L5567">
        <v>24.644349999999999</v>
      </c>
      <c r="M5567">
        <v>0.77618710000000002</v>
      </c>
      <c r="N5567">
        <v>-1.1599969999999999E-2</v>
      </c>
      <c r="O5567">
        <v>-0.63039609999999902</v>
      </c>
      <c r="P5567">
        <v>0.88863269999999905</v>
      </c>
      <c r="Q5567">
        <v>0.168628</v>
      </c>
      <c r="R5567">
        <v>-0.42649379999999998</v>
      </c>
      <c r="S5567">
        <v>2.7297359999999999</v>
      </c>
      <c r="T5567">
        <v>-0.20158139999999999</v>
      </c>
      <c r="U5567">
        <v>-1.425354</v>
      </c>
      <c r="V5567">
        <v>-0.2311425</v>
      </c>
      <c r="W5567">
        <v>0.17718989999999901</v>
      </c>
      <c r="X5567">
        <v>0.95664879999999997</v>
      </c>
      <c r="Y5567">
        <v>-0.198381</v>
      </c>
      <c r="Z5567">
        <v>3.9889719999999997E-2</v>
      </c>
      <c r="AA5567">
        <v>0.97931290000000004</v>
      </c>
      <c r="AB5567">
        <v>20</v>
      </c>
      <c r="AC5567">
        <v>15.013499999999899</v>
      </c>
      <c r="AD5567">
        <v>-1.1149611625160001</v>
      </c>
      <c r="AE5567">
        <v>-7.8204200000000004</v>
      </c>
      <c r="AF5567">
        <v>-3.3799084373375599</v>
      </c>
      <c r="AG5567">
        <v>-1.1149611625160001</v>
      </c>
      <c r="AH5567">
        <v>16.512727782657301</v>
      </c>
      <c r="AI5567">
        <v>93.784592358252297</v>
      </c>
      <c r="AJ5567">
        <v>101.567807367933</v>
      </c>
      <c r="AK5567">
        <v>16.8919240544956</v>
      </c>
      <c r="AL5567">
        <v>79.793878200679103</v>
      </c>
      <c r="AM5567">
        <v>103.5832961118</v>
      </c>
      <c r="AN5567">
        <v>1.0000000212548401</v>
      </c>
    </row>
    <row r="5568" spans="1:40" x14ac:dyDescent="0.25">
      <c r="A5568" t="str">
        <f>"20190304155214141"</f>
        <v>20190304155214141</v>
      </c>
      <c r="B5568" t="str">
        <f>"1551685934132679"</f>
        <v>1551685934132679</v>
      </c>
      <c r="C5568" t="s">
        <v>40</v>
      </c>
      <c r="D5568">
        <v>5.0375459999999999</v>
      </c>
      <c r="E5568">
        <v>0.4788171</v>
      </c>
      <c r="F5568" t="s">
        <v>41</v>
      </c>
      <c r="G5568">
        <v>-390.14319999999998</v>
      </c>
      <c r="H5568" s="1">
        <v>-5.3874649999999998E-6</v>
      </c>
      <c r="I5568">
        <v>15.401770000000001</v>
      </c>
      <c r="J5568">
        <v>-411.3596</v>
      </c>
      <c r="K5568">
        <v>1.1149639999999901</v>
      </c>
      <c r="L5568">
        <v>24.58109</v>
      </c>
      <c r="M5568">
        <v>0.77894989999999997</v>
      </c>
      <c r="N5568">
        <v>-1.160046E-2</v>
      </c>
      <c r="O5568">
        <v>-0.62697910000000001</v>
      </c>
      <c r="P5568">
        <v>0.89038619999999902</v>
      </c>
      <c r="Q5568">
        <v>0.16827899999999901</v>
      </c>
      <c r="R5568">
        <v>-0.42295969999999999</v>
      </c>
      <c r="S5568">
        <v>2.8172609999999998</v>
      </c>
      <c r="T5568">
        <v>-0.14745639999999999</v>
      </c>
      <c r="U5568">
        <v>-1.222351</v>
      </c>
      <c r="V5568">
        <v>-0.2307785</v>
      </c>
      <c r="W5568">
        <v>0.176844</v>
      </c>
      <c r="X5568">
        <v>0.9568006</v>
      </c>
      <c r="Y5568">
        <v>-0.26447720000000002</v>
      </c>
      <c r="Z5568">
        <v>2.9062999999999999E-2</v>
      </c>
      <c r="AA5568">
        <v>0.96395390000000003</v>
      </c>
      <c r="AB5568">
        <v>20</v>
      </c>
      <c r="AC5568">
        <v>21.2164</v>
      </c>
      <c r="AD5568">
        <v>-1.11496938746499</v>
      </c>
      <c r="AE5568">
        <v>-9.1793200000000006</v>
      </c>
      <c r="AF5568">
        <v>-6.1381429372108904</v>
      </c>
      <c r="AG5568">
        <v>-1.11496938746499</v>
      </c>
      <c r="AH5568">
        <v>22.2315334922333</v>
      </c>
      <c r="AI5568">
        <v>92.767740001731099</v>
      </c>
      <c r="AJ5568">
        <v>105.434868535649</v>
      </c>
      <c r="AK5568">
        <v>23.090280138380901</v>
      </c>
      <c r="AL5568">
        <v>79.8140141017399</v>
      </c>
      <c r="AM5568">
        <v>103.560623764456</v>
      </c>
      <c r="AN5568">
        <v>0.99999995227930305</v>
      </c>
    </row>
    <row r="5569" spans="1:40" x14ac:dyDescent="0.25">
      <c r="A5569" t="str">
        <f>"20190304155214153"</f>
        <v>20190304155214153</v>
      </c>
      <c r="B5569" t="str">
        <f>"1551685934142440"</f>
        <v>1551685934142440</v>
      </c>
      <c r="C5569" t="s">
        <v>40</v>
      </c>
      <c r="D5569">
        <v>4.862368</v>
      </c>
      <c r="E5569">
        <v>0.47572199999999998</v>
      </c>
      <c r="F5569" t="s">
        <v>41</v>
      </c>
      <c r="G5569">
        <v>-391.51069999999999</v>
      </c>
      <c r="H5569" s="1">
        <v>-4.5502829999999996E-6</v>
      </c>
      <c r="I5569">
        <v>16.477070000000001</v>
      </c>
      <c r="J5569">
        <v>-411.27749999999997</v>
      </c>
      <c r="K5569">
        <v>1.114968</v>
      </c>
      <c r="L5569">
        <v>24.520969999999998</v>
      </c>
      <c r="M5569">
        <v>0.78157509999999997</v>
      </c>
      <c r="N5569">
        <v>-1.1600879999999999E-2</v>
      </c>
      <c r="O5569">
        <v>-0.62370349999999997</v>
      </c>
      <c r="P5569">
        <v>0.89210330000000004</v>
      </c>
      <c r="Q5569">
        <v>0.16796559999999999</v>
      </c>
      <c r="R5569">
        <v>-0.41945199999999999</v>
      </c>
      <c r="S5569">
        <v>2.8472900000000001</v>
      </c>
      <c r="T5569">
        <v>-0.1599401</v>
      </c>
      <c r="U5569">
        <v>-1.162506</v>
      </c>
      <c r="V5569">
        <v>-0.23056209999999999</v>
      </c>
      <c r="W5569">
        <v>0.17653239999999901</v>
      </c>
      <c r="X5569">
        <v>0.95691040000000005</v>
      </c>
      <c r="Y5569">
        <v>-0.28119159999999999</v>
      </c>
      <c r="Z5569">
        <v>3.2307009999999997E-2</v>
      </c>
      <c r="AA5569">
        <v>0.95910770000000001</v>
      </c>
      <c r="AB5569">
        <v>20</v>
      </c>
      <c r="AC5569">
        <v>19.7667999999999</v>
      </c>
      <c r="AD5569">
        <v>-1.1149725502829999</v>
      </c>
      <c r="AE5569">
        <v>-8.0439000000000007</v>
      </c>
      <c r="AF5569">
        <v>-6.0256682299816902</v>
      </c>
      <c r="AG5569">
        <v>-1.1149725502829999</v>
      </c>
      <c r="AH5569">
        <v>20.411904553857699</v>
      </c>
      <c r="AI5569">
        <v>92.998904677797</v>
      </c>
      <c r="AJ5569">
        <v>106.44679149247899</v>
      </c>
      <c r="AK5569">
        <v>21.311914248173299</v>
      </c>
      <c r="AL5569">
        <v>79.832153767865407</v>
      </c>
      <c r="AM5569">
        <v>103.546879659637</v>
      </c>
      <c r="AN5569">
        <v>1.00000004191716</v>
      </c>
    </row>
    <row r="5570" spans="1:40" x14ac:dyDescent="0.25">
      <c r="A5570" t="str">
        <f>"20190304155214164"</f>
        <v>20190304155214164</v>
      </c>
      <c r="B5570" t="str">
        <f>"1551685934152200"</f>
        <v>1551685934152200</v>
      </c>
      <c r="C5570" t="s">
        <v>40</v>
      </c>
      <c r="D5570">
        <v>4.85398</v>
      </c>
      <c r="E5570">
        <v>0.47413810000000001</v>
      </c>
      <c r="F5570" t="s">
        <v>41</v>
      </c>
      <c r="G5570">
        <v>-392.64449999999999</v>
      </c>
      <c r="H5570" s="1">
        <v>-3.8908860000000003E-6</v>
      </c>
      <c r="I5570">
        <v>17.172989999999999</v>
      </c>
      <c r="J5570">
        <v>-411.1943</v>
      </c>
      <c r="K5570">
        <v>1.1149709999999999</v>
      </c>
      <c r="L5570">
        <v>24.460570000000001</v>
      </c>
      <c r="M5570">
        <v>0.78421049999999903</v>
      </c>
      <c r="N5570">
        <v>-1.160127E-2</v>
      </c>
      <c r="O5570">
        <v>-0.62038649999999995</v>
      </c>
      <c r="P5570">
        <v>0.89382109999999904</v>
      </c>
      <c r="Q5570">
        <v>0.1677381</v>
      </c>
      <c r="R5570">
        <v>-0.41587020000000002</v>
      </c>
      <c r="S5570">
        <v>2.8640750000000001</v>
      </c>
      <c r="T5570">
        <v>-0.17138220000000001</v>
      </c>
      <c r="U5570">
        <v>-1.129456</v>
      </c>
      <c r="V5570">
        <v>-0.2303712</v>
      </c>
      <c r="W5570">
        <v>0.17630660000000001</v>
      </c>
      <c r="X5570">
        <v>0.95699789999999996</v>
      </c>
      <c r="Y5570">
        <v>-0.28848359999999901</v>
      </c>
      <c r="Z5570">
        <v>3.507888E-2</v>
      </c>
      <c r="AA5570">
        <v>0.95684210000000003</v>
      </c>
      <c r="AB5570">
        <v>20</v>
      </c>
      <c r="AC5570">
        <v>18.549800000000001</v>
      </c>
      <c r="AD5570">
        <v>-1.114974890886</v>
      </c>
      <c r="AE5570">
        <v>-7.2875800000000002</v>
      </c>
      <c r="AF5570">
        <v>-5.7753625794821799</v>
      </c>
      <c r="AG5570">
        <v>-1.114974890886</v>
      </c>
      <c r="AH5570">
        <v>19.009849432592301</v>
      </c>
      <c r="AI5570">
        <v>93.212053677205006</v>
      </c>
      <c r="AJ5570">
        <v>106.899251464069</v>
      </c>
      <c r="AK5570">
        <v>19.8990541830917</v>
      </c>
      <c r="AL5570">
        <v>79.845296302937996</v>
      </c>
      <c r="AM5570">
        <v>103.534883950688</v>
      </c>
      <c r="AN5570">
        <v>0.99999994379870305</v>
      </c>
    </row>
    <row r="5571" spans="1:40" x14ac:dyDescent="0.25">
      <c r="A5571" t="str">
        <f>"20190304155214184"</f>
        <v>20190304155214184</v>
      </c>
      <c r="B5571" t="str">
        <f>"1551685934172695"</f>
        <v>1551685934172695</v>
      </c>
      <c r="C5571" t="s">
        <v>40</v>
      </c>
      <c r="D5571">
        <v>4.841723</v>
      </c>
      <c r="E5571">
        <v>0.47259410000000002</v>
      </c>
      <c r="F5571" t="s">
        <v>41</v>
      </c>
      <c r="G5571">
        <v>-393.3458</v>
      </c>
      <c r="H5571" s="1">
        <v>-3.4853439999999998E-6</v>
      </c>
      <c r="I5571">
        <v>17.590389999999999</v>
      </c>
      <c r="J5571">
        <v>-411.05549999999999</v>
      </c>
      <c r="K5571">
        <v>1.11497</v>
      </c>
      <c r="L5571">
        <v>24.361049999999999</v>
      </c>
      <c r="M5571">
        <v>0.78856380000000004</v>
      </c>
      <c r="N5571">
        <v>-1.160185E-2</v>
      </c>
      <c r="O5571">
        <v>-0.61484369999999999</v>
      </c>
      <c r="P5571">
        <v>0.89668179999999997</v>
      </c>
      <c r="Q5571">
        <v>0.16733190000000001</v>
      </c>
      <c r="R5571">
        <v>-0.40983170000000002</v>
      </c>
      <c r="S5571">
        <v>2.8751530000000001</v>
      </c>
      <c r="T5571">
        <v>-0.17960660000000001</v>
      </c>
      <c r="U5571">
        <v>-1.106689</v>
      </c>
      <c r="V5571">
        <v>-0.23012389999999999</v>
      </c>
      <c r="W5571">
        <v>0.17590349999999999</v>
      </c>
      <c r="X5571">
        <v>0.95713159999999997</v>
      </c>
      <c r="Y5571">
        <v>-0.28947430000000002</v>
      </c>
      <c r="Z5571">
        <v>3.6826320000000003E-2</v>
      </c>
      <c r="AA5571">
        <v>0.95647709999999997</v>
      </c>
      <c r="AB5571">
        <v>20</v>
      </c>
      <c r="AC5571">
        <v>17.709699999999899</v>
      </c>
      <c r="AD5571">
        <v>-1.1149734853440001</v>
      </c>
      <c r="AE5571">
        <v>-6.7706600000000003</v>
      </c>
      <c r="AF5571">
        <v>-5.5308457426814002</v>
      </c>
      <c r="AG5571">
        <v>-1.1149734853440001</v>
      </c>
      <c r="AH5571">
        <v>18.066863672966001</v>
      </c>
      <c r="AI5571">
        <v>93.377136477521304</v>
      </c>
      <c r="AJ5571">
        <v>107.02102779021</v>
      </c>
      <c r="AK5571">
        <v>18.927360710883502</v>
      </c>
      <c r="AL5571">
        <v>79.868759242955093</v>
      </c>
      <c r="AM5571">
        <v>103.51906878806901</v>
      </c>
      <c r="AN5571">
        <v>0.99999997519100903</v>
      </c>
    </row>
    <row r="5572" spans="1:40" x14ac:dyDescent="0.25">
      <c r="A5572" t="str">
        <f>"20190304155214204"</f>
        <v>20190304155214204</v>
      </c>
      <c r="B5572" t="str">
        <f>"1551685934202951"</f>
        <v>1551685934202951</v>
      </c>
      <c r="C5572" t="s">
        <v>40</v>
      </c>
      <c r="D5572">
        <v>4.8086219999999997</v>
      </c>
      <c r="E5572">
        <v>0.4719817</v>
      </c>
      <c r="F5572" t="s">
        <v>41</v>
      </c>
      <c r="G5572">
        <v>-394.0693</v>
      </c>
      <c r="H5572" s="1">
        <v>-3.0651370000000001E-6</v>
      </c>
      <c r="I5572">
        <v>18.03115</v>
      </c>
      <c r="J5572">
        <v>-410.9</v>
      </c>
      <c r="K5572">
        <v>1.1149770000000001</v>
      </c>
      <c r="L5572">
        <v>24.251249999999999</v>
      </c>
      <c r="M5572">
        <v>0.79336640000000003</v>
      </c>
      <c r="N5572">
        <v>-1.160228E-2</v>
      </c>
      <c r="O5572">
        <v>-0.60863400000000001</v>
      </c>
      <c r="P5572">
        <v>0.8999646</v>
      </c>
      <c r="Q5572">
        <v>0.16729079999999999</v>
      </c>
      <c r="R5572">
        <v>-0.40258850000000002</v>
      </c>
      <c r="S5572">
        <v>2.8889469999999999</v>
      </c>
      <c r="T5572">
        <v>-0.18963089999999999</v>
      </c>
      <c r="U5572">
        <v>-1.0765690000000001</v>
      </c>
      <c r="V5572">
        <v>-0.23033290000000001</v>
      </c>
      <c r="W5572">
        <v>0.175858399999999</v>
      </c>
      <c r="X5572">
        <v>0.95708970000000004</v>
      </c>
      <c r="Y5572">
        <v>-0.29208460000000003</v>
      </c>
      <c r="Z5572">
        <v>3.8990120000000003E-2</v>
      </c>
      <c r="AA5572">
        <v>0.95559740000000004</v>
      </c>
      <c r="AB5572">
        <v>20</v>
      </c>
      <c r="AC5572">
        <v>16.830699999999901</v>
      </c>
      <c r="AD5572">
        <v>-1.1149800651369901</v>
      </c>
      <c r="AE5572">
        <v>-6.2200999999999897</v>
      </c>
      <c r="AF5572">
        <v>-5.2888530837305696</v>
      </c>
      <c r="AG5572">
        <v>-1.1149800651369901</v>
      </c>
      <c r="AH5572">
        <v>17.073901294861798</v>
      </c>
      <c r="AI5572">
        <v>93.569428595657996</v>
      </c>
      <c r="AJ5572">
        <v>107.211016785176</v>
      </c>
      <c r="AK5572">
        <v>17.909027134761502</v>
      </c>
      <c r="AL5572">
        <v>79.871385047124704</v>
      </c>
      <c r="AM5572">
        <v>103.531466224925</v>
      </c>
      <c r="AN5572">
        <v>1.0000000577595201</v>
      </c>
    </row>
    <row r="5573" spans="1:40" x14ac:dyDescent="0.25">
      <c r="A5573" t="str">
        <f>"20190304155214216"</f>
        <v>20190304155214216</v>
      </c>
      <c r="B5573" t="str">
        <f>"1551685934212712"</f>
        <v>1551685934212712</v>
      </c>
      <c r="C5573" t="s">
        <v>40</v>
      </c>
      <c r="D5573">
        <v>4.8442889999999998</v>
      </c>
      <c r="E5573">
        <v>0.47202719999999998</v>
      </c>
      <c r="F5573" t="s">
        <v>41</v>
      </c>
      <c r="G5573">
        <v>-394.48910000000001</v>
      </c>
      <c r="H5573" s="1">
        <v>-2.8170630000000001E-6</v>
      </c>
      <c r="I5573">
        <v>18.311060000000001</v>
      </c>
      <c r="J5573">
        <v>-410.81029999999998</v>
      </c>
      <c r="K5573">
        <v>1.1149800000000001</v>
      </c>
      <c r="L5573">
        <v>24.1889</v>
      </c>
      <c r="M5573">
        <v>0.79609940000000001</v>
      </c>
      <c r="N5573">
        <v>-1.160247E-2</v>
      </c>
      <c r="O5573">
        <v>-0.60505469999999995</v>
      </c>
      <c r="P5573">
        <v>0.90170479999999997</v>
      </c>
      <c r="Q5573">
        <v>0.1671079</v>
      </c>
      <c r="R5573">
        <v>-0.39875270000000002</v>
      </c>
      <c r="S5573">
        <v>2.900452</v>
      </c>
      <c r="T5573">
        <v>-0.19706080000000001</v>
      </c>
      <c r="U5573">
        <v>-1.049866</v>
      </c>
      <c r="V5573">
        <v>-0.23011679999999901</v>
      </c>
      <c r="W5573">
        <v>0.1756781</v>
      </c>
      <c r="X5573">
        <v>0.95717470000000004</v>
      </c>
      <c r="Y5573">
        <v>-0.29666090000000001</v>
      </c>
      <c r="Z5573">
        <v>4.0703839999999998E-2</v>
      </c>
      <c r="AA5573">
        <v>0.95411500000000005</v>
      </c>
      <c r="AB5573">
        <v>20</v>
      </c>
      <c r="AC5573">
        <v>16.321199999999902</v>
      </c>
      <c r="AD5573">
        <v>-1.1149828170629901</v>
      </c>
      <c r="AE5573">
        <v>-5.8778399999999902</v>
      </c>
      <c r="AF5573">
        <v>-5.1748454566806297</v>
      </c>
      <c r="AG5573">
        <v>-1.1149828170629901</v>
      </c>
      <c r="AH5573">
        <v>16.482733285139702</v>
      </c>
      <c r="AI5573">
        <v>93.692718291463095</v>
      </c>
      <c r="AJ5573">
        <v>107.429969907228</v>
      </c>
      <c r="AK5573">
        <v>17.3119238888093</v>
      </c>
      <c r="AL5573">
        <v>79.881877964448094</v>
      </c>
      <c r="AM5573">
        <v>103.51808061075199</v>
      </c>
      <c r="AN5573">
        <v>0.99999997139096897</v>
      </c>
    </row>
    <row r="5574" spans="1:40" x14ac:dyDescent="0.25">
      <c r="A5574" t="str">
        <f>"20190304155214228"</f>
        <v>20190304155214228</v>
      </c>
      <c r="B5574" t="str">
        <f>"1551685934222473"</f>
        <v>1551685934222473</v>
      </c>
      <c r="C5574" t="s">
        <v>40</v>
      </c>
      <c r="D5574">
        <v>4.8455839999999997</v>
      </c>
      <c r="E5574">
        <v>0.47225450000000002</v>
      </c>
      <c r="F5574" t="s">
        <v>41</v>
      </c>
      <c r="G5574">
        <v>-394.59339999999997</v>
      </c>
      <c r="H5574" s="1">
        <v>-2.7530639999999998E-6</v>
      </c>
      <c r="I5574">
        <v>18.393719999999998</v>
      </c>
      <c r="J5574">
        <v>-410.72629999999998</v>
      </c>
      <c r="K5574">
        <v>1.114981</v>
      </c>
      <c r="L5574">
        <v>24.130739999999999</v>
      </c>
      <c r="M5574">
        <v>0.79864029999999997</v>
      </c>
      <c r="N5574">
        <v>-1.1602629999999999E-2</v>
      </c>
      <c r="O5574">
        <v>-0.60169689999999998</v>
      </c>
      <c r="P5574">
        <v>0.90338079999999998</v>
      </c>
      <c r="Q5574">
        <v>0.16697010000000001</v>
      </c>
      <c r="R5574">
        <v>-0.39499879999999998</v>
      </c>
      <c r="S5574">
        <v>2.9049990000000001</v>
      </c>
      <c r="T5574">
        <v>-0.19973160000000001</v>
      </c>
      <c r="U5574">
        <v>-1.038116</v>
      </c>
      <c r="V5574">
        <v>-0.23008110000000001</v>
      </c>
      <c r="W5574">
        <v>0.17554059999999999</v>
      </c>
      <c r="X5574">
        <v>0.95720859999999997</v>
      </c>
      <c r="Y5574">
        <v>-0.2965005</v>
      </c>
      <c r="Z5574">
        <v>4.1171640000000002E-2</v>
      </c>
      <c r="AA5574">
        <v>0.95414480000000002</v>
      </c>
      <c r="AB5574">
        <v>20</v>
      </c>
      <c r="AC5574">
        <v>16.132899999999999</v>
      </c>
      <c r="AD5574">
        <v>-1.1149837530640001</v>
      </c>
      <c r="AE5574">
        <v>-5.7370199999999896</v>
      </c>
      <c r="AF5574">
        <v>-5.1040027608782799</v>
      </c>
      <c r="AG5574">
        <v>-1.1149837530640001</v>
      </c>
      <c r="AH5574">
        <v>16.2684469057277</v>
      </c>
      <c r="AI5574">
        <v>93.741457958038197</v>
      </c>
      <c r="AJ5574">
        <v>107.41853600234801</v>
      </c>
      <c r="AK5574">
        <v>17.086731626532</v>
      </c>
      <c r="AL5574">
        <v>79.889881393058204</v>
      </c>
      <c r="AM5574">
        <v>103.515599265517</v>
      </c>
      <c r="AN5574">
        <v>1.00000005936976</v>
      </c>
    </row>
    <row r="5575" spans="1:40" x14ac:dyDescent="0.25">
      <c r="A5575" t="str">
        <f>"20190304155214240"</f>
        <v>20190304155214240</v>
      </c>
      <c r="B5575" t="str">
        <f>"1551685934232231"</f>
        <v>1551685934232231</v>
      </c>
      <c r="C5575" t="s">
        <v>40</v>
      </c>
      <c r="D5575">
        <v>4.7738370000000003</v>
      </c>
      <c r="E5575">
        <v>0.47250510000000001</v>
      </c>
      <c r="F5575" t="s">
        <v>41</v>
      </c>
      <c r="G5575">
        <v>-394.63170000000002</v>
      </c>
      <c r="H5575" s="1">
        <v>-2.726307E-6</v>
      </c>
      <c r="I5575">
        <v>18.442509999999999</v>
      </c>
      <c r="J5575">
        <v>-410.63659999999999</v>
      </c>
      <c r="K5575">
        <v>1.114984</v>
      </c>
      <c r="L5575">
        <v>24.069579999999998</v>
      </c>
      <c r="M5575">
        <v>0.80132230000000004</v>
      </c>
      <c r="N5575">
        <v>-1.160285E-2</v>
      </c>
      <c r="O5575">
        <v>-0.59812049999999894</v>
      </c>
      <c r="P5575">
        <v>0.90493939999999995</v>
      </c>
      <c r="Q5575">
        <v>0.16715369999999999</v>
      </c>
      <c r="R5575">
        <v>-0.39133770000000001</v>
      </c>
      <c r="S5575">
        <v>2.90863</v>
      </c>
      <c r="T5575">
        <v>-0.20150129999999999</v>
      </c>
      <c r="U5575">
        <v>-1.0279849999999999</v>
      </c>
      <c r="V5575">
        <v>-0.22965959999999999</v>
      </c>
      <c r="W5575">
        <v>0.17572929999999901</v>
      </c>
      <c r="X5575">
        <v>0.95727519999999999</v>
      </c>
      <c r="Y5575">
        <v>-0.29554029999999998</v>
      </c>
      <c r="Z5575">
        <v>4.1392209999999999E-2</v>
      </c>
      <c r="AA5575">
        <v>0.95443310000000003</v>
      </c>
      <c r="AB5575">
        <v>20</v>
      </c>
      <c r="AC5575">
        <v>16.0048999999999</v>
      </c>
      <c r="AD5575">
        <v>-1.1149867263069999</v>
      </c>
      <c r="AE5575">
        <v>-5.62706999999999</v>
      </c>
      <c r="AF5575">
        <v>-5.0423230303013602</v>
      </c>
      <c r="AG5575">
        <v>-1.1149867263069999</v>
      </c>
      <c r="AH5575">
        <v>16.122200393362899</v>
      </c>
      <c r="AI5575">
        <v>93.776361815926094</v>
      </c>
      <c r="AJ5575">
        <v>107.36741272367399</v>
      </c>
      <c r="AK5575">
        <v>16.929074471615301</v>
      </c>
      <c r="AL5575">
        <v>79.878899005925803</v>
      </c>
      <c r="AM5575">
        <v>103.490840810115</v>
      </c>
      <c r="AN5575">
        <v>1.0000000636428401</v>
      </c>
    </row>
    <row r="5576" spans="1:40" x14ac:dyDescent="0.25">
      <c r="A5576" t="str">
        <f>"20190304155214260"</f>
        <v>20190304155214260</v>
      </c>
      <c r="B5576" t="str">
        <f>"1551685934252731"</f>
        <v>1551685934252731</v>
      </c>
      <c r="C5576" t="s">
        <v>40</v>
      </c>
      <c r="D5576">
        <v>4.8261609999999999</v>
      </c>
      <c r="E5576">
        <v>0.47280859999999902</v>
      </c>
      <c r="F5576" t="s">
        <v>41</v>
      </c>
      <c r="G5576">
        <v>-394.76010000000002</v>
      </c>
      <c r="H5576" s="1">
        <v>-2.6523949999999999E-6</v>
      </c>
      <c r="I5576">
        <v>18.517009999999999</v>
      </c>
      <c r="J5576">
        <v>-410.48899999999998</v>
      </c>
      <c r="K5576">
        <v>1.114986</v>
      </c>
      <c r="L5576">
        <v>23.969909999999999</v>
      </c>
      <c r="M5576">
        <v>0.80568819999999997</v>
      </c>
      <c r="N5576">
        <v>-1.1603179999999999E-2</v>
      </c>
      <c r="O5576">
        <v>-0.59222619999999904</v>
      </c>
      <c r="P5576">
        <v>0.90756829999999999</v>
      </c>
      <c r="Q5576">
        <v>0.1669775</v>
      </c>
      <c r="R5576">
        <v>-0.38527699999999998</v>
      </c>
      <c r="S5576">
        <v>2.912445</v>
      </c>
      <c r="T5576">
        <v>-0.20453740000000001</v>
      </c>
      <c r="U5576">
        <v>-1.0185850000000001</v>
      </c>
      <c r="V5576">
        <v>-0.22905629999999999</v>
      </c>
      <c r="W5576">
        <v>0.175560299999999</v>
      </c>
      <c r="X5576">
        <v>0.95745069999999999</v>
      </c>
      <c r="Y5576">
        <v>-0.29163559999999999</v>
      </c>
      <c r="Z5576">
        <v>4.1688700000000002E-2</v>
      </c>
      <c r="AA5576">
        <v>0.95562060000000004</v>
      </c>
      <c r="AB5576">
        <v>20</v>
      </c>
      <c r="AC5576">
        <v>15.728899999999999</v>
      </c>
      <c r="AD5576">
        <v>-1.1149886523949999</v>
      </c>
      <c r="AE5576">
        <v>-5.4528999999999996</v>
      </c>
      <c r="AF5576">
        <v>-4.9000794184038696</v>
      </c>
      <c r="AG5576">
        <v>-1.1149886523949999</v>
      </c>
      <c r="AH5576">
        <v>15.831988730811499</v>
      </c>
      <c r="AI5576">
        <v>93.848923826837293</v>
      </c>
      <c r="AJ5576">
        <v>107.197556893194</v>
      </c>
      <c r="AK5576">
        <v>16.610413756862801</v>
      </c>
      <c r="AL5576">
        <v>79.888734512183802</v>
      </c>
      <c r="AM5576">
        <v>103.454314930899</v>
      </c>
      <c r="AN5576">
        <v>1.00000002521813</v>
      </c>
    </row>
    <row r="5577" spans="1:40" x14ac:dyDescent="0.25">
      <c r="A5577" t="str">
        <f>"20190304155214273"</f>
        <v>20190304155214273</v>
      </c>
      <c r="B5577" t="str">
        <f>"1551685934262487"</f>
        <v>1551685934262487</v>
      </c>
      <c r="C5577" t="s">
        <v>40</v>
      </c>
      <c r="D5577">
        <v>4.8435249999999996</v>
      </c>
      <c r="E5577">
        <v>0.47277540000000001</v>
      </c>
      <c r="F5577" t="s">
        <v>41</v>
      </c>
      <c r="G5577">
        <v>-394.72899999999998</v>
      </c>
      <c r="H5577" s="1">
        <v>-2.6590030000000002E-6</v>
      </c>
      <c r="I5577">
        <v>18.562760000000001</v>
      </c>
      <c r="J5577">
        <v>-410.38780000000003</v>
      </c>
      <c r="K5577">
        <v>1.1149800000000001</v>
      </c>
      <c r="L5577">
        <v>23.9025</v>
      </c>
      <c r="M5577">
        <v>0.80864130000000001</v>
      </c>
      <c r="N5577">
        <v>-1.160341E-2</v>
      </c>
      <c r="O5577">
        <v>-0.58818749999999997</v>
      </c>
      <c r="P5577">
        <v>0.90935580000000005</v>
      </c>
      <c r="Q5577">
        <v>0.166783399999999</v>
      </c>
      <c r="R5577">
        <v>-0.38112380000000001</v>
      </c>
      <c r="S5577">
        <v>2.918396</v>
      </c>
      <c r="T5577">
        <v>-0.20647070000000001</v>
      </c>
      <c r="U5577">
        <v>-1.001282</v>
      </c>
      <c r="V5577">
        <v>-0.22866139999999999</v>
      </c>
      <c r="W5577">
        <v>0.1753711</v>
      </c>
      <c r="X5577">
        <v>0.95757969999999903</v>
      </c>
      <c r="Y5577">
        <v>-0.29249160000000002</v>
      </c>
      <c r="Z5577">
        <v>4.1974650000000002E-2</v>
      </c>
      <c r="AA5577">
        <v>0.95534640000000004</v>
      </c>
      <c r="AB5577">
        <v>20</v>
      </c>
      <c r="AC5577">
        <v>15.6587999999999</v>
      </c>
      <c r="AD5577">
        <v>-1.1149826590030001</v>
      </c>
      <c r="AE5577">
        <v>-5.3397399999999902</v>
      </c>
      <c r="AF5577">
        <v>-4.8705836527239104</v>
      </c>
      <c r="AG5577">
        <v>-1.1149826590030001</v>
      </c>
      <c r="AH5577">
        <v>15.7327276868144</v>
      </c>
      <c r="AI5577">
        <v>93.873028052062097</v>
      </c>
      <c r="AJ5577">
        <v>107.201631434356</v>
      </c>
      <c r="AK5577">
        <v>16.507104286200899</v>
      </c>
      <c r="AL5577">
        <v>79.899745144639397</v>
      </c>
      <c r="AM5577">
        <v>103.43021661665</v>
      </c>
      <c r="AN5577">
        <v>0.99999997020862896</v>
      </c>
    </row>
    <row r="5578" spans="1:40" x14ac:dyDescent="0.25">
      <c r="A5578" t="str">
        <f>"20190304155214284"</f>
        <v>20190304155214284</v>
      </c>
      <c r="B5578" t="str">
        <f>"1551685934282983"</f>
        <v>1551685934282983</v>
      </c>
      <c r="C5578" t="s">
        <v>40</v>
      </c>
      <c r="D5578">
        <v>4.8532890000000002</v>
      </c>
      <c r="E5578">
        <v>0.47308060000000002</v>
      </c>
      <c r="F5578" t="s">
        <v>41</v>
      </c>
      <c r="G5578">
        <v>-394.7199</v>
      </c>
      <c r="H5578" s="1">
        <v>-2.6550150000000002E-6</v>
      </c>
      <c r="I5578">
        <v>18.60932</v>
      </c>
      <c r="J5578">
        <v>-410.2996</v>
      </c>
      <c r="K5578">
        <v>1.1149819999999999</v>
      </c>
      <c r="L5578">
        <v>23.844180000000001</v>
      </c>
      <c r="M5578">
        <v>0.81119359999999996</v>
      </c>
      <c r="N5578">
        <v>-1.160363E-2</v>
      </c>
      <c r="O5578">
        <v>-0.58466289999999999</v>
      </c>
      <c r="P5578">
        <v>0.91062240000000005</v>
      </c>
      <c r="Q5578">
        <v>0.16695189999999999</v>
      </c>
      <c r="R5578">
        <v>-0.37801390000000001</v>
      </c>
      <c r="S5578">
        <v>2.9232480000000001</v>
      </c>
      <c r="T5578">
        <v>-0.20802889999999999</v>
      </c>
      <c r="U5578">
        <v>-0.98757930000000005</v>
      </c>
      <c r="V5578">
        <v>-0.2277498</v>
      </c>
      <c r="W5578">
        <v>0.17555090000000001</v>
      </c>
      <c r="X5578">
        <v>0.95776399999999995</v>
      </c>
      <c r="Y5578">
        <v>-0.2928114</v>
      </c>
      <c r="Z5578">
        <v>4.2173429999999998E-2</v>
      </c>
      <c r="AA5578">
        <v>0.95523970000000002</v>
      </c>
      <c r="AB5578">
        <v>20</v>
      </c>
      <c r="AC5578">
        <v>15.579700000000001</v>
      </c>
      <c r="AD5578">
        <v>-1.114984655015</v>
      </c>
      <c r="AE5578">
        <v>-5.2348599999999896</v>
      </c>
      <c r="AF5578">
        <v>-4.8404374750159596</v>
      </c>
      <c r="AG5578">
        <v>-1.114984655015</v>
      </c>
      <c r="AH5578">
        <v>15.6279126642953</v>
      </c>
      <c r="AI5578">
        <v>93.898769384719003</v>
      </c>
      <c r="AJ5578">
        <v>107.209335232459</v>
      </c>
      <c r="AK5578">
        <v>16.398313327086399</v>
      </c>
      <c r="AL5578">
        <v>79.889281175842996</v>
      </c>
      <c r="AM5578">
        <v>103.37612144072899</v>
      </c>
      <c r="AN5578">
        <v>0.999999984793424</v>
      </c>
    </row>
    <row r="5579" spans="1:40" x14ac:dyDescent="0.25">
      <c r="A5579" t="str">
        <f>"20190304155214296"</f>
        <v>20190304155214296</v>
      </c>
      <c r="B5579" t="str">
        <f>"1551685934292744"</f>
        <v>1551685934292744</v>
      </c>
      <c r="C5579" t="s">
        <v>40</v>
      </c>
      <c r="D5579">
        <v>4.86531</v>
      </c>
      <c r="E5579">
        <v>0.473356</v>
      </c>
      <c r="F5579" t="s">
        <v>41</v>
      </c>
      <c r="G5579">
        <v>-394.6336</v>
      </c>
      <c r="H5579" s="1">
        <v>-2.6976050000000002E-6</v>
      </c>
      <c r="I5579">
        <v>18.599219999999999</v>
      </c>
      <c r="J5579">
        <v>-410.21620000000001</v>
      </c>
      <c r="K5579">
        <v>1.114984</v>
      </c>
      <c r="L5579">
        <v>23.789829999999998</v>
      </c>
      <c r="M5579">
        <v>0.81357959999999996</v>
      </c>
      <c r="N5579">
        <v>-1.160393E-2</v>
      </c>
      <c r="O5579">
        <v>-0.58133789999999996</v>
      </c>
      <c r="P5579">
        <v>0.91204240000000003</v>
      </c>
      <c r="Q5579">
        <v>0.16725000000000001</v>
      </c>
      <c r="R5579">
        <v>-0.37444139999999998</v>
      </c>
      <c r="S5579">
        <v>2.925964</v>
      </c>
      <c r="T5579">
        <v>-0.2082485</v>
      </c>
      <c r="U5579">
        <v>-0.97961430000000005</v>
      </c>
      <c r="V5579">
        <v>-0.2275566</v>
      </c>
      <c r="W5579">
        <v>0.17585039999999999</v>
      </c>
      <c r="X5579">
        <v>0.95775500000000002</v>
      </c>
      <c r="Y5579">
        <v>-0.29150769999999998</v>
      </c>
      <c r="Z5579">
        <v>4.2020830000000002E-2</v>
      </c>
      <c r="AA5579">
        <v>0.95564510000000003</v>
      </c>
      <c r="AB5579">
        <v>20</v>
      </c>
      <c r="AC5579">
        <v>15.582599999999999</v>
      </c>
      <c r="AD5579">
        <v>-1.114986697605</v>
      </c>
      <c r="AE5579">
        <v>-5.1906099999999897</v>
      </c>
      <c r="AF5579">
        <v>-4.8139216612292799</v>
      </c>
      <c r="AG5579">
        <v>-1.114986697605</v>
      </c>
      <c r="AH5579">
        <v>15.624234553573</v>
      </c>
      <c r="AI5579">
        <v>93.9014725514822</v>
      </c>
      <c r="AJ5579">
        <v>107.12438348586301</v>
      </c>
      <c r="AK5579">
        <v>16.3869991908632</v>
      </c>
      <c r="AL5579">
        <v>79.871850126487004</v>
      </c>
      <c r="AM5579">
        <v>103.365302894609</v>
      </c>
      <c r="AN5579">
        <v>1.00000000470436</v>
      </c>
    </row>
    <row r="5580" spans="1:40" x14ac:dyDescent="0.25">
      <c r="A5580" t="str">
        <f>"20190304155214308"</f>
        <v>20190304155214308</v>
      </c>
      <c r="B5580" t="str">
        <f>"1551685934302503"</f>
        <v>1551685934302503</v>
      </c>
      <c r="C5580" t="s">
        <v>40</v>
      </c>
      <c r="D5580">
        <v>4.843985</v>
      </c>
      <c r="E5580">
        <v>0.47366209999999997</v>
      </c>
      <c r="F5580" t="s">
        <v>41</v>
      </c>
      <c r="G5580">
        <v>-394.48140000000001</v>
      </c>
      <c r="H5580" s="1">
        <v>-2.7735530000000002E-6</v>
      </c>
      <c r="I5580">
        <v>18.576750000000001</v>
      </c>
      <c r="J5580">
        <v>-410.12759999999997</v>
      </c>
      <c r="K5580">
        <v>1.1149880000000001</v>
      </c>
      <c r="L5580">
        <v>23.73227</v>
      </c>
      <c r="M5580">
        <v>0.81609799999999999</v>
      </c>
      <c r="N5580">
        <v>-1.160426E-2</v>
      </c>
      <c r="O5580">
        <v>-0.57779700000000001</v>
      </c>
      <c r="P5580">
        <v>0.9134139</v>
      </c>
      <c r="Q5580">
        <v>0.16759859999999999</v>
      </c>
      <c r="R5580">
        <v>-0.37092560000000002</v>
      </c>
      <c r="S5580">
        <v>2.9289860000000001</v>
      </c>
      <c r="T5580">
        <v>-0.20755119999999999</v>
      </c>
      <c r="U5580">
        <v>-0.97039790000000004</v>
      </c>
      <c r="V5580">
        <v>-0.22705059999999999</v>
      </c>
      <c r="W5580">
        <v>0.17620429999999901</v>
      </c>
      <c r="X5580">
        <v>0.95781000000000005</v>
      </c>
      <c r="Y5580">
        <v>-0.2903732</v>
      </c>
      <c r="Z5580">
        <v>4.1657159999999999E-2</v>
      </c>
      <c r="AA5580">
        <v>0.95600629999999998</v>
      </c>
      <c r="AB5580">
        <v>21</v>
      </c>
      <c r="AC5580">
        <v>15.646199999999901</v>
      </c>
      <c r="AD5580">
        <v>-1.11499077355299</v>
      </c>
      <c r="AE5580">
        <v>-5.1555199999999903</v>
      </c>
      <c r="AF5580">
        <v>-4.8112032391257502</v>
      </c>
      <c r="AG5580">
        <v>-1.11499077355299</v>
      </c>
      <c r="AH5580">
        <v>15.676921159299299</v>
      </c>
      <c r="AI5580">
        <v>93.889731789078098</v>
      </c>
      <c r="AJ5580">
        <v>107.06110346667199</v>
      </c>
      <c r="AK5580">
        <v>16.436445420715799</v>
      </c>
      <c r="AL5580">
        <v>79.851251082679497</v>
      </c>
      <c r="AM5580">
        <v>103.335908070996</v>
      </c>
      <c r="AN5580">
        <v>0.99999996319942397</v>
      </c>
    </row>
    <row r="5581" spans="1:40" x14ac:dyDescent="0.25">
      <c r="A5581" t="str">
        <f>"20190304155214320"</f>
        <v>20190304155214320</v>
      </c>
      <c r="B5581" t="str">
        <f>"1551685934312264"</f>
        <v>1551685934312264</v>
      </c>
      <c r="C5581" t="s">
        <v>40</v>
      </c>
      <c r="D5581">
        <v>4.7493619999999996</v>
      </c>
      <c r="E5581">
        <v>0.47366209999999997</v>
      </c>
      <c r="F5581" t="s">
        <v>41</v>
      </c>
      <c r="G5581">
        <v>-394.30090000000001</v>
      </c>
      <c r="H5581" s="1">
        <v>-2.8650999999999999E-6</v>
      </c>
      <c r="I5581">
        <v>18.541550000000001</v>
      </c>
      <c r="J5581">
        <v>-410.03469999999999</v>
      </c>
      <c r="K5581">
        <v>1.114992</v>
      </c>
      <c r="L5581">
        <v>23.672910000000002</v>
      </c>
      <c r="M5581">
        <v>0.81870929999999997</v>
      </c>
      <c r="N5581">
        <v>-1.1604649999999999E-2</v>
      </c>
      <c r="O5581">
        <v>-0.57409109999999997</v>
      </c>
      <c r="P5581">
        <v>0.91500340000000002</v>
      </c>
      <c r="Q5581">
        <v>0.16785929999999999</v>
      </c>
      <c r="R5581">
        <v>-0.36686839999999998</v>
      </c>
      <c r="S5581">
        <v>2.9317929999999999</v>
      </c>
      <c r="T5581">
        <v>-0.20654510000000001</v>
      </c>
      <c r="U5581">
        <v>-0.96154790000000001</v>
      </c>
      <c r="V5581">
        <v>-0.22693479999999999</v>
      </c>
      <c r="W5581">
        <v>0.17646529999999999</v>
      </c>
      <c r="X5581">
        <v>0.95778940000000001</v>
      </c>
      <c r="Y5581">
        <v>-0.28893489999999999</v>
      </c>
      <c r="Z5581">
        <v>4.1207929999999997E-2</v>
      </c>
      <c r="AA5581">
        <v>0.95646140000000002</v>
      </c>
      <c r="AB5581">
        <v>21</v>
      </c>
      <c r="AC5581">
        <v>15.733799999999899</v>
      </c>
      <c r="AD5581">
        <v>-1.1149948650999999</v>
      </c>
      <c r="AE5581">
        <v>-5.1313599999999999</v>
      </c>
      <c r="AF5581">
        <v>-4.8100335813254498</v>
      </c>
      <c r="AG5581">
        <v>-1.1149948650999999</v>
      </c>
      <c r="AH5581">
        <v>15.756817428357699</v>
      </c>
      <c r="AI5581">
        <v>93.871843704595705</v>
      </c>
      <c r="AJ5581">
        <v>106.97569151038699</v>
      </c>
      <c r="AK5581">
        <v>16.5123266704991</v>
      </c>
      <c r="AL5581">
        <v>79.836058896139093</v>
      </c>
      <c r="AM5581">
        <v>103.329625788762</v>
      </c>
      <c r="AN5581">
        <v>0.99999997015374398</v>
      </c>
    </row>
    <row r="5582" spans="1:40" x14ac:dyDescent="0.25">
      <c r="A5582" t="str">
        <f>"20190304155214330"</f>
        <v>20190304155214330</v>
      </c>
      <c r="B5582" t="str">
        <f>"1551685934323000"</f>
        <v>1551685934323000</v>
      </c>
      <c r="C5582" t="s">
        <v>40</v>
      </c>
      <c r="D5582">
        <v>4.8399369999999999</v>
      </c>
      <c r="E5582">
        <v>0.47396159999999998</v>
      </c>
      <c r="F5582" t="s">
        <v>41</v>
      </c>
      <c r="G5582">
        <v>-394.13200000000001</v>
      </c>
      <c r="H5582" s="1">
        <v>-2.9465530000000001E-6</v>
      </c>
      <c r="I5582">
        <v>18.532620000000001</v>
      </c>
      <c r="J5582">
        <v>-409.95150000000001</v>
      </c>
      <c r="K5582">
        <v>1.1149960000000001</v>
      </c>
      <c r="L5582">
        <v>23.62</v>
      </c>
      <c r="M5582">
        <v>0.82102919999999902</v>
      </c>
      <c r="N5582">
        <v>-1.1604929999999999E-2</v>
      </c>
      <c r="O5582">
        <v>-0.57076819999999995</v>
      </c>
      <c r="P5582">
        <v>0.91639119999999996</v>
      </c>
      <c r="Q5582">
        <v>0.1681212</v>
      </c>
      <c r="R5582">
        <v>-0.36326629999999999</v>
      </c>
      <c r="S5582">
        <v>2.9359739999999999</v>
      </c>
      <c r="T5582">
        <v>-0.20585110000000001</v>
      </c>
      <c r="U5582">
        <v>-0.94900510000000005</v>
      </c>
      <c r="V5582">
        <v>-0.2267969</v>
      </c>
      <c r="W5582">
        <v>0.1767281</v>
      </c>
      <c r="X5582">
        <v>0.9577736</v>
      </c>
      <c r="Y5582">
        <v>-0.28916829999999999</v>
      </c>
      <c r="Z5582">
        <v>4.090278E-2</v>
      </c>
      <c r="AA5582">
        <v>0.95640400000000003</v>
      </c>
      <c r="AB5582">
        <v>21</v>
      </c>
      <c r="AC5582">
        <v>15.8195</v>
      </c>
      <c r="AD5582">
        <v>-1.1149989465529999</v>
      </c>
      <c r="AE5582">
        <v>-5.0873799999999996</v>
      </c>
      <c r="AF5582">
        <v>-4.8309570534544797</v>
      </c>
      <c r="AG5582">
        <v>-1.1149989465529999</v>
      </c>
      <c r="AH5582">
        <v>15.8218240274997</v>
      </c>
      <c r="AI5582">
        <v>93.855924527117395</v>
      </c>
      <c r="AJ5582">
        <v>106.979266134894</v>
      </c>
      <c r="AK5582">
        <v>16.5804548870139</v>
      </c>
      <c r="AL5582">
        <v>79.820761050669702</v>
      </c>
      <c r="AM5582">
        <v>103.322026658295</v>
      </c>
      <c r="AN5582">
        <v>0.99999996201808905</v>
      </c>
    </row>
    <row r="5583" spans="1:40" x14ac:dyDescent="0.25">
      <c r="A5583" t="str">
        <f>"20190304155214341"</f>
        <v>20190304155214341</v>
      </c>
      <c r="B5583" t="str">
        <f>"1551685934332760"</f>
        <v>1551685934332760</v>
      </c>
      <c r="C5583" t="s">
        <v>40</v>
      </c>
      <c r="D5583">
        <v>4.8233829999999998</v>
      </c>
      <c r="E5583">
        <v>0.47410760000000002</v>
      </c>
      <c r="F5583" t="s">
        <v>41</v>
      </c>
      <c r="G5583">
        <v>-394.04860000000002</v>
      </c>
      <c r="H5583" s="1">
        <v>-2.9862260000000002E-6</v>
      </c>
      <c r="I5583">
        <v>18.53107</v>
      </c>
      <c r="J5583">
        <v>-409.86649999999997</v>
      </c>
      <c r="K5583">
        <v>1.115003</v>
      </c>
      <c r="L5583">
        <v>23.566469999999999</v>
      </c>
      <c r="M5583">
        <v>0.82338080000000002</v>
      </c>
      <c r="N5583">
        <v>-1.160512E-2</v>
      </c>
      <c r="O5583">
        <v>-0.56737079999999995</v>
      </c>
      <c r="P5583">
        <v>0.91776409999999997</v>
      </c>
      <c r="Q5583">
        <v>0.1686301</v>
      </c>
      <c r="R5583">
        <v>-0.35954609999999998</v>
      </c>
      <c r="S5583">
        <v>2.9387509999999999</v>
      </c>
      <c r="T5583">
        <v>-0.20604459999999999</v>
      </c>
      <c r="U5583">
        <v>-0.94039919999999999</v>
      </c>
      <c r="V5583">
        <v>-0.22667770000000001</v>
      </c>
      <c r="W5583">
        <v>0.17723639999999999</v>
      </c>
      <c r="X5583">
        <v>0.95770789999999995</v>
      </c>
      <c r="Y5583">
        <v>-0.28802030000000001</v>
      </c>
      <c r="Z5583">
        <v>4.0746480000000002E-2</v>
      </c>
      <c r="AA5583">
        <v>0.95675710000000003</v>
      </c>
      <c r="AB5583">
        <v>21</v>
      </c>
      <c r="AC5583">
        <v>15.8178999999999</v>
      </c>
      <c r="AD5583">
        <v>-1.115005986226</v>
      </c>
      <c r="AE5583">
        <v>-5.0354000000000001</v>
      </c>
      <c r="AF5583">
        <v>-4.8071990450983098</v>
      </c>
      <c r="AG5583">
        <v>-1.115005986226</v>
      </c>
      <c r="AH5583">
        <v>15.810828591798201</v>
      </c>
      <c r="AI5583">
        <v>93.860006440229796</v>
      </c>
      <c r="AJ5583">
        <v>106.911617594703</v>
      </c>
      <c r="AK5583">
        <v>16.5630523083077</v>
      </c>
      <c r="AL5583">
        <v>79.791170586367002</v>
      </c>
      <c r="AM5583">
        <v>103.316155222052</v>
      </c>
      <c r="AN5583">
        <v>0.99999997144232899</v>
      </c>
    </row>
    <row r="5584" spans="1:40" x14ac:dyDescent="0.25">
      <c r="A5584" t="str">
        <f>"20190304155214353"</f>
        <v>20190304155214353</v>
      </c>
      <c r="B5584" t="str">
        <f>"1551685934342520"</f>
        <v>1551685934342520</v>
      </c>
      <c r="C5584" t="s">
        <v>40</v>
      </c>
      <c r="D5584">
        <v>4.8414080000000004</v>
      </c>
      <c r="E5584">
        <v>0.47445150000000003</v>
      </c>
      <c r="F5584" t="s">
        <v>41</v>
      </c>
      <c r="G5584">
        <v>-393.9359</v>
      </c>
      <c r="H5584" s="1">
        <v>-3.0393650000000002E-6</v>
      </c>
      <c r="I5584">
        <v>18.531790000000001</v>
      </c>
      <c r="J5584">
        <v>-409.7835</v>
      </c>
      <c r="K5584">
        <v>1.115005</v>
      </c>
      <c r="L5584">
        <v>23.514710000000001</v>
      </c>
      <c r="M5584">
        <v>0.82565279999999996</v>
      </c>
      <c r="N5584">
        <v>-1.1605209999999999E-2</v>
      </c>
      <c r="O5584">
        <v>-0.56405919999999998</v>
      </c>
      <c r="P5584">
        <v>0.91909379999999996</v>
      </c>
      <c r="Q5584">
        <v>0.1688511</v>
      </c>
      <c r="R5584">
        <v>-0.35602820000000002</v>
      </c>
      <c r="S5584">
        <v>2.9423520000000001</v>
      </c>
      <c r="T5584">
        <v>-0.20594100000000001</v>
      </c>
      <c r="U5584">
        <v>-0.92990110000000004</v>
      </c>
      <c r="V5584">
        <v>-0.22647890000000001</v>
      </c>
      <c r="W5584">
        <v>0.17745929999999999</v>
      </c>
      <c r="X5584">
        <v>0.9577137</v>
      </c>
      <c r="Y5584">
        <v>-0.28762209999999899</v>
      </c>
      <c r="Z5584">
        <v>4.0549960000000003E-2</v>
      </c>
      <c r="AA5584">
        <v>0.95688519999999999</v>
      </c>
      <c r="AB5584">
        <v>21</v>
      </c>
      <c r="AC5584">
        <v>15.8476</v>
      </c>
      <c r="AD5584">
        <v>-1.1150080393649999</v>
      </c>
      <c r="AE5584">
        <v>-4.98292</v>
      </c>
      <c r="AF5584">
        <v>-4.8035083390195101</v>
      </c>
      <c r="AG5584">
        <v>-1.1150080393649999</v>
      </c>
      <c r="AH5584">
        <v>15.8250573759746</v>
      </c>
      <c r="AI5584">
        <v>93.857095121310905</v>
      </c>
      <c r="AJ5584">
        <v>106.885044278156</v>
      </c>
      <c r="AK5584">
        <v>16.5755656387276</v>
      </c>
      <c r="AL5584">
        <v>79.778194081079207</v>
      </c>
      <c r="AM5584">
        <v>103.304814525617</v>
      </c>
      <c r="AN5584">
        <v>1.00000001323469</v>
      </c>
    </row>
    <row r="5585" spans="1:40" x14ac:dyDescent="0.25">
      <c r="A5585" t="str">
        <f>"20190304155214364"</f>
        <v>20190304155214364</v>
      </c>
      <c r="B5585" t="str">
        <f>"1551685934352279"</f>
        <v>1551685934352279</v>
      </c>
      <c r="C5585" t="s">
        <v>40</v>
      </c>
      <c r="D5585">
        <v>4.8239380000000001</v>
      </c>
      <c r="E5585">
        <v>0.47465180000000001</v>
      </c>
      <c r="F5585" t="s">
        <v>41</v>
      </c>
      <c r="G5585">
        <v>-393.81169999999997</v>
      </c>
      <c r="H5585" s="1">
        <v>-3.1007510000000002E-6</v>
      </c>
      <c r="I5585">
        <v>18.5169</v>
      </c>
      <c r="J5585">
        <v>-409.69260000000003</v>
      </c>
      <c r="K5585">
        <v>1.115005</v>
      </c>
      <c r="L5585">
        <v>23.458469999999998</v>
      </c>
      <c r="M5585">
        <v>0.82812109999999906</v>
      </c>
      <c r="N5585">
        <v>-1.1605239999999999E-2</v>
      </c>
      <c r="O5585">
        <v>-0.56042919999999996</v>
      </c>
      <c r="P5585">
        <v>0.92055039999999999</v>
      </c>
      <c r="Q5585">
        <v>0.1688685</v>
      </c>
      <c r="R5585">
        <v>-0.35223640000000001</v>
      </c>
      <c r="S5585">
        <v>2.9449160000000001</v>
      </c>
      <c r="T5585">
        <v>-0.20558789999999999</v>
      </c>
      <c r="U5585">
        <v>-0.92150880000000002</v>
      </c>
      <c r="V5585">
        <v>-0.22622049999999999</v>
      </c>
      <c r="W5585">
        <v>0.1774809</v>
      </c>
      <c r="X5585">
        <v>0.95777080000000003</v>
      </c>
      <c r="Y5585">
        <v>-0.28615230000000003</v>
      </c>
      <c r="Z5585">
        <v>4.0251189999999999E-2</v>
      </c>
      <c r="AA5585">
        <v>0.95733829999999998</v>
      </c>
      <c r="AB5585">
        <v>21</v>
      </c>
      <c r="AC5585">
        <v>15.8809</v>
      </c>
      <c r="AD5585">
        <v>-1.115008100751</v>
      </c>
      <c r="AE5585">
        <v>-4.9415699999999996</v>
      </c>
      <c r="AF5585">
        <v>-4.7867119238496301</v>
      </c>
      <c r="AG5585">
        <v>-1.115008100751</v>
      </c>
      <c r="AH5585">
        <v>15.8505414611073</v>
      </c>
      <c r="AI5585">
        <v>93.852561012057095</v>
      </c>
      <c r="AJ5585">
        <v>106.803813962021</v>
      </c>
      <c r="AK5585">
        <v>16.595045004968998</v>
      </c>
      <c r="AL5585">
        <v>79.776936857425</v>
      </c>
      <c r="AM5585">
        <v>103.289409209151</v>
      </c>
      <c r="AN5585">
        <v>1.00000004490884</v>
      </c>
    </row>
    <row r="5586" spans="1:40" x14ac:dyDescent="0.25">
      <c r="A5586" t="str">
        <f>"20190304155214379"</f>
        <v>20190304155214379</v>
      </c>
      <c r="B5586" t="str">
        <f>"1551685934372775"</f>
        <v>1551685934372775</v>
      </c>
      <c r="C5586" t="s">
        <v>40</v>
      </c>
      <c r="D5586">
        <v>4.9240349999999999</v>
      </c>
      <c r="E5586">
        <v>0.47482079999999999</v>
      </c>
      <c r="F5586" t="s">
        <v>41</v>
      </c>
      <c r="G5586">
        <v>-393.76979999999998</v>
      </c>
      <c r="H5586" s="1">
        <v>-3.1165519999999999E-6</v>
      </c>
      <c r="I5586">
        <v>18.539359999999999</v>
      </c>
      <c r="J5586">
        <v>-409.58120000000002</v>
      </c>
      <c r="K5586">
        <v>1.1149960000000001</v>
      </c>
      <c r="L5586">
        <v>23.390470000000001</v>
      </c>
      <c r="M5586">
        <v>0.83110609999999996</v>
      </c>
      <c r="N5586">
        <v>-1.160489E-2</v>
      </c>
      <c r="O5586">
        <v>-0.55599309999999902</v>
      </c>
      <c r="P5586">
        <v>0.92243339999999996</v>
      </c>
      <c r="Q5586">
        <v>0.16853080000000001</v>
      </c>
      <c r="R5586">
        <v>-0.34744000000000003</v>
      </c>
      <c r="S5586">
        <v>2.9482729999999999</v>
      </c>
      <c r="T5586">
        <v>-0.20645630000000001</v>
      </c>
      <c r="U5586">
        <v>-0.91082759999999996</v>
      </c>
      <c r="V5586">
        <v>-0.22611329999999999</v>
      </c>
      <c r="W5586">
        <v>0.17714630000000001</v>
      </c>
      <c r="X5586">
        <v>0.95785799999999999</v>
      </c>
      <c r="Y5586">
        <v>-0.28449920000000001</v>
      </c>
      <c r="Z5586">
        <v>4.0173929999999997E-2</v>
      </c>
      <c r="AA5586">
        <v>0.95783410000000002</v>
      </c>
      <c r="AB5586">
        <v>21</v>
      </c>
      <c r="AC5586">
        <v>15.811400000000001</v>
      </c>
      <c r="AD5586">
        <v>-1.1149991165519999</v>
      </c>
      <c r="AE5586">
        <v>-4.8511099999999896</v>
      </c>
      <c r="AF5586">
        <v>-4.73802730619441</v>
      </c>
      <c r="AG5586">
        <v>-1.1149991165519999</v>
      </c>
      <c r="AH5586">
        <v>15.767534326890299</v>
      </c>
      <c r="AI5586">
        <v>93.874347397242303</v>
      </c>
      <c r="AJ5586">
        <v>106.725133945031</v>
      </c>
      <c r="AK5586">
        <v>16.501735197663901</v>
      </c>
      <c r="AL5586">
        <v>79.796416149535702</v>
      </c>
      <c r="AM5586">
        <v>103.282168591013</v>
      </c>
      <c r="AN5586">
        <v>0.99999999210228896</v>
      </c>
    </row>
    <row r="5587" spans="1:40" x14ac:dyDescent="0.25">
      <c r="A5587" t="str">
        <f>"20190304155214396"</f>
        <v>20190304155214396</v>
      </c>
      <c r="B5587" t="str">
        <f>"1551685934392295"</f>
        <v>1551685934392295</v>
      </c>
      <c r="C5587" t="s">
        <v>40</v>
      </c>
      <c r="D5587">
        <v>5.0231079999999997</v>
      </c>
      <c r="E5587">
        <v>0.4869772</v>
      </c>
      <c r="F5587" t="s">
        <v>41</v>
      </c>
      <c r="G5587">
        <v>-393.78539999999998</v>
      </c>
      <c r="H5587" s="1">
        <v>-3.0996259999999998E-6</v>
      </c>
      <c r="I5587">
        <v>18.593330000000002</v>
      </c>
      <c r="J5587">
        <v>-409.45479999999998</v>
      </c>
      <c r="K5587">
        <v>1.1149830000000001</v>
      </c>
      <c r="L5587">
        <v>23.314150000000001</v>
      </c>
      <c r="M5587">
        <v>0.83444850000000004</v>
      </c>
      <c r="N5587">
        <v>-1.1604079999999999E-2</v>
      </c>
      <c r="O5587">
        <v>-0.55096389999999995</v>
      </c>
      <c r="P5587">
        <v>0.92459480000000005</v>
      </c>
      <c r="Q5587">
        <v>0.16788599999999901</v>
      </c>
      <c r="R5587">
        <v>-0.34196369999999998</v>
      </c>
      <c r="S5587">
        <v>2.9526059999999998</v>
      </c>
      <c r="T5587">
        <v>-0.20841970000000001</v>
      </c>
      <c r="U5587">
        <v>-0.896698</v>
      </c>
      <c r="V5587">
        <v>-0.22606299999999999</v>
      </c>
      <c r="W5587">
        <v>0.17650660000000001</v>
      </c>
      <c r="X5587">
        <v>0.95798799999999995</v>
      </c>
      <c r="Y5587">
        <v>-0.28327829999999998</v>
      </c>
      <c r="Z5587">
        <v>4.0318020000000003E-2</v>
      </c>
      <c r="AA5587">
        <v>0.95818990000000004</v>
      </c>
      <c r="AB5587">
        <v>21</v>
      </c>
      <c r="AC5587">
        <v>15.6693999999999</v>
      </c>
      <c r="AD5587">
        <v>-1.1149860996259999</v>
      </c>
      <c r="AE5587">
        <v>-4.7208199999999998</v>
      </c>
      <c r="AF5587">
        <v>-4.6726180902721799</v>
      </c>
      <c r="AG5587">
        <v>-1.1149860996259999</v>
      </c>
      <c r="AH5587">
        <v>15.604925378562699</v>
      </c>
      <c r="AI5587">
        <v>93.915687955578406</v>
      </c>
      <c r="AJ5587">
        <v>106.669396413725</v>
      </c>
      <c r="AK5587">
        <v>16.327591674536901</v>
      </c>
      <c r="AL5587">
        <v>79.833655500112897</v>
      </c>
      <c r="AM5587">
        <v>103.27758040993101</v>
      </c>
      <c r="AN5587">
        <v>1.00000003397827</v>
      </c>
    </row>
    <row r="5588" spans="1:40" x14ac:dyDescent="0.25">
      <c r="A5588" t="str">
        <f>"20190304155214411"</f>
        <v>20190304155214411</v>
      </c>
      <c r="B5588" t="str">
        <f>"1551685934402056"</f>
        <v>1551685934402056</v>
      </c>
      <c r="C5588" t="s">
        <v>40</v>
      </c>
      <c r="D5588">
        <v>5.030875</v>
      </c>
      <c r="E5588">
        <v>0.48688199999999998</v>
      </c>
      <c r="F5588" t="s">
        <v>41</v>
      </c>
      <c r="G5588">
        <v>-396.83440000000002</v>
      </c>
      <c r="H5588" s="1">
        <v>-1.5641599999999999E-6</v>
      </c>
      <c r="I5588">
        <v>19.124179999999999</v>
      </c>
      <c r="J5588">
        <v>-409.33179999999999</v>
      </c>
      <c r="K5588">
        <v>1.114965</v>
      </c>
      <c r="L5588">
        <v>23.240780000000001</v>
      </c>
      <c r="M5588">
        <v>0.83765149999999999</v>
      </c>
      <c r="N5588">
        <v>-1.160283E-2</v>
      </c>
      <c r="O5588">
        <v>-0.54608179999999995</v>
      </c>
      <c r="P5588">
        <v>0.92667639999999996</v>
      </c>
      <c r="Q5588">
        <v>0.1677341</v>
      </c>
      <c r="R5588">
        <v>-0.33635749999999998</v>
      </c>
      <c r="S5588">
        <v>2.931702</v>
      </c>
      <c r="T5588">
        <v>-0.25901030000000003</v>
      </c>
      <c r="U5588">
        <v>-0.97332759999999996</v>
      </c>
      <c r="V5588">
        <v>-0.22628010000000001</v>
      </c>
      <c r="W5588">
        <v>0.17635729999999999</v>
      </c>
      <c r="X5588">
        <v>0.95796420000000004</v>
      </c>
      <c r="Y5588">
        <v>-0.25217990000000001</v>
      </c>
      <c r="Z5588">
        <v>4.959773E-2</v>
      </c>
      <c r="AA5588">
        <v>0.9664085</v>
      </c>
      <c r="AB5588">
        <v>21</v>
      </c>
      <c r="AC5588">
        <v>12.497399999999899</v>
      </c>
      <c r="AD5588">
        <v>-1.11496656416</v>
      </c>
      <c r="AE5588">
        <v>-4.1165999999999903</v>
      </c>
      <c r="AF5588">
        <v>-3.3524817111114902</v>
      </c>
      <c r="AG5588">
        <v>-1.11496656416</v>
      </c>
      <c r="AH5588">
        <v>12.6266580149153</v>
      </c>
      <c r="AI5588">
        <v>94.878122225655801</v>
      </c>
      <c r="AJ5588">
        <v>104.869432719822</v>
      </c>
      <c r="AK5588">
        <v>13.1116275377299</v>
      </c>
      <c r="AL5588">
        <v>79.842345687179701</v>
      </c>
      <c r="AM5588">
        <v>103.290197764224</v>
      </c>
      <c r="AN5588">
        <v>0.99999999470046996</v>
      </c>
    </row>
    <row r="5589" spans="1:40" x14ac:dyDescent="0.25">
      <c r="A5589" t="str">
        <f>"20190304155214429"</f>
        <v>20190304155214429</v>
      </c>
      <c r="B5589" t="str">
        <f>"1551685934422552"</f>
        <v>1551685934422552</v>
      </c>
      <c r="C5589" t="s">
        <v>40</v>
      </c>
      <c r="D5589">
        <v>4.7998000000000003</v>
      </c>
      <c r="E5589">
        <v>0.48565720000000001</v>
      </c>
      <c r="F5589" t="s">
        <v>41</v>
      </c>
      <c r="G5589">
        <v>-396.43380000000002</v>
      </c>
      <c r="H5589" s="1">
        <v>-1.7673640000000001E-6</v>
      </c>
      <c r="I5589">
        <v>19.046189999999999</v>
      </c>
      <c r="J5589">
        <v>-409.19600000000003</v>
      </c>
      <c r="K5589">
        <v>1.114943</v>
      </c>
      <c r="L5589">
        <v>23.16095</v>
      </c>
      <c r="M5589">
        <v>0.841126499999999</v>
      </c>
      <c r="N5589">
        <v>-1.160071E-2</v>
      </c>
      <c r="O5589">
        <v>-0.54071429999999998</v>
      </c>
      <c r="P5589">
        <v>0.92901129999999998</v>
      </c>
      <c r="Q5589">
        <v>0.1670912</v>
      </c>
      <c r="R5589">
        <v>-0.33018029999999998</v>
      </c>
      <c r="S5589">
        <v>2.9366759999999998</v>
      </c>
      <c r="T5589">
        <v>-0.25386189999999997</v>
      </c>
      <c r="U5589">
        <v>-0.9550476</v>
      </c>
      <c r="V5589">
        <v>-0.22658049999999999</v>
      </c>
      <c r="W5589">
        <v>0.1757194</v>
      </c>
      <c r="X5589">
        <v>0.95801040000000004</v>
      </c>
      <c r="Y5589">
        <v>-0.2520155</v>
      </c>
      <c r="Z5589">
        <v>4.8189889999999999E-2</v>
      </c>
      <c r="AA5589">
        <v>0.96652260000000001</v>
      </c>
      <c r="AB5589">
        <v>21</v>
      </c>
      <c r="AC5589">
        <v>12.762199999999901</v>
      </c>
      <c r="AD5589">
        <v>-1.1149447673639901</v>
      </c>
      <c r="AE5589">
        <v>-4.1147599999999898</v>
      </c>
      <c r="AF5589">
        <v>-3.41628243692834</v>
      </c>
      <c r="AG5589">
        <v>-1.1149447673639901</v>
      </c>
      <c r="AH5589">
        <v>12.871416265272901</v>
      </c>
      <c r="AI5589">
        <v>94.785812189460401</v>
      </c>
      <c r="AJ5589">
        <v>104.864506706713</v>
      </c>
      <c r="AK5589">
        <v>13.3636613320254</v>
      </c>
      <c r="AL5589">
        <v>79.879474329386994</v>
      </c>
      <c r="AM5589">
        <v>103.306595079736</v>
      </c>
      <c r="AN5589">
        <v>0.99999997851238398</v>
      </c>
    </row>
    <row r="5590" spans="1:40" x14ac:dyDescent="0.25">
      <c r="A5590" t="str">
        <f>"20190304155214442"</f>
        <v>20190304155214442</v>
      </c>
      <c r="B5590" t="str">
        <f>"1551685934432669"</f>
        <v>1551685934432669</v>
      </c>
      <c r="C5590" t="s">
        <v>40</v>
      </c>
      <c r="D5590">
        <v>4.8451820000000003</v>
      </c>
      <c r="E5590">
        <v>0.48556179999999899</v>
      </c>
      <c r="F5590" t="s">
        <v>41</v>
      </c>
      <c r="G5590">
        <v>-396.24209999999999</v>
      </c>
      <c r="H5590" s="1">
        <v>-1.851187E-6</v>
      </c>
      <c r="I5590">
        <v>19.084479999999999</v>
      </c>
      <c r="J5590">
        <v>-409.08749999999998</v>
      </c>
      <c r="K5590">
        <v>1.1149209999999901</v>
      </c>
      <c r="L5590">
        <v>23.09808</v>
      </c>
      <c r="M5590">
        <v>0.84385560000000004</v>
      </c>
      <c r="N5590">
        <v>-1.159846E-2</v>
      </c>
      <c r="O5590">
        <v>-0.53644499999999995</v>
      </c>
      <c r="P5590">
        <v>0.93069840000000004</v>
      </c>
      <c r="Q5590">
        <v>0.16690379999999999</v>
      </c>
      <c r="R5590">
        <v>-0.32549040000000001</v>
      </c>
      <c r="S5590">
        <v>2.9453740000000002</v>
      </c>
      <c r="T5590">
        <v>-0.25350840000000002</v>
      </c>
      <c r="U5590">
        <v>-0.92687989999999998</v>
      </c>
      <c r="V5590">
        <v>-0.22656589999999999</v>
      </c>
      <c r="W5590">
        <v>0.17554059999999999</v>
      </c>
      <c r="X5590">
        <v>0.95804670000000003</v>
      </c>
      <c r="Y5590">
        <v>-0.25633840000000002</v>
      </c>
      <c r="Z5590">
        <v>4.8034479999999997E-2</v>
      </c>
      <c r="AA5590">
        <v>0.96539280000000005</v>
      </c>
      <c r="AB5590">
        <v>21</v>
      </c>
      <c r="AC5590">
        <v>12.8453999999999</v>
      </c>
      <c r="AD5590">
        <v>-1.11492285118699</v>
      </c>
      <c r="AE5590">
        <v>-4.0136000000000003</v>
      </c>
      <c r="AF5590">
        <v>-3.4803007142914102</v>
      </c>
      <c r="AG5590">
        <v>-1.11492285118699</v>
      </c>
      <c r="AH5590">
        <v>12.9050396981376</v>
      </c>
      <c r="AI5590">
        <v>94.768245504831398</v>
      </c>
      <c r="AJ5590">
        <v>105.09277297075</v>
      </c>
      <c r="AK5590">
        <v>13.4125163797291</v>
      </c>
      <c r="AL5590">
        <v>79.889881239467897</v>
      </c>
      <c r="AM5590">
        <v>103.305281930726</v>
      </c>
      <c r="AN5590">
        <v>1.00000004433602</v>
      </c>
    </row>
    <row r="5591" spans="1:40" x14ac:dyDescent="0.25">
      <c r="A5591" t="str">
        <f>"20190304155214456"</f>
        <v>20190304155214456</v>
      </c>
      <c r="B5591" t="str">
        <f>"1551685934452162"</f>
        <v>1551685934452162</v>
      </c>
      <c r="C5591" t="s">
        <v>40</v>
      </c>
      <c r="D5591">
        <v>4.8940469999999996</v>
      </c>
      <c r="E5591">
        <v>0.48560969999999998</v>
      </c>
      <c r="F5591" t="s">
        <v>41</v>
      </c>
      <c r="G5591">
        <v>-396.05259999999998</v>
      </c>
      <c r="H5591" s="1">
        <v>-1.9434779999999999E-6</v>
      </c>
      <c r="I5591">
        <v>19.069099999999999</v>
      </c>
      <c r="J5591">
        <v>-408.98390000000001</v>
      </c>
      <c r="K5591">
        <v>1.1148990000000001</v>
      </c>
      <c r="L5591">
        <v>23.038699999999999</v>
      </c>
      <c r="M5591">
        <v>0.84642269999999897</v>
      </c>
      <c r="N5591">
        <v>-1.1595980000000001E-2</v>
      </c>
      <c r="O5591">
        <v>-0.53238529999999995</v>
      </c>
      <c r="P5591">
        <v>0.93223120000000004</v>
      </c>
      <c r="Q5591">
        <v>0.1668848</v>
      </c>
      <c r="R5591">
        <v>-0.32108379999999997</v>
      </c>
      <c r="S5591">
        <v>2.949738</v>
      </c>
      <c r="T5591">
        <v>-0.2523029</v>
      </c>
      <c r="U5591">
        <v>-0.91174319999999998</v>
      </c>
      <c r="V5591">
        <v>-0.22648960000000001</v>
      </c>
      <c r="W5591">
        <v>0.1755303</v>
      </c>
      <c r="X5591">
        <v>0.95806659999999999</v>
      </c>
      <c r="Y5591">
        <v>-0.25664930000000002</v>
      </c>
      <c r="Z5591">
        <v>4.7550639999999998E-2</v>
      </c>
      <c r="AA5591">
        <v>0.96533420000000003</v>
      </c>
      <c r="AB5591">
        <v>21</v>
      </c>
      <c r="AC5591">
        <v>12.9313</v>
      </c>
      <c r="AD5591">
        <v>-1.114900943478</v>
      </c>
      <c r="AE5591">
        <v>-3.9695999999999998</v>
      </c>
      <c r="AF5591">
        <v>-3.5009288350102001</v>
      </c>
      <c r="AG5591">
        <v>-1.114900943478</v>
      </c>
      <c r="AH5591">
        <v>12.971462428171099</v>
      </c>
      <c r="AI5591">
        <v>94.743599222968697</v>
      </c>
      <c r="AJ5591">
        <v>105.10395114968</v>
      </c>
      <c r="AK5591">
        <v>13.4817782338617</v>
      </c>
      <c r="AL5591">
        <v>79.890480420304499</v>
      </c>
      <c r="AM5591">
        <v>103.30069397436</v>
      </c>
      <c r="AN5591">
        <v>1.0000000175809001</v>
      </c>
    </row>
    <row r="5592" spans="1:40" x14ac:dyDescent="0.25">
      <c r="A5592" t="str">
        <f>"20190304155214472"</f>
        <v>20190304155214472</v>
      </c>
      <c r="B5592" t="str">
        <f>"1551685934462902"</f>
        <v>1551685934462902</v>
      </c>
      <c r="C5592" t="s">
        <v>40</v>
      </c>
      <c r="D5592">
        <v>4.9670300000000003</v>
      </c>
      <c r="E5592">
        <v>0.48579270000000002</v>
      </c>
      <c r="F5592" t="s">
        <v>41</v>
      </c>
      <c r="G5592">
        <v>-395.87520000000001</v>
      </c>
      <c r="H5592" s="1">
        <v>-2.0301420000000002E-6</v>
      </c>
      <c r="I5592">
        <v>19.053360000000001</v>
      </c>
      <c r="J5592">
        <v>-408.85199999999998</v>
      </c>
      <c r="K5592">
        <v>1.114876</v>
      </c>
      <c r="L5592">
        <v>22.963809999999999</v>
      </c>
      <c r="M5592">
        <v>0.8496418</v>
      </c>
      <c r="N5592">
        <v>-1.1592369999999999E-2</v>
      </c>
      <c r="O5592">
        <v>-0.52723310000000001</v>
      </c>
      <c r="P5592">
        <v>0.93440500000000004</v>
      </c>
      <c r="Q5592">
        <v>0.1664996</v>
      </c>
      <c r="R5592">
        <v>-0.31490559999999901</v>
      </c>
      <c r="S5592">
        <v>2.9537659999999999</v>
      </c>
      <c r="T5592">
        <v>-0.25121870000000002</v>
      </c>
      <c r="U5592">
        <v>-0.89801030000000004</v>
      </c>
      <c r="V5592">
        <v>-0.22703229999999999</v>
      </c>
      <c r="W5592">
        <v>0.17515049999999999</v>
      </c>
      <c r="X5592">
        <v>0.95800759999999996</v>
      </c>
      <c r="Y5592">
        <v>-0.25528679999999998</v>
      </c>
      <c r="Z5592">
        <v>4.6954580000000003E-2</v>
      </c>
      <c r="AA5592">
        <v>0.96572449999999999</v>
      </c>
      <c r="AB5592">
        <v>21</v>
      </c>
      <c r="AC5592">
        <v>12.9767999999999</v>
      </c>
      <c r="AD5592">
        <v>-1.114878030142</v>
      </c>
      <c r="AE5592">
        <v>-3.91045</v>
      </c>
      <c r="AF5592">
        <v>-3.49589725471591</v>
      </c>
      <c r="AG5592">
        <v>-1.114878030142</v>
      </c>
      <c r="AH5592">
        <v>13.000259990207899</v>
      </c>
      <c r="AI5592">
        <v>94.734208062067495</v>
      </c>
      <c r="AJ5592">
        <v>105.051339275339</v>
      </c>
      <c r="AK5592">
        <v>13.508183092134299</v>
      </c>
      <c r="AL5592">
        <v>79.912583221619599</v>
      </c>
      <c r="AM5592">
        <v>103.33221936419901</v>
      </c>
      <c r="AN5592">
        <v>0.99999996227564902</v>
      </c>
    </row>
    <row r="5593" spans="1:40" x14ac:dyDescent="0.25">
      <c r="A5593" t="str">
        <f>"20190304155214484"</f>
        <v>20190304155214484</v>
      </c>
      <c r="B5593" t="str">
        <f>"1551685934472660"</f>
        <v>1551685934472660</v>
      </c>
      <c r="C5593" t="s">
        <v>40</v>
      </c>
      <c r="D5593">
        <v>4.9112580000000001</v>
      </c>
      <c r="E5593">
        <v>0.48587140000000001</v>
      </c>
      <c r="F5593" t="s">
        <v>41</v>
      </c>
      <c r="G5593">
        <v>-395.72770000000003</v>
      </c>
      <c r="H5593" s="1">
        <v>-2.0986469999999999E-6</v>
      </c>
      <c r="I5593">
        <v>19.060220000000001</v>
      </c>
      <c r="J5593">
        <v>-408.75189999999998</v>
      </c>
      <c r="K5593">
        <v>1.1148530000000001</v>
      </c>
      <c r="L5593">
        <v>22.907620000000001</v>
      </c>
      <c r="M5593">
        <v>0.85204059999999904</v>
      </c>
      <c r="N5593">
        <v>-1.158931E-2</v>
      </c>
      <c r="O5593">
        <v>-0.52334740000000002</v>
      </c>
      <c r="P5593">
        <v>0.93596570000000001</v>
      </c>
      <c r="Q5593">
        <v>0.16614599999999999</v>
      </c>
      <c r="R5593">
        <v>-0.31042570000000003</v>
      </c>
      <c r="S5593">
        <v>2.958771</v>
      </c>
      <c r="T5593">
        <v>-0.25134109999999998</v>
      </c>
      <c r="U5593">
        <v>-0.88003539999999902</v>
      </c>
      <c r="V5593">
        <v>-0.2272663</v>
      </c>
      <c r="W5593">
        <v>0.1748035</v>
      </c>
      <c r="X5593">
        <v>0.95801559999999997</v>
      </c>
      <c r="Y5593">
        <v>-0.25670900000000002</v>
      </c>
      <c r="Z5593">
        <v>4.6805109999999997E-2</v>
      </c>
      <c r="AA5593">
        <v>0.96535470000000001</v>
      </c>
      <c r="AB5593">
        <v>21</v>
      </c>
      <c r="AC5593">
        <v>13.024199999999899</v>
      </c>
      <c r="AD5593">
        <v>-1.1148550986470001</v>
      </c>
      <c r="AE5593">
        <v>-3.8473999999999999</v>
      </c>
      <c r="AF5593">
        <v>-3.5145927476883299</v>
      </c>
      <c r="AG5593">
        <v>-1.1148550986470001</v>
      </c>
      <c r="AH5593">
        <v>13.0237863366716</v>
      </c>
      <c r="AI5593">
        <v>94.7244761611977</v>
      </c>
      <c r="AJ5593">
        <v>105.102072917901</v>
      </c>
      <c r="AK5593">
        <v>13.535666759209001</v>
      </c>
      <c r="AL5593">
        <v>79.932777404951594</v>
      </c>
      <c r="AM5593">
        <v>103.345361896097</v>
      </c>
      <c r="AN5593">
        <v>1.00000006228564</v>
      </c>
    </row>
    <row r="5594" spans="1:40" x14ac:dyDescent="0.25">
      <c r="A5594" t="str">
        <f>"20190304155214499"</f>
        <v>20190304155214499</v>
      </c>
      <c r="B5594" t="str">
        <f>"1551685934492179"</f>
        <v>1551685934492179</v>
      </c>
      <c r="C5594" t="s">
        <v>40</v>
      </c>
      <c r="D5594">
        <v>4.9158920000000004</v>
      </c>
      <c r="E5594">
        <v>0.48627799999999999</v>
      </c>
      <c r="F5594" t="s">
        <v>41</v>
      </c>
      <c r="G5594">
        <v>-395.58269999999999</v>
      </c>
      <c r="H5594" s="1">
        <v>-2.1682989999999998E-6</v>
      </c>
      <c r="I5594">
        <v>19.05406</v>
      </c>
      <c r="J5594">
        <v>-408.64170000000001</v>
      </c>
      <c r="K5594">
        <v>1.1148279999999999</v>
      </c>
      <c r="L5594">
        <v>22.846620000000001</v>
      </c>
      <c r="M5594">
        <v>0.85463289999999903</v>
      </c>
      <c r="N5594">
        <v>-1.1585389999999999E-2</v>
      </c>
      <c r="O5594">
        <v>-0.51910339999999999</v>
      </c>
      <c r="P5594">
        <v>0.93759939999999997</v>
      </c>
      <c r="Q5594">
        <v>0.16590379999999999</v>
      </c>
      <c r="R5594">
        <v>-0.30558679999999999</v>
      </c>
      <c r="S5594">
        <v>2.9622799999999998</v>
      </c>
      <c r="T5594">
        <v>-0.2507761</v>
      </c>
      <c r="U5594">
        <v>-0.86682130000000002</v>
      </c>
      <c r="V5594">
        <v>-0.22745850000000001</v>
      </c>
      <c r="W5594">
        <v>0.17457059999999999</v>
      </c>
      <c r="X5594">
        <v>0.95801239999999999</v>
      </c>
      <c r="Y5594">
        <v>-0.25619760000000003</v>
      </c>
      <c r="Z5594">
        <v>4.6412660000000001E-2</v>
      </c>
      <c r="AA5594">
        <v>0.96550950000000002</v>
      </c>
      <c r="AB5594">
        <v>21</v>
      </c>
      <c r="AC5594">
        <v>13.058999999999999</v>
      </c>
      <c r="AD5594">
        <v>-1.1148301682990001</v>
      </c>
      <c r="AE5594">
        <v>-3.7925599999999999</v>
      </c>
      <c r="AF5594">
        <v>-3.5143425219511801</v>
      </c>
      <c r="AG5594">
        <v>-1.1148301682990001</v>
      </c>
      <c r="AH5594">
        <v>13.042604534618</v>
      </c>
      <c r="AI5594">
        <v>94.718067665532004</v>
      </c>
      <c r="AJ5594">
        <v>105.080251699992</v>
      </c>
      <c r="AK5594">
        <v>13.5537073419852</v>
      </c>
      <c r="AL5594">
        <v>79.946329455257299</v>
      </c>
      <c r="AM5594">
        <v>103.356286851346</v>
      </c>
      <c r="AN5594">
        <v>1.0000000110801801</v>
      </c>
    </row>
    <row r="5595" spans="1:40" x14ac:dyDescent="0.25">
      <c r="A5595" t="str">
        <f>"20190304155214510"</f>
        <v>20190304155214510</v>
      </c>
      <c r="B5595" t="str">
        <f>"1551685934502915"</f>
        <v>1551685934502915</v>
      </c>
      <c r="C5595" t="s">
        <v>40</v>
      </c>
      <c r="D5595">
        <v>4.8652240000000004</v>
      </c>
      <c r="E5595">
        <v>0.48649619999999999</v>
      </c>
      <c r="F5595" t="s">
        <v>41</v>
      </c>
      <c r="G5595">
        <v>-395.3612</v>
      </c>
      <c r="H5595" s="1">
        <v>-2.279426E-6</v>
      </c>
      <c r="I5595">
        <v>19.017769999999999</v>
      </c>
      <c r="J5595">
        <v>-408.54570000000001</v>
      </c>
      <c r="K5595">
        <v>1.1148039999999999</v>
      </c>
      <c r="L5595">
        <v>22.793880000000001</v>
      </c>
      <c r="M5595">
        <v>0.85685940000000005</v>
      </c>
      <c r="N5595">
        <v>-1.1581839999999999E-2</v>
      </c>
      <c r="O5595">
        <v>-0.51542029999999905</v>
      </c>
      <c r="P5595">
        <v>0.93897419999999998</v>
      </c>
      <c r="Q5595">
        <v>0.16591410000000001</v>
      </c>
      <c r="R5595">
        <v>-0.301330599999999</v>
      </c>
      <c r="S5595">
        <v>2.9650880000000002</v>
      </c>
      <c r="T5595">
        <v>-0.24890519999999999</v>
      </c>
      <c r="U5595">
        <v>-0.85485840000000002</v>
      </c>
      <c r="V5595">
        <v>-0.2276697</v>
      </c>
      <c r="W5595">
        <v>0.17458850000000001</v>
      </c>
      <c r="X5595">
        <v>0.95795889999999995</v>
      </c>
      <c r="Y5595">
        <v>-0.25591700000000001</v>
      </c>
      <c r="Z5595">
        <v>4.5805869999999999E-2</v>
      </c>
      <c r="AA5595">
        <v>0.9656129</v>
      </c>
      <c r="AB5595">
        <v>21</v>
      </c>
      <c r="AC5595">
        <v>13.1845</v>
      </c>
      <c r="AD5595">
        <v>-1.1148062794260001</v>
      </c>
      <c r="AE5595">
        <v>-3.7761099999999899</v>
      </c>
      <c r="AF5595">
        <v>-3.5368325332599801</v>
      </c>
      <c r="AG5595">
        <v>-1.1148062794260001</v>
      </c>
      <c r="AH5595">
        <v>13.157495822027499</v>
      </c>
      <c r="AI5595">
        <v>94.677705324343293</v>
      </c>
      <c r="AJ5595">
        <v>105.045869124468</v>
      </c>
      <c r="AK5595">
        <v>13.670101452280599</v>
      </c>
      <c r="AL5595">
        <v>79.945287197525005</v>
      </c>
      <c r="AM5595">
        <v>103.368963218819</v>
      </c>
      <c r="AN5595">
        <v>0.99999994535977299</v>
      </c>
    </row>
    <row r="5596" spans="1:40" x14ac:dyDescent="0.25">
      <c r="A5596" t="str">
        <f>"20190304155214528"</f>
        <v>20190304155214528</v>
      </c>
      <c r="B5596" t="str">
        <f>"1551685934522434"</f>
        <v>1551685934522434</v>
      </c>
      <c r="C5596" t="s">
        <v>40</v>
      </c>
      <c r="D5596">
        <v>4.8876220000000004</v>
      </c>
      <c r="E5596">
        <v>0.48698789999999997</v>
      </c>
      <c r="F5596" t="s">
        <v>41</v>
      </c>
      <c r="G5596">
        <v>-395.24529999999999</v>
      </c>
      <c r="H5596" s="1">
        <v>-2.3349010000000001E-6</v>
      </c>
      <c r="I5596">
        <v>19.013940000000002</v>
      </c>
      <c r="J5596">
        <v>-408.40780000000001</v>
      </c>
      <c r="K5596">
        <v>1.114768</v>
      </c>
      <c r="L5596">
        <v>22.718990000000002</v>
      </c>
      <c r="M5596">
        <v>0.85999720000000002</v>
      </c>
      <c r="N5596">
        <v>-1.157621E-2</v>
      </c>
      <c r="O5596">
        <v>-0.5101675</v>
      </c>
      <c r="P5596">
        <v>0.9408514</v>
      </c>
      <c r="Q5596">
        <v>0.16611210000000001</v>
      </c>
      <c r="R5596">
        <v>-0.29530499999999998</v>
      </c>
      <c r="S5596">
        <v>2.9682309999999998</v>
      </c>
      <c r="T5596">
        <v>-0.2487907</v>
      </c>
      <c r="U5596">
        <v>-0.84356690000000001</v>
      </c>
      <c r="V5596">
        <v>-0.22791790000000001</v>
      </c>
      <c r="W5596">
        <v>0.17479790000000001</v>
      </c>
      <c r="X5596">
        <v>0.95786179999999999</v>
      </c>
      <c r="Y5596">
        <v>-0.25368990000000002</v>
      </c>
      <c r="Z5596">
        <v>4.5369569999999998E-2</v>
      </c>
      <c r="AA5596">
        <v>0.966221</v>
      </c>
      <c r="AB5596">
        <v>21</v>
      </c>
      <c r="AC5596">
        <v>13.1625</v>
      </c>
      <c r="AD5596">
        <v>-1.1147703349009901</v>
      </c>
      <c r="AE5596">
        <v>-3.70505</v>
      </c>
      <c r="AF5596">
        <v>-3.5056836885017799</v>
      </c>
      <c r="AG5596">
        <v>-1.1147703349009901</v>
      </c>
      <c r="AH5596">
        <v>13.1235710957107</v>
      </c>
      <c r="AI5596">
        <v>94.6915526647918</v>
      </c>
      <c r="AJ5596">
        <v>104.956134279281</v>
      </c>
      <c r="AK5596">
        <v>13.629403850777001</v>
      </c>
      <c r="AL5596">
        <v>79.933103168199594</v>
      </c>
      <c r="AM5596">
        <v>103.384321494782</v>
      </c>
      <c r="AN5596">
        <v>1.00000005144202</v>
      </c>
    </row>
    <row r="5597" spans="1:40" x14ac:dyDescent="0.25">
      <c r="A5597" t="str">
        <f>"20190304155214542"</f>
        <v>20190304155214542</v>
      </c>
      <c r="B5597" t="str">
        <f>"1551685934532717"</f>
        <v>1551685934532717</v>
      </c>
      <c r="C5597" t="s">
        <v>40</v>
      </c>
      <c r="D5597">
        <v>4.8780380000000001</v>
      </c>
      <c r="E5597">
        <v>0.48732720000000002</v>
      </c>
      <c r="F5597" t="s">
        <v>41</v>
      </c>
      <c r="G5597">
        <v>-394.92439999999999</v>
      </c>
      <c r="H5597" s="1">
        <v>-2.4959870000000002E-6</v>
      </c>
      <c r="I5597">
        <v>18.96106</v>
      </c>
      <c r="J5597">
        <v>-408.28980000000001</v>
      </c>
      <c r="K5597">
        <v>1.1147400000000001</v>
      </c>
      <c r="L5597">
        <v>22.655940000000001</v>
      </c>
      <c r="M5597">
        <v>0.86262159999999999</v>
      </c>
      <c r="N5597">
        <v>-1.1571089999999999E-2</v>
      </c>
      <c r="O5597">
        <v>-0.50571759999999999</v>
      </c>
      <c r="P5597">
        <v>0.94223789999999996</v>
      </c>
      <c r="Q5597">
        <v>0.166758399999999</v>
      </c>
      <c r="R5597">
        <v>-0.29048170000000001</v>
      </c>
      <c r="S5597">
        <v>2.9719540000000002</v>
      </c>
      <c r="T5597">
        <v>-0.24571299999999999</v>
      </c>
      <c r="U5597">
        <v>-0.82830809999999999</v>
      </c>
      <c r="V5597">
        <v>-0.22781219999999999</v>
      </c>
      <c r="W5597">
        <v>0.1754561</v>
      </c>
      <c r="X5597">
        <v>0.95776649999999997</v>
      </c>
      <c r="Y5597">
        <v>-0.25366909999999998</v>
      </c>
      <c r="Z5597">
        <v>4.449202E-2</v>
      </c>
      <c r="AA5597">
        <v>0.96626730000000005</v>
      </c>
      <c r="AB5597">
        <v>21</v>
      </c>
      <c r="AC5597">
        <v>13.365399999999999</v>
      </c>
      <c r="AD5597">
        <v>-1.114742495987</v>
      </c>
      <c r="AE5597">
        <v>-3.6948799999999999</v>
      </c>
      <c r="AF5597">
        <v>-3.5491371472079201</v>
      </c>
      <c r="AG5597">
        <v>-1.114742495987</v>
      </c>
      <c r="AH5597">
        <v>13.312710664141701</v>
      </c>
      <c r="AI5597">
        <v>94.625683350874695</v>
      </c>
      <c r="AJ5597">
        <v>104.927724353218</v>
      </c>
      <c r="AK5597">
        <v>13.822709233330601</v>
      </c>
      <c r="AL5597">
        <v>79.894798146376999</v>
      </c>
      <c r="AM5597">
        <v>103.37962085750701</v>
      </c>
      <c r="AN5597">
        <v>0.99999995500914896</v>
      </c>
    </row>
    <row r="5598" spans="1:40" x14ac:dyDescent="0.25">
      <c r="A5598" t="str">
        <f>"20190304155214554"</f>
        <v>20190304155214554</v>
      </c>
      <c r="B5598" t="str">
        <f>"1551685934542462"</f>
        <v>1551685934542462</v>
      </c>
      <c r="C5598" t="s">
        <v>40</v>
      </c>
      <c r="D5598">
        <v>4.9004029999999998</v>
      </c>
      <c r="E5598">
        <v>0.48764879999999999</v>
      </c>
      <c r="F5598" t="s">
        <v>41</v>
      </c>
      <c r="G5598">
        <v>-394.66930000000002</v>
      </c>
      <c r="H5598" s="1">
        <v>-2.6235099999999998E-6</v>
      </c>
      <c r="I5598">
        <v>18.92184</v>
      </c>
      <c r="J5598">
        <v>-408.2</v>
      </c>
      <c r="K5598">
        <v>1.114719</v>
      </c>
      <c r="L5598">
        <v>22.608339999999998</v>
      </c>
      <c r="M5598">
        <v>0.86459339999999996</v>
      </c>
      <c r="N5598">
        <v>-1.1567330000000001E-2</v>
      </c>
      <c r="O5598">
        <v>-0.50233899999999998</v>
      </c>
      <c r="P5598">
        <v>0.94329350000000001</v>
      </c>
      <c r="Q5598">
        <v>0.16727609999999901</v>
      </c>
      <c r="R5598">
        <v>-0.28673369999999998</v>
      </c>
      <c r="S5598">
        <v>2.9755859999999998</v>
      </c>
      <c r="T5598">
        <v>-0.24353079999999999</v>
      </c>
      <c r="U5598">
        <v>-0.81576539999999997</v>
      </c>
      <c r="V5598">
        <v>-0.227823</v>
      </c>
      <c r="W5598">
        <v>0.17598039999999901</v>
      </c>
      <c r="X5598">
        <v>0.95766779999999996</v>
      </c>
      <c r="Y5598">
        <v>-0.25401699999999999</v>
      </c>
      <c r="Z5598">
        <v>4.3867129999999997E-2</v>
      </c>
      <c r="AA5598">
        <v>0.96620450000000002</v>
      </c>
      <c r="AB5598">
        <v>21</v>
      </c>
      <c r="AC5598">
        <v>13.5306999999999</v>
      </c>
      <c r="AD5598">
        <v>-1.1147216235099999</v>
      </c>
      <c r="AE5598">
        <v>-3.6864999999999899</v>
      </c>
      <c r="AF5598">
        <v>-3.5872511894438999</v>
      </c>
      <c r="AG5598">
        <v>-1.1147216235099999</v>
      </c>
      <c r="AH5598">
        <v>13.4662504548009</v>
      </c>
      <c r="AI5598">
        <v>94.573319087222799</v>
      </c>
      <c r="AJ5598">
        <v>104.916524285569</v>
      </c>
      <c r="AK5598">
        <v>13.9803746983231</v>
      </c>
      <c r="AL5598">
        <v>79.864283813103199</v>
      </c>
      <c r="AM5598">
        <v>103.381561746176</v>
      </c>
      <c r="AN5598">
        <v>1.0000000178349999</v>
      </c>
    </row>
    <row r="5599" spans="1:40" x14ac:dyDescent="0.25">
      <c r="A5599" t="str">
        <f>"20190304155214564"</f>
        <v>20190304155214564</v>
      </c>
      <c r="B5599" t="str">
        <f>"1551685934562958"</f>
        <v>1551685934562958</v>
      </c>
      <c r="C5599" t="s">
        <v>40</v>
      </c>
      <c r="D5599">
        <v>4.9493150000000004</v>
      </c>
      <c r="E5599">
        <v>0.49684270000000003</v>
      </c>
      <c r="F5599" t="s">
        <v>41</v>
      </c>
      <c r="G5599">
        <v>-394.4282</v>
      </c>
      <c r="H5599" s="1">
        <v>-2.7449199999999999E-6</v>
      </c>
      <c r="I5599">
        <v>18.87987</v>
      </c>
      <c r="J5599">
        <v>-408.10629999999998</v>
      </c>
      <c r="K5599">
        <v>1.1146969999999901</v>
      </c>
      <c r="L5599">
        <v>22.559080000000002</v>
      </c>
      <c r="M5599">
        <v>0.8666239</v>
      </c>
      <c r="N5599">
        <v>-1.1563520000000001E-2</v>
      </c>
      <c r="O5599">
        <v>-0.49882799999999999</v>
      </c>
      <c r="P5599">
        <v>0.94436319999999996</v>
      </c>
      <c r="Q5599">
        <v>0.16768159999999999</v>
      </c>
      <c r="R5599">
        <v>-0.28294989999999998</v>
      </c>
      <c r="S5599">
        <v>2.9779969999999998</v>
      </c>
      <c r="T5599">
        <v>-0.2410474</v>
      </c>
      <c r="U5599">
        <v>-0.80624390000000001</v>
      </c>
      <c r="V5599">
        <v>-0.22773689999999999</v>
      </c>
      <c r="W5599">
        <v>0.17639349999999901</v>
      </c>
      <c r="X5599">
        <v>0.95761229999999997</v>
      </c>
      <c r="Y5599">
        <v>-0.25321969999999999</v>
      </c>
      <c r="Z5599">
        <v>4.3137410000000001E-2</v>
      </c>
      <c r="AA5599">
        <v>0.96644660000000004</v>
      </c>
      <c r="AB5599">
        <v>21</v>
      </c>
      <c r="AC5599">
        <v>13.678099999999899</v>
      </c>
      <c r="AD5599">
        <v>-1.11469974491999</v>
      </c>
      <c r="AE5599">
        <v>-3.6792099999999901</v>
      </c>
      <c r="AF5599">
        <v>-3.6123979500395098</v>
      </c>
      <c r="AG5599">
        <v>-1.11469974491999</v>
      </c>
      <c r="AH5599">
        <v>13.6057110599277</v>
      </c>
      <c r="AI5599">
        <v>94.527537142780304</v>
      </c>
      <c r="AJ5599">
        <v>104.869313094904</v>
      </c>
      <c r="AK5599">
        <v>14.121166662744701</v>
      </c>
      <c r="AL5599">
        <v>79.840239009184302</v>
      </c>
      <c r="AM5599">
        <v>103.377433728068</v>
      </c>
      <c r="AN5599">
        <v>1.0000000397875699</v>
      </c>
    </row>
    <row r="5600" spans="1:40" x14ac:dyDescent="0.25">
      <c r="A5600" t="str">
        <f>"20190304155214579"</f>
        <v>20190304155214579</v>
      </c>
      <c r="B5600" t="str">
        <f>"1551685934572717"</f>
        <v>1551685934572717</v>
      </c>
      <c r="C5600" t="s">
        <v>40</v>
      </c>
      <c r="D5600">
        <v>4.917243</v>
      </c>
      <c r="E5600">
        <v>0.49735859999999898</v>
      </c>
      <c r="F5600" t="s">
        <v>41</v>
      </c>
      <c r="G5600">
        <v>-393.3295</v>
      </c>
      <c r="H5600" s="1">
        <v>-3.3771970000000002E-6</v>
      </c>
      <c r="I5600">
        <v>18.24334</v>
      </c>
      <c r="J5600">
        <v>-407.99329999999998</v>
      </c>
      <c r="K5600">
        <v>1.1146780000000001</v>
      </c>
      <c r="L5600">
        <v>22.500430000000001</v>
      </c>
      <c r="M5600">
        <v>0.86902950000000001</v>
      </c>
      <c r="N5600">
        <v>-1.155925E-2</v>
      </c>
      <c r="O5600">
        <v>-0.49462519999999999</v>
      </c>
      <c r="P5600">
        <v>0.9457025</v>
      </c>
      <c r="Q5600">
        <v>0.1679523</v>
      </c>
      <c r="R5600">
        <v>-0.27827829999999998</v>
      </c>
      <c r="S5600">
        <v>2.9575809999999998</v>
      </c>
      <c r="T5600">
        <v>-0.22310840000000001</v>
      </c>
      <c r="U5600">
        <v>-0.86380000000000001</v>
      </c>
      <c r="V5600">
        <v>-0.22780349999999999</v>
      </c>
      <c r="W5600">
        <v>0.17667040000000001</v>
      </c>
      <c r="X5600">
        <v>0.95754539999999999</v>
      </c>
      <c r="Y5600">
        <v>-0.22970080000000001</v>
      </c>
      <c r="Z5600">
        <v>3.8537170000000003E-2</v>
      </c>
      <c r="AA5600">
        <v>0.97249810000000003</v>
      </c>
      <c r="AB5600">
        <v>21</v>
      </c>
      <c r="AC5600">
        <v>14.663799999999901</v>
      </c>
      <c r="AD5600">
        <v>-1.1146813771969999</v>
      </c>
      <c r="AE5600">
        <v>-4.25708999999999</v>
      </c>
      <c r="AF5600">
        <v>-3.5349470567986998</v>
      </c>
      <c r="AG5600">
        <v>-1.1146813771969999</v>
      </c>
      <c r="AH5600">
        <v>14.7712115506096</v>
      </c>
      <c r="AI5600">
        <v>94.197456579767405</v>
      </c>
      <c r="AJ5600">
        <v>103.458524130798</v>
      </c>
      <c r="AK5600">
        <v>15.229151517399201</v>
      </c>
      <c r="AL5600">
        <v>79.824120557038697</v>
      </c>
      <c r="AM5600">
        <v>103.382106433063</v>
      </c>
      <c r="AN5600">
        <v>1.0000000289547799</v>
      </c>
    </row>
    <row r="5601" spans="1:40" x14ac:dyDescent="0.25">
      <c r="A5601" t="str">
        <f>"20190304155214596"</f>
        <v>20190304155214596</v>
      </c>
      <c r="B5601" t="str">
        <f>"1551685934592238"</f>
        <v>1551685934592238</v>
      </c>
      <c r="C5601" t="s">
        <v>40</v>
      </c>
      <c r="D5601">
        <v>4.9284559999999997</v>
      </c>
      <c r="E5601">
        <v>0.4982492</v>
      </c>
      <c r="F5601" t="s">
        <v>41</v>
      </c>
      <c r="G5601">
        <v>-393.26069999999999</v>
      </c>
      <c r="H5601" s="1">
        <v>-3.4077649999999999E-6</v>
      </c>
      <c r="I5601">
        <v>18.254349999999999</v>
      </c>
      <c r="J5601">
        <v>-407.85820000000001</v>
      </c>
      <c r="K5601">
        <v>1.114665</v>
      </c>
      <c r="L5601">
        <v>22.43112</v>
      </c>
      <c r="M5601">
        <v>0.87185919999999895</v>
      </c>
      <c r="N5601">
        <v>-1.1554409999999999E-2</v>
      </c>
      <c r="O5601">
        <v>-0.48962030000000001</v>
      </c>
      <c r="P5601">
        <v>0.9471619</v>
      </c>
      <c r="Q5601">
        <v>0.16887360000000001</v>
      </c>
      <c r="R5601">
        <v>-0.27270139999999998</v>
      </c>
      <c r="S5601">
        <v>2.9609070000000002</v>
      </c>
      <c r="T5601">
        <v>-0.2240249</v>
      </c>
      <c r="U5601">
        <v>-0.85336299999999898</v>
      </c>
      <c r="V5601">
        <v>-0.2278599</v>
      </c>
      <c r="W5601">
        <v>0.17759629999999901</v>
      </c>
      <c r="X5601">
        <v>0.95736060000000001</v>
      </c>
      <c r="Y5601">
        <v>-0.2275623</v>
      </c>
      <c r="Z5601">
        <v>3.8352230000000001E-2</v>
      </c>
      <c r="AA5601">
        <v>0.97300799999999998</v>
      </c>
      <c r="AB5601">
        <v>21</v>
      </c>
      <c r="AC5601">
        <v>14.5975</v>
      </c>
      <c r="AD5601">
        <v>-1.114668407765</v>
      </c>
      <c r="AE5601">
        <v>-4.1767700000000003</v>
      </c>
      <c r="AF5601">
        <v>-3.4871167132432999</v>
      </c>
      <c r="AG5601">
        <v>-1.114668407765</v>
      </c>
      <c r="AH5601">
        <v>14.693788001236801</v>
      </c>
      <c r="AI5601">
        <v>94.221336012155803</v>
      </c>
      <c r="AJ5601">
        <v>103.35040728721999</v>
      </c>
      <c r="AK5601">
        <v>15.142981029385901</v>
      </c>
      <c r="AL5601">
        <v>79.770217200468693</v>
      </c>
      <c r="AM5601">
        <v>103.387791132277</v>
      </c>
      <c r="AN5601">
        <v>0.99999994911702805</v>
      </c>
    </row>
    <row r="5602" spans="1:40" x14ac:dyDescent="0.25">
      <c r="A5602" t="str">
        <f>"20190304155214609"</f>
        <v>20190304155214609</v>
      </c>
      <c r="B5602" t="str">
        <f>"1551685934602973"</f>
        <v>1551685934602973</v>
      </c>
      <c r="C5602" t="s">
        <v>40</v>
      </c>
      <c r="D5602">
        <v>4.9193579999999999</v>
      </c>
      <c r="E5602">
        <v>0.49862640000000003</v>
      </c>
      <c r="F5602" t="s">
        <v>41</v>
      </c>
      <c r="G5602">
        <v>-392.9579</v>
      </c>
      <c r="H5602" s="1">
        <v>-3.561356E-6</v>
      </c>
      <c r="I5602">
        <v>18.195589999999999</v>
      </c>
      <c r="J5602">
        <v>-407.75209999999998</v>
      </c>
      <c r="K5602">
        <v>1.114652</v>
      </c>
      <c r="L5602">
        <v>22.37717</v>
      </c>
      <c r="M5602">
        <v>0.87404729999999997</v>
      </c>
      <c r="N5602">
        <v>-1.155077E-2</v>
      </c>
      <c r="O5602">
        <v>-0.48570360000000001</v>
      </c>
      <c r="P5602">
        <v>0.948245</v>
      </c>
      <c r="Q5602">
        <v>0.16946339999999999</v>
      </c>
      <c r="R5602">
        <v>-0.2685399</v>
      </c>
      <c r="S5602">
        <v>2.9642940000000002</v>
      </c>
      <c r="T5602">
        <v>-0.22175339999999999</v>
      </c>
      <c r="U5602">
        <v>-0.84262079999999995</v>
      </c>
      <c r="V5602">
        <v>-0.22771630000000001</v>
      </c>
      <c r="W5602">
        <v>0.178191299999999</v>
      </c>
      <c r="X5602">
        <v>0.95728429999999998</v>
      </c>
      <c r="Y5602">
        <v>-0.22678980000000001</v>
      </c>
      <c r="Z5602">
        <v>3.7671929999999999E-2</v>
      </c>
      <c r="AA5602">
        <v>0.97321489999999999</v>
      </c>
      <c r="AB5602">
        <v>21</v>
      </c>
      <c r="AC5602">
        <v>14.794199999999901</v>
      </c>
      <c r="AD5602">
        <v>-1.1146555613560001</v>
      </c>
      <c r="AE5602">
        <v>-4.1815800000000003</v>
      </c>
      <c r="AF5602">
        <v>-3.51246866947369</v>
      </c>
      <c r="AG5602">
        <v>-1.1146555613560001</v>
      </c>
      <c r="AH5602">
        <v>14.8845917718366</v>
      </c>
      <c r="AI5602">
        <v>94.168613452545898</v>
      </c>
      <c r="AJ5602">
        <v>103.277760694177</v>
      </c>
      <c r="AK5602">
        <v>15.333980741761801</v>
      </c>
      <c r="AL5602">
        <v>79.735574595936995</v>
      </c>
      <c r="AM5602">
        <v>103.380685543586</v>
      </c>
      <c r="AN5602">
        <v>1.0000000418539301</v>
      </c>
    </row>
    <row r="5603" spans="1:40" x14ac:dyDescent="0.25">
      <c r="A5603" t="str">
        <f>"20190304155214631"</f>
        <v>20190304155214631</v>
      </c>
      <c r="B5603" t="str">
        <f>"1551685934622494"</f>
        <v>1551685934622494</v>
      </c>
      <c r="C5603" t="s">
        <v>40</v>
      </c>
      <c r="D5603">
        <v>4.9855330000000002</v>
      </c>
      <c r="E5603">
        <v>0.47808220000000001</v>
      </c>
      <c r="F5603" t="s">
        <v>41</v>
      </c>
      <c r="G5603">
        <v>-392.91480000000001</v>
      </c>
      <c r="H5603" s="1">
        <v>-3.578333E-6</v>
      </c>
      <c r="I5603">
        <v>18.214649999999999</v>
      </c>
      <c r="J5603">
        <v>-407.57049999999998</v>
      </c>
      <c r="K5603">
        <v>1.1146259999999999</v>
      </c>
      <c r="L5603">
        <v>22.28641</v>
      </c>
      <c r="M5603">
        <v>0.87771739999999998</v>
      </c>
      <c r="N5603">
        <v>-1.1544860000000001E-2</v>
      </c>
      <c r="O5603">
        <v>-0.4790394</v>
      </c>
      <c r="P5603">
        <v>0.95004279999999997</v>
      </c>
      <c r="Q5603">
        <v>0.170241899999999</v>
      </c>
      <c r="R5603">
        <v>-0.26160369999999999</v>
      </c>
      <c r="S5603">
        <v>2.967743</v>
      </c>
      <c r="T5603">
        <v>-0.2229515</v>
      </c>
      <c r="U5603">
        <v>-0.8325806</v>
      </c>
      <c r="V5603">
        <v>-0.2273606</v>
      </c>
      <c r="W5603">
        <v>0.1789781</v>
      </c>
      <c r="X5603">
        <v>0.95722200000000002</v>
      </c>
      <c r="Y5603">
        <v>-0.22273109999999999</v>
      </c>
      <c r="Z5603">
        <v>3.7368989999999998E-2</v>
      </c>
      <c r="AA5603">
        <v>0.97416349999999996</v>
      </c>
      <c r="AB5603">
        <v>21</v>
      </c>
      <c r="AC5603">
        <v>14.6556999999999</v>
      </c>
      <c r="AD5603">
        <v>-1.114629578333</v>
      </c>
      <c r="AE5603">
        <v>-4.0717600000000003</v>
      </c>
      <c r="AF5603">
        <v>-3.4286221493666602</v>
      </c>
      <c r="AG5603">
        <v>-1.114629578333</v>
      </c>
      <c r="AH5603">
        <v>14.7359558846696</v>
      </c>
      <c r="AI5603">
        <v>94.213497759464403</v>
      </c>
      <c r="AJ5603">
        <v>103.098000107339</v>
      </c>
      <c r="AK5603">
        <v>15.1705716693521</v>
      </c>
      <c r="AL5603">
        <v>79.689757105759995</v>
      </c>
      <c r="AM5603">
        <v>103.361372893195</v>
      </c>
      <c r="AN5603">
        <v>0.99999997999798496</v>
      </c>
    </row>
    <row r="5604" spans="1:40" x14ac:dyDescent="0.25">
      <c r="A5604" t="str">
        <f>"20190304155214643"</f>
        <v>20190304155214643</v>
      </c>
      <c r="B5604" t="str">
        <f>"1551685934632579"</f>
        <v>1551685934632579</v>
      </c>
      <c r="C5604" t="s">
        <v>40</v>
      </c>
      <c r="D5604">
        <v>4.9258189999999997</v>
      </c>
      <c r="E5604">
        <v>0.47099649999999998</v>
      </c>
      <c r="F5604" t="s">
        <v>41</v>
      </c>
      <c r="G5604">
        <v>-392.76139999999998</v>
      </c>
      <c r="H5604" s="1">
        <v>-3.497063E-6</v>
      </c>
      <c r="I5604">
        <v>19.08154</v>
      </c>
      <c r="J5604">
        <v>-407.47059999999999</v>
      </c>
      <c r="K5604">
        <v>1.1146160000000001</v>
      </c>
      <c r="L5604">
        <v>22.237210000000001</v>
      </c>
      <c r="M5604">
        <v>0.87969900000000001</v>
      </c>
      <c r="N5604">
        <v>-1.154181E-2</v>
      </c>
      <c r="O5604">
        <v>-0.47539090000000001</v>
      </c>
      <c r="P5604">
        <v>0.95101089999999999</v>
      </c>
      <c r="Q5604">
        <v>0.17029920000000001</v>
      </c>
      <c r="R5604">
        <v>-0.2580247</v>
      </c>
      <c r="S5604">
        <v>3.0185849999999999</v>
      </c>
      <c r="T5604">
        <v>-0.22719909999999999</v>
      </c>
      <c r="U5604">
        <v>-0.65325929999999999</v>
      </c>
      <c r="V5604">
        <v>-0.2269813</v>
      </c>
      <c r="W5604">
        <v>0.17904139999999999</v>
      </c>
      <c r="X5604">
        <v>0.95730020000000005</v>
      </c>
      <c r="Y5604">
        <v>-0.27693119999999999</v>
      </c>
      <c r="Z5604">
        <v>4.000132E-2</v>
      </c>
      <c r="AA5604">
        <v>0.96005680000000004</v>
      </c>
      <c r="AB5604">
        <v>21</v>
      </c>
      <c r="AC5604">
        <v>14.709199999999999</v>
      </c>
      <c r="AD5604">
        <v>-1.1146194970629999</v>
      </c>
      <c r="AE5604">
        <v>-3.1556700000000002</v>
      </c>
      <c r="AF5604">
        <v>-4.1938387860086603</v>
      </c>
      <c r="AG5604">
        <v>-1.1146194970629999</v>
      </c>
      <c r="AH5604">
        <v>14.361966861018599</v>
      </c>
      <c r="AI5604">
        <v>94.260543114123195</v>
      </c>
      <c r="AJ5604">
        <v>106.278335434666</v>
      </c>
      <c r="AK5604">
        <v>15.003224736810999</v>
      </c>
      <c r="AL5604">
        <v>79.686070979886495</v>
      </c>
      <c r="AM5604">
        <v>103.338829168782</v>
      </c>
      <c r="AN5604">
        <v>1.0000000031918399</v>
      </c>
    </row>
    <row r="5605" spans="1:40" x14ac:dyDescent="0.25">
      <c r="A5605" t="str">
        <f>"20190304155214655"</f>
        <v>20190304155214655</v>
      </c>
      <c r="B5605" t="str">
        <f>"1551685934652077"</f>
        <v>1551685934652077</v>
      </c>
      <c r="C5605" t="s">
        <v>40</v>
      </c>
      <c r="D5605">
        <v>5.0607610000000003</v>
      </c>
      <c r="E5605">
        <v>0.46430349999999998</v>
      </c>
      <c r="F5605" t="s">
        <v>41</v>
      </c>
      <c r="G5605">
        <v>-392.09120000000001</v>
      </c>
      <c r="H5605" s="1">
        <v>-3.7819219999999999E-6</v>
      </c>
      <c r="I5605">
        <v>19.261669999999999</v>
      </c>
      <c r="J5605">
        <v>-407.37299999999999</v>
      </c>
      <c r="K5605">
        <v>1.1146100000000001</v>
      </c>
      <c r="L5605">
        <v>22.189640000000001</v>
      </c>
      <c r="M5605">
        <v>0.88161369999999895</v>
      </c>
      <c r="N5605">
        <v>-1.1539199999999999E-2</v>
      </c>
      <c r="O5605">
        <v>-0.47183059999999899</v>
      </c>
      <c r="P5605">
        <v>0.95206199999999996</v>
      </c>
      <c r="Q5605">
        <v>0.16996729999999999</v>
      </c>
      <c r="R5605">
        <v>-0.25434079999999998</v>
      </c>
      <c r="S5605">
        <v>3.034637</v>
      </c>
      <c r="T5605">
        <v>-0.21993460000000001</v>
      </c>
      <c r="U5605">
        <v>-0.58712769999999903</v>
      </c>
      <c r="V5605">
        <v>-0.2268385</v>
      </c>
      <c r="W5605">
        <v>0.17871310000000001</v>
      </c>
      <c r="X5605">
        <v>0.95739540000000001</v>
      </c>
      <c r="Y5605">
        <v>-0.29420770000000002</v>
      </c>
      <c r="Z5605">
        <v>3.9045280000000002E-2</v>
      </c>
      <c r="AA5605">
        <v>0.9549436</v>
      </c>
      <c r="AB5605">
        <v>21</v>
      </c>
      <c r="AC5605">
        <v>15.2818</v>
      </c>
      <c r="AD5605">
        <v>-1.1146137819219999</v>
      </c>
      <c r="AE5605">
        <v>-2.92796999999999</v>
      </c>
      <c r="AF5605">
        <v>-4.60575631409968</v>
      </c>
      <c r="AG5605">
        <v>-1.1146137819219999</v>
      </c>
      <c r="AH5605">
        <v>14.7792995787721</v>
      </c>
      <c r="AI5605">
        <v>94.118299645559205</v>
      </c>
      <c r="AJ5605">
        <v>107.308894829236</v>
      </c>
      <c r="AK5605">
        <v>15.5204075702545</v>
      </c>
      <c r="AL5605">
        <v>79.705189658352097</v>
      </c>
      <c r="AM5605">
        <v>103.329458786649</v>
      </c>
      <c r="AN5605">
        <v>1.0000000145675101</v>
      </c>
    </row>
    <row r="5606" spans="1:40" x14ac:dyDescent="0.25">
      <c r="A5606" t="str">
        <f>"20190304155214669"</f>
        <v>20190304155214669</v>
      </c>
      <c r="B5606" t="str">
        <f>"1551685934662811"</f>
        <v>1551685934662811</v>
      </c>
      <c r="C5606" t="s">
        <v>40</v>
      </c>
      <c r="D5606">
        <v>4.9062580000000002</v>
      </c>
      <c r="E5606">
        <v>0.4632792</v>
      </c>
      <c r="F5606" t="s">
        <v>41</v>
      </c>
      <c r="G5606">
        <v>-392.09730000000002</v>
      </c>
      <c r="H5606" s="1">
        <v>-3.725027E-6</v>
      </c>
      <c r="I5606">
        <v>19.56617</v>
      </c>
      <c r="J5606">
        <v>-407.25779999999997</v>
      </c>
      <c r="K5606">
        <v>1.114606</v>
      </c>
      <c r="L5606">
        <v>22.133939999999999</v>
      </c>
      <c r="M5606">
        <v>0.88384839999999998</v>
      </c>
      <c r="N5606">
        <v>-1.1536390000000001E-2</v>
      </c>
      <c r="O5606">
        <v>-0.46763130000000003</v>
      </c>
      <c r="P5606">
        <v>0.95317350000000001</v>
      </c>
      <c r="Q5606">
        <v>0.16980700000000001</v>
      </c>
      <c r="R5606">
        <v>-0.25025199999999997</v>
      </c>
      <c r="S5606">
        <v>3.0508419999999998</v>
      </c>
      <c r="T5606">
        <v>-0.222609</v>
      </c>
      <c r="U5606">
        <v>-0.52395630000000004</v>
      </c>
      <c r="V5606">
        <v>-0.2264021</v>
      </c>
      <c r="W5606">
        <v>0.17855960000000001</v>
      </c>
      <c r="X5606">
        <v>0.95752729999999997</v>
      </c>
      <c r="Y5606">
        <v>-0.30963479999999999</v>
      </c>
      <c r="Z5606">
        <v>3.9889000000000001E-2</v>
      </c>
      <c r="AA5606">
        <v>0.95001849999999999</v>
      </c>
      <c r="AB5606">
        <v>21</v>
      </c>
      <c r="AC5606">
        <v>15.1604999999999</v>
      </c>
      <c r="AD5606">
        <v>-1.114609725027</v>
      </c>
      <c r="AE5606">
        <v>-2.5677699999999901</v>
      </c>
      <c r="AF5606">
        <v>-4.7951291791500701</v>
      </c>
      <c r="AG5606">
        <v>-1.114609725027</v>
      </c>
      <c r="AH5606">
        <v>14.525001797844199</v>
      </c>
      <c r="AI5606">
        <v>94.167728597235296</v>
      </c>
      <c r="AJ5606">
        <v>108.26957227938399</v>
      </c>
      <c r="AK5606">
        <v>15.336599881044</v>
      </c>
      <c r="AL5606">
        <v>79.714128039899506</v>
      </c>
      <c r="AM5606">
        <v>103.30296030645501</v>
      </c>
      <c r="AN5606">
        <v>0.99999998594092998</v>
      </c>
    </row>
    <row r="5607" spans="1:40" x14ac:dyDescent="0.25">
      <c r="A5607" t="str">
        <f>"20190304155214685"</f>
        <v>20190304155214685</v>
      </c>
      <c r="B5607" t="str">
        <f>"1551685934682331"</f>
        <v>1551685934682331</v>
      </c>
      <c r="C5607" t="s">
        <v>40</v>
      </c>
      <c r="D5607">
        <v>4.8730039999999999</v>
      </c>
      <c r="E5607">
        <v>0.46237699999999998</v>
      </c>
      <c r="F5607" t="s">
        <v>41</v>
      </c>
      <c r="G5607">
        <v>-391.76499999999999</v>
      </c>
      <c r="H5607" s="1">
        <v>-3.8793149999999996E-6</v>
      </c>
      <c r="I5607">
        <v>19.581900000000001</v>
      </c>
      <c r="J5607">
        <v>-407.12740000000002</v>
      </c>
      <c r="K5607">
        <v>1.1145969999999901</v>
      </c>
      <c r="L5607">
        <v>22.071870000000001</v>
      </c>
      <c r="M5607">
        <v>0.88633589999999995</v>
      </c>
      <c r="N5607">
        <v>-1.1533440000000001E-2</v>
      </c>
      <c r="O5607">
        <v>-0.46289930000000001</v>
      </c>
      <c r="P5607">
        <v>0.95433780000000001</v>
      </c>
      <c r="Q5607">
        <v>0.1691579</v>
      </c>
      <c r="R5607">
        <v>-0.24622169999999999</v>
      </c>
      <c r="S5607">
        <v>3.054443</v>
      </c>
      <c r="T5607">
        <v>-0.21974850000000001</v>
      </c>
      <c r="U5607">
        <v>-0.50314329999999996</v>
      </c>
      <c r="V5607">
        <v>-0.2253703</v>
      </c>
      <c r="W5607">
        <v>0.17792569999999999</v>
      </c>
      <c r="X5607">
        <v>0.95788870000000004</v>
      </c>
      <c r="Y5607">
        <v>-0.31108330000000001</v>
      </c>
      <c r="Z5607">
        <v>3.9137890000000002E-2</v>
      </c>
      <c r="AA5607">
        <v>0.94957639999999999</v>
      </c>
      <c r="AB5607">
        <v>21</v>
      </c>
      <c r="AC5607">
        <v>15.362399999999999</v>
      </c>
      <c r="AD5607">
        <v>-1.11460087931499</v>
      </c>
      <c r="AE5607">
        <v>-2.48997</v>
      </c>
      <c r="AF5607">
        <v>-4.8795914289730797</v>
      </c>
      <c r="AG5607">
        <v>-1.11460087931499</v>
      </c>
      <c r="AH5607">
        <v>14.6944611556249</v>
      </c>
      <c r="AI5607">
        <v>94.117422514504398</v>
      </c>
      <c r="AJ5607">
        <v>108.369784866233</v>
      </c>
      <c r="AK5607">
        <v>15.523528474159701</v>
      </c>
      <c r="AL5607">
        <v>79.751039509245302</v>
      </c>
      <c r="AM5607">
        <v>103.239654090114</v>
      </c>
      <c r="AN5607">
        <v>1.00000004421513</v>
      </c>
    </row>
    <row r="5608" spans="1:40" x14ac:dyDescent="0.25">
      <c r="A5608" t="str">
        <f>"20190304155214696"</f>
        <v>20190304155214696</v>
      </c>
      <c r="B5608" t="str">
        <f>"1551685934692090"</f>
        <v>1551685934692090</v>
      </c>
      <c r="C5608" t="s">
        <v>40</v>
      </c>
      <c r="D5608">
        <v>4.8855420000000001</v>
      </c>
      <c r="E5608">
        <v>0.46214349999999998</v>
      </c>
      <c r="F5608" t="s">
        <v>41</v>
      </c>
      <c r="G5608">
        <v>-391.60910000000001</v>
      </c>
      <c r="H5608" s="1">
        <v>-3.9482340000000003E-6</v>
      </c>
      <c r="I5608">
        <v>19.621300000000002</v>
      </c>
      <c r="J5608">
        <v>-407.02760000000001</v>
      </c>
      <c r="K5608">
        <v>1.1145929999999999</v>
      </c>
      <c r="L5608">
        <v>22.024899999999999</v>
      </c>
      <c r="M5608">
        <v>0.88821629999999996</v>
      </c>
      <c r="N5608">
        <v>-1.1531329999999999E-2</v>
      </c>
      <c r="O5608">
        <v>-0.45928099999999999</v>
      </c>
      <c r="P5608">
        <v>0.95518000000000003</v>
      </c>
      <c r="Q5608">
        <v>0.16908110000000001</v>
      </c>
      <c r="R5608">
        <v>-0.2429876</v>
      </c>
      <c r="S5608">
        <v>3.0578609999999999</v>
      </c>
      <c r="T5608">
        <v>-0.21962999999999999</v>
      </c>
      <c r="U5608">
        <v>-0.48287960000000002</v>
      </c>
      <c r="V5608">
        <v>-0.22471070000000001</v>
      </c>
      <c r="W5608">
        <v>0.17785870000000001</v>
      </c>
      <c r="X5608">
        <v>0.95805600000000002</v>
      </c>
      <c r="Y5608">
        <v>-0.31351210000000002</v>
      </c>
      <c r="Z5608">
        <v>3.9019730000000002E-2</v>
      </c>
      <c r="AA5608">
        <v>0.94878209999999996</v>
      </c>
      <c r="AB5608">
        <v>21</v>
      </c>
      <c r="AC5608">
        <v>15.4184999999999</v>
      </c>
      <c r="AD5608">
        <v>-1.1145969482339999</v>
      </c>
      <c r="AE5608">
        <v>-2.4035999999999902</v>
      </c>
      <c r="AF5608">
        <v>-4.9217261352120696</v>
      </c>
      <c r="AG5608">
        <v>-1.1145969482339999</v>
      </c>
      <c r="AH5608">
        <v>14.724750596413701</v>
      </c>
      <c r="AI5608">
        <v>94.106293280832801</v>
      </c>
      <c r="AJ5608">
        <v>108.48212870237001</v>
      </c>
      <c r="AK5608">
        <v>15.565474442933899</v>
      </c>
      <c r="AL5608">
        <v>79.754939649926897</v>
      </c>
      <c r="AM5608">
        <v>103.200039333592</v>
      </c>
      <c r="AN5608">
        <v>0.99999995749808901</v>
      </c>
    </row>
    <row r="5609" spans="1:40" x14ac:dyDescent="0.25">
      <c r="A5609" t="str">
        <f>"20190304155214719"</f>
        <v>20190304155214719</v>
      </c>
      <c r="B5609" t="str">
        <f>"1551685934712587"</f>
        <v>1551685934712587</v>
      </c>
      <c r="C5609" t="s">
        <v>40</v>
      </c>
      <c r="D5609">
        <v>4.8808809999999996</v>
      </c>
      <c r="E5609">
        <v>0.46214080000000002</v>
      </c>
      <c r="F5609" t="s">
        <v>41</v>
      </c>
      <c r="G5609">
        <v>-391.36810000000003</v>
      </c>
      <c r="H5609" s="1">
        <v>-4.060856E-6</v>
      </c>
      <c r="I5609">
        <v>19.616399999999999</v>
      </c>
      <c r="J5609">
        <v>-406.84879999999998</v>
      </c>
      <c r="K5609">
        <v>1.114579</v>
      </c>
      <c r="L5609">
        <v>21.941929999999999</v>
      </c>
      <c r="M5609">
        <v>0.89152659999999995</v>
      </c>
      <c r="N5609">
        <v>-1.152743E-2</v>
      </c>
      <c r="O5609">
        <v>-0.45282159999999999</v>
      </c>
      <c r="P5609">
        <v>0.9566479</v>
      </c>
      <c r="Q5609">
        <v>0.169323</v>
      </c>
      <c r="R5609">
        <v>-0.23696919999999999</v>
      </c>
      <c r="S5609">
        <v>3.0596009999999998</v>
      </c>
      <c r="T5609">
        <v>-0.21777379999999999</v>
      </c>
      <c r="U5609">
        <v>-0.47058109999999997</v>
      </c>
      <c r="V5609">
        <v>-0.22376450000000001</v>
      </c>
      <c r="W5609">
        <v>0.17811389999999999</v>
      </c>
      <c r="X5609">
        <v>0.95823009999999997</v>
      </c>
      <c r="Y5609">
        <v>-0.3104732</v>
      </c>
      <c r="Z5609">
        <v>3.8208270000000003E-2</v>
      </c>
      <c r="AA5609">
        <v>0.94981400000000005</v>
      </c>
      <c r="AB5609">
        <v>21</v>
      </c>
      <c r="AC5609">
        <v>15.480699999999899</v>
      </c>
      <c r="AD5609">
        <v>-1.1145830608559999</v>
      </c>
      <c r="AE5609">
        <v>-2.3255300000000001</v>
      </c>
      <c r="AF5609">
        <v>-4.9121502145451199</v>
      </c>
      <c r="AG5609">
        <v>-1.1145830608559999</v>
      </c>
      <c r="AH5609">
        <v>14.7805655416773</v>
      </c>
      <c r="AI5609">
        <v>94.093125476669996</v>
      </c>
      <c r="AJ5609">
        <v>108.383631068924</v>
      </c>
      <c r="AK5609">
        <v>15.6152692215543</v>
      </c>
      <c r="AL5609">
        <v>79.740081144524694</v>
      </c>
      <c r="AM5609">
        <v>103.144085888177</v>
      </c>
      <c r="AN5609">
        <v>1.00000001868973</v>
      </c>
    </row>
    <row r="5610" spans="1:40" x14ac:dyDescent="0.25">
      <c r="A5610" t="str">
        <f>"20190304155214735"</f>
        <v>20190304155214735</v>
      </c>
      <c r="B5610" t="str">
        <f>"1551685934732583"</f>
        <v>1551685934732583</v>
      </c>
      <c r="C5610" t="s">
        <v>40</v>
      </c>
      <c r="D5610">
        <v>4.8667759999999998</v>
      </c>
      <c r="E5610">
        <v>0.46255200000000002</v>
      </c>
      <c r="F5610" t="s">
        <v>41</v>
      </c>
      <c r="G5610">
        <v>-391.26650000000001</v>
      </c>
      <c r="H5610" s="1">
        <v>-4.1163449999999996E-6</v>
      </c>
      <c r="I5610">
        <v>19.644570000000002</v>
      </c>
      <c r="J5610">
        <v>-406.71050000000002</v>
      </c>
      <c r="K5610">
        <v>1.1145689999999999</v>
      </c>
      <c r="L5610">
        <v>21.878779999999999</v>
      </c>
      <c r="M5610">
        <v>0.89403719999999998</v>
      </c>
      <c r="N5610">
        <v>-1.152429E-2</v>
      </c>
      <c r="O5610">
        <v>-0.44784439999999998</v>
      </c>
      <c r="P5610">
        <v>0.95783119999999999</v>
      </c>
      <c r="Q5610">
        <v>0.1692284</v>
      </c>
      <c r="R5610">
        <v>-0.23220959999999999</v>
      </c>
      <c r="S5610">
        <v>3.0628359999999999</v>
      </c>
      <c r="T5610">
        <v>-0.21908240000000001</v>
      </c>
      <c r="U5610">
        <v>-0.45156859999999999</v>
      </c>
      <c r="V5610">
        <v>-0.2231881</v>
      </c>
      <c r="W5610">
        <v>0.17802989999999999</v>
      </c>
      <c r="X5610">
        <v>0.95838009999999996</v>
      </c>
      <c r="Y5610">
        <v>-0.31107760000000001</v>
      </c>
      <c r="Z5610">
        <v>3.8217380000000002E-2</v>
      </c>
      <c r="AA5610">
        <v>0.94961580000000001</v>
      </c>
      <c r="AB5610">
        <v>21</v>
      </c>
      <c r="AC5610">
        <v>15.444000000000001</v>
      </c>
      <c r="AD5610">
        <v>-1.1145731163449999</v>
      </c>
      <c r="AE5610">
        <v>-2.2342099999999898</v>
      </c>
      <c r="AF5610">
        <v>-4.8943998698944498</v>
      </c>
      <c r="AG5610">
        <v>-1.1145731163449999</v>
      </c>
      <c r="AH5610">
        <v>14.733907079854299</v>
      </c>
      <c r="AI5610">
        <v>94.106193052268495</v>
      </c>
      <c r="AJ5610">
        <v>108.37577260019999</v>
      </c>
      <c r="AK5610">
        <v>15.565520908594101</v>
      </c>
      <c r="AL5610">
        <v>79.744971911755101</v>
      </c>
      <c r="AM5610">
        <v>103.109417631334</v>
      </c>
      <c r="AN5610">
        <v>0.99999999467581402</v>
      </c>
    </row>
    <row r="5611" spans="1:40" x14ac:dyDescent="0.25">
      <c r="A5611" t="str">
        <f>"20190304155214752"</f>
        <v>20190304155214752</v>
      </c>
      <c r="B5611" t="str">
        <f>"1551685934742309"</f>
        <v>1551685934742309</v>
      </c>
      <c r="C5611" t="s">
        <v>40</v>
      </c>
      <c r="D5611">
        <v>4.8844620000000001</v>
      </c>
      <c r="E5611">
        <v>0.46277970000000002</v>
      </c>
      <c r="F5611" t="s">
        <v>41</v>
      </c>
      <c r="G5611">
        <v>-390.8723</v>
      </c>
      <c r="H5611" s="1">
        <v>-4.2968769999999999E-6</v>
      </c>
      <c r="I5611">
        <v>19.606770000000001</v>
      </c>
      <c r="J5611">
        <v>-406.56740000000002</v>
      </c>
      <c r="K5611">
        <v>1.1145590000000001</v>
      </c>
      <c r="L5611">
        <v>21.814360000000001</v>
      </c>
      <c r="M5611">
        <v>0.89658989999999905</v>
      </c>
      <c r="N5611">
        <v>-1.152105E-2</v>
      </c>
      <c r="O5611">
        <v>-0.44271240000000001</v>
      </c>
      <c r="P5611">
        <v>0.95883419999999997</v>
      </c>
      <c r="Q5611">
        <v>0.16950519999999999</v>
      </c>
      <c r="R5611">
        <v>-0.22782749999999999</v>
      </c>
      <c r="S5611">
        <v>3.0636290000000002</v>
      </c>
      <c r="T5611">
        <v>-0.21559600000000001</v>
      </c>
      <c r="U5611">
        <v>-0.43948359999999898</v>
      </c>
      <c r="V5611">
        <v>-0.22204989999999999</v>
      </c>
      <c r="W5611">
        <v>0.17832410000000001</v>
      </c>
      <c r="X5611">
        <v>0.95858980000000005</v>
      </c>
      <c r="Y5611">
        <v>-0.30939909999999998</v>
      </c>
      <c r="Z5611">
        <v>3.7237800000000001E-2</v>
      </c>
      <c r="AA5611">
        <v>0.95020289999999996</v>
      </c>
      <c r="AB5611">
        <v>21</v>
      </c>
      <c r="AC5611">
        <v>15.6951</v>
      </c>
      <c r="AD5611">
        <v>-1.1145632968770001</v>
      </c>
      <c r="AE5611">
        <v>-2.2075900000000002</v>
      </c>
      <c r="AF5611">
        <v>-4.9449878325710896</v>
      </c>
      <c r="AG5611">
        <v>-1.1145632968770001</v>
      </c>
      <c r="AH5611">
        <v>14.9763319473122</v>
      </c>
      <c r="AI5611">
        <v>94.042315018176197</v>
      </c>
      <c r="AJ5611">
        <v>108.272543632297</v>
      </c>
      <c r="AK5611">
        <v>15.810935285526501</v>
      </c>
      <c r="AL5611">
        <v>79.727841679583804</v>
      </c>
      <c r="AM5611">
        <v>103.042099006713</v>
      </c>
      <c r="AN5611">
        <v>1.00000002369742</v>
      </c>
    </row>
    <row r="5612" spans="1:40" x14ac:dyDescent="0.25">
      <c r="A5612" t="str">
        <f>"20190304155214763"</f>
        <v>20190304155214763</v>
      </c>
      <c r="B5612" t="str">
        <f>"1551685934752070"</f>
        <v>1551685934752070</v>
      </c>
      <c r="C5612" t="s">
        <v>40</v>
      </c>
      <c r="D5612">
        <v>4.8567869999999997</v>
      </c>
      <c r="E5612">
        <v>0.46304709999999899</v>
      </c>
      <c r="F5612" t="s">
        <v>41</v>
      </c>
      <c r="G5612">
        <v>-390.50209999999998</v>
      </c>
      <c r="H5612" s="1">
        <v>-4.4775379999999997E-6</v>
      </c>
      <c r="I5612">
        <v>19.575019999999999</v>
      </c>
      <c r="J5612">
        <v>-406.4742</v>
      </c>
      <c r="K5612">
        <v>1.1145510000000001</v>
      </c>
      <c r="L5612">
        <v>21.772860000000001</v>
      </c>
      <c r="M5612">
        <v>0.89822880000000005</v>
      </c>
      <c r="N5612">
        <v>-1.151887E-2</v>
      </c>
      <c r="O5612">
        <v>-0.43937720000000002</v>
      </c>
      <c r="P5612">
        <v>0.9595574</v>
      </c>
      <c r="Q5612">
        <v>0.16956599999999999</v>
      </c>
      <c r="R5612">
        <v>-0.2247151</v>
      </c>
      <c r="S5612">
        <v>3.0649109999999999</v>
      </c>
      <c r="T5612">
        <v>-0.2126335</v>
      </c>
      <c r="U5612">
        <v>-0.42721559999999997</v>
      </c>
      <c r="V5612">
        <v>-0.22158900000000001</v>
      </c>
      <c r="W5612">
        <v>0.178394</v>
      </c>
      <c r="X5612">
        <v>0.95868339999999996</v>
      </c>
      <c r="Y5612">
        <v>-0.30969869999999999</v>
      </c>
      <c r="Z5612">
        <v>3.6528409999999997E-2</v>
      </c>
      <c r="AA5612">
        <v>0.9501328</v>
      </c>
      <c r="AB5612">
        <v>21</v>
      </c>
      <c r="AC5612">
        <v>15.972099999999999</v>
      </c>
      <c r="AD5612">
        <v>-1.114555477538</v>
      </c>
      <c r="AE5612">
        <v>-2.1978399999999998</v>
      </c>
      <c r="AF5612">
        <v>-5.0199579191644101</v>
      </c>
      <c r="AG5612">
        <v>-1.114555477538</v>
      </c>
      <c r="AH5612">
        <v>15.240463597487601</v>
      </c>
      <c r="AI5612">
        <v>93.973402577925199</v>
      </c>
      <c r="AJ5612">
        <v>108.231032446432</v>
      </c>
      <c r="AK5612">
        <v>16.084587097250498</v>
      </c>
      <c r="AL5612">
        <v>79.723771015450794</v>
      </c>
      <c r="AM5612">
        <v>103.01472322087299</v>
      </c>
      <c r="AN5612">
        <v>0.999999982796279</v>
      </c>
    </row>
    <row r="5613" spans="1:40" x14ac:dyDescent="0.25">
      <c r="A5613" t="str">
        <f>"20190304155214778"</f>
        <v>20190304155214778</v>
      </c>
      <c r="B5613" t="str">
        <f>"1551685934772565"</f>
        <v>1551685934772565</v>
      </c>
      <c r="C5613" t="s">
        <v>40</v>
      </c>
      <c r="D5613">
        <v>4.8938290000000002</v>
      </c>
      <c r="E5613">
        <v>0.46351619999999999</v>
      </c>
      <c r="F5613" t="s">
        <v>41</v>
      </c>
      <c r="G5613">
        <v>-390.23680000000002</v>
      </c>
      <c r="H5613" s="1">
        <v>-4.6067960000000004E-6</v>
      </c>
      <c r="I5613">
        <v>19.553139999999999</v>
      </c>
      <c r="J5613">
        <v>-406.34989999999999</v>
      </c>
      <c r="K5613">
        <v>1.114536</v>
      </c>
      <c r="L5613">
        <v>21.71829</v>
      </c>
      <c r="M5613">
        <v>0.90038079999999998</v>
      </c>
      <c r="N5613">
        <v>-1.151596E-2</v>
      </c>
      <c r="O5613">
        <v>-0.43495040000000001</v>
      </c>
      <c r="P5613">
        <v>0.9605186</v>
      </c>
      <c r="Q5613">
        <v>0.16969379999999901</v>
      </c>
      <c r="R5613">
        <v>-0.2204729</v>
      </c>
      <c r="S5613">
        <v>3.0654910000000002</v>
      </c>
      <c r="T5613">
        <v>-0.2104203</v>
      </c>
      <c r="U5613">
        <v>-0.41906739999999998</v>
      </c>
      <c r="V5613">
        <v>-0.2210906</v>
      </c>
      <c r="W5613">
        <v>0.17853150000000001</v>
      </c>
      <c r="X5613">
        <v>0.95877290000000004</v>
      </c>
      <c r="Y5613">
        <v>-0.30756519999999998</v>
      </c>
      <c r="Z5613">
        <v>3.5816510000000003E-2</v>
      </c>
      <c r="AA5613">
        <v>0.9508527</v>
      </c>
      <c r="AB5613">
        <v>21</v>
      </c>
      <c r="AC5613">
        <v>16.1130999999999</v>
      </c>
      <c r="AD5613">
        <v>-1.114540606796</v>
      </c>
      <c r="AE5613">
        <v>-2.1651500000000001</v>
      </c>
      <c r="AF5613">
        <v>-5.0356097414478604</v>
      </c>
      <c r="AG5613">
        <v>-1.114540606796</v>
      </c>
      <c r="AH5613">
        <v>15.3784103085599</v>
      </c>
      <c r="AI5613">
        <v>93.940075279141993</v>
      </c>
      <c r="AJ5613">
        <v>108.13086345674</v>
      </c>
      <c r="AK5613">
        <v>16.220205604454598</v>
      </c>
      <c r="AL5613">
        <v>79.715764613263403</v>
      </c>
      <c r="AM5613">
        <v>102.98527257406001</v>
      </c>
      <c r="AN5613">
        <v>1.0000000118375101</v>
      </c>
    </row>
    <row r="5614" spans="1:40" x14ac:dyDescent="0.25">
      <c r="A5614" t="str">
        <f>"20190304155214793"</f>
        <v>20190304155214793</v>
      </c>
      <c r="B5614" t="str">
        <f>"1551685934782325"</f>
        <v>1551685934782325</v>
      </c>
      <c r="C5614" t="s">
        <v>40</v>
      </c>
      <c r="D5614">
        <v>4.8462690000000004</v>
      </c>
      <c r="E5614">
        <v>0.46367979999999998</v>
      </c>
      <c r="F5614" t="s">
        <v>93</v>
      </c>
      <c r="G5614">
        <v>-389.7833</v>
      </c>
      <c r="H5614" s="1">
        <v>-1.219318E-7</v>
      </c>
      <c r="I5614">
        <v>19.50881</v>
      </c>
      <c r="J5614">
        <v>-406.2276</v>
      </c>
      <c r="K5614">
        <v>1.1145240000000001</v>
      </c>
      <c r="L5614">
        <v>21.66525</v>
      </c>
      <c r="M5614">
        <v>0.90246320000000002</v>
      </c>
      <c r="N5614">
        <v>-1.1513020000000001E-2</v>
      </c>
      <c r="O5614">
        <v>-0.43061319999999997</v>
      </c>
      <c r="P5614">
        <v>0.96135409999999999</v>
      </c>
      <c r="Q5614">
        <v>0.17002010000000001</v>
      </c>
      <c r="R5614">
        <v>-0.2165444</v>
      </c>
      <c r="S5614">
        <v>3.0659480000000001</v>
      </c>
      <c r="T5614">
        <v>-0.20626559999999999</v>
      </c>
      <c r="U5614">
        <v>-0.40890500000000002</v>
      </c>
      <c r="V5614">
        <v>-0.22036720000000001</v>
      </c>
      <c r="W5614">
        <v>0.17887159999999999</v>
      </c>
      <c r="X5614">
        <v>0.95887599999999995</v>
      </c>
      <c r="Y5614">
        <v>-0.30617030000000001</v>
      </c>
      <c r="Z5614">
        <v>3.4790260000000003E-2</v>
      </c>
      <c r="AA5614">
        <v>0.95134090000000004</v>
      </c>
      <c r="AB5614">
        <v>21</v>
      </c>
      <c r="AC5614">
        <v>16.444299999999998</v>
      </c>
      <c r="AD5614">
        <v>-1.1145241219318001</v>
      </c>
      <c r="AE5614">
        <v>-2.1564399999999999</v>
      </c>
      <c r="AF5614">
        <v>-5.1122785075200801</v>
      </c>
      <c r="AG5614">
        <v>-1.1145241219318001</v>
      </c>
      <c r="AH5614">
        <v>15.699116027789101</v>
      </c>
      <c r="AI5614">
        <v>93.861825997552202</v>
      </c>
      <c r="AJ5614">
        <v>108.037382087281</v>
      </c>
      <c r="AK5614">
        <v>16.548105620003899</v>
      </c>
      <c r="AL5614">
        <v>79.695959063458105</v>
      </c>
      <c r="AM5614">
        <v>102.94287356697799</v>
      </c>
      <c r="AN5614">
        <v>0.99999996774919897</v>
      </c>
    </row>
    <row r="5615" spans="1:40" x14ac:dyDescent="0.25">
      <c r="A5615" t="str">
        <f>"20190304155214811"</f>
        <v>20190304155214811</v>
      </c>
      <c r="B5615" t="str">
        <f>"1551685934802822"</f>
        <v>1551685934802822</v>
      </c>
      <c r="C5615" t="s">
        <v>40</v>
      </c>
      <c r="D5615">
        <v>4.8682720000000002</v>
      </c>
      <c r="E5615">
        <v>0.46390550000000003</v>
      </c>
      <c r="F5615" t="s">
        <v>93</v>
      </c>
      <c r="G5615">
        <v>-389.51819999999998</v>
      </c>
      <c r="H5615" s="1">
        <v>-2.4861380000000002E-7</v>
      </c>
      <c r="I5615">
        <v>19.501200000000001</v>
      </c>
      <c r="J5615">
        <v>-406.07769999999999</v>
      </c>
      <c r="K5615">
        <v>1.1145020000000001</v>
      </c>
      <c r="L5615">
        <v>21.601040000000001</v>
      </c>
      <c r="M5615">
        <v>0.90496810000000005</v>
      </c>
      <c r="N5615">
        <v>-1.15091E-2</v>
      </c>
      <c r="O5615">
        <v>-0.42532379999999997</v>
      </c>
      <c r="P5615">
        <v>0.96232850000000003</v>
      </c>
      <c r="Q5615">
        <v>0.1708353</v>
      </c>
      <c r="R5615">
        <v>-0.21151610000000001</v>
      </c>
      <c r="S5615">
        <v>3.067291</v>
      </c>
      <c r="T5615">
        <v>-0.20458899999999999</v>
      </c>
      <c r="U5615">
        <v>-0.39724730000000003</v>
      </c>
      <c r="V5615">
        <v>-0.21970329999999999</v>
      </c>
      <c r="W5615">
        <v>0.17970149999999999</v>
      </c>
      <c r="X5615">
        <v>0.95887319999999998</v>
      </c>
      <c r="Y5615">
        <v>-0.30424319999999999</v>
      </c>
      <c r="Z5615">
        <v>3.4153650000000001E-2</v>
      </c>
      <c r="AA5615">
        <v>0.95198199999999999</v>
      </c>
      <c r="AB5615">
        <v>21</v>
      </c>
      <c r="AC5615">
        <v>16.5595</v>
      </c>
      <c r="AD5615">
        <v>-1.1145022486138001</v>
      </c>
      <c r="AE5615">
        <v>-2.0998399999999999</v>
      </c>
      <c r="AF5615">
        <v>-5.1203751379098401</v>
      </c>
      <c r="AG5615">
        <v>-1.1145022486138001</v>
      </c>
      <c r="AH5615">
        <v>15.809503788505699</v>
      </c>
      <c r="AI5615">
        <v>93.836846213804904</v>
      </c>
      <c r="AJ5615">
        <v>107.946078995669</v>
      </c>
      <c r="AK5615">
        <v>16.655352498637299</v>
      </c>
      <c r="AL5615">
        <v>79.647626397288207</v>
      </c>
      <c r="AM5615">
        <v>102.905224359594</v>
      </c>
      <c r="AN5615">
        <v>0.99999999140568996</v>
      </c>
    </row>
    <row r="5616" spans="1:40" x14ac:dyDescent="0.25">
      <c r="A5616" t="str">
        <f>"20190304155214833"</f>
        <v>20190304155214833</v>
      </c>
      <c r="B5616" t="str">
        <f>"1551685934822342"</f>
        <v>1551685934822342</v>
      </c>
      <c r="C5616" t="s">
        <v>40</v>
      </c>
      <c r="D5616">
        <v>4.8676009999999996</v>
      </c>
      <c r="E5616">
        <v>0.46456809999999998</v>
      </c>
      <c r="F5616" t="s">
        <v>93</v>
      </c>
      <c r="G5616">
        <v>-389.1472</v>
      </c>
      <c r="H5616" s="1">
        <v>-4.260613E-7</v>
      </c>
      <c r="I5616">
        <v>19.48948</v>
      </c>
      <c r="J5616">
        <v>-405.88310000000001</v>
      </c>
      <c r="K5616">
        <v>1.1144719999999999</v>
      </c>
      <c r="L5616">
        <v>21.519290000000002</v>
      </c>
      <c r="M5616">
        <v>0.90813469999999996</v>
      </c>
      <c r="N5616">
        <v>-1.150322E-2</v>
      </c>
      <c r="O5616">
        <v>-0.41852030000000001</v>
      </c>
      <c r="P5616">
        <v>0.96351339999999996</v>
      </c>
      <c r="Q5616">
        <v>0.1719658</v>
      </c>
      <c r="R5616">
        <v>-0.20510890000000001</v>
      </c>
      <c r="S5616">
        <v>3.069153</v>
      </c>
      <c r="T5616">
        <v>-0.2020361</v>
      </c>
      <c r="U5616">
        <v>-0.38278200000000001</v>
      </c>
      <c r="V5616">
        <v>-0.21879709999999999</v>
      </c>
      <c r="W5616">
        <v>0.18085290000000001</v>
      </c>
      <c r="X5616">
        <v>0.95886389999999999</v>
      </c>
      <c r="Y5616">
        <v>-0.30163420000000002</v>
      </c>
      <c r="Z5616">
        <v>3.3263550000000003E-2</v>
      </c>
      <c r="AA5616">
        <v>0.95284329999999995</v>
      </c>
      <c r="AB5616">
        <v>21</v>
      </c>
      <c r="AC5616">
        <v>16.735900000000001</v>
      </c>
      <c r="AD5616">
        <v>-1.1144724260612999</v>
      </c>
      <c r="AE5616">
        <v>-2.0298099999999901</v>
      </c>
      <c r="AF5616">
        <v>-5.1388562863173703</v>
      </c>
      <c r="AG5616">
        <v>-1.1144724260612999</v>
      </c>
      <c r="AH5616">
        <v>15.9791966466041</v>
      </c>
      <c r="AI5616">
        <v>93.798645375791907</v>
      </c>
      <c r="AJ5616">
        <v>107.827617461939</v>
      </c>
      <c r="AK5616">
        <v>16.822146658221602</v>
      </c>
      <c r="AL5616">
        <v>79.580556834321897</v>
      </c>
      <c r="AM5616">
        <v>102.853886866701</v>
      </c>
      <c r="AN5616">
        <v>0.99999996056501395</v>
      </c>
    </row>
    <row r="5617" spans="1:40" x14ac:dyDescent="0.25">
      <c r="A5617" t="str">
        <f>"20190304155214853"</f>
        <v>20190304155214853</v>
      </c>
      <c r="B5617" t="str">
        <f>"1551685934842368"</f>
        <v>1551685934842368</v>
      </c>
      <c r="C5617" t="s">
        <v>40</v>
      </c>
      <c r="D5617">
        <v>4.8694739999999896</v>
      </c>
      <c r="E5617">
        <v>0.4650048</v>
      </c>
      <c r="F5617" t="s">
        <v>93</v>
      </c>
      <c r="G5617">
        <v>-388.43169999999998</v>
      </c>
      <c r="H5617" s="1">
        <v>-7.7486540000000005E-7</v>
      </c>
      <c r="I5617">
        <v>19.429819999999999</v>
      </c>
      <c r="J5617">
        <v>-405.71749999999997</v>
      </c>
      <c r="K5617">
        <v>1.114439</v>
      </c>
      <c r="L5617">
        <v>21.450959999999998</v>
      </c>
      <c r="M5617">
        <v>0.91075799999999996</v>
      </c>
      <c r="N5617">
        <v>-1.14976E-2</v>
      </c>
      <c r="O5617">
        <v>-0.41278049999999999</v>
      </c>
      <c r="P5617">
        <v>0.96453489999999997</v>
      </c>
      <c r="Q5617">
        <v>0.17274220000000001</v>
      </c>
      <c r="R5617">
        <v>-0.1995807</v>
      </c>
      <c r="S5617">
        <v>3.0703429999999998</v>
      </c>
      <c r="T5617">
        <v>-0.19607720000000001</v>
      </c>
      <c r="U5617">
        <v>-0.36761470000000002</v>
      </c>
      <c r="V5617">
        <v>-0.21817890000000001</v>
      </c>
      <c r="W5617">
        <v>0.1816469</v>
      </c>
      <c r="X5617">
        <v>0.95885469999999895</v>
      </c>
      <c r="Y5617">
        <v>-0.30038979999999998</v>
      </c>
      <c r="Z5617">
        <v>3.188651E-2</v>
      </c>
      <c r="AA5617">
        <v>0.9532834</v>
      </c>
      <c r="AB5617">
        <v>21</v>
      </c>
      <c r="AC5617">
        <v>17.285799999999899</v>
      </c>
      <c r="AD5617">
        <v>-1.11443977486539</v>
      </c>
      <c r="AE5617">
        <v>-2.0211399999999999</v>
      </c>
      <c r="AF5617">
        <v>-5.2731987790056802</v>
      </c>
      <c r="AG5617">
        <v>-1.11443977486539</v>
      </c>
      <c r="AH5617">
        <v>16.510860250872401</v>
      </c>
      <c r="AI5617">
        <v>93.678924855675604</v>
      </c>
      <c r="AJ5617">
        <v>107.712316921005</v>
      </c>
      <c r="AK5617">
        <v>17.368278774782102</v>
      </c>
      <c r="AL5617">
        <v>79.534298026009907</v>
      </c>
      <c r="AM5617">
        <v>102.81888926473501</v>
      </c>
      <c r="AN5617">
        <v>0.99999998219845398</v>
      </c>
    </row>
    <row r="5618" spans="1:40" x14ac:dyDescent="0.25">
      <c r="A5618" t="str">
        <f>"20190304155214864"</f>
        <v>20190304155214864</v>
      </c>
      <c r="B5618" t="str">
        <f>"1551685934852130"</f>
        <v>1551685934852130</v>
      </c>
      <c r="C5618" t="s">
        <v>40</v>
      </c>
      <c r="D5618">
        <v>4.846088</v>
      </c>
      <c r="E5618">
        <v>0.46537390000000001</v>
      </c>
      <c r="F5618" t="s">
        <v>93</v>
      </c>
      <c r="G5618">
        <v>-388.0043</v>
      </c>
      <c r="H5618" s="1">
        <v>-9.8021249999999998E-7</v>
      </c>
      <c r="I5618">
        <v>19.411020000000001</v>
      </c>
      <c r="J5618">
        <v>-405.61489999999998</v>
      </c>
      <c r="K5618">
        <v>1.114419</v>
      </c>
      <c r="L5618">
        <v>21.40915</v>
      </c>
      <c r="M5618">
        <v>0.91235100000000002</v>
      </c>
      <c r="N5618">
        <v>-1.1494040000000001E-2</v>
      </c>
      <c r="O5618">
        <v>-0.4092479</v>
      </c>
      <c r="P5618">
        <v>0.96513890000000002</v>
      </c>
      <c r="Q5618">
        <v>0.17321129999999901</v>
      </c>
      <c r="R5618">
        <v>-0.19622729999999999</v>
      </c>
      <c r="S5618">
        <v>3.0717469999999998</v>
      </c>
      <c r="T5618">
        <v>-0.1932623</v>
      </c>
      <c r="U5618">
        <v>-0.35375980000000001</v>
      </c>
      <c r="V5618">
        <v>-0.217755</v>
      </c>
      <c r="W5618">
        <v>0.1821284</v>
      </c>
      <c r="X5618">
        <v>0.95885969999999998</v>
      </c>
      <c r="Y5618">
        <v>-0.30102579999999901</v>
      </c>
      <c r="Z5618">
        <v>3.124934E-2</v>
      </c>
      <c r="AA5618">
        <v>0.95310379999999995</v>
      </c>
      <c r="AB5618">
        <v>21</v>
      </c>
      <c r="AC5618">
        <v>17.610599999999899</v>
      </c>
      <c r="AD5618">
        <v>-1.1144199802124899</v>
      </c>
      <c r="AE5618">
        <v>-1.99813</v>
      </c>
      <c r="AF5618">
        <v>-5.3632557947461104</v>
      </c>
      <c r="AG5618">
        <v>-1.1144199802124899</v>
      </c>
      <c r="AH5618">
        <v>16.819394532513599</v>
      </c>
      <c r="AI5618">
        <v>93.612081253593402</v>
      </c>
      <c r="AJ5618">
        <v>107.686093611974</v>
      </c>
      <c r="AK5618">
        <v>17.688936572121101</v>
      </c>
      <c r="AL5618">
        <v>79.506241871568605</v>
      </c>
      <c r="AM5618">
        <v>102.794739449289</v>
      </c>
      <c r="AN5618">
        <v>0.99999995919782403</v>
      </c>
    </row>
    <row r="5619" spans="1:40" x14ac:dyDescent="0.25">
      <c r="A5619" t="str">
        <f>"20190304155214877"</f>
        <v>20190304155214877</v>
      </c>
      <c r="B5619" t="str">
        <f>"1551685934872624"</f>
        <v>1551685934872624</v>
      </c>
      <c r="C5619" t="s">
        <v>40</v>
      </c>
      <c r="D5619">
        <v>4.8731710000000001</v>
      </c>
      <c r="E5619">
        <v>0.46593889999999999</v>
      </c>
      <c r="F5619" t="s">
        <v>93</v>
      </c>
      <c r="G5619">
        <v>-387.6046</v>
      </c>
      <c r="H5619" s="1">
        <v>-1.174401E-6</v>
      </c>
      <c r="I5619">
        <v>19.38157</v>
      </c>
      <c r="J5619">
        <v>-405.51299999999998</v>
      </c>
      <c r="K5619">
        <v>1.1143959999999999</v>
      </c>
      <c r="L5619">
        <v>21.36816</v>
      </c>
      <c r="M5619">
        <v>0.91390340000000003</v>
      </c>
      <c r="N5619">
        <v>-1.149025E-2</v>
      </c>
      <c r="O5619">
        <v>-0.4057693</v>
      </c>
      <c r="P5619">
        <v>0.96576910000000005</v>
      </c>
      <c r="Q5619">
        <v>0.17340129999999901</v>
      </c>
      <c r="R5619">
        <v>-0.1929313</v>
      </c>
      <c r="S5619">
        <v>3.0721129999999999</v>
      </c>
      <c r="T5619">
        <v>-0.1900926</v>
      </c>
      <c r="U5619">
        <v>-0.34585569999999999</v>
      </c>
      <c r="V5619">
        <v>-0.21735260000000001</v>
      </c>
      <c r="W5619">
        <v>0.18233089999999999</v>
      </c>
      <c r="X5619">
        <v>0.9589126</v>
      </c>
      <c r="Y5619">
        <v>-0.29987350000000002</v>
      </c>
      <c r="Z5619">
        <v>3.0496519999999999E-2</v>
      </c>
      <c r="AA5619">
        <v>0.95349139999999999</v>
      </c>
      <c r="AB5619">
        <v>21</v>
      </c>
      <c r="AC5619">
        <v>17.9084</v>
      </c>
      <c r="AD5619">
        <v>-1.1143971744009999</v>
      </c>
      <c r="AE5619">
        <v>-1.9865900000000001</v>
      </c>
      <c r="AF5619">
        <v>-5.4307133839508301</v>
      </c>
      <c r="AG5619">
        <v>-1.1143971744009999</v>
      </c>
      <c r="AH5619">
        <v>17.108334209281399</v>
      </c>
      <c r="AI5619">
        <v>93.552638799392994</v>
      </c>
      <c r="AJ5619">
        <v>107.61104499997499</v>
      </c>
      <c r="AK5619">
        <v>17.984149363742599</v>
      </c>
      <c r="AL5619">
        <v>79.494442778034895</v>
      </c>
      <c r="AM5619">
        <v>102.771190128879</v>
      </c>
      <c r="AN5619">
        <v>1.00000004213016</v>
      </c>
    </row>
    <row r="5620" spans="1:40" x14ac:dyDescent="0.25">
      <c r="A5620" t="str">
        <f>"20190304155214891"</f>
        <v>20190304155214891</v>
      </c>
      <c r="B5620" t="str">
        <f>"1551685934882385"</f>
        <v>1551685934882385</v>
      </c>
      <c r="C5620" t="s">
        <v>40</v>
      </c>
      <c r="D5620">
        <v>4.8935890000000004</v>
      </c>
      <c r="E5620">
        <v>0.46634059999999999</v>
      </c>
      <c r="F5620" t="s">
        <v>93</v>
      </c>
      <c r="G5620">
        <v>-387.3193</v>
      </c>
      <c r="H5620" s="1">
        <v>-1.3137729999999999E-6</v>
      </c>
      <c r="I5620">
        <v>19.356010000000001</v>
      </c>
      <c r="J5620">
        <v>-405.39370000000002</v>
      </c>
      <c r="K5620">
        <v>1.114368</v>
      </c>
      <c r="L5620">
        <v>21.32056</v>
      </c>
      <c r="M5620">
        <v>0.91569270000000003</v>
      </c>
      <c r="N5620">
        <v>-1.148566E-2</v>
      </c>
      <c r="O5620">
        <v>-0.40171519999999999</v>
      </c>
      <c r="P5620">
        <v>0.96647099999999997</v>
      </c>
      <c r="Q5620">
        <v>0.17327679999999901</v>
      </c>
      <c r="R5620">
        <v>-0.18949669999999999</v>
      </c>
      <c r="S5620">
        <v>3.0722659999999999</v>
      </c>
      <c r="T5620">
        <v>-0.18818270000000001</v>
      </c>
      <c r="U5620">
        <v>-0.33978269999999999</v>
      </c>
      <c r="V5620">
        <v>-0.2165048</v>
      </c>
      <c r="W5620">
        <v>0.18222830000000001</v>
      </c>
      <c r="X5620">
        <v>0.95912379999999997</v>
      </c>
      <c r="Y5620">
        <v>-0.29754530000000001</v>
      </c>
      <c r="Z5620">
        <v>2.9904050000000001E-2</v>
      </c>
      <c r="AA5620">
        <v>0.95423919999999995</v>
      </c>
      <c r="AB5620">
        <v>21</v>
      </c>
      <c r="AC5620">
        <v>18.074400000000001</v>
      </c>
      <c r="AD5620">
        <v>-1.114369313773</v>
      </c>
      <c r="AE5620">
        <v>-1.96454999999999</v>
      </c>
      <c r="AF5620">
        <v>-5.4417528959685004</v>
      </c>
      <c r="AG5620">
        <v>-1.114369313773</v>
      </c>
      <c r="AH5620">
        <v>17.2760240199968</v>
      </c>
      <c r="AI5620">
        <v>93.520618905713107</v>
      </c>
      <c r="AJ5620">
        <v>107.48383997804601</v>
      </c>
      <c r="AK5620">
        <v>18.147052088087701</v>
      </c>
      <c r="AL5620">
        <v>79.500420750764306</v>
      </c>
      <c r="AM5620">
        <v>102.72028921495</v>
      </c>
      <c r="AN5620">
        <v>0.99999997273518404</v>
      </c>
    </row>
    <row r="5621" spans="1:40" x14ac:dyDescent="0.25">
      <c r="A5621" t="str">
        <f>"20190304155214908"</f>
        <v>20190304155214908</v>
      </c>
      <c r="B5621" t="str">
        <f>"1551685934902880"</f>
        <v>1551685934902880</v>
      </c>
      <c r="C5621" t="s">
        <v>40</v>
      </c>
      <c r="D5621">
        <v>4.8821430000000001</v>
      </c>
      <c r="E5621">
        <v>0.4670494</v>
      </c>
      <c r="F5621" t="s">
        <v>93</v>
      </c>
      <c r="G5621">
        <v>-387.13330000000002</v>
      </c>
      <c r="H5621" s="1">
        <v>-1.4028980000000001E-6</v>
      </c>
      <c r="I5621">
        <v>19.349360000000001</v>
      </c>
      <c r="J5621">
        <v>-405.23910000000001</v>
      </c>
      <c r="K5621">
        <v>1.114323</v>
      </c>
      <c r="L5621">
        <v>21.259799999999998</v>
      </c>
      <c r="M5621">
        <v>0.91795009999999999</v>
      </c>
      <c r="N5621">
        <v>-1.147895E-2</v>
      </c>
      <c r="O5621">
        <v>-0.3965301</v>
      </c>
      <c r="P5621">
        <v>0.9672018</v>
      </c>
      <c r="Q5621">
        <v>0.17347209999999999</v>
      </c>
      <c r="R5621">
        <v>-0.18554860000000001</v>
      </c>
      <c r="S5621">
        <v>3.0726930000000001</v>
      </c>
      <c r="T5621">
        <v>-0.18751609999999999</v>
      </c>
      <c r="U5621">
        <v>-0.33169559999999998</v>
      </c>
      <c r="V5621">
        <v>-0.21496119999999999</v>
      </c>
      <c r="W5621">
        <v>0.18245939999999999</v>
      </c>
      <c r="X5621">
        <v>0.95942709999999998</v>
      </c>
      <c r="Y5621">
        <v>-0.29466160000000002</v>
      </c>
      <c r="Z5621">
        <v>2.946199E-2</v>
      </c>
      <c r="AA5621">
        <v>0.95514739999999998</v>
      </c>
      <c r="AB5621">
        <v>21</v>
      </c>
      <c r="AC5621">
        <v>18.105799999999899</v>
      </c>
      <c r="AD5621">
        <v>-1.1143244028979999</v>
      </c>
      <c r="AE5621">
        <v>-1.9104399999999899</v>
      </c>
      <c r="AF5621">
        <v>-5.4059117750708801</v>
      </c>
      <c r="AG5621">
        <v>-1.1143244028979999</v>
      </c>
      <c r="AH5621">
        <v>17.314050369457298</v>
      </c>
      <c r="AI5621">
        <v>93.515529085827396</v>
      </c>
      <c r="AJ5621">
        <v>107.33976667275</v>
      </c>
      <c r="AK5621">
        <v>18.1725601165837</v>
      </c>
      <c r="AL5621">
        <v>79.486954798614903</v>
      </c>
      <c r="AM5621">
        <v>102.628653371414</v>
      </c>
      <c r="AN5621">
        <v>1.0000000551841</v>
      </c>
    </row>
    <row r="5622" spans="1:40" x14ac:dyDescent="0.25">
      <c r="A5622" t="str">
        <f>"20190304155214920"</f>
        <v>20190304155214920</v>
      </c>
      <c r="B5622" t="str">
        <f>"1551685934912640"</f>
        <v>1551685934912640</v>
      </c>
      <c r="C5622" t="s">
        <v>40</v>
      </c>
      <c r="D5622">
        <v>4.8783000000000003</v>
      </c>
      <c r="E5622">
        <v>0.46739779999999997</v>
      </c>
      <c r="F5622" t="s">
        <v>93</v>
      </c>
      <c r="G5622">
        <v>-386.76850000000002</v>
      </c>
      <c r="H5622" s="1">
        <v>-1.5822629999999999E-6</v>
      </c>
      <c r="I5622">
        <v>19.31033</v>
      </c>
      <c r="J5622">
        <v>-405.13150000000002</v>
      </c>
      <c r="K5622">
        <v>1.1142890000000001</v>
      </c>
      <c r="L5622">
        <v>21.218139999999998</v>
      </c>
      <c r="M5622">
        <v>0.91948079999999999</v>
      </c>
      <c r="N5622">
        <v>-1.1473509999999999E-2</v>
      </c>
      <c r="O5622">
        <v>-0.39296730000000002</v>
      </c>
      <c r="P5622">
        <v>0.9677403</v>
      </c>
      <c r="Q5622">
        <v>0.1736616</v>
      </c>
      <c r="R5622">
        <v>-0.18253929999999999</v>
      </c>
      <c r="S5622">
        <v>3.0727540000000002</v>
      </c>
      <c r="T5622">
        <v>-0.18537780000000001</v>
      </c>
      <c r="U5622">
        <v>-0.3243103</v>
      </c>
      <c r="V5622">
        <v>-0.21419589999999999</v>
      </c>
      <c r="W5622">
        <v>0.18267079999999999</v>
      </c>
      <c r="X5622">
        <v>0.95955800000000002</v>
      </c>
      <c r="Y5622">
        <v>-0.29326010000000002</v>
      </c>
      <c r="Z5622">
        <v>2.8896330000000001E-2</v>
      </c>
      <c r="AA5622">
        <v>0.95559590000000005</v>
      </c>
      <c r="AB5622">
        <v>21</v>
      </c>
      <c r="AC5622">
        <v>18.363</v>
      </c>
      <c r="AD5622">
        <v>-1.11429058226299</v>
      </c>
      <c r="AE5622">
        <v>-1.90780999999999</v>
      </c>
      <c r="AF5622">
        <v>-5.44239762833634</v>
      </c>
      <c r="AG5622">
        <v>-1.11429058226299</v>
      </c>
      <c r="AH5622">
        <v>17.571284329207501</v>
      </c>
      <c r="AI5622">
        <v>93.466530081927999</v>
      </c>
      <c r="AJ5622">
        <v>107.209451685339</v>
      </c>
      <c r="AK5622">
        <v>18.4285476482682</v>
      </c>
      <c r="AL5622">
        <v>79.474635161814902</v>
      </c>
      <c r="AM5622">
        <v>102.58346564905401</v>
      </c>
      <c r="AN5622">
        <v>1.00000003005672</v>
      </c>
    </row>
    <row r="5623" spans="1:40" x14ac:dyDescent="0.25">
      <c r="A5623" t="str">
        <f>"20190304155214934"</f>
        <v>20190304155214934</v>
      </c>
      <c r="B5623" t="str">
        <f>"1551685934922401"</f>
        <v>1551685934922401</v>
      </c>
      <c r="C5623" t="s">
        <v>40</v>
      </c>
      <c r="D5623">
        <v>4.8611250000000004</v>
      </c>
      <c r="E5623">
        <v>0.46776129999999999</v>
      </c>
      <c r="F5623" t="s">
        <v>93</v>
      </c>
      <c r="G5623">
        <v>-386.51589999999999</v>
      </c>
      <c r="H5623" s="1">
        <v>-1.7037910000000001E-6</v>
      </c>
      <c r="I5623">
        <v>19.29843</v>
      </c>
      <c r="J5623">
        <v>-405.02379999999999</v>
      </c>
      <c r="K5623">
        <v>1.114252</v>
      </c>
      <c r="L5623">
        <v>21.17679</v>
      </c>
      <c r="M5623">
        <v>0.92098630000000004</v>
      </c>
      <c r="N5623">
        <v>-1.1467969999999999E-2</v>
      </c>
      <c r="O5623">
        <v>-0.3894262</v>
      </c>
      <c r="P5623">
        <v>0.96822640000000004</v>
      </c>
      <c r="Q5623">
        <v>0.1740276</v>
      </c>
      <c r="R5623">
        <v>-0.1795881</v>
      </c>
      <c r="S5623">
        <v>3.073242</v>
      </c>
      <c r="T5623">
        <v>-0.18395790000000001</v>
      </c>
      <c r="U5623">
        <v>-0.31692500000000001</v>
      </c>
      <c r="V5623">
        <v>-0.21338860000000001</v>
      </c>
      <c r="W5623">
        <v>0.18305940000000001</v>
      </c>
      <c r="X5623">
        <v>0.95966370000000001</v>
      </c>
      <c r="Y5623">
        <v>-0.29189199999999998</v>
      </c>
      <c r="Z5623">
        <v>2.845545E-2</v>
      </c>
      <c r="AA5623">
        <v>0.95602790000000004</v>
      </c>
      <c r="AB5623">
        <v>21</v>
      </c>
      <c r="AC5623">
        <v>18.507899999999999</v>
      </c>
      <c r="AD5623">
        <v>-1.1142537037909901</v>
      </c>
      <c r="AE5623">
        <v>-1.87836</v>
      </c>
      <c r="AF5623">
        <v>-5.4582952850230599</v>
      </c>
      <c r="AG5623">
        <v>-1.1142537037909901</v>
      </c>
      <c r="AH5623">
        <v>17.714620731848701</v>
      </c>
      <c r="AI5623">
        <v>93.439991565916998</v>
      </c>
      <c r="AJ5623">
        <v>107.125307872167</v>
      </c>
      <c r="AK5623">
        <v>18.569930974781801</v>
      </c>
      <c r="AL5623">
        <v>79.451987058053703</v>
      </c>
      <c r="AM5623">
        <v>102.536203771262</v>
      </c>
      <c r="AN5623">
        <v>0.99999992781800195</v>
      </c>
    </row>
    <row r="5624" spans="1:40" x14ac:dyDescent="0.25">
      <c r="A5624" t="str">
        <f>"20190304155214945"</f>
        <v>20190304155214945</v>
      </c>
      <c r="B5624" t="str">
        <f>"1551685934942896"</f>
        <v>1551685934942896</v>
      </c>
      <c r="C5624" t="s">
        <v>40</v>
      </c>
      <c r="D5624">
        <v>4.872471</v>
      </c>
      <c r="E5624">
        <v>0.46824519999999997</v>
      </c>
      <c r="F5624" t="s">
        <v>93</v>
      </c>
      <c r="G5624">
        <v>-386.23809999999997</v>
      </c>
      <c r="H5624" s="1">
        <v>-1.8385869999999999E-6</v>
      </c>
      <c r="I5624">
        <v>19.278749999999999</v>
      </c>
      <c r="J5624">
        <v>-404.91750000000002</v>
      </c>
      <c r="K5624">
        <v>1.1142160000000001</v>
      </c>
      <c r="L5624">
        <v>21.13635</v>
      </c>
      <c r="M5624">
        <v>0.92244539999999997</v>
      </c>
      <c r="N5624">
        <v>-1.1462379999999999E-2</v>
      </c>
      <c r="O5624">
        <v>-0.38595760000000001</v>
      </c>
      <c r="P5624">
        <v>0.96875599999999995</v>
      </c>
      <c r="Q5624">
        <v>0.1743817</v>
      </c>
      <c r="R5624">
        <v>-0.17636099999999999</v>
      </c>
      <c r="S5624">
        <v>3.0736080000000001</v>
      </c>
      <c r="T5624">
        <v>-0.1823082</v>
      </c>
      <c r="U5624">
        <v>-0.31054690000000001</v>
      </c>
      <c r="V5624">
        <v>-0.21293609999999999</v>
      </c>
      <c r="W5624">
        <v>0.1834317</v>
      </c>
      <c r="X5624">
        <v>0.95969320000000002</v>
      </c>
      <c r="Y5624">
        <v>-0.29029379999999999</v>
      </c>
      <c r="Z5624">
        <v>2.7974160000000001E-2</v>
      </c>
      <c r="AA5624">
        <v>0.95652859999999995</v>
      </c>
      <c r="AB5624">
        <v>21</v>
      </c>
      <c r="AC5624">
        <v>18.679400000000001</v>
      </c>
      <c r="AD5624">
        <v>-1.1142178385870001</v>
      </c>
      <c r="AE5624">
        <v>-1.8575999999999999</v>
      </c>
      <c r="AF5624">
        <v>-5.4769857703153697</v>
      </c>
      <c r="AG5624">
        <v>-1.1142178385870001</v>
      </c>
      <c r="AH5624">
        <v>17.885843197720799</v>
      </c>
      <c r="AI5624">
        <v>93.408846498668197</v>
      </c>
      <c r="AJ5624">
        <v>107.025585655746</v>
      </c>
      <c r="AK5624">
        <v>18.738789753170199</v>
      </c>
      <c r="AL5624">
        <v>79.430289240142599</v>
      </c>
      <c r="AM5624">
        <v>102.510085501623</v>
      </c>
      <c r="AN5624">
        <v>1.00000000468717</v>
      </c>
    </row>
    <row r="5625" spans="1:40" x14ac:dyDescent="0.25">
      <c r="A5625" t="str">
        <f>"20190304155214964"</f>
        <v>20190304155214964</v>
      </c>
      <c r="B5625" t="str">
        <f>"1551685934952657"</f>
        <v>1551685934952657</v>
      </c>
      <c r="C5625" t="s">
        <v>40</v>
      </c>
      <c r="D5625">
        <v>4.9073669999999998</v>
      </c>
      <c r="E5625">
        <v>0.4682849</v>
      </c>
      <c r="F5625" t="s">
        <v>93</v>
      </c>
      <c r="G5625">
        <v>-386.03879999999998</v>
      </c>
      <c r="H5625" s="1">
        <v>-1.9345080000000001E-6</v>
      </c>
      <c r="I5625">
        <v>19.269279999999998</v>
      </c>
      <c r="J5625">
        <v>-404.75650000000002</v>
      </c>
      <c r="K5625">
        <v>1.1141570000000001</v>
      </c>
      <c r="L5625">
        <v>21.075990000000001</v>
      </c>
      <c r="M5625">
        <v>0.92459519999999995</v>
      </c>
      <c r="N5625">
        <v>-1.1453629999999999E-2</v>
      </c>
      <c r="O5625">
        <v>-0.38077889999999998</v>
      </c>
      <c r="P5625">
        <v>0.96942459999999997</v>
      </c>
      <c r="Q5625">
        <v>0.1747919</v>
      </c>
      <c r="R5625">
        <v>-0.17223189999999999</v>
      </c>
      <c r="S5625">
        <v>3.074036</v>
      </c>
      <c r="T5625">
        <v>-0.18142820000000001</v>
      </c>
      <c r="U5625">
        <v>-0.30401610000000001</v>
      </c>
      <c r="V5625">
        <v>-0.21158940000000001</v>
      </c>
      <c r="W5625">
        <v>0.18387880000000001</v>
      </c>
      <c r="X5625">
        <v>0.95990540000000002</v>
      </c>
      <c r="Y5625">
        <v>-0.28697410000000001</v>
      </c>
      <c r="Z5625">
        <v>2.7492880000000001E-2</v>
      </c>
      <c r="AA5625">
        <v>0.9575437</v>
      </c>
      <c r="AB5625">
        <v>21</v>
      </c>
      <c r="AC5625">
        <v>18.717700000000001</v>
      </c>
      <c r="AD5625">
        <v>-1.1141589345080001</v>
      </c>
      <c r="AE5625">
        <v>-1.80671</v>
      </c>
      <c r="AF5625">
        <v>-5.4380975520522901</v>
      </c>
      <c r="AG5625">
        <v>-1.1141589345080001</v>
      </c>
      <c r="AH5625">
        <v>17.932481735827199</v>
      </c>
      <c r="AI5625">
        <v>93.402627736946002</v>
      </c>
      <c r="AJ5625">
        <v>106.87013912819999</v>
      </c>
      <c r="AK5625">
        <v>18.772004589887501</v>
      </c>
      <c r="AL5625">
        <v>79.404228253691201</v>
      </c>
      <c r="AM5625">
        <v>102.430771199319</v>
      </c>
      <c r="AN5625">
        <v>0.999999932115477</v>
      </c>
    </row>
    <row r="5626" spans="1:40" x14ac:dyDescent="0.25">
      <c r="A5626" t="str">
        <f>"20190304155214978"</f>
        <v>20190304155214978</v>
      </c>
      <c r="B5626" t="str">
        <f>"1551685934972178"</f>
        <v>1551685934972178</v>
      </c>
      <c r="C5626" t="s">
        <v>40</v>
      </c>
      <c r="D5626">
        <v>4.9221349999999999</v>
      </c>
      <c r="E5626">
        <v>0.46795940000000003</v>
      </c>
      <c r="F5626" t="s">
        <v>93</v>
      </c>
      <c r="G5626">
        <v>-385.71640000000002</v>
      </c>
      <c r="H5626" s="1">
        <v>-2.0859670000000002E-6</v>
      </c>
      <c r="I5626">
        <v>19.274460000000001</v>
      </c>
      <c r="J5626">
        <v>-404.64530000000002</v>
      </c>
      <c r="K5626">
        <v>1.114112</v>
      </c>
      <c r="L5626">
        <v>21.034880000000001</v>
      </c>
      <c r="M5626">
        <v>0.92603639999999998</v>
      </c>
      <c r="N5626">
        <v>-1.1447270000000001E-2</v>
      </c>
      <c r="O5626">
        <v>-0.37726080000000001</v>
      </c>
      <c r="P5626">
        <v>0.96990390000000004</v>
      </c>
      <c r="Q5626">
        <v>0.17509729999999901</v>
      </c>
      <c r="R5626">
        <v>-0.16919629999999999</v>
      </c>
      <c r="S5626">
        <v>3.0753780000000002</v>
      </c>
      <c r="T5626">
        <v>-0.17996010000000001</v>
      </c>
      <c r="U5626">
        <v>-0.290985099999999</v>
      </c>
      <c r="V5626">
        <v>-0.21090510000000001</v>
      </c>
      <c r="W5626">
        <v>0.1842078</v>
      </c>
      <c r="X5626">
        <v>0.95999290000000004</v>
      </c>
      <c r="Y5626">
        <v>-0.28741240000000001</v>
      </c>
      <c r="Z5626">
        <v>2.711417E-2</v>
      </c>
      <c r="AA5626">
        <v>0.95742300000000002</v>
      </c>
      <c r="AB5626">
        <v>21</v>
      </c>
      <c r="AC5626">
        <v>18.928899999999999</v>
      </c>
      <c r="AD5626">
        <v>-1.114114085967</v>
      </c>
      <c r="AE5626">
        <v>-1.7604199999999901</v>
      </c>
      <c r="AF5626">
        <v>-5.4924157003688903</v>
      </c>
      <c r="AG5626">
        <v>-1.114114085967</v>
      </c>
      <c r="AH5626">
        <v>18.131903766980901</v>
      </c>
      <c r="AI5626">
        <v>93.365472093318104</v>
      </c>
      <c r="AJ5626">
        <v>106.852319083027</v>
      </c>
      <c r="AK5626">
        <v>18.978245826136401</v>
      </c>
      <c r="AL5626">
        <v>79.385050231558196</v>
      </c>
      <c r="AM5626">
        <v>102.390718247065</v>
      </c>
      <c r="AN5626">
        <v>0.99999992141862604</v>
      </c>
    </row>
    <row r="5627" spans="1:40" x14ac:dyDescent="0.25">
      <c r="A5627" t="str">
        <f>"20190304155214993"</f>
        <v>20190304155214993</v>
      </c>
      <c r="B5627" t="str">
        <f>"1551685934982913"</f>
        <v>1551685934982913</v>
      </c>
      <c r="C5627" t="s">
        <v>40</v>
      </c>
      <c r="D5627">
        <v>5.0592370000000004</v>
      </c>
      <c r="E5627">
        <v>0.44790550000000001</v>
      </c>
      <c r="F5627" t="s">
        <v>93</v>
      </c>
      <c r="G5627">
        <v>-385.42500000000001</v>
      </c>
      <c r="H5627" s="1">
        <v>-2.2203300000000001E-6</v>
      </c>
      <c r="I5627">
        <v>19.293510000000001</v>
      </c>
      <c r="J5627">
        <v>-404.50850000000003</v>
      </c>
      <c r="K5627">
        <v>1.1140559999999999</v>
      </c>
      <c r="L5627">
        <v>20.9848</v>
      </c>
      <c r="M5627">
        <v>0.92776749999999997</v>
      </c>
      <c r="N5627">
        <v>-1.143919E-2</v>
      </c>
      <c r="O5627">
        <v>-0.37298330000000002</v>
      </c>
      <c r="P5627">
        <v>0.97053529999999999</v>
      </c>
      <c r="Q5627">
        <v>0.1752426</v>
      </c>
      <c r="R5627">
        <v>-0.16538249999999999</v>
      </c>
      <c r="S5627">
        <v>3.07666</v>
      </c>
      <c r="T5627">
        <v>-0.17834059999999999</v>
      </c>
      <c r="U5627">
        <v>-0.27874759999999998</v>
      </c>
      <c r="V5627">
        <v>-0.21021229999999999</v>
      </c>
      <c r="W5627">
        <v>0.1843822</v>
      </c>
      <c r="X5627">
        <v>0.96011139999999995</v>
      </c>
      <c r="Y5627">
        <v>-0.28682980000000002</v>
      </c>
      <c r="Z5627">
        <v>2.6646119999999999E-2</v>
      </c>
      <c r="AA5627">
        <v>0.95761090000000004</v>
      </c>
      <c r="AB5627">
        <v>21</v>
      </c>
      <c r="AC5627">
        <v>19.083500000000001</v>
      </c>
      <c r="AD5627">
        <v>-1.11405822033</v>
      </c>
      <c r="AE5627">
        <v>-1.69128999999999</v>
      </c>
      <c r="AF5627">
        <v>-5.5303655678885999</v>
      </c>
      <c r="AG5627">
        <v>-1.11405822033</v>
      </c>
      <c r="AH5627">
        <v>18.275277650936101</v>
      </c>
      <c r="AI5627">
        <v>93.339239158608194</v>
      </c>
      <c r="AJ5627">
        <v>106.83658065013999</v>
      </c>
      <c r="AK5627">
        <v>19.126208255992001</v>
      </c>
      <c r="AL5627">
        <v>79.374884049757597</v>
      </c>
      <c r="AM5627">
        <v>102.349789710693</v>
      </c>
      <c r="AN5627">
        <v>0.99999995357904303</v>
      </c>
    </row>
    <row r="5628" spans="1:40" x14ac:dyDescent="0.25">
      <c r="A5628" t="str">
        <f>"20190304155215011"</f>
        <v>20190304155215011</v>
      </c>
      <c r="B5628" t="str">
        <f>"1551685935002433"</f>
        <v>1551685935002433</v>
      </c>
      <c r="C5628" t="s">
        <v>40</v>
      </c>
      <c r="D5628">
        <v>4.8865949999999998</v>
      </c>
      <c r="E5628">
        <v>0.448434</v>
      </c>
      <c r="F5628" t="s">
        <v>94</v>
      </c>
      <c r="G5628">
        <v>-379.05200000000002</v>
      </c>
      <c r="H5628" s="1">
        <v>-5.5766540000000003E-7</v>
      </c>
      <c r="I5628">
        <v>20.101389999999999</v>
      </c>
      <c r="J5628">
        <v>-404.3587</v>
      </c>
      <c r="K5628">
        <v>1.1139840000000001</v>
      </c>
      <c r="L5628">
        <v>20.930689999999998</v>
      </c>
      <c r="M5628">
        <v>0.92960520000000002</v>
      </c>
      <c r="N5628">
        <v>-1.142979E-2</v>
      </c>
      <c r="O5628">
        <v>-0.36837950000000003</v>
      </c>
      <c r="P5628">
        <v>0.97107909999999997</v>
      </c>
      <c r="Q5628">
        <v>0.17548820000000001</v>
      </c>
      <c r="R5628">
        <v>-0.16189339999999999</v>
      </c>
      <c r="S5628">
        <v>3.097229</v>
      </c>
      <c r="T5628">
        <v>-0.13554449999999901</v>
      </c>
      <c r="U5628">
        <v>-0.10748290000000001</v>
      </c>
      <c r="V5628">
        <v>-0.20885709999999999</v>
      </c>
      <c r="W5628">
        <v>0.18466669999999999</v>
      </c>
      <c r="X5628">
        <v>0.96035250000000005</v>
      </c>
      <c r="Y5628">
        <v>-0.3353603</v>
      </c>
      <c r="Z5628">
        <v>2.0749119999999999E-2</v>
      </c>
      <c r="AA5628">
        <v>0.94186150000000002</v>
      </c>
      <c r="AB5628">
        <v>21</v>
      </c>
      <c r="AC5628">
        <v>25.306699999999999</v>
      </c>
      <c r="AD5628">
        <v>-1.1139845576653999</v>
      </c>
      <c r="AE5628">
        <v>-0.82929999999999904</v>
      </c>
      <c r="AF5628">
        <v>-8.5355851771498799</v>
      </c>
      <c r="AG5628">
        <v>-1.1139845576653999</v>
      </c>
      <c r="AH5628">
        <v>23.786253455083902</v>
      </c>
      <c r="AI5628">
        <v>92.524015294128603</v>
      </c>
      <c r="AJ5628">
        <v>109.740285737029</v>
      </c>
      <c r="AK5628">
        <v>25.295909340061101</v>
      </c>
      <c r="AL5628">
        <v>79.358299106475201</v>
      </c>
      <c r="AM5628">
        <v>102.269605593165</v>
      </c>
      <c r="AN5628">
        <v>1.0000000012827699</v>
      </c>
    </row>
    <row r="5629" spans="1:40" x14ac:dyDescent="0.25">
      <c r="A5629" t="str">
        <f>"20190304155215032"</f>
        <v>20190304155215032</v>
      </c>
      <c r="B5629" t="str">
        <f>"1551685935022928"</f>
        <v>1551685935022928</v>
      </c>
      <c r="C5629" t="s">
        <v>40</v>
      </c>
      <c r="D5629">
        <v>4.8860390000000002</v>
      </c>
      <c r="E5629">
        <v>0.44933770000000001</v>
      </c>
      <c r="F5629" t="s">
        <v>94</v>
      </c>
      <c r="G5629">
        <v>-377.512</v>
      </c>
      <c r="H5629" s="1">
        <v>-1.275696E-6</v>
      </c>
      <c r="I5629">
        <v>20.06401</v>
      </c>
      <c r="J5629">
        <v>-404.16090000000003</v>
      </c>
      <c r="K5629">
        <v>1.1138980000000001</v>
      </c>
      <c r="L5629">
        <v>20.860440000000001</v>
      </c>
      <c r="M5629">
        <v>0.93194370000000004</v>
      </c>
      <c r="N5629">
        <v>-1.141703E-2</v>
      </c>
      <c r="O5629">
        <v>-0.3624231</v>
      </c>
      <c r="P5629">
        <v>0.97185290000000002</v>
      </c>
      <c r="Q5629">
        <v>0.17591029999999999</v>
      </c>
      <c r="R5629">
        <v>-0.15670970000000001</v>
      </c>
      <c r="S5629">
        <v>3.0959469999999998</v>
      </c>
      <c r="T5629">
        <v>-0.12846399999999999</v>
      </c>
      <c r="U5629">
        <v>-9.9945069999999997E-2</v>
      </c>
      <c r="V5629">
        <v>-0.2077716</v>
      </c>
      <c r="W5629">
        <v>0.18512960000000001</v>
      </c>
      <c r="X5629">
        <v>0.96049879999999999</v>
      </c>
      <c r="Y5629">
        <v>-0.33167400000000002</v>
      </c>
      <c r="Z5629">
        <v>1.9298760000000002E-2</v>
      </c>
      <c r="AA5629">
        <v>0.9431967</v>
      </c>
      <c r="AB5629">
        <v>21</v>
      </c>
      <c r="AC5629">
        <v>26.648900000000001</v>
      </c>
      <c r="AD5629">
        <v>-1.113899275696</v>
      </c>
      <c r="AE5629">
        <v>-0.79642999999999997</v>
      </c>
      <c r="AF5629">
        <v>-8.9009929663862</v>
      </c>
      <c r="AG5629">
        <v>-1.113899275696</v>
      </c>
      <c r="AH5629">
        <v>25.081774968470398</v>
      </c>
      <c r="AI5629">
        <v>92.396621522586798</v>
      </c>
      <c r="AJ5629">
        <v>109.53870065168699</v>
      </c>
      <c r="AK5629">
        <v>26.637640341311101</v>
      </c>
      <c r="AL5629">
        <v>79.331311285929203</v>
      </c>
      <c r="AM5629">
        <v>102.205949931013</v>
      </c>
      <c r="AN5629">
        <v>0.99999997568207899</v>
      </c>
    </row>
    <row r="5630" spans="1:40" x14ac:dyDescent="0.25">
      <c r="A5630" t="str">
        <f>"20190304155215045"</f>
        <v>20190304155215045</v>
      </c>
      <c r="B5630" t="str">
        <f>"1551685935042449"</f>
        <v>1551685935042449</v>
      </c>
      <c r="C5630" t="s">
        <v>40</v>
      </c>
      <c r="D5630">
        <v>5.0609989999999998</v>
      </c>
      <c r="E5630">
        <v>0.45042460000000001</v>
      </c>
      <c r="F5630" t="s">
        <v>94</v>
      </c>
      <c r="G5630">
        <v>-377.99639999999999</v>
      </c>
      <c r="H5630" s="1">
        <v>-1.055042E-6</v>
      </c>
      <c r="I5630">
        <v>20.095269999999999</v>
      </c>
      <c r="J5630">
        <v>-404.04689999999999</v>
      </c>
      <c r="K5630">
        <v>1.1138520000000001</v>
      </c>
      <c r="L5630">
        <v>20.820399999999999</v>
      </c>
      <c r="M5630">
        <v>0.93325309999999995</v>
      </c>
      <c r="N5630">
        <v>-1.1409819999999999E-2</v>
      </c>
      <c r="O5630">
        <v>-0.35903859999999999</v>
      </c>
      <c r="P5630">
        <v>0.97235459999999996</v>
      </c>
      <c r="Q5630">
        <v>0.1758808</v>
      </c>
      <c r="R5630">
        <v>-0.1536003</v>
      </c>
      <c r="S5630">
        <v>3.09613</v>
      </c>
      <c r="T5630">
        <v>-0.13181080000000001</v>
      </c>
      <c r="U5630">
        <v>-9.0545650000000005E-2</v>
      </c>
      <c r="V5630">
        <v>-0.20733770000000001</v>
      </c>
      <c r="W5630">
        <v>0.1851217</v>
      </c>
      <c r="X5630">
        <v>0.96059410000000001</v>
      </c>
      <c r="Y5630">
        <v>-0.33108680000000001</v>
      </c>
      <c r="Z5630">
        <v>1.975441E-2</v>
      </c>
      <c r="AA5630">
        <v>0.9433935</v>
      </c>
      <c r="AB5630">
        <v>21</v>
      </c>
      <c r="AC5630">
        <v>26.0505</v>
      </c>
      <c r="AD5630">
        <v>-1.1138530550420001</v>
      </c>
      <c r="AE5630">
        <v>-0.72512999999999606</v>
      </c>
      <c r="AF5630">
        <v>-8.6611469199315501</v>
      </c>
      <c r="AG5630">
        <v>-1.1138530550420001</v>
      </c>
      <c r="AH5630">
        <v>24.528847166567999</v>
      </c>
      <c r="AI5630">
        <v>92.451848960123698</v>
      </c>
      <c r="AJ5630">
        <v>109.44814916747001</v>
      </c>
      <c r="AK5630">
        <v>26.036906074219299</v>
      </c>
      <c r="AL5630">
        <v>79.331772095882002</v>
      </c>
      <c r="AM5630">
        <v>102.180049164736</v>
      </c>
      <c r="AN5630">
        <v>0.99999999530349504</v>
      </c>
    </row>
    <row r="5631" spans="1:40" x14ac:dyDescent="0.25">
      <c r="A5631" t="str">
        <f>"20190304155215065"</f>
        <v>20190304155215065</v>
      </c>
      <c r="B5631" t="str">
        <f>"1551685935062945"</f>
        <v>1551685935062945</v>
      </c>
      <c r="C5631" t="s">
        <v>40</v>
      </c>
      <c r="D5631">
        <v>5.0871409999999999</v>
      </c>
      <c r="E5631">
        <v>0.45137129999999998</v>
      </c>
      <c r="F5631" t="s">
        <v>94</v>
      </c>
      <c r="G5631">
        <v>-379.16739999999999</v>
      </c>
      <c r="H5631" s="1">
        <v>-5.0307569999999899E-7</v>
      </c>
      <c r="I5631">
        <v>20.10117</v>
      </c>
      <c r="J5631">
        <v>-403.87389999999999</v>
      </c>
      <c r="K5631">
        <v>1.1137900000000001</v>
      </c>
      <c r="L5631">
        <v>20.760529999999999</v>
      </c>
      <c r="M5631">
        <v>0.93517910000000004</v>
      </c>
      <c r="N5631">
        <v>-1.139948E-2</v>
      </c>
      <c r="O5631">
        <v>-0.35399170000000002</v>
      </c>
      <c r="P5631">
        <v>0.9729506</v>
      </c>
      <c r="Q5631">
        <v>0.17628959999999999</v>
      </c>
      <c r="R5631">
        <v>-0.14929600000000001</v>
      </c>
      <c r="S5631">
        <v>3.0962519999999998</v>
      </c>
      <c r="T5631">
        <v>-0.13861850000000001</v>
      </c>
      <c r="U5631">
        <v>-8.950806E-2</v>
      </c>
      <c r="V5631">
        <v>-0.20634449999999999</v>
      </c>
      <c r="W5631">
        <v>0.18556210000000001</v>
      </c>
      <c r="X5631">
        <v>0.96072299999999999</v>
      </c>
      <c r="Y5631">
        <v>-0.32625120000000002</v>
      </c>
      <c r="Z5631">
        <v>2.060493E-2</v>
      </c>
      <c r="AA5631">
        <v>0.94505850000000002</v>
      </c>
      <c r="AB5631">
        <v>21</v>
      </c>
      <c r="AC5631">
        <v>24.706499999999998</v>
      </c>
      <c r="AD5631">
        <v>-1.1137905030757</v>
      </c>
      <c r="AE5631">
        <v>-0.65935999999999895</v>
      </c>
      <c r="AF5631">
        <v>-8.1133275465592902</v>
      </c>
      <c r="AG5631">
        <v>-1.1137905030757</v>
      </c>
      <c r="AH5631">
        <v>23.292623144298201</v>
      </c>
      <c r="AI5631">
        <v>92.585511482055395</v>
      </c>
      <c r="AJ5631">
        <v>109.20433913882501</v>
      </c>
      <c r="AK5631">
        <v>24.690340339995199</v>
      </c>
      <c r="AL5631">
        <v>79.306094344723803</v>
      </c>
      <c r="AM5631">
        <v>102.121855085023</v>
      </c>
      <c r="AN5631">
        <v>1.00000001418283</v>
      </c>
    </row>
    <row r="5632" spans="1:40" x14ac:dyDescent="0.25">
      <c r="A5632" t="str">
        <f>"20190304155215078"</f>
        <v>20190304155215078</v>
      </c>
      <c r="B5632" t="str">
        <f>"1551685935072706"</f>
        <v>1551685935072706</v>
      </c>
      <c r="C5632" t="s">
        <v>40</v>
      </c>
      <c r="D5632">
        <v>4.8832719999999998</v>
      </c>
      <c r="E5632">
        <v>0.45205529999999999</v>
      </c>
      <c r="F5632" t="s">
        <v>94</v>
      </c>
      <c r="G5632">
        <v>-379.20370000000003</v>
      </c>
      <c r="H5632" s="1">
        <v>-4.8482079999999996E-7</v>
      </c>
      <c r="I5632">
        <v>20.09714</v>
      </c>
      <c r="J5632">
        <v>-403.7595</v>
      </c>
      <c r="K5632">
        <v>1.1137459999999999</v>
      </c>
      <c r="L5632">
        <v>20.72156</v>
      </c>
      <c r="M5632">
        <v>0.93640880000000004</v>
      </c>
      <c r="N5632">
        <v>-1.139243E-2</v>
      </c>
      <c r="O5632">
        <v>-0.35072639999999999</v>
      </c>
      <c r="P5632">
        <v>0.97338789999999997</v>
      </c>
      <c r="Q5632">
        <v>0.17629029999999901</v>
      </c>
      <c r="R5632">
        <v>-0.14641760000000001</v>
      </c>
      <c r="S5632">
        <v>3.0959780000000001</v>
      </c>
      <c r="T5632">
        <v>-0.1397747</v>
      </c>
      <c r="U5632">
        <v>-8.3251950000000005E-2</v>
      </c>
      <c r="V5632">
        <v>-0.2058131</v>
      </c>
      <c r="W5632">
        <v>0.1855842</v>
      </c>
      <c r="X5632">
        <v>0.96083269999999998</v>
      </c>
      <c r="Y5632">
        <v>-0.32485160000000002</v>
      </c>
      <c r="Z5632">
        <v>2.06614E-2</v>
      </c>
      <c r="AA5632">
        <v>0.94553929999999997</v>
      </c>
      <c r="AB5632">
        <v>21</v>
      </c>
      <c r="AC5632">
        <v>24.555799999999898</v>
      </c>
      <c r="AD5632">
        <v>-1.1137464848208001</v>
      </c>
      <c r="AE5632">
        <v>-0.62441999999999998</v>
      </c>
      <c r="AF5632">
        <v>-8.0117044257189907</v>
      </c>
      <c r="AG5632">
        <v>-1.1137464848208001</v>
      </c>
      <c r="AH5632">
        <v>23.167144258134101</v>
      </c>
      <c r="AI5632">
        <v>92.601404401332701</v>
      </c>
      <c r="AJ5632">
        <v>109.076503079744</v>
      </c>
      <c r="AK5632">
        <v>24.538631015497401</v>
      </c>
      <c r="AL5632">
        <v>79.304805597831304</v>
      </c>
      <c r="AM5632">
        <v>102.090217510269</v>
      </c>
      <c r="AN5632">
        <v>1.00000000240527</v>
      </c>
    </row>
    <row r="5633" spans="1:40" x14ac:dyDescent="0.25">
      <c r="A5633" t="str">
        <f>"20190304155215091"</f>
        <v>20190304155215091</v>
      </c>
      <c r="B5633" t="str">
        <f>"1551685935082464"</f>
        <v>1551685935082464</v>
      </c>
      <c r="C5633" t="s">
        <v>40</v>
      </c>
      <c r="D5633">
        <v>5.0167219999999997</v>
      </c>
      <c r="E5633">
        <v>0.45241680000000001</v>
      </c>
      <c r="F5633" t="s">
        <v>94</v>
      </c>
      <c r="G5633">
        <v>-379.02510000000001</v>
      </c>
      <c r="H5633" s="1">
        <v>-5.6635080000000003E-7</v>
      </c>
      <c r="I5633">
        <v>20.086290000000002</v>
      </c>
      <c r="J5633">
        <v>-403.64609999999999</v>
      </c>
      <c r="K5633">
        <v>1.1136969999999999</v>
      </c>
      <c r="L5633">
        <v>20.683109999999999</v>
      </c>
      <c r="M5633">
        <v>0.93760319999999997</v>
      </c>
      <c r="N5633">
        <v>-1.1385330000000001E-2</v>
      </c>
      <c r="O5633">
        <v>-0.34752060000000001</v>
      </c>
      <c r="P5633">
        <v>0.97380350000000004</v>
      </c>
      <c r="Q5633">
        <v>0.17616780000000001</v>
      </c>
      <c r="R5633">
        <v>-0.14377590000000001</v>
      </c>
      <c r="S5633">
        <v>3.0953059999999999</v>
      </c>
      <c r="T5633">
        <v>-0.13937620000000001</v>
      </c>
      <c r="U5633">
        <v>-7.9498289999999999E-2</v>
      </c>
      <c r="V5633">
        <v>-0.20511689999999999</v>
      </c>
      <c r="W5633">
        <v>0.18548480000000001</v>
      </c>
      <c r="X5633">
        <v>0.96100070000000004</v>
      </c>
      <c r="Y5633">
        <v>-0.32276339999999998</v>
      </c>
      <c r="Z5633">
        <v>2.0446820000000001E-2</v>
      </c>
      <c r="AA5633">
        <v>0.94625879999999996</v>
      </c>
      <c r="AB5633">
        <v>21</v>
      </c>
      <c r="AC5633">
        <v>24.620999999999899</v>
      </c>
      <c r="AD5633">
        <v>-1.1136975663508</v>
      </c>
      <c r="AE5633">
        <v>-0.59682000000000102</v>
      </c>
      <c r="AF5633">
        <v>-7.9809228385792101</v>
      </c>
      <c r="AG5633">
        <v>-1.1136975663508</v>
      </c>
      <c r="AH5633">
        <v>23.2461104157249</v>
      </c>
      <c r="AI5633">
        <v>92.594459273194204</v>
      </c>
      <c r="AJ5633">
        <v>108.94852168659099</v>
      </c>
      <c r="AK5633">
        <v>24.603192904270099</v>
      </c>
      <c r="AL5633">
        <v>79.310600855278295</v>
      </c>
      <c r="AM5633">
        <v>102.048472454451</v>
      </c>
      <c r="AN5633">
        <v>0.99999994954856797</v>
      </c>
    </row>
    <row r="5634" spans="1:40" x14ac:dyDescent="0.25">
      <c r="A5634" t="str">
        <f>"20190304155215109"</f>
        <v>20190304155215109</v>
      </c>
      <c r="B5634" t="str">
        <f>"1551685935102961"</f>
        <v>1551685935102961</v>
      </c>
      <c r="C5634" t="s">
        <v>40</v>
      </c>
      <c r="D5634">
        <v>4.8880299999999997</v>
      </c>
      <c r="E5634">
        <v>0.45349339999999999</v>
      </c>
      <c r="F5634" t="s">
        <v>94</v>
      </c>
      <c r="G5634">
        <v>-379.23739999999998</v>
      </c>
      <c r="H5634" s="1">
        <v>-4.6931540000000001E-7</v>
      </c>
      <c r="I5634">
        <v>20.098800000000001</v>
      </c>
      <c r="J5634">
        <v>-403.48579999999998</v>
      </c>
      <c r="K5634">
        <v>1.113626</v>
      </c>
      <c r="L5634">
        <v>20.629519999999999</v>
      </c>
      <c r="M5634">
        <v>0.93923590000000001</v>
      </c>
      <c r="N5634">
        <v>-1.137464E-2</v>
      </c>
      <c r="O5634">
        <v>-0.3430839</v>
      </c>
      <c r="P5634">
        <v>0.97437810000000002</v>
      </c>
      <c r="Q5634">
        <v>0.17559810000000001</v>
      </c>
      <c r="R5634">
        <v>-0.14054469999999999</v>
      </c>
      <c r="S5634">
        <v>3.0953059999999999</v>
      </c>
      <c r="T5634">
        <v>-0.1412302</v>
      </c>
      <c r="U5634">
        <v>-7.4096679999999998E-2</v>
      </c>
      <c r="V5634">
        <v>-0.20375770000000001</v>
      </c>
      <c r="W5634">
        <v>0.1849539</v>
      </c>
      <c r="X5634">
        <v>0.96139220000000003</v>
      </c>
      <c r="Y5634">
        <v>-0.31992720000000002</v>
      </c>
      <c r="Z5634">
        <v>2.0531959999999998E-2</v>
      </c>
      <c r="AA5634">
        <v>0.94721960000000005</v>
      </c>
      <c r="AB5634">
        <v>21</v>
      </c>
      <c r="AC5634">
        <v>24.2484</v>
      </c>
      <c r="AD5634">
        <v>-1.1136264693153901</v>
      </c>
      <c r="AE5634">
        <v>-0.53071999999999797</v>
      </c>
      <c r="AF5634">
        <v>-7.8048164136297</v>
      </c>
      <c r="AG5634">
        <v>-1.1136264693153901</v>
      </c>
      <c r="AH5634">
        <v>22.910235717445801</v>
      </c>
      <c r="AI5634">
        <v>92.634410810726393</v>
      </c>
      <c r="AJ5634">
        <v>108.812406081812</v>
      </c>
      <c r="AK5634">
        <v>24.2287891524226</v>
      </c>
      <c r="AL5634">
        <v>79.341555900487506</v>
      </c>
      <c r="AM5634">
        <v>101.96620997166001</v>
      </c>
      <c r="AN5634">
        <v>1.0000000538276601</v>
      </c>
    </row>
    <row r="5635" spans="1:40" x14ac:dyDescent="0.25">
      <c r="A5635" t="str">
        <f>"20190304155215121"</f>
        <v>20190304155215121</v>
      </c>
      <c r="B5635" t="str">
        <f>"1551685935112720"</f>
        <v>1551685935112720</v>
      </c>
      <c r="C5635" t="s">
        <v>40</v>
      </c>
      <c r="D5635">
        <v>4.8679249999999996</v>
      </c>
      <c r="E5635">
        <v>0.45404149999999999</v>
      </c>
      <c r="F5635" t="s">
        <v>94</v>
      </c>
      <c r="G5635">
        <v>-379.28719999999998</v>
      </c>
      <c r="H5635" s="1">
        <v>-4.3573240000000002E-7</v>
      </c>
      <c r="I5635">
        <v>20.06099</v>
      </c>
      <c r="J5635">
        <v>-403.3775</v>
      </c>
      <c r="K5635">
        <v>1.113577</v>
      </c>
      <c r="L5635">
        <v>20.593779999999999</v>
      </c>
      <c r="M5635">
        <v>0.94030460000000005</v>
      </c>
      <c r="N5635">
        <v>-1.13671E-2</v>
      </c>
      <c r="O5635">
        <v>-0.34014420000000001</v>
      </c>
      <c r="P5635">
        <v>0.97477290000000005</v>
      </c>
      <c r="Q5635">
        <v>0.17530989999999999</v>
      </c>
      <c r="R5635">
        <v>-0.13814650000000001</v>
      </c>
      <c r="S5635">
        <v>3.094055</v>
      </c>
      <c r="T5635">
        <v>-0.14238909999999999</v>
      </c>
      <c r="U5635">
        <v>-7.2692870000000007E-2</v>
      </c>
      <c r="V5635">
        <v>-0.20310909999999999</v>
      </c>
      <c r="W5635">
        <v>0.1846892</v>
      </c>
      <c r="X5635">
        <v>0.96158030000000005</v>
      </c>
      <c r="Y5635">
        <v>-0.31737720000000003</v>
      </c>
      <c r="Z5635">
        <v>2.056258E-2</v>
      </c>
      <c r="AA5635">
        <v>0.94807640000000004</v>
      </c>
      <c r="AB5635">
        <v>21</v>
      </c>
      <c r="AC5635">
        <v>24.090299999999999</v>
      </c>
      <c r="AD5635">
        <v>-1.1135774357324</v>
      </c>
      <c r="AE5635">
        <v>-0.53278999999999799</v>
      </c>
      <c r="AF5635">
        <v>-7.6772913593320498</v>
      </c>
      <c r="AG5635">
        <v>-1.1135774357324</v>
      </c>
      <c r="AH5635">
        <v>22.7862552848554</v>
      </c>
      <c r="AI5635">
        <v>92.6516181879215</v>
      </c>
      <c r="AJ5635">
        <v>108.620030372158</v>
      </c>
      <c r="AK5635">
        <v>24.070610445687699</v>
      </c>
      <c r="AL5635">
        <v>79.356987807983799</v>
      </c>
      <c r="AM5635">
        <v>101.926945472299</v>
      </c>
      <c r="AN5635">
        <v>1.0000000402237601</v>
      </c>
    </row>
    <row r="5636" spans="1:40" x14ac:dyDescent="0.25">
      <c r="A5636" t="str">
        <f>"20190304155215133"</f>
        <v>20190304155215133</v>
      </c>
      <c r="B5636" t="str">
        <f>"1551685935122481"</f>
        <v>1551685935122481</v>
      </c>
      <c r="C5636" t="s">
        <v>40</v>
      </c>
      <c r="D5636">
        <v>5.0072979999999996</v>
      </c>
      <c r="E5636">
        <v>0.45425700000000002</v>
      </c>
      <c r="F5636" t="s">
        <v>94</v>
      </c>
      <c r="G5636">
        <v>-379.15629999999999</v>
      </c>
      <c r="H5636" s="1">
        <v>-4.939642E-7</v>
      </c>
      <c r="I5636">
        <v>20.047280000000001</v>
      </c>
      <c r="J5636">
        <v>-403.27640000000002</v>
      </c>
      <c r="K5636">
        <v>1.1135330000000001</v>
      </c>
      <c r="L5636">
        <v>20.560639999999999</v>
      </c>
      <c r="M5636">
        <v>0.94128409999999996</v>
      </c>
      <c r="N5636">
        <v>-1.136031E-2</v>
      </c>
      <c r="O5636">
        <v>-0.33742509999999998</v>
      </c>
      <c r="P5636">
        <v>0.97508050000000002</v>
      </c>
      <c r="Q5636">
        <v>0.17513600000000001</v>
      </c>
      <c r="R5636">
        <v>-0.13618250000000001</v>
      </c>
      <c r="S5636">
        <v>3.0933229999999998</v>
      </c>
      <c r="T5636">
        <v>-0.1422166</v>
      </c>
      <c r="U5636">
        <v>-6.97937E-2</v>
      </c>
      <c r="V5636">
        <v>-0.2022552</v>
      </c>
      <c r="W5636">
        <v>0.18453829999999999</v>
      </c>
      <c r="X5636">
        <v>0.96178920000000001</v>
      </c>
      <c r="Y5636">
        <v>-0.31552400000000003</v>
      </c>
      <c r="Z5636">
        <v>2.0403250000000001E-2</v>
      </c>
      <c r="AA5636">
        <v>0.94869820000000005</v>
      </c>
      <c r="AB5636">
        <v>21</v>
      </c>
      <c r="AC5636">
        <v>24.120100000000001</v>
      </c>
      <c r="AD5636">
        <v>-1.1135334939642001</v>
      </c>
      <c r="AE5636">
        <v>-0.51336000000000204</v>
      </c>
      <c r="AF5636">
        <v>-7.6397263172490897</v>
      </c>
      <c r="AG5636">
        <v>-1.1135334939642001</v>
      </c>
      <c r="AH5636">
        <v>22.829921874638199</v>
      </c>
      <c r="AI5636">
        <v>92.648276082196205</v>
      </c>
      <c r="AJ5636">
        <v>108.502124517076</v>
      </c>
      <c r="AK5636">
        <v>24.1000146856124</v>
      </c>
      <c r="AL5636">
        <v>79.365784603281796</v>
      </c>
      <c r="AM5636">
        <v>101.875723489915</v>
      </c>
      <c r="AN5636">
        <v>1.00000000766528</v>
      </c>
    </row>
    <row r="5637" spans="1:40" x14ac:dyDescent="0.25">
      <c r="A5637" t="str">
        <f>"20190304155215144"</f>
        <v>20190304155215144</v>
      </c>
      <c r="B5637" t="str">
        <f>"1551685935142977"</f>
        <v>1551685935142977</v>
      </c>
      <c r="C5637" t="s">
        <v>40</v>
      </c>
      <c r="D5637">
        <v>4.863702</v>
      </c>
      <c r="E5637">
        <v>0.45501720000000001</v>
      </c>
      <c r="F5637" t="s">
        <v>94</v>
      </c>
      <c r="G5637">
        <v>-379.02589999999998</v>
      </c>
      <c r="H5637" s="1">
        <v>-5.5590099999999997E-7</v>
      </c>
      <c r="I5637">
        <v>20.048359999999999</v>
      </c>
      <c r="J5637">
        <v>-403.16320000000002</v>
      </c>
      <c r="K5637">
        <v>1.113486</v>
      </c>
      <c r="L5637">
        <v>20.52383</v>
      </c>
      <c r="M5637">
        <v>0.94235860000000005</v>
      </c>
      <c r="N5637">
        <v>-1.135296E-2</v>
      </c>
      <c r="O5637">
        <v>-0.3344125</v>
      </c>
      <c r="P5637">
        <v>0.97545219999999999</v>
      </c>
      <c r="Q5637">
        <v>0.1749704</v>
      </c>
      <c r="R5637">
        <v>-0.13371060000000001</v>
      </c>
      <c r="S5637">
        <v>3.093048</v>
      </c>
      <c r="T5637">
        <v>-0.1420265</v>
      </c>
      <c r="U5637">
        <v>-6.5338129999999994E-2</v>
      </c>
      <c r="V5637">
        <v>-0.20160339999999999</v>
      </c>
      <c r="W5637">
        <v>0.1843949</v>
      </c>
      <c r="X5637">
        <v>0.96195350000000002</v>
      </c>
      <c r="Y5637">
        <v>-0.31385809999999997</v>
      </c>
      <c r="Z5637">
        <v>2.023461E-2</v>
      </c>
      <c r="AA5637">
        <v>0.9492543</v>
      </c>
      <c r="AB5637">
        <v>21</v>
      </c>
      <c r="AC5637">
        <v>24.1373</v>
      </c>
      <c r="AD5637">
        <v>-1.1134865559010001</v>
      </c>
      <c r="AE5637">
        <v>-0.475470000000001</v>
      </c>
      <c r="AF5637">
        <v>-7.6080572053646902</v>
      </c>
      <c r="AG5637">
        <v>-1.1134865559010001</v>
      </c>
      <c r="AH5637">
        <v>22.857842726204002</v>
      </c>
      <c r="AI5637">
        <v>92.646357911857095</v>
      </c>
      <c r="AJ5637">
        <v>108.40962495540801</v>
      </c>
      <c r="AK5637">
        <v>24.1164541515985</v>
      </c>
      <c r="AL5637">
        <v>79.374143908680395</v>
      </c>
      <c r="AM5637">
        <v>101.83656877113199</v>
      </c>
      <c r="AN5637">
        <v>0.99999997309990896</v>
      </c>
    </row>
    <row r="5638" spans="1:40" x14ac:dyDescent="0.25">
      <c r="A5638" t="str">
        <f>"20190304155215158"</f>
        <v>20190304155215158</v>
      </c>
      <c r="B5638" t="str">
        <f>"1551685935152737"</f>
        <v>1551685935152737</v>
      </c>
      <c r="C5638" t="s">
        <v>40</v>
      </c>
      <c r="D5638">
        <v>4.8711699999999896</v>
      </c>
      <c r="E5638">
        <v>0.45533750000000001</v>
      </c>
      <c r="F5638" t="s">
        <v>94</v>
      </c>
      <c r="G5638">
        <v>-378.50940000000003</v>
      </c>
      <c r="H5638" s="1">
        <v>-7.9142559999999996E-7</v>
      </c>
      <c r="I5638">
        <v>20.015979999999999</v>
      </c>
      <c r="J5638">
        <v>-403.05270000000002</v>
      </c>
      <c r="K5638">
        <v>1.113443</v>
      </c>
      <c r="L5638">
        <v>20.48837</v>
      </c>
      <c r="M5638">
        <v>0.94337789999999999</v>
      </c>
      <c r="N5638">
        <v>-1.1346190000000001E-2</v>
      </c>
      <c r="O5638">
        <v>-0.3315263</v>
      </c>
      <c r="P5638">
        <v>0.97577740000000002</v>
      </c>
      <c r="Q5638">
        <v>0.174845899999999</v>
      </c>
      <c r="R5638">
        <v>-0.13148099999999999</v>
      </c>
      <c r="S5638">
        <v>3.0918269999999999</v>
      </c>
      <c r="T5638">
        <v>-0.13964219999999999</v>
      </c>
      <c r="U5638">
        <v>-6.3690189999999994E-2</v>
      </c>
      <c r="V5638">
        <v>-0.2008432</v>
      </c>
      <c r="W5638">
        <v>0.1842917</v>
      </c>
      <c r="X5638">
        <v>0.96213230000000005</v>
      </c>
      <c r="Y5638">
        <v>-0.31147350000000001</v>
      </c>
      <c r="Z5638">
        <v>1.9713689999999999E-2</v>
      </c>
      <c r="AA5638">
        <v>0.95005030000000001</v>
      </c>
      <c r="AB5638">
        <v>21</v>
      </c>
      <c r="AC5638">
        <v>24.543299999999899</v>
      </c>
      <c r="AD5638">
        <v>-1.1134437914255999</v>
      </c>
      <c r="AE5638">
        <v>-0.47238999999999998</v>
      </c>
      <c r="AF5638">
        <v>-7.67580927624486</v>
      </c>
      <c r="AG5638">
        <v>-1.1134437914255999</v>
      </c>
      <c r="AH5638">
        <v>23.263851700413198</v>
      </c>
      <c r="AI5638">
        <v>92.602383729037996</v>
      </c>
      <c r="AJ5638">
        <v>108.260087472268</v>
      </c>
      <c r="AK5638">
        <v>24.522736410538901</v>
      </c>
      <c r="AL5638">
        <v>79.380160141557198</v>
      </c>
      <c r="AM5638">
        <v>101.791057777902</v>
      </c>
      <c r="AN5638">
        <v>0.99999999218920999</v>
      </c>
    </row>
    <row r="5639" spans="1:40" x14ac:dyDescent="0.25">
      <c r="A5639" t="str">
        <f>"20190304155215176"</f>
        <v>20190304155215176</v>
      </c>
      <c r="B5639" t="str">
        <f>"1551685935172258"</f>
        <v>1551685935172258</v>
      </c>
      <c r="C5639" t="s">
        <v>40</v>
      </c>
      <c r="D5639">
        <v>4.8386040000000001</v>
      </c>
      <c r="E5639">
        <v>0.45601039999999998</v>
      </c>
      <c r="F5639" t="s">
        <v>94</v>
      </c>
      <c r="G5639">
        <v>-378.21089999999998</v>
      </c>
      <c r="H5639" s="1">
        <v>-9.3142900000000005E-7</v>
      </c>
      <c r="I5639">
        <v>20.011869999999998</v>
      </c>
      <c r="J5639">
        <v>-402.89339999999999</v>
      </c>
      <c r="K5639">
        <v>1.113381</v>
      </c>
      <c r="L5639">
        <v>20.437709999999999</v>
      </c>
      <c r="M5639">
        <v>0.94481130000000002</v>
      </c>
      <c r="N5639">
        <v>-1.133695E-2</v>
      </c>
      <c r="O5639">
        <v>-0.32741900000000002</v>
      </c>
      <c r="P5639">
        <v>0.97616139999999996</v>
      </c>
      <c r="Q5639">
        <v>0.17469370000000001</v>
      </c>
      <c r="R5639">
        <v>-0.1288067</v>
      </c>
      <c r="S5639">
        <v>3.0913089999999999</v>
      </c>
      <c r="T5639">
        <v>-0.13855680000000001</v>
      </c>
      <c r="U5639">
        <v>-5.9295649999999998E-2</v>
      </c>
      <c r="V5639">
        <v>-0.1992719</v>
      </c>
      <c r="W5639">
        <v>0.18417410000000001</v>
      </c>
      <c r="X5639">
        <v>0.96248149999999999</v>
      </c>
      <c r="Y5639">
        <v>-0.30869999999999997</v>
      </c>
      <c r="Z5639">
        <v>1.9346660000000002E-2</v>
      </c>
      <c r="AA5639">
        <v>0.95096270000000005</v>
      </c>
      <c r="AB5639">
        <v>21</v>
      </c>
      <c r="AC5639">
        <v>24.682500000000001</v>
      </c>
      <c r="AD5639">
        <v>-1.1133819314290001</v>
      </c>
      <c r="AE5639">
        <v>-0.425839999999997</v>
      </c>
      <c r="AF5639">
        <v>-7.6640842780045997</v>
      </c>
      <c r="AG5639">
        <v>-1.1133819314290001</v>
      </c>
      <c r="AH5639">
        <v>23.413612786090798</v>
      </c>
      <c r="AI5639">
        <v>92.587617853200001</v>
      </c>
      <c r="AJ5639">
        <v>108.125059400231</v>
      </c>
      <c r="AK5639">
        <v>24.6612057864692</v>
      </c>
      <c r="AL5639">
        <v>79.387015699817695</v>
      </c>
      <c r="AM5639">
        <v>101.697235152132</v>
      </c>
      <c r="AN5639">
        <v>1.0000000135413301</v>
      </c>
    </row>
    <row r="5640" spans="1:40" x14ac:dyDescent="0.25">
      <c r="A5640" t="str">
        <f>"20190304155215189"</f>
        <v>20190304155215189</v>
      </c>
      <c r="B5640" t="str">
        <f>"1551685935182994"</f>
        <v>1551685935182994</v>
      </c>
      <c r="C5640" t="s">
        <v>40</v>
      </c>
      <c r="D5640">
        <v>4.8497680000000001</v>
      </c>
      <c r="E5640">
        <v>0.45636870000000002</v>
      </c>
      <c r="F5640" t="s">
        <v>94</v>
      </c>
      <c r="G5640">
        <v>-377.73849999999999</v>
      </c>
      <c r="H5640" s="1">
        <v>-1.146442E-6</v>
      </c>
      <c r="I5640">
        <v>19.980630000000001</v>
      </c>
      <c r="J5640">
        <v>-402.77359999999999</v>
      </c>
      <c r="K5640">
        <v>1.113337</v>
      </c>
      <c r="L5640">
        <v>20.39996</v>
      </c>
      <c r="M5640">
        <v>0.94586139999999996</v>
      </c>
      <c r="N5640">
        <v>-1.133031E-2</v>
      </c>
      <c r="O5640">
        <v>-0.32437329999999998</v>
      </c>
      <c r="P5640">
        <v>0.97650669999999995</v>
      </c>
      <c r="Q5640">
        <v>0.17450650000000001</v>
      </c>
      <c r="R5640">
        <v>-0.12642200000000001</v>
      </c>
      <c r="S5640">
        <v>3.0903019999999999</v>
      </c>
      <c r="T5640">
        <v>-0.1367797</v>
      </c>
      <c r="U5640">
        <v>-5.6152340000000002E-2</v>
      </c>
      <c r="V5640">
        <v>-0.19851170000000001</v>
      </c>
      <c r="W5640">
        <v>0.18400820000000001</v>
      </c>
      <c r="X5640">
        <v>0.96267029999999998</v>
      </c>
      <c r="Y5640">
        <v>-0.30661460000000001</v>
      </c>
      <c r="Z5640">
        <v>1.893129E-2</v>
      </c>
      <c r="AA5640">
        <v>0.95164550000000003</v>
      </c>
      <c r="AB5640">
        <v>21</v>
      </c>
      <c r="AC5640">
        <v>25.0351</v>
      </c>
      <c r="AD5640">
        <v>-1.113338146442</v>
      </c>
      <c r="AE5640">
        <v>-0.41933000000000198</v>
      </c>
      <c r="AF5640">
        <v>-7.7093426853174396</v>
      </c>
      <c r="AG5640">
        <v>-1.113338146442</v>
      </c>
      <c r="AH5640">
        <v>23.770283845393401</v>
      </c>
      <c r="AI5640">
        <v>92.550998369410905</v>
      </c>
      <c r="AJ5640">
        <v>107.96927373579901</v>
      </c>
      <c r="AK5640">
        <v>25.013993694701199</v>
      </c>
      <c r="AL5640">
        <v>79.396686306636497</v>
      </c>
      <c r="AM5640">
        <v>101.65161127670299</v>
      </c>
      <c r="AN5640">
        <v>1.0000000096031001</v>
      </c>
    </row>
    <row r="5641" spans="1:40" x14ac:dyDescent="0.25">
      <c r="A5641" t="str">
        <f>"20190304155215203"</f>
        <v>20190304155215203</v>
      </c>
      <c r="B5641" t="str">
        <f>"1551685935192753"</f>
        <v>1551685935192753</v>
      </c>
      <c r="C5641" t="s">
        <v>40</v>
      </c>
      <c r="D5641">
        <v>4.8375159999999999</v>
      </c>
      <c r="E5641">
        <v>0.45673469999999999</v>
      </c>
      <c r="F5641" t="s">
        <v>94</v>
      </c>
      <c r="G5641">
        <v>-377.59629999999999</v>
      </c>
      <c r="H5641" s="1">
        <v>-1.2137140000000001E-6</v>
      </c>
      <c r="I5641">
        <v>19.980969999999999</v>
      </c>
      <c r="J5641">
        <v>-402.64409999999998</v>
      </c>
      <c r="K5641">
        <v>1.1132959999999901</v>
      </c>
      <c r="L5641">
        <v>20.359680000000001</v>
      </c>
      <c r="M5641">
        <v>0.9469632</v>
      </c>
      <c r="N5641">
        <v>-1.1323160000000001E-2</v>
      </c>
      <c r="O5641">
        <v>-0.3211427</v>
      </c>
      <c r="P5641">
        <v>0.97687690000000005</v>
      </c>
      <c r="Q5641">
        <v>0.17433080000000001</v>
      </c>
      <c r="R5641">
        <v>-0.1237769</v>
      </c>
      <c r="S5641">
        <v>3.0899350000000001</v>
      </c>
      <c r="T5641">
        <v>-0.13663719999999999</v>
      </c>
      <c r="U5641">
        <v>-5.1422120000000002E-2</v>
      </c>
      <c r="V5641">
        <v>-0.1978221</v>
      </c>
      <c r="W5641">
        <v>0.18385119999999999</v>
      </c>
      <c r="X5641">
        <v>0.96284219999999998</v>
      </c>
      <c r="Y5641">
        <v>-0.30482429999999999</v>
      </c>
      <c r="Z5641">
        <v>1.876657E-2</v>
      </c>
      <c r="AA5641">
        <v>0.95222370000000001</v>
      </c>
      <c r="AB5641">
        <v>21</v>
      </c>
      <c r="AC5641">
        <v>25.047799999999899</v>
      </c>
      <c r="AD5641">
        <v>-1.11329721371399</v>
      </c>
      <c r="AE5641">
        <v>-0.378709999999994</v>
      </c>
      <c r="AF5641">
        <v>-7.6706357516435997</v>
      </c>
      <c r="AG5641">
        <v>-1.11329721371399</v>
      </c>
      <c r="AH5641">
        <v>23.795493617799899</v>
      </c>
      <c r="AI5641">
        <v>92.549673948739098</v>
      </c>
      <c r="AJ5641">
        <v>107.867071783147</v>
      </c>
      <c r="AK5641">
        <v>25.026058419879298</v>
      </c>
      <c r="AL5641">
        <v>79.405837499486097</v>
      </c>
      <c r="AM5641">
        <v>101.610219585964</v>
      </c>
      <c r="AN5641">
        <v>0.99999997454534395</v>
      </c>
    </row>
    <row r="5642" spans="1:40" x14ac:dyDescent="0.25">
      <c r="A5642" t="str">
        <f>"20190304155215223"</f>
        <v>20190304155215223</v>
      </c>
      <c r="B5642" t="str">
        <f>"1551685935212272"</f>
        <v>1551685935212272</v>
      </c>
      <c r="C5642" t="s">
        <v>40</v>
      </c>
      <c r="D5642">
        <v>4.8709170000000004</v>
      </c>
      <c r="E5642">
        <v>0.45754060000000002</v>
      </c>
      <c r="F5642" t="s">
        <v>94</v>
      </c>
      <c r="G5642">
        <v>-377.39420000000001</v>
      </c>
      <c r="H5642" s="1">
        <v>-1.31017E-6</v>
      </c>
      <c r="I5642">
        <v>19.984310000000001</v>
      </c>
      <c r="J5642">
        <v>-402.46609999999998</v>
      </c>
      <c r="K5642">
        <v>1.113248</v>
      </c>
      <c r="L5642">
        <v>20.30499</v>
      </c>
      <c r="M5642">
        <v>0.94843739999999999</v>
      </c>
      <c r="N5642">
        <v>-1.131384E-2</v>
      </c>
      <c r="O5642">
        <v>-0.3167624</v>
      </c>
      <c r="P5642">
        <v>0.97730300000000003</v>
      </c>
      <c r="Q5642">
        <v>0.17421339999999999</v>
      </c>
      <c r="R5642">
        <v>-0.12053469999999999</v>
      </c>
      <c r="S5642">
        <v>3.0894469999999998</v>
      </c>
      <c r="T5642">
        <v>-0.136217</v>
      </c>
      <c r="U5642">
        <v>-4.5928959999999998E-2</v>
      </c>
      <c r="V5642">
        <v>-0.19654859999999999</v>
      </c>
      <c r="W5642">
        <v>0.18375929999999999</v>
      </c>
      <c r="X5642">
        <v>0.96312050000000005</v>
      </c>
      <c r="Y5642">
        <v>-0.30212040000000001</v>
      </c>
      <c r="Z5642">
        <v>1.850127E-2</v>
      </c>
      <c r="AA5642">
        <v>0.9530902</v>
      </c>
      <c r="AB5642">
        <v>21</v>
      </c>
      <c r="AC5642">
        <v>25.0718999999999</v>
      </c>
      <c r="AD5642">
        <v>-1.1132493101700001</v>
      </c>
      <c r="AE5642">
        <v>-0.32067999999999902</v>
      </c>
      <c r="AF5642">
        <v>-7.6231524195854803</v>
      </c>
      <c r="AG5642">
        <v>-1.1132493101700001</v>
      </c>
      <c r="AH5642">
        <v>23.835251502842599</v>
      </c>
      <c r="AI5642">
        <v>92.547189804293893</v>
      </c>
      <c r="AJ5642">
        <v>107.73566977738299</v>
      </c>
      <c r="AK5642">
        <v>25.049371070799001</v>
      </c>
      <c r="AL5642">
        <v>79.411194144235395</v>
      </c>
      <c r="AM5642">
        <v>101.534243486815</v>
      </c>
      <c r="AN5642">
        <v>0.99999996500934896</v>
      </c>
    </row>
    <row r="5643" spans="1:40" x14ac:dyDescent="0.25">
      <c r="A5643" t="str">
        <f>"20190304155215244"</f>
        <v>20190304155215244</v>
      </c>
      <c r="B5643" t="str">
        <f>"1551685935232768"</f>
        <v>1551685935232768</v>
      </c>
      <c r="C5643" t="s">
        <v>40</v>
      </c>
      <c r="D5643">
        <v>4.840935</v>
      </c>
      <c r="E5643">
        <v>0.45824379999999998</v>
      </c>
      <c r="F5643" t="s">
        <v>94</v>
      </c>
      <c r="G5643">
        <v>-377.20749999999998</v>
      </c>
      <c r="H5643" s="1">
        <v>-1.392851E-6</v>
      </c>
      <c r="I5643">
        <v>19.963349999999998</v>
      </c>
      <c r="J5643">
        <v>-402.28449999999998</v>
      </c>
      <c r="K5643">
        <v>1.1132040000000001</v>
      </c>
      <c r="L5643">
        <v>20.25</v>
      </c>
      <c r="M5643">
        <v>0.94989559999999995</v>
      </c>
      <c r="N5643">
        <v>-1.130509E-2</v>
      </c>
      <c r="O5643">
        <v>-0.31236320000000001</v>
      </c>
      <c r="P5643">
        <v>0.97776149999999995</v>
      </c>
      <c r="Q5643">
        <v>0.1739491</v>
      </c>
      <c r="R5643">
        <v>-0.1171507</v>
      </c>
      <c r="S5643">
        <v>3.0888059999999999</v>
      </c>
      <c r="T5643">
        <v>-0.1361359</v>
      </c>
      <c r="U5643">
        <v>-4.1778559999999999E-2</v>
      </c>
      <c r="V5643">
        <v>-0.1954111</v>
      </c>
      <c r="W5643">
        <v>0.1835165</v>
      </c>
      <c r="X5643">
        <v>0.96339830000000004</v>
      </c>
      <c r="Y5643">
        <v>-0.2989848</v>
      </c>
      <c r="Z5643">
        <v>1.8275159999999999E-2</v>
      </c>
      <c r="AA5643">
        <v>0.95408280000000001</v>
      </c>
      <c r="AB5643">
        <v>21</v>
      </c>
      <c r="AC5643">
        <v>25.077000000000002</v>
      </c>
      <c r="AD5643">
        <v>-1.113205392851</v>
      </c>
      <c r="AE5643">
        <v>-0.28665000000000102</v>
      </c>
      <c r="AF5643">
        <v>-7.5464576069891098</v>
      </c>
      <c r="AG5643">
        <v>-1.113205392851</v>
      </c>
      <c r="AH5643">
        <v>23.8645747549627</v>
      </c>
      <c r="AI5643">
        <v>92.546611727601103</v>
      </c>
      <c r="AJ5643">
        <v>107.54799998445201</v>
      </c>
      <c r="AK5643">
        <v>25.054065077267602</v>
      </c>
      <c r="AL5643">
        <v>79.425347077106593</v>
      </c>
      <c r="AM5643">
        <v>101.466044830912</v>
      </c>
      <c r="AN5643">
        <v>1.0000000441091701</v>
      </c>
    </row>
    <row r="5644" spans="1:40" x14ac:dyDescent="0.25">
      <c r="A5644" t="str">
        <f>"20190304155215257"</f>
        <v>20190304155215257</v>
      </c>
      <c r="B5644" t="str">
        <f>"1551685935252289"</f>
        <v>1551685935252289</v>
      </c>
      <c r="C5644" t="s">
        <v>40</v>
      </c>
      <c r="D5644">
        <v>4.8455879999999896</v>
      </c>
      <c r="E5644">
        <v>0.45891379999999998</v>
      </c>
      <c r="F5644" t="s">
        <v>94</v>
      </c>
      <c r="G5644">
        <v>-377.04399999999998</v>
      </c>
      <c r="H5644" s="1">
        <v>-1.4674680000000001E-6</v>
      </c>
      <c r="I5644">
        <v>19.953430000000001</v>
      </c>
      <c r="J5644">
        <v>-402.17009999999999</v>
      </c>
      <c r="K5644">
        <v>1.1131819999999999</v>
      </c>
      <c r="L5644">
        <v>20.215820000000001</v>
      </c>
      <c r="M5644">
        <v>0.95079139999999995</v>
      </c>
      <c r="N5644">
        <v>-1.130015E-2</v>
      </c>
      <c r="O5644">
        <v>-0.30962590000000001</v>
      </c>
      <c r="P5644">
        <v>0.97804780000000002</v>
      </c>
      <c r="Q5644">
        <v>0.17388399999999901</v>
      </c>
      <c r="R5644">
        <v>-0.1148349</v>
      </c>
      <c r="S5644">
        <v>3.0881349999999999</v>
      </c>
      <c r="T5644">
        <v>-0.13619899999999999</v>
      </c>
      <c r="U5644">
        <v>-3.6285400000000002E-2</v>
      </c>
      <c r="V5644">
        <v>-0.19491059999999999</v>
      </c>
      <c r="W5644">
        <v>0.1834616</v>
      </c>
      <c r="X5644">
        <v>0.96351010000000004</v>
      </c>
      <c r="Y5644">
        <v>-0.29793219999999998</v>
      </c>
      <c r="Z5644">
        <v>1.817829E-2</v>
      </c>
      <c r="AA5644">
        <v>0.95441399999999998</v>
      </c>
      <c r="AB5644">
        <v>21</v>
      </c>
      <c r="AC5644">
        <v>25.126099999999902</v>
      </c>
      <c r="AD5644">
        <v>-1.1131834674679999</v>
      </c>
      <c r="AE5644">
        <v>-0.26239000000000301</v>
      </c>
      <c r="AF5644">
        <v>-7.5159423964844896</v>
      </c>
      <c r="AG5644">
        <v>-1.1131834674679999</v>
      </c>
      <c r="AH5644">
        <v>23.925494389948401</v>
      </c>
      <c r="AI5644">
        <v>92.541599664969993</v>
      </c>
      <c r="AJ5644">
        <v>107.43956276573</v>
      </c>
      <c r="AK5644">
        <v>25.102945033261999</v>
      </c>
      <c r="AL5644">
        <v>79.428546543725602</v>
      </c>
      <c r="AM5644">
        <v>101.43615999525601</v>
      </c>
      <c r="AN5644">
        <v>1.0000000067344601</v>
      </c>
    </row>
    <row r="5645" spans="1:40" x14ac:dyDescent="0.25">
      <c r="A5645" t="str">
        <f>"20190304155215269"</f>
        <v>20190304155215269</v>
      </c>
      <c r="B5645" t="str">
        <f>"1551685935263025"</f>
        <v>1551685935263025</v>
      </c>
      <c r="C5645" t="s">
        <v>40</v>
      </c>
      <c r="D5645">
        <v>4.8404819999999997</v>
      </c>
      <c r="E5645">
        <v>0.45925929999999998</v>
      </c>
      <c r="F5645" t="s">
        <v>94</v>
      </c>
      <c r="G5645">
        <v>-376.72449999999998</v>
      </c>
      <c r="H5645" s="1">
        <v>-1.6136370000000001E-6</v>
      </c>
      <c r="I5645">
        <v>19.935120000000001</v>
      </c>
      <c r="J5645">
        <v>-402.05459999999999</v>
      </c>
      <c r="K5645">
        <v>1.113167</v>
      </c>
      <c r="L5645">
        <v>20.181519999999999</v>
      </c>
      <c r="M5645">
        <v>0.9516829</v>
      </c>
      <c r="N5645">
        <v>-1.129549E-2</v>
      </c>
      <c r="O5645">
        <v>-0.30687510000000001</v>
      </c>
      <c r="P5645">
        <v>0.97836979999999996</v>
      </c>
      <c r="Q5645">
        <v>0.1737136</v>
      </c>
      <c r="R5645">
        <v>-0.1123214</v>
      </c>
      <c r="S5645">
        <v>3.0873110000000001</v>
      </c>
      <c r="T5645">
        <v>-0.1350625</v>
      </c>
      <c r="U5645">
        <v>-3.4057619999999997E-2</v>
      </c>
      <c r="V5645">
        <v>-0.1945992</v>
      </c>
      <c r="W5645">
        <v>0.18329809999999999</v>
      </c>
      <c r="X5645">
        <v>0.96360420000000002</v>
      </c>
      <c r="Y5645">
        <v>-0.29586950000000001</v>
      </c>
      <c r="Z5645">
        <v>1.7877819999999999E-2</v>
      </c>
      <c r="AA5645">
        <v>0.9550611</v>
      </c>
      <c r="AB5645">
        <v>21</v>
      </c>
      <c r="AC5645">
        <v>25.330100000000002</v>
      </c>
      <c r="AD5645">
        <v>-1.113168613637</v>
      </c>
      <c r="AE5645">
        <v>-0.24640000000000101</v>
      </c>
      <c r="AF5645">
        <v>-7.5246314125418099</v>
      </c>
      <c r="AG5645">
        <v>-1.113168613637</v>
      </c>
      <c r="AH5645">
        <v>24.136765994705801</v>
      </c>
      <c r="AI5645">
        <v>92.521062390865495</v>
      </c>
      <c r="AJ5645">
        <v>107.314855910313</v>
      </c>
      <c r="AK5645">
        <v>25.306969295832001</v>
      </c>
      <c r="AL5645">
        <v>79.438076445728498</v>
      </c>
      <c r="AM5645">
        <v>101.41728349023199</v>
      </c>
      <c r="AN5645">
        <v>1.0000000481809399</v>
      </c>
    </row>
    <row r="5646" spans="1:40" x14ac:dyDescent="0.25">
      <c r="A5646" t="str">
        <f>"20190304155215282"</f>
        <v>20190304155215282</v>
      </c>
      <c r="B5646" t="str">
        <f>"1551685935272785"</f>
        <v>1551685935272785</v>
      </c>
      <c r="C5646" t="s">
        <v>40</v>
      </c>
      <c r="D5646">
        <v>4.8239210000000003</v>
      </c>
      <c r="E5646">
        <v>0.45961089999999999</v>
      </c>
      <c r="F5646" t="s">
        <v>94</v>
      </c>
      <c r="G5646">
        <v>-376.63529999999997</v>
      </c>
      <c r="H5646" s="1">
        <v>-1.6583620000000001E-6</v>
      </c>
      <c r="I5646">
        <v>19.94481</v>
      </c>
      <c r="J5646">
        <v>-401.93040000000002</v>
      </c>
      <c r="K5646">
        <v>1.1131530000000001</v>
      </c>
      <c r="L5646">
        <v>20.14517</v>
      </c>
      <c r="M5646">
        <v>0.95262259999999999</v>
      </c>
      <c r="N5646">
        <v>-1.129104E-2</v>
      </c>
      <c r="O5646">
        <v>-0.30394559999999998</v>
      </c>
      <c r="P5646">
        <v>0.97869039999999996</v>
      </c>
      <c r="Q5646">
        <v>0.1735555</v>
      </c>
      <c r="R5646">
        <v>-0.10974489999999899</v>
      </c>
      <c r="S5646">
        <v>3.0870669999999998</v>
      </c>
      <c r="T5646">
        <v>-0.13519010000000001</v>
      </c>
      <c r="U5646">
        <v>-2.8747559999999998E-2</v>
      </c>
      <c r="V5646">
        <v>-0.19417190000000001</v>
      </c>
      <c r="W5646">
        <v>0.1831467</v>
      </c>
      <c r="X5646">
        <v>0.96371910000000005</v>
      </c>
      <c r="Y5646">
        <v>-0.29457410000000001</v>
      </c>
      <c r="Z5646">
        <v>1.777538E-2</v>
      </c>
      <c r="AA5646">
        <v>0.95546330000000002</v>
      </c>
      <c r="AB5646">
        <v>21</v>
      </c>
      <c r="AC5646">
        <v>25.295100000000001</v>
      </c>
      <c r="AD5646">
        <v>-1.113154658362</v>
      </c>
      <c r="AE5646">
        <v>-0.20035999999999901</v>
      </c>
      <c r="AF5646">
        <v>-7.4834524823496604</v>
      </c>
      <c r="AG5646">
        <v>-1.113154658362</v>
      </c>
      <c r="AH5646">
        <v>24.112426681612099</v>
      </c>
      <c r="AI5646">
        <v>92.524568266184701</v>
      </c>
      <c r="AJ5646">
        <v>107.24207837647</v>
      </c>
      <c r="AK5646">
        <v>25.2715313114408</v>
      </c>
      <c r="AL5646">
        <v>79.446899590553599</v>
      </c>
      <c r="AM5646">
        <v>101.391546974492</v>
      </c>
      <c r="AN5646">
        <v>0.99999997208765401</v>
      </c>
    </row>
    <row r="5647" spans="1:40" x14ac:dyDescent="0.25">
      <c r="A5647" t="str">
        <f>"20190304155215300"</f>
        <v>20190304155215300</v>
      </c>
      <c r="B5647" t="str">
        <f>"1551685935292304"</f>
        <v>1551685935292304</v>
      </c>
      <c r="C5647" t="s">
        <v>40</v>
      </c>
      <c r="D5647">
        <v>4.84396</v>
      </c>
      <c r="E5647">
        <v>0.45995340000000001</v>
      </c>
      <c r="F5647" t="s">
        <v>94</v>
      </c>
      <c r="G5647">
        <v>-376.48950000000002</v>
      </c>
      <c r="H5647" s="1">
        <v>-1.729433E-6</v>
      </c>
      <c r="I5647">
        <v>19.952750000000002</v>
      </c>
      <c r="J5647">
        <v>-401.78120000000001</v>
      </c>
      <c r="K5647">
        <v>1.113151</v>
      </c>
      <c r="L5647">
        <v>20.101990000000001</v>
      </c>
      <c r="M5647">
        <v>0.95373439999999998</v>
      </c>
      <c r="N5647">
        <v>-1.1286330000000001E-2</v>
      </c>
      <c r="O5647">
        <v>-0.3004385</v>
      </c>
      <c r="P5647">
        <v>0.97899349999999996</v>
      </c>
      <c r="Q5647">
        <v>0.17375679999999999</v>
      </c>
      <c r="R5647">
        <v>-0.1066792</v>
      </c>
      <c r="S5647">
        <v>3.0866389999999999</v>
      </c>
      <c r="T5647">
        <v>-0.13505449999999999</v>
      </c>
      <c r="U5647">
        <v>-2.3345950000000001E-2</v>
      </c>
      <c r="V5647">
        <v>-0.19362940000000001</v>
      </c>
      <c r="W5647">
        <v>0.1833525</v>
      </c>
      <c r="X5647">
        <v>0.96378920000000001</v>
      </c>
      <c r="Y5647">
        <v>-0.29273329999999997</v>
      </c>
      <c r="Z5647">
        <v>1.7603230000000001E-2</v>
      </c>
      <c r="AA5647">
        <v>0.95603210000000005</v>
      </c>
      <c r="AB5647">
        <v>21</v>
      </c>
      <c r="AC5647">
        <v>25.291699999999899</v>
      </c>
      <c r="AD5647">
        <v>-1.1131527294329999</v>
      </c>
      <c r="AE5647">
        <v>-0.14923999999999801</v>
      </c>
      <c r="AF5647">
        <v>-7.4423240341432102</v>
      </c>
      <c r="AG5647">
        <v>-1.1131527294329999</v>
      </c>
      <c r="AH5647">
        <v>24.121217599764002</v>
      </c>
      <c r="AI5647">
        <v>92.524939471294701</v>
      </c>
      <c r="AJ5647">
        <v>107.147007961716</v>
      </c>
      <c r="AK5647">
        <v>25.267774625467101</v>
      </c>
      <c r="AL5647">
        <v>79.434905871321106</v>
      </c>
      <c r="AM5647">
        <v>101.359743891332</v>
      </c>
      <c r="AN5647">
        <v>1.0000000529186199</v>
      </c>
    </row>
    <row r="5648" spans="1:40" x14ac:dyDescent="0.25">
      <c r="A5648" t="str">
        <f>"20190304155215312"</f>
        <v>20190304155215312</v>
      </c>
      <c r="B5648" t="str">
        <f>"1551685935303041"</f>
        <v>1551685935303041</v>
      </c>
      <c r="C5648" t="s">
        <v>40</v>
      </c>
      <c r="D5648">
        <v>4.8154810000000001</v>
      </c>
      <c r="E5648">
        <v>0.47189209999999898</v>
      </c>
      <c r="F5648" t="s">
        <v>94</v>
      </c>
      <c r="G5648">
        <v>-376.06040000000002</v>
      </c>
      <c r="H5648" s="1">
        <v>-1.9371110000000001E-6</v>
      </c>
      <c r="I5648">
        <v>19.97101</v>
      </c>
      <c r="J5648">
        <v>-401.66129999999998</v>
      </c>
      <c r="K5648">
        <v>1.1131519999999999</v>
      </c>
      <c r="L5648">
        <v>20.06766</v>
      </c>
      <c r="M5648">
        <v>0.95461459999999998</v>
      </c>
      <c r="N5648">
        <v>-1.1283039999999999E-2</v>
      </c>
      <c r="O5648">
        <v>-0.29763000000000001</v>
      </c>
      <c r="P5648">
        <v>0.97920569999999896</v>
      </c>
      <c r="Q5648">
        <v>0.17400959999999999</v>
      </c>
      <c r="R5648">
        <v>-0.10429099999999999</v>
      </c>
      <c r="S5648">
        <v>3.0863649999999998</v>
      </c>
      <c r="T5648">
        <v>-0.1335731</v>
      </c>
      <c r="U5648">
        <v>-1.5716549999999999E-2</v>
      </c>
      <c r="V5648">
        <v>-0.1931292</v>
      </c>
      <c r="W5648">
        <v>0.1836074</v>
      </c>
      <c r="X5648">
        <v>0.96384099999999995</v>
      </c>
      <c r="Y5648">
        <v>-0.29229470000000002</v>
      </c>
      <c r="Z5648">
        <v>1.7298480000000001E-2</v>
      </c>
      <c r="AA5648">
        <v>0.95617180000000002</v>
      </c>
      <c r="AB5648">
        <v>21</v>
      </c>
      <c r="AC5648">
        <v>25.6008999999999</v>
      </c>
      <c r="AD5648">
        <v>-1.113153937111</v>
      </c>
      <c r="AE5648">
        <v>-9.6650000000000305E-2</v>
      </c>
      <c r="AF5648">
        <v>-7.5136066759583402</v>
      </c>
      <c r="AG5648">
        <v>-1.113153937111</v>
      </c>
      <c r="AH5648">
        <v>24.423143196588398</v>
      </c>
      <c r="AI5648">
        <v>92.494395549953794</v>
      </c>
      <c r="AJ5648">
        <v>107.10014307390399</v>
      </c>
      <c r="AK5648">
        <v>25.5770076547233</v>
      </c>
      <c r="AL5648">
        <v>79.420048598522897</v>
      </c>
      <c r="AM5648">
        <v>101.330565351522</v>
      </c>
      <c r="AN5648">
        <v>1.00000001925419</v>
      </c>
    </row>
    <row r="5649" spans="1:40" x14ac:dyDescent="0.25">
      <c r="A5649" t="str">
        <f>"20190304155215324"</f>
        <v>20190304155215324</v>
      </c>
      <c r="B5649" t="str">
        <f>"1551685935322561"</f>
        <v>1551685935322561</v>
      </c>
      <c r="C5649" t="s">
        <v>40</v>
      </c>
      <c r="D5649">
        <v>4.8244290000000003</v>
      </c>
      <c r="E5649">
        <v>0.47196559999999999</v>
      </c>
      <c r="F5649" t="s">
        <v>94</v>
      </c>
      <c r="G5649">
        <v>-372.8546</v>
      </c>
      <c r="H5649" s="1">
        <v>-3.447792E-6</v>
      </c>
      <c r="I5649">
        <v>19.111039999999999</v>
      </c>
      <c r="J5649">
        <v>-401.55270000000002</v>
      </c>
      <c r="K5649">
        <v>1.113156</v>
      </c>
      <c r="L5649">
        <v>20.036899999999999</v>
      </c>
      <c r="M5649">
        <v>0.95540320000000001</v>
      </c>
      <c r="N5649">
        <v>-1.1280419999999999E-2</v>
      </c>
      <c r="O5649">
        <v>-0.29508889999999999</v>
      </c>
      <c r="P5649">
        <v>0.97931630000000003</v>
      </c>
      <c r="Q5649">
        <v>0.1745825</v>
      </c>
      <c r="R5649">
        <v>-0.1022771</v>
      </c>
      <c r="S5649">
        <v>3.0739749999999999</v>
      </c>
      <c r="T5649">
        <v>-0.1187851</v>
      </c>
      <c r="U5649">
        <v>-0.1020813</v>
      </c>
      <c r="V5649">
        <v>-0.19251979999999999</v>
      </c>
      <c r="W5649">
        <v>0.18418109999999999</v>
      </c>
      <c r="X5649">
        <v>0.96385339999999997</v>
      </c>
      <c r="Y5649">
        <v>-0.26287690000000002</v>
      </c>
      <c r="Z5649">
        <v>1.4442389999999999E-2</v>
      </c>
      <c r="AA5649">
        <v>0.9647213</v>
      </c>
      <c r="AB5649">
        <v>21</v>
      </c>
      <c r="AC5649">
        <v>28.6981</v>
      </c>
      <c r="AD5649">
        <v>-1.1131594477919999</v>
      </c>
      <c r="AE5649">
        <v>-0.92586000000000002</v>
      </c>
      <c r="AF5649">
        <v>-7.5730215992082899</v>
      </c>
      <c r="AG5649">
        <v>-1.1131594477919999</v>
      </c>
      <c r="AH5649">
        <v>27.6516696114289</v>
      </c>
      <c r="AI5649">
        <v>92.223489715065597</v>
      </c>
      <c r="AJ5649">
        <v>105.316155098682</v>
      </c>
      <c r="AK5649">
        <v>28.691542523850199</v>
      </c>
      <c r="AL5649">
        <v>79.386607115217799</v>
      </c>
      <c r="AM5649">
        <v>101.295591915016</v>
      </c>
      <c r="AN5649">
        <v>0.99999996384040402</v>
      </c>
    </row>
    <row r="5650" spans="1:40" x14ac:dyDescent="0.25">
      <c r="A5650" t="str">
        <f>"20190304155215344"</f>
        <v>20190304155215344</v>
      </c>
      <c r="B5650" t="str">
        <f>"1551685935332322"</f>
        <v>1551685935332322</v>
      </c>
      <c r="C5650" t="s">
        <v>40</v>
      </c>
      <c r="D5650">
        <v>4.8471440000000001</v>
      </c>
      <c r="E5650">
        <v>0.47242410000000001</v>
      </c>
      <c r="F5650" t="s">
        <v>94</v>
      </c>
      <c r="G5650">
        <v>-371.02350000000001</v>
      </c>
      <c r="H5650" s="1">
        <v>-4.3179120000000001E-6</v>
      </c>
      <c r="I5650">
        <v>19.08531</v>
      </c>
      <c r="J5650">
        <v>-401.38080000000002</v>
      </c>
      <c r="K5650">
        <v>1.1131709999999999</v>
      </c>
      <c r="L5650">
        <v>19.98883</v>
      </c>
      <c r="M5650">
        <v>0.95663529999999997</v>
      </c>
      <c r="N5650">
        <v>-1.1277540000000001E-2</v>
      </c>
      <c r="O5650">
        <v>-0.29106979999999999</v>
      </c>
      <c r="P5650">
        <v>0.97950289999999995</v>
      </c>
      <c r="Q5650">
        <v>0.175263</v>
      </c>
      <c r="R5650">
        <v>-9.9282079999999995E-2</v>
      </c>
      <c r="S5650">
        <v>3.073334</v>
      </c>
      <c r="T5650">
        <v>-0.1120604</v>
      </c>
      <c r="U5650">
        <v>-9.5794679999999993E-2</v>
      </c>
      <c r="V5650">
        <v>-0.19138620000000001</v>
      </c>
      <c r="W5650">
        <v>0.184863</v>
      </c>
      <c r="X5650">
        <v>0.96394869999999999</v>
      </c>
      <c r="Y5650">
        <v>-0.26082880000000003</v>
      </c>
      <c r="Z5650">
        <v>1.3380660000000001E-2</v>
      </c>
      <c r="AA5650">
        <v>0.96529229999999999</v>
      </c>
      <c r="AB5650">
        <v>21</v>
      </c>
      <c r="AC5650">
        <v>30.357299999999999</v>
      </c>
      <c r="AD5650">
        <v>-1.1131753179120001</v>
      </c>
      <c r="AE5650">
        <v>-0.90351999999999999</v>
      </c>
      <c r="AF5650">
        <v>-7.9615656241394799</v>
      </c>
      <c r="AG5650">
        <v>-1.1131753179120001</v>
      </c>
      <c r="AH5650">
        <v>29.266399696087898</v>
      </c>
      <c r="AI5650">
        <v>92.101933401579004</v>
      </c>
      <c r="AJ5650">
        <v>105.218340793412</v>
      </c>
      <c r="AK5650">
        <v>30.350417421298602</v>
      </c>
      <c r="AL5650">
        <v>79.346855446214505</v>
      </c>
      <c r="AM5650">
        <v>101.229694213766</v>
      </c>
      <c r="AN5650">
        <v>1.00000005127556</v>
      </c>
    </row>
    <row r="5651" spans="1:40" x14ac:dyDescent="0.25">
      <c r="A5651" t="str">
        <f>"20190304155215357"</f>
        <v>20190304155215357</v>
      </c>
      <c r="B5651" t="str">
        <f>"1551685935352817"</f>
        <v>1551685935352817</v>
      </c>
      <c r="C5651" t="s">
        <v>40</v>
      </c>
      <c r="D5651">
        <v>4.8617330000000001</v>
      </c>
      <c r="E5651">
        <v>0.4732846</v>
      </c>
      <c r="F5651" t="s">
        <v>95</v>
      </c>
      <c r="G5651">
        <v>-369.81729999999999</v>
      </c>
      <c r="H5651" s="1">
        <v>-2.1501239999999999E-7</v>
      </c>
      <c r="I5651">
        <v>19.073589999999999</v>
      </c>
      <c r="J5651">
        <v>-401.25779999999997</v>
      </c>
      <c r="K5651">
        <v>1.113184</v>
      </c>
      <c r="L5651">
        <v>19.954930000000001</v>
      </c>
      <c r="M5651">
        <v>0.95750729999999995</v>
      </c>
      <c r="N5651">
        <v>-1.1276059999999999E-2</v>
      </c>
      <c r="O5651">
        <v>-0.28818850000000001</v>
      </c>
      <c r="P5651">
        <v>0.9796897</v>
      </c>
      <c r="Q5651">
        <v>0.17567969999999999</v>
      </c>
      <c r="R5651">
        <v>-9.6668229999999994E-2</v>
      </c>
      <c r="S5651">
        <v>3.0731510000000002</v>
      </c>
      <c r="T5651">
        <v>-0.1083827</v>
      </c>
      <c r="U5651">
        <v>-8.9111330000000002E-2</v>
      </c>
      <c r="V5651">
        <v>-0.19104199999999999</v>
      </c>
      <c r="W5651">
        <v>0.18527589999999999</v>
      </c>
      <c r="X5651">
        <v>0.96393759999999995</v>
      </c>
      <c r="Y5651">
        <v>-0.26004060000000001</v>
      </c>
      <c r="Z5651">
        <v>1.280095E-2</v>
      </c>
      <c r="AA5651">
        <v>0.96551279999999995</v>
      </c>
      <c r="AB5651">
        <v>21</v>
      </c>
      <c r="AC5651">
        <v>31.440499999999901</v>
      </c>
      <c r="AD5651">
        <v>-1.1131842150123901</v>
      </c>
      <c r="AE5651">
        <v>-0.88133999999999701</v>
      </c>
      <c r="AF5651">
        <v>-8.2071432197065697</v>
      </c>
      <c r="AG5651">
        <v>-1.1131842150123901</v>
      </c>
      <c r="AH5651">
        <v>30.322448635682701</v>
      </c>
      <c r="AI5651">
        <v>92.029512040083603</v>
      </c>
      <c r="AJ5651">
        <v>105.144937019262</v>
      </c>
      <c r="AK5651">
        <v>31.433219214533899</v>
      </c>
      <c r="AL5651">
        <v>79.322781079162993</v>
      </c>
      <c r="AM5651">
        <v>101.21013580974299</v>
      </c>
      <c r="AN5651">
        <v>0.99999995078928305</v>
      </c>
    </row>
    <row r="5652" spans="1:40" x14ac:dyDescent="0.25">
      <c r="A5652" t="str">
        <f>"20190304155215370"</f>
        <v>20190304155215370</v>
      </c>
      <c r="B5652" t="str">
        <f>"1551685935362577"</f>
        <v>1551685935362577</v>
      </c>
      <c r="C5652" t="s">
        <v>40</v>
      </c>
      <c r="D5652">
        <v>4.8683589999999999</v>
      </c>
      <c r="E5652">
        <v>0.47365279999999998</v>
      </c>
      <c r="F5652" t="s">
        <v>95</v>
      </c>
      <c r="G5652">
        <v>-368.39909999999998</v>
      </c>
      <c r="H5652" s="1">
        <v>-8.6303749999999896E-7</v>
      </c>
      <c r="I5652">
        <v>19.019480000000001</v>
      </c>
      <c r="J5652">
        <v>-401.14280000000002</v>
      </c>
      <c r="K5652">
        <v>1.113202</v>
      </c>
      <c r="L5652">
        <v>19.923549999999999</v>
      </c>
      <c r="M5652">
        <v>0.95831299999999997</v>
      </c>
      <c r="N5652">
        <v>-1.1274899999999999E-2</v>
      </c>
      <c r="O5652">
        <v>-0.28549770000000002</v>
      </c>
      <c r="P5652">
        <v>0.97983710000000002</v>
      </c>
      <c r="Q5652">
        <v>0.176043899999999</v>
      </c>
      <c r="R5652">
        <v>-9.4487669999999996E-2</v>
      </c>
      <c r="S5652">
        <v>3.0722659999999999</v>
      </c>
      <c r="T5652">
        <v>-0.1040823</v>
      </c>
      <c r="U5652">
        <v>-8.7463379999999993E-2</v>
      </c>
      <c r="V5652">
        <v>-0.190467</v>
      </c>
      <c r="W5652">
        <v>0.1856381</v>
      </c>
      <c r="X5652">
        <v>0.96398170000000005</v>
      </c>
      <c r="Y5652">
        <v>-0.257862799999999</v>
      </c>
      <c r="Z5652">
        <v>1.2119939999999999E-2</v>
      </c>
      <c r="AA5652">
        <v>0.96610549999999995</v>
      </c>
      <c r="AB5652">
        <v>21</v>
      </c>
      <c r="AC5652">
        <v>32.743699999999997</v>
      </c>
      <c r="AD5652">
        <v>-1.1132028630374999</v>
      </c>
      <c r="AE5652">
        <v>-0.90407000000000004</v>
      </c>
      <c r="AF5652">
        <v>-8.4726233136079792</v>
      </c>
      <c r="AG5652">
        <v>-1.1132028630374999</v>
      </c>
      <c r="AH5652">
        <v>31.602337450149399</v>
      </c>
      <c r="AI5652">
        <v>91.948666490899001</v>
      </c>
      <c r="AJ5652">
        <v>105.008123500314</v>
      </c>
      <c r="AK5652">
        <v>32.737322717987901</v>
      </c>
      <c r="AL5652">
        <v>79.301662176596807</v>
      </c>
      <c r="AM5652">
        <v>101.176747735001</v>
      </c>
      <c r="AN5652">
        <v>0.999999950097748</v>
      </c>
    </row>
    <row r="5653" spans="1:40" x14ac:dyDescent="0.25">
      <c r="A5653" t="str">
        <f>"20190304155215388"</f>
        <v>20190304155215388</v>
      </c>
      <c r="B5653" t="str">
        <f>"1551685935383074"</f>
        <v>1551685935383074</v>
      </c>
      <c r="C5653" t="s">
        <v>40</v>
      </c>
      <c r="D5653">
        <v>4.8574190000000002</v>
      </c>
      <c r="E5653">
        <v>0.47408210000000001</v>
      </c>
      <c r="F5653" t="s">
        <v>95</v>
      </c>
      <c r="G5653">
        <v>-367.65940000000001</v>
      </c>
      <c r="H5653" s="1">
        <v>-1.213418E-6</v>
      </c>
      <c r="I5653">
        <v>19.01549</v>
      </c>
      <c r="J5653">
        <v>-400.97669999999999</v>
      </c>
      <c r="K5653">
        <v>1.1132200000000001</v>
      </c>
      <c r="L5653">
        <v>19.878879999999999</v>
      </c>
      <c r="M5653">
        <v>0.9594665</v>
      </c>
      <c r="N5653">
        <v>-1.1273740000000001E-2</v>
      </c>
      <c r="O5653">
        <v>-0.281597599999999</v>
      </c>
      <c r="P5653">
        <v>0.97988399999999998</v>
      </c>
      <c r="Q5653">
        <v>0.17715999999999901</v>
      </c>
      <c r="R5653">
        <v>-9.1880980000000001E-2</v>
      </c>
      <c r="S5653">
        <v>3.0720519999999998</v>
      </c>
      <c r="T5653">
        <v>-0.10213469999999999</v>
      </c>
      <c r="U5653">
        <v>-8.3312990000000003E-2</v>
      </c>
      <c r="V5653">
        <v>-0.18906690000000001</v>
      </c>
      <c r="W5653">
        <v>0.186755</v>
      </c>
      <c r="X5653">
        <v>0.9640417</v>
      </c>
      <c r="Y5653">
        <v>-0.25524750000000002</v>
      </c>
      <c r="Z5653">
        <v>1.1723549999999999E-2</v>
      </c>
      <c r="AA5653">
        <v>0.96680469999999996</v>
      </c>
      <c r="AB5653">
        <v>21</v>
      </c>
      <c r="AC5653">
        <v>33.317299999999904</v>
      </c>
      <c r="AD5653">
        <v>-1.113221213418</v>
      </c>
      <c r="AE5653">
        <v>-0.86338999999999899</v>
      </c>
      <c r="AF5653">
        <v>-8.5446874429356701</v>
      </c>
      <c r="AG5653">
        <v>-1.113221213418</v>
      </c>
      <c r="AH5653">
        <v>32.176106923708801</v>
      </c>
      <c r="AI5653">
        <v>91.915186165847601</v>
      </c>
      <c r="AJ5653">
        <v>104.87220398273701</v>
      </c>
      <c r="AK5653">
        <v>33.3099504913083</v>
      </c>
      <c r="AL5653">
        <v>79.236530714986799</v>
      </c>
      <c r="AM5653">
        <v>101.09596168221699</v>
      </c>
      <c r="AN5653">
        <v>1.0000000610197399</v>
      </c>
    </row>
    <row r="5654" spans="1:40" x14ac:dyDescent="0.25">
      <c r="A5654" t="str">
        <f>"20190304155215414"</f>
        <v>20190304155215414</v>
      </c>
      <c r="B5654" t="str">
        <f>"1551685935402593"</f>
        <v>1551685935402593</v>
      </c>
      <c r="C5654" t="s">
        <v>40</v>
      </c>
      <c r="D5654">
        <v>4.8540970000000003</v>
      </c>
      <c r="E5654">
        <v>0.47840120000000003</v>
      </c>
      <c r="F5654" t="s">
        <v>95</v>
      </c>
      <c r="G5654">
        <v>-366.31689999999998</v>
      </c>
      <c r="H5654" s="1">
        <v>-1.851356E-6</v>
      </c>
      <c r="I5654">
        <v>18.996759999999998</v>
      </c>
      <c r="J5654">
        <v>-400.75349999999997</v>
      </c>
      <c r="K5654">
        <v>1.1132409999999999</v>
      </c>
      <c r="L5654">
        <v>19.820070000000001</v>
      </c>
      <c r="M5654">
        <v>0.96099409999999996</v>
      </c>
      <c r="N5654">
        <v>-1.127266E-2</v>
      </c>
      <c r="O5654">
        <v>-0.276339099999999</v>
      </c>
      <c r="P5654">
        <v>0.98026199999999997</v>
      </c>
      <c r="Q5654">
        <v>0.1773361</v>
      </c>
      <c r="R5654">
        <v>-8.7397970000000005E-2</v>
      </c>
      <c r="S5654">
        <v>3.0720830000000001</v>
      </c>
      <c r="T5654">
        <v>-9.8670839999999996E-2</v>
      </c>
      <c r="U5654">
        <v>-7.8186039999999998E-2</v>
      </c>
      <c r="V5654">
        <v>-0.1881977</v>
      </c>
      <c r="W5654">
        <v>0.18692729999999999</v>
      </c>
      <c r="X5654">
        <v>0.96417830000000004</v>
      </c>
      <c r="Y5654">
        <v>-0.25158469999999999</v>
      </c>
      <c r="Z5654">
        <v>1.108554E-2</v>
      </c>
      <c r="AA5654">
        <v>0.96777179999999996</v>
      </c>
      <c r="AB5654">
        <v>21</v>
      </c>
      <c r="AC5654">
        <v>34.436599999999999</v>
      </c>
      <c r="AD5654">
        <v>-1.113242851356</v>
      </c>
      <c r="AE5654">
        <v>-0.82330999999999899</v>
      </c>
      <c r="AF5654">
        <v>-8.7164333175692992</v>
      </c>
      <c r="AG5654">
        <v>-1.113242851356</v>
      </c>
      <c r="AH5654">
        <v>33.288230768027603</v>
      </c>
      <c r="AI5654">
        <v>91.852977367262596</v>
      </c>
      <c r="AJ5654">
        <v>104.673312057347</v>
      </c>
      <c r="AK5654">
        <v>34.428503120106598</v>
      </c>
      <c r="AL5654">
        <v>79.226480938181297</v>
      </c>
      <c r="AM5654">
        <v>101.04468102361599</v>
      </c>
      <c r="AN5654">
        <v>0.99999999198073497</v>
      </c>
    </row>
    <row r="5655" spans="1:40" x14ac:dyDescent="0.25">
      <c r="A5655" t="str">
        <f>"20190304155215436"</f>
        <v>20190304155215436</v>
      </c>
      <c r="B5655" t="str">
        <f>"1551685935432850"</f>
        <v>1551685935432850</v>
      </c>
      <c r="C5655" t="s">
        <v>40</v>
      </c>
      <c r="D5655">
        <v>4.8445799999999997</v>
      </c>
      <c r="E5655">
        <v>0.4792672</v>
      </c>
      <c r="F5655" t="s">
        <v>95</v>
      </c>
      <c r="G5655">
        <v>-364.49349999999998</v>
      </c>
      <c r="H5655" s="1">
        <v>-2.7735939999999998E-6</v>
      </c>
      <c r="I5655">
        <v>18.656759999999998</v>
      </c>
      <c r="J5655">
        <v>-400.54579999999999</v>
      </c>
      <c r="K5655">
        <v>1.113243</v>
      </c>
      <c r="L5655">
        <v>19.766539999999999</v>
      </c>
      <c r="M5655">
        <v>0.96239169999999996</v>
      </c>
      <c r="N5655">
        <v>-1.1272219999999999E-2</v>
      </c>
      <c r="O5655">
        <v>-0.2714316</v>
      </c>
      <c r="P5655">
        <v>0.98069010000000001</v>
      </c>
      <c r="Q5655">
        <v>0.1768245</v>
      </c>
      <c r="R5655">
        <v>-8.3546499999999996E-2</v>
      </c>
      <c r="S5655">
        <v>3.0686650000000002</v>
      </c>
      <c r="T5655">
        <v>-9.4213370000000005E-2</v>
      </c>
      <c r="U5655">
        <v>-9.8449709999999996E-2</v>
      </c>
      <c r="V5655">
        <v>-0.18709229999999999</v>
      </c>
      <c r="W5655">
        <v>0.18641859999999999</v>
      </c>
      <c r="X5655">
        <v>0.96449189999999996</v>
      </c>
      <c r="Y5655">
        <v>-0.24024529999999999</v>
      </c>
      <c r="Z5655">
        <v>1.019053E-2</v>
      </c>
      <c r="AA5655">
        <v>0.97065869999999999</v>
      </c>
      <c r="AB5655">
        <v>21</v>
      </c>
      <c r="AC5655">
        <v>36.052300000000002</v>
      </c>
      <c r="AD5655">
        <v>-1.113245773594</v>
      </c>
      <c r="AE5655">
        <v>-1.10977999999999</v>
      </c>
      <c r="AF5655">
        <v>-8.7099474976796802</v>
      </c>
      <c r="AG5655">
        <v>-1.113245773594</v>
      </c>
      <c r="AH5655">
        <v>34.966579277920097</v>
      </c>
      <c r="AI5655">
        <v>91.769499513792297</v>
      </c>
      <c r="AJ5655">
        <v>103.98734945851101</v>
      </c>
      <c r="AK5655">
        <v>36.052242204387603</v>
      </c>
      <c r="AL5655">
        <v>79.256149149912403</v>
      </c>
      <c r="AM5655">
        <v>100.977906607219</v>
      </c>
      <c r="AN5655">
        <v>1.0000000241554201</v>
      </c>
    </row>
    <row r="5656" spans="1:40" x14ac:dyDescent="0.25">
      <c r="A5656" t="str">
        <f>"20190304155215456"</f>
        <v>20190304155215456</v>
      </c>
      <c r="B5656" t="str">
        <f>"1551685935452369"</f>
        <v>1551685935452369</v>
      </c>
      <c r="C5656" t="s">
        <v>40</v>
      </c>
      <c r="D5656">
        <v>4.8627580000000004</v>
      </c>
      <c r="E5656">
        <v>0.4795046</v>
      </c>
      <c r="F5656" t="s">
        <v>95</v>
      </c>
      <c r="G5656">
        <v>-365.94200000000001</v>
      </c>
      <c r="H5656" s="1">
        <v>-2.0791749999999999E-6</v>
      </c>
      <c r="I5656">
        <v>18.71152</v>
      </c>
      <c r="J5656">
        <v>-400.36090000000002</v>
      </c>
      <c r="K5656">
        <v>1.113254</v>
      </c>
      <c r="L5656">
        <v>19.719819999999999</v>
      </c>
      <c r="M5656">
        <v>0.96361699999999995</v>
      </c>
      <c r="N5656">
        <v>-1.1271969999999999E-2</v>
      </c>
      <c r="O5656">
        <v>-0.26704899999999998</v>
      </c>
      <c r="P5656">
        <v>0.98111990000000004</v>
      </c>
      <c r="Q5656">
        <v>0.1759213</v>
      </c>
      <c r="R5656">
        <v>-8.034645E-2</v>
      </c>
      <c r="S5656">
        <v>3.0689389999999999</v>
      </c>
      <c r="T5656">
        <v>-9.8731280000000005E-2</v>
      </c>
      <c r="U5656">
        <v>-9.356689E-2</v>
      </c>
      <c r="V5656">
        <v>-0.18589030000000001</v>
      </c>
      <c r="W5656">
        <v>0.1855214</v>
      </c>
      <c r="X5656">
        <v>0.96489720000000001</v>
      </c>
      <c r="Y5656">
        <v>-0.23735429999999999</v>
      </c>
      <c r="Z5656">
        <v>1.0613600000000001E-2</v>
      </c>
      <c r="AA5656">
        <v>0.97136520000000004</v>
      </c>
      <c r="AB5656">
        <v>21</v>
      </c>
      <c r="AC5656">
        <v>34.418900000000001</v>
      </c>
      <c r="AD5656">
        <v>-1.1132560791749999</v>
      </c>
      <c r="AE5656">
        <v>-1.0083</v>
      </c>
      <c r="AF5656">
        <v>-8.21185675569766</v>
      </c>
      <c r="AG5656">
        <v>-1.1132560791749999</v>
      </c>
      <c r="AH5656">
        <v>33.403112989773398</v>
      </c>
      <c r="AI5656">
        <v>91.853687815019995</v>
      </c>
      <c r="AJ5656">
        <v>103.81175234924901</v>
      </c>
      <c r="AK5656">
        <v>34.415721522023702</v>
      </c>
      <c r="AL5656">
        <v>79.308467336194795</v>
      </c>
      <c r="AM5656">
        <v>100.90460261241201</v>
      </c>
      <c r="AN5656">
        <v>1.0000000000299401</v>
      </c>
    </row>
    <row r="5657" spans="1:40" x14ac:dyDescent="0.25">
      <c r="A5657" t="str">
        <f>"20190304155215469"</f>
        <v>20190304155215469</v>
      </c>
      <c r="B5657" t="str">
        <f>"1551685935463105"</f>
        <v>1551685935463105</v>
      </c>
      <c r="C5657" t="s">
        <v>40</v>
      </c>
      <c r="D5657">
        <v>4.8565319999999996</v>
      </c>
      <c r="E5657">
        <v>0.48270629999999998</v>
      </c>
      <c r="F5657" t="s">
        <v>95</v>
      </c>
      <c r="G5657">
        <v>-366.75209999999998</v>
      </c>
      <c r="H5657" s="1">
        <v>-1.6839070000000001E-6</v>
      </c>
      <c r="I5657">
        <v>18.781030000000001</v>
      </c>
      <c r="J5657">
        <v>-400.23630000000003</v>
      </c>
      <c r="K5657">
        <v>1.1132660000000001</v>
      </c>
      <c r="L5657">
        <v>19.68872</v>
      </c>
      <c r="M5657">
        <v>0.96443239999999997</v>
      </c>
      <c r="N5657">
        <v>-1.12715E-2</v>
      </c>
      <c r="O5657">
        <v>-0.26408920000000002</v>
      </c>
      <c r="P5657">
        <v>0.9813866</v>
      </c>
      <c r="Q5657">
        <v>0.1755041</v>
      </c>
      <c r="R5657">
        <v>-7.7967789999999995E-2</v>
      </c>
      <c r="S5657">
        <v>3.0689389999999999</v>
      </c>
      <c r="T5657">
        <v>-0.1016552</v>
      </c>
      <c r="U5657">
        <v>-8.5723880000000002E-2</v>
      </c>
      <c r="V5657">
        <v>-0.18528629999999999</v>
      </c>
      <c r="W5657">
        <v>0.18510579999999999</v>
      </c>
      <c r="X5657">
        <v>0.96509319999999998</v>
      </c>
      <c r="Y5657">
        <v>-0.23683940000000001</v>
      </c>
      <c r="Z5657">
        <v>1.0907429999999999E-2</v>
      </c>
      <c r="AA5657">
        <v>0.97148760000000001</v>
      </c>
      <c r="AB5657">
        <v>21</v>
      </c>
      <c r="AC5657">
        <v>33.484200000000001</v>
      </c>
      <c r="AD5657">
        <v>-1.1132676839069999</v>
      </c>
      <c r="AE5657">
        <v>-0.907690000000002</v>
      </c>
      <c r="AF5657">
        <v>-7.9591245310697696</v>
      </c>
      <c r="AG5657">
        <v>-1.1132676839069999</v>
      </c>
      <c r="AH5657">
        <v>32.499127042516299</v>
      </c>
      <c r="AI5657">
        <v>91.905645292779695</v>
      </c>
      <c r="AJ5657">
        <v>103.761042320339</v>
      </c>
      <c r="AK5657">
        <v>33.478056794902599</v>
      </c>
      <c r="AL5657">
        <v>79.332699467104604</v>
      </c>
      <c r="AM5657">
        <v>100.86786147355799</v>
      </c>
      <c r="AN5657">
        <v>1.0000000274237799</v>
      </c>
    </row>
    <row r="5658" spans="1:40" x14ac:dyDescent="0.25">
      <c r="A5658" t="str">
        <f>"20190304155215490"</f>
        <v>20190304155215490</v>
      </c>
      <c r="B5658" t="str">
        <f>"1551685935482625"</f>
        <v>1551685935482625</v>
      </c>
      <c r="C5658" t="s">
        <v>40</v>
      </c>
      <c r="D5658">
        <v>4.84178</v>
      </c>
      <c r="E5658">
        <v>0.48333340000000002</v>
      </c>
      <c r="F5658" t="s">
        <v>95</v>
      </c>
      <c r="G5658">
        <v>-367.8</v>
      </c>
      <c r="H5658" s="1">
        <v>-1.222243E-6</v>
      </c>
      <c r="I5658">
        <v>18.59122</v>
      </c>
      <c r="J5658">
        <v>-400.05090000000001</v>
      </c>
      <c r="K5658">
        <v>1.1132759999999999</v>
      </c>
      <c r="L5658">
        <v>19.6434</v>
      </c>
      <c r="M5658">
        <v>0.96562979999999998</v>
      </c>
      <c r="N5658">
        <v>-1.126595E-2</v>
      </c>
      <c r="O5658">
        <v>-0.2596774</v>
      </c>
      <c r="P5658">
        <v>0.98170170000000001</v>
      </c>
      <c r="Q5658">
        <v>0.17523259999999999</v>
      </c>
      <c r="R5658">
        <v>-7.4534970000000006E-2</v>
      </c>
      <c r="S5658">
        <v>3.0675050000000001</v>
      </c>
      <c r="T5658">
        <v>-0.10528179999999999</v>
      </c>
      <c r="U5658">
        <v>-0.1037903</v>
      </c>
      <c r="V5658">
        <v>-0.18426400000000001</v>
      </c>
      <c r="W5658">
        <v>0.184833</v>
      </c>
      <c r="X5658">
        <v>0.96534120000000001</v>
      </c>
      <c r="Y5658">
        <v>-0.2266474</v>
      </c>
      <c r="Z5658">
        <v>1.103176E-2</v>
      </c>
      <c r="AA5658">
        <v>0.97391439999999996</v>
      </c>
      <c r="AB5658">
        <v>21</v>
      </c>
      <c r="AC5658">
        <v>32.250900000000001</v>
      </c>
      <c r="AD5658">
        <v>-1.1132772222430001</v>
      </c>
      <c r="AE5658">
        <v>-1.0521799999999999</v>
      </c>
      <c r="AF5658">
        <v>-7.3505304314427802</v>
      </c>
      <c r="AG5658">
        <v>-1.1132772222430001</v>
      </c>
      <c r="AH5658">
        <v>31.380296084458799</v>
      </c>
      <c r="AI5658">
        <v>91.978322613127204</v>
      </c>
      <c r="AJ5658">
        <v>103.183295425064</v>
      </c>
      <c r="AK5658">
        <v>32.2489172864056</v>
      </c>
      <c r="AL5658">
        <v>79.348604403214694</v>
      </c>
      <c r="AM5658">
        <v>100.806603959333</v>
      </c>
      <c r="AN5658">
        <v>1.00000004600121</v>
      </c>
    </row>
    <row r="5659" spans="1:40" x14ac:dyDescent="0.25">
      <c r="A5659" t="str">
        <f>"20190304155215502"</f>
        <v>20190304155215502</v>
      </c>
      <c r="B5659" t="str">
        <f>"1551685935492385"</f>
        <v>1551685935492385</v>
      </c>
      <c r="C5659" t="s">
        <v>40</v>
      </c>
      <c r="D5659">
        <v>4.8600969999999997</v>
      </c>
      <c r="E5659">
        <v>0.48355670000000001</v>
      </c>
      <c r="F5659" t="s">
        <v>95</v>
      </c>
      <c r="G5659">
        <v>-367.42230000000001</v>
      </c>
      <c r="H5659" s="1">
        <v>-1.399564E-6</v>
      </c>
      <c r="I5659">
        <v>18.598020000000002</v>
      </c>
      <c r="J5659">
        <v>-399.93200000000002</v>
      </c>
      <c r="K5659">
        <v>1.1132879999999901</v>
      </c>
      <c r="L5659">
        <v>19.614840000000001</v>
      </c>
      <c r="M5659">
        <v>0.96638769999999996</v>
      </c>
      <c r="N5659">
        <v>-1.1257380000000001E-2</v>
      </c>
      <c r="O5659">
        <v>-0.25684230000000002</v>
      </c>
      <c r="P5659">
        <v>0.98186209999999996</v>
      </c>
      <c r="Q5659">
        <v>0.17528920000000001</v>
      </c>
      <c r="R5659">
        <v>-7.225318E-2</v>
      </c>
      <c r="S5659">
        <v>3.0671080000000002</v>
      </c>
      <c r="T5659">
        <v>-0.1046487</v>
      </c>
      <c r="U5659">
        <v>-9.8266599999999996E-2</v>
      </c>
      <c r="V5659">
        <v>-0.18367530000000001</v>
      </c>
      <c r="W5659">
        <v>0.18488270000000001</v>
      </c>
      <c r="X5659">
        <v>0.96544379999999996</v>
      </c>
      <c r="Y5659">
        <v>-0.22554109999999999</v>
      </c>
      <c r="Z5659">
        <v>1.0873010000000001E-2</v>
      </c>
      <c r="AA5659">
        <v>0.97417299999999996</v>
      </c>
      <c r="AB5659">
        <v>21</v>
      </c>
      <c r="AC5659">
        <v>32.509699999999903</v>
      </c>
      <c r="AD5659">
        <v>-1.1132893995640001</v>
      </c>
      <c r="AE5659">
        <v>-1.0168199999999901</v>
      </c>
      <c r="AF5659">
        <v>-7.3590694639133796</v>
      </c>
      <c r="AG5659">
        <v>-1.1132893995640001</v>
      </c>
      <c r="AH5659">
        <v>31.6430740670069</v>
      </c>
      <c r="AI5659">
        <v>91.962655208178404</v>
      </c>
      <c r="AJ5659">
        <v>103.092262438826</v>
      </c>
      <c r="AK5659">
        <v>32.506606298904401</v>
      </c>
      <c r="AL5659">
        <v>79.345706150963096</v>
      </c>
      <c r="AM5659">
        <v>100.771769388614</v>
      </c>
      <c r="AN5659">
        <v>0.99999997977390898</v>
      </c>
    </row>
    <row r="5660" spans="1:40" x14ac:dyDescent="0.25">
      <c r="A5660" t="str">
        <f>"20190304155215515"</f>
        <v>20190304155215515</v>
      </c>
      <c r="B5660" t="str">
        <f>"1551685935512881"</f>
        <v>1551685935512881</v>
      </c>
      <c r="C5660" t="s">
        <v>40</v>
      </c>
      <c r="D5660">
        <v>4.9539030000000004</v>
      </c>
      <c r="E5660">
        <v>0.49227510000000002</v>
      </c>
      <c r="F5660" t="s">
        <v>95</v>
      </c>
      <c r="G5660">
        <v>-367.0317</v>
      </c>
      <c r="H5660" s="1">
        <v>-1.580938E-6</v>
      </c>
      <c r="I5660">
        <v>18.616389999999999</v>
      </c>
      <c r="J5660">
        <v>-399.81360000000001</v>
      </c>
      <c r="K5660">
        <v>1.1132949999999999</v>
      </c>
      <c r="L5660">
        <v>19.586729999999999</v>
      </c>
      <c r="M5660">
        <v>0.96713550000000004</v>
      </c>
      <c r="N5660">
        <v>-1.1243120000000001E-2</v>
      </c>
      <c r="O5660">
        <v>-0.25401279999999998</v>
      </c>
      <c r="P5660">
        <v>0.98203359999999995</v>
      </c>
      <c r="Q5660">
        <v>0.175350799999999</v>
      </c>
      <c r="R5660">
        <v>-6.9727990000000004E-2</v>
      </c>
      <c r="S5660">
        <v>3.067078</v>
      </c>
      <c r="T5660">
        <v>-0.1037846</v>
      </c>
      <c r="U5660">
        <v>-9.3078610000000006E-2</v>
      </c>
      <c r="V5660">
        <v>-0.183333</v>
      </c>
      <c r="W5660">
        <v>0.1849296</v>
      </c>
      <c r="X5660">
        <v>0.96549989999999997</v>
      </c>
      <c r="Y5660">
        <v>-0.22434119999999999</v>
      </c>
      <c r="Z5660">
        <v>1.068533E-2</v>
      </c>
      <c r="AA5660">
        <v>0.97445210000000004</v>
      </c>
      <c r="AB5660">
        <v>21</v>
      </c>
      <c r="AC5660">
        <v>32.7819</v>
      </c>
      <c r="AD5660">
        <v>-1.113296580938</v>
      </c>
      <c r="AE5660">
        <v>-0.97033999999999998</v>
      </c>
      <c r="AF5660">
        <v>-7.3805342922505099</v>
      </c>
      <c r="AG5660">
        <v>-1.113296580938</v>
      </c>
      <c r="AH5660">
        <v>31.916260125784699</v>
      </c>
      <c r="AI5660">
        <v>91.946445542139699</v>
      </c>
      <c r="AJ5660">
        <v>103.02059543053601</v>
      </c>
      <c r="AK5660">
        <v>32.777421743220899</v>
      </c>
      <c r="AL5660">
        <v>79.342972061564595</v>
      </c>
      <c r="AM5660">
        <v>100.75155318665</v>
      </c>
      <c r="AN5660">
        <v>1.00000000137258</v>
      </c>
    </row>
    <row r="5661" spans="1:40" x14ac:dyDescent="0.25">
      <c r="A5661" t="str">
        <f>"20190304155215528"</f>
        <v>20190304155215528</v>
      </c>
      <c r="B5661" t="str">
        <f>"1551685935522641"</f>
        <v>1551685935522641</v>
      </c>
      <c r="C5661" t="s">
        <v>40</v>
      </c>
      <c r="D5661">
        <v>4.8688260000000003</v>
      </c>
      <c r="E5661">
        <v>0.49227510000000002</v>
      </c>
      <c r="F5661" t="s">
        <v>94</v>
      </c>
      <c r="G5661">
        <v>-371.62290000000002</v>
      </c>
      <c r="H5661" s="1">
        <v>-4.1984789999999998E-6</v>
      </c>
      <c r="I5661">
        <v>18.161339999999999</v>
      </c>
      <c r="J5661">
        <v>-399.6936</v>
      </c>
      <c r="K5661">
        <v>1.113299</v>
      </c>
      <c r="L5661">
        <v>19.558530000000001</v>
      </c>
      <c r="M5661">
        <v>0.96788450000000004</v>
      </c>
      <c r="N5661">
        <v>-1.122428E-2</v>
      </c>
      <c r="O5661">
        <v>-0.25114429999999999</v>
      </c>
      <c r="P5661">
        <v>0.98210719999999996</v>
      </c>
      <c r="Q5661">
        <v>0.175823799999999</v>
      </c>
      <c r="R5661">
        <v>-6.7462889999999998E-2</v>
      </c>
      <c r="S5661">
        <v>3.0654910000000002</v>
      </c>
      <c r="T5661">
        <v>-0.12106160000000001</v>
      </c>
      <c r="U5661">
        <v>-0.15499879999999999</v>
      </c>
      <c r="V5661">
        <v>-0.1826826</v>
      </c>
      <c r="W5661">
        <v>0.1853841</v>
      </c>
      <c r="X5661">
        <v>0.96553599999999995</v>
      </c>
      <c r="Y5661">
        <v>-0.2016637</v>
      </c>
      <c r="Z5661">
        <v>1.2078739999999999E-2</v>
      </c>
      <c r="AA5661">
        <v>0.97938029999999998</v>
      </c>
      <c r="AB5661">
        <v>21</v>
      </c>
      <c r="AC5661">
        <v>28.070699999999899</v>
      </c>
      <c r="AD5661">
        <v>-1.1133031984790001</v>
      </c>
      <c r="AE5661">
        <v>-1.3971899999999899</v>
      </c>
      <c r="AF5661">
        <v>-5.6889107467259903</v>
      </c>
      <c r="AG5661">
        <v>-1.1133031984790001</v>
      </c>
      <c r="AH5661">
        <v>27.4787111609403</v>
      </c>
      <c r="AI5661">
        <v>92.271949870268799</v>
      </c>
      <c r="AJ5661">
        <v>101.696687496678</v>
      </c>
      <c r="AK5661">
        <v>28.083495447724101</v>
      </c>
      <c r="AL5661">
        <v>79.316472724135096</v>
      </c>
      <c r="AM5661">
        <v>100.713903717752</v>
      </c>
      <c r="AN5661">
        <v>0.999999982085784</v>
      </c>
    </row>
    <row r="5662" spans="1:40" x14ac:dyDescent="0.25">
      <c r="A5662" t="str">
        <f>"20190304155215545"</f>
        <v>20190304155215545</v>
      </c>
      <c r="B5662" t="str">
        <f>"1551685935543137"</f>
        <v>1551685935543137</v>
      </c>
      <c r="C5662" t="s">
        <v>40</v>
      </c>
      <c r="D5662">
        <v>4.9205670000000001</v>
      </c>
      <c r="E5662">
        <v>0.48664429999999997</v>
      </c>
      <c r="F5662" t="s">
        <v>94</v>
      </c>
      <c r="G5662">
        <v>-371.14890000000003</v>
      </c>
      <c r="H5662" s="1">
        <v>-4.419154E-6</v>
      </c>
      <c r="I5662">
        <v>18.180520000000001</v>
      </c>
      <c r="J5662">
        <v>-399.53530000000001</v>
      </c>
      <c r="K5662">
        <v>1.113305</v>
      </c>
      <c r="L5662">
        <v>19.522030000000001</v>
      </c>
      <c r="M5662">
        <v>0.96886220000000001</v>
      </c>
      <c r="N5662">
        <v>-1.1186079999999999E-2</v>
      </c>
      <c r="O5662">
        <v>-0.24734780000000001</v>
      </c>
      <c r="P5662">
        <v>0.98219389999999995</v>
      </c>
      <c r="Q5662">
        <v>0.17648339999999901</v>
      </c>
      <c r="R5662">
        <v>-6.4411819999999995E-2</v>
      </c>
      <c r="S5662">
        <v>3.0659480000000001</v>
      </c>
      <c r="T5662">
        <v>-0.11957810000000001</v>
      </c>
      <c r="U5662">
        <v>-0.14801029999999901</v>
      </c>
      <c r="V5662">
        <v>-0.1818777</v>
      </c>
      <c r="W5662">
        <v>0.1860059</v>
      </c>
      <c r="X5662">
        <v>0.96556839999999999</v>
      </c>
      <c r="Y5662">
        <v>-0.20006840000000001</v>
      </c>
      <c r="Z5662">
        <v>1.177484E-2</v>
      </c>
      <c r="AA5662">
        <v>0.9797112</v>
      </c>
      <c r="AB5662">
        <v>21</v>
      </c>
      <c r="AC5662">
        <v>28.386399999999899</v>
      </c>
      <c r="AD5662">
        <v>-1.1133094191540001</v>
      </c>
      <c r="AE5662">
        <v>-1.34150999999999</v>
      </c>
      <c r="AF5662">
        <v>-5.7131648145246299</v>
      </c>
      <c r="AG5662">
        <v>-1.1133094191540001</v>
      </c>
      <c r="AH5662">
        <v>27.793414351160301</v>
      </c>
      <c r="AI5662">
        <v>92.246917239504498</v>
      </c>
      <c r="AJ5662">
        <v>101.615816661726</v>
      </c>
      <c r="AK5662">
        <v>28.3963658124764</v>
      </c>
      <c r="AL5662">
        <v>79.280215947069195</v>
      </c>
      <c r="AM5662">
        <v>100.66743420393</v>
      </c>
      <c r="AN5662">
        <v>1.00000001383533</v>
      </c>
    </row>
    <row r="5663" spans="1:40" x14ac:dyDescent="0.25">
      <c r="A5663" t="str">
        <f>"20190304155215558"</f>
        <v>20190304155215558</v>
      </c>
      <c r="B5663" t="str">
        <f>"1551685935552897"</f>
        <v>1551685935552897</v>
      </c>
      <c r="C5663" t="s">
        <v>40</v>
      </c>
      <c r="D5663">
        <v>4.9061969999999997</v>
      </c>
      <c r="E5663">
        <v>0.50386799999999998</v>
      </c>
      <c r="F5663" t="s">
        <v>95</v>
      </c>
      <c r="G5663">
        <v>-361.8888</v>
      </c>
      <c r="H5663" s="1">
        <v>-4.0555899999999999E-6</v>
      </c>
      <c r="I5663">
        <v>18.370719999999999</v>
      </c>
      <c r="J5663">
        <v>-399.42399999999998</v>
      </c>
      <c r="K5663">
        <v>1.1133120000000001</v>
      </c>
      <c r="L5663">
        <v>19.496829999999999</v>
      </c>
      <c r="M5663">
        <v>0.96954309999999999</v>
      </c>
      <c r="N5663">
        <v>-1.115096E-2</v>
      </c>
      <c r="O5663">
        <v>-0.24466740000000001</v>
      </c>
      <c r="P5663">
        <v>0.98229299999999997</v>
      </c>
      <c r="Q5663">
        <v>0.17676749999999999</v>
      </c>
      <c r="R5663">
        <v>-6.2080759999999999E-2</v>
      </c>
      <c r="S5663">
        <v>3.064514</v>
      </c>
      <c r="T5663">
        <v>-9.0625999999999998E-2</v>
      </c>
      <c r="U5663">
        <v>-9.3719479999999994E-2</v>
      </c>
      <c r="V5663">
        <v>-0.18149290000000001</v>
      </c>
      <c r="W5663">
        <v>0.18625369999999999</v>
      </c>
      <c r="X5663">
        <v>0.96559300000000003</v>
      </c>
      <c r="Y5663">
        <v>-0.21476139999999999</v>
      </c>
      <c r="Z5663">
        <v>8.7908680000000003E-3</v>
      </c>
      <c r="AA5663">
        <v>0.97662700000000002</v>
      </c>
      <c r="AB5663">
        <v>21</v>
      </c>
      <c r="AC5663">
        <v>37.535200000000003</v>
      </c>
      <c r="AD5663">
        <v>-1.1133160555899999</v>
      </c>
      <c r="AE5663">
        <v>-1.12610999999999</v>
      </c>
      <c r="AF5663">
        <v>-8.0852229348642695</v>
      </c>
      <c r="AG5663">
        <v>-1.1133160555899999</v>
      </c>
      <c r="AH5663">
        <v>36.637587967798197</v>
      </c>
      <c r="AI5663">
        <v>91.699656458890203</v>
      </c>
      <c r="AJ5663">
        <v>102.44463536897</v>
      </c>
      <c r="AK5663">
        <v>37.535625139915297</v>
      </c>
      <c r="AL5663">
        <v>79.265765140700495</v>
      </c>
      <c r="AM5663">
        <v>100.64511637683999</v>
      </c>
      <c r="AN5663">
        <v>0.99999997758154902</v>
      </c>
    </row>
    <row r="5664" spans="1:40" x14ac:dyDescent="0.25">
      <c r="A5664" t="str">
        <f>"20190304155215571"</f>
        <v>20190304155215571</v>
      </c>
      <c r="B5664" t="str">
        <f>"1551685935562657"</f>
        <v>1551685935562657</v>
      </c>
      <c r="C5664" t="s">
        <v>40</v>
      </c>
      <c r="D5664">
        <v>4.8611230000000001</v>
      </c>
      <c r="E5664">
        <v>0.50923699999999905</v>
      </c>
      <c r="F5664" t="s">
        <v>41</v>
      </c>
      <c r="G5664">
        <v>-358.05860000000001</v>
      </c>
      <c r="H5664" s="1">
        <v>-1.4847280000000001E-6</v>
      </c>
      <c r="I5664">
        <v>16.46677</v>
      </c>
      <c r="J5664">
        <v>-399.30070000000001</v>
      </c>
      <c r="K5664">
        <v>1.113324</v>
      </c>
      <c r="L5664">
        <v>19.469180000000001</v>
      </c>
      <c r="M5664">
        <v>0.97028919999999996</v>
      </c>
      <c r="N5664">
        <v>-1.110854E-2</v>
      </c>
      <c r="O5664">
        <v>-0.24169309999999999</v>
      </c>
      <c r="P5664">
        <v>0.98240879999999997</v>
      </c>
      <c r="Q5664">
        <v>0.1769963</v>
      </c>
      <c r="R5664">
        <v>-5.9544529999999998E-2</v>
      </c>
      <c r="S5664">
        <v>3.0547179999999998</v>
      </c>
      <c r="T5664">
        <v>-8.2215070000000001E-2</v>
      </c>
      <c r="U5664">
        <v>-0.22375490000000001</v>
      </c>
      <c r="V5664">
        <v>-0.18102180000000001</v>
      </c>
      <c r="W5664">
        <v>0.18643879999999999</v>
      </c>
      <c r="X5664">
        <v>0.96564570000000005</v>
      </c>
      <c r="Y5664">
        <v>-0.1700605</v>
      </c>
      <c r="Z5664">
        <v>6.9558559999999998E-3</v>
      </c>
      <c r="AA5664">
        <v>0.98540910000000004</v>
      </c>
      <c r="AB5664">
        <v>21</v>
      </c>
      <c r="AC5664">
        <v>41.242099999999901</v>
      </c>
      <c r="AD5664">
        <v>-1.1133254847280001</v>
      </c>
      <c r="AE5664">
        <v>-3.00240999999999</v>
      </c>
      <c r="AF5664">
        <v>-7.0500495628659996</v>
      </c>
      <c r="AG5664">
        <v>-1.1133254847280001</v>
      </c>
      <c r="AH5664">
        <v>40.715424410970797</v>
      </c>
      <c r="AI5664">
        <v>91.543355088348704</v>
      </c>
      <c r="AJ5664">
        <v>99.823603303926703</v>
      </c>
      <c r="AK5664">
        <v>41.336285239959402</v>
      </c>
      <c r="AL5664">
        <v>79.254970512845702</v>
      </c>
      <c r="AM5664">
        <v>100.617547712145</v>
      </c>
      <c r="AN5664">
        <v>0.99999996807458402</v>
      </c>
    </row>
    <row r="5665" spans="1:40" x14ac:dyDescent="0.25">
      <c r="A5665" t="str">
        <f>"20190304155215589"</f>
        <v>20190304155215589</v>
      </c>
      <c r="B5665" t="str">
        <f>"1551685935583153"</f>
        <v>1551685935583153</v>
      </c>
      <c r="C5665" t="s">
        <v>40</v>
      </c>
      <c r="D5665">
        <v>4.8259949999999998</v>
      </c>
      <c r="E5665">
        <v>0.51664290000000002</v>
      </c>
      <c r="F5665" t="s">
        <v>41</v>
      </c>
      <c r="G5665">
        <v>-353.5788</v>
      </c>
      <c r="H5665" s="1">
        <v>-3.4507440000000002E-6</v>
      </c>
      <c r="I5665">
        <v>15.592409999999999</v>
      </c>
      <c r="J5665">
        <v>-399.12470000000002</v>
      </c>
      <c r="K5665">
        <v>1.113335</v>
      </c>
      <c r="L5665">
        <v>19.430420000000002</v>
      </c>
      <c r="M5665">
        <v>0.97134359999999997</v>
      </c>
      <c r="N5665">
        <v>-1.104077E-2</v>
      </c>
      <c r="O5665">
        <v>-0.23742369999999999</v>
      </c>
      <c r="P5665">
        <v>0.98265340000000001</v>
      </c>
      <c r="Q5665">
        <v>0.17680179999999901</v>
      </c>
      <c r="R5665">
        <v>-5.5978060000000003E-2</v>
      </c>
      <c r="S5665">
        <v>3.051453</v>
      </c>
      <c r="T5665">
        <v>-7.4302789999999994E-2</v>
      </c>
      <c r="U5665">
        <v>-0.25872800000000001</v>
      </c>
      <c r="V5665">
        <v>-0.18029600000000001</v>
      </c>
      <c r="W5665">
        <v>0.18617500000000001</v>
      </c>
      <c r="X5665">
        <v>0.96583240000000004</v>
      </c>
      <c r="Y5665">
        <v>-0.15443460000000001</v>
      </c>
      <c r="Z5665">
        <v>5.8025339999999998E-3</v>
      </c>
      <c r="AA5665">
        <v>0.98798600000000003</v>
      </c>
      <c r="AB5665">
        <v>21</v>
      </c>
      <c r="AC5665">
        <v>45.545900000000003</v>
      </c>
      <c r="AD5665">
        <v>-1.1133384507439901</v>
      </c>
      <c r="AE5665">
        <v>-3.8380100000000001</v>
      </c>
      <c r="AF5665">
        <v>-7.0818787242932997</v>
      </c>
      <c r="AG5665">
        <v>-1.1133384507439901</v>
      </c>
      <c r="AH5665">
        <v>45.127923515468403</v>
      </c>
      <c r="AI5665">
        <v>91.396161586040606</v>
      </c>
      <c r="AJ5665">
        <v>98.918630413376604</v>
      </c>
      <c r="AK5665">
        <v>45.693785240330698</v>
      </c>
      <c r="AL5665">
        <v>79.270354852481802</v>
      </c>
      <c r="AM5665">
        <v>100.573941051386</v>
      </c>
      <c r="AN5665">
        <v>1.00000000156538</v>
      </c>
    </row>
    <row r="5666" spans="1:40" x14ac:dyDescent="0.25">
      <c r="A5666" t="str">
        <f>"20190304155215603"</f>
        <v>20190304155215603</v>
      </c>
      <c r="B5666" t="str">
        <f>"1551685935592913"</f>
        <v>1551685935592913</v>
      </c>
      <c r="C5666" t="s">
        <v>40</v>
      </c>
      <c r="D5666">
        <v>4.7690140000000003</v>
      </c>
      <c r="E5666">
        <v>0.51922009999999996</v>
      </c>
      <c r="F5666" t="s">
        <v>41</v>
      </c>
      <c r="G5666">
        <v>-341.29329999999999</v>
      </c>
      <c r="H5666" s="1">
        <v>-4.7839720000000003E-6</v>
      </c>
      <c r="I5666">
        <v>13.6038</v>
      </c>
      <c r="J5666">
        <v>-398.99770000000001</v>
      </c>
      <c r="K5666">
        <v>1.113351</v>
      </c>
      <c r="L5666">
        <v>19.40305</v>
      </c>
      <c r="M5666">
        <v>0.97209659999999998</v>
      </c>
      <c r="N5666">
        <v>-1.0991860000000001E-2</v>
      </c>
      <c r="O5666">
        <v>-0.2343237</v>
      </c>
      <c r="P5666">
        <v>0.98281680000000005</v>
      </c>
      <c r="Q5666">
        <v>0.1767415</v>
      </c>
      <c r="R5666">
        <v>-5.3233460000000003E-2</v>
      </c>
      <c r="S5666">
        <v>3.0459900000000002</v>
      </c>
      <c r="T5666">
        <v>-5.8639759999999999E-2</v>
      </c>
      <c r="U5666">
        <v>-0.30688480000000001</v>
      </c>
      <c r="V5666">
        <v>-0.17992230000000001</v>
      </c>
      <c r="W5666">
        <v>0.18606249999999999</v>
      </c>
      <c r="X5666">
        <v>0.9659238</v>
      </c>
      <c r="Y5666">
        <v>-0.13565959999999999</v>
      </c>
      <c r="Z5666">
        <v>3.9094300000000002E-3</v>
      </c>
      <c r="AA5666">
        <v>0.99074779999999996</v>
      </c>
      <c r="AB5666">
        <v>21</v>
      </c>
      <c r="AC5666">
        <v>57.7044</v>
      </c>
      <c r="AD5666">
        <v>-1.1133557839720001</v>
      </c>
      <c r="AE5666">
        <v>-5.7992499999999998</v>
      </c>
      <c r="AF5666">
        <v>-7.8816480654336596</v>
      </c>
      <c r="AG5666">
        <v>-1.1133557839720001</v>
      </c>
      <c r="AH5666">
        <v>57.435450301232997</v>
      </c>
      <c r="AI5666">
        <v>91.100201183842302</v>
      </c>
      <c r="AJ5666">
        <v>97.813678933324596</v>
      </c>
      <c r="AK5666">
        <v>57.984402115003903</v>
      </c>
      <c r="AL5666">
        <v>79.276915647704499</v>
      </c>
      <c r="AM5666">
        <v>100.551541076471</v>
      </c>
      <c r="AN5666">
        <v>1.00000003767498</v>
      </c>
    </row>
    <row r="5667" spans="1:40" x14ac:dyDescent="0.25">
      <c r="A5667" t="str">
        <f>"20190304155215618"</f>
        <v>20190304155215618</v>
      </c>
      <c r="B5667" t="str">
        <f>"1551685935612433"</f>
        <v>1551685935612433</v>
      </c>
      <c r="C5667" t="s">
        <v>40</v>
      </c>
      <c r="D5667">
        <v>4.8694040000000003</v>
      </c>
      <c r="E5667">
        <v>0.52350029999999903</v>
      </c>
      <c r="F5667" t="s">
        <v>41</v>
      </c>
      <c r="G5667">
        <v>-331.73500000000001</v>
      </c>
      <c r="H5667" s="1">
        <v>-4.8155650000000002E-6</v>
      </c>
      <c r="I5667">
        <v>12.35735</v>
      </c>
      <c r="J5667">
        <v>-398.86750000000001</v>
      </c>
      <c r="K5667">
        <v>1.11337</v>
      </c>
      <c r="L5667">
        <v>19.375430000000001</v>
      </c>
      <c r="M5667">
        <v>0.97286110000000003</v>
      </c>
      <c r="N5667">
        <v>-1.0942260000000001E-2</v>
      </c>
      <c r="O5667">
        <v>-0.2311309</v>
      </c>
      <c r="P5667">
        <v>0.9828559</v>
      </c>
      <c r="Q5667">
        <v>0.17734530000000001</v>
      </c>
      <c r="R5667">
        <v>-5.0426449999999998E-2</v>
      </c>
      <c r="S5667">
        <v>3.0442499999999999</v>
      </c>
      <c r="T5667">
        <v>-5.0389530000000002E-2</v>
      </c>
      <c r="U5667">
        <v>-0.3188782</v>
      </c>
      <c r="V5667">
        <v>-0.1794974</v>
      </c>
      <c r="W5667">
        <v>0.18661159999999999</v>
      </c>
      <c r="X5667">
        <v>0.96589689999999995</v>
      </c>
      <c r="Y5667">
        <v>-0.12849849999999999</v>
      </c>
      <c r="Z5667">
        <v>2.99577E-3</v>
      </c>
      <c r="AA5667">
        <v>0.99170519999999995</v>
      </c>
      <c r="AB5667">
        <v>21</v>
      </c>
      <c r="AC5667">
        <v>67.132499999999993</v>
      </c>
      <c r="AD5667">
        <v>-1.1133748155650001</v>
      </c>
      <c r="AE5667">
        <v>-7.0180799999999897</v>
      </c>
      <c r="AF5667">
        <v>-8.6869350232608706</v>
      </c>
      <c r="AG5667">
        <v>-1.1133748155650001</v>
      </c>
      <c r="AH5667">
        <v>66.918494958607099</v>
      </c>
      <c r="AI5667">
        <v>90.945256497066794</v>
      </c>
      <c r="AJ5667">
        <v>97.396413045264893</v>
      </c>
      <c r="AK5667">
        <v>67.4891651385866</v>
      </c>
      <c r="AL5667">
        <v>79.244893438179403</v>
      </c>
      <c r="AM5667">
        <v>100.52746710474899</v>
      </c>
      <c r="AN5667">
        <v>1.0000000136454601</v>
      </c>
    </row>
    <row r="5668" spans="1:40" x14ac:dyDescent="0.25">
      <c r="A5668" t="str">
        <f>"20190304155215636"</f>
        <v>20190304155215636</v>
      </c>
      <c r="B5668" t="str">
        <f>"1551685935632929"</f>
        <v>1551685935632929</v>
      </c>
      <c r="C5668" t="s">
        <v>40</v>
      </c>
      <c r="D5668">
        <v>4.8134119999999996</v>
      </c>
      <c r="E5668">
        <v>0.52600400000000003</v>
      </c>
      <c r="F5668" t="s">
        <v>42</v>
      </c>
      <c r="G5668">
        <v>-301.21019999999999</v>
      </c>
      <c r="H5668">
        <v>-0.05</v>
      </c>
      <c r="I5668">
        <v>8.3184970000000007</v>
      </c>
      <c r="J5668">
        <v>-398.69200000000001</v>
      </c>
      <c r="K5668">
        <v>1.113399</v>
      </c>
      <c r="L5668">
        <v>19.338899999999999</v>
      </c>
      <c r="M5668">
        <v>0.97388110000000006</v>
      </c>
      <c r="N5668">
        <v>-1.087429E-2</v>
      </c>
      <c r="O5668">
        <v>-0.2267979</v>
      </c>
      <c r="P5668">
        <v>0.98275950000000001</v>
      </c>
      <c r="Q5668">
        <v>0.17878579999999999</v>
      </c>
      <c r="R5668">
        <v>-4.711224E-2</v>
      </c>
      <c r="S5668">
        <v>3.0411990000000002</v>
      </c>
      <c r="T5668">
        <v>-3.6229129999999998E-2</v>
      </c>
      <c r="U5668">
        <v>-0.34432980000000002</v>
      </c>
      <c r="V5668">
        <v>-0.1784183</v>
      </c>
      <c r="W5668">
        <v>0.1879798</v>
      </c>
      <c r="X5668">
        <v>0.96583149999999995</v>
      </c>
      <c r="Y5668">
        <v>-0.115785</v>
      </c>
      <c r="Z5668">
        <v>1.5031279999999901E-3</v>
      </c>
      <c r="AA5668">
        <v>0.99327310000000002</v>
      </c>
      <c r="AB5668">
        <v>22</v>
      </c>
      <c r="AC5668">
        <v>97.481799999999893</v>
      </c>
      <c r="AD5668">
        <v>-1.1633990000000001</v>
      </c>
      <c r="AE5668">
        <v>-11.0204029999999</v>
      </c>
      <c r="AF5668">
        <v>-11.375178623396801</v>
      </c>
      <c r="AG5668">
        <v>-1.1633990000000001</v>
      </c>
      <c r="AH5668">
        <v>97.427149713434702</v>
      </c>
      <c r="AI5668">
        <v>90.679533423049804</v>
      </c>
      <c r="AJ5668">
        <v>96.659459792772793</v>
      </c>
      <c r="AK5668">
        <v>98.095859684450602</v>
      </c>
      <c r="AL5668">
        <v>79.165088843706698</v>
      </c>
      <c r="AM5668">
        <v>100.466273666022</v>
      </c>
      <c r="AN5668">
        <v>0.99999999068758905</v>
      </c>
    </row>
    <row r="5669" spans="1:40" x14ac:dyDescent="0.25">
      <c r="A5669" t="str">
        <f>"20190304155215657"</f>
        <v>20190304155215657</v>
      </c>
      <c r="B5669" t="str">
        <f>"1551685935652449"</f>
        <v>1551685935652449</v>
      </c>
      <c r="C5669" t="s">
        <v>40</v>
      </c>
      <c r="D5669">
        <v>4.822203</v>
      </c>
      <c r="E5669">
        <v>0.52810970000000002</v>
      </c>
      <c r="F5669" t="s">
        <v>42</v>
      </c>
      <c r="G5669">
        <v>-250.31469999999999</v>
      </c>
      <c r="H5669">
        <v>-0.05</v>
      </c>
      <c r="I5669">
        <v>2.0497890000000001</v>
      </c>
      <c r="J5669">
        <v>-398.49869999999999</v>
      </c>
      <c r="K5669">
        <v>1.1134360000000001</v>
      </c>
      <c r="L5669">
        <v>19.29965</v>
      </c>
      <c r="M5669">
        <v>0.97499119999999995</v>
      </c>
      <c r="N5669">
        <v>-1.079517E-2</v>
      </c>
      <c r="O5669">
        <v>-0.2219816</v>
      </c>
      <c r="P5669">
        <v>0.98259390000000002</v>
      </c>
      <c r="Q5669">
        <v>0.18064649999999999</v>
      </c>
      <c r="R5669">
        <v>-4.3318160000000001E-2</v>
      </c>
      <c r="S5669">
        <v>3.0399479999999999</v>
      </c>
      <c r="T5669">
        <v>-2.3835660000000002E-2</v>
      </c>
      <c r="U5669">
        <v>-0.35421750000000002</v>
      </c>
      <c r="V5669">
        <v>-0.17732629999999999</v>
      </c>
      <c r="W5669">
        <v>0.18975359999999999</v>
      </c>
      <c r="X5669">
        <v>0.96568569999999998</v>
      </c>
      <c r="Y5669">
        <v>-0.1076439</v>
      </c>
      <c r="Z5669">
        <v>3.104871E-4</v>
      </c>
      <c r="AA5669">
        <v>0.9941894</v>
      </c>
      <c r="AB5669">
        <v>22</v>
      </c>
      <c r="AC5669">
        <v>148.184</v>
      </c>
      <c r="AD5669">
        <v>-1.1634359999999999</v>
      </c>
      <c r="AE5669">
        <v>-17.249860999999999</v>
      </c>
      <c r="AF5669">
        <v>-16.075616156570099</v>
      </c>
      <c r="AG5669">
        <v>-1.1634359999999999</v>
      </c>
      <c r="AH5669">
        <v>148.306854885413</v>
      </c>
      <c r="AI5669">
        <v>90.446846786574696</v>
      </c>
      <c r="AJ5669">
        <v>96.1863821586699</v>
      </c>
      <c r="AK5669">
        <v>149.180099960224</v>
      </c>
      <c r="AL5669">
        <v>79.0615946080393</v>
      </c>
      <c r="AM5669">
        <v>100.405154735682</v>
      </c>
      <c r="AN5669">
        <v>0.999999958284569</v>
      </c>
    </row>
    <row r="5670" spans="1:40" x14ac:dyDescent="0.25">
      <c r="A5670" t="str">
        <f>"20190304155215671"</f>
        <v>20190304155215671</v>
      </c>
      <c r="B5670" t="str">
        <f>"1551685935663185"</f>
        <v>1551685935663185</v>
      </c>
      <c r="C5670" t="s">
        <v>40</v>
      </c>
      <c r="D5670">
        <v>4.8398149999999998</v>
      </c>
      <c r="E5670">
        <v>0.52902720000000003</v>
      </c>
      <c r="F5670" t="s">
        <v>96</v>
      </c>
      <c r="G5670">
        <v>-274.06180000000001</v>
      </c>
      <c r="H5670">
        <v>0.52369250000000001</v>
      </c>
      <c r="I5670">
        <v>4.6001209999999997</v>
      </c>
      <c r="J5670">
        <v>-398.36200000000002</v>
      </c>
      <c r="K5670">
        <v>1.113467</v>
      </c>
      <c r="L5670">
        <v>19.272459999999999</v>
      </c>
      <c r="M5670">
        <v>0.9757673</v>
      </c>
      <c r="N5670">
        <v>-1.0736259999999999E-2</v>
      </c>
      <c r="O5670">
        <v>-0.21854779999999999</v>
      </c>
      <c r="P5670">
        <v>0.98260919999999896</v>
      </c>
      <c r="Q5670">
        <v>0.1811595</v>
      </c>
      <c r="R5670">
        <v>-4.0752980000000001E-2</v>
      </c>
      <c r="S5670">
        <v>3.039917</v>
      </c>
      <c r="T5670">
        <v>-1.4407039999999999E-2</v>
      </c>
      <c r="U5670">
        <v>-0.35910029999999998</v>
      </c>
      <c r="V5670">
        <v>-0.17644209999999999</v>
      </c>
      <c r="W5670">
        <v>0.19020339999999999</v>
      </c>
      <c r="X5670">
        <v>0.96575920000000004</v>
      </c>
      <c r="Y5670">
        <v>-0.10256700000000001</v>
      </c>
      <c r="Z5670">
        <v>-5.429845E-4</v>
      </c>
      <c r="AA5670">
        <v>0.99472590000000005</v>
      </c>
      <c r="AB5670">
        <v>22</v>
      </c>
      <c r="AC5670">
        <v>124.30019999999899</v>
      </c>
      <c r="AD5670">
        <v>-0.58977449999999998</v>
      </c>
      <c r="AE5670">
        <v>-14.672338999999999</v>
      </c>
      <c r="AF5670">
        <v>-12.8492004371763</v>
      </c>
      <c r="AG5670">
        <v>-0.58977449999999998</v>
      </c>
      <c r="AH5670">
        <v>124.499074916816</v>
      </c>
      <c r="AI5670">
        <v>90.269984308581598</v>
      </c>
      <c r="AJ5670">
        <v>95.892474176713606</v>
      </c>
      <c r="AK5670">
        <v>125.161773081794</v>
      </c>
      <c r="AL5670">
        <v>79.035345266497103</v>
      </c>
      <c r="AM5670">
        <v>100.353625646867</v>
      </c>
      <c r="AN5670">
        <v>0.99999999020430497</v>
      </c>
    </row>
    <row r="5671" spans="1:40" x14ac:dyDescent="0.25">
      <c r="A5671" t="str">
        <f>"20190304155215684"</f>
        <v>20190304155215684</v>
      </c>
      <c r="B5671" t="str">
        <f>"1551685935672946"</f>
        <v>1551685935672946</v>
      </c>
      <c r="C5671" t="s">
        <v>40</v>
      </c>
      <c r="D5671">
        <v>4.8129960000000001</v>
      </c>
      <c r="E5671">
        <v>0.52977799999999997</v>
      </c>
      <c r="F5671" t="s">
        <v>96</v>
      </c>
      <c r="G5671">
        <v>-273.87479999999999</v>
      </c>
      <c r="H5671">
        <v>0.6483371</v>
      </c>
      <c r="I5671">
        <v>4.6001629999999896</v>
      </c>
      <c r="J5671">
        <v>-398.23320000000001</v>
      </c>
      <c r="K5671">
        <v>1.1134850000000001</v>
      </c>
      <c r="L5671">
        <v>19.247340000000001</v>
      </c>
      <c r="M5671">
        <v>0.97649140000000001</v>
      </c>
      <c r="N5671">
        <v>-1.0678959999999999E-2</v>
      </c>
      <c r="O5671">
        <v>-0.2152925</v>
      </c>
      <c r="P5671">
        <v>0.98261679999999996</v>
      </c>
      <c r="Q5671">
        <v>0.18171319999999999</v>
      </c>
      <c r="R5671">
        <v>-3.8010599999999999E-2</v>
      </c>
      <c r="S5671">
        <v>3.040314</v>
      </c>
      <c r="T5671">
        <v>-1.135969E-2</v>
      </c>
      <c r="U5671">
        <v>-0.35833739999999997</v>
      </c>
      <c r="V5671">
        <v>-0.1759107</v>
      </c>
      <c r="W5671">
        <v>0.19069349999999999</v>
      </c>
      <c r="X5671">
        <v>0.96575949999999999</v>
      </c>
      <c r="Y5671">
        <v>-9.9510199999999993E-2</v>
      </c>
      <c r="Z5671">
        <v>-7.993764E-4</v>
      </c>
      <c r="AA5671">
        <v>0.99503620000000004</v>
      </c>
      <c r="AB5671">
        <v>22</v>
      </c>
      <c r="AC5671">
        <v>124.3584</v>
      </c>
      <c r="AD5671">
        <v>-0.4651479</v>
      </c>
      <c r="AE5671">
        <v>-14.647176999999999</v>
      </c>
      <c r="AF5671">
        <v>-12.471125288744499</v>
      </c>
      <c r="AG5671">
        <v>-0.4651479</v>
      </c>
      <c r="AH5671">
        <v>124.59369872702401</v>
      </c>
      <c r="AI5671">
        <v>90.212838835912606</v>
      </c>
      <c r="AJ5671">
        <v>95.715945421205902</v>
      </c>
      <c r="AK5671">
        <v>125.217151744547</v>
      </c>
      <c r="AL5671">
        <v>79.006741160550803</v>
      </c>
      <c r="AM5671">
        <v>100.323111391243</v>
      </c>
      <c r="AN5671">
        <v>0.99999999857849398</v>
      </c>
    </row>
    <row r="5672" spans="1:40" x14ac:dyDescent="0.25">
      <c r="A5672" t="str">
        <f>"20190304155215703"</f>
        <v>20190304155215703</v>
      </c>
      <c r="B5672" t="str">
        <f>"1551685935692465"</f>
        <v>1551685935692465</v>
      </c>
      <c r="C5672" t="s">
        <v>40</v>
      </c>
      <c r="D5672">
        <v>4.8090650000000004</v>
      </c>
      <c r="E5672">
        <v>0.53103919999999905</v>
      </c>
      <c r="F5672" t="s">
        <v>96</v>
      </c>
      <c r="G5672">
        <v>-273.06299999999999</v>
      </c>
      <c r="H5672">
        <v>0.77022029999999997</v>
      </c>
      <c r="I5672">
        <v>4.6002029999999996</v>
      </c>
      <c r="J5672">
        <v>-398.06810000000002</v>
      </c>
      <c r="K5672">
        <v>1.1135120000000001</v>
      </c>
      <c r="L5672">
        <v>19.215910000000001</v>
      </c>
      <c r="M5672">
        <v>0.9774098</v>
      </c>
      <c r="N5672">
        <v>-1.060379E-2</v>
      </c>
      <c r="O5672">
        <v>-0.2110872</v>
      </c>
      <c r="P5672">
        <v>0.98261229999999999</v>
      </c>
      <c r="Q5672">
        <v>0.182425</v>
      </c>
      <c r="R5672">
        <v>-3.455925E-2</v>
      </c>
      <c r="S5672">
        <v>3.0408629999999999</v>
      </c>
      <c r="T5672">
        <v>-8.3391669999999998E-3</v>
      </c>
      <c r="U5672">
        <v>-0.35583500000000001</v>
      </c>
      <c r="V5672">
        <v>-0.17513809999999999</v>
      </c>
      <c r="W5672">
        <v>0.19132360000000001</v>
      </c>
      <c r="X5672">
        <v>0.9657753</v>
      </c>
      <c r="Y5672">
        <v>-9.6054500000000001E-2</v>
      </c>
      <c r="Z5672">
        <v>-1.036314E-3</v>
      </c>
      <c r="AA5672">
        <v>0.99537549999999997</v>
      </c>
      <c r="AB5672">
        <v>22</v>
      </c>
      <c r="AC5672">
        <v>125.0051</v>
      </c>
      <c r="AD5672">
        <v>-0.34329169999999998</v>
      </c>
      <c r="AE5672">
        <v>-14.615707</v>
      </c>
      <c r="AF5672">
        <v>-12.1020306627202</v>
      </c>
      <c r="AG5672">
        <v>-0.34329169999999998</v>
      </c>
      <c r="AH5672">
        <v>125.2724992774</v>
      </c>
      <c r="AI5672">
        <v>90.156283077774702</v>
      </c>
      <c r="AJ5672">
        <v>95.517972510203094</v>
      </c>
      <c r="AK5672">
        <v>125.856172159171</v>
      </c>
      <c r="AL5672">
        <v>78.969961962191306</v>
      </c>
      <c r="AM5672">
        <v>100.278576300164</v>
      </c>
      <c r="AN5672">
        <v>1.00000000203932</v>
      </c>
    </row>
    <row r="5673" spans="1:40" x14ac:dyDescent="0.25">
      <c r="A5673" t="str">
        <f>"20190304155215715"</f>
        <v>20190304155215715</v>
      </c>
      <c r="B5673" t="str">
        <f>"1551685935712961"</f>
        <v>1551685935712961</v>
      </c>
      <c r="C5673" t="s">
        <v>40</v>
      </c>
      <c r="D5673">
        <v>4.8378269999999999</v>
      </c>
      <c r="E5673">
        <v>0.53220979999999996</v>
      </c>
      <c r="F5673" t="s">
        <v>96</v>
      </c>
      <c r="G5673">
        <v>-272.9246</v>
      </c>
      <c r="H5673">
        <v>0.89949659999999998</v>
      </c>
      <c r="I5673">
        <v>4.6002460000000003</v>
      </c>
      <c r="J5673">
        <v>-397.94589999999999</v>
      </c>
      <c r="K5673">
        <v>1.113531</v>
      </c>
      <c r="L5673">
        <v>19.19312</v>
      </c>
      <c r="M5673">
        <v>0.97808209999999995</v>
      </c>
      <c r="N5673">
        <v>-1.0549060000000001E-2</v>
      </c>
      <c r="O5673">
        <v>-0.20795259999999999</v>
      </c>
      <c r="P5673">
        <v>0.98263849999999997</v>
      </c>
      <c r="Q5673">
        <v>0.18276220000000001</v>
      </c>
      <c r="R5673">
        <v>-3.1937180000000003E-2</v>
      </c>
      <c r="S5673">
        <v>3.041534</v>
      </c>
      <c r="T5673">
        <v>-5.2014590000000003E-3</v>
      </c>
      <c r="U5673">
        <v>-0.355224599999999</v>
      </c>
      <c r="V5673">
        <v>-0.17461960000000001</v>
      </c>
      <c r="W5673">
        <v>0.1916011</v>
      </c>
      <c r="X5673">
        <v>0.96581419999999996</v>
      </c>
      <c r="Y5673">
        <v>-9.3084520000000004E-2</v>
      </c>
      <c r="Z5673">
        <v>-1.281747E-3</v>
      </c>
      <c r="AA5673">
        <v>0.99565740000000003</v>
      </c>
      <c r="AB5673">
        <v>22</v>
      </c>
      <c r="AC5673">
        <v>125.0213</v>
      </c>
      <c r="AD5673">
        <v>-0.21403440000000001</v>
      </c>
      <c r="AE5673">
        <v>-14.592873999999901</v>
      </c>
      <c r="AF5673">
        <v>-11.7260931698587</v>
      </c>
      <c r="AG5673">
        <v>-0.21403440000000001</v>
      </c>
      <c r="AH5673">
        <v>125.322322605313</v>
      </c>
      <c r="AI5673">
        <v>90.097428167842196</v>
      </c>
      <c r="AJ5673">
        <v>95.345458016161302</v>
      </c>
      <c r="AK5673">
        <v>125.869899558801</v>
      </c>
      <c r="AL5673">
        <v>78.953762981862994</v>
      </c>
      <c r="AM5673">
        <v>100.248388200994</v>
      </c>
      <c r="AN5673">
        <v>1.0000000275734999</v>
      </c>
    </row>
    <row r="5674" spans="1:40" x14ac:dyDescent="0.25">
      <c r="A5674" t="str">
        <f>"20190304155215728"</f>
        <v>20190304155215728</v>
      </c>
      <c r="B5674" t="str">
        <f>"1551685935722722"</f>
        <v>1551685935722722</v>
      </c>
      <c r="C5674" t="s">
        <v>40</v>
      </c>
      <c r="D5674">
        <v>4.8265079999999996</v>
      </c>
      <c r="E5674">
        <v>0.53271539999999995</v>
      </c>
      <c r="F5674" t="s">
        <v>96</v>
      </c>
      <c r="G5674">
        <v>-273.46030000000002</v>
      </c>
      <c r="H5674">
        <v>0.98487259999999999</v>
      </c>
      <c r="I5674">
        <v>4.6002749999999999</v>
      </c>
      <c r="J5674">
        <v>-397.82249999999999</v>
      </c>
      <c r="K5674">
        <v>1.11355</v>
      </c>
      <c r="L5674">
        <v>19.17041</v>
      </c>
      <c r="M5674">
        <v>0.97875199999999996</v>
      </c>
      <c r="N5674">
        <v>-1.0494649999999999E-2</v>
      </c>
      <c r="O5674">
        <v>-0.2047794</v>
      </c>
      <c r="P5674">
        <v>0.98265630000000004</v>
      </c>
      <c r="Q5674">
        <v>0.18313070000000001</v>
      </c>
      <c r="R5674">
        <v>-2.9146470000000001E-2</v>
      </c>
      <c r="S5674">
        <v>3.041992</v>
      </c>
      <c r="T5674">
        <v>-3.143907E-3</v>
      </c>
      <c r="U5674">
        <v>-0.35659790000000002</v>
      </c>
      <c r="V5674">
        <v>-0.17422850000000001</v>
      </c>
      <c r="W5674">
        <v>0.19190950000000001</v>
      </c>
      <c r="X5674">
        <v>0.9658236</v>
      </c>
      <c r="Y5674">
        <v>-8.9427870000000007E-2</v>
      </c>
      <c r="Z5674">
        <v>-1.4336889999999999E-3</v>
      </c>
      <c r="AA5674">
        <v>0.99599219999999999</v>
      </c>
      <c r="AB5674">
        <v>22</v>
      </c>
      <c r="AC5674">
        <v>124.36219999999901</v>
      </c>
      <c r="AD5674">
        <v>-0.128677399999999</v>
      </c>
      <c r="AE5674">
        <v>-14.570135000000001</v>
      </c>
      <c r="AF5674">
        <v>-11.2068720378475</v>
      </c>
      <c r="AG5674">
        <v>-0.128677399999999</v>
      </c>
      <c r="AH5674">
        <v>124.710138024907</v>
      </c>
      <c r="AI5674">
        <v>90.058881177083293</v>
      </c>
      <c r="AJ5674">
        <v>95.134998476448203</v>
      </c>
      <c r="AK5674">
        <v>125.21273523462899</v>
      </c>
      <c r="AL5674">
        <v>78.935758843549905</v>
      </c>
      <c r="AM5674">
        <v>100.22582206441</v>
      </c>
      <c r="AN5674">
        <v>1.00000002635972</v>
      </c>
    </row>
    <row r="5675" spans="1:40" x14ac:dyDescent="0.25">
      <c r="A5675" t="str">
        <f>"20190304155215745"</f>
        <v>20190304155215745</v>
      </c>
      <c r="B5675" t="str">
        <f>"1551685935743217"</f>
        <v>1551685935743217</v>
      </c>
      <c r="C5675" t="s">
        <v>40</v>
      </c>
      <c r="D5675">
        <v>4.8531360000000001</v>
      </c>
      <c r="E5675">
        <v>0.53396399999999999</v>
      </c>
      <c r="F5675" t="s">
        <v>96</v>
      </c>
      <c r="G5675">
        <v>-271.88869999999997</v>
      </c>
      <c r="H5675">
        <v>1.0391189999999999</v>
      </c>
      <c r="I5675">
        <v>4.6002919999999996</v>
      </c>
      <c r="J5675">
        <v>-397.6574</v>
      </c>
      <c r="K5675">
        <v>1.1135699999999999</v>
      </c>
      <c r="L5675">
        <v>19.14087</v>
      </c>
      <c r="M5675">
        <v>0.97963739999999999</v>
      </c>
      <c r="N5675">
        <v>-1.042388E-2</v>
      </c>
      <c r="O5675">
        <v>-0.20050380000000001</v>
      </c>
      <c r="P5675">
        <v>0.98276039999999998</v>
      </c>
      <c r="Q5675">
        <v>0.1830782</v>
      </c>
      <c r="R5675">
        <v>-2.5779320000000001E-2</v>
      </c>
      <c r="S5675">
        <v>3.0428769999999998</v>
      </c>
      <c r="T5675">
        <v>-1.798511E-3</v>
      </c>
      <c r="U5675">
        <v>-0.3520508</v>
      </c>
      <c r="V5675">
        <v>-0.17333380000000001</v>
      </c>
      <c r="W5675">
        <v>0.19178500000000001</v>
      </c>
      <c r="X5675">
        <v>0.96600929999999996</v>
      </c>
      <c r="Y5675">
        <v>-8.658014E-2</v>
      </c>
      <c r="Z5675">
        <v>-1.504486E-3</v>
      </c>
      <c r="AA5675">
        <v>0.99624380000000001</v>
      </c>
      <c r="AB5675">
        <v>22</v>
      </c>
      <c r="AC5675">
        <v>125.7687</v>
      </c>
      <c r="AD5675">
        <v>-7.4451000000000003E-2</v>
      </c>
      <c r="AE5675">
        <v>-14.540578</v>
      </c>
      <c r="AF5675">
        <v>-10.9732013576785</v>
      </c>
      <c r="AG5675">
        <v>-7.4451000000000003E-2</v>
      </c>
      <c r="AH5675">
        <v>126.129980870254</v>
      </c>
      <c r="AI5675">
        <v>90.0336928246074</v>
      </c>
      <c r="AJ5675">
        <v>94.972164913824201</v>
      </c>
      <c r="AK5675">
        <v>126.606432559007</v>
      </c>
      <c r="AL5675">
        <v>78.943027220215896</v>
      </c>
      <c r="AM5675">
        <v>100.172495011994</v>
      </c>
      <c r="AN5675">
        <v>1.00000003006696</v>
      </c>
    </row>
    <row r="5676" spans="1:40" x14ac:dyDescent="0.25">
      <c r="A5676" t="str">
        <f>"20190304155215758"</f>
        <v>20190304155215758</v>
      </c>
      <c r="B5676" t="str">
        <f>"1551685935752977"</f>
        <v>1551685935752977</v>
      </c>
      <c r="C5676" t="s">
        <v>40</v>
      </c>
      <c r="D5676">
        <v>4.7889439999999999</v>
      </c>
      <c r="E5676">
        <v>0.53452029999999995</v>
      </c>
      <c r="F5676" t="s">
        <v>96</v>
      </c>
      <c r="G5676">
        <v>-271.798</v>
      </c>
      <c r="H5676">
        <v>1.0250440000000001</v>
      </c>
      <c r="I5676">
        <v>4.6002900000000002</v>
      </c>
      <c r="J5676">
        <v>-397.54230000000001</v>
      </c>
      <c r="K5676">
        <v>1.1135809999999999</v>
      </c>
      <c r="L5676">
        <v>19.120760000000001</v>
      </c>
      <c r="M5676">
        <v>0.98024619999999996</v>
      </c>
      <c r="N5676">
        <v>-1.0376170000000001E-2</v>
      </c>
      <c r="O5676">
        <v>-0.19750960000000001</v>
      </c>
      <c r="P5676">
        <v>0.98290120000000003</v>
      </c>
      <c r="Q5676">
        <v>0.1826866</v>
      </c>
      <c r="R5676">
        <v>-2.3047560000000002E-2</v>
      </c>
      <c r="S5676">
        <v>3.0438230000000002</v>
      </c>
      <c r="T5676">
        <v>-2.1409990000000002E-3</v>
      </c>
      <c r="U5676">
        <v>-0.35165410000000002</v>
      </c>
      <c r="V5676">
        <v>-0.1730855</v>
      </c>
      <c r="W5676">
        <v>0.19134319999999999</v>
      </c>
      <c r="X5676">
        <v>0.96614140000000004</v>
      </c>
      <c r="Y5676">
        <v>-8.3699510000000005E-2</v>
      </c>
      <c r="Z5676">
        <v>-1.4562799999999999E-3</v>
      </c>
      <c r="AA5676">
        <v>0.99648999999999999</v>
      </c>
      <c r="AB5676">
        <v>22</v>
      </c>
      <c r="AC5676">
        <v>125.7443</v>
      </c>
      <c r="AD5676">
        <v>-8.8536999999999796E-2</v>
      </c>
      <c r="AE5676">
        <v>-14.52047</v>
      </c>
      <c r="AF5676">
        <v>-10.602634755376</v>
      </c>
      <c r="AG5676">
        <v>-8.8536999999999796E-2</v>
      </c>
      <c r="AH5676">
        <v>126.13501294313799</v>
      </c>
      <c r="AI5676">
        <v>90.040075855463499</v>
      </c>
      <c r="AJ5676">
        <v>94.804863208682704</v>
      </c>
      <c r="AK5676">
        <v>126.57987672897301</v>
      </c>
      <c r="AL5676">
        <v>78.968817889754504</v>
      </c>
      <c r="AM5676">
        <v>100.15686660287901</v>
      </c>
      <c r="AN5676">
        <v>1.00000000764522</v>
      </c>
    </row>
    <row r="5677" spans="1:40" x14ac:dyDescent="0.25">
      <c r="A5677" t="str">
        <f>"20190304155215781"</f>
        <v>20190304155215781</v>
      </c>
      <c r="B5677" t="str">
        <f>"1551685935772497"</f>
        <v>1551685935772497</v>
      </c>
      <c r="C5677" t="s">
        <v>40</v>
      </c>
      <c r="D5677">
        <v>4.8364929999999999</v>
      </c>
      <c r="E5677">
        <v>0.53555540000000001</v>
      </c>
      <c r="F5677" t="s">
        <v>96</v>
      </c>
      <c r="G5677">
        <v>-270.49509999999998</v>
      </c>
      <c r="H5677">
        <v>1.0094920000000001</v>
      </c>
      <c r="I5677">
        <v>4.6002830000000001</v>
      </c>
      <c r="J5677">
        <v>-397.32909999999998</v>
      </c>
      <c r="K5677">
        <v>1.1135969999999999</v>
      </c>
      <c r="L5677">
        <v>19.084379999999999</v>
      </c>
      <c r="M5677">
        <v>0.98135050000000001</v>
      </c>
      <c r="N5677">
        <v>-1.029182E-2</v>
      </c>
      <c r="O5677">
        <v>-0.19195129999999999</v>
      </c>
      <c r="P5677">
        <v>0.98314970000000002</v>
      </c>
      <c r="Q5677">
        <v>0.18193090000000001</v>
      </c>
      <c r="R5677">
        <v>-1.783206E-2</v>
      </c>
      <c r="S5677">
        <v>3.044495</v>
      </c>
      <c r="T5677">
        <v>-2.4943349999999999E-3</v>
      </c>
      <c r="U5677">
        <v>-0.34796139999999998</v>
      </c>
      <c r="V5677">
        <v>-0.172767899999999</v>
      </c>
      <c r="W5677">
        <v>0.19050020000000001</v>
      </c>
      <c r="X5677">
        <v>0.96636480000000002</v>
      </c>
      <c r="Y5677">
        <v>-7.9269909999999999E-2</v>
      </c>
      <c r="Z5677">
        <v>-1.386654E-3</v>
      </c>
      <c r="AA5677">
        <v>0.99685219999999997</v>
      </c>
      <c r="AB5677">
        <v>22</v>
      </c>
      <c r="AC5677">
        <v>126.834</v>
      </c>
      <c r="AD5677">
        <v>-0.104104999999999</v>
      </c>
      <c r="AE5677">
        <v>-14.484096999999901</v>
      </c>
      <c r="AF5677">
        <v>-10.132505115964101</v>
      </c>
      <c r="AG5677">
        <v>-0.104104999999999</v>
      </c>
      <c r="AH5677">
        <v>127.25550395287399</v>
      </c>
      <c r="AI5677">
        <v>90.046724558811505</v>
      </c>
      <c r="AJ5677">
        <v>94.552475424948994</v>
      </c>
      <c r="AK5677">
        <v>127.658300881987</v>
      </c>
      <c r="AL5677">
        <v>79.018023270259306</v>
      </c>
      <c r="AM5677">
        <v>100.136321213705</v>
      </c>
      <c r="AN5677">
        <v>1.00000000007474</v>
      </c>
    </row>
    <row r="5678" spans="1:40" x14ac:dyDescent="0.25">
      <c r="A5678" t="str">
        <f>"20190304155215794"</f>
        <v>20190304155215794</v>
      </c>
      <c r="B5678" t="str">
        <f>"1551685935792993"</f>
        <v>1551685935792993</v>
      </c>
      <c r="C5678" t="s">
        <v>40</v>
      </c>
      <c r="D5678">
        <v>4.8323960000000001</v>
      </c>
      <c r="E5678">
        <v>0.53627579999999997</v>
      </c>
      <c r="F5678" t="s">
        <v>96</v>
      </c>
      <c r="G5678">
        <v>-268.01119999999997</v>
      </c>
      <c r="H5678">
        <v>0.94556010000000001</v>
      </c>
      <c r="I5678">
        <v>4.6002619999999999</v>
      </c>
      <c r="J5678">
        <v>-397.19740000000002</v>
      </c>
      <c r="K5678">
        <v>1.1136029999999999</v>
      </c>
      <c r="L5678">
        <v>19.062529999999999</v>
      </c>
      <c r="M5678">
        <v>0.98201740000000004</v>
      </c>
      <c r="N5678">
        <v>-1.024365E-2</v>
      </c>
      <c r="O5678">
        <v>-0.18851319999999999</v>
      </c>
      <c r="P5678">
        <v>0.9832514</v>
      </c>
      <c r="Q5678">
        <v>0.1816854</v>
      </c>
      <c r="R5678">
        <v>-1.4404139999999999E-2</v>
      </c>
      <c r="S5678">
        <v>3.0459290000000001</v>
      </c>
      <c r="T5678">
        <v>-3.9578679999999998E-3</v>
      </c>
      <c r="U5678">
        <v>-0.34115600000000001</v>
      </c>
      <c r="V5678">
        <v>-0.17276459999999999</v>
      </c>
      <c r="W5678">
        <v>0.19020339999999999</v>
      </c>
      <c r="X5678">
        <v>0.9664239</v>
      </c>
      <c r="Y5678">
        <v>-7.8031379999999997E-2</v>
      </c>
      <c r="Z5678">
        <v>-1.2450269999999999E-3</v>
      </c>
      <c r="AA5678">
        <v>0.99695009999999995</v>
      </c>
      <c r="AB5678">
        <v>22</v>
      </c>
      <c r="AC5678">
        <v>129.18620000000001</v>
      </c>
      <c r="AD5678">
        <v>-0.1680429</v>
      </c>
      <c r="AE5678">
        <v>-14.4622679999999</v>
      </c>
      <c r="AF5678">
        <v>-10.151619116167501</v>
      </c>
      <c r="AG5678">
        <v>-0.1680429</v>
      </c>
      <c r="AH5678">
        <v>129.59598612138001</v>
      </c>
      <c r="AI5678">
        <v>90.0740666422451</v>
      </c>
      <c r="AJ5678">
        <v>94.478993871694698</v>
      </c>
      <c r="AK5678">
        <v>129.99308915426599</v>
      </c>
      <c r="AL5678">
        <v>79.035345901819099</v>
      </c>
      <c r="AM5678">
        <v>100.13552460997001</v>
      </c>
      <c r="AN5678">
        <v>1.00000004743796</v>
      </c>
    </row>
    <row r="5679" spans="1:40" x14ac:dyDescent="0.25">
      <c r="A5679" t="str">
        <f>"20190304155215806"</f>
        <v>20190304155215806</v>
      </c>
      <c r="B5679" t="str">
        <f>"1551685935802753"</f>
        <v>1551685935802753</v>
      </c>
      <c r="C5679" t="s">
        <v>40</v>
      </c>
      <c r="D5679">
        <v>4.7825369999999996</v>
      </c>
      <c r="E5679">
        <v>0.53627579999999997</v>
      </c>
      <c r="F5679" t="s">
        <v>96</v>
      </c>
      <c r="G5679">
        <v>-266.3766</v>
      </c>
      <c r="H5679">
        <v>0.95917810000000003</v>
      </c>
      <c r="I5679">
        <v>4.6002660000000004</v>
      </c>
      <c r="J5679">
        <v>-397.0761</v>
      </c>
      <c r="K5679">
        <v>1.1135999999999999</v>
      </c>
      <c r="L5679">
        <v>19.042719999999999</v>
      </c>
      <c r="M5679">
        <v>0.98262159999999998</v>
      </c>
      <c r="N5679">
        <v>-1.020135E-2</v>
      </c>
      <c r="O5679">
        <v>-0.18534059999999999</v>
      </c>
      <c r="P5679">
        <v>0.98335430000000001</v>
      </c>
      <c r="Q5679">
        <v>0.1813459</v>
      </c>
      <c r="R5679">
        <v>-1.132675E-2</v>
      </c>
      <c r="S5679">
        <v>3.046783</v>
      </c>
      <c r="T5679">
        <v>-3.5965440000000001E-3</v>
      </c>
      <c r="U5679">
        <v>-0.33682250000000002</v>
      </c>
      <c r="V5679">
        <v>-0.17268039999999901</v>
      </c>
      <c r="W5679">
        <v>0.18982099999999999</v>
      </c>
      <c r="X5679">
        <v>0.96651410000000004</v>
      </c>
      <c r="Y5679">
        <v>-7.6242920000000006E-2</v>
      </c>
      <c r="Z5679">
        <v>-1.2465829999999999E-3</v>
      </c>
      <c r="AA5679">
        <v>0.99708850000000004</v>
      </c>
      <c r="AB5679">
        <v>22</v>
      </c>
      <c r="AC5679">
        <v>130.6995</v>
      </c>
      <c r="AD5679">
        <v>-0.1544219</v>
      </c>
      <c r="AE5679">
        <v>-14.442454</v>
      </c>
      <c r="AF5679">
        <v>-10.0329626442881</v>
      </c>
      <c r="AG5679">
        <v>-0.1544219</v>
      </c>
      <c r="AH5679">
        <v>131.11153933282401</v>
      </c>
      <c r="AI5679">
        <v>90.067285668881993</v>
      </c>
      <c r="AJ5679">
        <v>94.375879555109194</v>
      </c>
      <c r="AK5679">
        <v>131.49494260908801</v>
      </c>
      <c r="AL5679">
        <v>79.057662059970994</v>
      </c>
      <c r="AM5679">
        <v>100.12976134508</v>
      </c>
      <c r="AN5679">
        <v>1.00000001904198</v>
      </c>
    </row>
    <row r="5680" spans="1:40" x14ac:dyDescent="0.25">
      <c r="A5680" t="str">
        <f>"20190304155215828"</f>
        <v>20190304155215828</v>
      </c>
      <c r="B5680" t="str">
        <f>"1551685935822274"</f>
        <v>1551685935822274</v>
      </c>
      <c r="C5680" t="s">
        <v>40</v>
      </c>
      <c r="D5680">
        <v>4.9391020000000001</v>
      </c>
      <c r="E5680">
        <v>0.53617809999999999</v>
      </c>
      <c r="F5680" t="s">
        <v>96</v>
      </c>
      <c r="G5680">
        <v>-265.7654</v>
      </c>
      <c r="H5680">
        <v>0.9231914</v>
      </c>
      <c r="I5680">
        <v>4.9258189999999997</v>
      </c>
      <c r="J5680">
        <v>-396.88339999999999</v>
      </c>
      <c r="K5680">
        <v>1.1136029999999999</v>
      </c>
      <c r="L5680">
        <v>19.012270000000001</v>
      </c>
      <c r="M5680">
        <v>0.98355950000000003</v>
      </c>
      <c r="N5680">
        <v>-1.0140939999999999E-2</v>
      </c>
      <c r="O5680">
        <v>-0.1802994</v>
      </c>
      <c r="P5680">
        <v>0.98346500000000003</v>
      </c>
      <c r="Q5680">
        <v>0.18098880000000001</v>
      </c>
      <c r="R5680">
        <v>-6.2895080000000001E-3</v>
      </c>
      <c r="S5680">
        <v>3.0478519999999998</v>
      </c>
      <c r="T5680">
        <v>-4.4195650000000003E-3</v>
      </c>
      <c r="U5680">
        <v>-0.32766719999999999</v>
      </c>
      <c r="V5680">
        <v>-0.1726887</v>
      </c>
      <c r="W5680">
        <v>0.1894015</v>
      </c>
      <c r="X5680">
        <v>0.96659490000000003</v>
      </c>
      <c r="Y5680">
        <v>-7.4128470000000002E-2</v>
      </c>
      <c r="Z5680">
        <v>-1.1456509999999999E-3</v>
      </c>
      <c r="AA5680">
        <v>0.99724809999999997</v>
      </c>
      <c r="AB5680">
        <v>22</v>
      </c>
      <c r="AC5680">
        <v>131.11799999999999</v>
      </c>
      <c r="AD5680">
        <v>-0.19041159999999999</v>
      </c>
      <c r="AE5680">
        <v>-14.086451</v>
      </c>
      <c r="AF5680">
        <v>-9.7861168222206594</v>
      </c>
      <c r="AG5680">
        <v>-0.19041159999999999</v>
      </c>
      <c r="AH5680">
        <v>131.50862112572301</v>
      </c>
      <c r="AI5680">
        <v>90.082729876652493</v>
      </c>
      <c r="AJ5680">
        <v>94.255779208501195</v>
      </c>
      <c r="AK5680">
        <v>131.87236924172001</v>
      </c>
      <c r="AL5680">
        <v>79.082141596788901</v>
      </c>
      <c r="AM5680">
        <v>100.12940887994399</v>
      </c>
      <c r="AN5680">
        <v>1.0000000080079701</v>
      </c>
    </row>
    <row r="5681" spans="1:40" x14ac:dyDescent="0.25">
      <c r="A5681" t="str">
        <f>"20190304155215849"</f>
        <v>20190304155215849</v>
      </c>
      <c r="B5681" t="str">
        <f>"1551685935842769"</f>
        <v>1551685935842769</v>
      </c>
      <c r="C5681" t="s">
        <v>40</v>
      </c>
      <c r="D5681">
        <v>4.933827</v>
      </c>
      <c r="E5681">
        <v>0.53555900000000001</v>
      </c>
      <c r="F5681" t="s">
        <v>96</v>
      </c>
      <c r="G5681">
        <v>-255.92089999999999</v>
      </c>
      <c r="H5681">
        <v>0.58640829999999999</v>
      </c>
      <c r="I5681">
        <v>4.600142</v>
      </c>
      <c r="J5681">
        <v>-396.68419999999998</v>
      </c>
      <c r="K5681">
        <v>1.1136029999999999</v>
      </c>
      <c r="L5681">
        <v>18.981809999999999</v>
      </c>
      <c r="M5681">
        <v>0.98450009999999999</v>
      </c>
      <c r="N5681">
        <v>-1.0079909999999999E-2</v>
      </c>
      <c r="O5681">
        <v>-0.1750951</v>
      </c>
      <c r="P5681">
        <v>0.98350190000000004</v>
      </c>
      <c r="Q5681">
        <v>0.18089430000000001</v>
      </c>
      <c r="R5681">
        <v>-1.3147269999999999E-3</v>
      </c>
      <c r="S5681">
        <v>3.0505369999999998</v>
      </c>
      <c r="T5681">
        <v>-1.1408929999999999E-2</v>
      </c>
      <c r="U5681">
        <v>-0.31188959999999999</v>
      </c>
      <c r="V5681">
        <v>-0.17247079999999901</v>
      </c>
      <c r="W5681">
        <v>0.18924650000000001</v>
      </c>
      <c r="X5681">
        <v>0.96666410000000003</v>
      </c>
      <c r="Y5681">
        <v>-7.4051210000000006E-2</v>
      </c>
      <c r="Z5681">
        <v>-6.097629E-4</v>
      </c>
      <c r="AA5681">
        <v>0.99725430000000004</v>
      </c>
      <c r="AB5681">
        <v>22</v>
      </c>
      <c r="AC5681">
        <v>140.76329999999999</v>
      </c>
      <c r="AD5681">
        <v>-0.52719469999999902</v>
      </c>
      <c r="AE5681">
        <v>-14.381667999999999</v>
      </c>
      <c r="AF5681">
        <v>-10.4885959560331</v>
      </c>
      <c r="AG5681">
        <v>-0.52719469999999902</v>
      </c>
      <c r="AH5681">
        <v>141.104828050972</v>
      </c>
      <c r="AI5681">
        <v>90.213478084214699</v>
      </c>
      <c r="AJ5681">
        <v>94.251088662069805</v>
      </c>
      <c r="AK5681">
        <v>141.49509206567899</v>
      </c>
      <c r="AL5681">
        <v>79.091185355814503</v>
      </c>
      <c r="AM5681">
        <v>100.11618241131001</v>
      </c>
      <c r="AN5681">
        <v>0.99999994842184803</v>
      </c>
    </row>
    <row r="5682" spans="1:40" x14ac:dyDescent="0.25">
      <c r="A5682" t="str">
        <f>"20190304155215871"</f>
        <v>20190304155215871</v>
      </c>
      <c r="B5682" t="str">
        <f>"1551685935862289"</f>
        <v>1551685935862289</v>
      </c>
      <c r="C5682" t="s">
        <v>40</v>
      </c>
      <c r="D5682">
        <v>5.1255290000000002</v>
      </c>
      <c r="E5682">
        <v>0.50294939999999999</v>
      </c>
      <c r="F5682" t="s">
        <v>96</v>
      </c>
      <c r="G5682">
        <v>-250.93010000000001</v>
      </c>
      <c r="H5682">
        <v>0.34040949999999998</v>
      </c>
      <c r="I5682">
        <v>5.047186</v>
      </c>
      <c r="J5682">
        <v>-396.46839999999997</v>
      </c>
      <c r="K5682">
        <v>1.1135999999999999</v>
      </c>
      <c r="L5682">
        <v>18.950099999999999</v>
      </c>
      <c r="M5682">
        <v>0.98548469999999999</v>
      </c>
      <c r="N5682">
        <v>-1.001602E-2</v>
      </c>
      <c r="O5682">
        <v>-0.16946820000000001</v>
      </c>
      <c r="P5682">
        <v>0.98343599999999998</v>
      </c>
      <c r="Q5682">
        <v>0.18120549999999999</v>
      </c>
      <c r="R5682">
        <v>4.2439009999999996E-3</v>
      </c>
      <c r="S5682">
        <v>3.0529169999999999</v>
      </c>
      <c r="T5682">
        <v>-1.6195060000000001E-2</v>
      </c>
      <c r="U5682">
        <v>-0.29187010000000002</v>
      </c>
      <c r="V5682">
        <v>-0.17240720000000001</v>
      </c>
      <c r="W5682">
        <v>0.1894932</v>
      </c>
      <c r="X5682">
        <v>0.96662720000000002</v>
      </c>
      <c r="Y5682">
        <v>-7.4909480000000001E-2</v>
      </c>
      <c r="Z5682">
        <v>-2.370878E-4</v>
      </c>
      <c r="AA5682">
        <v>0.99719029999999997</v>
      </c>
      <c r="AB5682">
        <v>22</v>
      </c>
      <c r="AC5682">
        <v>145.538299999999</v>
      </c>
      <c r="AD5682">
        <v>-0.773190499999999</v>
      </c>
      <c r="AE5682">
        <v>-13.902914000000001</v>
      </c>
      <c r="AF5682">
        <v>-10.963248648713</v>
      </c>
      <c r="AG5682">
        <v>-0.773190499999999</v>
      </c>
      <c r="AH5682">
        <v>145.78511366634299</v>
      </c>
      <c r="AI5682">
        <v>90.303017247755605</v>
      </c>
      <c r="AJ5682">
        <v>94.300629544360604</v>
      </c>
      <c r="AK5682">
        <v>146.19880304295</v>
      </c>
      <c r="AL5682">
        <v>79.076790912301405</v>
      </c>
      <c r="AM5682">
        <v>100.11290705902501</v>
      </c>
      <c r="AN5682">
        <v>1.00000002961895</v>
      </c>
    </row>
    <row r="5683" spans="1:40" x14ac:dyDescent="0.25">
      <c r="A5683" t="str">
        <f>"20190304155215882"</f>
        <v>20190304155215882</v>
      </c>
      <c r="B5683" t="str">
        <f>"1551685935873025"</f>
        <v>1551685935873025</v>
      </c>
      <c r="C5683" t="s">
        <v>40</v>
      </c>
      <c r="D5683">
        <v>4.9812019999999997</v>
      </c>
      <c r="E5683">
        <v>0.50307380000000002</v>
      </c>
      <c r="F5683" t="s">
        <v>41</v>
      </c>
      <c r="G5683">
        <v>-343.7149</v>
      </c>
      <c r="H5683" s="1">
        <v>-2.842757E-6</v>
      </c>
      <c r="I5683">
        <v>18.690860000000001</v>
      </c>
      <c r="J5683">
        <v>-396.34030000000001</v>
      </c>
      <c r="K5683">
        <v>1.11359599999999</v>
      </c>
      <c r="L5683">
        <v>18.931850000000001</v>
      </c>
      <c r="M5683">
        <v>0.98605259999999995</v>
      </c>
      <c r="N5683">
        <v>-9.9808150000000005E-3</v>
      </c>
      <c r="O5683">
        <v>-0.16613439999999999</v>
      </c>
      <c r="P5683">
        <v>0.98327779999999998</v>
      </c>
      <c r="Q5683">
        <v>0.18196029999999999</v>
      </c>
      <c r="R5683">
        <v>7.4358749999999998E-3</v>
      </c>
      <c r="S5683">
        <v>3.0625309999999999</v>
      </c>
      <c r="T5683">
        <v>-6.4648629999999999E-2</v>
      </c>
      <c r="U5683">
        <v>-1.504517E-2</v>
      </c>
      <c r="V5683">
        <v>-0.1722592</v>
      </c>
      <c r="W5683">
        <v>0.19021279999999999</v>
      </c>
      <c r="X5683">
        <v>0.96651220000000004</v>
      </c>
      <c r="Y5683">
        <v>-0.1612335</v>
      </c>
      <c r="Z5683">
        <v>4.3362829999999998E-3</v>
      </c>
      <c r="AA5683">
        <v>0.98690679999999997</v>
      </c>
      <c r="AB5683">
        <v>22</v>
      </c>
      <c r="AC5683">
        <v>52.625399999999999</v>
      </c>
      <c r="AD5683">
        <v>-1.1135988427569901</v>
      </c>
      <c r="AE5683">
        <v>-0.24099000000000001</v>
      </c>
      <c r="AF5683">
        <v>-8.5018772553114399</v>
      </c>
      <c r="AG5683">
        <v>-1.1135988427569901</v>
      </c>
      <c r="AH5683">
        <v>51.910792178202399</v>
      </c>
      <c r="AI5683">
        <v>91.212777118001299</v>
      </c>
      <c r="AJ5683">
        <v>99.301245850925298</v>
      </c>
      <c r="AK5683">
        <v>52.614184055399797</v>
      </c>
      <c r="AL5683">
        <v>79.034796635415205</v>
      </c>
      <c r="AM5683">
        <v>100.10558225368599</v>
      </c>
      <c r="AN5683">
        <v>0.99999998700866</v>
      </c>
    </row>
    <row r="5684" spans="1:40" x14ac:dyDescent="0.25">
      <c r="A5684" t="str">
        <f>"20190304155215897"</f>
        <v>20190304155215897</v>
      </c>
      <c r="B5684" t="str">
        <f>"1551685935892546"</f>
        <v>1551685935892546</v>
      </c>
      <c r="C5684" t="s">
        <v>40</v>
      </c>
      <c r="D5684">
        <v>4.9602909999999998</v>
      </c>
      <c r="E5684">
        <v>0.50324480000000005</v>
      </c>
      <c r="F5684" t="s">
        <v>41</v>
      </c>
      <c r="G5684">
        <v>-337.76690000000002</v>
      </c>
      <c r="H5684" s="1">
        <v>-1.082452E-6</v>
      </c>
      <c r="I5684">
        <v>18.815010000000001</v>
      </c>
      <c r="J5684">
        <v>-396.21449999999999</v>
      </c>
      <c r="K5684">
        <v>1.1135980000000001</v>
      </c>
      <c r="L5684">
        <v>18.914370000000002</v>
      </c>
      <c r="M5684">
        <v>0.98659770000000002</v>
      </c>
      <c r="N5684">
        <v>-9.9490329999999995E-3</v>
      </c>
      <c r="O5684">
        <v>-0.16286929999999999</v>
      </c>
      <c r="P5684">
        <v>0.98311800000000005</v>
      </c>
      <c r="Q5684">
        <v>0.1826681</v>
      </c>
      <c r="R5684">
        <v>1.0559819999999999E-2</v>
      </c>
      <c r="S5684">
        <v>3.0618289999999999</v>
      </c>
      <c r="T5684">
        <v>-5.8211449999999998E-2</v>
      </c>
      <c r="U5684">
        <v>-6.1035159999999998E-3</v>
      </c>
      <c r="V5684">
        <v>-0.1721154</v>
      </c>
      <c r="W5684">
        <v>0.1908897</v>
      </c>
      <c r="X5684">
        <v>0.96640440000000005</v>
      </c>
      <c r="Y5684">
        <v>-0.16085959999999999</v>
      </c>
      <c r="Z5684">
        <v>3.7891029999999998E-3</v>
      </c>
      <c r="AA5684">
        <v>0.98697000000000001</v>
      </c>
      <c r="AB5684">
        <v>22</v>
      </c>
      <c r="AC5684">
        <v>58.447599999999902</v>
      </c>
      <c r="AD5684">
        <v>-1.1135990824519999</v>
      </c>
      <c r="AE5684">
        <v>-9.9360000000000698E-2</v>
      </c>
      <c r="AF5684">
        <v>-9.4183367254007901</v>
      </c>
      <c r="AG5684">
        <v>-1.1135990824519999</v>
      </c>
      <c r="AH5684">
        <v>57.662361168561503</v>
      </c>
      <c r="AI5684">
        <v>91.091916003924794</v>
      </c>
      <c r="AJ5684">
        <v>99.276544417968907</v>
      </c>
      <c r="AK5684">
        <v>58.4370863846163</v>
      </c>
      <c r="AL5684">
        <v>78.995289675679601</v>
      </c>
      <c r="AM5684">
        <v>100.098423037026</v>
      </c>
      <c r="AN5684">
        <v>1.0000000264113</v>
      </c>
    </row>
    <row r="5685" spans="1:40" x14ac:dyDescent="0.25">
      <c r="A5685" t="str">
        <f>"20190304155215914"</f>
        <v>20190304155215914</v>
      </c>
      <c r="B5685" t="str">
        <f>"1551685935902305"</f>
        <v>1551685935902305</v>
      </c>
      <c r="C5685" t="s">
        <v>40</v>
      </c>
      <c r="D5685">
        <v>4.9238179999999998</v>
      </c>
      <c r="E5685">
        <v>0.50356509999999999</v>
      </c>
      <c r="F5685" t="s">
        <v>41</v>
      </c>
      <c r="G5685">
        <v>-335.37479999999999</v>
      </c>
      <c r="H5685" s="1">
        <v>-2.082516E-6</v>
      </c>
      <c r="I5685">
        <v>18.96219</v>
      </c>
      <c r="J5685">
        <v>-396.0394</v>
      </c>
      <c r="K5685">
        <v>1.1136079999999999</v>
      </c>
      <c r="L5685">
        <v>18.890630000000002</v>
      </c>
      <c r="M5685">
        <v>0.98733559999999998</v>
      </c>
      <c r="N5685">
        <v>-9.9082920000000008E-3</v>
      </c>
      <c r="O5685">
        <v>-0.1583357</v>
      </c>
      <c r="P5685">
        <v>0.98267099999999996</v>
      </c>
      <c r="Q5685">
        <v>0.1847916</v>
      </c>
      <c r="R5685">
        <v>1.4486260000000001E-2</v>
      </c>
      <c r="S5685">
        <v>3.06189</v>
      </c>
      <c r="T5685">
        <v>-5.6044339999999998E-2</v>
      </c>
      <c r="U5685">
        <v>2.4108889999999998E-3</v>
      </c>
      <c r="V5685">
        <v>-0.17148929999999901</v>
      </c>
      <c r="W5685">
        <v>0.19297590000000001</v>
      </c>
      <c r="X5685">
        <v>0.96610130000000005</v>
      </c>
      <c r="Y5685">
        <v>-0.15907449999999901</v>
      </c>
      <c r="Z5685">
        <v>3.5588999999999998E-3</v>
      </c>
      <c r="AA5685">
        <v>0.98726020000000003</v>
      </c>
      <c r="AB5685">
        <v>22</v>
      </c>
      <c r="AC5685">
        <v>60.6646</v>
      </c>
      <c r="AD5685">
        <v>-1.113610082516</v>
      </c>
      <c r="AE5685">
        <v>7.1560000000001595E-2</v>
      </c>
      <c r="AF5685">
        <v>-9.6732412413773705</v>
      </c>
      <c r="AG5685">
        <v>-1.113610082516</v>
      </c>
      <c r="AH5685">
        <v>59.867756064120698</v>
      </c>
      <c r="AI5685">
        <v>91.0520046500761</v>
      </c>
      <c r="AJ5685">
        <v>99.178344836768503</v>
      </c>
      <c r="AK5685">
        <v>60.654430503326203</v>
      </c>
      <c r="AL5685">
        <v>78.873494498391906</v>
      </c>
      <c r="AM5685">
        <v>100.065532675976</v>
      </c>
      <c r="AN5685">
        <v>0.99999999992849498</v>
      </c>
    </row>
    <row r="5686" spans="1:40" x14ac:dyDescent="0.25">
      <c r="A5686" t="str">
        <f>"20190304155215926"</f>
        <v>20190304155215926</v>
      </c>
      <c r="B5686" t="str">
        <f>"1551685935922802"</f>
        <v>1551685935922802</v>
      </c>
      <c r="C5686" t="s">
        <v>40</v>
      </c>
      <c r="D5686">
        <v>5.1501359999999998</v>
      </c>
      <c r="E5686">
        <v>0.50389300000000004</v>
      </c>
      <c r="F5686" t="s">
        <v>41</v>
      </c>
      <c r="G5686">
        <v>-325.31689999999998</v>
      </c>
      <c r="H5686" s="1">
        <v>-2.274408E-6</v>
      </c>
      <c r="I5686">
        <v>19.16413</v>
      </c>
      <c r="J5686">
        <v>-395.91559999999998</v>
      </c>
      <c r="K5686">
        <v>1.113605</v>
      </c>
      <c r="L5686">
        <v>18.874269999999999</v>
      </c>
      <c r="M5686">
        <v>0.98784249999999996</v>
      </c>
      <c r="N5686">
        <v>-9.8815329999999996E-3</v>
      </c>
      <c r="O5686">
        <v>-0.155143899999999</v>
      </c>
      <c r="P5686">
        <v>0.98240680000000002</v>
      </c>
      <c r="Q5686">
        <v>0.18596380000000001</v>
      </c>
      <c r="R5686">
        <v>1.715999E-2</v>
      </c>
      <c r="S5686">
        <v>3.061798</v>
      </c>
      <c r="T5686">
        <v>-4.8211690000000001E-2</v>
      </c>
      <c r="U5686">
        <v>1.184082E-2</v>
      </c>
      <c r="V5686">
        <v>-0.17096729999999999</v>
      </c>
      <c r="W5686">
        <v>0.1941272</v>
      </c>
      <c r="X5686">
        <v>0.96596309999999996</v>
      </c>
      <c r="Y5686">
        <v>-0.1589362</v>
      </c>
      <c r="Z5686">
        <v>2.9345059999999999E-3</v>
      </c>
      <c r="AA5686">
        <v>0.98728450000000001</v>
      </c>
      <c r="AB5686">
        <v>22</v>
      </c>
      <c r="AC5686">
        <v>70.598699999999994</v>
      </c>
      <c r="AD5686">
        <v>-1.1136072744079999</v>
      </c>
      <c r="AE5686">
        <v>0.28985999999999701</v>
      </c>
      <c r="AF5686">
        <v>-11.2370461428259</v>
      </c>
      <c r="AG5686">
        <v>-1.1136072744079999</v>
      </c>
      <c r="AH5686">
        <v>69.681489202782998</v>
      </c>
      <c r="AI5686">
        <v>90.903912384668899</v>
      </c>
      <c r="AJ5686">
        <v>99.160821382844901</v>
      </c>
      <c r="AK5686">
        <v>70.5905182350659</v>
      </c>
      <c r="AL5686">
        <v>78.806257859065397</v>
      </c>
      <c r="AM5686">
        <v>100.03692428855101</v>
      </c>
      <c r="AN5686">
        <v>0.99999994900536804</v>
      </c>
    </row>
    <row r="5687" spans="1:40" x14ac:dyDescent="0.25">
      <c r="A5687" t="str">
        <f>"20190304155215940"</f>
        <v>20190304155215940</v>
      </c>
      <c r="B5687" t="str">
        <f>"1551685935932561"</f>
        <v>1551685935932561</v>
      </c>
      <c r="C5687" t="s">
        <v>40</v>
      </c>
      <c r="D5687">
        <v>4.8551890000000002</v>
      </c>
      <c r="E5687">
        <v>0.50443800000000005</v>
      </c>
      <c r="F5687" t="s">
        <v>42</v>
      </c>
      <c r="G5687">
        <v>-312.58069999999998</v>
      </c>
      <c r="H5687">
        <v>-0.05</v>
      </c>
      <c r="I5687">
        <v>19.35106</v>
      </c>
      <c r="J5687">
        <v>-395.79039999999998</v>
      </c>
      <c r="K5687">
        <v>1.1135919999999999</v>
      </c>
      <c r="L5687">
        <v>18.858309999999999</v>
      </c>
      <c r="M5687">
        <v>0.98834080000000002</v>
      </c>
      <c r="N5687">
        <v>-9.8566529999999999E-3</v>
      </c>
      <c r="O5687">
        <v>-0.15193860000000001</v>
      </c>
      <c r="P5687">
        <v>0.98214250000000003</v>
      </c>
      <c r="Q5687">
        <v>0.18710070000000001</v>
      </c>
      <c r="R5687">
        <v>1.974246E-2</v>
      </c>
      <c r="S5687">
        <v>3.0615540000000001</v>
      </c>
      <c r="T5687">
        <v>-4.274845E-2</v>
      </c>
      <c r="U5687">
        <v>1.7517089999999999E-2</v>
      </c>
      <c r="V5687">
        <v>-0.1703442</v>
      </c>
      <c r="W5687">
        <v>0.1952478</v>
      </c>
      <c r="X5687">
        <v>0.96584740000000002</v>
      </c>
      <c r="Y5687">
        <v>-0.15757119999999999</v>
      </c>
      <c r="Z5687">
        <v>2.4902869999999999E-3</v>
      </c>
      <c r="AA5687">
        <v>0.98750450000000001</v>
      </c>
      <c r="AB5687">
        <v>22</v>
      </c>
      <c r="AC5687">
        <v>83.209699999999998</v>
      </c>
      <c r="AD5687">
        <v>-1.163592</v>
      </c>
      <c r="AE5687">
        <v>0.49275000000000002</v>
      </c>
      <c r="AF5687">
        <v>-13.1278408798164</v>
      </c>
      <c r="AG5687">
        <v>-1.163592</v>
      </c>
      <c r="AH5687">
        <v>82.152599909264595</v>
      </c>
      <c r="AI5687">
        <v>90.801305984397501</v>
      </c>
      <c r="AJ5687">
        <v>99.079005120724602</v>
      </c>
      <c r="AK5687">
        <v>83.203027735533396</v>
      </c>
      <c r="AL5687">
        <v>78.740800546597796</v>
      </c>
      <c r="AM5687">
        <v>100.002257817084</v>
      </c>
      <c r="AN5687">
        <v>1.00000002498261</v>
      </c>
    </row>
    <row r="5688" spans="1:40" x14ac:dyDescent="0.25">
      <c r="A5688" t="str">
        <f>"20190304155215958"</f>
        <v>20190304155215958</v>
      </c>
      <c r="B5688" t="str">
        <f>"1551685935953057"</f>
        <v>1551685935953057</v>
      </c>
      <c r="C5688" t="s">
        <v>40</v>
      </c>
      <c r="D5688">
        <v>4.9881929999999999</v>
      </c>
      <c r="E5688">
        <v>0.50663749999999996</v>
      </c>
      <c r="F5688" t="s">
        <v>42</v>
      </c>
      <c r="G5688">
        <v>-314.73059999999998</v>
      </c>
      <c r="H5688">
        <v>-0.05</v>
      </c>
      <c r="I5688">
        <v>19.41968</v>
      </c>
      <c r="J5688">
        <v>-395.60860000000002</v>
      </c>
      <c r="K5688">
        <v>1.1135740000000001</v>
      </c>
      <c r="L5688">
        <v>18.83569</v>
      </c>
      <c r="M5688">
        <v>0.98904000000000003</v>
      </c>
      <c r="N5688">
        <v>-9.8221320000000008E-3</v>
      </c>
      <c r="O5688">
        <v>-0.14732139999999999</v>
      </c>
      <c r="P5688">
        <v>0.9816203</v>
      </c>
      <c r="Q5688">
        <v>0.18942120000000001</v>
      </c>
      <c r="R5688">
        <v>2.3269140000000001E-2</v>
      </c>
      <c r="S5688">
        <v>3.0625</v>
      </c>
      <c r="T5688">
        <v>-4.3961409999999999E-2</v>
      </c>
      <c r="U5688">
        <v>2.1209720000000001E-2</v>
      </c>
      <c r="V5688">
        <v>-0.169242</v>
      </c>
      <c r="W5688">
        <v>0.19755010000000001</v>
      </c>
      <c r="X5688">
        <v>0.96557300000000001</v>
      </c>
      <c r="Y5688">
        <v>-0.1541467</v>
      </c>
      <c r="Z5688">
        <v>2.521723E-3</v>
      </c>
      <c r="AA5688">
        <v>0.9880447</v>
      </c>
      <c r="AB5688">
        <v>22</v>
      </c>
      <c r="AC5688">
        <v>80.878</v>
      </c>
      <c r="AD5688">
        <v>-1.1635739999999899</v>
      </c>
      <c r="AE5688">
        <v>0.58399000000000001</v>
      </c>
      <c r="AF5688">
        <v>-12.4906659439887</v>
      </c>
      <c r="AG5688">
        <v>-1.1635739999999899</v>
      </c>
      <c r="AH5688">
        <v>79.892854649863594</v>
      </c>
      <c r="AI5688">
        <v>90.824393997393003</v>
      </c>
      <c r="AJ5688">
        <v>98.885844751623793</v>
      </c>
      <c r="AK5688">
        <v>80.871743299387504</v>
      </c>
      <c r="AL5688">
        <v>78.606268677268304</v>
      </c>
      <c r="AM5688">
        <v>99.941601580416503</v>
      </c>
      <c r="AN5688">
        <v>1.0000000574515</v>
      </c>
    </row>
    <row r="5689" spans="1:40" x14ac:dyDescent="0.25">
      <c r="A5689" t="str">
        <f>"20190304155215972"</f>
        <v>20190304155215972</v>
      </c>
      <c r="B5689" t="str">
        <f>"1551685935962818"</f>
        <v>1551685935962818</v>
      </c>
      <c r="C5689" t="s">
        <v>40</v>
      </c>
      <c r="D5689">
        <v>4.9262639999999998</v>
      </c>
      <c r="E5689">
        <v>0.50765519999999997</v>
      </c>
      <c r="F5689" t="s">
        <v>42</v>
      </c>
      <c r="G5689">
        <v>-289.25689999999997</v>
      </c>
      <c r="H5689">
        <v>-0.05</v>
      </c>
      <c r="I5689">
        <v>19.327470000000002</v>
      </c>
      <c r="J5689">
        <v>-395.48079999999999</v>
      </c>
      <c r="K5689">
        <v>1.1135539999999999</v>
      </c>
      <c r="L5689">
        <v>18.820250000000001</v>
      </c>
      <c r="M5689">
        <v>0.9895138</v>
      </c>
      <c r="N5689">
        <v>-9.7990939999999995E-3</v>
      </c>
      <c r="O5689">
        <v>-0.14410539999999999</v>
      </c>
      <c r="P5689">
        <v>0.98138250000000005</v>
      </c>
      <c r="Q5689">
        <v>0.19034229999999999</v>
      </c>
      <c r="R5689">
        <v>2.5655009999999999E-2</v>
      </c>
      <c r="S5689">
        <v>3.0622859999999998</v>
      </c>
      <c r="T5689">
        <v>-3.3503890000000001E-2</v>
      </c>
      <c r="U5689">
        <v>1.416016E-2</v>
      </c>
      <c r="V5689">
        <v>-0.16841879999999901</v>
      </c>
      <c r="W5689">
        <v>0.19846469999999999</v>
      </c>
      <c r="X5689">
        <v>0.96552930000000003</v>
      </c>
      <c r="Y5689">
        <v>-0.14866960000000001</v>
      </c>
      <c r="Z5689">
        <v>1.6985889999999999E-3</v>
      </c>
      <c r="AA5689">
        <v>0.98888549999999997</v>
      </c>
      <c r="AB5689">
        <v>22</v>
      </c>
      <c r="AC5689">
        <v>106.2239</v>
      </c>
      <c r="AD5689">
        <v>-1.163554</v>
      </c>
      <c r="AE5689">
        <v>0.50722</v>
      </c>
      <c r="AF5689">
        <v>-15.808201560090501</v>
      </c>
      <c r="AG5689">
        <v>-1.163554</v>
      </c>
      <c r="AH5689">
        <v>105.029366075364</v>
      </c>
      <c r="AI5689">
        <v>90.627648816946007</v>
      </c>
      <c r="AJ5689">
        <v>98.559464898178504</v>
      </c>
      <c r="AK5689">
        <v>106.218740496525</v>
      </c>
      <c r="AL5689">
        <v>78.5528065468813</v>
      </c>
      <c r="AM5689">
        <v>99.894642075105196</v>
      </c>
      <c r="AN5689">
        <v>0.99999997924900896</v>
      </c>
    </row>
    <row r="5690" spans="1:40" x14ac:dyDescent="0.25">
      <c r="A5690" t="str">
        <f>"20190304155215985"</f>
        <v>20190304155215985</v>
      </c>
      <c r="B5690" t="str">
        <f>"1551685935982338"</f>
        <v>1551685935982338</v>
      </c>
      <c r="C5690" t="s">
        <v>40</v>
      </c>
      <c r="D5690">
        <v>4.9276390000000001</v>
      </c>
      <c r="E5690">
        <v>0.50933300000000004</v>
      </c>
      <c r="F5690" t="s">
        <v>97</v>
      </c>
      <c r="G5690">
        <v>-279.68</v>
      </c>
      <c r="H5690">
        <v>0.1103649</v>
      </c>
      <c r="I5690">
        <v>19.305029999999999</v>
      </c>
      <c r="J5690">
        <v>-395.34739999999999</v>
      </c>
      <c r="K5690">
        <v>1.113526</v>
      </c>
      <c r="L5690">
        <v>18.80453</v>
      </c>
      <c r="M5690">
        <v>0.98999199999999998</v>
      </c>
      <c r="N5690">
        <v>-9.7761770000000005E-3</v>
      </c>
      <c r="O5690">
        <v>-0.14078479999999999</v>
      </c>
      <c r="P5690">
        <v>0.98115799999999997</v>
      </c>
      <c r="Q5690">
        <v>0.19111729999999999</v>
      </c>
      <c r="R5690">
        <v>2.834387E-2</v>
      </c>
      <c r="S5690">
        <v>3.0617369999999999</v>
      </c>
      <c r="T5690">
        <v>-2.6523950000000001E-2</v>
      </c>
      <c r="U5690">
        <v>1.281738E-2</v>
      </c>
      <c r="V5690">
        <v>-0.16779439999999901</v>
      </c>
      <c r="W5690">
        <v>0.19923440000000001</v>
      </c>
      <c r="X5690">
        <v>0.96547950000000005</v>
      </c>
      <c r="Y5690">
        <v>-0.1449233</v>
      </c>
      <c r="Z5690">
        <v>1.1730930000000001E-3</v>
      </c>
      <c r="AA5690">
        <v>0.98944219999999905</v>
      </c>
      <c r="AB5690">
        <v>22</v>
      </c>
      <c r="AC5690">
        <v>115.6674</v>
      </c>
      <c r="AD5690">
        <v>-1.00316109999999</v>
      </c>
      <c r="AE5690">
        <v>0.50049999999999795</v>
      </c>
      <c r="AF5690">
        <v>-16.779241821593502</v>
      </c>
      <c r="AG5690">
        <v>-1.00316109999999</v>
      </c>
      <c r="AH5690">
        <v>114.436194141416</v>
      </c>
      <c r="AI5690">
        <v>90.496935532114705</v>
      </c>
      <c r="AJ5690">
        <v>98.341571602656202</v>
      </c>
      <c r="AK5690">
        <v>115.664133671039</v>
      </c>
      <c r="AL5690">
        <v>78.507807427585007</v>
      </c>
      <c r="AM5690">
        <v>99.859178053705307</v>
      </c>
      <c r="AN5690">
        <v>0.99999998586748495</v>
      </c>
    </row>
    <row r="5691" spans="1:40" x14ac:dyDescent="0.25">
      <c r="A5691" t="str">
        <f>"20190304155216004"</f>
        <v>20190304155216004</v>
      </c>
      <c r="B5691" t="str">
        <f>"1551685936002833"</f>
        <v>1551685936002833</v>
      </c>
      <c r="C5691" t="s">
        <v>40</v>
      </c>
      <c r="D5691">
        <v>4.9366089999999998</v>
      </c>
      <c r="E5691">
        <v>0.5108703</v>
      </c>
      <c r="F5691" t="s">
        <v>97</v>
      </c>
      <c r="G5691">
        <v>-279.68</v>
      </c>
      <c r="H5691">
        <v>0.34632180000000001</v>
      </c>
      <c r="I5691">
        <v>19.082419999999999</v>
      </c>
      <c r="J5691">
        <v>-395.15690000000001</v>
      </c>
      <c r="K5691">
        <v>1.1134790000000001</v>
      </c>
      <c r="L5691">
        <v>18.782810000000001</v>
      </c>
      <c r="M5691">
        <v>0.99064589999999997</v>
      </c>
      <c r="N5691">
        <v>-9.7460570000000007E-3</v>
      </c>
      <c r="O5691">
        <v>-0.1361097</v>
      </c>
      <c r="P5691">
        <v>0.9806665</v>
      </c>
      <c r="Q5691">
        <v>0.19310910000000001</v>
      </c>
      <c r="R5691">
        <v>3.1655799999999998E-2</v>
      </c>
      <c r="S5691">
        <v>3.0613709999999998</v>
      </c>
      <c r="T5691">
        <v>-2.0305509999999999E-2</v>
      </c>
      <c r="U5691">
        <v>7.3547359999999997E-3</v>
      </c>
      <c r="V5691">
        <v>-0.16642950000000001</v>
      </c>
      <c r="W5691">
        <v>0.2012274</v>
      </c>
      <c r="X5691">
        <v>0.9653024</v>
      </c>
      <c r="Y5691">
        <v>-0.13848769999999999</v>
      </c>
      <c r="Z5691">
        <v>7.0525609999999995E-4</v>
      </c>
      <c r="AA5691">
        <v>0.99036389999999996</v>
      </c>
      <c r="AB5691">
        <v>22</v>
      </c>
      <c r="AC5691">
        <v>115.4769</v>
      </c>
      <c r="AD5691">
        <v>-0.76715719999999998</v>
      </c>
      <c r="AE5691">
        <v>0.29961000000000099</v>
      </c>
      <c r="AF5691">
        <v>-16.014386388224501</v>
      </c>
      <c r="AG5691">
        <v>-0.76715719999999998</v>
      </c>
      <c r="AH5691">
        <v>114.35631441223499</v>
      </c>
      <c r="AI5691">
        <v>90.380647688347693</v>
      </c>
      <c r="AJ5691">
        <v>97.971822834510604</v>
      </c>
      <c r="AK5691">
        <v>115.474740733681</v>
      </c>
      <c r="AL5691">
        <v>78.391256594472495</v>
      </c>
      <c r="AM5691">
        <v>99.782294729689298</v>
      </c>
      <c r="AN5691">
        <v>0.99999998421338498</v>
      </c>
    </row>
    <row r="5692" spans="1:40" x14ac:dyDescent="0.25">
      <c r="A5692" t="str">
        <f>"20190304155216018"</f>
        <v>20190304155216018</v>
      </c>
      <c r="B5692" t="str">
        <f>"1551685936012593"</f>
        <v>1551685936012593</v>
      </c>
      <c r="C5692" t="s">
        <v>40</v>
      </c>
      <c r="D5692">
        <v>4.9186189999999996</v>
      </c>
      <c r="E5692">
        <v>0.5108703</v>
      </c>
      <c r="F5692" t="s">
        <v>97</v>
      </c>
      <c r="G5692">
        <v>-279.68</v>
      </c>
      <c r="H5692">
        <v>0.74541069999999998</v>
      </c>
      <c r="I5692">
        <v>18.955500000000001</v>
      </c>
      <c r="J5692">
        <v>-395.02870000000001</v>
      </c>
      <c r="K5692">
        <v>1.11344</v>
      </c>
      <c r="L5692">
        <v>18.768709999999999</v>
      </c>
      <c r="M5692">
        <v>0.99106479999999997</v>
      </c>
      <c r="N5692">
        <v>-9.7272699999999997E-3</v>
      </c>
      <c r="O5692">
        <v>-0.13302710000000001</v>
      </c>
      <c r="P5692">
        <v>0.98042859999999998</v>
      </c>
      <c r="Q5692">
        <v>0.19394459999999999</v>
      </c>
      <c r="R5692">
        <v>3.38433E-2</v>
      </c>
      <c r="S5692">
        <v>3.0609440000000001</v>
      </c>
      <c r="T5692">
        <v>-9.7563270000000004E-3</v>
      </c>
      <c r="U5692">
        <v>4.5776369999999999E-3</v>
      </c>
      <c r="V5692">
        <v>-0.165541299999999</v>
      </c>
      <c r="W5692">
        <v>0.2020681</v>
      </c>
      <c r="X5692">
        <v>0.96527949999999996</v>
      </c>
      <c r="Y5692">
        <v>-0.13450989999999999</v>
      </c>
      <c r="Z5692" s="1">
        <v>-5.2208489999999898E-6</v>
      </c>
      <c r="AA5692">
        <v>0.99091229999999997</v>
      </c>
      <c r="AB5692">
        <v>22</v>
      </c>
      <c r="AC5692">
        <v>115.34869999999999</v>
      </c>
      <c r="AD5692">
        <v>-0.368029299999999</v>
      </c>
      <c r="AE5692">
        <v>0.18678999999999801</v>
      </c>
      <c r="AF5692">
        <v>-15.530198633931599</v>
      </c>
      <c r="AG5692">
        <v>-0.368029299999999</v>
      </c>
      <c r="AH5692">
        <v>114.297416968143</v>
      </c>
      <c r="AI5692">
        <v>90.182807791347301</v>
      </c>
      <c r="AJ5692">
        <v>97.737696781132797</v>
      </c>
      <c r="AK5692">
        <v>115.348264142833</v>
      </c>
      <c r="AL5692">
        <v>78.3420777086518</v>
      </c>
      <c r="AM5692">
        <v>99.731315838261096</v>
      </c>
      <c r="AN5692">
        <v>0.99999997608177404</v>
      </c>
    </row>
    <row r="5693" spans="1:40" x14ac:dyDescent="0.25">
      <c r="A5693" t="str">
        <f>"20190304155216033"</f>
        <v>20190304155216033</v>
      </c>
      <c r="B5693" t="str">
        <f>"1551685936022353"</f>
        <v>1551685936022353</v>
      </c>
      <c r="C5693" t="s">
        <v>40</v>
      </c>
      <c r="D5693">
        <v>4.9274760000000004</v>
      </c>
      <c r="E5693">
        <v>0.52235569999999998</v>
      </c>
      <c r="F5693" t="s">
        <v>97</v>
      </c>
      <c r="G5693">
        <v>-279.68</v>
      </c>
      <c r="H5693">
        <v>0.84695239999999905</v>
      </c>
      <c r="I5693">
        <v>19.181570000000001</v>
      </c>
      <c r="J5693">
        <v>-394.88130000000001</v>
      </c>
      <c r="K5693">
        <v>1.1133879999999901</v>
      </c>
      <c r="L5693">
        <v>18.752839999999999</v>
      </c>
      <c r="M5693">
        <v>0.99152770000000001</v>
      </c>
      <c r="N5693">
        <v>-9.7065899999999993E-3</v>
      </c>
      <c r="O5693">
        <v>-0.12953219999999999</v>
      </c>
      <c r="P5693">
        <v>0.98019520000000004</v>
      </c>
      <c r="Q5693">
        <v>0.19464960000000001</v>
      </c>
      <c r="R5693">
        <v>3.6454050000000002E-2</v>
      </c>
      <c r="S5693">
        <v>3.0609130000000002</v>
      </c>
      <c r="T5693">
        <v>-7.0714949999999997E-3</v>
      </c>
      <c r="U5693">
        <v>1.095581E-2</v>
      </c>
      <c r="V5693">
        <v>-0.1646677</v>
      </c>
      <c r="W5693">
        <v>0.20278160000000001</v>
      </c>
      <c r="X5693">
        <v>0.96527929999999995</v>
      </c>
      <c r="Y5693">
        <v>-0.13308120000000001</v>
      </c>
      <c r="Z5693">
        <v>-1.61669E-4</v>
      </c>
      <c r="AA5693">
        <v>0.99110509999999996</v>
      </c>
      <c r="AB5693">
        <v>22</v>
      </c>
      <c r="AC5693">
        <v>115.2013</v>
      </c>
      <c r="AD5693">
        <v>-0.266435599999999</v>
      </c>
      <c r="AE5693">
        <v>0.428730000000001</v>
      </c>
      <c r="AF5693">
        <v>-15.348016545116099</v>
      </c>
      <c r="AG5693">
        <v>-0.266435599999999</v>
      </c>
      <c r="AH5693">
        <v>114.174514426447</v>
      </c>
      <c r="AI5693">
        <v>90.132512255619005</v>
      </c>
      <c r="AJ5693">
        <v>97.656142871281205</v>
      </c>
      <c r="AK5693">
        <v>115.201789674957</v>
      </c>
      <c r="AL5693">
        <v>78.300332980928403</v>
      </c>
      <c r="AM5693">
        <v>99.680937728145494</v>
      </c>
      <c r="AN5693">
        <v>0.99999997786516903</v>
      </c>
    </row>
    <row r="5694" spans="1:40" x14ac:dyDescent="0.25">
      <c r="A5694" t="str">
        <f>"20190304155216050"</f>
        <v>20190304155216050</v>
      </c>
      <c r="B5694" t="str">
        <f>"1551685936042851"</f>
        <v>1551685936042851</v>
      </c>
      <c r="C5694" t="s">
        <v>40</v>
      </c>
      <c r="D5694">
        <v>4.8812579999999999</v>
      </c>
      <c r="E5694">
        <v>0.52279759999999997</v>
      </c>
      <c r="F5694" t="s">
        <v>98</v>
      </c>
      <c r="G5694">
        <v>-276.60469999999998</v>
      </c>
      <c r="H5694">
        <v>1.953284</v>
      </c>
      <c r="I5694">
        <v>15.937390000000001</v>
      </c>
      <c r="J5694">
        <v>-394.71719999999999</v>
      </c>
      <c r="K5694">
        <v>1.1133200000000001</v>
      </c>
      <c r="L5694">
        <v>18.735720000000001</v>
      </c>
      <c r="M5694">
        <v>0.99201839999999997</v>
      </c>
      <c r="N5694">
        <v>-9.6847280000000001E-3</v>
      </c>
      <c r="O5694">
        <v>-0.12572120000000001</v>
      </c>
      <c r="P5694">
        <v>0.97980060000000002</v>
      </c>
      <c r="Q5694">
        <v>0.19628470000000001</v>
      </c>
      <c r="R5694">
        <v>3.8248949999999997E-2</v>
      </c>
      <c r="S5694">
        <v>3.059021</v>
      </c>
      <c r="T5694">
        <v>2.1722439999999999E-2</v>
      </c>
      <c r="U5694">
        <v>-7.2814939999999995E-2</v>
      </c>
      <c r="V5694">
        <v>-0.1626599</v>
      </c>
      <c r="W5694">
        <v>0.20443710000000001</v>
      </c>
      <c r="X5694">
        <v>0.96527059999999998</v>
      </c>
      <c r="Y5694">
        <v>-0.1020669</v>
      </c>
      <c r="Z5694">
        <v>-1.9788000000000002E-3</v>
      </c>
      <c r="AA5694">
        <v>0.99477559999999998</v>
      </c>
      <c r="AB5694">
        <v>22</v>
      </c>
      <c r="AC5694">
        <v>118.1125</v>
      </c>
      <c r="AD5694">
        <v>0.83996399999999904</v>
      </c>
      <c r="AE5694">
        <v>-2.79833</v>
      </c>
      <c r="AF5694">
        <v>-12.0732056488579</v>
      </c>
      <c r="AG5694">
        <v>0.83996399999999904</v>
      </c>
      <c r="AH5694">
        <v>117.52114720481499</v>
      </c>
      <c r="AI5694">
        <v>89.592638272967307</v>
      </c>
      <c r="AJ5694">
        <v>95.865544266999706</v>
      </c>
      <c r="AK5694">
        <v>118.142658995372</v>
      </c>
      <c r="AL5694">
        <v>78.203451201631793</v>
      </c>
      <c r="AM5694">
        <v>99.565176307970106</v>
      </c>
      <c r="AN5694">
        <v>1.0000000510743801</v>
      </c>
    </row>
    <row r="5695" spans="1:40" x14ac:dyDescent="0.25">
      <c r="A5695" t="str">
        <f>"20190304155216073"</f>
        <v>20190304155216073</v>
      </c>
      <c r="B5695" t="str">
        <f>"1551685936062369"</f>
        <v>1551685936062369</v>
      </c>
      <c r="C5695" t="s">
        <v>40</v>
      </c>
      <c r="D5695">
        <v>4.8890169999999999</v>
      </c>
      <c r="E5695">
        <v>0.52338309999999999</v>
      </c>
      <c r="F5695" t="s">
        <v>98</v>
      </c>
      <c r="G5695">
        <v>-276.5772</v>
      </c>
      <c r="H5695">
        <v>2.2927559999999998</v>
      </c>
      <c r="I5695">
        <v>15.98199</v>
      </c>
      <c r="J5695">
        <v>-394.49250000000001</v>
      </c>
      <c r="K5695">
        <v>1.1132230000000001</v>
      </c>
      <c r="L5695">
        <v>18.713200000000001</v>
      </c>
      <c r="M5695">
        <v>0.99264620000000003</v>
      </c>
      <c r="N5695">
        <v>-9.657143E-3</v>
      </c>
      <c r="O5695">
        <v>-0.1206666</v>
      </c>
      <c r="P5695">
        <v>0.97945090000000001</v>
      </c>
      <c r="Q5695">
        <v>0.1974043</v>
      </c>
      <c r="R5695">
        <v>4.131982E-2</v>
      </c>
      <c r="S5695">
        <v>3.0585019999999998</v>
      </c>
      <c r="T5695">
        <v>3.0534149999999999E-2</v>
      </c>
      <c r="U5695">
        <v>-7.1289060000000001E-2</v>
      </c>
      <c r="V5695">
        <v>-0.16069810000000001</v>
      </c>
      <c r="W5695">
        <v>0.2055824</v>
      </c>
      <c r="X5695">
        <v>0.96535590000000004</v>
      </c>
      <c r="Y5695">
        <v>-9.7484210000000002E-2</v>
      </c>
      <c r="Z5695">
        <v>-2.3852349999999999E-3</v>
      </c>
      <c r="AA5695">
        <v>0.99523419999999896</v>
      </c>
      <c r="AB5695">
        <v>22</v>
      </c>
      <c r="AC5695">
        <v>117.9153</v>
      </c>
      <c r="AD5695">
        <v>1.1795329999999999</v>
      </c>
      <c r="AE5695">
        <v>-2.7312099999999999</v>
      </c>
      <c r="AF5695">
        <v>-11.516697446467701</v>
      </c>
      <c r="AG5695">
        <v>1.1795329999999999</v>
      </c>
      <c r="AH5695">
        <v>117.371465796688</v>
      </c>
      <c r="AI5695">
        <v>89.426973045379398</v>
      </c>
      <c r="AJ5695">
        <v>95.604024995282003</v>
      </c>
      <c r="AK5695">
        <v>117.94103018642301</v>
      </c>
      <c r="AL5695">
        <v>78.136405789157706</v>
      </c>
      <c r="AM5695">
        <v>99.451086993304997</v>
      </c>
      <c r="AN5695">
        <v>1.0000000080990901</v>
      </c>
    </row>
    <row r="5696" spans="1:40" x14ac:dyDescent="0.25">
      <c r="A5696" t="str">
        <f>"20190304155216093"</f>
        <v>20190304155216093</v>
      </c>
      <c r="B5696" t="str">
        <f>"1551685936082865"</f>
        <v>1551685936082865</v>
      </c>
      <c r="C5696" t="s">
        <v>40</v>
      </c>
      <c r="D5696">
        <v>4.9154900000000001</v>
      </c>
      <c r="E5696">
        <v>0.5239798</v>
      </c>
      <c r="F5696" t="s">
        <v>98</v>
      </c>
      <c r="G5696">
        <v>-276.30259999999998</v>
      </c>
      <c r="H5696">
        <v>2.4504410000000001</v>
      </c>
      <c r="I5696">
        <v>16.13186</v>
      </c>
      <c r="J5696">
        <v>-394.2835</v>
      </c>
      <c r="K5696">
        <v>1.1131340000000001</v>
      </c>
      <c r="L5696">
        <v>18.693079999999998</v>
      </c>
      <c r="M5696">
        <v>0.99319000000000002</v>
      </c>
      <c r="N5696">
        <v>-9.6337309999999995E-3</v>
      </c>
      <c r="O5696">
        <v>-0.116107</v>
      </c>
      <c r="P5696">
        <v>0.97919330000000004</v>
      </c>
      <c r="Q5696">
        <v>0.19812579999999999</v>
      </c>
      <c r="R5696">
        <v>4.3891810000000003E-2</v>
      </c>
      <c r="S5696">
        <v>3.0587460000000002</v>
      </c>
      <c r="T5696">
        <v>3.460705E-2</v>
      </c>
      <c r="U5696">
        <v>-6.6802979999999998E-2</v>
      </c>
      <c r="V5696">
        <v>-0.15873979999999999</v>
      </c>
      <c r="W5696">
        <v>0.20633080000000001</v>
      </c>
      <c r="X5696">
        <v>0.96552020000000005</v>
      </c>
      <c r="Y5696">
        <v>-9.4371250000000004E-2</v>
      </c>
      <c r="Z5696">
        <v>-2.510572E-3</v>
      </c>
      <c r="AA5696">
        <v>0.99553389999999997</v>
      </c>
      <c r="AB5696">
        <v>22</v>
      </c>
      <c r="AC5696">
        <v>117.98090000000001</v>
      </c>
      <c r="AD5696">
        <v>1.337307</v>
      </c>
      <c r="AE5696">
        <v>-2.5612199999999898</v>
      </c>
      <c r="AF5696">
        <v>-11.1537154457369</v>
      </c>
      <c r="AG5696">
        <v>1.337307</v>
      </c>
      <c r="AH5696">
        <v>117.465191241103</v>
      </c>
      <c r="AI5696">
        <v>89.3506528949261</v>
      </c>
      <c r="AJ5696">
        <v>95.424164526362105</v>
      </c>
      <c r="AK5696">
        <v>118.001122501295</v>
      </c>
      <c r="AL5696">
        <v>78.092585963753805</v>
      </c>
      <c r="AM5696">
        <v>99.336393896987801</v>
      </c>
      <c r="AN5696">
        <v>0.99999998987035998</v>
      </c>
    </row>
    <row r="5697" spans="1:40" x14ac:dyDescent="0.25">
      <c r="A5697" t="str">
        <f>"20190304155216107"</f>
        <v>20190304155216107</v>
      </c>
      <c r="B5697" t="str">
        <f>"1551685936102386"</f>
        <v>1551685936102386</v>
      </c>
      <c r="C5697" t="s">
        <v>40</v>
      </c>
      <c r="D5697">
        <v>4.8865540000000003</v>
      </c>
      <c r="E5697">
        <v>0.52420749999999905</v>
      </c>
      <c r="F5697" t="s">
        <v>98</v>
      </c>
      <c r="G5697">
        <v>-276.4076</v>
      </c>
      <c r="H5697">
        <v>2.4984660000000001</v>
      </c>
      <c r="I5697">
        <v>16.23903</v>
      </c>
      <c r="J5697">
        <v>-394.15140000000002</v>
      </c>
      <c r="K5697">
        <v>1.1130799999999901</v>
      </c>
      <c r="L5697">
        <v>18.680759999999999</v>
      </c>
      <c r="M5697">
        <v>0.99351560000000005</v>
      </c>
      <c r="N5697">
        <v>-9.6198280000000004E-3</v>
      </c>
      <c r="O5697">
        <v>-0.1132876</v>
      </c>
      <c r="P5697">
        <v>0.97901000000000005</v>
      </c>
      <c r="Q5697">
        <v>0.19859969999999999</v>
      </c>
      <c r="R5697">
        <v>4.5798470000000001E-2</v>
      </c>
      <c r="S5697">
        <v>3.059326</v>
      </c>
      <c r="T5697">
        <v>3.5954590000000002E-2</v>
      </c>
      <c r="U5697">
        <v>-6.3690189999999994E-2</v>
      </c>
      <c r="V5697">
        <v>-0.15784289999999901</v>
      </c>
      <c r="W5697">
        <v>0.20681840000000001</v>
      </c>
      <c r="X5697">
        <v>0.9655629</v>
      </c>
      <c r="Y5697">
        <v>-9.2561389999999993E-2</v>
      </c>
      <c r="Z5697">
        <v>-2.518962E-3</v>
      </c>
      <c r="AA5697">
        <v>0.99570380000000003</v>
      </c>
      <c r="AB5697">
        <v>22</v>
      </c>
      <c r="AC5697">
        <v>117.74379999999999</v>
      </c>
      <c r="AD5697">
        <v>1.385386</v>
      </c>
      <c r="AE5697">
        <v>-2.4417300000000002</v>
      </c>
      <c r="AF5697">
        <v>-10.9120113498191</v>
      </c>
      <c r="AG5697">
        <v>1.385386</v>
      </c>
      <c r="AH5697">
        <v>117.246128720888</v>
      </c>
      <c r="AI5697">
        <v>89.325934542846994</v>
      </c>
      <c r="AJ5697">
        <v>95.317159333203193</v>
      </c>
      <c r="AK5697">
        <v>117.760969706022</v>
      </c>
      <c r="AL5697">
        <v>78.064032463613003</v>
      </c>
      <c r="AM5697">
        <v>99.284159818300097</v>
      </c>
      <c r="AN5697">
        <v>0.99999997275768904</v>
      </c>
    </row>
    <row r="5698" spans="1:40" x14ac:dyDescent="0.25">
      <c r="A5698" t="str">
        <f>"20190304155216126"</f>
        <v>20190304155216126</v>
      </c>
      <c r="B5698" t="str">
        <f>"1551685936122882"</f>
        <v>1551685936122882</v>
      </c>
      <c r="C5698" t="s">
        <v>40</v>
      </c>
      <c r="D5698">
        <v>4.8996459999999997</v>
      </c>
      <c r="E5698">
        <v>0.52393780000000001</v>
      </c>
      <c r="F5698" t="s">
        <v>98</v>
      </c>
      <c r="G5698">
        <v>-276.5317</v>
      </c>
      <c r="H5698">
        <v>2.506472</v>
      </c>
      <c r="I5698">
        <v>16.384840000000001</v>
      </c>
      <c r="J5698">
        <v>-393.95330000000001</v>
      </c>
      <c r="K5698">
        <v>1.112994</v>
      </c>
      <c r="L5698">
        <v>18.662870000000002</v>
      </c>
      <c r="M5698">
        <v>0.99397310000000005</v>
      </c>
      <c r="N5698">
        <v>-9.6004309999999995E-3</v>
      </c>
      <c r="O5698">
        <v>-0.1092031</v>
      </c>
      <c r="P5698">
        <v>0.97868500000000003</v>
      </c>
      <c r="Q5698">
        <v>0.19959250000000001</v>
      </c>
      <c r="R5698">
        <v>4.8359989999999999E-2</v>
      </c>
      <c r="S5698">
        <v>3.0596920000000001</v>
      </c>
      <c r="T5698">
        <v>3.6246899999999999E-2</v>
      </c>
      <c r="U5698">
        <v>-5.9722900000000002E-2</v>
      </c>
      <c r="V5698">
        <v>-0.15633949999999999</v>
      </c>
      <c r="W5698">
        <v>0.2078353</v>
      </c>
      <c r="X5698">
        <v>0.96558920000000004</v>
      </c>
      <c r="Y5698">
        <v>-8.9762229999999998E-2</v>
      </c>
      <c r="Z5698">
        <v>-2.4420230000000002E-3</v>
      </c>
      <c r="AA5698">
        <v>0.99596019999999996</v>
      </c>
      <c r="AB5698">
        <v>22</v>
      </c>
      <c r="AC5698">
        <v>117.4216</v>
      </c>
      <c r="AD5698">
        <v>1.393478</v>
      </c>
      <c r="AE5698">
        <v>-2.2780300000000002</v>
      </c>
      <c r="AF5698">
        <v>-10.5575024676453</v>
      </c>
      <c r="AG5698">
        <v>1.393478</v>
      </c>
      <c r="AH5698">
        <v>116.95160523460601</v>
      </c>
      <c r="AI5698">
        <v>89.3201176099234</v>
      </c>
      <c r="AJ5698">
        <v>95.158246331725607</v>
      </c>
      <c r="AK5698">
        <v>117.435431647531</v>
      </c>
      <c r="AL5698">
        <v>78.004474947011701</v>
      </c>
      <c r="AM5698">
        <v>99.197003428679494</v>
      </c>
      <c r="AN5698">
        <v>1.00000002717148</v>
      </c>
    </row>
    <row r="5699" spans="1:40" x14ac:dyDescent="0.25">
      <c r="A5699" t="str">
        <f>"20190304155216140"</f>
        <v>20190304155216140</v>
      </c>
      <c r="B5699" t="str">
        <f>"1551685936132642"</f>
        <v>1551685936132642</v>
      </c>
      <c r="C5699" t="s">
        <v>40</v>
      </c>
      <c r="D5699">
        <v>4.8183669999999896</v>
      </c>
      <c r="E5699">
        <v>0.52393780000000001</v>
      </c>
      <c r="F5699" t="s">
        <v>98</v>
      </c>
      <c r="G5699">
        <v>-276.32150000000001</v>
      </c>
      <c r="H5699">
        <v>2.4584229999999998</v>
      </c>
      <c r="I5699">
        <v>16.739279999999901</v>
      </c>
      <c r="J5699">
        <v>-393.81549999999999</v>
      </c>
      <c r="K5699">
        <v>1.1129150000000001</v>
      </c>
      <c r="L5699">
        <v>18.65091</v>
      </c>
      <c r="M5699">
        <v>0.99426800000000004</v>
      </c>
      <c r="N5699">
        <v>-9.5870439999999994E-3</v>
      </c>
      <c r="O5699">
        <v>-0.106485999999999</v>
      </c>
      <c r="P5699">
        <v>0.97857570000000005</v>
      </c>
      <c r="Q5699">
        <v>0.19963549999999999</v>
      </c>
      <c r="R5699">
        <v>5.0353519999999999E-2</v>
      </c>
      <c r="S5699">
        <v>3.0606990000000001</v>
      </c>
      <c r="T5699">
        <v>3.5007120000000003E-2</v>
      </c>
      <c r="U5699">
        <v>-5.0048830000000002E-2</v>
      </c>
      <c r="V5699">
        <v>-0.1556283</v>
      </c>
      <c r="W5699">
        <v>0.20789830000000001</v>
      </c>
      <c r="X5699">
        <v>0.96569050000000001</v>
      </c>
      <c r="Y5699">
        <v>-9.0195289999999997E-2</v>
      </c>
      <c r="Z5699">
        <v>-2.321647E-3</v>
      </c>
      <c r="AA5699">
        <v>0.99592139999999996</v>
      </c>
      <c r="AB5699">
        <v>23</v>
      </c>
      <c r="AC5699">
        <v>117.49399999999901</v>
      </c>
      <c r="AD5699">
        <v>1.3455079999999999</v>
      </c>
      <c r="AE5699">
        <v>-1.9116299999999999</v>
      </c>
      <c r="AF5699">
        <v>-10.609889987273601</v>
      </c>
      <c r="AG5699">
        <v>1.3455079999999999</v>
      </c>
      <c r="AH5699">
        <v>117.014121062801</v>
      </c>
      <c r="AI5699">
        <v>89.343894459864501</v>
      </c>
      <c r="AJ5699">
        <v>95.1809486659633</v>
      </c>
      <c r="AK5699">
        <v>117.501849710632</v>
      </c>
      <c r="AL5699">
        <v>78.000784454031702</v>
      </c>
      <c r="AM5699">
        <v>99.154931595920402</v>
      </c>
      <c r="AN5699">
        <v>1.00000000634701</v>
      </c>
    </row>
    <row r="5700" spans="1:40" x14ac:dyDescent="0.25">
      <c r="A5700" t="str">
        <f>"20190304155216154"</f>
        <v>20190304155216154</v>
      </c>
      <c r="B5700" t="str">
        <f>"1551685936142402"</f>
        <v>1551685936142402</v>
      </c>
      <c r="C5700" t="s">
        <v>40</v>
      </c>
      <c r="D5700">
        <v>4.8855659999999999</v>
      </c>
      <c r="E5700">
        <v>0.52427849999999998</v>
      </c>
      <c r="F5700" t="s">
        <v>98</v>
      </c>
      <c r="G5700">
        <v>-276.3929</v>
      </c>
      <c r="H5700">
        <v>2.4643120000000001</v>
      </c>
      <c r="I5700">
        <v>16.960249999999998</v>
      </c>
      <c r="J5700">
        <v>-393.68259999999998</v>
      </c>
      <c r="K5700">
        <v>1.1128370000000001</v>
      </c>
      <c r="L5700">
        <v>18.639589999999998</v>
      </c>
      <c r="M5700">
        <v>0.99453780000000003</v>
      </c>
      <c r="N5700">
        <v>-9.5742220000000003E-3</v>
      </c>
      <c r="O5700">
        <v>-0.10393769999999999</v>
      </c>
      <c r="P5700">
        <v>0.97853009999999996</v>
      </c>
      <c r="Q5700">
        <v>0.19944700000000001</v>
      </c>
      <c r="R5700">
        <v>5.1960550000000001E-2</v>
      </c>
      <c r="S5700">
        <v>3.0607600000000001</v>
      </c>
      <c r="T5700">
        <v>3.522575E-2</v>
      </c>
      <c r="U5700">
        <v>-4.4067380000000003E-2</v>
      </c>
      <c r="V5700">
        <v>-0.15470030000000001</v>
      </c>
      <c r="W5700">
        <v>0.20773449999999999</v>
      </c>
      <c r="X5700">
        <v>0.96587489999999998</v>
      </c>
      <c r="Y5700">
        <v>-8.9589530000000001E-2</v>
      </c>
      <c r="Z5700">
        <v>-2.2774029999999999E-3</v>
      </c>
      <c r="AA5700">
        <v>0.99597619999999998</v>
      </c>
      <c r="AB5700">
        <v>23</v>
      </c>
      <c r="AC5700">
        <v>117.289699999999</v>
      </c>
      <c r="AD5700">
        <v>1.351475</v>
      </c>
      <c r="AE5700">
        <v>-1.6793399999999901</v>
      </c>
      <c r="AF5700">
        <v>-10.5197395872516</v>
      </c>
      <c r="AG5700">
        <v>1.351475</v>
      </c>
      <c r="AH5700">
        <v>116.813427078456</v>
      </c>
      <c r="AI5700">
        <v>89.339816467486799</v>
      </c>
      <c r="AJ5700">
        <v>95.145942264183404</v>
      </c>
      <c r="AK5700">
        <v>117.293939108008</v>
      </c>
      <c r="AL5700">
        <v>78.010379671656395</v>
      </c>
      <c r="AM5700">
        <v>99.099549261057703</v>
      </c>
      <c r="AN5700">
        <v>1.00000006388017</v>
      </c>
    </row>
    <row r="5701" spans="1:40" x14ac:dyDescent="0.25">
      <c r="A5701" t="str">
        <f>"20190304155216172"</f>
        <v>20190304155216172</v>
      </c>
      <c r="B5701" t="str">
        <f>"1551685936162901"</f>
        <v>1551685936162901</v>
      </c>
      <c r="C5701" t="s">
        <v>40</v>
      </c>
      <c r="D5701">
        <v>4.7822740000000001</v>
      </c>
      <c r="E5701">
        <v>0.52464129999999998</v>
      </c>
      <c r="F5701" t="s">
        <v>98</v>
      </c>
      <c r="G5701">
        <v>-276.3279</v>
      </c>
      <c r="H5701">
        <v>2.4322900000000001</v>
      </c>
      <c r="I5701">
        <v>17.036619999999999</v>
      </c>
      <c r="J5701">
        <v>-393.49860000000001</v>
      </c>
      <c r="K5701">
        <v>1.1127039999999999</v>
      </c>
      <c r="L5701">
        <v>18.624269999999999</v>
      </c>
      <c r="M5701">
        <v>0.99488600000000005</v>
      </c>
      <c r="N5701">
        <v>-9.5565839999999999E-3</v>
      </c>
      <c r="O5701">
        <v>-0.100550399999999</v>
      </c>
      <c r="P5701">
        <v>0.97854799999999997</v>
      </c>
      <c r="Q5701">
        <v>0.19880700000000001</v>
      </c>
      <c r="R5701">
        <v>5.4030750000000002E-2</v>
      </c>
      <c r="S5701">
        <v>3.0610050000000002</v>
      </c>
      <c r="T5701">
        <v>3.4415719999999997E-2</v>
      </c>
      <c r="U5701">
        <v>-4.1809079999999998E-2</v>
      </c>
      <c r="V5701">
        <v>-0.1533997</v>
      </c>
      <c r="W5701">
        <v>0.20713419999999999</v>
      </c>
      <c r="X5701">
        <v>0.96621109999999999</v>
      </c>
      <c r="Y5701">
        <v>-8.693497E-2</v>
      </c>
      <c r="Z5701">
        <v>-2.1642699999999998E-3</v>
      </c>
      <c r="AA5701">
        <v>0.99621159999999997</v>
      </c>
      <c r="AB5701">
        <v>23</v>
      </c>
      <c r="AC5701">
        <v>117.1707</v>
      </c>
      <c r="AD5701">
        <v>1.3195859999999999</v>
      </c>
      <c r="AE5701">
        <v>-1.58765</v>
      </c>
      <c r="AF5701">
        <v>-10.2012029601349</v>
      </c>
      <c r="AG5701">
        <v>1.3195859999999999</v>
      </c>
      <c r="AH5701">
        <v>116.721664985964</v>
      </c>
      <c r="AI5701">
        <v>89.354734937353996</v>
      </c>
      <c r="AJ5701">
        <v>94.994826699783303</v>
      </c>
      <c r="AK5701">
        <v>117.1740283772</v>
      </c>
      <c r="AL5701">
        <v>78.045537908778201</v>
      </c>
      <c r="AM5701">
        <v>99.021223039185102</v>
      </c>
      <c r="AN5701">
        <v>0.999999967266469</v>
      </c>
    </row>
    <row r="5702" spans="1:40" x14ac:dyDescent="0.25">
      <c r="A5702" t="str">
        <f>"20190304155216185"</f>
        <v>20190304155216185</v>
      </c>
      <c r="B5702" t="str">
        <f>"1551685936182418"</f>
        <v>1551685936182418</v>
      </c>
      <c r="C5702" t="s">
        <v>40</v>
      </c>
      <c r="D5702">
        <v>4.8540390000000002</v>
      </c>
      <c r="E5702">
        <v>0.52518319999999996</v>
      </c>
      <c r="F5702" t="s">
        <v>98</v>
      </c>
      <c r="G5702">
        <v>-276.32130000000001</v>
      </c>
      <c r="H5702">
        <v>2.3596240000000002</v>
      </c>
      <c r="I5702">
        <v>17.151209999999999</v>
      </c>
      <c r="J5702">
        <v>-393.35610000000003</v>
      </c>
      <c r="K5702">
        <v>1.112595</v>
      </c>
      <c r="L5702">
        <v>18.612729999999999</v>
      </c>
      <c r="M5702">
        <v>0.99513750000000001</v>
      </c>
      <c r="N5702">
        <v>-9.5433250000000001E-3</v>
      </c>
      <c r="O5702">
        <v>-9.8033350000000005E-2</v>
      </c>
      <c r="P5702">
        <v>0.97860749999999996</v>
      </c>
      <c r="Q5702">
        <v>0.1980123</v>
      </c>
      <c r="R5702">
        <v>5.58465E-2</v>
      </c>
      <c r="S5702">
        <v>3.0613100000000002</v>
      </c>
      <c r="T5702">
        <v>3.2576319999999999E-2</v>
      </c>
      <c r="U5702">
        <v>-3.8482669999999997E-2</v>
      </c>
      <c r="V5702">
        <v>-0.1527075</v>
      </c>
      <c r="W5702">
        <v>0.20637050000000001</v>
      </c>
      <c r="X5702">
        <v>0.96648420000000002</v>
      </c>
      <c r="Y5702">
        <v>-8.5500480000000004E-2</v>
      </c>
      <c r="Z5702">
        <v>-2.025364E-3</v>
      </c>
      <c r="AA5702">
        <v>0.996336</v>
      </c>
      <c r="AB5702">
        <v>23</v>
      </c>
      <c r="AC5702">
        <v>117.0348</v>
      </c>
      <c r="AD5702">
        <v>1.2470289999999999</v>
      </c>
      <c r="AE5702">
        <v>-1.4615199999999999</v>
      </c>
      <c r="AF5702">
        <v>-10.018217909223599</v>
      </c>
      <c r="AG5702">
        <v>1.2470289999999999</v>
      </c>
      <c r="AH5702">
        <v>116.601055434835</v>
      </c>
      <c r="AI5702">
        <v>89.389503515101893</v>
      </c>
      <c r="AJ5702">
        <v>94.910722227564605</v>
      </c>
      <c r="AK5702">
        <v>117.037284229945</v>
      </c>
      <c r="AL5702">
        <v>78.090261851434093</v>
      </c>
      <c r="AM5702">
        <v>98.978684258956093</v>
      </c>
      <c r="AN5702">
        <v>1.0000000363380599</v>
      </c>
    </row>
    <row r="5703" spans="1:40" x14ac:dyDescent="0.25">
      <c r="A5703" t="str">
        <f>"20190304155216199"</f>
        <v>20190304155216199</v>
      </c>
      <c r="B5703" t="str">
        <f>"1551685936193154"</f>
        <v>1551685936193154</v>
      </c>
      <c r="C5703" t="s">
        <v>40</v>
      </c>
      <c r="D5703">
        <v>4.8379690000000002</v>
      </c>
      <c r="E5703">
        <v>0.52538949999999995</v>
      </c>
      <c r="F5703" t="s">
        <v>98</v>
      </c>
      <c r="G5703">
        <v>-276.31020000000001</v>
      </c>
      <c r="H5703">
        <v>2.2493910000000001</v>
      </c>
      <c r="I5703">
        <v>17.18817</v>
      </c>
      <c r="J5703">
        <v>-393.23099999999999</v>
      </c>
      <c r="K5703">
        <v>1.1125050000000001</v>
      </c>
      <c r="L5703">
        <v>18.602869999999999</v>
      </c>
      <c r="M5703">
        <v>0.9953436</v>
      </c>
      <c r="N5703">
        <v>-9.5326419999999992E-3</v>
      </c>
      <c r="O5703">
        <v>-9.5918219999999998E-2</v>
      </c>
      <c r="P5703">
        <v>0.97868460000000002</v>
      </c>
      <c r="Q5703">
        <v>0.1972189</v>
      </c>
      <c r="R5703">
        <v>5.7284639999999998E-2</v>
      </c>
      <c r="S5703">
        <v>3.0616759999999998</v>
      </c>
      <c r="T5703">
        <v>2.9736160000000001E-2</v>
      </c>
      <c r="U5703">
        <v>-3.7261959999999997E-2</v>
      </c>
      <c r="V5703">
        <v>-0.15204029999999999</v>
      </c>
      <c r="W5703">
        <v>0.2056047</v>
      </c>
      <c r="X5703">
        <v>0.96675250000000001</v>
      </c>
      <c r="Y5703">
        <v>-8.3784209999999998E-2</v>
      </c>
      <c r="Z5703">
        <v>-1.8532939999999999E-3</v>
      </c>
      <c r="AA5703">
        <v>0.99648219999999998</v>
      </c>
      <c r="AB5703">
        <v>23</v>
      </c>
      <c r="AC5703">
        <v>116.9208</v>
      </c>
      <c r="AD5703">
        <v>1.1368860000000001</v>
      </c>
      <c r="AE5703">
        <v>-1.4147000000000001</v>
      </c>
      <c r="AF5703">
        <v>-9.8062407250627004</v>
      </c>
      <c r="AG5703">
        <v>1.1368860000000001</v>
      </c>
      <c r="AH5703">
        <v>116.506342481983</v>
      </c>
      <c r="AI5703">
        <v>89.442886925606203</v>
      </c>
      <c r="AJ5703">
        <v>94.811197334209098</v>
      </c>
      <c r="AK5703">
        <v>116.92383292324899</v>
      </c>
      <c r="AL5703">
        <v>78.135099754521704</v>
      </c>
      <c r="AM5703">
        <v>98.937649090320406</v>
      </c>
      <c r="AN5703">
        <v>0.99999997087121395</v>
      </c>
    </row>
    <row r="5704" spans="1:40" x14ac:dyDescent="0.25">
      <c r="A5704" t="str">
        <f>"20190304155216217"</f>
        <v>20190304155216217</v>
      </c>
      <c r="B5704" t="str">
        <f>"1551685936212674"</f>
        <v>1551685936212674</v>
      </c>
      <c r="C5704" t="s">
        <v>40</v>
      </c>
      <c r="D5704">
        <v>4.8472059999999999</v>
      </c>
      <c r="E5704">
        <v>0.52596909999999997</v>
      </c>
      <c r="F5704" t="s">
        <v>98</v>
      </c>
      <c r="G5704">
        <v>-276.29559999999998</v>
      </c>
      <c r="H5704">
        <v>2.1553249999999999</v>
      </c>
      <c r="I5704">
        <v>17.283470000000001</v>
      </c>
      <c r="J5704">
        <v>-393.04570000000001</v>
      </c>
      <c r="K5704">
        <v>1.1123670000000001</v>
      </c>
      <c r="L5704">
        <v>18.5885</v>
      </c>
      <c r="M5704">
        <v>0.99563000000000001</v>
      </c>
      <c r="N5704">
        <v>-9.5179949999999996E-3</v>
      </c>
      <c r="O5704">
        <v>-9.2899930000000006E-2</v>
      </c>
      <c r="P5704">
        <v>0.97884020000000005</v>
      </c>
      <c r="Q5704">
        <v>0.19589319999999999</v>
      </c>
      <c r="R5704">
        <v>5.914469E-2</v>
      </c>
      <c r="S5704">
        <v>3.0618590000000001</v>
      </c>
      <c r="T5704">
        <v>2.7305360000000001E-2</v>
      </c>
      <c r="U5704">
        <v>-3.4545899999999997E-2</v>
      </c>
      <c r="V5704">
        <v>-0.15089920000000001</v>
      </c>
      <c r="W5704">
        <v>0.20432130000000001</v>
      </c>
      <c r="X5704">
        <v>0.96720329999999999</v>
      </c>
      <c r="Y5704">
        <v>-8.1649509999999995E-2</v>
      </c>
      <c r="Z5704">
        <v>-1.688136E-3</v>
      </c>
      <c r="AA5704">
        <v>0.99665970000000004</v>
      </c>
      <c r="AB5704">
        <v>23</v>
      </c>
      <c r="AC5704">
        <v>116.7501</v>
      </c>
      <c r="AD5704">
        <v>1.0429579999999901</v>
      </c>
      <c r="AE5704">
        <v>-1.3050299999999899</v>
      </c>
      <c r="AF5704">
        <v>-9.5464194099092907</v>
      </c>
      <c r="AG5704">
        <v>1.0429579999999901</v>
      </c>
      <c r="AH5704">
        <v>116.35712082782401</v>
      </c>
      <c r="AI5704">
        <v>89.488167144910093</v>
      </c>
      <c r="AJ5704">
        <v>94.690277737456498</v>
      </c>
      <c r="AK5704">
        <v>116.752736380269</v>
      </c>
      <c r="AL5704">
        <v>78.210228426145093</v>
      </c>
      <c r="AM5704">
        <v>98.867571570117903</v>
      </c>
      <c r="AN5704">
        <v>0.99999999286260999</v>
      </c>
    </row>
    <row r="5705" spans="1:40" x14ac:dyDescent="0.25">
      <c r="A5705" t="str">
        <f>"20190304155216240"</f>
        <v>20190304155216240</v>
      </c>
      <c r="B5705" t="str">
        <f>"1551685936233170"</f>
        <v>1551685936233170</v>
      </c>
      <c r="C5705" t="s">
        <v>40</v>
      </c>
      <c r="D5705">
        <v>4.8631219999999997</v>
      </c>
      <c r="E5705">
        <v>0.52660119999999999</v>
      </c>
      <c r="F5705" t="s">
        <v>98</v>
      </c>
      <c r="G5705">
        <v>-276.26929999999999</v>
      </c>
      <c r="H5705">
        <v>1.98769</v>
      </c>
      <c r="I5705">
        <v>17.302489999999999</v>
      </c>
      <c r="J5705">
        <v>-392.81779999999998</v>
      </c>
      <c r="K5705">
        <v>1.1122129999999999</v>
      </c>
      <c r="L5705">
        <v>18.571380000000001</v>
      </c>
      <c r="M5705">
        <v>0.99594800000000006</v>
      </c>
      <c r="N5705">
        <v>-9.5015020000000002E-3</v>
      </c>
      <c r="O5705">
        <v>-8.9427039999999999E-2</v>
      </c>
      <c r="P5705">
        <v>0.97875789999999996</v>
      </c>
      <c r="Q5705">
        <v>0.1955742</v>
      </c>
      <c r="R5705">
        <v>6.151189E-2</v>
      </c>
      <c r="S5705">
        <v>3.0622859999999998</v>
      </c>
      <c r="T5705">
        <v>2.2953990000000001E-2</v>
      </c>
      <c r="U5705">
        <v>-3.3721920000000002E-2</v>
      </c>
      <c r="V5705">
        <v>-0.14979120000000001</v>
      </c>
      <c r="W5705">
        <v>0.20404919999999999</v>
      </c>
      <c r="X5705">
        <v>0.96743299999999999</v>
      </c>
      <c r="Y5705">
        <v>-7.8446100000000005E-2</v>
      </c>
      <c r="Z5705">
        <v>-1.4414439999999901E-3</v>
      </c>
      <c r="AA5705">
        <v>0.99691730000000001</v>
      </c>
      <c r="AB5705">
        <v>23</v>
      </c>
      <c r="AC5705">
        <v>116.5485</v>
      </c>
      <c r="AD5705">
        <v>0.87547699999999995</v>
      </c>
      <c r="AE5705">
        <v>-1.2688899999999901</v>
      </c>
      <c r="AF5705">
        <v>-9.15873613049399</v>
      </c>
      <c r="AG5705">
        <v>0.87547699999999995</v>
      </c>
      <c r="AH5705">
        <v>116.188414639058</v>
      </c>
      <c r="AI5705">
        <v>89.569620792772795</v>
      </c>
      <c r="AJ5705">
        <v>94.507110970097699</v>
      </c>
      <c r="AK5705">
        <v>116.55211968824599</v>
      </c>
      <c r="AL5705">
        <v>78.226154743634794</v>
      </c>
      <c r="AM5705">
        <v>98.8014262233945</v>
      </c>
      <c r="AN5705">
        <v>1.00000004455353</v>
      </c>
    </row>
    <row r="5706" spans="1:40" x14ac:dyDescent="0.25">
      <c r="A5706" t="str">
        <f>"20190304155216262"</f>
        <v>20190304155216262</v>
      </c>
      <c r="B5706" t="str">
        <f>"1551685936252689"</f>
        <v>1551685936252689</v>
      </c>
      <c r="C5706" t="s">
        <v>40</v>
      </c>
      <c r="D5706">
        <v>4.849386</v>
      </c>
      <c r="E5706">
        <v>0.53380349999999999</v>
      </c>
      <c r="F5706" t="s">
        <v>99</v>
      </c>
      <c r="G5706">
        <v>-273.40989999999999</v>
      </c>
      <c r="H5706">
        <v>1.9874890000000001</v>
      </c>
      <c r="I5706">
        <v>17.325610000000001</v>
      </c>
      <c r="J5706">
        <v>-392.58909999999997</v>
      </c>
      <c r="K5706">
        <v>1.1120650000000001</v>
      </c>
      <c r="L5706">
        <v>18.554659999999998</v>
      </c>
      <c r="M5706">
        <v>0.99623309999999998</v>
      </c>
      <c r="N5706">
        <v>-9.4856750000000007E-3</v>
      </c>
      <c r="O5706">
        <v>-8.6194740000000006E-2</v>
      </c>
      <c r="P5706">
        <v>0.97888280000000005</v>
      </c>
      <c r="Q5706">
        <v>0.19437750000000001</v>
      </c>
      <c r="R5706">
        <v>6.3289869999999998E-2</v>
      </c>
      <c r="S5706">
        <v>3.0626220000000002</v>
      </c>
      <c r="T5706">
        <v>2.2449489999999999E-2</v>
      </c>
      <c r="U5706">
        <v>-3.1951899999999998E-2</v>
      </c>
      <c r="V5706">
        <v>-0.14835100000000001</v>
      </c>
      <c r="W5706">
        <v>0.20289979999999999</v>
      </c>
      <c r="X5706">
        <v>0.96789650000000005</v>
      </c>
      <c r="Y5706">
        <v>-7.5788889999999998E-2</v>
      </c>
      <c r="Z5706">
        <v>-1.3678659999999999E-3</v>
      </c>
      <c r="AA5706">
        <v>0.99712290000000003</v>
      </c>
      <c r="AB5706">
        <v>23</v>
      </c>
      <c r="AC5706">
        <v>119.179199999999</v>
      </c>
      <c r="AD5706">
        <v>0.87542399999999998</v>
      </c>
      <c r="AE5706">
        <v>-1.22905</v>
      </c>
      <c r="AF5706">
        <v>-9.0481192677557907</v>
      </c>
      <c r="AG5706">
        <v>0.87542399999999998</v>
      </c>
      <c r="AH5706">
        <v>118.835142966744</v>
      </c>
      <c r="AI5706">
        <v>89.579144369687995</v>
      </c>
      <c r="AJ5706">
        <v>94.354105117938303</v>
      </c>
      <c r="AK5706">
        <v>119.182322654787</v>
      </c>
      <c r="AL5706">
        <v>78.293417005680197</v>
      </c>
      <c r="AM5706">
        <v>98.713998509469704</v>
      </c>
      <c r="AN5706">
        <v>0.99999999137664497</v>
      </c>
    </row>
    <row r="5707" spans="1:40" x14ac:dyDescent="0.25">
      <c r="A5707" t="str">
        <f>"20190304155216283"</f>
        <v>20190304155216283</v>
      </c>
      <c r="B5707" t="str">
        <f>"1551685936272210"</f>
        <v>1551685936272210</v>
      </c>
      <c r="C5707" t="s">
        <v>40</v>
      </c>
      <c r="D5707">
        <v>4.8043380000000004</v>
      </c>
      <c r="E5707">
        <v>0.53370869999999904</v>
      </c>
      <c r="F5707" t="s">
        <v>99</v>
      </c>
      <c r="G5707">
        <v>-273.40989999999999</v>
      </c>
      <c r="H5707">
        <v>2.4329879999999999</v>
      </c>
      <c r="I5707">
        <v>15.283770000000001</v>
      </c>
      <c r="J5707">
        <v>-392.36410000000001</v>
      </c>
      <c r="K5707">
        <v>1.1119250000000001</v>
      </c>
      <c r="L5707">
        <v>18.538699999999999</v>
      </c>
      <c r="M5707">
        <v>0.99648309999999996</v>
      </c>
      <c r="N5707">
        <v>-9.4710720000000005E-3</v>
      </c>
      <c r="O5707">
        <v>-8.3257860000000003E-2</v>
      </c>
      <c r="P5707">
        <v>0.97917860000000001</v>
      </c>
      <c r="Q5707">
        <v>0.19248799999999999</v>
      </c>
      <c r="R5707">
        <v>6.4479380000000003E-2</v>
      </c>
      <c r="S5707">
        <v>3.0634160000000001</v>
      </c>
      <c r="T5707">
        <v>3.395343E-2</v>
      </c>
      <c r="U5707">
        <v>-8.4075929999999993E-2</v>
      </c>
      <c r="V5707">
        <v>-0.14662610000000001</v>
      </c>
      <c r="W5707">
        <v>0.2010583</v>
      </c>
      <c r="X5707">
        <v>0.96854340000000005</v>
      </c>
      <c r="Y5707">
        <v>-5.5872619999999998E-2</v>
      </c>
      <c r="Z5707">
        <v>-1.7557199999999999E-3</v>
      </c>
      <c r="AA5707">
        <v>0.99843630000000005</v>
      </c>
      <c r="AB5707">
        <v>23</v>
      </c>
      <c r="AC5707">
        <v>118.9542</v>
      </c>
      <c r="AD5707">
        <v>1.3210630000000001</v>
      </c>
      <c r="AE5707">
        <v>-3.2549299999999901</v>
      </c>
      <c r="AF5707">
        <v>-6.6598668838109596</v>
      </c>
      <c r="AG5707">
        <v>1.3210630000000001</v>
      </c>
      <c r="AH5707">
        <v>118.797528047863</v>
      </c>
      <c r="AI5707">
        <v>89.363879292268393</v>
      </c>
      <c r="AJ5707">
        <v>93.208680161667701</v>
      </c>
      <c r="AK5707">
        <v>118.991393405754</v>
      </c>
      <c r="AL5707">
        <v>78.401147475741098</v>
      </c>
      <c r="AM5707">
        <v>98.6085408574734</v>
      </c>
      <c r="AN5707">
        <v>0.99999998544183</v>
      </c>
    </row>
    <row r="5708" spans="1:40" x14ac:dyDescent="0.25">
      <c r="A5708" t="str">
        <f>"20190304155216297"</f>
        <v>20190304155216297</v>
      </c>
      <c r="B5708" t="str">
        <f>"1551685936292705"</f>
        <v>1551685936292705</v>
      </c>
      <c r="C5708" t="s">
        <v>40</v>
      </c>
      <c r="D5708">
        <v>4.7985300000000004</v>
      </c>
      <c r="E5708">
        <v>0.53479189999999999</v>
      </c>
      <c r="F5708" t="s">
        <v>98</v>
      </c>
      <c r="G5708">
        <v>-276.85359999999997</v>
      </c>
      <c r="H5708">
        <v>1.956434</v>
      </c>
      <c r="I5708">
        <v>15.539899999999999</v>
      </c>
      <c r="J5708">
        <v>-392.2278</v>
      </c>
      <c r="K5708">
        <v>1.111839</v>
      </c>
      <c r="L5708">
        <v>18.529240000000001</v>
      </c>
      <c r="M5708">
        <v>0.99661949999999999</v>
      </c>
      <c r="N5708">
        <v>-9.4628109999999998E-3</v>
      </c>
      <c r="O5708">
        <v>-8.1609360000000006E-2</v>
      </c>
      <c r="P5708">
        <v>0.97926939999999996</v>
      </c>
      <c r="Q5708">
        <v>0.19184490000000001</v>
      </c>
      <c r="R5708">
        <v>6.501614E-2</v>
      </c>
      <c r="S5708">
        <v>3.0646059999999999</v>
      </c>
      <c r="T5708">
        <v>2.2405620000000001E-2</v>
      </c>
      <c r="U5708">
        <v>-7.9559329999999998E-2</v>
      </c>
      <c r="V5708">
        <v>-0.1455197</v>
      </c>
      <c r="W5708">
        <v>0.20044409999999999</v>
      </c>
      <c r="X5708">
        <v>0.96883759999999997</v>
      </c>
      <c r="Y5708">
        <v>-5.5709099999999998E-2</v>
      </c>
      <c r="Z5708">
        <v>-1.3088349999999999E-3</v>
      </c>
      <c r="AA5708">
        <v>0.99844619999999995</v>
      </c>
      <c r="AB5708">
        <v>23</v>
      </c>
      <c r="AC5708">
        <v>115.3742</v>
      </c>
      <c r="AD5708">
        <v>0.84459499999999998</v>
      </c>
      <c r="AE5708">
        <v>-2.9893399999999901</v>
      </c>
      <c r="AF5708">
        <v>-6.4363233962186399</v>
      </c>
      <c r="AG5708">
        <v>0.84459499999999998</v>
      </c>
      <c r="AH5708">
        <v>115.227120738064</v>
      </c>
      <c r="AI5708">
        <v>89.580692903819298</v>
      </c>
      <c r="AJ5708">
        <v>93.197088886372001</v>
      </c>
      <c r="AK5708">
        <v>115.409830400876</v>
      </c>
      <c r="AL5708">
        <v>78.437070690501898</v>
      </c>
      <c r="AM5708">
        <v>98.541989194712897</v>
      </c>
      <c r="AN5708">
        <v>1.0000000577433199</v>
      </c>
    </row>
    <row r="5709" spans="1:40" x14ac:dyDescent="0.25">
      <c r="A5709" t="str">
        <f>"20190304155216317"</f>
        <v>20190304155216317</v>
      </c>
      <c r="B5709" t="str">
        <f>"1551685936312226"</f>
        <v>1551685936312226</v>
      </c>
      <c r="C5709" t="s">
        <v>40</v>
      </c>
      <c r="D5709">
        <v>4.8385099999999897</v>
      </c>
      <c r="E5709">
        <v>0.53569209999999901</v>
      </c>
      <c r="F5709" t="s">
        <v>99</v>
      </c>
      <c r="G5709">
        <v>-273.40989999999999</v>
      </c>
      <c r="H5709">
        <v>1.967819</v>
      </c>
      <c r="I5709">
        <v>15.184699999999999</v>
      </c>
      <c r="J5709">
        <v>-392.02620000000002</v>
      </c>
      <c r="K5709">
        <v>1.1117079999999999</v>
      </c>
      <c r="L5709">
        <v>18.515499999999999</v>
      </c>
      <c r="M5709">
        <v>0.99680449999999998</v>
      </c>
      <c r="N5709">
        <v>-9.4513730000000008E-3</v>
      </c>
      <c r="O5709">
        <v>-7.9319829999999994E-2</v>
      </c>
      <c r="P5709">
        <v>0.97923930000000003</v>
      </c>
      <c r="Q5709">
        <v>0.1917971</v>
      </c>
      <c r="R5709">
        <v>6.5608349999999996E-2</v>
      </c>
      <c r="S5709">
        <v>3.0649410000000001</v>
      </c>
      <c r="T5709">
        <v>2.2080300000000001E-2</v>
      </c>
      <c r="U5709">
        <v>-8.627319E-2</v>
      </c>
      <c r="V5709">
        <v>-0.1438149</v>
      </c>
      <c r="W5709">
        <v>0.2004389</v>
      </c>
      <c r="X5709">
        <v>0.96909310000000004</v>
      </c>
      <c r="Y5709">
        <v>-5.123279E-2</v>
      </c>
      <c r="Z5709">
        <v>-1.263372E-3</v>
      </c>
      <c r="AA5709">
        <v>0.99868599999999996</v>
      </c>
      <c r="AB5709">
        <v>23</v>
      </c>
      <c r="AC5709">
        <v>118.6163</v>
      </c>
      <c r="AD5709">
        <v>0.85611099999999896</v>
      </c>
      <c r="AE5709">
        <v>-3.3308</v>
      </c>
      <c r="AF5709">
        <v>-6.0884228359356403</v>
      </c>
      <c r="AG5709">
        <v>0.85611099999999896</v>
      </c>
      <c r="AH5709">
        <v>118.500574783639</v>
      </c>
      <c r="AI5709">
        <v>89.586617345178993</v>
      </c>
      <c r="AJ5709">
        <v>92.9412048268007</v>
      </c>
      <c r="AK5709">
        <v>118.65996815576101</v>
      </c>
      <c r="AL5709">
        <v>78.437373622606302</v>
      </c>
      <c r="AM5709">
        <v>98.441174492524695</v>
      </c>
      <c r="AN5709">
        <v>0.999999957281414</v>
      </c>
    </row>
    <row r="5710" spans="1:40" x14ac:dyDescent="0.25">
      <c r="A5710" t="str">
        <f>"20190304155216338"</f>
        <v>20190304155216338</v>
      </c>
      <c r="B5710" t="str">
        <f>"1551685936332722"</f>
        <v>1551685936332722</v>
      </c>
      <c r="C5710" t="s">
        <v>40</v>
      </c>
      <c r="D5710">
        <v>4.862495</v>
      </c>
      <c r="E5710">
        <v>0.53631340000000005</v>
      </c>
      <c r="F5710" t="s">
        <v>99</v>
      </c>
      <c r="G5710">
        <v>-273.40989999999999</v>
      </c>
      <c r="H5710">
        <v>2.1570140000000002</v>
      </c>
      <c r="I5710">
        <v>14.97297</v>
      </c>
      <c r="J5710">
        <v>-391.80669999999998</v>
      </c>
      <c r="K5710">
        <v>1.111569</v>
      </c>
      <c r="L5710">
        <v>18.500789999999999</v>
      </c>
      <c r="M5710">
        <v>0.99698359999999997</v>
      </c>
      <c r="N5710">
        <v>-9.4400339999999999E-3</v>
      </c>
      <c r="O5710">
        <v>-7.7036649999999998E-2</v>
      </c>
      <c r="P5710">
        <v>0.97895869999999996</v>
      </c>
      <c r="Q5710">
        <v>0.19282759999999999</v>
      </c>
      <c r="R5710">
        <v>6.6765930000000001E-2</v>
      </c>
      <c r="S5710">
        <v>3.0644840000000002</v>
      </c>
      <c r="T5710">
        <v>2.7005789999999998E-2</v>
      </c>
      <c r="U5710">
        <v>-9.1522220000000001E-2</v>
      </c>
      <c r="V5710">
        <v>-0.1426576</v>
      </c>
      <c r="W5710">
        <v>0.20151089999999999</v>
      </c>
      <c r="X5710">
        <v>0.96904190000000001</v>
      </c>
      <c r="Y5710">
        <v>-4.7229630000000002E-2</v>
      </c>
      <c r="Z5710">
        <v>-1.3909020000000001E-3</v>
      </c>
      <c r="AA5710">
        <v>0.99888310000000002</v>
      </c>
      <c r="AB5710">
        <v>23</v>
      </c>
      <c r="AC5710">
        <v>118.396799999999</v>
      </c>
      <c r="AD5710">
        <v>1.04544499999999</v>
      </c>
      <c r="AE5710">
        <v>-3.52781999999999</v>
      </c>
      <c r="AF5710">
        <v>-5.6035271831579401</v>
      </c>
      <c r="AG5710">
        <v>1.04544499999999</v>
      </c>
      <c r="AH5710">
        <v>118.307491699388</v>
      </c>
      <c r="AI5710">
        <v>89.494275837662698</v>
      </c>
      <c r="AJ5710">
        <v>92.711736112849806</v>
      </c>
      <c r="AK5710">
        <v>118.444734219555</v>
      </c>
      <c r="AL5710">
        <v>78.374673951648305</v>
      </c>
      <c r="AM5710">
        <v>98.374650354319002</v>
      </c>
      <c r="AN5710">
        <v>1.00000001880608</v>
      </c>
    </row>
    <row r="5711" spans="1:40" x14ac:dyDescent="0.25">
      <c r="A5711" t="str">
        <f>"20190304155216352"</f>
        <v>20190304155216352</v>
      </c>
      <c r="B5711" t="str">
        <f>"1551685936342482"</f>
        <v>1551685936342482</v>
      </c>
      <c r="C5711" t="s">
        <v>40</v>
      </c>
      <c r="D5711">
        <v>4.8641300000000003</v>
      </c>
      <c r="E5711">
        <v>0.5366938</v>
      </c>
      <c r="F5711" t="s">
        <v>99</v>
      </c>
      <c r="G5711">
        <v>-273.40989999999999</v>
      </c>
      <c r="H5711">
        <v>2.4520339999999998</v>
      </c>
      <c r="I5711">
        <v>14.885249999999999</v>
      </c>
      <c r="J5711">
        <v>-391.67270000000002</v>
      </c>
      <c r="K5711">
        <v>1.1114809999999999</v>
      </c>
      <c r="L5711">
        <v>18.491910000000001</v>
      </c>
      <c r="M5711">
        <v>0.9970831</v>
      </c>
      <c r="N5711">
        <v>-9.4336720000000006E-3</v>
      </c>
      <c r="O5711">
        <v>-7.5738479999999997E-2</v>
      </c>
      <c r="P5711">
        <v>0.97885540000000004</v>
      </c>
      <c r="Q5711">
        <v>0.19312370000000001</v>
      </c>
      <c r="R5711">
        <v>6.7420670000000002E-2</v>
      </c>
      <c r="S5711">
        <v>3.0639949999999998</v>
      </c>
      <c r="T5711">
        <v>3.4690020000000002E-2</v>
      </c>
      <c r="U5711">
        <v>-9.356689E-2</v>
      </c>
      <c r="V5711">
        <v>-0.1419974</v>
      </c>
      <c r="W5711">
        <v>0.20183319999999999</v>
      </c>
      <c r="X5711">
        <v>0.96907180000000004</v>
      </c>
      <c r="Y5711">
        <v>-4.5254139999999998E-2</v>
      </c>
      <c r="Z5711">
        <v>-1.614026E-3</v>
      </c>
      <c r="AA5711">
        <v>0.99897420000000003</v>
      </c>
      <c r="AB5711">
        <v>23</v>
      </c>
      <c r="AC5711">
        <v>118.2628</v>
      </c>
      <c r="AD5711">
        <v>1.3405530000000001</v>
      </c>
      <c r="AE5711">
        <v>-3.6066600000000002</v>
      </c>
      <c r="AF5711">
        <v>-5.3604553579040299</v>
      </c>
      <c r="AG5711">
        <v>1.3405530000000001</v>
      </c>
      <c r="AH5711">
        <v>118.181089459451</v>
      </c>
      <c r="AI5711">
        <v>89.350777210200604</v>
      </c>
      <c r="AJ5711">
        <v>92.597040728243101</v>
      </c>
      <c r="AK5711">
        <v>118.310191741086</v>
      </c>
      <c r="AL5711">
        <v>78.355820242057902</v>
      </c>
      <c r="AM5711">
        <v>98.336185916762105</v>
      </c>
      <c r="AN5711">
        <v>1.00000002789211</v>
      </c>
    </row>
    <row r="5712" spans="1:40" x14ac:dyDescent="0.25">
      <c r="A5712" t="str">
        <f>"20190304155216364"</f>
        <v>20190304155216364</v>
      </c>
      <c r="B5712" t="str">
        <f>"1551685936352243"</f>
        <v>1551685936352243</v>
      </c>
      <c r="C5712" t="s">
        <v>40</v>
      </c>
      <c r="D5712">
        <v>4.8316369999999997</v>
      </c>
      <c r="E5712">
        <v>0.53688040000000004</v>
      </c>
      <c r="F5712" t="s">
        <v>99</v>
      </c>
      <c r="G5712">
        <v>-273.40989999999999</v>
      </c>
      <c r="H5712">
        <v>2.5608230000000001</v>
      </c>
      <c r="I5712">
        <v>14.826169999999999</v>
      </c>
      <c r="J5712">
        <v>-391.53649999999999</v>
      </c>
      <c r="K5712">
        <v>1.111394</v>
      </c>
      <c r="L5712">
        <v>18.483029999999999</v>
      </c>
      <c r="M5712">
        <v>0.99717650000000002</v>
      </c>
      <c r="N5712">
        <v>-9.4276020000000002E-3</v>
      </c>
      <c r="O5712">
        <v>-7.4498869999999995E-2</v>
      </c>
      <c r="P5712">
        <v>0.97884110000000002</v>
      </c>
      <c r="Q5712">
        <v>0.1929633</v>
      </c>
      <c r="R5712">
        <v>6.8084060000000002E-2</v>
      </c>
      <c r="S5712">
        <v>3.063904</v>
      </c>
      <c r="T5712">
        <v>3.7549020000000002E-2</v>
      </c>
      <c r="U5712">
        <v>-9.4970700000000005E-2</v>
      </c>
      <c r="V5712">
        <v>-0.1414089</v>
      </c>
      <c r="W5712">
        <v>0.20169819999999999</v>
      </c>
      <c r="X5712">
        <v>0.96918590000000004</v>
      </c>
      <c r="Y5712">
        <v>-4.3552529999999999E-2</v>
      </c>
      <c r="Z5712">
        <v>-1.676138E-3</v>
      </c>
      <c r="AA5712">
        <v>0.99904970000000004</v>
      </c>
      <c r="AB5712">
        <v>23</v>
      </c>
      <c r="AC5712">
        <v>118.1266</v>
      </c>
      <c r="AD5712">
        <v>1.4494290000000001</v>
      </c>
      <c r="AE5712">
        <v>-3.6568599999999898</v>
      </c>
      <c r="AF5712">
        <v>-5.1532174745816697</v>
      </c>
      <c r="AG5712">
        <v>1.4494290000000001</v>
      </c>
      <c r="AH5712">
        <v>118.052995985759</v>
      </c>
      <c r="AI5712">
        <v>89.297239389450496</v>
      </c>
      <c r="AJ5712">
        <v>92.499473127905404</v>
      </c>
      <c r="AK5712">
        <v>118.174304973543</v>
      </c>
      <c r="AL5712">
        <v>78.363716964195405</v>
      </c>
      <c r="AM5712">
        <v>98.301155849277507</v>
      </c>
      <c r="AN5712">
        <v>0.99999997482062897</v>
      </c>
    </row>
    <row r="5713" spans="1:40" x14ac:dyDescent="0.25">
      <c r="A5713" t="str">
        <f>"20190304155216384"</f>
        <v>20190304155216384</v>
      </c>
      <c r="B5713" t="str">
        <f>"1551685936372738"</f>
        <v>1551685936372738</v>
      </c>
      <c r="C5713" t="s">
        <v>40</v>
      </c>
      <c r="D5713">
        <v>4.8564040000000004</v>
      </c>
      <c r="E5713">
        <v>0.53754990000000002</v>
      </c>
      <c r="F5713" t="s">
        <v>99</v>
      </c>
      <c r="G5713">
        <v>-273.40989999999999</v>
      </c>
      <c r="H5713">
        <v>2.628247</v>
      </c>
      <c r="I5713">
        <v>14.822430000000001</v>
      </c>
      <c r="J5713">
        <v>-391.3347</v>
      </c>
      <c r="K5713">
        <v>1.11127</v>
      </c>
      <c r="L5713">
        <v>18.46997</v>
      </c>
      <c r="M5713">
        <v>0.99730090000000005</v>
      </c>
      <c r="N5713">
        <v>-9.4195400000000006E-3</v>
      </c>
      <c r="O5713">
        <v>-7.2818850000000004E-2</v>
      </c>
      <c r="P5713">
        <v>0.97900019999999999</v>
      </c>
      <c r="Q5713">
        <v>0.19198319999999999</v>
      </c>
      <c r="R5713">
        <v>6.8565089999999995E-2</v>
      </c>
      <c r="S5713">
        <v>3.0636899999999998</v>
      </c>
      <c r="T5713">
        <v>3.934062E-2</v>
      </c>
      <c r="U5713">
        <v>-9.4940189999999994E-2</v>
      </c>
      <c r="V5713">
        <v>-0.14020160000000001</v>
      </c>
      <c r="W5713">
        <v>0.20075889999999999</v>
      </c>
      <c r="X5713">
        <v>0.96955630000000004</v>
      </c>
      <c r="Y5713">
        <v>-4.1876480000000001E-2</v>
      </c>
      <c r="Z5713">
        <v>-1.6917929999999901E-3</v>
      </c>
      <c r="AA5713">
        <v>0.99912140000000005</v>
      </c>
      <c r="AB5713">
        <v>23</v>
      </c>
      <c r="AC5713">
        <v>117.9248</v>
      </c>
      <c r="AD5713">
        <v>1.516977</v>
      </c>
      <c r="AE5713">
        <v>-3.6475399999999998</v>
      </c>
      <c r="AF5713">
        <v>-4.9488538469516303</v>
      </c>
      <c r="AG5713">
        <v>1.516977</v>
      </c>
      <c r="AH5713">
        <v>117.85784043217301</v>
      </c>
      <c r="AI5713">
        <v>89.263221945237404</v>
      </c>
      <c r="AJ5713">
        <v>92.404438827181593</v>
      </c>
      <c r="AK5713">
        <v>117.97144961791599</v>
      </c>
      <c r="AL5713">
        <v>78.418659316340296</v>
      </c>
      <c r="AM5713">
        <v>98.228157167146307</v>
      </c>
      <c r="AN5713">
        <v>1.0000000217207199</v>
      </c>
    </row>
    <row r="5714" spans="1:40" x14ac:dyDescent="0.25">
      <c r="A5714" t="str">
        <f>"20190304155216407"</f>
        <v>20190304155216407</v>
      </c>
      <c r="B5714" t="str">
        <f>"1551685936402994"</f>
        <v>1551685936402994</v>
      </c>
      <c r="C5714" t="s">
        <v>40</v>
      </c>
      <c r="D5714">
        <v>4.8840199999999996</v>
      </c>
      <c r="E5714">
        <v>0.53811039999999999</v>
      </c>
      <c r="F5714" t="s">
        <v>99</v>
      </c>
      <c r="G5714">
        <v>-273.916</v>
      </c>
      <c r="H5714">
        <v>2.6648890000000001</v>
      </c>
      <c r="I5714">
        <v>14.64612</v>
      </c>
      <c r="J5714">
        <v>-391.10419999999999</v>
      </c>
      <c r="K5714">
        <v>1.111129</v>
      </c>
      <c r="L5714">
        <v>18.45523</v>
      </c>
      <c r="M5714">
        <v>0.99742350000000002</v>
      </c>
      <c r="N5714">
        <v>-9.4115039999999994E-3</v>
      </c>
      <c r="O5714">
        <v>-7.1118180000000003E-2</v>
      </c>
      <c r="P5714">
        <v>0.97902789999999995</v>
      </c>
      <c r="Q5714">
        <v>0.1917411</v>
      </c>
      <c r="R5714">
        <v>6.8844959999999997E-2</v>
      </c>
      <c r="S5714">
        <v>3.0633849999999998</v>
      </c>
      <c r="T5714">
        <v>4.0533069999999997E-2</v>
      </c>
      <c r="U5714">
        <v>-9.9761959999999997E-2</v>
      </c>
      <c r="V5714">
        <v>-0.1387573</v>
      </c>
      <c r="W5714">
        <v>0.2005622</v>
      </c>
      <c r="X5714">
        <v>0.96980469999999996</v>
      </c>
      <c r="Y5714">
        <v>-3.8598229999999997E-2</v>
      </c>
      <c r="Z5714">
        <v>-1.683162E-3</v>
      </c>
      <c r="AA5714">
        <v>0.99925339999999996</v>
      </c>
      <c r="AB5714">
        <v>23</v>
      </c>
      <c r="AC5714">
        <v>117.18819999999999</v>
      </c>
      <c r="AD5714">
        <v>1.55376</v>
      </c>
      <c r="AE5714">
        <v>-3.8091099999999898</v>
      </c>
      <c r="AF5714">
        <v>-4.5343202488831604</v>
      </c>
      <c r="AG5714">
        <v>1.55376</v>
      </c>
      <c r="AH5714">
        <v>117.141779094285</v>
      </c>
      <c r="AI5714">
        <v>89.240646122027698</v>
      </c>
      <c r="AJ5714">
        <v>92.216696550737595</v>
      </c>
      <c r="AK5714">
        <v>117.239799725312</v>
      </c>
      <c r="AL5714">
        <v>78.430162775359307</v>
      </c>
      <c r="AM5714">
        <v>98.142478934751907</v>
      </c>
      <c r="AN5714">
        <v>0.99999997025710896</v>
      </c>
    </row>
    <row r="5715" spans="1:40" x14ac:dyDescent="0.25">
      <c r="A5715" t="str">
        <f>"20190304155216429"</f>
        <v>20190304155216429</v>
      </c>
      <c r="B5715" t="str">
        <f>"1551685936422513"</f>
        <v>1551685936422513</v>
      </c>
      <c r="C5715" t="s">
        <v>40</v>
      </c>
      <c r="D5715">
        <v>4.7927400000000002</v>
      </c>
      <c r="E5715">
        <v>0.53843180000000002</v>
      </c>
      <c r="F5715" t="s">
        <v>99</v>
      </c>
      <c r="G5715">
        <v>-274.15660000000003</v>
      </c>
      <c r="H5715">
        <v>2.7592449999999999</v>
      </c>
      <c r="I5715">
        <v>14.494949999999999</v>
      </c>
      <c r="J5715">
        <v>-390.87630000000001</v>
      </c>
      <c r="K5715">
        <v>1.1109880000000001</v>
      </c>
      <c r="L5715">
        <v>18.440799999999999</v>
      </c>
      <c r="M5715">
        <v>0.99752470000000004</v>
      </c>
      <c r="N5715">
        <v>-9.4044709999999993E-3</v>
      </c>
      <c r="O5715">
        <v>-6.9686159999999997E-2</v>
      </c>
      <c r="P5715">
        <v>0.97893479999999999</v>
      </c>
      <c r="Q5715">
        <v>0.1922904</v>
      </c>
      <c r="R5715">
        <v>6.8638530000000003E-2</v>
      </c>
      <c r="S5715">
        <v>3.0631409999999999</v>
      </c>
      <c r="T5715">
        <v>4.3168190000000002E-2</v>
      </c>
      <c r="U5715">
        <v>-0.10372919999999999</v>
      </c>
      <c r="V5715">
        <v>-0.13708219999999999</v>
      </c>
      <c r="W5715">
        <v>0.20115640000000001</v>
      </c>
      <c r="X5715">
        <v>0.96991989999999995</v>
      </c>
      <c r="Y5715">
        <v>-3.5866919999999997E-2</v>
      </c>
      <c r="Z5715">
        <v>-1.720519E-3</v>
      </c>
      <c r="AA5715">
        <v>0.99935510000000005</v>
      </c>
      <c r="AB5715">
        <v>23</v>
      </c>
      <c r="AC5715">
        <v>116.7197</v>
      </c>
      <c r="AD5715">
        <v>1.6482569999999901</v>
      </c>
      <c r="AE5715">
        <v>-3.9458500000000001</v>
      </c>
      <c r="AF5715">
        <v>-4.1970142169026596</v>
      </c>
      <c r="AG5715">
        <v>1.6482569999999901</v>
      </c>
      <c r="AH5715">
        <v>116.687665555146</v>
      </c>
      <c r="AI5715">
        <v>89.191252362437695</v>
      </c>
      <c r="AJ5715">
        <v>92.059922802317999</v>
      </c>
      <c r="AK5715">
        <v>116.77475314546599</v>
      </c>
      <c r="AL5715">
        <v>78.395409930986801</v>
      </c>
      <c r="AM5715">
        <v>98.044533320620403</v>
      </c>
      <c r="AN5715">
        <v>1.0000000196169001</v>
      </c>
    </row>
    <row r="5716" spans="1:40" x14ac:dyDescent="0.25">
      <c r="A5716" t="str">
        <f>"20190304155216452"</f>
        <v>20190304155216452</v>
      </c>
      <c r="B5716" t="str">
        <f>"1551685936442594"</f>
        <v>1551685936442594</v>
      </c>
      <c r="C5716" t="s">
        <v>40</v>
      </c>
      <c r="D5716">
        <v>4.8112139999999997</v>
      </c>
      <c r="E5716">
        <v>0.53821059999999998</v>
      </c>
      <c r="F5716" t="s">
        <v>99</v>
      </c>
      <c r="G5716">
        <v>-274.15660000000003</v>
      </c>
      <c r="H5716">
        <v>2.7758210000000001</v>
      </c>
      <c r="I5716">
        <v>14.378170000000001</v>
      </c>
      <c r="J5716">
        <v>-390.6386</v>
      </c>
      <c r="K5716">
        <v>1.1108450000000001</v>
      </c>
      <c r="L5716">
        <v>18.42578</v>
      </c>
      <c r="M5716">
        <v>0.99761140000000004</v>
      </c>
      <c r="N5716">
        <v>-9.3979440000000001E-3</v>
      </c>
      <c r="O5716">
        <v>-6.843544E-2</v>
      </c>
      <c r="P5716">
        <v>0.97885820000000001</v>
      </c>
      <c r="Q5716">
        <v>0.1927054</v>
      </c>
      <c r="R5716">
        <v>6.8567790000000003E-2</v>
      </c>
      <c r="S5716">
        <v>3.0634459999999999</v>
      </c>
      <c r="T5716">
        <v>4.3695570000000003E-2</v>
      </c>
      <c r="U5716">
        <v>-0.106628399999999</v>
      </c>
      <c r="V5716">
        <v>-0.13571710000000001</v>
      </c>
      <c r="W5716">
        <v>0.2016165</v>
      </c>
      <c r="X5716">
        <v>0.97001630000000005</v>
      </c>
      <c r="Y5716">
        <v>-3.3672680000000003E-2</v>
      </c>
      <c r="Z5716">
        <v>-1.7001900000000001E-3</v>
      </c>
      <c r="AA5716">
        <v>0.99943150000000003</v>
      </c>
      <c r="AB5716">
        <v>23</v>
      </c>
      <c r="AC5716">
        <v>116.481999999999</v>
      </c>
      <c r="AD5716">
        <v>1.66497599999999</v>
      </c>
      <c r="AE5716">
        <v>-4.0476099999999899</v>
      </c>
      <c r="AF5716">
        <v>-3.93292571561321</v>
      </c>
      <c r="AG5716">
        <v>1.66497599999999</v>
      </c>
      <c r="AH5716">
        <v>116.462135359611</v>
      </c>
      <c r="AI5716">
        <v>89.181405516216103</v>
      </c>
      <c r="AJ5716">
        <v>91.934143164276705</v>
      </c>
      <c r="AK5716">
        <v>116.54041797713499</v>
      </c>
      <c r="AL5716">
        <v>78.368496313612496</v>
      </c>
      <c r="AM5716">
        <v>97.964675625163196</v>
      </c>
      <c r="AN5716">
        <v>0.99999998328517403</v>
      </c>
    </row>
    <row r="5717" spans="1:40" x14ac:dyDescent="0.25">
      <c r="A5717" t="str">
        <f>"20190304155216473"</f>
        <v>20190304155216473</v>
      </c>
      <c r="B5717" t="str">
        <f>"1551685936463089"</f>
        <v>1551685936463089</v>
      </c>
      <c r="C5717" t="s">
        <v>40</v>
      </c>
      <c r="D5717">
        <v>5.0175979999999996</v>
      </c>
      <c r="E5717">
        <v>0.53860469999999905</v>
      </c>
      <c r="F5717" t="s">
        <v>99</v>
      </c>
      <c r="G5717">
        <v>-273.40989999999999</v>
      </c>
      <c r="H5717">
        <v>2.6384379999999998</v>
      </c>
      <c r="I5717">
        <v>14.39561</v>
      </c>
      <c r="J5717">
        <v>-390.40859999999998</v>
      </c>
      <c r="K5717">
        <v>1.110716</v>
      </c>
      <c r="L5717">
        <v>18.41132</v>
      </c>
      <c r="M5717">
        <v>0.9976817</v>
      </c>
      <c r="N5717">
        <v>-9.3928770000000009E-3</v>
      </c>
      <c r="O5717">
        <v>-6.7403290000000005E-2</v>
      </c>
      <c r="P5717">
        <v>0.97893459999999999</v>
      </c>
      <c r="Q5717">
        <v>0.19228290000000001</v>
      </c>
      <c r="R5717">
        <v>6.8662379999999995E-2</v>
      </c>
      <c r="S5717">
        <v>3.0643009999999999</v>
      </c>
      <c r="T5717">
        <v>3.993058E-2</v>
      </c>
      <c r="U5717">
        <v>-0.1053467</v>
      </c>
      <c r="V5717">
        <v>-0.13475100000000001</v>
      </c>
      <c r="W5717">
        <v>0.2012321</v>
      </c>
      <c r="X5717">
        <v>0.97023079999999995</v>
      </c>
      <c r="Y5717">
        <v>-3.3068489999999999E-2</v>
      </c>
      <c r="Z5717">
        <v>-1.5707379999999999E-3</v>
      </c>
      <c r="AA5717">
        <v>0.99945189999999995</v>
      </c>
      <c r="AB5717">
        <v>23</v>
      </c>
      <c r="AC5717">
        <v>116.9987</v>
      </c>
      <c r="AD5717">
        <v>1.527722</v>
      </c>
      <c r="AE5717">
        <v>-4.0157099999999897</v>
      </c>
      <c r="AF5717">
        <v>-3.8792070568807802</v>
      </c>
      <c r="AG5717">
        <v>1.527722</v>
      </c>
      <c r="AH5717">
        <v>116.983361228097</v>
      </c>
      <c r="AI5717">
        <v>89.252210153625697</v>
      </c>
      <c r="AJ5717">
        <v>91.899251111663503</v>
      </c>
      <c r="AK5717">
        <v>117.057631046091</v>
      </c>
      <c r="AL5717">
        <v>78.390981839079402</v>
      </c>
      <c r="AM5717">
        <v>97.906972800990403</v>
      </c>
      <c r="AN5717">
        <v>0.99999999767002401</v>
      </c>
    </row>
    <row r="5718" spans="1:40" x14ac:dyDescent="0.25">
      <c r="A5718" t="str">
        <f>"20190304155216486"</f>
        <v>20190304155216486</v>
      </c>
      <c r="B5718" t="str">
        <f>"1551685936482609"</f>
        <v>1551685936482609</v>
      </c>
      <c r="C5718" t="s">
        <v>40</v>
      </c>
      <c r="D5718">
        <v>4.9007319999999996</v>
      </c>
      <c r="E5718">
        <v>0.53801669999999902</v>
      </c>
      <c r="F5718" t="s">
        <v>99</v>
      </c>
      <c r="G5718">
        <v>-273.40989999999999</v>
      </c>
      <c r="H5718">
        <v>2.2351450000000002</v>
      </c>
      <c r="I5718">
        <v>14.263730000000001</v>
      </c>
      <c r="J5718">
        <v>-390.26940000000002</v>
      </c>
      <c r="K5718">
        <v>1.110649</v>
      </c>
      <c r="L5718">
        <v>18.402560000000001</v>
      </c>
      <c r="M5718">
        <v>0.99771909999999997</v>
      </c>
      <c r="N5718">
        <v>-9.3902469999999991E-3</v>
      </c>
      <c r="O5718">
        <v>-6.6845920000000003E-2</v>
      </c>
      <c r="P5718">
        <v>0.9790586</v>
      </c>
      <c r="Q5718">
        <v>0.19161449999999999</v>
      </c>
      <c r="R5718">
        <v>6.8761589999999997E-2</v>
      </c>
      <c r="S5718">
        <v>3.0664060000000002</v>
      </c>
      <c r="T5718">
        <v>2.9470090000000001E-2</v>
      </c>
      <c r="U5718">
        <v>-0.1087036</v>
      </c>
      <c r="V5718">
        <v>-0.1342825</v>
      </c>
      <c r="W5718">
        <v>0.20058509999999999</v>
      </c>
      <c r="X5718">
        <v>0.97042969999999895</v>
      </c>
      <c r="Y5718">
        <v>-3.1446479999999999E-2</v>
      </c>
      <c r="Z5718">
        <v>-1.2730549999999999E-3</v>
      </c>
      <c r="AA5718">
        <v>0.99950459999999997</v>
      </c>
      <c r="AB5718">
        <v>23</v>
      </c>
      <c r="AC5718">
        <v>116.8595</v>
      </c>
      <c r="AD5718">
        <v>1.1244959999999999</v>
      </c>
      <c r="AE5718">
        <v>-4.1388299999999996</v>
      </c>
      <c r="AF5718">
        <v>-3.68201296959678</v>
      </c>
      <c r="AG5718">
        <v>1.1244959999999999</v>
      </c>
      <c r="AH5718">
        <v>116.86396708471</v>
      </c>
      <c r="AI5718">
        <v>89.448975280747902</v>
      </c>
      <c r="AJ5718">
        <v>91.804611323285002</v>
      </c>
      <c r="AK5718">
        <v>116.92736426319701</v>
      </c>
      <c r="AL5718">
        <v>78.428823686811796</v>
      </c>
      <c r="AM5718">
        <v>97.878233124313596</v>
      </c>
      <c r="AN5718">
        <v>0.99999998739517404</v>
      </c>
    </row>
    <row r="5719" spans="1:40" x14ac:dyDescent="0.25">
      <c r="A5719" t="str">
        <f>"20190304155216507"</f>
        <v>20190304155216507</v>
      </c>
      <c r="B5719" t="str">
        <f>"1551685936503106"</f>
        <v>1551685936503106</v>
      </c>
      <c r="C5719" t="s">
        <v>40</v>
      </c>
      <c r="D5719">
        <v>4.9664449999999896</v>
      </c>
      <c r="E5719">
        <v>0.53828109999999996</v>
      </c>
      <c r="F5719" t="s">
        <v>99</v>
      </c>
      <c r="G5719">
        <v>-273.40989999999999</v>
      </c>
      <c r="H5719">
        <v>1.768181</v>
      </c>
      <c r="I5719">
        <v>14.43544</v>
      </c>
      <c r="J5719">
        <v>-390.07049999999998</v>
      </c>
      <c r="K5719">
        <v>1.1105590000000001</v>
      </c>
      <c r="L5719">
        <v>18.390080000000001</v>
      </c>
      <c r="M5719">
        <v>0.99776260000000006</v>
      </c>
      <c r="N5719">
        <v>-9.3871289999999993E-3</v>
      </c>
      <c r="O5719">
        <v>-6.6192570000000006E-2</v>
      </c>
      <c r="P5719">
        <v>0.97933919999999997</v>
      </c>
      <c r="Q5719">
        <v>0.19031600000000001</v>
      </c>
      <c r="R5719">
        <v>6.8371790000000002E-2</v>
      </c>
      <c r="S5719">
        <v>3.068146</v>
      </c>
      <c r="T5719">
        <v>1.7263529999999999E-2</v>
      </c>
      <c r="U5719">
        <v>-0.1041565</v>
      </c>
      <c r="V5719">
        <v>-0.13323160000000001</v>
      </c>
      <c r="W5719">
        <v>0.1993162</v>
      </c>
      <c r="X5719">
        <v>0.97083589999999997</v>
      </c>
      <c r="Y5719">
        <v>-3.2296539999999999E-2</v>
      </c>
      <c r="Z5719">
        <v>-9.329249E-4</v>
      </c>
      <c r="AA5719">
        <v>0.99947790000000003</v>
      </c>
      <c r="AB5719">
        <v>23</v>
      </c>
      <c r="AC5719">
        <v>116.6606</v>
      </c>
      <c r="AD5719">
        <v>0.65762200000000004</v>
      </c>
      <c r="AE5719">
        <v>-3.9546399999999902</v>
      </c>
      <c r="AF5719">
        <v>-3.7763199880012102</v>
      </c>
      <c r="AG5719">
        <v>0.65762200000000004</v>
      </c>
      <c r="AH5719">
        <v>116.662801633706</v>
      </c>
      <c r="AI5719">
        <v>89.677199228194894</v>
      </c>
      <c r="AJ5719">
        <v>91.853990072033099</v>
      </c>
      <c r="AK5719">
        <v>116.725756987788</v>
      </c>
      <c r="AL5719">
        <v>78.503024590748893</v>
      </c>
      <c r="AM5719">
        <v>97.814112654225497</v>
      </c>
      <c r="AN5719">
        <v>0.99999997577490396</v>
      </c>
    </row>
    <row r="5720" spans="1:40" x14ac:dyDescent="0.25">
      <c r="A5720" t="str">
        <f>"20190304155216518"</f>
        <v>20190304155216518</v>
      </c>
      <c r="B5720" t="str">
        <f>"1551685936512865"</f>
        <v>1551685936512865</v>
      </c>
      <c r="C5720" t="s">
        <v>40</v>
      </c>
      <c r="D5720">
        <v>5.192882</v>
      </c>
      <c r="E5720">
        <v>0.53820649999999903</v>
      </c>
      <c r="F5720" t="s">
        <v>99</v>
      </c>
      <c r="G5720">
        <v>-273.40989999999999</v>
      </c>
      <c r="H5720">
        <v>1.402245</v>
      </c>
      <c r="I5720">
        <v>14.304779999999999</v>
      </c>
      <c r="J5720">
        <v>-389.94299999999998</v>
      </c>
      <c r="K5720">
        <v>1.110492</v>
      </c>
      <c r="L5720">
        <v>18.382079999999998</v>
      </c>
      <c r="M5720">
        <v>0.99778370000000005</v>
      </c>
      <c r="N5720">
        <v>-9.3828499999999999E-3</v>
      </c>
      <c r="O5720">
        <v>-6.5875390000000006E-2</v>
      </c>
      <c r="P5720">
        <v>0.97948060000000003</v>
      </c>
      <c r="Q5720">
        <v>0.1897597</v>
      </c>
      <c r="R5720">
        <v>6.789075E-2</v>
      </c>
      <c r="S5720">
        <v>3.0693049999999999</v>
      </c>
      <c r="T5720">
        <v>7.6742169999999997E-3</v>
      </c>
      <c r="U5720">
        <v>-0.10748290000000001</v>
      </c>
      <c r="V5720">
        <v>-0.13242179999999901</v>
      </c>
      <c r="W5720">
        <v>0.19877880000000001</v>
      </c>
      <c r="X5720">
        <v>0.9710569</v>
      </c>
      <c r="Y5720">
        <v>-3.0912390000000001E-2</v>
      </c>
      <c r="Z5720">
        <v>-6.7651739999999999E-4</v>
      </c>
      <c r="AA5720">
        <v>0.99952189999999996</v>
      </c>
      <c r="AB5720">
        <v>23</v>
      </c>
      <c r="AC5720">
        <v>116.5331</v>
      </c>
      <c r="AD5720">
        <v>0.29175299999999899</v>
      </c>
      <c r="AE5720">
        <v>-4.0772999999999904</v>
      </c>
      <c r="AF5720">
        <v>-3.6085363380140101</v>
      </c>
      <c r="AG5720">
        <v>0.29175299999999899</v>
      </c>
      <c r="AH5720">
        <v>116.54782708557801</v>
      </c>
      <c r="AI5720">
        <v>89.856641050433694</v>
      </c>
      <c r="AJ5720">
        <v>91.773416787559697</v>
      </c>
      <c r="AK5720">
        <v>116.60404217987301</v>
      </c>
      <c r="AL5720">
        <v>78.534444609640701</v>
      </c>
      <c r="AM5720">
        <v>97.765452753815396</v>
      </c>
      <c r="AN5720">
        <v>1.0000000237411399</v>
      </c>
    </row>
    <row r="5721" spans="1:40" x14ac:dyDescent="0.25">
      <c r="A5721" t="str">
        <f>"20190304155216531"</f>
        <v>20190304155216531</v>
      </c>
      <c r="B5721" t="str">
        <f>"1551685936522626"</f>
        <v>1551685936522626</v>
      </c>
      <c r="C5721" t="s">
        <v>40</v>
      </c>
      <c r="D5721">
        <v>4.9373279999999999</v>
      </c>
      <c r="E5721">
        <v>0.53815440000000003</v>
      </c>
      <c r="F5721" t="s">
        <v>97</v>
      </c>
      <c r="G5721">
        <v>-279.68</v>
      </c>
      <c r="H5721">
        <v>1.1915420000000001</v>
      </c>
      <c r="I5721">
        <v>14.491989999999999</v>
      </c>
      <c r="J5721">
        <v>-389.81229999999999</v>
      </c>
      <c r="K5721">
        <v>1.11042</v>
      </c>
      <c r="L5721">
        <v>18.373809999999999</v>
      </c>
      <c r="M5721">
        <v>0.99780250000000004</v>
      </c>
      <c r="N5721">
        <v>-9.3776320000000003E-3</v>
      </c>
      <c r="O5721">
        <v>-6.5593200000000004E-2</v>
      </c>
      <c r="P5721">
        <v>0.97954399999999997</v>
      </c>
      <c r="Q5721">
        <v>0.18952649999999999</v>
      </c>
      <c r="R5721">
        <v>6.762667E-2</v>
      </c>
      <c r="S5721">
        <v>3.0699160000000001</v>
      </c>
      <c r="T5721">
        <v>2.2566320000000002E-3</v>
      </c>
      <c r="U5721">
        <v>-0.1083069</v>
      </c>
      <c r="V5721">
        <v>-0.1318539</v>
      </c>
      <c r="W5721">
        <v>0.19856380000000001</v>
      </c>
      <c r="X5721">
        <v>0.97117810000000004</v>
      </c>
      <c r="Y5721">
        <v>-3.0369819999999999E-2</v>
      </c>
      <c r="Z5721">
        <v>-5.3231369999999999E-4</v>
      </c>
      <c r="AA5721">
        <v>0.99953860000000005</v>
      </c>
      <c r="AB5721">
        <v>23</v>
      </c>
      <c r="AC5721">
        <v>110.1323</v>
      </c>
      <c r="AD5721">
        <v>8.1122000000000097E-2</v>
      </c>
      <c r="AE5721">
        <v>-3.8818199999999998</v>
      </c>
      <c r="AF5721">
        <v>-3.35078540451096</v>
      </c>
      <c r="AG5721">
        <v>8.1122000000000097E-2</v>
      </c>
      <c r="AH5721">
        <v>110.149675920668</v>
      </c>
      <c r="AI5721">
        <v>89.957822860149903</v>
      </c>
      <c r="AJ5721">
        <v>91.742417053153005</v>
      </c>
      <c r="AK5721">
        <v>110.20065993012101</v>
      </c>
      <c r="AL5721">
        <v>78.547013103276797</v>
      </c>
      <c r="AM5721">
        <v>97.731600508868098</v>
      </c>
      <c r="AN5721">
        <v>0.99999996776762901</v>
      </c>
    </row>
    <row r="5722" spans="1:40" x14ac:dyDescent="0.25">
      <c r="A5722" t="str">
        <f>"20190304155216544"</f>
        <v>20190304155216544</v>
      </c>
      <c r="B5722" t="str">
        <f>"1551685936532386"</f>
        <v>1551685936532386</v>
      </c>
      <c r="C5722" t="s">
        <v>40</v>
      </c>
      <c r="D5722">
        <v>5.0353250000000003</v>
      </c>
      <c r="E5722">
        <v>0.5381262</v>
      </c>
      <c r="F5722" t="s">
        <v>97</v>
      </c>
      <c r="G5722">
        <v>-279.68</v>
      </c>
      <c r="H5722">
        <v>1.043331</v>
      </c>
      <c r="I5722">
        <v>14.481400000000001</v>
      </c>
      <c r="J5722">
        <v>-389.6748</v>
      </c>
      <c r="K5722">
        <v>1.1103369999999999</v>
      </c>
      <c r="L5722">
        <v>18.36514</v>
      </c>
      <c r="M5722">
        <v>0.99781640000000005</v>
      </c>
      <c r="N5722">
        <v>-9.3705000000000004E-3</v>
      </c>
      <c r="O5722">
        <v>-6.5381350000000005E-2</v>
      </c>
      <c r="P5722">
        <v>0.97957059999999996</v>
      </c>
      <c r="Q5722">
        <v>0.1894479</v>
      </c>
      <c r="R5722">
        <v>6.7462889999999998E-2</v>
      </c>
      <c r="S5722">
        <v>3.0704959999999999</v>
      </c>
      <c r="T5722">
        <v>-1.870394E-3</v>
      </c>
      <c r="U5722">
        <v>-0.10852050000000001</v>
      </c>
      <c r="V5722">
        <v>-0.13144800000000001</v>
      </c>
      <c r="W5722">
        <v>0.19850400000000001</v>
      </c>
      <c r="X5722">
        <v>0.97124540000000004</v>
      </c>
      <c r="Y5722">
        <v>-3.0095449999999999E-2</v>
      </c>
      <c r="Z5722">
        <v>-4.229867E-4</v>
      </c>
      <c r="AA5722">
        <v>0.99954690000000002</v>
      </c>
      <c r="AB5722">
        <v>23</v>
      </c>
      <c r="AC5722">
        <v>109.9948</v>
      </c>
      <c r="AD5722">
        <v>-6.7006000000000093E-2</v>
      </c>
      <c r="AE5722">
        <v>-3.88374</v>
      </c>
      <c r="AF5722">
        <v>-3.3164932721011402</v>
      </c>
      <c r="AG5722">
        <v>-6.7006000000000093E-2</v>
      </c>
      <c r="AH5722">
        <v>110.013323539472</v>
      </c>
      <c r="AI5722">
        <v>90.034881386003903</v>
      </c>
      <c r="AJ5722">
        <v>91.726732080275099</v>
      </c>
      <c r="AK5722">
        <v>110.063322563098</v>
      </c>
      <c r="AL5722">
        <v>78.550509596078101</v>
      </c>
      <c r="AM5722">
        <v>97.707558376244194</v>
      </c>
      <c r="AN5722">
        <v>1.0000000208705699</v>
      </c>
    </row>
    <row r="5723" spans="1:40" x14ac:dyDescent="0.25">
      <c r="A5723" t="str">
        <f>"20190304155216563"</f>
        <v>20190304155216563</v>
      </c>
      <c r="B5723" t="str">
        <f>"1551685936552885"</f>
        <v>1551685936552885</v>
      </c>
      <c r="C5723" t="s">
        <v>40</v>
      </c>
      <c r="D5723">
        <v>4.9220470000000001</v>
      </c>
      <c r="E5723">
        <v>0.53781859999999904</v>
      </c>
      <c r="F5723" t="s">
        <v>97</v>
      </c>
      <c r="G5723">
        <v>-279.68</v>
      </c>
      <c r="H5723">
        <v>0.93297739999999996</v>
      </c>
      <c r="I5723">
        <v>14.47931</v>
      </c>
      <c r="J5723">
        <v>-389.47680000000003</v>
      </c>
      <c r="K5723">
        <v>1.1102160000000001</v>
      </c>
      <c r="L5723">
        <v>18.352509999999999</v>
      </c>
      <c r="M5723">
        <v>0.99782879999999996</v>
      </c>
      <c r="N5723">
        <v>-9.360452E-3</v>
      </c>
      <c r="O5723">
        <v>-6.5192899999999998E-2</v>
      </c>
      <c r="P5723">
        <v>0.97950689999999996</v>
      </c>
      <c r="Q5723">
        <v>0.18992049999999999</v>
      </c>
      <c r="R5723">
        <v>6.7058779999999998E-2</v>
      </c>
      <c r="S5723">
        <v>3.0709840000000002</v>
      </c>
      <c r="T5723">
        <v>-4.9517149999999998E-3</v>
      </c>
      <c r="U5723">
        <v>-0.10849</v>
      </c>
      <c r="V5723">
        <v>-0.1308018</v>
      </c>
      <c r="W5723">
        <v>0.19900309999999999</v>
      </c>
      <c r="X5723">
        <v>0.9712305</v>
      </c>
      <c r="Y5723">
        <v>-2.9922589999999999E-2</v>
      </c>
      <c r="Z5723">
        <v>-3.413531E-4</v>
      </c>
      <c r="AA5723">
        <v>0.9995522</v>
      </c>
      <c r="AB5723">
        <v>23</v>
      </c>
      <c r="AC5723">
        <v>109.7968</v>
      </c>
      <c r="AD5723">
        <v>-0.1772386</v>
      </c>
      <c r="AE5723">
        <v>-3.8732000000000002</v>
      </c>
      <c r="AF5723">
        <v>-3.29331692775677</v>
      </c>
      <c r="AG5723">
        <v>-0.1772386</v>
      </c>
      <c r="AH5723">
        <v>109.815437008172</v>
      </c>
      <c r="AI5723">
        <v>90.092431917717207</v>
      </c>
      <c r="AJ5723">
        <v>91.717760522919093</v>
      </c>
      <c r="AK5723">
        <v>109.864951441321</v>
      </c>
      <c r="AL5723">
        <v>78.521331073082607</v>
      </c>
      <c r="AM5723">
        <v>97.670236352594202</v>
      </c>
      <c r="AN5723">
        <v>1.00000001441155</v>
      </c>
    </row>
    <row r="5724" spans="1:40" x14ac:dyDescent="0.25">
      <c r="A5724" t="str">
        <f>"20190304155216576"</f>
        <v>20190304155216576</v>
      </c>
      <c r="B5724" t="str">
        <f>"1551685936572402"</f>
        <v>1551685936572402</v>
      </c>
      <c r="C5724" t="s">
        <v>40</v>
      </c>
      <c r="D5724">
        <v>5.0020369999999996</v>
      </c>
      <c r="E5724">
        <v>0.53757080000000002</v>
      </c>
      <c r="F5724" t="s">
        <v>97</v>
      </c>
      <c r="G5724">
        <v>-279.68</v>
      </c>
      <c r="H5724">
        <v>0.81178009999999901</v>
      </c>
      <c r="I5724">
        <v>14.514989999999999</v>
      </c>
      <c r="J5724">
        <v>-389.34449999999998</v>
      </c>
      <c r="K5724">
        <v>1.1101460000000001</v>
      </c>
      <c r="L5724">
        <v>18.343959999999999</v>
      </c>
      <c r="M5724">
        <v>0.99783239999999995</v>
      </c>
      <c r="N5724">
        <v>-9.3526939999999999E-3</v>
      </c>
      <c r="O5724">
        <v>-6.5139580000000002E-2</v>
      </c>
      <c r="P5724">
        <v>0.97949050000000004</v>
      </c>
      <c r="Q5724">
        <v>0.1900416</v>
      </c>
      <c r="R5724">
        <v>6.695284E-2</v>
      </c>
      <c r="S5724">
        <v>3.0717469999999998</v>
      </c>
      <c r="T5724">
        <v>-8.3491799999999994E-3</v>
      </c>
      <c r="U5724">
        <v>-0.10736080000000001</v>
      </c>
      <c r="V5724">
        <v>-0.1306078</v>
      </c>
      <c r="W5724">
        <v>0.1991405</v>
      </c>
      <c r="X5724">
        <v>0.97122839999999999</v>
      </c>
      <c r="Y5724">
        <v>-3.02452E-2</v>
      </c>
      <c r="Z5724">
        <v>-2.501278E-4</v>
      </c>
      <c r="AA5724">
        <v>0.9995425</v>
      </c>
      <c r="AB5724">
        <v>24</v>
      </c>
      <c r="AC5724">
        <v>109.66449999999899</v>
      </c>
      <c r="AD5724">
        <v>-0.29836590000000002</v>
      </c>
      <c r="AE5724">
        <v>-3.8289699999999902</v>
      </c>
      <c r="AF5724">
        <v>-3.3229496906370701</v>
      </c>
      <c r="AG5724">
        <v>-0.29836590000000002</v>
      </c>
      <c r="AH5724">
        <v>109.680187519981</v>
      </c>
      <c r="AI5724">
        <v>90.155791349102898</v>
      </c>
      <c r="AJ5724">
        <v>91.735343241464307</v>
      </c>
      <c r="AK5724">
        <v>109.730918848222</v>
      </c>
      <c r="AL5724">
        <v>78.513297336806005</v>
      </c>
      <c r="AM5724">
        <v>97.659011663524197</v>
      </c>
      <c r="AN5724">
        <v>0.99999997056382395</v>
      </c>
    </row>
    <row r="5725" spans="1:40" x14ac:dyDescent="0.25">
      <c r="A5725" t="str">
        <f>"20190304155216588"</f>
        <v>20190304155216588</v>
      </c>
      <c r="B5725" t="str">
        <f>"1551685936583138"</f>
        <v>1551685936583138</v>
      </c>
      <c r="C5725" t="s">
        <v>40</v>
      </c>
      <c r="D5725">
        <v>4.9454690000000001</v>
      </c>
      <c r="E5725">
        <v>0.53749749999999996</v>
      </c>
      <c r="F5725" t="s">
        <v>97</v>
      </c>
      <c r="G5725">
        <v>-279.68</v>
      </c>
      <c r="H5725">
        <v>0.58526709999999904</v>
      </c>
      <c r="I5725">
        <v>14.559380000000001</v>
      </c>
      <c r="J5725">
        <v>-389.20190000000002</v>
      </c>
      <c r="K5725">
        <v>1.1100650000000001</v>
      </c>
      <c r="L5725">
        <v>18.33475</v>
      </c>
      <c r="M5725">
        <v>0.99783339999999998</v>
      </c>
      <c r="N5725">
        <v>-9.3434399999999997E-3</v>
      </c>
      <c r="O5725">
        <v>-6.5126959999999998E-2</v>
      </c>
      <c r="P5725">
        <v>0.97942870000000004</v>
      </c>
      <c r="Q5725">
        <v>0.19028600000000001</v>
      </c>
      <c r="R5725">
        <v>6.7164730000000006E-2</v>
      </c>
      <c r="S5725">
        <v>3.072937</v>
      </c>
      <c r="T5725">
        <v>-1.4707680000000001E-2</v>
      </c>
      <c r="U5725">
        <v>-0.10604860000000001</v>
      </c>
      <c r="V5725">
        <v>-0.1307652</v>
      </c>
      <c r="W5725">
        <v>0.1993994</v>
      </c>
      <c r="X5725">
        <v>0.97115419999999997</v>
      </c>
      <c r="Y5725">
        <v>-3.067259E-2</v>
      </c>
      <c r="Z5725" s="1">
        <v>-8.0754419999999995E-5</v>
      </c>
      <c r="AA5725">
        <v>0.99952949999999996</v>
      </c>
      <c r="AB5725">
        <v>24</v>
      </c>
      <c r="AC5725">
        <v>109.5219</v>
      </c>
      <c r="AD5725">
        <v>-0.52479789999999904</v>
      </c>
      <c r="AE5725">
        <v>-3.7753700000000001</v>
      </c>
      <c r="AF5725">
        <v>-3.3657073197435201</v>
      </c>
      <c r="AG5725">
        <v>-0.52479789999999904</v>
      </c>
      <c r="AH5725">
        <v>109.532740337128</v>
      </c>
      <c r="AI5725">
        <v>90.274386357001006</v>
      </c>
      <c r="AJ5725">
        <v>91.760023210585601</v>
      </c>
      <c r="AK5725">
        <v>109.585695254256</v>
      </c>
      <c r="AL5725">
        <v>78.498161021747805</v>
      </c>
      <c r="AM5725">
        <v>97.668710949825098</v>
      </c>
      <c r="AN5725">
        <v>1.0000000692145099</v>
      </c>
    </row>
    <row r="5726" spans="1:40" x14ac:dyDescent="0.25">
      <c r="A5726" t="str">
        <f>"20190304155216606"</f>
        <v>20190304155216606</v>
      </c>
      <c r="B5726" t="str">
        <f>"1551685936602658"</f>
        <v>1551685936602658</v>
      </c>
      <c r="C5726" t="s">
        <v>40</v>
      </c>
      <c r="D5726">
        <v>5.0262440000000002</v>
      </c>
      <c r="E5726">
        <v>0.53750900000000001</v>
      </c>
      <c r="F5726" t="s">
        <v>97</v>
      </c>
      <c r="G5726">
        <v>-279.68</v>
      </c>
      <c r="H5726">
        <v>0.52311980000000002</v>
      </c>
      <c r="I5726">
        <v>14.58614</v>
      </c>
      <c r="J5726">
        <v>-389.01549999999997</v>
      </c>
      <c r="K5726">
        <v>1.109966</v>
      </c>
      <c r="L5726">
        <v>18.322569999999999</v>
      </c>
      <c r="M5726">
        <v>0.99782749999999998</v>
      </c>
      <c r="N5726">
        <v>-9.3289280000000002E-3</v>
      </c>
      <c r="O5726">
        <v>-6.5218070000000003E-2</v>
      </c>
      <c r="P5726">
        <v>0.97953250000000003</v>
      </c>
      <c r="Q5726">
        <v>0.18977640000000001</v>
      </c>
      <c r="R5726">
        <v>6.7089739999999995E-2</v>
      </c>
      <c r="S5726">
        <v>3.0734249999999999</v>
      </c>
      <c r="T5726">
        <v>-1.6470909999999998E-2</v>
      </c>
      <c r="U5726">
        <v>-0.1051941</v>
      </c>
      <c r="V5726">
        <v>-0.13074240000000001</v>
      </c>
      <c r="W5726">
        <v>0.19890550000000001</v>
      </c>
      <c r="X5726">
        <v>0.97125850000000002</v>
      </c>
      <c r="Y5726">
        <v>-3.1046870000000001E-2</v>
      </c>
      <c r="Z5726" s="1">
        <v>-3.159008E-5</v>
      </c>
      <c r="AA5726">
        <v>0.99951789999999996</v>
      </c>
      <c r="AB5726">
        <v>24</v>
      </c>
      <c r="AC5726">
        <v>109.335499999999</v>
      </c>
      <c r="AD5726">
        <v>-0.58684619999999998</v>
      </c>
      <c r="AE5726">
        <v>-3.7364299999999999</v>
      </c>
      <c r="AF5726">
        <v>-3.4023875953487899</v>
      </c>
      <c r="AG5726">
        <v>-0.58684619999999998</v>
      </c>
      <c r="AH5726">
        <v>109.34325530570899</v>
      </c>
      <c r="AI5726">
        <v>90.307355235147995</v>
      </c>
      <c r="AJ5726">
        <v>91.782273340558604</v>
      </c>
      <c r="AK5726">
        <v>109.397751853778</v>
      </c>
      <c r="AL5726">
        <v>78.527037319028594</v>
      </c>
      <c r="AM5726">
        <v>97.666576173514599</v>
      </c>
      <c r="AN5726">
        <v>1.0000000234551201</v>
      </c>
    </row>
    <row r="5727" spans="1:40" x14ac:dyDescent="0.25">
      <c r="A5727" t="str">
        <f>"20190304155216619"</f>
        <v>20190304155216619</v>
      </c>
      <c r="B5727" t="str">
        <f>"1551685936612418"</f>
        <v>1551685936612418</v>
      </c>
      <c r="C5727" t="s">
        <v>40</v>
      </c>
      <c r="D5727">
        <v>5.0502190000000002</v>
      </c>
      <c r="E5727">
        <v>0.53758640000000002</v>
      </c>
      <c r="F5727" t="s">
        <v>97</v>
      </c>
      <c r="G5727">
        <v>-279.68</v>
      </c>
      <c r="H5727">
        <v>0.31716060000000001</v>
      </c>
      <c r="I5727">
        <v>14.564019999999999</v>
      </c>
      <c r="J5727">
        <v>-388.88369999999998</v>
      </c>
      <c r="K5727">
        <v>1.1099060000000001</v>
      </c>
      <c r="L5727">
        <v>18.313870000000001</v>
      </c>
      <c r="M5727">
        <v>0.99781839999999999</v>
      </c>
      <c r="N5727">
        <v>-9.3158479999999998E-3</v>
      </c>
      <c r="O5727">
        <v>-6.5359210000000001E-2</v>
      </c>
      <c r="P5727">
        <v>0.97957289999999997</v>
      </c>
      <c r="Q5727">
        <v>0.18955449999999999</v>
      </c>
      <c r="R5727">
        <v>6.7129690000000006E-2</v>
      </c>
      <c r="S5727">
        <v>3.0742799999999999</v>
      </c>
      <c r="T5727">
        <v>-2.22919E-2</v>
      </c>
      <c r="U5727">
        <v>-0.105682399999999</v>
      </c>
      <c r="V5727">
        <v>-0.1308965</v>
      </c>
      <c r="W5727">
        <v>0.19868859999999999</v>
      </c>
      <c r="X5727">
        <v>0.97128210000000004</v>
      </c>
      <c r="Y5727">
        <v>-3.1038900000000001E-2</v>
      </c>
      <c r="Z5727">
        <v>1.213096E-4</v>
      </c>
      <c r="AA5727">
        <v>0.99951820000000002</v>
      </c>
      <c r="AB5727">
        <v>24</v>
      </c>
      <c r="AC5727">
        <v>109.203699999999</v>
      </c>
      <c r="AD5727">
        <v>-0.79274540000000004</v>
      </c>
      <c r="AE5727">
        <v>-3.7498499999999999</v>
      </c>
      <c r="AF5727">
        <v>-3.3957665669302601</v>
      </c>
      <c r="AG5727">
        <v>-0.79274540000000004</v>
      </c>
      <c r="AH5727">
        <v>109.20953001833701</v>
      </c>
      <c r="AI5727">
        <v>90.415698406100603</v>
      </c>
      <c r="AJ5727">
        <v>91.780983994936307</v>
      </c>
      <c r="AK5727">
        <v>109.265187148846</v>
      </c>
      <c r="AL5727">
        <v>78.539717429137895</v>
      </c>
      <c r="AM5727">
        <v>97.675320476334406</v>
      </c>
      <c r="AN5727">
        <v>0.99999998563130998</v>
      </c>
    </row>
    <row r="5728" spans="1:40" x14ac:dyDescent="0.25">
      <c r="A5728" t="str">
        <f>"20190304155216641"</f>
        <v>20190304155216641</v>
      </c>
      <c r="B5728" t="str">
        <f>"1551685936632917"</f>
        <v>1551685936632917</v>
      </c>
      <c r="C5728" t="s">
        <v>40</v>
      </c>
      <c r="D5728">
        <v>4.8667629999999997</v>
      </c>
      <c r="E5728">
        <v>0.53621649999999998</v>
      </c>
      <c r="F5728" t="s">
        <v>97</v>
      </c>
      <c r="G5728">
        <v>-279.68</v>
      </c>
      <c r="H5728">
        <v>0.26357150000000001</v>
      </c>
      <c r="I5728">
        <v>14.540570000000001</v>
      </c>
      <c r="J5728">
        <v>-388.65210000000002</v>
      </c>
      <c r="K5728">
        <v>1.1098129999999999</v>
      </c>
      <c r="L5728">
        <v>18.298369999999998</v>
      </c>
      <c r="M5728">
        <v>0.99779580000000001</v>
      </c>
      <c r="N5728">
        <v>-9.2910600000000003E-3</v>
      </c>
      <c r="O5728">
        <v>-6.5706810000000004E-2</v>
      </c>
      <c r="P5728">
        <v>0.97963789999999995</v>
      </c>
      <c r="Q5728">
        <v>0.18910730000000001</v>
      </c>
      <c r="R5728">
        <v>6.7442829999999995E-2</v>
      </c>
      <c r="S5728">
        <v>3.0744630000000002</v>
      </c>
      <c r="T5728">
        <v>-2.38272E-2</v>
      </c>
      <c r="U5728">
        <v>-0.1062317</v>
      </c>
      <c r="V5728">
        <v>-0.13151009999999999</v>
      </c>
      <c r="W5728">
        <v>0.19824559999999999</v>
      </c>
      <c r="X5728">
        <v>0.97128979999999998</v>
      </c>
      <c r="Y5728">
        <v>-3.121063E-2</v>
      </c>
      <c r="Z5728">
        <v>1.6377350000000001E-4</v>
      </c>
      <c r="AA5728">
        <v>0.99951279999999998</v>
      </c>
      <c r="AB5728">
        <v>24</v>
      </c>
      <c r="AC5728">
        <v>108.9721</v>
      </c>
      <c r="AD5728">
        <v>-0.84624149999999898</v>
      </c>
      <c r="AE5728">
        <v>-3.7578</v>
      </c>
      <c r="AF5728">
        <v>-3.4106335129325598</v>
      </c>
      <c r="AG5728">
        <v>-0.84624149999999898</v>
      </c>
      <c r="AH5728">
        <v>108.976947554666</v>
      </c>
      <c r="AI5728">
        <v>90.444693726088104</v>
      </c>
      <c r="AJ5728">
        <v>91.792591416569607</v>
      </c>
      <c r="AK5728">
        <v>109.033589521617</v>
      </c>
      <c r="AL5728">
        <v>78.565615364020502</v>
      </c>
      <c r="AM5728">
        <v>97.710807603732803</v>
      </c>
      <c r="AN5728">
        <v>1.0000000499527</v>
      </c>
    </row>
    <row r="5729" spans="1:40" x14ac:dyDescent="0.25">
      <c r="A5729" t="str">
        <f>"20190304155216657"</f>
        <v>20190304155216657</v>
      </c>
      <c r="B5729" t="str">
        <f>"1551685936652792"</f>
        <v>1551685936652792</v>
      </c>
      <c r="C5729" t="s">
        <v>40</v>
      </c>
      <c r="D5729">
        <v>5.0568269999999904</v>
      </c>
      <c r="E5729">
        <v>0.53628640000000005</v>
      </c>
      <c r="F5729" t="s">
        <v>97</v>
      </c>
      <c r="G5729">
        <v>-279.68</v>
      </c>
      <c r="H5729">
        <v>0.13382759999999999</v>
      </c>
      <c r="I5729">
        <v>14.931929999999999</v>
      </c>
      <c r="J5729">
        <v>-388.48500000000001</v>
      </c>
      <c r="K5729">
        <v>1.109756</v>
      </c>
      <c r="L5729">
        <v>18.28708</v>
      </c>
      <c r="M5729">
        <v>0.99777320000000003</v>
      </c>
      <c r="N5729">
        <v>-9.2730480000000007E-3</v>
      </c>
      <c r="O5729">
        <v>-6.6050890000000001E-2</v>
      </c>
      <c r="P5729">
        <v>0.97964569999999995</v>
      </c>
      <c r="Q5729">
        <v>0.1891014</v>
      </c>
      <c r="R5729">
        <v>6.7341699999999893E-2</v>
      </c>
      <c r="S5729">
        <v>3.0742189999999998</v>
      </c>
      <c r="T5729">
        <v>-2.7533530000000001E-2</v>
      </c>
      <c r="U5729">
        <v>-9.4970700000000005E-2</v>
      </c>
      <c r="V5729">
        <v>-0.13171729999999901</v>
      </c>
      <c r="W5729">
        <v>0.1982409</v>
      </c>
      <c r="X5729">
        <v>0.97126259999999998</v>
      </c>
      <c r="Y5729">
        <v>-3.520889E-2</v>
      </c>
      <c r="Z5729">
        <v>2.9901640000000001E-4</v>
      </c>
      <c r="AA5729">
        <v>0.99937989999999999</v>
      </c>
      <c r="AB5729">
        <v>24</v>
      </c>
      <c r="AC5729">
        <v>108.80500000000001</v>
      </c>
      <c r="AD5729">
        <v>-0.97592840000000003</v>
      </c>
      <c r="AE5729">
        <v>-3.3551500000000001</v>
      </c>
      <c r="AF5729">
        <v>-3.8388447202086602</v>
      </c>
      <c r="AG5729">
        <v>-0.97592840000000003</v>
      </c>
      <c r="AH5729">
        <v>108.78025411298999</v>
      </c>
      <c r="AI5729">
        <v>90.513698882220197</v>
      </c>
      <c r="AJ5729">
        <v>92.021123814103902</v>
      </c>
      <c r="AK5729">
        <v>108.852344255484</v>
      </c>
      <c r="AL5729">
        <v>78.565889178839598</v>
      </c>
      <c r="AM5729">
        <v>97.723023491001001</v>
      </c>
      <c r="AN5729">
        <v>0.99999996985542905</v>
      </c>
    </row>
    <row r="5730" spans="1:40" x14ac:dyDescent="0.25">
      <c r="A5730" t="str">
        <f>"20190304155216675"</f>
        <v>20190304155216675</v>
      </c>
      <c r="B5730" t="str">
        <f>"1551685936672314"</f>
        <v>1551685936672314</v>
      </c>
      <c r="C5730" t="s">
        <v>40</v>
      </c>
      <c r="D5730">
        <v>5.063828</v>
      </c>
      <c r="E5730">
        <v>0.53648909999999905</v>
      </c>
      <c r="F5730" t="s">
        <v>97</v>
      </c>
      <c r="G5730">
        <v>-279.68</v>
      </c>
      <c r="H5730">
        <v>-2.532482E-3</v>
      </c>
      <c r="I5730">
        <v>14.892049999999999</v>
      </c>
      <c r="J5730">
        <v>-388.29</v>
      </c>
      <c r="K5730">
        <v>1.1096950000000001</v>
      </c>
      <c r="L5730">
        <v>18.273710000000001</v>
      </c>
      <c r="M5730">
        <v>0.99774149999999995</v>
      </c>
      <c r="N5730">
        <v>-9.2517309999999991E-3</v>
      </c>
      <c r="O5730">
        <v>-6.6531859999999998E-2</v>
      </c>
      <c r="P5730">
        <v>0.97944580000000003</v>
      </c>
      <c r="Q5730">
        <v>0.19002289999999999</v>
      </c>
      <c r="R5730">
        <v>6.7655919999999994E-2</v>
      </c>
      <c r="S5730">
        <v>3.074951</v>
      </c>
      <c r="T5730">
        <v>-3.1434419999999998E-2</v>
      </c>
      <c r="U5730">
        <v>-9.5947270000000001E-2</v>
      </c>
      <c r="V5730">
        <v>-0.13245479999999901</v>
      </c>
      <c r="W5730">
        <v>0.1991597</v>
      </c>
      <c r="X5730">
        <v>0.97097429999999996</v>
      </c>
      <c r="Y5730">
        <v>-3.5380219999999997E-2</v>
      </c>
      <c r="Z5730">
        <v>4.0801150000000002E-4</v>
      </c>
      <c r="AA5730">
        <v>0.99937390000000004</v>
      </c>
      <c r="AB5730">
        <v>24</v>
      </c>
      <c r="AC5730">
        <v>108.61</v>
      </c>
      <c r="AD5730">
        <v>-1.112227482</v>
      </c>
      <c r="AE5730">
        <v>-3.3816600000000001</v>
      </c>
      <c r="AF5730">
        <v>-3.8517637656725299</v>
      </c>
      <c r="AG5730">
        <v>-1.112227482</v>
      </c>
      <c r="AH5730">
        <v>108.58295413673</v>
      </c>
      <c r="AI5730">
        <v>90.586497763131504</v>
      </c>
      <c r="AJ5730">
        <v>92.0316016621627</v>
      </c>
      <c r="AK5730">
        <v>108.65694208442299</v>
      </c>
      <c r="AL5730">
        <v>78.512174831553594</v>
      </c>
      <c r="AM5730">
        <v>97.768017009439404</v>
      </c>
      <c r="AN5730">
        <v>0.99999997570380905</v>
      </c>
    </row>
    <row r="5731" spans="1:40" x14ac:dyDescent="0.25">
      <c r="A5731" t="str">
        <f>"20190304155216696"</f>
        <v>20190304155216696</v>
      </c>
      <c r="B5731" t="str">
        <f>"1551685936692808"</f>
        <v>1551685936692808</v>
      </c>
      <c r="C5731" t="s">
        <v>40</v>
      </c>
      <c r="D5731">
        <v>4.9892539999999999</v>
      </c>
      <c r="E5731">
        <v>0.53685769999999899</v>
      </c>
      <c r="F5731" t="s">
        <v>97</v>
      </c>
      <c r="G5731">
        <v>-279.68</v>
      </c>
      <c r="H5731">
        <v>3.4342890000000001E-2</v>
      </c>
      <c r="I5731">
        <v>14.87251</v>
      </c>
      <c r="J5731">
        <v>-388.06799999999998</v>
      </c>
      <c r="K5731">
        <v>1.1096379999999999</v>
      </c>
      <c r="L5731">
        <v>18.258299999999998</v>
      </c>
      <c r="M5731">
        <v>0.997699</v>
      </c>
      <c r="N5731">
        <v>-9.2254620000000002E-3</v>
      </c>
      <c r="O5731">
        <v>-6.7169489999999998E-2</v>
      </c>
      <c r="P5731">
        <v>0.97917549999999998</v>
      </c>
      <c r="Q5731">
        <v>0.1911033</v>
      </c>
      <c r="R5731">
        <v>6.8520460000000005E-2</v>
      </c>
      <c r="S5731">
        <v>3.0755620000000001</v>
      </c>
      <c r="T5731">
        <v>-3.0451180000000001E-2</v>
      </c>
      <c r="U5731">
        <v>-9.6313480000000007E-2</v>
      </c>
      <c r="V5731">
        <v>-0.1338878</v>
      </c>
      <c r="W5731">
        <v>0.2002343</v>
      </c>
      <c r="X5731">
        <v>0.97055670000000005</v>
      </c>
      <c r="Y5731">
        <v>-3.5906319999999999E-2</v>
      </c>
      <c r="Z5731">
        <v>3.8765799999999998E-4</v>
      </c>
      <c r="AA5731">
        <v>0.99935510000000005</v>
      </c>
      <c r="AB5731">
        <v>24</v>
      </c>
      <c r="AC5731">
        <v>108.38800000000001</v>
      </c>
      <c r="AD5731">
        <v>-1.0752951100000001</v>
      </c>
      <c r="AE5731">
        <v>-3.3857899999999899</v>
      </c>
      <c r="AF5731">
        <v>-3.9021494941957902</v>
      </c>
      <c r="AG5731">
        <v>-1.0752951100000001</v>
      </c>
      <c r="AH5731">
        <v>108.359970326357</v>
      </c>
      <c r="AI5731">
        <v>90.568179783841003</v>
      </c>
      <c r="AJ5731">
        <v>92.062386390500194</v>
      </c>
      <c r="AK5731">
        <v>108.435539374218</v>
      </c>
      <c r="AL5731">
        <v>78.449339561659201</v>
      </c>
      <c r="AM5731">
        <v>97.8543508775942</v>
      </c>
      <c r="AN5731">
        <v>1.0000000129001001</v>
      </c>
    </row>
    <row r="5732" spans="1:40" x14ac:dyDescent="0.25">
      <c r="A5732" t="str">
        <f>"20190304155216709"</f>
        <v>20190304155216709</v>
      </c>
      <c r="B5732" t="str">
        <f>"1551685936702569"</f>
        <v>1551685936702569</v>
      </c>
      <c r="C5732" t="s">
        <v>40</v>
      </c>
      <c r="D5732">
        <v>4.9858070000000003</v>
      </c>
      <c r="E5732">
        <v>0.53697779999999995</v>
      </c>
      <c r="F5732" t="s">
        <v>97</v>
      </c>
      <c r="G5732">
        <v>-279.68</v>
      </c>
      <c r="H5732">
        <v>6.1015840000000002E-2</v>
      </c>
      <c r="I5732">
        <v>14.83489</v>
      </c>
      <c r="J5732">
        <v>-387.93270000000001</v>
      </c>
      <c r="K5732">
        <v>1.1096029999999999</v>
      </c>
      <c r="L5732">
        <v>18.24878</v>
      </c>
      <c r="M5732">
        <v>0.99767070000000002</v>
      </c>
      <c r="N5732">
        <v>-9.2086900000000003E-3</v>
      </c>
      <c r="O5732">
        <v>-6.7591029999999996E-2</v>
      </c>
      <c r="P5732">
        <v>0.97907949999999999</v>
      </c>
      <c r="Q5732">
        <v>0.19155259999999999</v>
      </c>
      <c r="R5732">
        <v>6.8638969999999994E-2</v>
      </c>
      <c r="S5732">
        <v>3.076416</v>
      </c>
      <c r="T5732">
        <v>-2.9763339999999999E-2</v>
      </c>
      <c r="U5732">
        <v>-9.7167970000000006E-2</v>
      </c>
      <c r="V5732">
        <v>-0.13439229999999899</v>
      </c>
      <c r="W5732">
        <v>0.20067860000000001</v>
      </c>
      <c r="X5732">
        <v>0.97039520000000001</v>
      </c>
      <c r="Y5732">
        <v>-3.6060059999999998E-2</v>
      </c>
      <c r="Z5732">
        <v>3.708629E-4</v>
      </c>
      <c r="AA5732">
        <v>0.9993495</v>
      </c>
      <c r="AB5732">
        <v>24</v>
      </c>
      <c r="AC5732">
        <v>108.2527</v>
      </c>
      <c r="AD5732">
        <v>-1.0485871600000001</v>
      </c>
      <c r="AE5732">
        <v>-3.4138899999999999</v>
      </c>
      <c r="AF5732">
        <v>-3.9107723901366298</v>
      </c>
      <c r="AG5732">
        <v>-1.0485871600000001</v>
      </c>
      <c r="AH5732">
        <v>108.22573076965099</v>
      </c>
      <c r="AI5732">
        <v>90.554753066776996</v>
      </c>
      <c r="AJ5732">
        <v>92.069501399013703</v>
      </c>
      <c r="AK5732">
        <v>108.301442632795</v>
      </c>
      <c r="AL5732">
        <v>78.423355695125096</v>
      </c>
      <c r="AM5732">
        <v>97.884870795801803</v>
      </c>
      <c r="AN5732">
        <v>1.00000001749014</v>
      </c>
    </row>
    <row r="5733" spans="1:40" x14ac:dyDescent="0.25">
      <c r="A5733" t="str">
        <f>"20190304155216724"</f>
        <v>20190304155216724</v>
      </c>
      <c r="B5733" t="str">
        <f>"1551685936712329"</f>
        <v>1551685936712329</v>
      </c>
      <c r="C5733" t="s">
        <v>40</v>
      </c>
      <c r="D5733">
        <v>5.0282369999999998</v>
      </c>
      <c r="E5733">
        <v>0.53709189999999996</v>
      </c>
      <c r="F5733" t="s">
        <v>97</v>
      </c>
      <c r="G5733">
        <v>-279.68</v>
      </c>
      <c r="H5733">
        <v>5.2790879999999998E-2</v>
      </c>
      <c r="I5733">
        <v>14.786129999999901</v>
      </c>
      <c r="J5733">
        <v>-387.77159999999998</v>
      </c>
      <c r="K5733">
        <v>1.1095619999999999</v>
      </c>
      <c r="L5733">
        <v>18.23734</v>
      </c>
      <c r="M5733">
        <v>0.99763389999999996</v>
      </c>
      <c r="N5733">
        <v>-9.1890579999999999E-3</v>
      </c>
      <c r="O5733">
        <v>-6.8134760000000003E-2</v>
      </c>
      <c r="P5733">
        <v>0.97908600000000001</v>
      </c>
      <c r="Q5733">
        <v>0.19142809999999999</v>
      </c>
      <c r="R5733">
        <v>6.8891560000000004E-2</v>
      </c>
      <c r="S5733">
        <v>3.0768740000000001</v>
      </c>
      <c r="T5733">
        <v>-3.003776E-2</v>
      </c>
      <c r="U5733">
        <v>-9.8419190000000004E-2</v>
      </c>
      <c r="V5733">
        <v>-0.13515669999999999</v>
      </c>
      <c r="W5733">
        <v>0.2005468</v>
      </c>
      <c r="X5733">
        <v>0.97031630000000002</v>
      </c>
      <c r="Y5733">
        <v>-3.6203350000000002E-2</v>
      </c>
      <c r="Z5733">
        <v>3.809838E-4</v>
      </c>
      <c r="AA5733">
        <v>0.99934429999999996</v>
      </c>
      <c r="AB5733">
        <v>24</v>
      </c>
      <c r="AC5733">
        <v>108.091599999999</v>
      </c>
      <c r="AD5733">
        <v>-1.0567711200000001</v>
      </c>
      <c r="AE5733">
        <v>-3.4512100000000001</v>
      </c>
      <c r="AF5733">
        <v>-3.92154190936354</v>
      </c>
      <c r="AG5733">
        <v>-1.0567711200000001</v>
      </c>
      <c r="AH5733">
        <v>108.06522631975299</v>
      </c>
      <c r="AI5733">
        <v>90.559909724563397</v>
      </c>
      <c r="AJ5733">
        <v>92.078274928385596</v>
      </c>
      <c r="AK5733">
        <v>108.141520220896</v>
      </c>
      <c r="AL5733">
        <v>78.431064215663696</v>
      </c>
      <c r="AM5733">
        <v>97.929786276316506</v>
      </c>
      <c r="AN5733">
        <v>1.0000000372954001</v>
      </c>
    </row>
    <row r="5734" spans="1:40" x14ac:dyDescent="0.25">
      <c r="A5734" t="str">
        <f>"20190304155216741"</f>
        <v>20190304155216741</v>
      </c>
      <c r="B5734" t="str">
        <f>"1551685936732828"</f>
        <v>1551685936732828</v>
      </c>
      <c r="C5734" t="s">
        <v>40</v>
      </c>
      <c r="D5734">
        <v>4.92746</v>
      </c>
      <c r="E5734">
        <v>0.53716239999999904</v>
      </c>
      <c r="F5734" t="s">
        <v>97</v>
      </c>
      <c r="G5734">
        <v>-279.68</v>
      </c>
      <c r="H5734">
        <v>-9.9883079999999996E-3</v>
      </c>
      <c r="I5734">
        <v>14.764200000000001</v>
      </c>
      <c r="J5734">
        <v>-387.58949999999999</v>
      </c>
      <c r="K5734">
        <v>1.1095060000000001</v>
      </c>
      <c r="L5734">
        <v>18.224209999999999</v>
      </c>
      <c r="M5734">
        <v>0.99758950000000002</v>
      </c>
      <c r="N5734">
        <v>-9.1687309999999994E-3</v>
      </c>
      <c r="O5734">
        <v>-6.8782990000000002E-2</v>
      </c>
      <c r="P5734">
        <v>0.97978310000000002</v>
      </c>
      <c r="Q5734">
        <v>0.18776680000000001</v>
      </c>
      <c r="R5734">
        <v>6.9055909999999998E-2</v>
      </c>
      <c r="S5734">
        <v>3.0772710000000001</v>
      </c>
      <c r="T5734">
        <v>-3.187251E-2</v>
      </c>
      <c r="U5734">
        <v>-9.8876950000000005E-2</v>
      </c>
      <c r="V5734">
        <v>-0.13598879999999999</v>
      </c>
      <c r="W5734">
        <v>0.1968839</v>
      </c>
      <c r="X5734">
        <v>0.97094990000000003</v>
      </c>
      <c r="Y5734">
        <v>-3.6707910000000003E-2</v>
      </c>
      <c r="Z5734">
        <v>4.389245E-4</v>
      </c>
      <c r="AA5734">
        <v>0.99932589999999999</v>
      </c>
      <c r="AB5734">
        <v>24</v>
      </c>
      <c r="AC5734">
        <v>107.909499999999</v>
      </c>
      <c r="AD5734">
        <v>-1.1194943079999999</v>
      </c>
      <c r="AE5734">
        <v>-3.4600099999999898</v>
      </c>
      <c r="AF5734">
        <v>-3.97040848294519</v>
      </c>
      <c r="AG5734">
        <v>-1.1194943079999999</v>
      </c>
      <c r="AH5734">
        <v>107.880311387681</v>
      </c>
      <c r="AI5734">
        <v>90.594145526943706</v>
      </c>
      <c r="AJ5734">
        <v>92.107752722990398</v>
      </c>
      <c r="AK5734">
        <v>107.959154295178</v>
      </c>
      <c r="AL5734">
        <v>78.645202764130104</v>
      </c>
      <c r="AM5734">
        <v>97.972840641114104</v>
      </c>
      <c r="AN5734">
        <v>0.99999996605732899</v>
      </c>
    </row>
    <row r="5735" spans="1:40" x14ac:dyDescent="0.25">
      <c r="A5735" t="str">
        <f>"20190304155216754"</f>
        <v>20190304155216754</v>
      </c>
      <c r="B5735" t="str">
        <f>"1551685936752345"</f>
        <v>1551685936752345</v>
      </c>
      <c r="C5735" t="s">
        <v>40</v>
      </c>
      <c r="D5735">
        <v>5.0116519999999998</v>
      </c>
      <c r="E5735">
        <v>0.53731759999999995</v>
      </c>
      <c r="F5735" t="s">
        <v>42</v>
      </c>
      <c r="G5735">
        <v>-310.8537</v>
      </c>
      <c r="H5735">
        <v>-0.05</v>
      </c>
      <c r="I5735">
        <v>15.75822</v>
      </c>
      <c r="J5735">
        <v>-387.44510000000002</v>
      </c>
      <c r="K5735">
        <v>1.109483</v>
      </c>
      <c r="L5735">
        <v>18.213709999999999</v>
      </c>
      <c r="M5735">
        <v>0.99755260000000001</v>
      </c>
      <c r="N5735">
        <v>-9.1539010000000007E-3</v>
      </c>
      <c r="O5735">
        <v>-6.9317589999999998E-2</v>
      </c>
      <c r="P5735">
        <v>0.98021049999999998</v>
      </c>
      <c r="Q5735">
        <v>0.18565780000000001</v>
      </c>
      <c r="R5735">
        <v>6.8691630000000004E-2</v>
      </c>
      <c r="S5735">
        <v>3.0777890000000001</v>
      </c>
      <c r="T5735">
        <v>-4.6506520000000003E-2</v>
      </c>
      <c r="U5735">
        <v>-9.8907469999999997E-2</v>
      </c>
      <c r="V5735">
        <v>-0.13617009999999999</v>
      </c>
      <c r="W5735">
        <v>0.19477130000000001</v>
      </c>
      <c r="X5735">
        <v>0.97135059999999995</v>
      </c>
      <c r="Y5735">
        <v>-3.7234669999999997E-2</v>
      </c>
      <c r="Z5735">
        <v>8.6295259999999896E-4</v>
      </c>
      <c r="AA5735">
        <v>0.99930620000000003</v>
      </c>
      <c r="AB5735">
        <v>24</v>
      </c>
      <c r="AC5735">
        <v>76.591399999999993</v>
      </c>
      <c r="AD5735">
        <v>-1.159483</v>
      </c>
      <c r="AE5735">
        <v>-2.45548999999999</v>
      </c>
      <c r="AF5735">
        <v>-2.8591162055757402</v>
      </c>
      <c r="AG5735">
        <v>-1.159483</v>
      </c>
      <c r="AH5735">
        <v>76.559843005652098</v>
      </c>
      <c r="AI5735">
        <v>90.867062090410002</v>
      </c>
      <c r="AJ5735">
        <v>92.138708683264497</v>
      </c>
      <c r="AK5735">
        <v>76.621984491100093</v>
      </c>
      <c r="AL5735">
        <v>78.768636928463494</v>
      </c>
      <c r="AM5735">
        <v>97.980082225670103</v>
      </c>
      <c r="AN5735">
        <v>1.0000000717790201</v>
      </c>
    </row>
    <row r="5736" spans="1:40" x14ac:dyDescent="0.25">
      <c r="A5736" t="str">
        <f>"20190304155216766"</f>
        <v>20190304155216766</v>
      </c>
      <c r="B5736" t="str">
        <f>"1551685936763081"</f>
        <v>1551685936763081</v>
      </c>
      <c r="C5736" t="s">
        <v>40</v>
      </c>
      <c r="D5736">
        <v>5.0373330000000003</v>
      </c>
      <c r="E5736">
        <v>0.53762159999999903</v>
      </c>
      <c r="F5736" t="s">
        <v>41</v>
      </c>
      <c r="G5736">
        <v>-326.12880000000001</v>
      </c>
      <c r="H5736" s="1">
        <v>-2.414847E-6</v>
      </c>
      <c r="I5736">
        <v>16.208860000000001</v>
      </c>
      <c r="J5736">
        <v>-387.31229999999999</v>
      </c>
      <c r="K5736">
        <v>1.109461</v>
      </c>
      <c r="L5736">
        <v>18.203980000000001</v>
      </c>
      <c r="M5736">
        <v>0.99751780000000001</v>
      </c>
      <c r="N5736">
        <v>-9.1410859999999997E-3</v>
      </c>
      <c r="O5736">
        <v>-6.9820549999999995E-2</v>
      </c>
      <c r="P5736">
        <v>0.98011919999999997</v>
      </c>
      <c r="Q5736">
        <v>0.18621389999999999</v>
      </c>
      <c r="R5736">
        <v>6.8490510000000004E-2</v>
      </c>
      <c r="S5736">
        <v>3.0781860000000001</v>
      </c>
      <c r="T5736">
        <v>-5.5698159999999997E-2</v>
      </c>
      <c r="U5736">
        <v>-0.100647</v>
      </c>
      <c r="V5736">
        <v>-0.13644489999999901</v>
      </c>
      <c r="W5736">
        <v>0.1953194</v>
      </c>
      <c r="X5736">
        <v>0.97120189999999995</v>
      </c>
      <c r="Y5736">
        <v>-3.7174609999999997E-2</v>
      </c>
      <c r="Z5736">
        <v>1.1293570000000001E-3</v>
      </c>
      <c r="AA5736">
        <v>0.99930819999999998</v>
      </c>
      <c r="AB5736">
        <v>24</v>
      </c>
      <c r="AC5736">
        <v>61.183499999999903</v>
      </c>
      <c r="AD5736">
        <v>-1.109463414847</v>
      </c>
      <c r="AE5736">
        <v>-1.99511999999999</v>
      </c>
      <c r="AF5736">
        <v>-2.28104372552479</v>
      </c>
      <c r="AG5736">
        <v>-1.109463414847</v>
      </c>
      <c r="AH5736">
        <v>61.153392464099397</v>
      </c>
      <c r="AI5736">
        <v>91.038641276106205</v>
      </c>
      <c r="AJ5736">
        <v>92.136163036834503</v>
      </c>
      <c r="AK5736">
        <v>61.205975847255402</v>
      </c>
      <c r="AL5736">
        <v>78.736617402591605</v>
      </c>
      <c r="AM5736">
        <v>97.997186885312502</v>
      </c>
      <c r="AN5736">
        <v>1.00000000465798</v>
      </c>
    </row>
    <row r="5737" spans="1:40" x14ac:dyDescent="0.25">
      <c r="A5737" t="str">
        <f>"20190304155216785"</f>
        <v>20190304155216785</v>
      </c>
      <c r="B5737" t="str">
        <f>"1551685936782601"</f>
        <v>1551685936782601</v>
      </c>
      <c r="C5737" t="s">
        <v>40</v>
      </c>
      <c r="D5737">
        <v>4.9606979999999998</v>
      </c>
      <c r="E5737">
        <v>0.57853060000000001</v>
      </c>
      <c r="F5737" t="s">
        <v>41</v>
      </c>
      <c r="G5737">
        <v>-324.52690000000001</v>
      </c>
      <c r="H5737" s="1">
        <v>-3.189901E-6</v>
      </c>
      <c r="I5737">
        <v>16.108260000000001</v>
      </c>
      <c r="J5737">
        <v>-387.11239999999998</v>
      </c>
      <c r="K5737">
        <v>1.1094580000000001</v>
      </c>
      <c r="L5737">
        <v>18.189119999999999</v>
      </c>
      <c r="M5737">
        <v>0.99746319999999999</v>
      </c>
      <c r="N5737">
        <v>-9.123585E-3</v>
      </c>
      <c r="O5737">
        <v>-7.0597729999999997E-2</v>
      </c>
      <c r="P5737">
        <v>0.97914670000000004</v>
      </c>
      <c r="Q5737">
        <v>0.1915365</v>
      </c>
      <c r="R5737">
        <v>6.7718600000000004E-2</v>
      </c>
      <c r="S5737">
        <v>3.0783689999999999</v>
      </c>
      <c r="T5737">
        <v>-5.4397109999999999E-2</v>
      </c>
      <c r="U5737">
        <v>-0.1027527</v>
      </c>
      <c r="V5737">
        <v>-0.13635059999999999</v>
      </c>
      <c r="W5737">
        <v>0.2006192</v>
      </c>
      <c r="X5737">
        <v>0.9701343</v>
      </c>
      <c r="Y5737">
        <v>-3.7272890000000003E-2</v>
      </c>
      <c r="Z5737">
        <v>1.1007230000000001E-3</v>
      </c>
      <c r="AA5737">
        <v>0.99930450000000004</v>
      </c>
      <c r="AB5737">
        <v>24</v>
      </c>
      <c r="AC5737">
        <v>62.585499999999897</v>
      </c>
      <c r="AD5737">
        <v>-1.1094611899010001</v>
      </c>
      <c r="AE5737">
        <v>-2.0808599999999999</v>
      </c>
      <c r="AF5737">
        <v>-2.3421751176786199</v>
      </c>
      <c r="AG5737">
        <v>-1.1094611899010001</v>
      </c>
      <c r="AH5737">
        <v>62.556601208157304</v>
      </c>
      <c r="AI5737">
        <v>91.0153410603873</v>
      </c>
      <c r="AJ5737">
        <v>92.1442036912714</v>
      </c>
      <c r="AK5737">
        <v>62.610263081464502</v>
      </c>
      <c r="AL5737">
        <v>78.426830152310302</v>
      </c>
      <c r="AM5737">
        <v>98.000412110608096</v>
      </c>
      <c r="AN5737">
        <v>1.0000000547827399</v>
      </c>
    </row>
    <row r="5738" spans="1:40" x14ac:dyDescent="0.25">
      <c r="A5738" t="str">
        <f>"20190304155216808"</f>
        <v>20190304155216808</v>
      </c>
      <c r="B5738" t="str">
        <f>"1551685936803097"</f>
        <v>1551685936803097</v>
      </c>
      <c r="C5738" t="s">
        <v>40</v>
      </c>
      <c r="D5738">
        <v>4.9365880000000004</v>
      </c>
      <c r="E5738">
        <v>0.58400410000000003</v>
      </c>
      <c r="F5738" t="s">
        <v>96</v>
      </c>
      <c r="G5738">
        <v>-279.02</v>
      </c>
      <c r="H5738">
        <v>1.473878</v>
      </c>
      <c r="I5738">
        <v>3.203735</v>
      </c>
      <c r="J5738">
        <v>-386.8716</v>
      </c>
      <c r="K5738">
        <v>1.1094569999999999</v>
      </c>
      <c r="L5738">
        <v>18.171050000000001</v>
      </c>
      <c r="M5738">
        <v>0.99739599999999995</v>
      </c>
      <c r="N5738">
        <v>-9.0950400000000004E-3</v>
      </c>
      <c r="O5738">
        <v>-7.1544620000000003E-2</v>
      </c>
      <c r="P5738">
        <v>0.9786861</v>
      </c>
      <c r="Q5738">
        <v>0.19426070000000001</v>
      </c>
      <c r="R5738">
        <v>6.660779E-2</v>
      </c>
      <c r="S5738">
        <v>3.0914920000000001</v>
      </c>
      <c r="T5738">
        <v>1.0422590000000001E-2</v>
      </c>
      <c r="U5738">
        <v>-0.42858889999999999</v>
      </c>
      <c r="V5738">
        <v>-0.1361253</v>
      </c>
      <c r="W5738">
        <v>0.20331199999999999</v>
      </c>
      <c r="X5738">
        <v>0.9696051</v>
      </c>
      <c r="Y5738">
        <v>6.6105990000000003E-2</v>
      </c>
      <c r="Z5738">
        <v>-1.079591E-3</v>
      </c>
      <c r="AA5738">
        <v>0.99781200000000003</v>
      </c>
      <c r="AB5738">
        <v>24</v>
      </c>
      <c r="AC5738">
        <v>107.8516</v>
      </c>
      <c r="AD5738">
        <v>0.36442099999999999</v>
      </c>
      <c r="AE5738">
        <v>-14.967314999999999</v>
      </c>
      <c r="AF5738">
        <v>7.2123554166783999</v>
      </c>
      <c r="AG5738">
        <v>0.36442099999999999</v>
      </c>
      <c r="AH5738">
        <v>108.644854776215</v>
      </c>
      <c r="AI5738">
        <v>89.808238952719194</v>
      </c>
      <c r="AJ5738">
        <v>86.2020098357319</v>
      </c>
      <c r="AK5738">
        <v>108.884596443512</v>
      </c>
      <c r="AL5738">
        <v>78.269296551562903</v>
      </c>
      <c r="AM5738">
        <v>97.991666421866299</v>
      </c>
      <c r="AN5738">
        <v>0.99999995829504895</v>
      </c>
    </row>
    <row r="5739" spans="1:40" x14ac:dyDescent="0.25">
      <c r="A5739" t="str">
        <f>"20190304155216822"</f>
        <v>20190304155216822</v>
      </c>
      <c r="B5739" t="str">
        <f>"1551685936812856"</f>
        <v>1551685936812856</v>
      </c>
      <c r="C5739" t="s">
        <v>40</v>
      </c>
      <c r="D5739">
        <v>4.9140100000000002</v>
      </c>
      <c r="E5739">
        <v>0.58527759999999995</v>
      </c>
      <c r="F5739" t="s">
        <v>96</v>
      </c>
      <c r="G5739">
        <v>-279.02</v>
      </c>
      <c r="H5739">
        <v>2.1910810000000001</v>
      </c>
      <c r="I5739">
        <v>1.6240410000000001</v>
      </c>
      <c r="J5739">
        <v>-386.70960000000002</v>
      </c>
      <c r="K5739">
        <v>1.109451</v>
      </c>
      <c r="L5739">
        <v>18.158719999999999</v>
      </c>
      <c r="M5739">
        <v>0.99735030000000002</v>
      </c>
      <c r="N5739">
        <v>-9.0674290000000001E-3</v>
      </c>
      <c r="O5739">
        <v>-7.2182549999999998E-2</v>
      </c>
      <c r="P5739">
        <v>0.97869830000000002</v>
      </c>
      <c r="Q5739">
        <v>0.19448009999999999</v>
      </c>
      <c r="R5739">
        <v>6.5782110000000005E-2</v>
      </c>
      <c r="S5739">
        <v>3.0914609999999998</v>
      </c>
      <c r="T5739">
        <v>3.100371E-2</v>
      </c>
      <c r="U5739">
        <v>-0.47430420000000001</v>
      </c>
      <c r="V5739">
        <v>-0.1359252</v>
      </c>
      <c r="W5739">
        <v>0.20350299999999999</v>
      </c>
      <c r="X5739">
        <v>0.96959320000000004</v>
      </c>
      <c r="Y5739">
        <v>7.9915780000000006E-2</v>
      </c>
      <c r="Z5739">
        <v>-1.33628E-3</v>
      </c>
      <c r="AA5739">
        <v>0.99680069999999998</v>
      </c>
      <c r="AB5739">
        <v>24</v>
      </c>
      <c r="AC5739">
        <v>107.6896</v>
      </c>
      <c r="AD5739">
        <v>1.0816299999999901</v>
      </c>
      <c r="AE5739">
        <v>-16.534679000000001</v>
      </c>
      <c r="AF5739">
        <v>8.7170556890050808</v>
      </c>
      <c r="AG5739">
        <v>1.0816299999999901</v>
      </c>
      <c r="AH5739">
        <v>108.59152359582799</v>
      </c>
      <c r="AI5739">
        <v>89.431151813974495</v>
      </c>
      <c r="AJ5739">
        <v>85.410490501313404</v>
      </c>
      <c r="AK5739">
        <v>108.94620681880301</v>
      </c>
      <c r="AL5739">
        <v>78.258120508156793</v>
      </c>
      <c r="AM5739">
        <v>97.980167040872303</v>
      </c>
      <c r="AN5739">
        <v>1.00000005224513</v>
      </c>
    </row>
    <row r="5740" spans="1:40" x14ac:dyDescent="0.25">
      <c r="A5740" t="str">
        <f>"20190304155216842"</f>
        <v>20190304155216842</v>
      </c>
      <c r="B5740" t="str">
        <f>"1551685936832376"</f>
        <v>1551685936832376</v>
      </c>
      <c r="C5740" t="s">
        <v>40</v>
      </c>
      <c r="D5740">
        <v>4.8843379999999996</v>
      </c>
      <c r="E5740">
        <v>0.58629350000000002</v>
      </c>
      <c r="F5740" t="s">
        <v>96</v>
      </c>
      <c r="G5740">
        <v>-279.02</v>
      </c>
      <c r="H5740">
        <v>2.2924910000000001</v>
      </c>
      <c r="I5740">
        <v>1.2144219999999999</v>
      </c>
      <c r="J5740">
        <v>-386.50240000000002</v>
      </c>
      <c r="K5740">
        <v>1.109451</v>
      </c>
      <c r="L5740">
        <v>18.142849999999999</v>
      </c>
      <c r="M5740">
        <v>0.9972917</v>
      </c>
      <c r="N5740">
        <v>-9.0297799999999994E-3</v>
      </c>
      <c r="O5740">
        <v>-7.2993470000000005E-2</v>
      </c>
      <c r="P5740">
        <v>0.97858330000000004</v>
      </c>
      <c r="Q5740">
        <v>0.19556580000000001</v>
      </c>
      <c r="R5740">
        <v>6.4253130000000006E-2</v>
      </c>
      <c r="S5740">
        <v>3.0912480000000002</v>
      </c>
      <c r="T5740">
        <v>3.3959389999999999E-2</v>
      </c>
      <c r="U5740">
        <v>-0.48638920000000002</v>
      </c>
      <c r="V5740">
        <v>-0.13518350000000001</v>
      </c>
      <c r="W5740">
        <v>0.2045477</v>
      </c>
      <c r="X5740">
        <v>0.96947700000000003</v>
      </c>
      <c r="Y5740">
        <v>8.2921209999999995E-2</v>
      </c>
      <c r="Z5740">
        <v>-1.37574299999999E-3</v>
      </c>
      <c r="AA5740">
        <v>0.99655510000000003</v>
      </c>
      <c r="AB5740">
        <v>24</v>
      </c>
      <c r="AC5740">
        <v>107.4824</v>
      </c>
      <c r="AD5740">
        <v>1.1830399999999901</v>
      </c>
      <c r="AE5740">
        <v>-16.928428</v>
      </c>
      <c r="AF5740">
        <v>9.0363661509014399</v>
      </c>
      <c r="AG5740">
        <v>1.1830399999999901</v>
      </c>
      <c r="AH5740">
        <v>108.41855653025</v>
      </c>
      <c r="AI5740">
        <v>89.376985613144498</v>
      </c>
      <c r="AJ5740">
        <v>85.235578191080904</v>
      </c>
      <c r="AK5740">
        <v>108.80091404468</v>
      </c>
      <c r="AL5740">
        <v>78.196976838436896</v>
      </c>
      <c r="AM5740">
        <v>97.938117513662405</v>
      </c>
      <c r="AN5740">
        <v>0.99999999688827002</v>
      </c>
    </row>
    <row r="5741" spans="1:40" x14ac:dyDescent="0.25">
      <c r="A5741" t="str">
        <f>"20190304155216855"</f>
        <v>20190304155216855</v>
      </c>
      <c r="B5741" t="str">
        <f>"1551685936852873"</f>
        <v>1551685936852873</v>
      </c>
      <c r="C5741" t="s">
        <v>40</v>
      </c>
      <c r="D5741">
        <v>5.0137179999999999</v>
      </c>
      <c r="E5741">
        <v>0.58653</v>
      </c>
      <c r="F5741" t="s">
        <v>96</v>
      </c>
      <c r="G5741">
        <v>-279.02</v>
      </c>
      <c r="H5741">
        <v>2.3967670000000001</v>
      </c>
      <c r="I5741">
        <v>0.82108879999999995</v>
      </c>
      <c r="J5741">
        <v>-386.36079999999998</v>
      </c>
      <c r="K5741">
        <v>1.1094569999999999</v>
      </c>
      <c r="L5741">
        <v>18.131900000000002</v>
      </c>
      <c r="M5741">
        <v>0.99725149999999996</v>
      </c>
      <c r="N5741">
        <v>-9.0029540000000005E-3</v>
      </c>
      <c r="O5741">
        <v>-7.3543529999999996E-2</v>
      </c>
      <c r="P5741">
        <v>0.97833219999999999</v>
      </c>
      <c r="Q5741">
        <v>0.1972758</v>
      </c>
      <c r="R5741">
        <v>6.2837119999999996E-2</v>
      </c>
      <c r="S5741">
        <v>3.090973</v>
      </c>
      <c r="T5741">
        <v>3.7020560000000001E-2</v>
      </c>
      <c r="U5741">
        <v>-0.49813839999999998</v>
      </c>
      <c r="V5741">
        <v>-0.13428870000000001</v>
      </c>
      <c r="W5741">
        <v>0.20622679999999999</v>
      </c>
      <c r="X5741">
        <v>0.96924560000000004</v>
      </c>
      <c r="Y5741">
        <v>8.6080009999999998E-2</v>
      </c>
      <c r="Z5741">
        <v>-1.4103570000000001E-3</v>
      </c>
      <c r="AA5741">
        <v>0.99628720000000004</v>
      </c>
      <c r="AB5741">
        <v>24</v>
      </c>
      <c r="AC5741">
        <v>107.3408</v>
      </c>
      <c r="AD5741">
        <v>1.28730999999999</v>
      </c>
      <c r="AE5741">
        <v>-17.3108112</v>
      </c>
      <c r="AF5741">
        <v>9.3680763811250998</v>
      </c>
      <c r="AG5741">
        <v>1.28730999999999</v>
      </c>
      <c r="AH5741">
        <v>108.308065427565</v>
      </c>
      <c r="AI5741">
        <v>89.321568234756199</v>
      </c>
      <c r="AJ5741">
        <v>85.056520729694995</v>
      </c>
      <c r="AK5741">
        <v>108.720076613202</v>
      </c>
      <c r="AL5741">
        <v>78.098675703408503</v>
      </c>
      <c r="AM5741">
        <v>97.888096269753206</v>
      </c>
      <c r="AN5741">
        <v>0.99999999055264499</v>
      </c>
    </row>
    <row r="5742" spans="1:40" x14ac:dyDescent="0.25">
      <c r="A5742" t="str">
        <f>"20190304155216877"</f>
        <v>20190304155216877</v>
      </c>
      <c r="B5742" t="str">
        <f>"1551685936872393"</f>
        <v>1551685936872393</v>
      </c>
      <c r="C5742" t="s">
        <v>40</v>
      </c>
      <c r="D5742">
        <v>5.3631159999999998</v>
      </c>
      <c r="E5742">
        <v>0.58634730000000002</v>
      </c>
      <c r="F5742" t="s">
        <v>96</v>
      </c>
      <c r="G5742">
        <v>-279.02</v>
      </c>
      <c r="H5742">
        <v>3.7160579999999999</v>
      </c>
      <c r="I5742">
        <v>0.59976010000000002</v>
      </c>
      <c r="J5742">
        <v>-386.13080000000002</v>
      </c>
      <c r="K5742">
        <v>1.1094740000000001</v>
      </c>
      <c r="L5742">
        <v>18.113949999999999</v>
      </c>
      <c r="M5742">
        <v>0.99718609999999996</v>
      </c>
      <c r="N5742">
        <v>-8.9569049999999994E-3</v>
      </c>
      <c r="O5742">
        <v>-7.4427809999999997E-2</v>
      </c>
      <c r="P5742">
        <v>0.97796119999999997</v>
      </c>
      <c r="Q5742">
        <v>0.19984730000000001</v>
      </c>
      <c r="R5742">
        <v>6.0437629999999999E-2</v>
      </c>
      <c r="S5742">
        <v>3.0836790000000001</v>
      </c>
      <c r="T5742">
        <v>7.4882270000000001E-2</v>
      </c>
      <c r="U5742">
        <v>-0.5036621</v>
      </c>
      <c r="V5742">
        <v>-0.1327296</v>
      </c>
      <c r="W5742">
        <v>0.20874470000000001</v>
      </c>
      <c r="X5742">
        <v>0.96892129999999999</v>
      </c>
      <c r="Y5742">
        <v>8.7315370000000003E-2</v>
      </c>
      <c r="Z5742">
        <v>-1.795498E-3</v>
      </c>
      <c r="AA5742">
        <v>0.99617909999999998</v>
      </c>
      <c r="AB5742">
        <v>24</v>
      </c>
      <c r="AC5742">
        <v>107.1108</v>
      </c>
      <c r="AD5742">
        <v>2.6065839999999998</v>
      </c>
      <c r="AE5742">
        <v>-17.514189899999899</v>
      </c>
      <c r="AF5742">
        <v>9.4877935422685198</v>
      </c>
      <c r="AG5742">
        <v>2.6065839999999998</v>
      </c>
      <c r="AH5742">
        <v>108.054964187107</v>
      </c>
      <c r="AI5742">
        <v>88.623429918113601</v>
      </c>
      <c r="AJ5742">
        <v>84.981999003712303</v>
      </c>
      <c r="AK5742">
        <v>108.502017455561</v>
      </c>
      <c r="AL5742">
        <v>77.951201287128697</v>
      </c>
      <c r="AM5742">
        <v>97.800225891305402</v>
      </c>
      <c r="AN5742">
        <v>0.99999999104396997</v>
      </c>
    </row>
    <row r="5743" spans="1:40" x14ac:dyDescent="0.25">
      <c r="A5743" t="str">
        <f>"20190304155216897"</f>
        <v>20190304155216897</v>
      </c>
      <c r="B5743" t="str">
        <f>"1551685936892889"</f>
        <v>1551685936892889</v>
      </c>
      <c r="C5743" t="s">
        <v>40</v>
      </c>
      <c r="D5743">
        <v>5.1101919999999996</v>
      </c>
      <c r="E5743">
        <v>0.55614300000000005</v>
      </c>
      <c r="F5743" t="s">
        <v>96</v>
      </c>
      <c r="G5743">
        <v>-279.02</v>
      </c>
      <c r="H5743">
        <v>4.3692409999999997</v>
      </c>
      <c r="I5743">
        <v>0.45425219999999999</v>
      </c>
      <c r="J5743">
        <v>-385.90769999999998</v>
      </c>
      <c r="K5743">
        <v>1.109478</v>
      </c>
      <c r="L5743">
        <v>18.096340000000001</v>
      </c>
      <c r="M5743">
        <v>0.99712310000000004</v>
      </c>
      <c r="N5743">
        <v>-8.9086830000000006E-3</v>
      </c>
      <c r="O5743">
        <v>-7.5275629999999996E-2</v>
      </c>
      <c r="P5743">
        <v>0.97793470000000005</v>
      </c>
      <c r="Q5743">
        <v>0.20070479999999999</v>
      </c>
      <c r="R5743">
        <v>5.7980120000000003E-2</v>
      </c>
      <c r="S5743">
        <v>3.079834</v>
      </c>
      <c r="T5743">
        <v>9.3730450000000007E-2</v>
      </c>
      <c r="U5743">
        <v>-0.50778199999999996</v>
      </c>
      <c r="V5743">
        <v>-0.13110550000000001</v>
      </c>
      <c r="W5743">
        <v>0.2095505</v>
      </c>
      <c r="X5743">
        <v>0.96896850000000001</v>
      </c>
      <c r="Y5743">
        <v>8.7968350000000001E-2</v>
      </c>
      <c r="Z5743">
        <v>-2.0025830000000001E-3</v>
      </c>
      <c r="AA5743">
        <v>0.99612129999999999</v>
      </c>
      <c r="AB5743">
        <v>24</v>
      </c>
      <c r="AC5743">
        <v>106.8877</v>
      </c>
      <c r="AD5743">
        <v>3.259763</v>
      </c>
      <c r="AE5743">
        <v>-17.642087799999999</v>
      </c>
      <c r="AF5743">
        <v>9.5370369772591701</v>
      </c>
      <c r="AG5743">
        <v>3.259763</v>
      </c>
      <c r="AH5743">
        <v>107.814865937832</v>
      </c>
      <c r="AI5743">
        <v>88.274931886111602</v>
      </c>
      <c r="AJ5743">
        <v>84.944914240569105</v>
      </c>
      <c r="AK5743">
        <v>108.284931760215</v>
      </c>
      <c r="AL5743">
        <v>77.903988406614403</v>
      </c>
      <c r="AM5743">
        <v>97.705564042201104</v>
      </c>
      <c r="AN5743">
        <v>1.0000000090863701</v>
      </c>
    </row>
    <row r="5744" spans="1:40" x14ac:dyDescent="0.25">
      <c r="A5744" t="str">
        <f>"20190304155216911"</f>
        <v>20190304155216911</v>
      </c>
      <c r="B5744" t="str">
        <f>"1551685936902649"</f>
        <v>1551685936902649</v>
      </c>
      <c r="C5744" t="s">
        <v>40</v>
      </c>
      <c r="D5744">
        <v>4.9672219999999996</v>
      </c>
      <c r="E5744">
        <v>0.59079499999999996</v>
      </c>
      <c r="F5744" t="s">
        <v>57</v>
      </c>
      <c r="G5744">
        <v>-157.3501</v>
      </c>
      <c r="H5744">
        <v>42.200180000000003</v>
      </c>
      <c r="I5744">
        <v>-2.9118780000000002</v>
      </c>
      <c r="J5744">
        <v>-385.75420000000003</v>
      </c>
      <c r="K5744">
        <v>1.1094790000000001</v>
      </c>
      <c r="L5744">
        <v>18.084140000000001</v>
      </c>
      <c r="M5744">
        <v>0.99707939999999995</v>
      </c>
      <c r="N5744">
        <v>-8.8750779999999998E-3</v>
      </c>
      <c r="O5744">
        <v>-7.5854039999999998E-2</v>
      </c>
      <c r="P5744">
        <v>0.97810180000000002</v>
      </c>
      <c r="Q5744">
        <v>0.2001703</v>
      </c>
      <c r="R5744">
        <v>5.6998649999999998E-2</v>
      </c>
      <c r="S5744">
        <v>2.9741819999999999</v>
      </c>
      <c r="T5744">
        <v>0.53470609999999996</v>
      </c>
      <c r="U5744">
        <v>-0.27337650000000002</v>
      </c>
      <c r="V5744">
        <v>-0.13070590000000001</v>
      </c>
      <c r="W5744">
        <v>0.20898349999999999</v>
      </c>
      <c r="X5744">
        <v>0.96914489999999998</v>
      </c>
      <c r="Y5744">
        <v>1.679932E-2</v>
      </c>
      <c r="Z5744">
        <v>-1.272709E-2</v>
      </c>
      <c r="AA5744">
        <v>0.9997779</v>
      </c>
      <c r="AB5744">
        <v>24</v>
      </c>
      <c r="AC5744">
        <v>228.4041</v>
      </c>
      <c r="AD5744">
        <v>41.090701000000003</v>
      </c>
      <c r="AE5744">
        <v>-20.996017999999999</v>
      </c>
      <c r="AF5744">
        <v>3.4972253583395001</v>
      </c>
      <c r="AG5744">
        <v>41.090701000000003</v>
      </c>
      <c r="AH5744">
        <v>222.207162576282</v>
      </c>
      <c r="AI5744">
        <v>79.524444484997801</v>
      </c>
      <c r="AJ5744">
        <v>89.098320195532906</v>
      </c>
      <c r="AK5744">
        <v>226.00154732674</v>
      </c>
      <c r="AL5744">
        <v>77.9372104259987</v>
      </c>
      <c r="AM5744">
        <v>97.680977325911599</v>
      </c>
      <c r="AN5744">
        <v>0.99999998638153498</v>
      </c>
    </row>
    <row r="5745" spans="1:40" x14ac:dyDescent="0.25">
      <c r="A5745" t="str">
        <f>"20190304155216923"</f>
        <v>20190304155216923</v>
      </c>
      <c r="B5745" t="str">
        <f>"1551685936912409"</f>
        <v>1551685936912409</v>
      </c>
      <c r="C5745" t="s">
        <v>40</v>
      </c>
      <c r="D5745">
        <v>5.0206030000000004</v>
      </c>
      <c r="E5745">
        <v>0.58655139999999995</v>
      </c>
      <c r="F5745" t="s">
        <v>96</v>
      </c>
      <c r="G5745">
        <v>-279.02</v>
      </c>
      <c r="H5745">
        <v>2.635923</v>
      </c>
      <c r="I5745">
        <v>-1.091728</v>
      </c>
      <c r="J5745">
        <v>-385.60860000000002</v>
      </c>
      <c r="K5745">
        <v>1.1094790000000001</v>
      </c>
      <c r="L5745">
        <v>18.072479999999999</v>
      </c>
      <c r="M5745">
        <v>0.99703810000000004</v>
      </c>
      <c r="N5745">
        <v>-8.8444860000000004E-3</v>
      </c>
      <c r="O5745">
        <v>-7.6398629999999995E-2</v>
      </c>
      <c r="P5745">
        <v>0.97830340000000005</v>
      </c>
      <c r="Q5745">
        <v>0.1994677</v>
      </c>
      <c r="R5745">
        <v>5.5992519999999997E-2</v>
      </c>
      <c r="S5745">
        <v>3.0904850000000001</v>
      </c>
      <c r="T5745">
        <v>4.419816E-2</v>
      </c>
      <c r="U5745">
        <v>-0.55523679999999997</v>
      </c>
      <c r="V5745">
        <v>-0.13025119999999901</v>
      </c>
      <c r="W5745">
        <v>0.20825080000000001</v>
      </c>
      <c r="X5745">
        <v>0.9693638</v>
      </c>
      <c r="Y5745">
        <v>0.1011306</v>
      </c>
      <c r="Z5745">
        <v>-1.4866129999999999E-3</v>
      </c>
      <c r="AA5745">
        <v>0.99487199999999998</v>
      </c>
      <c r="AB5745">
        <v>24</v>
      </c>
      <c r="AC5745">
        <v>106.5886</v>
      </c>
      <c r="AD5745">
        <v>1.5264439999999999</v>
      </c>
      <c r="AE5745">
        <v>-19.164207999999999</v>
      </c>
      <c r="AF5745">
        <v>10.962473795652899</v>
      </c>
      <c r="AG5745">
        <v>1.5264439999999999</v>
      </c>
      <c r="AH5745">
        <v>107.719831100227</v>
      </c>
      <c r="AI5745">
        <v>89.192315607966904</v>
      </c>
      <c r="AJ5745">
        <v>84.189106416769803</v>
      </c>
      <c r="AK5745">
        <v>108.28697001609601</v>
      </c>
      <c r="AL5745">
        <v>77.980135355677803</v>
      </c>
      <c r="AM5745">
        <v>97.652866023101794</v>
      </c>
      <c r="AN5745">
        <v>0.99999997377625904</v>
      </c>
    </row>
    <row r="5746" spans="1:40" x14ac:dyDescent="0.25">
      <c r="A5746" t="str">
        <f>"20190304155216942"</f>
        <v>20190304155216942</v>
      </c>
      <c r="B5746" t="str">
        <f>"1551685936932923"</f>
        <v>1551685936932923</v>
      </c>
      <c r="C5746" t="s">
        <v>40</v>
      </c>
      <c r="D5746">
        <v>5.0906000000000002</v>
      </c>
      <c r="E5746">
        <v>0.58639989999999997</v>
      </c>
      <c r="F5746" t="s">
        <v>96</v>
      </c>
      <c r="G5746">
        <v>-279.55990000000003</v>
      </c>
      <c r="H5746">
        <v>4.5990449999999896</v>
      </c>
      <c r="I5746">
        <v>-2.9661179999999999E-2</v>
      </c>
      <c r="J5746">
        <v>-385.41019999999997</v>
      </c>
      <c r="K5746">
        <v>1.109486</v>
      </c>
      <c r="L5746">
        <v>18.05649</v>
      </c>
      <c r="M5746">
        <v>0.99698160000000002</v>
      </c>
      <c r="N5746">
        <v>-8.8059219999999903E-3</v>
      </c>
      <c r="O5746">
        <v>-7.7137839999999999E-2</v>
      </c>
      <c r="P5746">
        <v>0.9784332</v>
      </c>
      <c r="Q5746">
        <v>0.19929160000000001</v>
      </c>
      <c r="R5746">
        <v>5.4325940000000003E-2</v>
      </c>
      <c r="S5746">
        <v>3.075958</v>
      </c>
      <c r="T5746">
        <v>0.1012154</v>
      </c>
      <c r="U5746">
        <v>-0.52505489999999999</v>
      </c>
      <c r="V5746">
        <v>-0.12932149999999901</v>
      </c>
      <c r="W5746">
        <v>0.20803679999999999</v>
      </c>
      <c r="X5746">
        <v>0.96953420000000001</v>
      </c>
      <c r="Y5746">
        <v>9.1750310000000002E-2</v>
      </c>
      <c r="Z5746">
        <v>-2.0978300000000002E-3</v>
      </c>
      <c r="AA5746">
        <v>0.99577979999999999</v>
      </c>
      <c r="AB5746">
        <v>24</v>
      </c>
      <c r="AC5746">
        <v>105.850299999999</v>
      </c>
      <c r="AD5746">
        <v>3.4895589999999901</v>
      </c>
      <c r="AE5746">
        <v>-18.086151180000002</v>
      </c>
      <c r="AF5746">
        <v>9.8564701826104404</v>
      </c>
      <c r="AG5746">
        <v>3.4895589999999901</v>
      </c>
      <c r="AH5746">
        <v>106.81727083320099</v>
      </c>
      <c r="AI5746">
        <v>88.1368084703373</v>
      </c>
      <c r="AJ5746">
        <v>84.7280110742293</v>
      </c>
      <c r="AK5746">
        <v>107.32779870438399</v>
      </c>
      <c r="AL5746">
        <v>77.992671075735998</v>
      </c>
      <c r="AM5746">
        <v>97.597562416790694</v>
      </c>
      <c r="AN5746">
        <v>0.99999996274306402</v>
      </c>
    </row>
    <row r="5747" spans="1:40" x14ac:dyDescent="0.25">
      <c r="A5747" t="str">
        <f>"20190304155216955"</f>
        <v>20190304155216955</v>
      </c>
      <c r="B5747" t="str">
        <f>"1551685936952426"</f>
        <v>1551685936952426</v>
      </c>
      <c r="C5747" t="s">
        <v>40</v>
      </c>
      <c r="D5747">
        <v>4.998551</v>
      </c>
      <c r="E5747">
        <v>0.58512469999999905</v>
      </c>
      <c r="F5747" t="s">
        <v>96</v>
      </c>
      <c r="G5747">
        <v>-279.02</v>
      </c>
      <c r="H5747">
        <v>3.7668200000000001</v>
      </c>
      <c r="I5747">
        <v>-0.25850869999999998</v>
      </c>
      <c r="J5747">
        <v>-385.2704</v>
      </c>
      <c r="K5747">
        <v>1.1094850000000001</v>
      </c>
      <c r="L5747">
        <v>18.045069999999999</v>
      </c>
      <c r="M5747">
        <v>0.99694139999999998</v>
      </c>
      <c r="N5747">
        <v>-8.7807649999999994E-3</v>
      </c>
      <c r="O5747">
        <v>-7.7657439999999994E-2</v>
      </c>
      <c r="P5747">
        <v>0.97839670000000001</v>
      </c>
      <c r="Q5747">
        <v>0.19974410000000001</v>
      </c>
      <c r="R5747">
        <v>5.3311119999999997E-2</v>
      </c>
      <c r="S5747">
        <v>3.0799560000000001</v>
      </c>
      <c r="T5747">
        <v>7.6928849999999993E-2</v>
      </c>
      <c r="U5747">
        <v>-0.53021240000000003</v>
      </c>
      <c r="V5747">
        <v>-0.12881300000000001</v>
      </c>
      <c r="W5747">
        <v>0.2084635</v>
      </c>
      <c r="X5747">
        <v>0.96951030000000005</v>
      </c>
      <c r="Y5747">
        <v>9.2631710000000006E-2</v>
      </c>
      <c r="Z5747">
        <v>-1.8605E-3</v>
      </c>
      <c r="AA5747">
        <v>0.99569870000000005</v>
      </c>
      <c r="AB5747">
        <v>24</v>
      </c>
      <c r="AC5747">
        <v>106.2504</v>
      </c>
      <c r="AD5747">
        <v>2.6573349999999998</v>
      </c>
      <c r="AE5747">
        <v>-18.303578699999999</v>
      </c>
      <c r="AF5747">
        <v>9.9907778518481596</v>
      </c>
      <c r="AG5747">
        <v>2.6573349999999998</v>
      </c>
      <c r="AH5747">
        <v>107.285799858489</v>
      </c>
      <c r="AI5747">
        <v>88.587255220761406</v>
      </c>
      <c r="AJ5747">
        <v>84.679787266207896</v>
      </c>
      <c r="AK5747">
        <v>107.78274408579</v>
      </c>
      <c r="AL5747">
        <v>77.967675649173103</v>
      </c>
      <c r="AM5747">
        <v>97.568219677167505</v>
      </c>
      <c r="AN5747">
        <v>1.0000000208036699</v>
      </c>
    </row>
    <row r="5748" spans="1:40" x14ac:dyDescent="0.25">
      <c r="A5748" t="str">
        <f>"20190304155216967"</f>
        <v>20190304155216967</v>
      </c>
      <c r="B5748" t="str">
        <f>"1551685936962185"</f>
        <v>1551685936962185</v>
      </c>
      <c r="C5748" t="s">
        <v>40</v>
      </c>
      <c r="D5748">
        <v>5.0703899999999997</v>
      </c>
      <c r="E5748">
        <v>0.58488790000000002</v>
      </c>
      <c r="F5748" t="s">
        <v>96</v>
      </c>
      <c r="G5748">
        <v>-279.02</v>
      </c>
      <c r="H5748">
        <v>5.4288439999999998</v>
      </c>
      <c r="I5748">
        <v>-6.1260219999999997E-2</v>
      </c>
      <c r="J5748">
        <v>-385.1311</v>
      </c>
      <c r="K5748">
        <v>1.109486</v>
      </c>
      <c r="L5748">
        <v>18.03369</v>
      </c>
      <c r="M5748">
        <v>0.99690120000000004</v>
      </c>
      <c r="N5748">
        <v>-8.7567809999999999E-3</v>
      </c>
      <c r="O5748">
        <v>-7.8174670000000002E-2</v>
      </c>
      <c r="P5748">
        <v>0.97831590000000002</v>
      </c>
      <c r="Q5748">
        <v>0.20036419999999999</v>
      </c>
      <c r="R5748">
        <v>5.2462219999999997E-2</v>
      </c>
      <c r="S5748">
        <v>3.0692750000000002</v>
      </c>
      <c r="T5748">
        <v>0.1247741</v>
      </c>
      <c r="U5748">
        <v>-0.52304079999999997</v>
      </c>
      <c r="V5748">
        <v>-0.12846399999999999</v>
      </c>
      <c r="W5748">
        <v>0.2090581</v>
      </c>
      <c r="X5748">
        <v>0.96942850000000003</v>
      </c>
      <c r="Y5748">
        <v>9.0445239999999996E-2</v>
      </c>
      <c r="Z5748">
        <v>-2.4018220000000001E-3</v>
      </c>
      <c r="AA5748">
        <v>0.99589850000000002</v>
      </c>
      <c r="AB5748">
        <v>25</v>
      </c>
      <c r="AC5748">
        <v>106.11109999999999</v>
      </c>
      <c r="AD5748">
        <v>4.3193580000000003</v>
      </c>
      <c r="AE5748">
        <v>-18.094950220000001</v>
      </c>
      <c r="AF5748">
        <v>9.7283869334545408</v>
      </c>
      <c r="AG5748">
        <v>4.3193580000000003</v>
      </c>
      <c r="AH5748">
        <v>107.028629232868</v>
      </c>
      <c r="AI5748">
        <v>87.698444229489297</v>
      </c>
      <c r="AJ5748">
        <v>84.8063613766451</v>
      </c>
      <c r="AK5748">
        <v>107.556616910936</v>
      </c>
      <c r="AL5748">
        <v>77.932839200293401</v>
      </c>
      <c r="AM5748">
        <v>97.548580970508496</v>
      </c>
      <c r="AN5748">
        <v>0.99999995254192897</v>
      </c>
    </row>
    <row r="5749" spans="1:40" x14ac:dyDescent="0.25">
      <c r="A5749" t="str">
        <f>"20190304155216986"</f>
        <v>20190304155216986</v>
      </c>
      <c r="B5749" t="str">
        <f>"1551685936982681"</f>
        <v>1551685936982681</v>
      </c>
      <c r="C5749" t="s">
        <v>40</v>
      </c>
      <c r="D5749">
        <v>4.4914300000000003</v>
      </c>
      <c r="E5749">
        <v>0.58454589999999995</v>
      </c>
      <c r="F5749" t="s">
        <v>96</v>
      </c>
      <c r="G5749">
        <v>-279.02</v>
      </c>
      <c r="H5749">
        <v>5.7391079999999999</v>
      </c>
      <c r="I5749">
        <v>-9.1735839999999999E-2</v>
      </c>
      <c r="J5749">
        <v>-384.92189999999999</v>
      </c>
      <c r="K5749">
        <v>1.109475</v>
      </c>
      <c r="L5749">
        <v>18.01642</v>
      </c>
      <c r="M5749">
        <v>0.99684050000000002</v>
      </c>
      <c r="N5749">
        <v>-8.7240770000000002E-3</v>
      </c>
      <c r="O5749">
        <v>-7.8950300000000001E-2</v>
      </c>
      <c r="P5749">
        <v>0.97819750000000005</v>
      </c>
      <c r="Q5749">
        <v>0.20136219999999999</v>
      </c>
      <c r="R5749">
        <v>5.0830090000000001E-2</v>
      </c>
      <c r="S5749">
        <v>3.0672000000000001</v>
      </c>
      <c r="T5749">
        <v>0.13382179999999999</v>
      </c>
      <c r="U5749">
        <v>-0.5239258</v>
      </c>
      <c r="V5749">
        <v>-0.12758269999999999</v>
      </c>
      <c r="W5749">
        <v>0.2100223</v>
      </c>
      <c r="X5749">
        <v>0.96933650000000005</v>
      </c>
      <c r="Y5749">
        <v>9.0063939999999995E-2</v>
      </c>
      <c r="Z5749">
        <v>-2.541143E-3</v>
      </c>
      <c r="AA5749">
        <v>0.99593279999999995</v>
      </c>
      <c r="AB5749">
        <v>25</v>
      </c>
      <c r="AC5749">
        <v>105.9019</v>
      </c>
      <c r="AD5749">
        <v>4.6296330000000001</v>
      </c>
      <c r="AE5749">
        <v>-18.108155839999998</v>
      </c>
      <c r="AF5749">
        <v>9.6723640969159597</v>
      </c>
      <c r="AG5749">
        <v>4.6296330000000001</v>
      </c>
      <c r="AH5749">
        <v>106.802692852259</v>
      </c>
      <c r="AI5749">
        <v>87.528027071788699</v>
      </c>
      <c r="AJ5749">
        <v>84.825243066730394</v>
      </c>
      <c r="AK5749">
        <v>107.339663356245</v>
      </c>
      <c r="AL5749">
        <v>77.876340682056593</v>
      </c>
      <c r="AM5749">
        <v>97.498090133425507</v>
      </c>
      <c r="AN5749">
        <v>0.99999998103441401</v>
      </c>
    </row>
    <row r="5750" spans="1:40" x14ac:dyDescent="0.25">
      <c r="A5750" t="str">
        <f>"20190304155216999"</f>
        <v>20190304155216999</v>
      </c>
      <c r="B5750" t="str">
        <f>"1551685936992441"</f>
        <v>1551685936992441</v>
      </c>
      <c r="C5750" t="s">
        <v>40</v>
      </c>
      <c r="D5750">
        <v>5.0163570000000002</v>
      </c>
      <c r="E5750">
        <v>0.58460089999999998</v>
      </c>
      <c r="F5750" t="s">
        <v>96</v>
      </c>
      <c r="G5750">
        <v>-279.02</v>
      </c>
      <c r="H5750">
        <v>6.7114880000000001</v>
      </c>
      <c r="I5750">
        <v>-0.1908588</v>
      </c>
      <c r="J5750">
        <v>-384.78840000000002</v>
      </c>
      <c r="K5750">
        <v>1.1094679999999999</v>
      </c>
      <c r="L5750">
        <v>18.005310000000001</v>
      </c>
      <c r="M5750">
        <v>0.99680139999999995</v>
      </c>
      <c r="N5750">
        <v>-8.7051390000000006E-3</v>
      </c>
      <c r="O5750">
        <v>-7.9444799999999996E-2</v>
      </c>
      <c r="P5750">
        <v>0.97818819999999995</v>
      </c>
      <c r="Q5750">
        <v>0.2015786</v>
      </c>
      <c r="R5750">
        <v>5.0143050000000002E-2</v>
      </c>
      <c r="S5750">
        <v>3.060883</v>
      </c>
      <c r="T5750">
        <v>0.16191510000000001</v>
      </c>
      <c r="U5750">
        <v>-0.52624510000000002</v>
      </c>
      <c r="V5750">
        <v>-0.127378399999999</v>
      </c>
      <c r="W5750">
        <v>0.2102195</v>
      </c>
      <c r="X5750">
        <v>0.96932070000000004</v>
      </c>
      <c r="Y5750">
        <v>9.0649140000000003E-2</v>
      </c>
      <c r="Z5750">
        <v>-2.8655820000000002E-3</v>
      </c>
      <c r="AA5750">
        <v>0.99587879999999995</v>
      </c>
      <c r="AB5750">
        <v>25</v>
      </c>
      <c r="AC5750">
        <v>105.7684</v>
      </c>
      <c r="AD5750">
        <v>5.6020200000000004</v>
      </c>
      <c r="AE5750">
        <v>-18.196168799999999</v>
      </c>
      <c r="AF5750">
        <v>9.7091306911064699</v>
      </c>
      <c r="AG5750">
        <v>5.6020200000000004</v>
      </c>
      <c r="AH5750">
        <v>106.58929643066899</v>
      </c>
      <c r="AI5750">
        <v>87.003851822841796</v>
      </c>
      <c r="AJ5750">
        <v>84.795337979448107</v>
      </c>
      <c r="AK5750">
        <v>107.177086918998</v>
      </c>
      <c r="AL5750">
        <v>77.864784893348798</v>
      </c>
      <c r="AM5750">
        <v>97.4863402697883</v>
      </c>
      <c r="AN5750">
        <v>1.00000005720764</v>
      </c>
    </row>
    <row r="5751" spans="1:40" x14ac:dyDescent="0.25">
      <c r="A5751" t="str">
        <f>"20190304155217020"</f>
        <v>20190304155217020</v>
      </c>
      <c r="B5751" t="str">
        <f>"1551685937012937"</f>
        <v>1551685937012937</v>
      </c>
      <c r="C5751" t="s">
        <v>40</v>
      </c>
      <c r="D5751">
        <v>4.9794199999999904</v>
      </c>
      <c r="E5751">
        <v>0.58382970000000001</v>
      </c>
      <c r="F5751" t="s">
        <v>96</v>
      </c>
      <c r="G5751">
        <v>-279.02</v>
      </c>
      <c r="H5751">
        <v>7.1435329999999997</v>
      </c>
      <c r="I5751">
        <v>-0.28753469999999998</v>
      </c>
      <c r="J5751">
        <v>-384.54419999999999</v>
      </c>
      <c r="K5751">
        <v>1.1094520000000001</v>
      </c>
      <c r="L5751">
        <v>17.984860000000001</v>
      </c>
      <c r="M5751">
        <v>0.99672939999999999</v>
      </c>
      <c r="N5751">
        <v>-8.6732749999999994E-3</v>
      </c>
      <c r="O5751">
        <v>-8.0346299999999996E-2</v>
      </c>
      <c r="P5751">
        <v>0.97832149999999996</v>
      </c>
      <c r="Q5751">
        <v>0.20122110000000001</v>
      </c>
      <c r="R5751">
        <v>4.8962909999999998E-2</v>
      </c>
      <c r="S5751">
        <v>3.0580750000000001</v>
      </c>
      <c r="T5751">
        <v>0.1744627</v>
      </c>
      <c r="U5751">
        <v>-0.52890009999999998</v>
      </c>
      <c r="V5751">
        <v>-0.12709210000000001</v>
      </c>
      <c r="W5751">
        <v>0.20983109999999999</v>
      </c>
      <c r="X5751">
        <v>0.96944240000000004</v>
      </c>
      <c r="Y5751">
        <v>9.0744179999999994E-2</v>
      </c>
      <c r="Z5751">
        <v>-3.0570829999999999E-3</v>
      </c>
      <c r="AA5751">
        <v>0.99586949999999996</v>
      </c>
      <c r="AB5751">
        <v>25</v>
      </c>
      <c r="AC5751">
        <v>105.52419999999999</v>
      </c>
      <c r="AD5751">
        <v>6.0340809999999996</v>
      </c>
      <c r="AE5751">
        <v>-18.2723947</v>
      </c>
      <c r="AF5751">
        <v>9.7037135875511407</v>
      </c>
      <c r="AG5751">
        <v>6.0340809999999996</v>
      </c>
      <c r="AH5751">
        <v>106.313687590729</v>
      </c>
      <c r="AI5751">
        <v>86.764948700844599</v>
      </c>
      <c r="AJ5751">
        <v>84.784815053925996</v>
      </c>
      <c r="AK5751">
        <v>106.92601348616201</v>
      </c>
      <c r="AL5751">
        <v>77.887545904514596</v>
      </c>
      <c r="AM5751">
        <v>97.468776813758197</v>
      </c>
      <c r="AN5751">
        <v>1.00000002966368</v>
      </c>
    </row>
    <row r="5752" spans="1:40" x14ac:dyDescent="0.25">
      <c r="A5752" t="str">
        <f>"20190304155217042"</f>
        <v>20190304155217042</v>
      </c>
      <c r="B5752" t="str">
        <f>"1551685937032457"</f>
        <v>1551685937032457</v>
      </c>
      <c r="C5752" t="s">
        <v>40</v>
      </c>
      <c r="D5752">
        <v>5.0282650000000002</v>
      </c>
      <c r="E5752">
        <v>0.58392049999999995</v>
      </c>
      <c r="F5752" t="s">
        <v>96</v>
      </c>
      <c r="G5752">
        <v>-279.02</v>
      </c>
      <c r="H5752">
        <v>6.5020499999999997</v>
      </c>
      <c r="I5752">
        <v>-0.16698270000000001</v>
      </c>
      <c r="J5752">
        <v>-384.30739999999997</v>
      </c>
      <c r="K5752">
        <v>1.1094440000000001</v>
      </c>
      <c r="L5752">
        <v>17.964779999999902</v>
      </c>
      <c r="M5752">
        <v>0.99665950000000003</v>
      </c>
      <c r="N5752">
        <v>-8.6463500000000006E-3</v>
      </c>
      <c r="O5752">
        <v>-8.1212759999999995E-2</v>
      </c>
      <c r="P5752">
        <v>0.97839790000000004</v>
      </c>
      <c r="Q5752">
        <v>0.20089009999999999</v>
      </c>
      <c r="R5752">
        <v>4.879526E-2</v>
      </c>
      <c r="S5752">
        <v>3.0606990000000001</v>
      </c>
      <c r="T5752">
        <v>0.15641079999999999</v>
      </c>
      <c r="U5752">
        <v>-0.52648930000000005</v>
      </c>
      <c r="V5752">
        <v>-0.1277779</v>
      </c>
      <c r="W5752">
        <v>0.20947399999999999</v>
      </c>
      <c r="X5752">
        <v>0.9694294</v>
      </c>
      <c r="Y5752">
        <v>8.8973200000000002E-2</v>
      </c>
      <c r="Z5752">
        <v>-2.9374599999999998E-3</v>
      </c>
      <c r="AA5752">
        <v>0.99602970000000002</v>
      </c>
      <c r="AB5752">
        <v>25</v>
      </c>
      <c r="AC5752">
        <v>105.28740000000001</v>
      </c>
      <c r="AD5752">
        <v>5.3926059999999998</v>
      </c>
      <c r="AE5752">
        <v>-18.131762699999999</v>
      </c>
      <c r="AF5752">
        <v>9.4966721641566902</v>
      </c>
      <c r="AG5752">
        <v>5.3926059999999998</v>
      </c>
      <c r="AH5752">
        <v>106.141753086986</v>
      </c>
      <c r="AI5752">
        <v>87.103100718466905</v>
      </c>
      <c r="AJ5752">
        <v>84.887268854933794</v>
      </c>
      <c r="AK5752">
        <v>106.702102744245</v>
      </c>
      <c r="AL5752">
        <v>77.908470356804301</v>
      </c>
      <c r="AM5752">
        <v>97.508719880183307</v>
      </c>
      <c r="AN5752">
        <v>0.99999995499438399</v>
      </c>
    </row>
    <row r="5753" spans="1:40" x14ac:dyDescent="0.25">
      <c r="A5753" t="str">
        <f>"20190304155217056"</f>
        <v>20190304155217056</v>
      </c>
      <c r="B5753" t="str">
        <f>"1551685937052953"</f>
        <v>1551685937052953</v>
      </c>
      <c r="C5753" t="s">
        <v>40</v>
      </c>
      <c r="D5753">
        <v>4.8462870000000002</v>
      </c>
      <c r="E5753">
        <v>0.58113760000000003</v>
      </c>
      <c r="F5753" t="s">
        <v>96</v>
      </c>
      <c r="G5753">
        <v>-279.02</v>
      </c>
      <c r="H5753">
        <v>6.6553179999999896</v>
      </c>
      <c r="I5753">
        <v>-0.2025623</v>
      </c>
      <c r="J5753">
        <v>-384.15370000000001</v>
      </c>
      <c r="K5753">
        <v>1.109448</v>
      </c>
      <c r="L5753">
        <v>17.951689999999999</v>
      </c>
      <c r="M5753">
        <v>0.99661449999999996</v>
      </c>
      <c r="N5753">
        <v>-8.6309079999999996E-3</v>
      </c>
      <c r="O5753">
        <v>-8.1764899999999904E-2</v>
      </c>
      <c r="P5753">
        <v>0.97838510000000001</v>
      </c>
      <c r="Q5753">
        <v>0.2009581</v>
      </c>
      <c r="R5753">
        <v>4.8775199999999998E-2</v>
      </c>
      <c r="S5753">
        <v>3.0595400000000001</v>
      </c>
      <c r="T5753">
        <v>0.1611571</v>
      </c>
      <c r="U5753">
        <v>-0.52792359999999905</v>
      </c>
      <c r="V5753">
        <v>-0.1282983</v>
      </c>
      <c r="W5753">
        <v>0.20952480000000001</v>
      </c>
      <c r="X5753">
        <v>0.96934969999999998</v>
      </c>
      <c r="Y5753">
        <v>8.8939950000000004E-2</v>
      </c>
      <c r="Z5753">
        <v>-3.0263730000000002E-3</v>
      </c>
      <c r="AA5753">
        <v>0.99603240000000004</v>
      </c>
      <c r="AB5753">
        <v>25</v>
      </c>
      <c r="AC5753">
        <v>105.1337</v>
      </c>
      <c r="AD5753">
        <v>5.5458699999999901</v>
      </c>
      <c r="AE5753">
        <v>-18.1542523</v>
      </c>
      <c r="AF5753">
        <v>9.4713041489312406</v>
      </c>
      <c r="AG5753">
        <v>5.5458699999999901</v>
      </c>
      <c r="AH5753">
        <v>105.979720823796</v>
      </c>
      <c r="AI5753">
        <v>87.016340211827796</v>
      </c>
      <c r="AJ5753">
        <v>84.893099273841003</v>
      </c>
      <c r="AK5753">
        <v>106.546532098554</v>
      </c>
      <c r="AL5753">
        <v>77.905493837521107</v>
      </c>
      <c r="AM5753">
        <v>97.539562258891905</v>
      </c>
      <c r="AN5753">
        <v>0.99999996824400905</v>
      </c>
    </row>
    <row r="5754" spans="1:40" x14ac:dyDescent="0.25">
      <c r="A5754" t="str">
        <f>"20190304155217077"</f>
        <v>20190304155217077</v>
      </c>
      <c r="B5754" t="str">
        <f>"1551685937072472"</f>
        <v>1551685937072472</v>
      </c>
      <c r="C5754" t="s">
        <v>40</v>
      </c>
      <c r="D5754">
        <v>5.2417930000000004</v>
      </c>
      <c r="E5754">
        <v>0.57953549999999998</v>
      </c>
      <c r="F5754" t="s">
        <v>96</v>
      </c>
      <c r="G5754">
        <v>-279.02</v>
      </c>
      <c r="H5754">
        <v>6.2633890000000001</v>
      </c>
      <c r="I5754">
        <v>0.56061359999999905</v>
      </c>
      <c r="J5754">
        <v>-383.91879999999998</v>
      </c>
      <c r="K5754">
        <v>1.1094619999999999</v>
      </c>
      <c r="L5754">
        <v>17.931460000000001</v>
      </c>
      <c r="M5754">
        <v>0.99654699999999996</v>
      </c>
      <c r="N5754">
        <v>-8.6099079999999995E-3</v>
      </c>
      <c r="O5754">
        <v>-8.2583420000000005E-2</v>
      </c>
      <c r="P5754">
        <v>0.97807259999999996</v>
      </c>
      <c r="Q5754">
        <v>0.2023548</v>
      </c>
      <c r="R5754">
        <v>4.9263260000000003E-2</v>
      </c>
      <c r="S5754">
        <v>3.060638</v>
      </c>
      <c r="T5754">
        <v>0.15004089999999901</v>
      </c>
      <c r="U5754">
        <v>-0.50628660000000003</v>
      </c>
      <c r="V5754">
        <v>-0.12956309999999999</v>
      </c>
      <c r="W5754">
        <v>0.210894</v>
      </c>
      <c r="X5754">
        <v>0.96888450000000004</v>
      </c>
      <c r="Y5754">
        <v>8.1219420000000001E-2</v>
      </c>
      <c r="Z5754">
        <v>-3.0921099999999999E-3</v>
      </c>
      <c r="AA5754">
        <v>0.99669149999999995</v>
      </c>
      <c r="AB5754">
        <v>25</v>
      </c>
      <c r="AC5754">
        <v>104.89879999999999</v>
      </c>
      <c r="AD5754">
        <v>5.1539270000000004</v>
      </c>
      <c r="AE5754">
        <v>-17.370846399999898</v>
      </c>
      <c r="AF5754">
        <v>8.6280114098168692</v>
      </c>
      <c r="AG5754">
        <v>5.1539270000000004</v>
      </c>
      <c r="AH5754">
        <v>105.72664133116599</v>
      </c>
      <c r="AI5754">
        <v>87.218406004416906</v>
      </c>
      <c r="AJ5754">
        <v>85.334613885366295</v>
      </c>
      <c r="AK5754">
        <v>106.20324021223701</v>
      </c>
      <c r="AL5754">
        <v>77.825252247831699</v>
      </c>
      <c r="AM5754">
        <v>97.616634182168298</v>
      </c>
      <c r="AN5754">
        <v>1.0000000252289201</v>
      </c>
    </row>
    <row r="5755" spans="1:40" x14ac:dyDescent="0.25">
      <c r="A5755" t="str">
        <f>"20190304155217097"</f>
        <v>20190304155217097</v>
      </c>
      <c r="B5755" t="str">
        <f>"1551685937092969"</f>
        <v>1551685937092969</v>
      </c>
      <c r="C5755" t="s">
        <v>40</v>
      </c>
      <c r="D5755">
        <v>4.7767879999999998</v>
      </c>
      <c r="E5755">
        <v>0.5229239</v>
      </c>
      <c r="F5755" t="s">
        <v>96</v>
      </c>
      <c r="G5755">
        <v>-279.02</v>
      </c>
      <c r="H5755">
        <v>6.5231379999999897</v>
      </c>
      <c r="I5755">
        <v>1.041965</v>
      </c>
      <c r="J5755">
        <v>-383.69040000000001</v>
      </c>
      <c r="K5755">
        <v>1.109494</v>
      </c>
      <c r="L5755">
        <v>17.91168</v>
      </c>
      <c r="M5755">
        <v>0.99648440000000005</v>
      </c>
      <c r="N5755">
        <v>-8.5923349999999996E-3</v>
      </c>
      <c r="O5755">
        <v>-8.3337460000000002E-2</v>
      </c>
      <c r="P5755">
        <v>0.97751750000000004</v>
      </c>
      <c r="Q5755">
        <v>0.20492279999999999</v>
      </c>
      <c r="R5755">
        <v>4.9663590000000001E-2</v>
      </c>
      <c r="S5755">
        <v>3.0593870000000001</v>
      </c>
      <c r="T5755">
        <v>0.15789059999999999</v>
      </c>
      <c r="U5755">
        <v>-0.49258420000000003</v>
      </c>
      <c r="V5755">
        <v>-0.130661</v>
      </c>
      <c r="W5755">
        <v>0.21343129999999999</v>
      </c>
      <c r="X5755">
        <v>0.96818119999999996</v>
      </c>
      <c r="Y5755">
        <v>7.6191190000000006E-2</v>
      </c>
      <c r="Z5755">
        <v>-3.3499860000000001E-3</v>
      </c>
      <c r="AA5755">
        <v>0.99708759999999996</v>
      </c>
      <c r="AB5755">
        <v>25</v>
      </c>
      <c r="AC5755">
        <v>104.6704</v>
      </c>
      <c r="AD5755">
        <v>5.4136439999999997</v>
      </c>
      <c r="AE5755">
        <v>-16.869714999999999</v>
      </c>
      <c r="AF5755">
        <v>8.0667081301784798</v>
      </c>
      <c r="AG5755">
        <v>5.4136439999999997</v>
      </c>
      <c r="AH5755">
        <v>105.43728707497201</v>
      </c>
      <c r="AI5755">
        <v>87.069297186982894</v>
      </c>
      <c r="AJ5755">
        <v>85.624985104643102</v>
      </c>
      <c r="AK5755">
        <v>105.883902587439</v>
      </c>
      <c r="AL5755">
        <v>77.676488947312293</v>
      </c>
      <c r="AM5755">
        <v>97.685921763056996</v>
      </c>
      <c r="AN5755">
        <v>1.0000000263870601</v>
      </c>
    </row>
    <row r="5756" spans="1:40" x14ac:dyDescent="0.25">
      <c r="A5756" t="str">
        <f>"20190304155217111"</f>
        <v>20190304155217111</v>
      </c>
      <c r="B5756" t="str">
        <f>"1551685937102729"</f>
        <v>1551685937102729</v>
      </c>
      <c r="C5756" t="s">
        <v>40</v>
      </c>
      <c r="D5756">
        <v>4.9837530000000001</v>
      </c>
      <c r="E5756">
        <v>0.52446669999999995</v>
      </c>
      <c r="F5756" t="s">
        <v>41</v>
      </c>
      <c r="G5756">
        <v>-339.36720000000003</v>
      </c>
      <c r="H5756" s="1">
        <v>-8.2014840000000001E-7</v>
      </c>
      <c r="I5756">
        <v>17.290800000000001</v>
      </c>
      <c r="J5756">
        <v>-383.54259999999999</v>
      </c>
      <c r="K5756">
        <v>1.1095170000000001</v>
      </c>
      <c r="L5756">
        <v>17.898800000000001</v>
      </c>
      <c r="M5756">
        <v>0.99644560000000004</v>
      </c>
      <c r="N5756">
        <v>-8.5822229999999999E-3</v>
      </c>
      <c r="O5756">
        <v>-8.3801689999999998E-2</v>
      </c>
      <c r="P5756">
        <v>0.97735729999999998</v>
      </c>
      <c r="Q5756">
        <v>0.20568929999999999</v>
      </c>
      <c r="R5756">
        <v>4.964822E-2</v>
      </c>
      <c r="S5756">
        <v>3.0874329999999999</v>
      </c>
      <c r="T5756">
        <v>-7.7284340000000007E-2</v>
      </c>
      <c r="U5756">
        <v>-4.3243410000000003E-2</v>
      </c>
      <c r="V5756">
        <v>-0.13109460000000001</v>
      </c>
      <c r="W5756">
        <v>0.2141798</v>
      </c>
      <c r="X5756">
        <v>0.96795730000000002</v>
      </c>
      <c r="Y5756">
        <v>-6.9800290000000001E-2</v>
      </c>
      <c r="Z5756">
        <v>2.5483229999999999E-3</v>
      </c>
      <c r="AA5756">
        <v>0.99755780000000005</v>
      </c>
      <c r="AB5756">
        <v>25</v>
      </c>
      <c r="AC5756">
        <v>44.175399999999897</v>
      </c>
      <c r="AD5756">
        <v>-1.1095178201483999</v>
      </c>
      <c r="AE5756">
        <v>-0.60799999999999998</v>
      </c>
      <c r="AF5756">
        <v>-3.09429636865808</v>
      </c>
      <c r="AG5756">
        <v>-1.1095178201483999</v>
      </c>
      <c r="AH5756">
        <v>44.043174577272197</v>
      </c>
      <c r="AI5756">
        <v>91.439520070659896</v>
      </c>
      <c r="AJ5756">
        <v>94.018767707483207</v>
      </c>
      <c r="AK5756">
        <v>44.165675888119203</v>
      </c>
      <c r="AL5756">
        <v>77.632588293014095</v>
      </c>
      <c r="AM5756">
        <v>97.712883407638103</v>
      </c>
      <c r="AN5756">
        <v>1.0000000577502399</v>
      </c>
    </row>
    <row r="5757" spans="1:40" x14ac:dyDescent="0.25">
      <c r="A5757" t="str">
        <f>"20190304155217124"</f>
        <v>20190304155217124</v>
      </c>
      <c r="B5757" t="str">
        <f>"1551685937112490"</f>
        <v>1551685937112490</v>
      </c>
      <c r="C5757" t="s">
        <v>40</v>
      </c>
      <c r="D5757">
        <v>4.9102430000000004</v>
      </c>
      <c r="E5757">
        <v>0.52458579999999999</v>
      </c>
      <c r="F5757" t="s">
        <v>42</v>
      </c>
      <c r="G5757">
        <v>-312.90350000000001</v>
      </c>
      <c r="H5757">
        <v>-0.05</v>
      </c>
      <c r="I5757">
        <v>16.64227</v>
      </c>
      <c r="J5757">
        <v>-383.3947</v>
      </c>
      <c r="K5757">
        <v>1.109542</v>
      </c>
      <c r="L5757">
        <v>17.88589</v>
      </c>
      <c r="M5757">
        <v>0.99640870000000004</v>
      </c>
      <c r="N5757">
        <v>-8.5732689999999997E-3</v>
      </c>
      <c r="O5757">
        <v>-8.4238569999999999E-2</v>
      </c>
      <c r="P5757">
        <v>0.9773271</v>
      </c>
      <c r="Q5757">
        <v>0.20589979999999999</v>
      </c>
      <c r="R5757">
        <v>4.93655E-2</v>
      </c>
      <c r="S5757">
        <v>3.0829770000000001</v>
      </c>
      <c r="T5757">
        <v>-5.060601E-2</v>
      </c>
      <c r="U5757">
        <v>-5.4840090000000001E-2</v>
      </c>
      <c r="V5757">
        <v>-0.13124959999999999</v>
      </c>
      <c r="W5757">
        <v>0.2143727</v>
      </c>
      <c r="X5757">
        <v>0.96789349999999996</v>
      </c>
      <c r="Y5757">
        <v>-6.6490170000000001E-2</v>
      </c>
      <c r="Z5757">
        <v>1.488847E-3</v>
      </c>
      <c r="AA5757">
        <v>0.99778599999999995</v>
      </c>
      <c r="AB5757">
        <v>25</v>
      </c>
      <c r="AC5757">
        <v>70.491199999999907</v>
      </c>
      <c r="AD5757">
        <v>-1.1595420000000001</v>
      </c>
      <c r="AE5757">
        <v>-1.2436199999999999</v>
      </c>
      <c r="AF5757">
        <v>-4.6978261837458399</v>
      </c>
      <c r="AG5757">
        <v>-1.1595420000000001</v>
      </c>
      <c r="AH5757">
        <v>70.326369966698394</v>
      </c>
      <c r="AI5757">
        <v>90.942507732635704</v>
      </c>
      <c r="AJ5757">
        <v>93.821700411035707</v>
      </c>
      <c r="AK5757">
        <v>70.492640900986203</v>
      </c>
      <c r="AL5757">
        <v>77.621272013874403</v>
      </c>
      <c r="AM5757">
        <v>97.722395647476802</v>
      </c>
      <c r="AN5757">
        <v>0.99999996967384897</v>
      </c>
    </row>
    <row r="5758" spans="1:40" x14ac:dyDescent="0.25">
      <c r="A5758" t="str">
        <f>"20190304155217142"</f>
        <v>20190304155217142</v>
      </c>
      <c r="B5758" t="str">
        <f>"1551685937132988"</f>
        <v>1551685937132988</v>
      </c>
      <c r="C5758" t="s">
        <v>40</v>
      </c>
      <c r="D5758">
        <v>4.9438879999999896</v>
      </c>
      <c r="E5758">
        <v>0.52582530000000005</v>
      </c>
      <c r="F5758" t="s">
        <v>97</v>
      </c>
      <c r="G5758">
        <v>-279.68</v>
      </c>
      <c r="H5758">
        <v>8.572602E-2</v>
      </c>
      <c r="I5758">
        <v>15.98714</v>
      </c>
      <c r="J5758">
        <v>-383.18279999999999</v>
      </c>
      <c r="K5758">
        <v>1.109585</v>
      </c>
      <c r="L5758">
        <v>17.86731</v>
      </c>
      <c r="M5758">
        <v>0.99636049999999998</v>
      </c>
      <c r="N5758">
        <v>-8.5619259999999992E-3</v>
      </c>
      <c r="O5758">
        <v>-8.4809670000000004E-2</v>
      </c>
      <c r="P5758">
        <v>0.97747930000000005</v>
      </c>
      <c r="Q5758">
        <v>0.2051026</v>
      </c>
      <c r="R5758">
        <v>4.9674589999999998E-2</v>
      </c>
      <c r="S5758">
        <v>3.0788570000000002</v>
      </c>
      <c r="T5758">
        <v>-3.039277E-2</v>
      </c>
      <c r="U5758">
        <v>-5.6365970000000001E-2</v>
      </c>
      <c r="V5758">
        <v>-0.1321522</v>
      </c>
      <c r="W5758">
        <v>0.21355060000000001</v>
      </c>
      <c r="X5758">
        <v>0.96795249999999999</v>
      </c>
      <c r="Y5758">
        <v>-6.6554039999999995E-2</v>
      </c>
      <c r="Z5758">
        <v>7.2271919999999999E-4</v>
      </c>
      <c r="AA5758">
        <v>0.99778259999999996</v>
      </c>
      <c r="AB5758">
        <v>25</v>
      </c>
      <c r="AC5758">
        <v>103.502799999999</v>
      </c>
      <c r="AD5758">
        <v>-1.02385898</v>
      </c>
      <c r="AE5758">
        <v>-1.8801699999999999</v>
      </c>
      <c r="AF5758">
        <v>-6.9042880962904896</v>
      </c>
      <c r="AG5758">
        <v>-1.02385898</v>
      </c>
      <c r="AH5758">
        <v>103.279229209577</v>
      </c>
      <c r="AI5758">
        <v>90.566718451076795</v>
      </c>
      <c r="AJ5758">
        <v>93.824572011847096</v>
      </c>
      <c r="AK5758">
        <v>103.514813758475</v>
      </c>
      <c r="AL5758">
        <v>77.669492579426603</v>
      </c>
      <c r="AM5758">
        <v>97.774386895271107</v>
      </c>
      <c r="AN5758">
        <v>1.00000005249072</v>
      </c>
    </row>
    <row r="5759" spans="1:40" x14ac:dyDescent="0.25">
      <c r="A5759" t="str">
        <f>"20190304155217156"</f>
        <v>20190304155217156</v>
      </c>
      <c r="B5759" t="str">
        <f>"1551685937152506"</f>
        <v>1551685937152506</v>
      </c>
      <c r="C5759" t="s">
        <v>40</v>
      </c>
      <c r="D5759">
        <v>4.7750199999999996</v>
      </c>
      <c r="E5759">
        <v>0.52530200000000005</v>
      </c>
      <c r="F5759" t="s">
        <v>97</v>
      </c>
      <c r="G5759">
        <v>-279.68</v>
      </c>
      <c r="H5759">
        <v>0.56138750000000004</v>
      </c>
      <c r="I5759">
        <v>15.67076</v>
      </c>
      <c r="J5759">
        <v>-383.03629999999998</v>
      </c>
      <c r="K5759">
        <v>1.109618</v>
      </c>
      <c r="L5759">
        <v>17.85446</v>
      </c>
      <c r="M5759">
        <v>0.99633119999999997</v>
      </c>
      <c r="N5759">
        <v>-8.5551810000000002E-3</v>
      </c>
      <c r="O5759">
        <v>-8.5153430000000002E-2</v>
      </c>
      <c r="P5759">
        <v>0.97756589999999999</v>
      </c>
      <c r="Q5759">
        <v>0.20473140000000001</v>
      </c>
      <c r="R5759">
        <v>4.9498130000000001E-2</v>
      </c>
      <c r="S5759">
        <v>3.0758969999999999</v>
      </c>
      <c r="T5759">
        <v>-1.6291259999999998E-2</v>
      </c>
      <c r="U5759">
        <v>-6.5277099999999894E-2</v>
      </c>
      <c r="V5759">
        <v>-0.1323395</v>
      </c>
      <c r="W5759">
        <v>0.21316109999999999</v>
      </c>
      <c r="X5759">
        <v>0.96801269999999995</v>
      </c>
      <c r="Y5759">
        <v>-6.3994300000000004E-2</v>
      </c>
      <c r="Z5759">
        <v>1.6441049999999999E-4</v>
      </c>
      <c r="AA5759">
        <v>0.99795029999999996</v>
      </c>
      <c r="AB5759">
        <v>25</v>
      </c>
      <c r="AC5759">
        <v>103.356299999999</v>
      </c>
      <c r="AD5759">
        <v>-0.54823049999999995</v>
      </c>
      <c r="AE5759">
        <v>-2.1836999999999902</v>
      </c>
      <c r="AF5759">
        <v>-6.6255106402770396</v>
      </c>
      <c r="AG5759">
        <v>-0.54823049999999995</v>
      </c>
      <c r="AH5759">
        <v>103.163922066436</v>
      </c>
      <c r="AI5759">
        <v>90.303850603750902</v>
      </c>
      <c r="AJ5759">
        <v>93.674668016403501</v>
      </c>
      <c r="AK5759">
        <v>103.377912360694</v>
      </c>
      <c r="AL5759">
        <v>77.692334498250801</v>
      </c>
      <c r="AM5759">
        <v>97.784792319289906</v>
      </c>
      <c r="AN5759">
        <v>0.99999999258737504</v>
      </c>
    </row>
    <row r="5760" spans="1:40" x14ac:dyDescent="0.25">
      <c r="A5760" t="str">
        <f>"20190304155217170"</f>
        <v>20190304155217170</v>
      </c>
      <c r="B5760" t="str">
        <f>"1551685937162265"</f>
        <v>1551685937162265</v>
      </c>
      <c r="C5760" t="s">
        <v>40</v>
      </c>
      <c r="D5760">
        <v>4.9760260000000001</v>
      </c>
      <c r="E5760">
        <v>0.52593290000000004</v>
      </c>
      <c r="F5760" t="s">
        <v>97</v>
      </c>
      <c r="G5760">
        <v>-279.68</v>
      </c>
      <c r="H5760">
        <v>0.29272229999999999</v>
      </c>
      <c r="I5760">
        <v>15.770519999999999</v>
      </c>
      <c r="J5760">
        <v>-382.88409999999999</v>
      </c>
      <c r="K5760">
        <v>1.109658</v>
      </c>
      <c r="L5760">
        <v>17.841059999999999</v>
      </c>
      <c r="M5760">
        <v>0.99630379999999996</v>
      </c>
      <c r="N5760">
        <v>-8.5488330000000005E-3</v>
      </c>
      <c r="O5760">
        <v>-8.5475060000000005E-2</v>
      </c>
      <c r="P5760">
        <v>0.97769159999999999</v>
      </c>
      <c r="Q5760">
        <v>0.20420840000000001</v>
      </c>
      <c r="R5760">
        <v>4.91773E-2</v>
      </c>
      <c r="S5760">
        <v>3.0770870000000001</v>
      </c>
      <c r="T5760">
        <v>-2.432024E-2</v>
      </c>
      <c r="U5760">
        <v>-6.2042239999999999E-2</v>
      </c>
      <c r="V5760">
        <v>-0.13236899999999999</v>
      </c>
      <c r="W5760">
        <v>0.2126169</v>
      </c>
      <c r="X5760">
        <v>0.9681284</v>
      </c>
      <c r="Y5760">
        <v>-6.5371780000000004E-2</v>
      </c>
      <c r="Z5760">
        <v>4.8101909999999999E-4</v>
      </c>
      <c r="AA5760">
        <v>0.99786079999999999</v>
      </c>
      <c r="AB5760">
        <v>25</v>
      </c>
      <c r="AC5760">
        <v>103.204099999999</v>
      </c>
      <c r="AD5760">
        <v>-0.81693570000000004</v>
      </c>
      <c r="AE5760">
        <v>-2.0705399999999901</v>
      </c>
      <c r="AF5760">
        <v>-6.7583123335470701</v>
      </c>
      <c r="AG5760">
        <v>-0.81693570000000004</v>
      </c>
      <c r="AH5760">
        <v>102.99691240333</v>
      </c>
      <c r="AI5760">
        <v>90.453465554566407</v>
      </c>
      <c r="AJ5760">
        <v>93.754175349287706</v>
      </c>
      <c r="AK5760">
        <v>103.221635978873</v>
      </c>
      <c r="AL5760">
        <v>77.724247096478607</v>
      </c>
      <c r="AM5760">
        <v>97.785587210247897</v>
      </c>
      <c r="AN5760">
        <v>1.0000000486065801</v>
      </c>
    </row>
    <row r="5761" spans="1:40" x14ac:dyDescent="0.25">
      <c r="A5761" t="str">
        <f>"20190304155217187"</f>
        <v>20190304155217187</v>
      </c>
      <c r="B5761" t="str">
        <f>"1551685937182761"</f>
        <v>1551685937182761</v>
      </c>
      <c r="C5761" t="s">
        <v>40</v>
      </c>
      <c r="D5761">
        <v>4.9040379999999999</v>
      </c>
      <c r="E5761">
        <v>0.52594700000000005</v>
      </c>
      <c r="F5761" t="s">
        <v>97</v>
      </c>
      <c r="G5761">
        <v>-279.68</v>
      </c>
      <c r="H5761">
        <v>0.3768918</v>
      </c>
      <c r="I5761">
        <v>15.5529799999999</v>
      </c>
      <c r="J5761">
        <v>-382.68520000000001</v>
      </c>
      <c r="K5761">
        <v>1.1097220000000001</v>
      </c>
      <c r="L5761">
        <v>17.82358</v>
      </c>
      <c r="M5761">
        <v>0.99627489999999996</v>
      </c>
      <c r="N5761">
        <v>-8.541814E-3</v>
      </c>
      <c r="O5761">
        <v>-8.580952E-2</v>
      </c>
      <c r="P5761">
        <v>0.97778149999999997</v>
      </c>
      <c r="Q5761">
        <v>0.20389370000000001</v>
      </c>
      <c r="R5761">
        <v>4.8691730000000003E-2</v>
      </c>
      <c r="S5761">
        <v>3.0764770000000001</v>
      </c>
      <c r="T5761">
        <v>-2.184343E-2</v>
      </c>
      <c r="U5761">
        <v>-6.8206790000000003E-2</v>
      </c>
      <c r="V5761">
        <v>-0.13225629999999999</v>
      </c>
      <c r="W5761">
        <v>0.21227260000000001</v>
      </c>
      <c r="X5761">
        <v>0.9682193</v>
      </c>
      <c r="Y5761">
        <v>-6.3704750000000004E-2</v>
      </c>
      <c r="Z5761">
        <v>3.729731E-4</v>
      </c>
      <c r="AA5761">
        <v>0.99796870000000004</v>
      </c>
      <c r="AB5761">
        <v>25</v>
      </c>
      <c r="AC5761">
        <v>103.0052</v>
      </c>
      <c r="AD5761">
        <v>-0.73283019999999999</v>
      </c>
      <c r="AE5761">
        <v>-2.2706</v>
      </c>
      <c r="AF5761">
        <v>-6.5765924882521203</v>
      </c>
      <c r="AG5761">
        <v>-0.73283019999999999</v>
      </c>
      <c r="AH5761">
        <v>102.814888435201</v>
      </c>
      <c r="AI5761">
        <v>90.4075454018313</v>
      </c>
      <c r="AJ5761">
        <v>93.659959572183695</v>
      </c>
      <c r="AK5761">
        <v>103.02761713638399</v>
      </c>
      <c r="AL5761">
        <v>77.744434242535405</v>
      </c>
      <c r="AM5761">
        <v>97.778318310360703</v>
      </c>
      <c r="AN5761">
        <v>0.99999999924646898</v>
      </c>
    </row>
    <row r="5762" spans="1:40" x14ac:dyDescent="0.25">
      <c r="A5762" t="str">
        <f>"20190304155217199"</f>
        <v>20190304155217199</v>
      </c>
      <c r="B5762" t="str">
        <f>"1551685937192522"</f>
        <v>1551685937192522</v>
      </c>
      <c r="C5762" t="s">
        <v>40</v>
      </c>
      <c r="D5762">
        <v>5.53538</v>
      </c>
      <c r="E5762">
        <v>0.52594700000000005</v>
      </c>
      <c r="F5762" t="s">
        <v>97</v>
      </c>
      <c r="G5762">
        <v>-279.68</v>
      </c>
      <c r="H5762">
        <v>0.44635059999999899</v>
      </c>
      <c r="I5762">
        <v>15.4924</v>
      </c>
      <c r="J5762">
        <v>-382.5498</v>
      </c>
      <c r="K5762">
        <v>1.1097699999999999</v>
      </c>
      <c r="L5762">
        <v>17.811710000000001</v>
      </c>
      <c r="M5762">
        <v>0.99626139999999996</v>
      </c>
      <c r="N5762">
        <v>-8.5379840000000002E-3</v>
      </c>
      <c r="O5762">
        <v>-8.5968619999999996E-2</v>
      </c>
      <c r="P5762">
        <v>0.97778319999999996</v>
      </c>
      <c r="Q5762">
        <v>0.20393449999999999</v>
      </c>
      <c r="R5762">
        <v>4.8488429999999999E-2</v>
      </c>
      <c r="S5762">
        <v>3.075806</v>
      </c>
      <c r="T5762">
        <v>-1.9808650000000001E-2</v>
      </c>
      <c r="U5762">
        <v>-6.9610599999999995E-2</v>
      </c>
      <c r="V5762">
        <v>-0.132237299999999</v>
      </c>
      <c r="W5762">
        <v>0.21229210000000001</v>
      </c>
      <c r="X5762">
        <v>0.96821760000000001</v>
      </c>
      <c r="Y5762">
        <v>-6.34044E-2</v>
      </c>
      <c r="Z5762">
        <v>2.9300430000000002E-4</v>
      </c>
      <c r="AA5762">
        <v>0.99798790000000004</v>
      </c>
      <c r="AB5762">
        <v>25</v>
      </c>
      <c r="AC5762">
        <v>102.8698</v>
      </c>
      <c r="AD5762">
        <v>-0.66341939999999999</v>
      </c>
      <c r="AE5762">
        <v>-2.3193100000000002</v>
      </c>
      <c r="AF5762">
        <v>-6.5329013668007097</v>
      </c>
      <c r="AG5762">
        <v>-0.66341939999999999</v>
      </c>
      <c r="AH5762">
        <v>102.684058913407</v>
      </c>
      <c r="AI5762">
        <v>90.369423557073503</v>
      </c>
      <c r="AJ5762">
        <v>93.6403301286622</v>
      </c>
      <c r="AK5762">
        <v>102.893803897517</v>
      </c>
      <c r="AL5762">
        <v>77.743290678152903</v>
      </c>
      <c r="AM5762">
        <v>97.777228037950593</v>
      </c>
      <c r="AN5762">
        <v>0.99999998009172897</v>
      </c>
    </row>
    <row r="5763" spans="1:40" x14ac:dyDescent="0.25">
      <c r="A5763" t="str">
        <f>"20190304155217213"</f>
        <v>20190304155217213</v>
      </c>
      <c r="B5763" t="str">
        <f>"1551685937202281"</f>
        <v>1551685937202281</v>
      </c>
      <c r="C5763" t="s">
        <v>40</v>
      </c>
      <c r="D5763">
        <v>4.8978409999999997</v>
      </c>
      <c r="E5763">
        <v>0.52592899999999998</v>
      </c>
      <c r="F5763" t="s">
        <v>97</v>
      </c>
      <c r="G5763">
        <v>-279.68</v>
      </c>
      <c r="H5763">
        <v>0.44778610000000002</v>
      </c>
      <c r="I5763">
        <v>15.47336</v>
      </c>
      <c r="J5763">
        <v>-382.40589999999997</v>
      </c>
      <c r="K5763">
        <v>1.109829</v>
      </c>
      <c r="L5763">
        <v>17.799099999999999</v>
      </c>
      <c r="M5763">
        <v>0.9962493</v>
      </c>
      <c r="N5763">
        <v>-8.534224E-3</v>
      </c>
      <c r="O5763">
        <v>-8.6109329999999998E-2</v>
      </c>
      <c r="P5763">
        <v>0.97779320000000003</v>
      </c>
      <c r="Q5763">
        <v>0.2039918</v>
      </c>
      <c r="R5763">
        <v>4.8043639999999999E-2</v>
      </c>
      <c r="S5763">
        <v>3.0757750000000001</v>
      </c>
      <c r="T5763">
        <v>-1.979303E-2</v>
      </c>
      <c r="U5763">
        <v>-6.9915770000000002E-2</v>
      </c>
      <c r="V5763">
        <v>-0.13196250000000001</v>
      </c>
      <c r="W5763">
        <v>0.21232699999999999</v>
      </c>
      <c r="X5763">
        <v>0.96824750000000004</v>
      </c>
      <c r="Y5763">
        <v>-6.3446160000000001E-2</v>
      </c>
      <c r="Z5763">
        <v>2.9262850000000003E-4</v>
      </c>
      <c r="AA5763">
        <v>0.99798520000000002</v>
      </c>
      <c r="AB5763">
        <v>25</v>
      </c>
      <c r="AC5763">
        <v>102.725899999999</v>
      </c>
      <c r="AD5763">
        <v>-0.66204289999999999</v>
      </c>
      <c r="AE5763">
        <v>-2.3257399999999899</v>
      </c>
      <c r="AF5763">
        <v>-6.5286072768934904</v>
      </c>
      <c r="AG5763">
        <v>-0.66204289999999999</v>
      </c>
      <c r="AH5763">
        <v>102.540335172857</v>
      </c>
      <c r="AI5763">
        <v>90.369172677640194</v>
      </c>
      <c r="AJ5763">
        <v>93.643029093434905</v>
      </c>
      <c r="AK5763">
        <v>102.75009173299701</v>
      </c>
      <c r="AL5763">
        <v>77.741245136253298</v>
      </c>
      <c r="AM5763">
        <v>97.7610267476541</v>
      </c>
      <c r="AN5763">
        <v>1.00000003879574</v>
      </c>
    </row>
    <row r="5764" spans="1:40" x14ac:dyDescent="0.25">
      <c r="A5764" t="str">
        <f>"20190304155217224"</f>
        <v>20190304155217224</v>
      </c>
      <c r="B5764" t="str">
        <f>"1551685937222777"</f>
        <v>1551685937222777</v>
      </c>
      <c r="C5764" t="s">
        <v>40</v>
      </c>
      <c r="D5764">
        <v>4.9190649999999998</v>
      </c>
      <c r="E5764">
        <v>0.5259895</v>
      </c>
      <c r="F5764" t="s">
        <v>97</v>
      </c>
      <c r="G5764">
        <v>-279.68</v>
      </c>
      <c r="H5764">
        <v>0.57082109999999997</v>
      </c>
      <c r="I5764">
        <v>15.444050000000001</v>
      </c>
      <c r="J5764">
        <v>-382.25830000000002</v>
      </c>
      <c r="K5764">
        <v>1.109891</v>
      </c>
      <c r="L5764">
        <v>17.786189999999898</v>
      </c>
      <c r="M5764">
        <v>0.99624089999999998</v>
      </c>
      <c r="N5764">
        <v>-8.5308869999999992E-3</v>
      </c>
      <c r="O5764">
        <v>-8.6205100000000007E-2</v>
      </c>
      <c r="P5764">
        <v>0.977773</v>
      </c>
      <c r="Q5764">
        <v>0.20425499999999999</v>
      </c>
      <c r="R5764">
        <v>4.7331209999999999E-2</v>
      </c>
      <c r="S5764">
        <v>3.0749819999999999</v>
      </c>
      <c r="T5764">
        <v>-1.61345E-2</v>
      </c>
      <c r="U5764">
        <v>-7.049561E-2</v>
      </c>
      <c r="V5764">
        <v>-0.13137550000000001</v>
      </c>
      <c r="W5764">
        <v>0.21256700000000001</v>
      </c>
      <c r="X5764">
        <v>0.96827459999999999</v>
      </c>
      <c r="Y5764">
        <v>-6.3348639999999998E-2</v>
      </c>
      <c r="Z5764">
        <v>1.5195930000000001E-4</v>
      </c>
      <c r="AA5764">
        <v>0.99799139999999997</v>
      </c>
      <c r="AB5764">
        <v>25</v>
      </c>
      <c r="AC5764">
        <v>102.5783</v>
      </c>
      <c r="AD5764">
        <v>-0.53906989999999999</v>
      </c>
      <c r="AE5764">
        <v>-2.3421399999999899</v>
      </c>
      <c r="AF5764">
        <v>-6.5094940610413703</v>
      </c>
      <c r="AG5764">
        <v>-0.53906989999999999</v>
      </c>
      <c r="AH5764">
        <v>102.395500726778</v>
      </c>
      <c r="AI5764">
        <v>90.301028096893205</v>
      </c>
      <c r="AJ5764">
        <v>93.637516413976499</v>
      </c>
      <c r="AK5764">
        <v>102.603619226494</v>
      </c>
      <c r="AL5764">
        <v>77.727172137783498</v>
      </c>
      <c r="AM5764">
        <v>97.726708219604504</v>
      </c>
      <c r="AN5764">
        <v>0.99999997624720405</v>
      </c>
    </row>
    <row r="5765" spans="1:40" x14ac:dyDescent="0.25">
      <c r="A5765" t="str">
        <f>"20190304155217244"</f>
        <v>20190304155217244</v>
      </c>
      <c r="B5765" t="str">
        <f>"1551685937232537"</f>
        <v>1551685937232537</v>
      </c>
      <c r="C5765" t="s">
        <v>40</v>
      </c>
      <c r="D5765">
        <v>4.9175940000000002</v>
      </c>
      <c r="E5765">
        <v>0.52600019999999903</v>
      </c>
      <c r="F5765" t="s">
        <v>97</v>
      </c>
      <c r="G5765">
        <v>-279.68</v>
      </c>
      <c r="H5765">
        <v>0.90627740000000001</v>
      </c>
      <c r="I5765">
        <v>15.36374</v>
      </c>
      <c r="J5765">
        <v>-382.04750000000001</v>
      </c>
      <c r="K5765">
        <v>1.10998</v>
      </c>
      <c r="L5765">
        <v>17.767849999999999</v>
      </c>
      <c r="M5765">
        <v>0.99623709999999999</v>
      </c>
      <c r="N5765">
        <v>-8.5272200000000003E-3</v>
      </c>
      <c r="O5765">
        <v>-8.6249010000000001E-2</v>
      </c>
      <c r="P5765">
        <v>0.97754030000000003</v>
      </c>
      <c r="Q5765">
        <v>0.2056993</v>
      </c>
      <c r="R5765">
        <v>4.5854730000000003E-2</v>
      </c>
      <c r="S5765">
        <v>3.0729980000000001</v>
      </c>
      <c r="T5765">
        <v>-6.0997009999999999E-3</v>
      </c>
      <c r="U5765">
        <v>-7.2570800000000005E-2</v>
      </c>
      <c r="V5765">
        <v>-0.12997049999999999</v>
      </c>
      <c r="W5765">
        <v>0.21398</v>
      </c>
      <c r="X5765">
        <v>0.96815300000000004</v>
      </c>
      <c r="Y5765">
        <v>-6.2704540000000003E-2</v>
      </c>
      <c r="Z5765">
        <v>-2.356654E-4</v>
      </c>
      <c r="AA5765">
        <v>0.99803209999999998</v>
      </c>
      <c r="AB5765">
        <v>25</v>
      </c>
      <c r="AC5765">
        <v>102.36750000000001</v>
      </c>
      <c r="AD5765">
        <v>-0.20370260000000001</v>
      </c>
      <c r="AE5765">
        <v>-2.40410999999999</v>
      </c>
      <c r="AF5765">
        <v>-6.4342405396927003</v>
      </c>
      <c r="AG5765">
        <v>-0.20370260000000001</v>
      </c>
      <c r="AH5765">
        <v>102.192966298144</v>
      </c>
      <c r="AI5765">
        <v>90.113982589414803</v>
      </c>
      <c r="AJ5765">
        <v>93.602682834997694</v>
      </c>
      <c r="AK5765">
        <v>102.39552386157</v>
      </c>
      <c r="AL5765">
        <v>77.644306981793406</v>
      </c>
      <c r="AM5765">
        <v>97.646006018926201</v>
      </c>
      <c r="AN5765">
        <v>1.00000000133962</v>
      </c>
    </row>
    <row r="5766" spans="1:40" x14ac:dyDescent="0.25">
      <c r="A5766" t="str">
        <f>"20190304155217258"</f>
        <v>20190304155217258</v>
      </c>
      <c r="B5766" t="str">
        <f>"1551685937253034"</f>
        <v>1551685937253034</v>
      </c>
      <c r="C5766" t="s">
        <v>40</v>
      </c>
      <c r="D5766">
        <v>4.863435</v>
      </c>
      <c r="E5766">
        <v>0.52605309999999905</v>
      </c>
      <c r="F5766" t="s">
        <v>97</v>
      </c>
      <c r="G5766">
        <v>-279.68</v>
      </c>
      <c r="H5766">
        <v>1.1233550000000001</v>
      </c>
      <c r="I5766">
        <v>15.220789999999999</v>
      </c>
      <c r="J5766">
        <v>-381.8818</v>
      </c>
      <c r="K5766">
        <v>1.110047</v>
      </c>
      <c r="L5766">
        <v>17.75348</v>
      </c>
      <c r="M5766">
        <v>0.99624100000000004</v>
      </c>
      <c r="N5766">
        <v>-8.5250280000000005E-3</v>
      </c>
      <c r="O5766">
        <v>-8.6203849999999999E-2</v>
      </c>
      <c r="P5766">
        <v>0.97737030000000003</v>
      </c>
      <c r="Q5766">
        <v>0.206624</v>
      </c>
      <c r="R5766">
        <v>4.5318539999999997E-2</v>
      </c>
      <c r="S5766">
        <v>3.0724179999999999</v>
      </c>
      <c r="T5766">
        <v>4.0149689999999997E-4</v>
      </c>
      <c r="U5766">
        <v>-7.6446529999999999E-2</v>
      </c>
      <c r="V5766">
        <v>-0.129412</v>
      </c>
      <c r="W5766">
        <v>0.21488080000000001</v>
      </c>
      <c r="X5766">
        <v>0.96802829999999995</v>
      </c>
      <c r="Y5766">
        <v>-6.1395869999999998E-2</v>
      </c>
      <c r="Z5766">
        <v>-4.8918680000000002E-4</v>
      </c>
      <c r="AA5766">
        <v>0.99811340000000004</v>
      </c>
      <c r="AB5766">
        <v>25</v>
      </c>
      <c r="AC5766">
        <v>102.20180000000001</v>
      </c>
      <c r="AD5766">
        <v>1.3307999999999799E-2</v>
      </c>
      <c r="AE5766">
        <v>-2.5326900000000001</v>
      </c>
      <c r="AF5766">
        <v>-6.2872476657157801</v>
      </c>
      <c r="AG5766">
        <v>1.3307999999999799E-2</v>
      </c>
      <c r="AH5766">
        <v>102.03966191859</v>
      </c>
      <c r="AI5766">
        <v>89.992541636031206</v>
      </c>
      <c r="AJ5766">
        <v>93.5258634790938</v>
      </c>
      <c r="AK5766">
        <v>102.233175949753</v>
      </c>
      <c r="AL5766">
        <v>77.591465886129299</v>
      </c>
      <c r="AM5766">
        <v>97.614505622412906</v>
      </c>
      <c r="AN5766">
        <v>1.00000000677676</v>
      </c>
    </row>
    <row r="5767" spans="1:40" x14ac:dyDescent="0.25">
      <c r="A5767" t="str">
        <f>"20190304155217279"</f>
        <v>20190304155217279</v>
      </c>
      <c r="B5767" t="str">
        <f>"1551685937272554"</f>
        <v>1551685937272554</v>
      </c>
      <c r="C5767" t="s">
        <v>40</v>
      </c>
      <c r="D5767">
        <v>4.6966140000000003</v>
      </c>
      <c r="E5767">
        <v>0.52526819999999996</v>
      </c>
      <c r="F5767" t="s">
        <v>97</v>
      </c>
      <c r="G5767">
        <v>-279.68</v>
      </c>
      <c r="H5767">
        <v>1.352778</v>
      </c>
      <c r="I5767">
        <v>15.149889999999999</v>
      </c>
      <c r="J5767">
        <v>-381.6567</v>
      </c>
      <c r="K5767">
        <v>1.1101369999999999</v>
      </c>
      <c r="L5767">
        <v>17.734100000000002</v>
      </c>
      <c r="M5767">
        <v>0.99625520000000001</v>
      </c>
      <c r="N5767">
        <v>-8.5229539999999993E-3</v>
      </c>
      <c r="O5767">
        <v>-8.6042240000000006E-2</v>
      </c>
      <c r="P5767">
        <v>0.97710810000000003</v>
      </c>
      <c r="Q5767">
        <v>0.20808019999999999</v>
      </c>
      <c r="R5767">
        <v>4.4306430000000001E-2</v>
      </c>
      <c r="S5767">
        <v>3.0715330000000001</v>
      </c>
      <c r="T5767">
        <v>7.2950119999999896E-3</v>
      </c>
      <c r="U5767">
        <v>-7.8247070000000002E-2</v>
      </c>
      <c r="V5767">
        <v>-0.12827149999999901</v>
      </c>
      <c r="W5767">
        <v>0.21630559999999999</v>
      </c>
      <c r="X5767">
        <v>0.96786280000000002</v>
      </c>
      <c r="Y5767">
        <v>-6.0640569999999998E-2</v>
      </c>
      <c r="Z5767">
        <v>-7.5171630000000003E-4</v>
      </c>
      <c r="AA5767">
        <v>0.99815940000000003</v>
      </c>
      <c r="AB5767">
        <v>25</v>
      </c>
      <c r="AC5767">
        <v>101.97669999999999</v>
      </c>
      <c r="AD5767">
        <v>0.242640999999999</v>
      </c>
      <c r="AE5767">
        <v>-2.5842100000000001</v>
      </c>
      <c r="AF5767">
        <v>-6.19996013032201</v>
      </c>
      <c r="AG5767">
        <v>0.242640999999999</v>
      </c>
      <c r="AH5767">
        <v>101.820274161318</v>
      </c>
      <c r="AI5767">
        <v>89.863714986398406</v>
      </c>
      <c r="AJ5767">
        <v>93.484507287503604</v>
      </c>
      <c r="AK5767">
        <v>102.00914964138499</v>
      </c>
      <c r="AL5767">
        <v>77.5078653127986</v>
      </c>
      <c r="AM5767">
        <v>97.549452398497294</v>
      </c>
      <c r="AN5767">
        <v>1.0000000449637201</v>
      </c>
    </row>
    <row r="5768" spans="1:40" x14ac:dyDescent="0.25">
      <c r="A5768" t="str">
        <f>"20190304155217300"</f>
        <v>20190304155217300</v>
      </c>
      <c r="B5768" t="str">
        <f>"1551685937293049"</f>
        <v>1551685937293049</v>
      </c>
      <c r="C5768" t="s">
        <v>40</v>
      </c>
      <c r="D5768">
        <v>4.9208420000000004</v>
      </c>
      <c r="E5768">
        <v>0.52527959999999996</v>
      </c>
      <c r="F5768" t="s">
        <v>97</v>
      </c>
      <c r="G5768">
        <v>-279.68</v>
      </c>
      <c r="H5768">
        <v>1.302006</v>
      </c>
      <c r="I5768">
        <v>15.245430000000001</v>
      </c>
      <c r="J5768">
        <v>-381.40440000000001</v>
      </c>
      <c r="K5768">
        <v>1.110242</v>
      </c>
      <c r="L5768">
        <v>17.71255</v>
      </c>
      <c r="M5768">
        <v>0.99628309999999998</v>
      </c>
      <c r="N5768">
        <v>-8.5218940000000003E-3</v>
      </c>
      <c r="O5768">
        <v>-8.571782E-2</v>
      </c>
      <c r="P5768">
        <v>0.97691620000000001</v>
      </c>
      <c r="Q5768">
        <v>0.2090591</v>
      </c>
      <c r="R5768">
        <v>4.3920170000000001E-2</v>
      </c>
      <c r="S5768">
        <v>3.072479</v>
      </c>
      <c r="T5768">
        <v>5.7809350000000001E-3</v>
      </c>
      <c r="U5768">
        <v>-7.4981690000000004E-2</v>
      </c>
      <c r="V5768">
        <v>-0.12760759999999999</v>
      </c>
      <c r="W5768">
        <v>0.217251</v>
      </c>
      <c r="X5768">
        <v>0.96773869999999895</v>
      </c>
      <c r="Y5768">
        <v>-6.1383930000000003E-2</v>
      </c>
      <c r="Z5768">
        <v>-6.8845089999999896E-4</v>
      </c>
      <c r="AA5768">
        <v>0.99811399999999995</v>
      </c>
      <c r="AB5768">
        <v>25</v>
      </c>
      <c r="AC5768">
        <v>101.7244</v>
      </c>
      <c r="AD5768">
        <v>0.19176399999999999</v>
      </c>
      <c r="AE5768">
        <v>-2.46712</v>
      </c>
      <c r="AF5768">
        <v>-6.2618484163546198</v>
      </c>
      <c r="AG5768">
        <v>0.19176399999999999</v>
      </c>
      <c r="AH5768">
        <v>101.561094639598</v>
      </c>
      <c r="AI5768">
        <v>89.892021344925496</v>
      </c>
      <c r="AJ5768">
        <v>93.5281610109067</v>
      </c>
      <c r="AK5768">
        <v>101.75413241443501</v>
      </c>
      <c r="AL5768">
        <v>77.452377166059193</v>
      </c>
      <c r="AM5768">
        <v>97.511777800975295</v>
      </c>
      <c r="AN5768">
        <v>0.99999994402822301</v>
      </c>
    </row>
    <row r="5769" spans="1:40" x14ac:dyDescent="0.25">
      <c r="A5769" t="str">
        <f>"20190304155217322"</f>
        <v>20190304155217322</v>
      </c>
      <c r="B5769" t="str">
        <f>"1551685937312569"</f>
        <v>1551685937312569</v>
      </c>
      <c r="C5769" t="s">
        <v>40</v>
      </c>
      <c r="D5769">
        <v>4.8755810000000004</v>
      </c>
      <c r="E5769">
        <v>0.52538879999999999</v>
      </c>
      <c r="F5769" t="s">
        <v>99</v>
      </c>
      <c r="G5769">
        <v>-273.40989999999999</v>
      </c>
      <c r="H5769">
        <v>1.510267</v>
      </c>
      <c r="I5769">
        <v>15.047510000000001</v>
      </c>
      <c r="J5769">
        <v>-381.15690000000001</v>
      </c>
      <c r="K5769">
        <v>1.110336</v>
      </c>
      <c r="L5769">
        <v>17.691649999999999</v>
      </c>
      <c r="M5769">
        <v>0.99632220000000005</v>
      </c>
      <c r="N5769">
        <v>-8.52176199999999E-3</v>
      </c>
      <c r="O5769">
        <v>-8.5262099999999993E-2</v>
      </c>
      <c r="P5769">
        <v>0.9770141</v>
      </c>
      <c r="Q5769">
        <v>0.20860409999999999</v>
      </c>
      <c r="R5769">
        <v>4.3908549999999998E-2</v>
      </c>
      <c r="S5769">
        <v>3.0718380000000001</v>
      </c>
      <c r="T5769">
        <v>1.137853E-2</v>
      </c>
      <c r="U5769">
        <v>-7.5805659999999997E-2</v>
      </c>
      <c r="V5769">
        <v>-0.12721370000000001</v>
      </c>
      <c r="W5769">
        <v>0.21676690000000001</v>
      </c>
      <c r="X5769">
        <v>0.96789910000000001</v>
      </c>
      <c r="Y5769">
        <v>-6.0653140000000001E-2</v>
      </c>
      <c r="Z5769">
        <v>-8.9657199999999999E-4</v>
      </c>
      <c r="AA5769">
        <v>0.99815849999999995</v>
      </c>
      <c r="AB5769">
        <v>26</v>
      </c>
      <c r="AC5769">
        <v>107.747</v>
      </c>
      <c r="AD5769">
        <v>0.39993099999999998</v>
      </c>
      <c r="AE5769">
        <v>-2.6441399999999899</v>
      </c>
      <c r="AF5769">
        <v>-6.5524672511605004</v>
      </c>
      <c r="AG5769">
        <v>0.39993099999999998</v>
      </c>
      <c r="AH5769">
        <v>107.57858883281099</v>
      </c>
      <c r="AI5769">
        <v>89.787393876530302</v>
      </c>
      <c r="AJ5769">
        <v>93.485502927955395</v>
      </c>
      <c r="AK5769">
        <v>107.778697093356</v>
      </c>
      <c r="AL5769">
        <v>77.480791134237094</v>
      </c>
      <c r="AM5769">
        <v>97.487627012331103</v>
      </c>
      <c r="AN5769">
        <v>0.99999994109205304</v>
      </c>
    </row>
    <row r="5770" spans="1:40" x14ac:dyDescent="0.25">
      <c r="A5770" t="str">
        <f>"20190304155217335"</f>
        <v>20190304155217335</v>
      </c>
      <c r="B5770" t="str">
        <f>"1551685937333066"</f>
        <v>1551685937333066</v>
      </c>
      <c r="C5770" t="s">
        <v>40</v>
      </c>
      <c r="D5770">
        <v>4.6832419999999999</v>
      </c>
      <c r="E5770">
        <v>0.52477180000000001</v>
      </c>
      <c r="F5770" t="s">
        <v>99</v>
      </c>
      <c r="G5770">
        <v>-273.40989999999999</v>
      </c>
      <c r="H5770">
        <v>1.50478</v>
      </c>
      <c r="I5770">
        <v>15.006830000000001</v>
      </c>
      <c r="J5770">
        <v>-381.00659999999999</v>
      </c>
      <c r="K5770">
        <v>1.110398</v>
      </c>
      <c r="L5770">
        <v>17.679110000000001</v>
      </c>
      <c r="M5770">
        <v>0.99635169999999995</v>
      </c>
      <c r="N5770">
        <v>-8.5221849999999998E-3</v>
      </c>
      <c r="O5770">
        <v>-8.4917629999999994E-2</v>
      </c>
      <c r="P5770">
        <v>0.9770991</v>
      </c>
      <c r="Q5770">
        <v>0.2081665</v>
      </c>
      <c r="R5770">
        <v>4.4092899999999997E-2</v>
      </c>
      <c r="S5770">
        <v>3.071625</v>
      </c>
      <c r="T5770">
        <v>1.1244769999999999E-2</v>
      </c>
      <c r="U5770">
        <v>-7.6538090000000003E-2</v>
      </c>
      <c r="V5770">
        <v>-0.12710080000000001</v>
      </c>
      <c r="W5770">
        <v>0.21631159999999999</v>
      </c>
      <c r="X5770">
        <v>0.96801579999999998</v>
      </c>
      <c r="Y5770">
        <v>-6.0068509999999999E-2</v>
      </c>
      <c r="Z5770">
        <v>-8.8881399999999895E-4</v>
      </c>
      <c r="AA5770">
        <v>0.99819389999999997</v>
      </c>
      <c r="AB5770">
        <v>26</v>
      </c>
      <c r="AC5770">
        <v>107.5967</v>
      </c>
      <c r="AD5770">
        <v>0.39438200000000001</v>
      </c>
      <c r="AE5770">
        <v>-2.6722800000000002</v>
      </c>
      <c r="AF5770">
        <v>-6.47447312262653</v>
      </c>
      <c r="AG5770">
        <v>0.39438200000000001</v>
      </c>
      <c r="AH5770">
        <v>107.43351926197801</v>
      </c>
      <c r="AI5770">
        <v>89.790052478828102</v>
      </c>
      <c r="AJ5770">
        <v>93.448754833610195</v>
      </c>
      <c r="AK5770">
        <v>107.629156832112</v>
      </c>
      <c r="AL5770">
        <v>77.5075120643764</v>
      </c>
      <c r="AM5770">
        <v>97.480165499885501</v>
      </c>
      <c r="AN5770">
        <v>0.99999995535241903</v>
      </c>
    </row>
    <row r="5771" spans="1:40" x14ac:dyDescent="0.25">
      <c r="A5771" t="str">
        <f>"20190304155217347"</f>
        <v>20190304155217347</v>
      </c>
      <c r="B5771" t="str">
        <f>"1551685937342825"</f>
        <v>1551685937342825</v>
      </c>
      <c r="C5771" t="s">
        <v>40</v>
      </c>
      <c r="D5771">
        <v>4.8516399999999997</v>
      </c>
      <c r="E5771">
        <v>0.52466639999999998</v>
      </c>
      <c r="F5771" t="s">
        <v>99</v>
      </c>
      <c r="G5771">
        <v>-273.40989999999999</v>
      </c>
      <c r="H5771">
        <v>1.3974489999999999</v>
      </c>
      <c r="I5771">
        <v>15.194879999999999</v>
      </c>
      <c r="J5771">
        <v>-380.87110000000001</v>
      </c>
      <c r="K5771">
        <v>1.1104510000000001</v>
      </c>
      <c r="L5771">
        <v>17.667819999999999</v>
      </c>
      <c r="M5771">
        <v>0.9963803</v>
      </c>
      <c r="N5771">
        <v>-8.5227710000000002E-3</v>
      </c>
      <c r="O5771">
        <v>-8.4580260000000004E-2</v>
      </c>
      <c r="P5771">
        <v>0.97713989999999995</v>
      </c>
      <c r="Q5771">
        <v>0.20788110000000001</v>
      </c>
      <c r="R5771">
        <v>4.4533419999999997E-2</v>
      </c>
      <c r="S5771">
        <v>3.0718079999999999</v>
      </c>
      <c r="T5771">
        <v>8.1951619999999902E-3</v>
      </c>
      <c r="U5771">
        <v>-7.0922849999999996E-2</v>
      </c>
      <c r="V5771">
        <v>-0.12724289999999999</v>
      </c>
      <c r="W5771">
        <v>0.21601090000000001</v>
      </c>
      <c r="X5771">
        <v>0.96806429999999999</v>
      </c>
      <c r="Y5771">
        <v>-6.155654E-2</v>
      </c>
      <c r="Z5771">
        <v>-7.6669979999999997E-4</v>
      </c>
      <c r="AA5771">
        <v>0.99810330000000003</v>
      </c>
      <c r="AB5771">
        <v>26</v>
      </c>
      <c r="AC5771">
        <v>107.46120000000001</v>
      </c>
      <c r="AD5771">
        <v>0.28699799999999898</v>
      </c>
      <c r="AE5771">
        <v>-2.4729399999999999</v>
      </c>
      <c r="AF5771">
        <v>-6.62530040382096</v>
      </c>
      <c r="AG5771">
        <v>0.28699799999999898</v>
      </c>
      <c r="AH5771">
        <v>107.28450772735199</v>
      </c>
      <c r="AI5771">
        <v>89.847019203972394</v>
      </c>
      <c r="AJ5771">
        <v>93.533784219053103</v>
      </c>
      <c r="AK5771">
        <v>107.489267239074</v>
      </c>
      <c r="AL5771">
        <v>77.525158370353594</v>
      </c>
      <c r="AM5771">
        <v>97.488062629519305</v>
      </c>
      <c r="AN5771">
        <v>0.99999997672685403</v>
      </c>
    </row>
    <row r="5772" spans="1:40" x14ac:dyDescent="0.25">
      <c r="A5772" t="str">
        <f>"20190304155217366"</f>
        <v>20190304155217366</v>
      </c>
      <c r="B5772" t="str">
        <f>"1551685937362345"</f>
        <v>1551685937362345</v>
      </c>
      <c r="C5772" t="s">
        <v>40</v>
      </c>
      <c r="D5772">
        <v>4.8970050000000001</v>
      </c>
      <c r="E5772">
        <v>0.52445679999999995</v>
      </c>
      <c r="F5772" t="s">
        <v>99</v>
      </c>
      <c r="G5772">
        <v>-273.40989999999999</v>
      </c>
      <c r="H5772">
        <v>1.417716</v>
      </c>
      <c r="I5772">
        <v>15.276109999999999</v>
      </c>
      <c r="J5772">
        <v>-380.65539999999999</v>
      </c>
      <c r="K5772">
        <v>1.110533</v>
      </c>
      <c r="L5772">
        <v>17.650120000000001</v>
      </c>
      <c r="M5772">
        <v>0.99643400000000004</v>
      </c>
      <c r="N5772">
        <v>-8.5241889999999997E-3</v>
      </c>
      <c r="O5772">
        <v>-8.3944749999999999E-2</v>
      </c>
      <c r="P5772">
        <v>0.97693180000000002</v>
      </c>
      <c r="Q5772">
        <v>0.20872889999999999</v>
      </c>
      <c r="R5772">
        <v>4.5128870000000001E-2</v>
      </c>
      <c r="S5772">
        <v>3.0714419999999998</v>
      </c>
      <c r="T5772">
        <v>8.7822679999999993E-3</v>
      </c>
      <c r="U5772">
        <v>-6.8359379999999997E-2</v>
      </c>
      <c r="V5772">
        <v>-0.127245</v>
      </c>
      <c r="W5772">
        <v>0.216833</v>
      </c>
      <c r="X5772">
        <v>0.96788019999999997</v>
      </c>
      <c r="Y5772">
        <v>-6.1749690000000003E-2</v>
      </c>
      <c r="Z5772">
        <v>-7.8105759999999905E-4</v>
      </c>
      <c r="AA5772">
        <v>0.99809130000000001</v>
      </c>
      <c r="AB5772">
        <v>26</v>
      </c>
      <c r="AC5772">
        <v>107.24550000000001</v>
      </c>
      <c r="AD5772">
        <v>0.30718299999999998</v>
      </c>
      <c r="AE5772">
        <v>-2.37400999999999</v>
      </c>
      <c r="AF5772">
        <v>-6.6373387960002299</v>
      </c>
      <c r="AG5772">
        <v>0.30718299999999998</v>
      </c>
      <c r="AH5772">
        <v>107.065354839777</v>
      </c>
      <c r="AI5772">
        <v>89.8359271481213</v>
      </c>
      <c r="AJ5772">
        <v>93.547416861507998</v>
      </c>
      <c r="AK5772">
        <v>107.271332771882</v>
      </c>
      <c r="AL5772">
        <v>77.476911862598101</v>
      </c>
      <c r="AM5772">
        <v>97.489592964614701</v>
      </c>
      <c r="AN5772">
        <v>0.999999960733019</v>
      </c>
    </row>
    <row r="5773" spans="1:40" x14ac:dyDescent="0.25">
      <c r="A5773" t="str">
        <f>"20190304155217380"</f>
        <v>20190304155217380</v>
      </c>
      <c r="B5773" t="str">
        <f>"1551685937373081"</f>
        <v>1551685937373081</v>
      </c>
      <c r="C5773" t="s">
        <v>40</v>
      </c>
      <c r="D5773">
        <v>4.9174470000000001</v>
      </c>
      <c r="E5773">
        <v>0.52441470000000001</v>
      </c>
      <c r="F5773" t="s">
        <v>99</v>
      </c>
      <c r="G5773">
        <v>-273.40989999999999</v>
      </c>
      <c r="H5773">
        <v>1.5678129999999999</v>
      </c>
      <c r="I5773">
        <v>15.402469999999999</v>
      </c>
      <c r="J5773">
        <v>-380.49599999999998</v>
      </c>
      <c r="K5773">
        <v>1.1105959999999999</v>
      </c>
      <c r="L5773">
        <v>17.63721</v>
      </c>
      <c r="M5773">
        <v>0.996479</v>
      </c>
      <c r="N5773">
        <v>-8.525576E-3</v>
      </c>
      <c r="O5773">
        <v>-8.3410910000000005E-2</v>
      </c>
      <c r="P5773">
        <v>0.97665389999999996</v>
      </c>
      <c r="Q5773">
        <v>0.2098891</v>
      </c>
      <c r="R5773">
        <v>4.5761139999999999E-2</v>
      </c>
      <c r="S5773">
        <v>3.0709840000000002</v>
      </c>
      <c r="T5773">
        <v>1.309431E-2</v>
      </c>
      <c r="U5773">
        <v>-6.4361570000000007E-2</v>
      </c>
      <c r="V5773">
        <v>-0.12736510000000001</v>
      </c>
      <c r="W5773">
        <v>0.21797330000000001</v>
      </c>
      <c r="X5773">
        <v>0.96760829999999998</v>
      </c>
      <c r="Y5773">
        <v>-6.2509040000000002E-2</v>
      </c>
      <c r="Z5773">
        <v>-9.3380730000000003E-4</v>
      </c>
      <c r="AA5773">
        <v>0.99804400000000004</v>
      </c>
      <c r="AB5773">
        <v>26</v>
      </c>
      <c r="AC5773">
        <v>107.0861</v>
      </c>
      <c r="AD5773">
        <v>0.45721699999999998</v>
      </c>
      <c r="AE5773">
        <v>-2.2347399999999902</v>
      </c>
      <c r="AF5773">
        <v>-6.7053975345749901</v>
      </c>
      <c r="AG5773">
        <v>0.45721699999999998</v>
      </c>
      <c r="AH5773">
        <v>106.897364030354</v>
      </c>
      <c r="AI5773">
        <v>89.755419049405006</v>
      </c>
      <c r="AJ5773">
        <v>93.589314595141303</v>
      </c>
      <c r="AK5773">
        <v>107.10843963068299</v>
      </c>
      <c r="AL5773">
        <v>77.4099773368809</v>
      </c>
      <c r="AM5773">
        <v>97.498664227512194</v>
      </c>
      <c r="AN5773">
        <v>1.00000002521989</v>
      </c>
    </row>
    <row r="5774" spans="1:40" x14ac:dyDescent="0.25">
      <c r="A5774" t="str">
        <f>"20190304155217395"</f>
        <v>20190304155217395</v>
      </c>
      <c r="B5774" t="str">
        <f>"1551685937392601"</f>
        <v>1551685937392601</v>
      </c>
      <c r="C5774" t="s">
        <v>40</v>
      </c>
      <c r="D5774">
        <v>4.8574929999999998</v>
      </c>
      <c r="E5774">
        <v>0.52435549999999997</v>
      </c>
      <c r="F5774" t="s">
        <v>99</v>
      </c>
      <c r="G5774">
        <v>-273.40989999999999</v>
      </c>
      <c r="H5774">
        <v>1.7922499999999999</v>
      </c>
      <c r="I5774">
        <v>15.480840000000001</v>
      </c>
      <c r="J5774">
        <v>-380.32429999999999</v>
      </c>
      <c r="K5774">
        <v>1.1106560000000001</v>
      </c>
      <c r="L5774">
        <v>17.623439999999999</v>
      </c>
      <c r="M5774">
        <v>0.99653020000000003</v>
      </c>
      <c r="N5774">
        <v>-8.5272709999999995E-3</v>
      </c>
      <c r="O5774">
        <v>-8.2794110000000004E-2</v>
      </c>
      <c r="P5774">
        <v>0.97639030000000004</v>
      </c>
      <c r="Q5774">
        <v>0.2109656</v>
      </c>
      <c r="R5774">
        <v>4.6426759999999997E-2</v>
      </c>
      <c r="S5774">
        <v>3.0704349999999998</v>
      </c>
      <c r="T5774">
        <v>1.9544840000000001E-2</v>
      </c>
      <c r="U5774">
        <v>-6.1828609999999999E-2</v>
      </c>
      <c r="V5774">
        <v>-0.12743979999999999</v>
      </c>
      <c r="W5774">
        <v>0.219031</v>
      </c>
      <c r="X5774">
        <v>0.96735950000000004</v>
      </c>
      <c r="Y5774">
        <v>-6.2708040000000007E-2</v>
      </c>
      <c r="Z5774">
        <v>-1.1652570000000001E-3</v>
      </c>
      <c r="AA5774">
        <v>0.99803129999999995</v>
      </c>
      <c r="AB5774">
        <v>26</v>
      </c>
      <c r="AC5774">
        <v>106.9144</v>
      </c>
      <c r="AD5774">
        <v>0.68159399999999903</v>
      </c>
      <c r="AE5774">
        <v>-2.1425999999999998</v>
      </c>
      <c r="AF5774">
        <v>-6.7166882670641099</v>
      </c>
      <c r="AG5774">
        <v>0.68159399999999903</v>
      </c>
      <c r="AH5774">
        <v>106.72036673802801</v>
      </c>
      <c r="AI5774">
        <v>89.634794963888098</v>
      </c>
      <c r="AJ5774">
        <v>93.601289790490199</v>
      </c>
      <c r="AK5774">
        <v>106.93369510288601</v>
      </c>
      <c r="AL5774">
        <v>77.347873905168697</v>
      </c>
      <c r="AM5774">
        <v>97.504919865901101</v>
      </c>
      <c r="AN5774">
        <v>0.99999994191264296</v>
      </c>
    </row>
    <row r="5775" spans="1:40" x14ac:dyDescent="0.25">
      <c r="A5775" t="str">
        <f>"20190304155217413"</f>
        <v>20190304155217413</v>
      </c>
      <c r="B5775" t="str">
        <f>"1551685937402361"</f>
        <v>1551685937402361</v>
      </c>
      <c r="C5775" t="s">
        <v>40</v>
      </c>
      <c r="D5775">
        <v>4.8355610000000002</v>
      </c>
      <c r="E5775">
        <v>0.52430900000000003</v>
      </c>
      <c r="F5775" t="s">
        <v>98</v>
      </c>
      <c r="G5775">
        <v>-276.76819999999998</v>
      </c>
      <c r="H5775">
        <v>1.953749</v>
      </c>
      <c r="I5775">
        <v>15.6273</v>
      </c>
      <c r="J5775">
        <v>-380.12169999999998</v>
      </c>
      <c r="K5775">
        <v>1.110735</v>
      </c>
      <c r="L5775">
        <v>17.607389999999999</v>
      </c>
      <c r="M5775">
        <v>0.99659529999999996</v>
      </c>
      <c r="N5775">
        <v>-8.529554E-3</v>
      </c>
      <c r="O5775">
        <v>-8.2007659999999996E-2</v>
      </c>
      <c r="P5775">
        <v>0.97590069999999995</v>
      </c>
      <c r="Q5775">
        <v>0.21293870000000001</v>
      </c>
      <c r="R5775">
        <v>4.7702899999999999E-2</v>
      </c>
      <c r="S5775">
        <v>3.0699160000000001</v>
      </c>
      <c r="T5775">
        <v>2.4993419999999999E-2</v>
      </c>
      <c r="U5775">
        <v>-5.9173580000000003E-2</v>
      </c>
      <c r="V5775">
        <v>-0.12794349999999999</v>
      </c>
      <c r="W5775">
        <v>0.22098090000000001</v>
      </c>
      <c r="X5775">
        <v>0.96684950000000003</v>
      </c>
      <c r="Y5775">
        <v>-6.2777299999999994E-2</v>
      </c>
      <c r="Z5775">
        <v>-1.3547889999999999E-3</v>
      </c>
      <c r="AA5775">
        <v>0.99802670000000004</v>
      </c>
      <c r="AB5775">
        <v>26</v>
      </c>
      <c r="AC5775">
        <v>103.3535</v>
      </c>
      <c r="AD5775">
        <v>0.84301400000000004</v>
      </c>
      <c r="AE5775">
        <v>-1.9800899999999899</v>
      </c>
      <c r="AF5775">
        <v>-6.5022337577620704</v>
      </c>
      <c r="AG5775">
        <v>0.84301400000000004</v>
      </c>
      <c r="AH5775">
        <v>103.160876650929</v>
      </c>
      <c r="AI5775">
        <v>89.532725806723207</v>
      </c>
      <c r="AJ5775">
        <v>93.606584026878494</v>
      </c>
      <c r="AK5775">
        <v>103.36902915202801</v>
      </c>
      <c r="AL5775">
        <v>77.233347851027304</v>
      </c>
      <c r="AM5775">
        <v>97.538171134038805</v>
      </c>
      <c r="AN5775">
        <v>1.0000000265036499</v>
      </c>
    </row>
    <row r="5776" spans="1:40" x14ac:dyDescent="0.25">
      <c r="A5776" t="str">
        <f>"20190304155217435"</f>
        <v>20190304155217435</v>
      </c>
      <c r="B5776" t="str">
        <f>"1551685937432618"</f>
        <v>1551685937432618</v>
      </c>
      <c r="C5776" t="s">
        <v>40</v>
      </c>
      <c r="D5776">
        <v>4.9775879999999999</v>
      </c>
      <c r="E5776">
        <v>0.48777429999999999</v>
      </c>
      <c r="F5776" t="s">
        <v>98</v>
      </c>
      <c r="G5776">
        <v>-276.84559999999999</v>
      </c>
      <c r="H5776">
        <v>2.192088</v>
      </c>
      <c r="I5776">
        <v>15.74694</v>
      </c>
      <c r="J5776">
        <v>-379.85750000000002</v>
      </c>
      <c r="K5776">
        <v>1.110806</v>
      </c>
      <c r="L5776">
        <v>17.586819999999999</v>
      </c>
      <c r="M5776">
        <v>0.99668570000000001</v>
      </c>
      <c r="N5776">
        <v>-8.5328920000000003E-3</v>
      </c>
      <c r="O5776">
        <v>-8.090029E-2</v>
      </c>
      <c r="P5776">
        <v>0.9755509</v>
      </c>
      <c r="Q5776">
        <v>0.2140475</v>
      </c>
      <c r="R5776">
        <v>4.984123E-2</v>
      </c>
      <c r="S5776">
        <v>3.069763</v>
      </c>
      <c r="T5776">
        <v>3.2141919999999997E-2</v>
      </c>
      <c r="U5776">
        <v>-5.5297850000000003E-2</v>
      </c>
      <c r="V5776">
        <v>-0.1290084</v>
      </c>
      <c r="W5776">
        <v>0.22206709999999999</v>
      </c>
      <c r="X5776">
        <v>0.96645899999999996</v>
      </c>
      <c r="Y5776">
        <v>-6.2923099999999996E-2</v>
      </c>
      <c r="Z5776">
        <v>-1.5979480000000001E-3</v>
      </c>
      <c r="AA5776">
        <v>0.99801709999999999</v>
      </c>
      <c r="AB5776">
        <v>26</v>
      </c>
      <c r="AC5776">
        <v>103.0119</v>
      </c>
      <c r="AD5776">
        <v>1.0812820000000001</v>
      </c>
      <c r="AE5776">
        <v>-1.83988</v>
      </c>
      <c r="AF5776">
        <v>-6.4994310929092203</v>
      </c>
      <c r="AG5776">
        <v>1.0812820000000001</v>
      </c>
      <c r="AH5776">
        <v>102.81175098326</v>
      </c>
      <c r="AI5776">
        <v>89.398636822487902</v>
      </c>
      <c r="AJ5776">
        <v>93.617243015699103</v>
      </c>
      <c r="AK5776">
        <v>103.02265729216499</v>
      </c>
      <c r="AL5776">
        <v>77.169526964687705</v>
      </c>
      <c r="AM5776">
        <v>97.603217406015403</v>
      </c>
      <c r="AN5776">
        <v>0.99999998142698399</v>
      </c>
    </row>
    <row r="5777" spans="1:40" x14ac:dyDescent="0.25">
      <c r="A5777" t="str">
        <f>"20190304155217456"</f>
        <v>20190304155217456</v>
      </c>
      <c r="B5777" t="str">
        <f>"1551685937453114"</f>
        <v>1551685937453114</v>
      </c>
      <c r="C5777" t="s">
        <v>40</v>
      </c>
      <c r="D5777">
        <v>4.834797</v>
      </c>
      <c r="E5777">
        <v>0.47242669999999998</v>
      </c>
      <c r="F5777" t="s">
        <v>41</v>
      </c>
      <c r="G5777">
        <v>-346.48180000000002</v>
      </c>
      <c r="H5777" s="1">
        <v>-1.643943E-6</v>
      </c>
      <c r="I5777">
        <v>20.18872</v>
      </c>
      <c r="J5777">
        <v>-379.61619999999999</v>
      </c>
      <c r="K5777">
        <v>1.1108499999999999</v>
      </c>
      <c r="L5777">
        <v>17.568359999999998</v>
      </c>
      <c r="M5777">
        <v>0.99677179999999999</v>
      </c>
      <c r="N5777">
        <v>-8.5361050000000004E-3</v>
      </c>
      <c r="O5777">
        <v>-7.9832799999999995E-2</v>
      </c>
      <c r="P5777">
        <v>0.97526349999999995</v>
      </c>
      <c r="Q5777">
        <v>0.21470980000000001</v>
      </c>
      <c r="R5777">
        <v>5.2543720000000002E-2</v>
      </c>
      <c r="S5777">
        <v>3.0854189999999999</v>
      </c>
      <c r="T5777">
        <v>-0.1026884</v>
      </c>
      <c r="U5777">
        <v>0.24053959999999999</v>
      </c>
      <c r="V5777">
        <v>-0.13066739999999999</v>
      </c>
      <c r="W5777">
        <v>0.22271189999999999</v>
      </c>
      <c r="X5777">
        <v>0.96608769999999999</v>
      </c>
      <c r="Y5777">
        <v>-0.156937299999999</v>
      </c>
      <c r="Z5777">
        <v>5.2498369999999898E-3</v>
      </c>
      <c r="AA5777">
        <v>0.98759459999999999</v>
      </c>
      <c r="AB5777">
        <v>26</v>
      </c>
      <c r="AC5777">
        <v>33.1343999999999</v>
      </c>
      <c r="AD5777">
        <v>-1.1108516439429901</v>
      </c>
      <c r="AE5777">
        <v>2.62035999999999</v>
      </c>
      <c r="AF5777">
        <v>-5.2514382329665601</v>
      </c>
      <c r="AG5777">
        <v>-1.1108516439429901</v>
      </c>
      <c r="AH5777">
        <v>32.782820081783903</v>
      </c>
      <c r="AI5777">
        <v>91.916322512487199</v>
      </c>
      <c r="AJ5777">
        <v>99.100819989367594</v>
      </c>
      <c r="AK5777">
        <v>33.219345077892903</v>
      </c>
      <c r="AL5777">
        <v>77.131633986889</v>
      </c>
      <c r="AM5777">
        <v>97.702750079939406</v>
      </c>
      <c r="AN5777">
        <v>1.0000000019578299</v>
      </c>
    </row>
    <row r="5778" spans="1:40" x14ac:dyDescent="0.25">
      <c r="A5778" t="str">
        <f>"20190304155217470"</f>
        <v>20190304155217470</v>
      </c>
      <c r="B5778" t="str">
        <f>"1551685937462875"</f>
        <v>1551685937462875</v>
      </c>
      <c r="C5778" t="s">
        <v>40</v>
      </c>
      <c r="D5778">
        <v>5.073493</v>
      </c>
      <c r="E5778">
        <v>0.46882950000000001</v>
      </c>
      <c r="F5778" t="s">
        <v>41</v>
      </c>
      <c r="G5778">
        <v>-337.67419999999998</v>
      </c>
      <c r="H5778" s="1">
        <v>-1.781585E-6</v>
      </c>
      <c r="I5778">
        <v>22.62857</v>
      </c>
      <c r="J5778">
        <v>-379.45119999999997</v>
      </c>
      <c r="K5778">
        <v>1.110865</v>
      </c>
      <c r="L5778">
        <v>17.555879999999998</v>
      </c>
      <c r="M5778">
        <v>0.99683169999999999</v>
      </c>
      <c r="N5778">
        <v>-8.5383790000000005E-3</v>
      </c>
      <c r="O5778">
        <v>-7.908126E-2</v>
      </c>
      <c r="P5778">
        <v>0.97516829999999999</v>
      </c>
      <c r="Q5778">
        <v>0.214722</v>
      </c>
      <c r="R5778">
        <v>5.4236319999999998E-2</v>
      </c>
      <c r="S5778">
        <v>3.074036</v>
      </c>
      <c r="T5778">
        <v>-8.1416959999999997E-2</v>
      </c>
      <c r="U5778">
        <v>0.37088009999999999</v>
      </c>
      <c r="V5778">
        <v>-0.13163</v>
      </c>
      <c r="W5778">
        <v>0.2227161</v>
      </c>
      <c r="X5778">
        <v>0.96595600000000004</v>
      </c>
      <c r="Y5778">
        <v>-0.19781689999999999</v>
      </c>
      <c r="Z5778">
        <v>4.872459E-3</v>
      </c>
      <c r="AA5778">
        <v>0.98022690000000001</v>
      </c>
      <c r="AB5778">
        <v>26</v>
      </c>
      <c r="AC5778">
        <v>41.777000000000001</v>
      </c>
      <c r="AD5778">
        <v>-1.110866781585</v>
      </c>
      <c r="AE5778">
        <v>5.0726899999999997</v>
      </c>
      <c r="AF5778">
        <v>-8.3548785014477804</v>
      </c>
      <c r="AG5778">
        <v>-1.110866781585</v>
      </c>
      <c r="AH5778">
        <v>41.2162643281968</v>
      </c>
      <c r="AI5778">
        <v>91.513110810009593</v>
      </c>
      <c r="AJ5778">
        <v>101.45905989212299</v>
      </c>
      <c r="AK5778">
        <v>42.0692104151263</v>
      </c>
      <c r="AL5778">
        <v>77.131386543556303</v>
      </c>
      <c r="AM5778">
        <v>97.759850932981806</v>
      </c>
      <c r="AN5778">
        <v>0.99999995601760405</v>
      </c>
    </row>
    <row r="5779" spans="1:40" x14ac:dyDescent="0.25">
      <c r="A5779" t="str">
        <f>"20190304155217490"</f>
        <v>20190304155217490</v>
      </c>
      <c r="B5779" t="str">
        <f>"1551685937482394"</f>
        <v>1551685937482394</v>
      </c>
      <c r="C5779" t="s">
        <v>40</v>
      </c>
      <c r="D5779">
        <v>4.8360589999999997</v>
      </c>
      <c r="E5779">
        <v>0.46569450000000001</v>
      </c>
      <c r="F5779" t="s">
        <v>41</v>
      </c>
      <c r="G5779">
        <v>-342.91300000000001</v>
      </c>
      <c r="H5779" s="1">
        <v>-3.7538949999999998E-6</v>
      </c>
      <c r="I5779">
        <v>22.364619999999999</v>
      </c>
      <c r="J5779">
        <v>-379.22570000000002</v>
      </c>
      <c r="K5779">
        <v>1.110878</v>
      </c>
      <c r="L5779">
        <v>17.53912</v>
      </c>
      <c r="M5779">
        <v>0.99691439999999998</v>
      </c>
      <c r="N5779">
        <v>-8.5417099999999992E-3</v>
      </c>
      <c r="O5779">
        <v>-7.8031370000000003E-2</v>
      </c>
      <c r="P5779">
        <v>0.97514299999999998</v>
      </c>
      <c r="Q5779">
        <v>0.214029</v>
      </c>
      <c r="R5779">
        <v>5.734202E-2</v>
      </c>
      <c r="S5779">
        <v>3.0744630000000002</v>
      </c>
      <c r="T5779">
        <v>-9.3472600000000003E-2</v>
      </c>
      <c r="U5779">
        <v>0.40463260000000001</v>
      </c>
      <c r="V5779">
        <v>-0.13371559999999999</v>
      </c>
      <c r="W5779">
        <v>0.22201409999999999</v>
      </c>
      <c r="X5779">
        <v>0.9658312</v>
      </c>
      <c r="Y5779">
        <v>-0.20731520000000001</v>
      </c>
      <c r="Z5779">
        <v>5.7263969999999898E-3</v>
      </c>
      <c r="AA5779">
        <v>0.97825740000000005</v>
      </c>
      <c r="AB5779">
        <v>26</v>
      </c>
      <c r="AC5779">
        <v>36.3127</v>
      </c>
      <c r="AD5779">
        <v>-1.110881753895</v>
      </c>
      <c r="AE5779">
        <v>4.8254999999999999</v>
      </c>
      <c r="AF5779">
        <v>-7.6373947404665197</v>
      </c>
      <c r="AG5779">
        <v>-1.110881753895</v>
      </c>
      <c r="AH5779">
        <v>35.792500849504798</v>
      </c>
      <c r="AI5779">
        <v>91.738587927468402</v>
      </c>
      <c r="AJ5779">
        <v>102.04511861228799</v>
      </c>
      <c r="AK5779">
        <v>36.615119469348301</v>
      </c>
      <c r="AL5779">
        <v>77.172641817643907</v>
      </c>
      <c r="AM5779">
        <v>97.882273555201394</v>
      </c>
      <c r="AN5779">
        <v>1.0000000145878001</v>
      </c>
    </row>
    <row r="5780" spans="1:40" x14ac:dyDescent="0.25">
      <c r="A5780" t="str">
        <f>"20190304155217511"</f>
        <v>20190304155217511</v>
      </c>
      <c r="B5780" t="str">
        <f>"1551685937502889"</f>
        <v>1551685937502889</v>
      </c>
      <c r="C5780" t="s">
        <v>40</v>
      </c>
      <c r="D5780">
        <v>4.8292609999999998</v>
      </c>
      <c r="E5780">
        <v>0.46468290000000001</v>
      </c>
      <c r="F5780" t="s">
        <v>41</v>
      </c>
      <c r="G5780">
        <v>-336.4307</v>
      </c>
      <c r="H5780" s="1">
        <v>-2.5879939999999999E-6</v>
      </c>
      <c r="I5780">
        <v>23.654509999999998</v>
      </c>
      <c r="J5780">
        <v>-378.96769999999998</v>
      </c>
      <c r="K5780">
        <v>1.1108880000000001</v>
      </c>
      <c r="L5780">
        <v>17.520229999999898</v>
      </c>
      <c r="M5780">
        <v>0.99700889999999998</v>
      </c>
      <c r="N5780">
        <v>-8.5455380000000001E-3</v>
      </c>
      <c r="O5780">
        <v>-7.6815120000000001E-2</v>
      </c>
      <c r="P5780">
        <v>0.97494970000000003</v>
      </c>
      <c r="Q5780">
        <v>0.21418319999999999</v>
      </c>
      <c r="R5780">
        <v>5.9990910000000001E-2</v>
      </c>
      <c r="S5780">
        <v>3.0681759999999998</v>
      </c>
      <c r="T5780">
        <v>-7.9644199999999998E-2</v>
      </c>
      <c r="U5780">
        <v>0.438446</v>
      </c>
      <c r="V5780">
        <v>-0.13516839999999999</v>
      </c>
      <c r="W5780">
        <v>0.2221629</v>
      </c>
      <c r="X5780">
        <v>0.96559470000000003</v>
      </c>
      <c r="Y5780">
        <v>-0.21698429999999999</v>
      </c>
      <c r="Z5780">
        <v>5.0657749999999998E-3</v>
      </c>
      <c r="AA5780">
        <v>0.97616199999999997</v>
      </c>
      <c r="AB5780">
        <v>26</v>
      </c>
      <c r="AC5780">
        <v>42.5369999999999</v>
      </c>
      <c r="AD5780">
        <v>-1.1108905879940001</v>
      </c>
      <c r="AE5780">
        <v>6.1342800000000004</v>
      </c>
      <c r="AF5780">
        <v>-9.3774920679400608</v>
      </c>
      <c r="AG5780">
        <v>-1.1108905879940001</v>
      </c>
      <c r="AH5780">
        <v>41.912083201124503</v>
      </c>
      <c r="AI5780">
        <v>91.481667287522299</v>
      </c>
      <c r="AJ5780">
        <v>102.61175844292001</v>
      </c>
      <c r="AK5780">
        <v>42.962706544638898</v>
      </c>
      <c r="AL5780">
        <v>77.163897485527499</v>
      </c>
      <c r="AM5780">
        <v>97.968745706775493</v>
      </c>
      <c r="AN5780">
        <v>0.99999998758152997</v>
      </c>
    </row>
    <row r="5781" spans="1:40" x14ac:dyDescent="0.25">
      <c r="A5781" t="str">
        <f>"20190304155217523"</f>
        <v>20190304155217523</v>
      </c>
      <c r="B5781" t="str">
        <f>"1551685937512650"</f>
        <v>1551685937512650</v>
      </c>
      <c r="C5781" t="s">
        <v>40</v>
      </c>
      <c r="D5781">
        <v>4.9658749999999996</v>
      </c>
      <c r="E5781">
        <v>0.46419929999999898</v>
      </c>
      <c r="F5781" t="s">
        <v>41</v>
      </c>
      <c r="G5781">
        <v>-331.71010000000001</v>
      </c>
      <c r="H5781" s="1">
        <v>-4.5640020000000003E-6</v>
      </c>
      <c r="I5781">
        <v>24.520440000000001</v>
      </c>
      <c r="J5781">
        <v>-378.82569999999998</v>
      </c>
      <c r="K5781">
        <v>1.1108910000000001</v>
      </c>
      <c r="L5781">
        <v>17.509979999999999</v>
      </c>
      <c r="M5781">
        <v>0.99706030000000001</v>
      </c>
      <c r="N5781">
        <v>-8.5476559999999903E-3</v>
      </c>
      <c r="O5781">
        <v>-7.6143959999999997E-2</v>
      </c>
      <c r="P5781">
        <v>0.9747654</v>
      </c>
      <c r="Q5781">
        <v>0.21464030000000001</v>
      </c>
      <c r="R5781">
        <v>6.133396E-2</v>
      </c>
      <c r="S5781">
        <v>3.0649410000000001</v>
      </c>
      <c r="T5781">
        <v>-7.2047949999999999E-2</v>
      </c>
      <c r="U5781">
        <v>0.45401000000000002</v>
      </c>
      <c r="V5781">
        <v>-0.13584589999999999</v>
      </c>
      <c r="W5781">
        <v>0.2226176</v>
      </c>
      <c r="X5781">
        <v>0.96539489999999994</v>
      </c>
      <c r="Y5781">
        <v>-0.22134010000000001</v>
      </c>
      <c r="Z5781">
        <v>4.6727089999999997E-3</v>
      </c>
      <c r="AA5781">
        <v>0.97518550000000004</v>
      </c>
      <c r="AB5781">
        <v>26</v>
      </c>
      <c r="AC5781">
        <v>47.115599999999901</v>
      </c>
      <c r="AD5781">
        <v>-1.110895564002</v>
      </c>
      <c r="AE5781">
        <v>7.0104600000000001</v>
      </c>
      <c r="AF5781">
        <v>-10.572055065070099</v>
      </c>
      <c r="AG5781">
        <v>-1.110895564002</v>
      </c>
      <c r="AH5781">
        <v>46.419735013375202</v>
      </c>
      <c r="AI5781">
        <v>91.336698431224903</v>
      </c>
      <c r="AJ5781">
        <v>102.830219535656</v>
      </c>
      <c r="AK5781">
        <v>47.6213632308543</v>
      </c>
      <c r="AL5781">
        <v>77.137176201261298</v>
      </c>
      <c r="AM5781">
        <v>98.009806173813502</v>
      </c>
      <c r="AN5781">
        <v>1.0000000086612899</v>
      </c>
    </row>
    <row r="5782" spans="1:40" x14ac:dyDescent="0.25">
      <c r="A5782" t="str">
        <f>"20190304155217537"</f>
        <v>20190304155217537</v>
      </c>
      <c r="B5782" t="str">
        <f>"1551685937533145"</f>
        <v>1551685937533145</v>
      </c>
      <c r="C5782" t="s">
        <v>40</v>
      </c>
      <c r="D5782">
        <v>4.8354559999999998</v>
      </c>
      <c r="E5782">
        <v>0.46386880000000003</v>
      </c>
      <c r="F5782" t="s">
        <v>41</v>
      </c>
      <c r="G5782">
        <v>-329.6592</v>
      </c>
      <c r="H5782" s="1">
        <v>-1.5524839999999999E-6</v>
      </c>
      <c r="I5782">
        <v>24.918980000000001</v>
      </c>
      <c r="J5782">
        <v>-378.67869999999999</v>
      </c>
      <c r="K5782">
        <v>1.1108979999999999</v>
      </c>
      <c r="L5782">
        <v>17.499479999999998</v>
      </c>
      <c r="M5782">
        <v>0.99711289999999997</v>
      </c>
      <c r="N5782">
        <v>-8.5500750000000007E-3</v>
      </c>
      <c r="O5782">
        <v>-7.5450279999999995E-2</v>
      </c>
      <c r="P5782">
        <v>0.97462479999999996</v>
      </c>
      <c r="Q5782">
        <v>0.21492249999999999</v>
      </c>
      <c r="R5782">
        <v>6.2569310000000003E-2</v>
      </c>
      <c r="S5782">
        <v>3.0638730000000001</v>
      </c>
      <c r="T5782">
        <v>-6.9226620000000003E-2</v>
      </c>
      <c r="U5782">
        <v>0.46170040000000001</v>
      </c>
      <c r="V5782">
        <v>-0.1363962</v>
      </c>
      <c r="W5782">
        <v>0.22289829999999999</v>
      </c>
      <c r="X5782">
        <v>0.96525249999999996</v>
      </c>
      <c r="Y5782">
        <v>-0.2231108</v>
      </c>
      <c r="Z5782">
        <v>4.520596E-3</v>
      </c>
      <c r="AA5782">
        <v>0.97478260000000005</v>
      </c>
      <c r="AB5782">
        <v>26</v>
      </c>
      <c r="AC5782">
        <v>49.019500000000001</v>
      </c>
      <c r="AD5782">
        <v>-1.110899552484</v>
      </c>
      <c r="AE5782">
        <v>7.4194999999999904</v>
      </c>
      <c r="AF5782">
        <v>-11.091451057265999</v>
      </c>
      <c r="AG5782">
        <v>-1.110899552484</v>
      </c>
      <c r="AH5782">
        <v>48.295690655837703</v>
      </c>
      <c r="AI5782">
        <v>91.284266761572098</v>
      </c>
      <c r="AJ5782">
        <v>102.934106641749</v>
      </c>
      <c r="AK5782">
        <v>49.565392364994104</v>
      </c>
      <c r="AL5782">
        <v>77.120678410222396</v>
      </c>
      <c r="AM5782">
        <v>98.043000441782894</v>
      </c>
      <c r="AN5782">
        <v>0.99999998213678898</v>
      </c>
    </row>
    <row r="5783" spans="1:40" x14ac:dyDescent="0.25">
      <c r="A5783" t="str">
        <f>"20190304155217549"</f>
        <v>20190304155217549</v>
      </c>
      <c r="B5783" t="str">
        <f>"1551685937542906"</f>
        <v>1551685937542906</v>
      </c>
      <c r="C5783" t="s">
        <v>40</v>
      </c>
      <c r="D5783">
        <v>4.8420370000000004</v>
      </c>
      <c r="E5783">
        <v>0.4639143</v>
      </c>
      <c r="F5783" t="s">
        <v>41</v>
      </c>
      <c r="G5783">
        <v>-328.21749999999997</v>
      </c>
      <c r="H5783" s="1">
        <v>-2.3106369999999999E-6</v>
      </c>
      <c r="I5783">
        <v>25.207070000000002</v>
      </c>
      <c r="J5783">
        <v>-378.53</v>
      </c>
      <c r="K5783">
        <v>1.110897</v>
      </c>
      <c r="L5783">
        <v>17.48892</v>
      </c>
      <c r="M5783">
        <v>0.99716570000000004</v>
      </c>
      <c r="N5783">
        <v>-8.5526109999999999E-3</v>
      </c>
      <c r="O5783">
        <v>-7.4749689999999994E-2</v>
      </c>
      <c r="P5783">
        <v>0.97451869999999996</v>
      </c>
      <c r="Q5783">
        <v>0.21494240000000001</v>
      </c>
      <c r="R5783">
        <v>6.4132709999999996E-2</v>
      </c>
      <c r="S5783">
        <v>3.062897</v>
      </c>
      <c r="T5783">
        <v>-6.7429420000000004E-2</v>
      </c>
      <c r="U5783">
        <v>0.46783449999999999</v>
      </c>
      <c r="V5783">
        <v>-0.13726869999999999</v>
      </c>
      <c r="W5783">
        <v>0.2229179</v>
      </c>
      <c r="X5783">
        <v>0.96512430000000005</v>
      </c>
      <c r="Y5783">
        <v>-0.22438330000000001</v>
      </c>
      <c r="Z5783">
        <v>4.4225849999999997E-3</v>
      </c>
      <c r="AA5783">
        <v>0.97449090000000005</v>
      </c>
      <c r="AB5783">
        <v>26</v>
      </c>
      <c r="AC5783">
        <v>50.3125</v>
      </c>
      <c r="AD5783">
        <v>-1.110899310637</v>
      </c>
      <c r="AE5783">
        <v>7.7181499999999996</v>
      </c>
      <c r="AF5783">
        <v>-11.4520819052311</v>
      </c>
      <c r="AG5783">
        <v>-1.110899310637</v>
      </c>
      <c r="AH5783">
        <v>49.5711698822589</v>
      </c>
      <c r="AI5783">
        <v>91.250858963355697</v>
      </c>
      <c r="AJ5783">
        <v>103.008422440148</v>
      </c>
      <c r="AK5783">
        <v>50.888949298823903</v>
      </c>
      <c r="AL5783">
        <v>77.119526666354403</v>
      </c>
      <c r="AM5783">
        <v>98.094831211773894</v>
      </c>
      <c r="AN5783">
        <v>1.00000000029529</v>
      </c>
    </row>
    <row r="5784" spans="1:40" x14ac:dyDescent="0.25">
      <c r="A5784" t="str">
        <f>"20190304155217567"</f>
        <v>20190304155217567</v>
      </c>
      <c r="B5784" t="str">
        <f>"1551685937562425"</f>
        <v>1551685937562425</v>
      </c>
      <c r="C5784" t="s">
        <v>40</v>
      </c>
      <c r="D5784">
        <v>4.7581810000000004</v>
      </c>
      <c r="E5784">
        <v>0.46451219999999999</v>
      </c>
      <c r="F5784" t="s">
        <v>41</v>
      </c>
      <c r="G5784">
        <v>-327.94330000000002</v>
      </c>
      <c r="H5784" s="1">
        <v>-2.4598959999999998E-6</v>
      </c>
      <c r="I5784">
        <v>25.280950000000001</v>
      </c>
      <c r="J5784">
        <v>-378.3245</v>
      </c>
      <c r="K5784">
        <v>1.110894</v>
      </c>
      <c r="L5784">
        <v>17.474550000000001</v>
      </c>
      <c r="M5784">
        <v>0.99723740000000005</v>
      </c>
      <c r="N5784">
        <v>-8.5561170000000002E-3</v>
      </c>
      <c r="O5784">
        <v>-7.3787340000000007E-2</v>
      </c>
      <c r="P5784">
        <v>0.97443849999999999</v>
      </c>
      <c r="Q5784">
        <v>0.21454680000000001</v>
      </c>
      <c r="R5784">
        <v>6.6628770000000004E-2</v>
      </c>
      <c r="S5784">
        <v>3.062195</v>
      </c>
      <c r="T5784">
        <v>-6.7246790000000001E-2</v>
      </c>
      <c r="U5784">
        <v>0.47167969999999998</v>
      </c>
      <c r="V5784">
        <v>-0.13881760000000001</v>
      </c>
      <c r="W5784">
        <v>0.22252089999999999</v>
      </c>
      <c r="X5784">
        <v>0.96499440000000003</v>
      </c>
      <c r="Y5784">
        <v>-0.22467219999999999</v>
      </c>
      <c r="Z5784">
        <v>4.4039099999999996E-3</v>
      </c>
      <c r="AA5784">
        <v>0.97442450000000003</v>
      </c>
      <c r="AB5784">
        <v>26</v>
      </c>
      <c r="AC5784">
        <v>50.3811999999999</v>
      </c>
      <c r="AD5784">
        <v>-1.1108964598960001</v>
      </c>
      <c r="AE5784">
        <v>7.8064</v>
      </c>
      <c r="AF5784">
        <v>-11.497289749706299</v>
      </c>
      <c r="AG5784">
        <v>-1.1108964598960001</v>
      </c>
      <c r="AH5784">
        <v>49.644245362704702</v>
      </c>
      <c r="AI5784">
        <v>91.248858687817403</v>
      </c>
      <c r="AJ5784">
        <v>103.039453653262</v>
      </c>
      <c r="AK5784">
        <v>50.9703135184171</v>
      </c>
      <c r="AL5784">
        <v>77.142859589861899</v>
      </c>
      <c r="AM5784">
        <v>98.186026942441899</v>
      </c>
      <c r="AN5784">
        <v>1.0000000345189599</v>
      </c>
    </row>
    <row r="5785" spans="1:40" x14ac:dyDescent="0.25">
      <c r="A5785" t="str">
        <f>"20190304155217579"</f>
        <v>20190304155217579</v>
      </c>
      <c r="B5785" t="str">
        <f>"1551685937573162"</f>
        <v>1551685937573162</v>
      </c>
      <c r="C5785" t="s">
        <v>40</v>
      </c>
      <c r="D5785">
        <v>4.8161930000000002</v>
      </c>
      <c r="E5785">
        <v>0.46450599999999997</v>
      </c>
      <c r="F5785" t="s">
        <v>41</v>
      </c>
      <c r="G5785">
        <v>-326.52260000000001</v>
      </c>
      <c r="H5785" s="1">
        <v>-3.1870940000000002E-6</v>
      </c>
      <c r="I5785">
        <v>25.49004</v>
      </c>
      <c r="J5785">
        <v>-378.18619999999999</v>
      </c>
      <c r="K5785">
        <v>1.1108960000000001</v>
      </c>
      <c r="L5785">
        <v>17.465</v>
      </c>
      <c r="M5785">
        <v>0.99728479999999997</v>
      </c>
      <c r="N5785">
        <v>-8.5586250000000003E-3</v>
      </c>
      <c r="O5785">
        <v>-7.3143390000000003E-2</v>
      </c>
      <c r="P5785">
        <v>0.97450919999999996</v>
      </c>
      <c r="Q5785">
        <v>0.21380479999999999</v>
      </c>
      <c r="R5785">
        <v>6.7966979999999996E-2</v>
      </c>
      <c r="S5785">
        <v>3.0607600000000001</v>
      </c>
      <c r="T5785">
        <v>-6.5638420000000003E-2</v>
      </c>
      <c r="U5785">
        <v>0.47360229999999998</v>
      </c>
      <c r="V5785">
        <v>-0.139531399999999</v>
      </c>
      <c r="W5785">
        <v>0.2217807</v>
      </c>
      <c r="X5785">
        <v>0.96506179999999997</v>
      </c>
      <c r="Y5785">
        <v>-0.224713</v>
      </c>
      <c r="Z5785">
        <v>4.300913E-3</v>
      </c>
      <c r="AA5785">
        <v>0.97441549999999999</v>
      </c>
      <c r="AB5785">
        <v>26</v>
      </c>
      <c r="AC5785">
        <v>51.663599999999903</v>
      </c>
      <c r="AD5785">
        <v>-1.1108991870939999</v>
      </c>
      <c r="AE5785">
        <v>8.02503999999999</v>
      </c>
      <c r="AF5785">
        <v>-11.7772147313018</v>
      </c>
      <c r="AG5785">
        <v>-1.1108991870939999</v>
      </c>
      <c r="AH5785">
        <v>50.915218958400203</v>
      </c>
      <c r="AI5785">
        <v>91.217772252959193</v>
      </c>
      <c r="AJ5785">
        <v>103.024046988667</v>
      </c>
      <c r="AK5785">
        <v>52.271372714067098</v>
      </c>
      <c r="AL5785">
        <v>77.186356164014597</v>
      </c>
      <c r="AM5785">
        <v>98.226977923201503</v>
      </c>
      <c r="AN5785">
        <v>0.99999998414884395</v>
      </c>
    </row>
    <row r="5786" spans="1:40" x14ac:dyDescent="0.25">
      <c r="A5786" t="str">
        <f>"20190304155217591"</f>
        <v>20190304155217591</v>
      </c>
      <c r="B5786" t="str">
        <f>"1551685937582923"</f>
        <v>1551685937582923</v>
      </c>
      <c r="C5786" t="s">
        <v>40</v>
      </c>
      <c r="D5786">
        <v>4.8710139999999997</v>
      </c>
      <c r="E5786">
        <v>0.46467619999999998</v>
      </c>
      <c r="F5786" t="s">
        <v>41</v>
      </c>
      <c r="G5786">
        <v>-328.10500000000002</v>
      </c>
      <c r="H5786" s="1">
        <v>-2.3823590000000002E-6</v>
      </c>
      <c r="I5786">
        <v>25.276789999999998</v>
      </c>
      <c r="J5786">
        <v>-378.03919999999999</v>
      </c>
      <c r="K5786">
        <v>1.110894</v>
      </c>
      <c r="L5786">
        <v>17.454899999999999</v>
      </c>
      <c r="M5786">
        <v>0.99733470000000002</v>
      </c>
      <c r="N5786">
        <v>-8.5613119999999997E-3</v>
      </c>
      <c r="O5786">
        <v>-7.2460469999999999E-2</v>
      </c>
      <c r="P5786">
        <v>0.97448250000000003</v>
      </c>
      <c r="Q5786">
        <v>0.21348259999999999</v>
      </c>
      <c r="R5786">
        <v>6.9349569999999999E-2</v>
      </c>
      <c r="S5786">
        <v>3.06012</v>
      </c>
      <c r="T5786">
        <v>-6.7879439999999999E-2</v>
      </c>
      <c r="U5786">
        <v>0.47732540000000001</v>
      </c>
      <c r="V5786">
        <v>-0.14024600000000001</v>
      </c>
      <c r="W5786">
        <v>0.2214594</v>
      </c>
      <c r="X5786">
        <v>0.965032</v>
      </c>
      <c r="Y5786">
        <v>-0.22522909999999999</v>
      </c>
      <c r="Z5786">
        <v>4.435334E-3</v>
      </c>
      <c r="AA5786">
        <v>0.97429569999999999</v>
      </c>
      <c r="AB5786">
        <v>26</v>
      </c>
      <c r="AC5786">
        <v>49.934199999999898</v>
      </c>
      <c r="AD5786">
        <v>-1.1108963823589999</v>
      </c>
      <c r="AE5786">
        <v>7.8218899999999998</v>
      </c>
      <c r="AF5786">
        <v>-11.414200586761099</v>
      </c>
      <c r="AG5786">
        <v>-1.1108963823589999</v>
      </c>
      <c r="AH5786">
        <v>49.2123553956907</v>
      </c>
      <c r="AI5786">
        <v>91.259719812280693</v>
      </c>
      <c r="AJ5786">
        <v>103.05816389468301</v>
      </c>
      <c r="AK5786">
        <v>50.5309211216154</v>
      </c>
      <c r="AL5786">
        <v>77.205234744468399</v>
      </c>
      <c r="AM5786">
        <v>98.268782486570004</v>
      </c>
      <c r="AN5786">
        <v>0.99999998369417897</v>
      </c>
    </row>
    <row r="5787" spans="1:40" x14ac:dyDescent="0.25">
      <c r="A5787" t="str">
        <f>"20190304155217603"</f>
        <v>20190304155217603</v>
      </c>
      <c r="B5787" t="str">
        <f>"1551685937592682"</f>
        <v>1551685937592682</v>
      </c>
      <c r="C5787" t="s">
        <v>40</v>
      </c>
      <c r="D5787">
        <v>4.8995810000000004</v>
      </c>
      <c r="E5787">
        <v>0.46460459999999898</v>
      </c>
      <c r="F5787" t="s">
        <v>41</v>
      </c>
      <c r="G5787">
        <v>-328.08960000000002</v>
      </c>
      <c r="H5787" s="1">
        <v>-2.3925119999999999E-6</v>
      </c>
      <c r="I5787">
        <v>25.28754</v>
      </c>
      <c r="J5787">
        <v>-377.89269999999999</v>
      </c>
      <c r="K5787">
        <v>1.1108910000000001</v>
      </c>
      <c r="L5787">
        <v>17.444979999999902</v>
      </c>
      <c r="M5787">
        <v>0.99738369999999998</v>
      </c>
      <c r="N5787">
        <v>-8.5640100000000004E-3</v>
      </c>
      <c r="O5787">
        <v>-7.1783260000000002E-2</v>
      </c>
      <c r="P5787">
        <v>0.9744758</v>
      </c>
      <c r="Q5787">
        <v>0.21313770000000001</v>
      </c>
      <c r="R5787">
        <v>7.0495810000000006E-2</v>
      </c>
      <c r="S5787">
        <v>3.059326</v>
      </c>
      <c r="T5787">
        <v>-6.8040489999999995E-2</v>
      </c>
      <c r="U5787">
        <v>0.4797363</v>
      </c>
      <c r="V5787">
        <v>-0.1407312</v>
      </c>
      <c r="W5787">
        <v>0.22111620000000001</v>
      </c>
      <c r="X5787">
        <v>0.96504009999999996</v>
      </c>
      <c r="Y5787">
        <v>-0.2253551</v>
      </c>
      <c r="Z5787">
        <v>4.4387589999999996E-3</v>
      </c>
      <c r="AA5787">
        <v>0.97426659999999998</v>
      </c>
      <c r="AB5787">
        <v>26</v>
      </c>
      <c r="AC5787">
        <v>49.803099999999901</v>
      </c>
      <c r="AD5787">
        <v>-1.1108933925119999</v>
      </c>
      <c r="AE5787">
        <v>7.8425599999999998</v>
      </c>
      <c r="AF5787">
        <v>-11.391955082205399</v>
      </c>
      <c r="AG5787">
        <v>-1.1108933925119999</v>
      </c>
      <c r="AH5787">
        <v>49.087793843380901</v>
      </c>
      <c r="AI5787">
        <v>91.262874327111305</v>
      </c>
      <c r="AJ5787">
        <v>103.065523864021</v>
      </c>
      <c r="AK5787">
        <v>50.404585397905798</v>
      </c>
      <c r="AL5787">
        <v>77.225399012608193</v>
      </c>
      <c r="AM5787">
        <v>98.296923208836404</v>
      </c>
      <c r="AN5787">
        <v>1.0000000195819401</v>
      </c>
    </row>
    <row r="5788" spans="1:40" x14ac:dyDescent="0.25">
      <c r="A5788" t="str">
        <f>"20190304155217622"</f>
        <v>20190304155217622</v>
      </c>
      <c r="B5788" t="str">
        <f>"1551685937613178"</f>
        <v>1551685937613178</v>
      </c>
      <c r="C5788" t="s">
        <v>40</v>
      </c>
      <c r="D5788">
        <v>4.8579619999999997</v>
      </c>
      <c r="E5788">
        <v>0.46458909999999998</v>
      </c>
      <c r="F5788" t="s">
        <v>41</v>
      </c>
      <c r="G5788">
        <v>-328.81920000000002</v>
      </c>
      <c r="H5788" s="1">
        <v>-2.025773E-6</v>
      </c>
      <c r="I5788">
        <v>25.205369999999998</v>
      </c>
      <c r="J5788">
        <v>-377.66239999999999</v>
      </c>
      <c r="K5788">
        <v>1.110889</v>
      </c>
      <c r="L5788">
        <v>17.429569999999998</v>
      </c>
      <c r="M5788">
        <v>0.99745930000000005</v>
      </c>
      <c r="N5788">
        <v>-8.5681139999999999E-3</v>
      </c>
      <c r="O5788">
        <v>-7.0721859999999998E-2</v>
      </c>
      <c r="P5788">
        <v>0.97419250000000002</v>
      </c>
      <c r="Q5788">
        <v>0.2137047</v>
      </c>
      <c r="R5788">
        <v>7.2660619999999995E-2</v>
      </c>
      <c r="S5788">
        <v>3.0587460000000002</v>
      </c>
      <c r="T5788">
        <v>-6.9241759999999999E-2</v>
      </c>
      <c r="U5788">
        <v>0.48370360000000001</v>
      </c>
      <c r="V5788">
        <v>-0.1418421</v>
      </c>
      <c r="W5788">
        <v>0.22168299999999999</v>
      </c>
      <c r="X5788">
        <v>0.96474740000000003</v>
      </c>
      <c r="Y5788">
        <v>-0.225577</v>
      </c>
      <c r="Z5788">
        <v>4.500057E-3</v>
      </c>
      <c r="AA5788">
        <v>0.97421500000000005</v>
      </c>
      <c r="AB5788">
        <v>26</v>
      </c>
      <c r="AC5788">
        <v>48.843199999999896</v>
      </c>
      <c r="AD5788">
        <v>-1.110891025773</v>
      </c>
      <c r="AE5788">
        <v>7.7758000000000003</v>
      </c>
      <c r="AF5788">
        <v>-11.205084199528001</v>
      </c>
      <c r="AG5788">
        <v>-1.110891025773</v>
      </c>
      <c r="AH5788">
        <v>48.146661865160901</v>
      </c>
      <c r="AI5788">
        <v>91.287363099154604</v>
      </c>
      <c r="AJ5788">
        <v>103.101134550452</v>
      </c>
      <c r="AK5788">
        <v>49.445819232244403</v>
      </c>
      <c r="AL5788">
        <v>77.1920975861118</v>
      </c>
      <c r="AM5788">
        <v>98.363995791659207</v>
      </c>
      <c r="AN5788">
        <v>1.00000003981408</v>
      </c>
    </row>
    <row r="5789" spans="1:40" x14ac:dyDescent="0.25">
      <c r="A5789" t="str">
        <f>"20190304155217635"</f>
        <v>20190304155217635</v>
      </c>
      <c r="B5789" t="str">
        <f>"1551685937632698"</f>
        <v>1551685937632698</v>
      </c>
      <c r="C5789" t="s">
        <v>40</v>
      </c>
      <c r="D5789">
        <v>4.8242159999999998</v>
      </c>
      <c r="E5789">
        <v>0.4645705</v>
      </c>
      <c r="F5789" t="s">
        <v>41</v>
      </c>
      <c r="G5789">
        <v>-325.24880000000002</v>
      </c>
      <c r="H5789" s="1">
        <v>-3.7986809999999998E-6</v>
      </c>
      <c r="I5789">
        <v>25.834499999999998</v>
      </c>
      <c r="J5789">
        <v>-377.51209999999998</v>
      </c>
      <c r="K5789">
        <v>1.1108910000000001</v>
      </c>
      <c r="L5789">
        <v>17.419650000000001</v>
      </c>
      <c r="M5789">
        <v>0.99750799999999995</v>
      </c>
      <c r="N5789">
        <v>-8.5708720000000002E-3</v>
      </c>
      <c r="O5789">
        <v>-7.0031659999999996E-2</v>
      </c>
      <c r="P5789">
        <v>0.97398700000000005</v>
      </c>
      <c r="Q5789">
        <v>0.2142635</v>
      </c>
      <c r="R5789">
        <v>7.3760450000000005E-2</v>
      </c>
      <c r="S5789">
        <v>3.0571290000000002</v>
      </c>
      <c r="T5789">
        <v>-6.4795019999999995E-2</v>
      </c>
      <c r="U5789">
        <v>0.49023440000000001</v>
      </c>
      <c r="V5789">
        <v>-0.142256299999999</v>
      </c>
      <c r="W5789">
        <v>0.22224240000000001</v>
      </c>
      <c r="X5789">
        <v>0.96455760000000001</v>
      </c>
      <c r="Y5789">
        <v>-0.2270211</v>
      </c>
      <c r="Z5789">
        <v>4.2494739999999996E-3</v>
      </c>
      <c r="AA5789">
        <v>0.97388050000000004</v>
      </c>
      <c r="AB5789">
        <v>26</v>
      </c>
      <c r="AC5789">
        <v>52.263299999999902</v>
      </c>
      <c r="AD5789">
        <v>-1.1108947986810001</v>
      </c>
      <c r="AE5789">
        <v>8.4148499999999906</v>
      </c>
      <c r="AF5789">
        <v>-12.049101693221401</v>
      </c>
      <c r="AG5789">
        <v>-1.1108947986810001</v>
      </c>
      <c r="AH5789">
        <v>51.522954406480899</v>
      </c>
      <c r="AI5789">
        <v>91.202731260921297</v>
      </c>
      <c r="AJ5789">
        <v>103.162577178897</v>
      </c>
      <c r="AK5789">
        <v>52.924755735285501</v>
      </c>
      <c r="AL5789">
        <v>77.159225206706594</v>
      </c>
      <c r="AM5789">
        <v>98.389699970083001</v>
      </c>
      <c r="AN5789">
        <v>0.99999995148260301</v>
      </c>
    </row>
    <row r="5790" spans="1:40" x14ac:dyDescent="0.25">
      <c r="A5790" t="str">
        <f>"20190304155217648"</f>
        <v>20190304155217648</v>
      </c>
      <c r="B5790" t="str">
        <f>"1551685937642457"</f>
        <v>1551685937642457</v>
      </c>
      <c r="C5790" t="s">
        <v>40</v>
      </c>
      <c r="D5790">
        <v>4.7731450000000004</v>
      </c>
      <c r="E5790">
        <v>0.46457379999999998</v>
      </c>
      <c r="F5790" t="s">
        <v>41</v>
      </c>
      <c r="G5790">
        <v>-321.19929999999999</v>
      </c>
      <c r="H5790" s="1">
        <v>-5.4746759999999996E-6</v>
      </c>
      <c r="I5790">
        <v>26.516190000000002</v>
      </c>
      <c r="J5790">
        <v>-377.36720000000003</v>
      </c>
      <c r="K5790">
        <v>1.110895</v>
      </c>
      <c r="L5790">
        <v>17.410160000000001</v>
      </c>
      <c r="M5790">
        <v>0.99755439999999995</v>
      </c>
      <c r="N5790">
        <v>-8.5735869999999902E-3</v>
      </c>
      <c r="O5790">
        <v>-6.9366730000000001E-2</v>
      </c>
      <c r="P5790">
        <v>0.97384029999999999</v>
      </c>
      <c r="Q5790">
        <v>0.21452170000000001</v>
      </c>
      <c r="R5790">
        <v>7.4937980000000001E-2</v>
      </c>
      <c r="S5790">
        <v>3.056</v>
      </c>
      <c r="T5790">
        <v>-6.0286399999999997E-2</v>
      </c>
      <c r="U5790">
        <v>0.49365229999999999</v>
      </c>
      <c r="V5790">
        <v>-0.14277709999999999</v>
      </c>
      <c r="W5790">
        <v>0.2225009</v>
      </c>
      <c r="X5790">
        <v>0.96442110000000003</v>
      </c>
      <c r="Y5790">
        <v>-0.22749910000000001</v>
      </c>
      <c r="Z5790">
        <v>3.9811259999999998E-3</v>
      </c>
      <c r="AA5790">
        <v>0.97377009999999997</v>
      </c>
      <c r="AB5790">
        <v>26</v>
      </c>
      <c r="AC5790">
        <v>56.167900000000003</v>
      </c>
      <c r="AD5790">
        <v>-1.1109004746760001</v>
      </c>
      <c r="AE5790">
        <v>9.1060300000000005</v>
      </c>
      <c r="AF5790">
        <v>-12.9754750051119</v>
      </c>
      <c r="AG5790">
        <v>-1.1109004746760001</v>
      </c>
      <c r="AH5790">
        <v>55.379807076973101</v>
      </c>
      <c r="AI5790">
        <v>91.118887018746406</v>
      </c>
      <c r="AJ5790">
        <v>103.186523693114</v>
      </c>
      <c r="AK5790">
        <v>56.890421718912201</v>
      </c>
      <c r="AL5790">
        <v>77.144034578884998</v>
      </c>
      <c r="AM5790">
        <v>98.421149761030804</v>
      </c>
      <c r="AN5790">
        <v>1.00000000445521</v>
      </c>
    </row>
    <row r="5791" spans="1:40" x14ac:dyDescent="0.25">
      <c r="A5791" t="str">
        <f>"20190304155217660"</f>
        <v>20190304155217660</v>
      </c>
      <c r="B5791" t="str">
        <f>"1551685937653193"</f>
        <v>1551685937653193</v>
      </c>
      <c r="C5791" t="s">
        <v>40</v>
      </c>
      <c r="D5791">
        <v>4.7992150000000002</v>
      </c>
      <c r="E5791">
        <v>0.4648023</v>
      </c>
      <c r="F5791" t="s">
        <v>41</v>
      </c>
      <c r="G5791">
        <v>-320.11070000000001</v>
      </c>
      <c r="H5791" s="1">
        <v>-5.9291879999999996E-6</v>
      </c>
      <c r="I5791">
        <v>26.721959999999999</v>
      </c>
      <c r="J5791">
        <v>-377.22449999999998</v>
      </c>
      <c r="K5791">
        <v>1.110895</v>
      </c>
      <c r="L5791">
        <v>17.40091</v>
      </c>
      <c r="M5791">
        <v>0.99759960000000003</v>
      </c>
      <c r="N5791">
        <v>-8.5762930000000005E-3</v>
      </c>
      <c r="O5791">
        <v>-6.8713250000000003E-2</v>
      </c>
      <c r="P5791">
        <v>0.97376110000000005</v>
      </c>
      <c r="Q5791">
        <v>0.21438489999999999</v>
      </c>
      <c r="R5791">
        <v>7.6343859999999999E-2</v>
      </c>
      <c r="S5791">
        <v>3.05545</v>
      </c>
      <c r="T5791">
        <v>-5.9282420000000002E-2</v>
      </c>
      <c r="U5791">
        <v>0.49691770000000002</v>
      </c>
      <c r="V5791">
        <v>-0.1435409</v>
      </c>
      <c r="W5791">
        <v>0.22236420000000001</v>
      </c>
      <c r="X5791">
        <v>0.96433930000000001</v>
      </c>
      <c r="Y5791">
        <v>-0.22790469999999999</v>
      </c>
      <c r="Z5791">
        <v>3.9205669999999998E-3</v>
      </c>
      <c r="AA5791">
        <v>0.97367550000000003</v>
      </c>
      <c r="AB5791">
        <v>27</v>
      </c>
      <c r="AC5791">
        <v>57.113799999999898</v>
      </c>
      <c r="AD5791">
        <v>-1.1109009291880001</v>
      </c>
      <c r="AE5791">
        <v>9.3210499999999996</v>
      </c>
      <c r="AF5791">
        <v>-13.2187654431957</v>
      </c>
      <c r="AG5791">
        <v>-1.1109009291880001</v>
      </c>
      <c r="AH5791">
        <v>56.317541899725001</v>
      </c>
      <c r="AI5791">
        <v>91.100159301012397</v>
      </c>
      <c r="AJ5791">
        <v>103.209262178557</v>
      </c>
      <c r="AK5791">
        <v>57.8587537572663</v>
      </c>
      <c r="AL5791">
        <v>77.152068848464197</v>
      </c>
      <c r="AM5791">
        <v>98.466256116966804</v>
      </c>
      <c r="AN5791">
        <v>1.00000005646946</v>
      </c>
    </row>
    <row r="5792" spans="1:40" x14ac:dyDescent="0.25">
      <c r="A5792" t="str">
        <f>"20190304155217680"</f>
        <v>20190304155217680</v>
      </c>
      <c r="B5792" t="str">
        <f>"1551685937672714"</f>
        <v>1551685937672714</v>
      </c>
      <c r="C5792" t="s">
        <v>40</v>
      </c>
      <c r="D5792">
        <v>4.7824609999999996</v>
      </c>
      <c r="E5792">
        <v>0.46528019999999998</v>
      </c>
      <c r="F5792" t="s">
        <v>41</v>
      </c>
      <c r="G5792">
        <v>-321.86919999999998</v>
      </c>
      <c r="H5792" s="1">
        <v>-5.2043280000000002E-6</v>
      </c>
      <c r="I5792">
        <v>26.442409999999999</v>
      </c>
      <c r="J5792">
        <v>-376.99439999999998</v>
      </c>
      <c r="K5792">
        <v>1.110892</v>
      </c>
      <c r="L5792">
        <v>17.386229999999902</v>
      </c>
      <c r="M5792">
        <v>0.99767159999999999</v>
      </c>
      <c r="N5792">
        <v>-8.5807049999999992E-3</v>
      </c>
      <c r="O5792">
        <v>-6.7660650000000003E-2</v>
      </c>
      <c r="P5792">
        <v>0.97374499999999997</v>
      </c>
      <c r="Q5792">
        <v>0.21372430000000001</v>
      </c>
      <c r="R5792">
        <v>7.8375109999999998E-2</v>
      </c>
      <c r="S5792">
        <v>3.0552060000000001</v>
      </c>
      <c r="T5792">
        <v>-6.1313510000000002E-2</v>
      </c>
      <c r="U5792">
        <v>0.49902340000000001</v>
      </c>
      <c r="V5792">
        <v>-0.14454620000000001</v>
      </c>
      <c r="W5792">
        <v>0.22170590000000001</v>
      </c>
      <c r="X5792">
        <v>0.96434070000000005</v>
      </c>
      <c r="Y5792">
        <v>-0.22753950000000001</v>
      </c>
      <c r="Z5792">
        <v>4.024344E-3</v>
      </c>
      <c r="AA5792">
        <v>0.97376050000000003</v>
      </c>
      <c r="AB5792">
        <v>27</v>
      </c>
      <c r="AC5792">
        <v>55.1252</v>
      </c>
      <c r="AD5792">
        <v>-1.1108972043279901</v>
      </c>
      <c r="AE5792">
        <v>9.0561799999999995</v>
      </c>
      <c r="AF5792">
        <v>-12.7603230943132</v>
      </c>
      <c r="AG5792">
        <v>-1.1108972043279901</v>
      </c>
      <c r="AH5792">
        <v>54.364597890762298</v>
      </c>
      <c r="AI5792">
        <v>91.139666587507307</v>
      </c>
      <c r="AJ5792">
        <v>103.209211852273</v>
      </c>
      <c r="AK5792">
        <v>55.853105928803302</v>
      </c>
      <c r="AL5792">
        <v>77.190752134971603</v>
      </c>
      <c r="AM5792">
        <v>98.524669792728204</v>
      </c>
      <c r="AN5792">
        <v>1.0000000478528599</v>
      </c>
    </row>
    <row r="5793" spans="1:40" x14ac:dyDescent="0.25">
      <c r="A5793" t="str">
        <f>"20190304155217702"</f>
        <v>20190304155217702</v>
      </c>
      <c r="B5793" t="str">
        <f>"1551685937693209"</f>
        <v>1551685937693209</v>
      </c>
      <c r="C5793" t="s">
        <v>40</v>
      </c>
      <c r="D5793">
        <v>4.7913180000000004</v>
      </c>
      <c r="E5793">
        <v>0.46559800000000001</v>
      </c>
      <c r="F5793" t="s">
        <v>41</v>
      </c>
      <c r="G5793">
        <v>-324.14690000000002</v>
      </c>
      <c r="H5793" s="1">
        <v>-4.2593510000000004E-6</v>
      </c>
      <c r="I5793">
        <v>26.04599</v>
      </c>
      <c r="J5793">
        <v>-376.72</v>
      </c>
      <c r="K5793">
        <v>1.1108819999999999</v>
      </c>
      <c r="L5793">
        <v>17.36899</v>
      </c>
      <c r="M5793">
        <v>0.99775579999999997</v>
      </c>
      <c r="N5793">
        <v>-8.5858959999999904E-3</v>
      </c>
      <c r="O5793">
        <v>-6.6405649999999997E-2</v>
      </c>
      <c r="P5793">
        <v>0.97369890000000003</v>
      </c>
      <c r="Q5793">
        <v>0.21304890000000001</v>
      </c>
      <c r="R5793">
        <v>8.075003E-2</v>
      </c>
      <c r="S5793">
        <v>3.0546880000000001</v>
      </c>
      <c r="T5793">
        <v>-6.4211850000000001E-2</v>
      </c>
      <c r="U5793">
        <v>0.50054929999999997</v>
      </c>
      <c r="V5793">
        <v>-0.1456964</v>
      </c>
      <c r="W5793">
        <v>0.22103249999999999</v>
      </c>
      <c r="X5793">
        <v>0.96432209999999996</v>
      </c>
      <c r="Y5793">
        <v>-0.22680900000000001</v>
      </c>
      <c r="Z5793">
        <v>4.1698200000000003E-3</v>
      </c>
      <c r="AA5793">
        <v>0.97393039999999997</v>
      </c>
      <c r="AB5793">
        <v>27</v>
      </c>
      <c r="AC5793">
        <v>52.573099999999997</v>
      </c>
      <c r="AD5793">
        <v>-1.1108862593509901</v>
      </c>
      <c r="AE5793">
        <v>8.6769999999999996</v>
      </c>
      <c r="AF5793">
        <v>-12.1438470473871</v>
      </c>
      <c r="AG5793">
        <v>-1.1108862593509901</v>
      </c>
      <c r="AH5793">
        <v>51.858284036107001</v>
      </c>
      <c r="AI5793">
        <v>91.194863721310696</v>
      </c>
      <c r="AJ5793">
        <v>103.179677991245</v>
      </c>
      <c r="AK5793">
        <v>53.272776467545803</v>
      </c>
      <c r="AL5793">
        <v>77.230315562434498</v>
      </c>
      <c r="AM5793">
        <v>98.591658179187405</v>
      </c>
      <c r="AN5793">
        <v>0.99999995978880896</v>
      </c>
    </row>
    <row r="5794" spans="1:40" x14ac:dyDescent="0.25">
      <c r="A5794" t="str">
        <f>"20190304155217723"</f>
        <v>20190304155217723</v>
      </c>
      <c r="B5794" t="str">
        <f>"1551685937712729"</f>
        <v>1551685937712729</v>
      </c>
      <c r="C5794" t="s">
        <v>40</v>
      </c>
      <c r="D5794">
        <v>5.0829559999999896</v>
      </c>
      <c r="E5794">
        <v>0.46517059999999999</v>
      </c>
      <c r="F5794" t="s">
        <v>41</v>
      </c>
      <c r="G5794">
        <v>-325.6123</v>
      </c>
      <c r="H5794" s="1">
        <v>-3.6565730000000002E-6</v>
      </c>
      <c r="I5794">
        <v>25.820450000000001</v>
      </c>
      <c r="J5794">
        <v>-376.47230000000002</v>
      </c>
      <c r="K5794">
        <v>1.1108789999999999</v>
      </c>
      <c r="L5794">
        <v>17.353729999999999</v>
      </c>
      <c r="M5794">
        <v>0.99783060000000001</v>
      </c>
      <c r="N5794">
        <v>-8.5907169999999995E-3</v>
      </c>
      <c r="O5794">
        <v>-6.5273300000000006E-2</v>
      </c>
      <c r="P5794">
        <v>0.97365279999999998</v>
      </c>
      <c r="Q5794">
        <v>0.2123689</v>
      </c>
      <c r="R5794">
        <v>8.3066630000000002E-2</v>
      </c>
      <c r="S5794">
        <v>3.0536799999999999</v>
      </c>
      <c r="T5794">
        <v>-6.6375370000000003E-2</v>
      </c>
      <c r="U5794">
        <v>0.50497440000000005</v>
      </c>
      <c r="V5794">
        <v>-0.1469076</v>
      </c>
      <c r="W5794">
        <v>0.22035350000000001</v>
      </c>
      <c r="X5794">
        <v>0.96429379999999998</v>
      </c>
      <c r="Y5794">
        <v>-0.2271243</v>
      </c>
      <c r="Z5794">
        <v>4.2875359999999998E-3</v>
      </c>
      <c r="AA5794">
        <v>0.97385630000000001</v>
      </c>
      <c r="AB5794">
        <v>27</v>
      </c>
      <c r="AC5794">
        <v>50.86</v>
      </c>
      <c r="AD5794">
        <v>-1.1108826565729999</v>
      </c>
      <c r="AE5794">
        <v>8.4667200000000005</v>
      </c>
      <c r="AF5794">
        <v>-11.7631242520975</v>
      </c>
      <c r="AG5794">
        <v>-1.1108826565729999</v>
      </c>
      <c r="AH5794">
        <v>50.175566288294696</v>
      </c>
      <c r="AI5794">
        <v>91.234846352081604</v>
      </c>
      <c r="AJ5794">
        <v>103.19410252674901</v>
      </c>
      <c r="AK5794">
        <v>51.547964118847801</v>
      </c>
      <c r="AL5794">
        <v>77.270203671483998</v>
      </c>
      <c r="AM5794">
        <v>98.662253546050707</v>
      </c>
      <c r="AN5794">
        <v>1.0000000203092201</v>
      </c>
    </row>
    <row r="5795" spans="1:40" x14ac:dyDescent="0.25">
      <c r="A5795" t="str">
        <f>"20190304155217738"</f>
        <v>20190304155217738</v>
      </c>
      <c r="B5795" t="str">
        <f>"1551685937733226"</f>
        <v>1551685937733226</v>
      </c>
      <c r="C5795" t="s">
        <v>40</v>
      </c>
      <c r="D5795">
        <v>4.784681</v>
      </c>
      <c r="E5795">
        <v>0.46447349999999998</v>
      </c>
      <c r="F5795" t="s">
        <v>41</v>
      </c>
      <c r="G5795">
        <v>-327.62860000000001</v>
      </c>
      <c r="H5795" s="1">
        <v>-2.6903650000000002E-6</v>
      </c>
      <c r="I5795">
        <v>25.58794</v>
      </c>
      <c r="J5795">
        <v>-376.30739999999997</v>
      </c>
      <c r="K5795">
        <v>1.110876</v>
      </c>
      <c r="L5795">
        <v>17.343720000000001</v>
      </c>
      <c r="M5795">
        <v>0.99787959999999998</v>
      </c>
      <c r="N5795">
        <v>-8.5939190000000002E-3</v>
      </c>
      <c r="O5795">
        <v>-6.4519199999999999E-2</v>
      </c>
      <c r="P5795">
        <v>0.9736631</v>
      </c>
      <c r="Q5795">
        <v>0.2118052</v>
      </c>
      <c r="R5795">
        <v>8.4374560000000001E-2</v>
      </c>
      <c r="S5795">
        <v>3.0524290000000001</v>
      </c>
      <c r="T5795">
        <v>-6.9423199999999893E-2</v>
      </c>
      <c r="U5795">
        <v>0.51458740000000003</v>
      </c>
      <c r="V5795">
        <v>-0.14748269999999999</v>
      </c>
      <c r="W5795">
        <v>0.21979209999999999</v>
      </c>
      <c r="X5795">
        <v>0.96433409999999997</v>
      </c>
      <c r="Y5795">
        <v>-0.2294282</v>
      </c>
      <c r="Z5795">
        <v>4.4914000000000004E-3</v>
      </c>
      <c r="AA5795">
        <v>0.97331520000000005</v>
      </c>
      <c r="AB5795">
        <v>27</v>
      </c>
      <c r="AC5795">
        <v>48.678799999999903</v>
      </c>
      <c r="AD5795">
        <v>-1.1108786903650001</v>
      </c>
      <c r="AE5795">
        <v>8.2442199999999897</v>
      </c>
      <c r="AF5795">
        <v>-11.3621222338323</v>
      </c>
      <c r="AG5795">
        <v>-1.1108786903650001</v>
      </c>
      <c r="AH5795">
        <v>48.021127446618202</v>
      </c>
      <c r="AI5795">
        <v>91.289600396885803</v>
      </c>
      <c r="AJ5795">
        <v>103.311761221339</v>
      </c>
      <c r="AK5795">
        <v>49.359503181916303</v>
      </c>
      <c r="AL5795">
        <v>77.3031774842039</v>
      </c>
      <c r="AM5795">
        <v>98.695288545050204</v>
      </c>
      <c r="AN5795">
        <v>0.99999998522225397</v>
      </c>
    </row>
    <row r="5796" spans="1:40" x14ac:dyDescent="0.25">
      <c r="A5796" t="str">
        <f>"20190304155217750"</f>
        <v>20190304155217750</v>
      </c>
      <c r="B5796" t="str">
        <f>"1551685937742985"</f>
        <v>1551685937742985</v>
      </c>
      <c r="C5796" t="s">
        <v>40</v>
      </c>
      <c r="D5796">
        <v>4.8074579999999996</v>
      </c>
      <c r="E5796">
        <v>0.46412639999999999</v>
      </c>
      <c r="F5796" t="s">
        <v>41</v>
      </c>
      <c r="G5796">
        <v>-328.45780000000002</v>
      </c>
      <c r="H5796" s="1">
        <v>-2.2898300000000001E-6</v>
      </c>
      <c r="I5796">
        <v>25.555779999999999</v>
      </c>
      <c r="J5796">
        <v>-376.15609999999998</v>
      </c>
      <c r="K5796">
        <v>1.110876</v>
      </c>
      <c r="L5796">
        <v>17.334629999999901</v>
      </c>
      <c r="M5796">
        <v>0.99792409999999998</v>
      </c>
      <c r="N5796">
        <v>-8.5968469999999995E-3</v>
      </c>
      <c r="O5796">
        <v>-6.3827670000000003E-2</v>
      </c>
      <c r="P5796">
        <v>0.97362179999999998</v>
      </c>
      <c r="Q5796">
        <v>0.21161150000000001</v>
      </c>
      <c r="R5796">
        <v>8.5332270000000002E-2</v>
      </c>
      <c r="S5796">
        <v>3.0511780000000002</v>
      </c>
      <c r="T5796">
        <v>-7.083631E-2</v>
      </c>
      <c r="U5796">
        <v>0.52365109999999904</v>
      </c>
      <c r="V5796">
        <v>-0.1477665</v>
      </c>
      <c r="W5796">
        <v>0.2195995</v>
      </c>
      <c r="X5796">
        <v>0.96433449999999998</v>
      </c>
      <c r="Y5796">
        <v>-0.23162450000000001</v>
      </c>
      <c r="Z5796">
        <v>4.5997879999999996E-3</v>
      </c>
      <c r="AA5796">
        <v>0.97279439999999995</v>
      </c>
      <c r="AB5796">
        <v>27</v>
      </c>
      <c r="AC5796">
        <v>47.698299999999897</v>
      </c>
      <c r="AD5796">
        <v>-1.11087828983</v>
      </c>
      <c r="AE5796">
        <v>8.2211499999999997</v>
      </c>
      <c r="AF5796">
        <v>-11.2430461853777</v>
      </c>
      <c r="AG5796">
        <v>-1.11087828983</v>
      </c>
      <c r="AH5796">
        <v>47.051491903191199</v>
      </c>
      <c r="AI5796">
        <v>91.315472459671099</v>
      </c>
      <c r="AJ5796">
        <v>103.438941899128</v>
      </c>
      <c r="AK5796">
        <v>48.388872981476098</v>
      </c>
      <c r="AL5796">
        <v>77.314488599570097</v>
      </c>
      <c r="AM5796">
        <v>98.711760816421801</v>
      </c>
      <c r="AN5796">
        <v>0.99999995340637404</v>
      </c>
    </row>
    <row r="5797" spans="1:40" x14ac:dyDescent="0.25">
      <c r="A5797" t="str">
        <f>"20190304155217769"</f>
        <v>20190304155217769</v>
      </c>
      <c r="B5797" t="str">
        <f>"1551685937762506"</f>
        <v>1551685937762506</v>
      </c>
      <c r="C5797" t="s">
        <v>40</v>
      </c>
      <c r="D5797">
        <v>4.7726649999999999</v>
      </c>
      <c r="E5797">
        <v>0.46344540000000001</v>
      </c>
      <c r="F5797" t="s">
        <v>41</v>
      </c>
      <c r="G5797">
        <v>-327.80340000000001</v>
      </c>
      <c r="H5797" s="1">
        <v>-2.6438250000000001E-6</v>
      </c>
      <c r="I5797">
        <v>25.723600000000001</v>
      </c>
      <c r="J5797">
        <v>-375.93119999999999</v>
      </c>
      <c r="K5797">
        <v>1.110881</v>
      </c>
      <c r="L5797">
        <v>17.321349999999999</v>
      </c>
      <c r="M5797">
        <v>0.99798920000000002</v>
      </c>
      <c r="N5797">
        <v>-8.6012459999999999E-3</v>
      </c>
      <c r="O5797">
        <v>-6.2799149999999998E-2</v>
      </c>
      <c r="P5797">
        <v>0.9734699</v>
      </c>
      <c r="Q5797">
        <v>0.211696</v>
      </c>
      <c r="R5797">
        <v>8.6840470000000003E-2</v>
      </c>
      <c r="S5797">
        <v>3.0500790000000002</v>
      </c>
      <c r="T5797">
        <v>-7.0073960000000005E-2</v>
      </c>
      <c r="U5797">
        <v>0.52917479999999995</v>
      </c>
      <c r="V5797">
        <v>-0.1482675</v>
      </c>
      <c r="W5797">
        <v>0.21968599999999999</v>
      </c>
      <c r="X5797">
        <v>0.96423789999999998</v>
      </c>
      <c r="Y5797">
        <v>-0.2323926</v>
      </c>
      <c r="Z5797">
        <v>4.5539389999999999E-3</v>
      </c>
      <c r="AA5797">
        <v>0.97261140000000001</v>
      </c>
      <c r="AB5797">
        <v>27</v>
      </c>
      <c r="AC5797">
        <v>48.127799999999901</v>
      </c>
      <c r="AD5797">
        <v>-1.1108836438249901</v>
      </c>
      <c r="AE5797">
        <v>8.4022500000000004</v>
      </c>
      <c r="AF5797">
        <v>-11.4022656082259</v>
      </c>
      <c r="AG5797">
        <v>-1.1108836438249901</v>
      </c>
      <c r="AH5797">
        <v>47.480575657232798</v>
      </c>
      <c r="AI5797">
        <v>91.303242452222804</v>
      </c>
      <c r="AJ5797">
        <v>103.50363723223801</v>
      </c>
      <c r="AK5797">
        <v>48.843124267524601</v>
      </c>
      <c r="AL5797">
        <v>77.3094085311009</v>
      </c>
      <c r="AM5797">
        <v>98.7417046537537</v>
      </c>
      <c r="AN5797">
        <v>0.99999995897432903</v>
      </c>
    </row>
    <row r="5798" spans="1:40" x14ac:dyDescent="0.25">
      <c r="A5798" t="str">
        <f>"20190304155217782"</f>
        <v>20190304155217782</v>
      </c>
      <c r="B5798" t="str">
        <f>"1551685937773241"</f>
        <v>1551685937773241</v>
      </c>
      <c r="C5798" t="s">
        <v>40</v>
      </c>
      <c r="D5798">
        <v>4.8218209999999999</v>
      </c>
      <c r="E5798">
        <v>0.463167</v>
      </c>
      <c r="F5798" t="s">
        <v>41</v>
      </c>
      <c r="G5798">
        <v>-326.25779999999997</v>
      </c>
      <c r="H5798" s="1">
        <v>-3.4595660000000002E-6</v>
      </c>
      <c r="I5798">
        <v>26.107140000000001</v>
      </c>
      <c r="J5798">
        <v>-375.76580000000001</v>
      </c>
      <c r="K5798">
        <v>1.110881</v>
      </c>
      <c r="L5798">
        <v>17.31174</v>
      </c>
      <c r="M5798">
        <v>0.99803640000000005</v>
      </c>
      <c r="N5798">
        <v>-8.6043749999999992E-3</v>
      </c>
      <c r="O5798">
        <v>-6.2043010000000003E-2</v>
      </c>
      <c r="P5798">
        <v>0.97341369999999905</v>
      </c>
      <c r="Q5798">
        <v>0.21163290000000001</v>
      </c>
      <c r="R5798">
        <v>8.7620470000000006E-2</v>
      </c>
      <c r="S5798">
        <v>3.0484619999999998</v>
      </c>
      <c r="T5798">
        <v>-6.8175079999999999E-2</v>
      </c>
      <c r="U5798">
        <v>0.53918459999999901</v>
      </c>
      <c r="V5798">
        <v>-0.1483119</v>
      </c>
      <c r="W5798">
        <v>0.21962509999999999</v>
      </c>
      <c r="X5798">
        <v>0.96424500000000002</v>
      </c>
      <c r="Y5798">
        <v>-0.23484389999999999</v>
      </c>
      <c r="Z5798">
        <v>4.4724200000000004E-3</v>
      </c>
      <c r="AA5798">
        <v>0.97202279999999996</v>
      </c>
      <c r="AB5798">
        <v>27</v>
      </c>
      <c r="AC5798">
        <v>49.508000000000003</v>
      </c>
      <c r="AD5798">
        <v>-1.1108844595659999</v>
      </c>
      <c r="AE5798">
        <v>8.7954000000000008</v>
      </c>
      <c r="AF5798">
        <v>-11.8444121800355</v>
      </c>
      <c r="AG5798">
        <v>-1.1108844595659999</v>
      </c>
      <c r="AH5798">
        <v>48.843061968910199</v>
      </c>
      <c r="AI5798">
        <v>91.266221678000207</v>
      </c>
      <c r="AJ5798">
        <v>103.63106082129499</v>
      </c>
      <c r="AK5798">
        <v>50.270954503290199</v>
      </c>
      <c r="AL5798">
        <v>77.312985880949398</v>
      </c>
      <c r="AM5798">
        <v>98.744218588580495</v>
      </c>
      <c r="AN5798">
        <v>1.0000000121283099</v>
      </c>
    </row>
    <row r="5799" spans="1:40" x14ac:dyDescent="0.25">
      <c r="A5799" t="str">
        <f>"20190304155217794"</f>
        <v>20190304155217794</v>
      </c>
      <c r="B5799" t="str">
        <f>"1551685937783002"</f>
        <v>1551685937783002</v>
      </c>
      <c r="C5799" t="s">
        <v>40</v>
      </c>
      <c r="D5799">
        <v>4.9489280000000004</v>
      </c>
      <c r="E5799">
        <v>0.46282440000000002</v>
      </c>
      <c r="F5799" t="s">
        <v>41</v>
      </c>
      <c r="G5799">
        <v>-325.17430000000002</v>
      </c>
      <c r="H5799" s="1">
        <v>-3.9166120000000002E-6</v>
      </c>
      <c r="I5799">
        <v>26.338090000000001</v>
      </c>
      <c r="J5799">
        <v>-375.6223</v>
      </c>
      <c r="K5799">
        <v>1.110881</v>
      </c>
      <c r="L5799">
        <v>17.303470000000001</v>
      </c>
      <c r="M5799">
        <v>0.99807699999999999</v>
      </c>
      <c r="N5799">
        <v>-8.6071489999999997E-3</v>
      </c>
      <c r="O5799">
        <v>-6.138677E-2</v>
      </c>
      <c r="P5799">
        <v>0.97351430000000005</v>
      </c>
      <c r="Q5799">
        <v>0.2109993</v>
      </c>
      <c r="R5799">
        <v>8.8029949999999996E-2</v>
      </c>
      <c r="S5799">
        <v>3.0475460000000001</v>
      </c>
      <c r="T5799">
        <v>-6.6917779999999996E-2</v>
      </c>
      <c r="U5799">
        <v>0.54373169999999904</v>
      </c>
      <c r="V5799">
        <v>-0.14809059999999999</v>
      </c>
      <c r="W5799">
        <v>0.2189951</v>
      </c>
      <c r="X5799">
        <v>0.96442229999999995</v>
      </c>
      <c r="Y5799">
        <v>-0.23566329999999999</v>
      </c>
      <c r="Z5799">
        <v>4.4037670000000003E-3</v>
      </c>
      <c r="AA5799">
        <v>0.97182480000000004</v>
      </c>
      <c r="AB5799">
        <v>27</v>
      </c>
      <c r="AC5799">
        <v>50.447999999999901</v>
      </c>
      <c r="AD5799">
        <v>-1.1108849166120001</v>
      </c>
      <c r="AE5799">
        <v>9.0346200000000003</v>
      </c>
      <c r="AF5799">
        <v>-12.1088451523713</v>
      </c>
      <c r="AG5799">
        <v>-1.1108849166120001</v>
      </c>
      <c r="AH5799">
        <v>49.774838415963998</v>
      </c>
      <c r="AI5799">
        <v>91.242306026579101</v>
      </c>
      <c r="AJ5799">
        <v>103.67288517636</v>
      </c>
      <c r="AK5799">
        <v>51.238586393043597</v>
      </c>
      <c r="AL5799">
        <v>77.349983088070303</v>
      </c>
      <c r="AM5799">
        <v>98.729791875861906</v>
      </c>
      <c r="AN5799">
        <v>1.0000000261848201</v>
      </c>
    </row>
    <row r="5800" spans="1:40" x14ac:dyDescent="0.25">
      <c r="A5800" t="str">
        <f>"20190304155217813"</f>
        <v>20190304155217813</v>
      </c>
      <c r="B5800" t="str">
        <f>"1551685937802521"</f>
        <v>1551685937802521</v>
      </c>
      <c r="C5800" t="s">
        <v>40</v>
      </c>
      <c r="D5800">
        <v>4.8249950000000004</v>
      </c>
      <c r="E5800">
        <v>0.46231889999999998</v>
      </c>
      <c r="F5800" t="s">
        <v>41</v>
      </c>
      <c r="G5800">
        <v>-326.00389999999999</v>
      </c>
      <c r="H5800" s="1">
        <v>-3.5774269999999999E-6</v>
      </c>
      <c r="I5800">
        <v>26.22185</v>
      </c>
      <c r="J5800">
        <v>-375.3972</v>
      </c>
      <c r="K5800">
        <v>1.110881</v>
      </c>
      <c r="L5800">
        <v>17.29074</v>
      </c>
      <c r="M5800">
        <v>0.99813969999999996</v>
      </c>
      <c r="N5800">
        <v>-8.6115619999999997E-3</v>
      </c>
      <c r="O5800">
        <v>-6.0357639999999997E-2</v>
      </c>
      <c r="P5800">
        <v>0.97367179999999998</v>
      </c>
      <c r="Q5800">
        <v>0.20991969999999999</v>
      </c>
      <c r="R5800">
        <v>8.8864680000000001E-2</v>
      </c>
      <c r="S5800">
        <v>3.0468440000000001</v>
      </c>
      <c r="T5800">
        <v>-6.8214419999999998E-2</v>
      </c>
      <c r="U5800">
        <v>0.54763790000000001</v>
      </c>
      <c r="V5800">
        <v>-0.1479366</v>
      </c>
      <c r="W5800">
        <v>0.21792210000000001</v>
      </c>
      <c r="X5800">
        <v>0.96468889999999996</v>
      </c>
      <c r="Y5800">
        <v>-0.23590430000000001</v>
      </c>
      <c r="Z5800">
        <v>4.4699479999999996E-3</v>
      </c>
      <c r="AA5800">
        <v>0.97176600000000002</v>
      </c>
      <c r="AB5800">
        <v>27</v>
      </c>
      <c r="AC5800">
        <v>49.393300000000004</v>
      </c>
      <c r="AD5800">
        <v>-1.110884577427</v>
      </c>
      <c r="AE5800">
        <v>8.9311100000000003</v>
      </c>
      <c r="AF5800">
        <v>-11.8903751508065</v>
      </c>
      <c r="AG5800">
        <v>-1.110884577427</v>
      </c>
      <c r="AH5800">
        <v>48.740285930673899</v>
      </c>
      <c r="AI5800">
        <v>91.268467377571696</v>
      </c>
      <c r="AJ5800">
        <v>103.709735383878</v>
      </c>
      <c r="AK5800">
        <v>50.181974436794803</v>
      </c>
      <c r="AL5800">
        <v>77.412982515998706</v>
      </c>
      <c r="AM5800">
        <v>98.718480317141797</v>
      </c>
      <c r="AN5800">
        <v>0.99999997653558903</v>
      </c>
    </row>
    <row r="5801" spans="1:40" x14ac:dyDescent="0.25">
      <c r="A5801" t="str">
        <f>"20190304155217827"</f>
        <v>20190304155217827</v>
      </c>
      <c r="B5801" t="str">
        <f>"1551685937823018"</f>
        <v>1551685937823018</v>
      </c>
      <c r="C5801" t="s">
        <v>40</v>
      </c>
      <c r="D5801">
        <v>4.8612229999999998</v>
      </c>
      <c r="E5801">
        <v>0.4618776</v>
      </c>
      <c r="F5801" t="s">
        <v>41</v>
      </c>
      <c r="G5801">
        <v>-327.02609999999999</v>
      </c>
      <c r="H5801" s="1">
        <v>-3.1087870000000001E-6</v>
      </c>
      <c r="I5801">
        <v>26.090119999999999</v>
      </c>
      <c r="J5801">
        <v>-375.22</v>
      </c>
      <c r="K5801">
        <v>1.110881</v>
      </c>
      <c r="L5801">
        <v>17.280819999999999</v>
      </c>
      <c r="M5801">
        <v>0.99818839999999998</v>
      </c>
      <c r="N5801">
        <v>-8.6150640000000004E-3</v>
      </c>
      <c r="O5801">
        <v>-5.9547030000000001E-2</v>
      </c>
      <c r="P5801">
        <v>0.97371569999999996</v>
      </c>
      <c r="Q5801">
        <v>0.2094792</v>
      </c>
      <c r="R5801">
        <v>8.9421730000000005E-2</v>
      </c>
      <c r="S5801">
        <v>3.0456539999999999</v>
      </c>
      <c r="T5801">
        <v>-6.9946049999999996E-2</v>
      </c>
      <c r="U5801">
        <v>0.55404659999999994</v>
      </c>
      <c r="V5801">
        <v>-0.14771039999999999</v>
      </c>
      <c r="W5801">
        <v>0.21748509999999999</v>
      </c>
      <c r="X5801">
        <v>0.96482219999999996</v>
      </c>
      <c r="Y5801">
        <v>-0.2371567</v>
      </c>
      <c r="Z5801">
        <v>4.5799550000000001E-3</v>
      </c>
      <c r="AA5801">
        <v>0.97146060000000001</v>
      </c>
      <c r="AB5801">
        <v>27</v>
      </c>
      <c r="AC5801">
        <v>48.193899999999999</v>
      </c>
      <c r="AD5801">
        <v>-1.1108841087870001</v>
      </c>
      <c r="AE5801">
        <v>8.8093000000000004</v>
      </c>
      <c r="AF5801">
        <v>-11.6575830355145</v>
      </c>
      <c r="AG5801">
        <v>-1.1108841087870001</v>
      </c>
      <c r="AH5801">
        <v>47.5593344843873</v>
      </c>
      <c r="AI5801">
        <v>91.2996049803793</v>
      </c>
      <c r="AJ5801">
        <v>103.772603662347</v>
      </c>
      <c r="AK5801">
        <v>48.979828524923498</v>
      </c>
      <c r="AL5801">
        <v>77.4386364293985</v>
      </c>
      <c r="AM5801">
        <v>98.704169525519802</v>
      </c>
      <c r="AN5801">
        <v>1.0000000043015</v>
      </c>
    </row>
    <row r="5802" spans="1:40" x14ac:dyDescent="0.25">
      <c r="A5802" t="str">
        <f>"20190304155217845"</f>
        <v>20190304155217845</v>
      </c>
      <c r="B5802" t="str">
        <f>"1551685937842538"</f>
        <v>1551685937842538</v>
      </c>
      <c r="C5802" t="s">
        <v>40</v>
      </c>
      <c r="D5802">
        <v>4.7767379999999999</v>
      </c>
      <c r="E5802">
        <v>0.4615689</v>
      </c>
      <c r="F5802" t="s">
        <v>41</v>
      </c>
      <c r="G5802">
        <v>-326.31450000000001</v>
      </c>
      <c r="H5802" s="1">
        <v>-3.4664029999999998E-6</v>
      </c>
      <c r="I5802">
        <v>26.268529999999998</v>
      </c>
      <c r="J5802">
        <v>-375.00029999999998</v>
      </c>
      <c r="K5802">
        <v>1.1108819999999999</v>
      </c>
      <c r="L5802">
        <v>17.26877</v>
      </c>
      <c r="M5802">
        <v>0.99824789999999997</v>
      </c>
      <c r="N5802">
        <v>-8.6195769999999998E-3</v>
      </c>
      <c r="O5802">
        <v>-5.8543049999999999E-2</v>
      </c>
      <c r="P5802">
        <v>0.97364249999999997</v>
      </c>
      <c r="Q5802">
        <v>0.2096518</v>
      </c>
      <c r="R5802">
        <v>8.9814630000000006E-2</v>
      </c>
      <c r="S5802">
        <v>3.044495</v>
      </c>
      <c r="T5802">
        <v>-6.915557E-2</v>
      </c>
      <c r="U5802">
        <v>0.55950929999999999</v>
      </c>
      <c r="V5802">
        <v>-0.14712839999999999</v>
      </c>
      <c r="W5802">
        <v>0.21766240000000001</v>
      </c>
      <c r="X5802">
        <v>0.96487120000000004</v>
      </c>
      <c r="Y5802">
        <v>-0.23793300000000001</v>
      </c>
      <c r="Z5802">
        <v>4.5335530000000001E-3</v>
      </c>
      <c r="AA5802">
        <v>0.971271</v>
      </c>
      <c r="AB5802">
        <v>27</v>
      </c>
      <c r="AC5802">
        <v>48.685799999999901</v>
      </c>
      <c r="AD5802">
        <v>-1.1108854664029999</v>
      </c>
      <c r="AE5802">
        <v>8.9997599999999895</v>
      </c>
      <c r="AF5802">
        <v>-11.8286887445633</v>
      </c>
      <c r="AG5802">
        <v>-1.1108854664029999</v>
      </c>
      <c r="AH5802">
        <v>48.051208661195403</v>
      </c>
      <c r="AI5802">
        <v>91.285994416137896</v>
      </c>
      <c r="AJ5802">
        <v>103.829436743747</v>
      </c>
      <c r="AK5802">
        <v>49.498187822757401</v>
      </c>
      <c r="AL5802">
        <v>77.428229261100896</v>
      </c>
      <c r="AM5802">
        <v>98.669962422463499</v>
      </c>
      <c r="AN5802">
        <v>1.0000000595248699</v>
      </c>
    </row>
    <row r="5803" spans="1:40" x14ac:dyDescent="0.25">
      <c r="A5803" t="str">
        <f>"20190304155217859"</f>
        <v>20190304155217859</v>
      </c>
      <c r="B5803" t="str">
        <f>"1551685937853273"</f>
        <v>1551685937853273</v>
      </c>
      <c r="C5803" t="s">
        <v>40</v>
      </c>
      <c r="D5803">
        <v>5.2691239999999997</v>
      </c>
      <c r="E5803">
        <v>0.46125179999999999</v>
      </c>
      <c r="F5803" t="s">
        <v>41</v>
      </c>
      <c r="G5803">
        <v>-324.31900000000002</v>
      </c>
      <c r="H5803" s="1">
        <v>-4.3002430000000001E-6</v>
      </c>
      <c r="I5803">
        <v>26.649170000000002</v>
      </c>
      <c r="J5803">
        <v>-374.8467</v>
      </c>
      <c r="K5803">
        <v>1.110884</v>
      </c>
      <c r="L5803">
        <v>17.2605</v>
      </c>
      <c r="M5803">
        <v>0.99828859999999997</v>
      </c>
      <c r="N5803">
        <v>-8.6226510000000003E-3</v>
      </c>
      <c r="O5803">
        <v>-5.7840679999999998E-2</v>
      </c>
      <c r="P5803">
        <v>0.9736167</v>
      </c>
      <c r="Q5803">
        <v>0.2095767</v>
      </c>
      <c r="R5803">
        <v>9.0267280000000005E-2</v>
      </c>
      <c r="S5803">
        <v>3.0435789999999998</v>
      </c>
      <c r="T5803">
        <v>-6.6712380000000002E-2</v>
      </c>
      <c r="U5803">
        <v>0.56332399999999905</v>
      </c>
      <c r="V5803">
        <v>-0.14689929999999901</v>
      </c>
      <c r="W5803">
        <v>0.2175908</v>
      </c>
      <c r="X5803">
        <v>0.96492219999999995</v>
      </c>
      <c r="Y5803">
        <v>-0.23848420000000001</v>
      </c>
      <c r="Z5803">
        <v>4.3924709999999898E-3</v>
      </c>
      <c r="AA5803">
        <v>0.97113649999999996</v>
      </c>
      <c r="AB5803">
        <v>27</v>
      </c>
      <c r="AC5803">
        <v>50.527699999999903</v>
      </c>
      <c r="AD5803">
        <v>-1.1108883002429999</v>
      </c>
      <c r="AE5803">
        <v>9.3886699999999994</v>
      </c>
      <c r="AF5803">
        <v>-12.2898733894885</v>
      </c>
      <c r="AG5803">
        <v>-1.1108883002429999</v>
      </c>
      <c r="AH5803">
        <v>49.876729913320702</v>
      </c>
      <c r="AI5803">
        <v>91.238876247305797</v>
      </c>
      <c r="AJ5803">
        <v>103.84221570010099</v>
      </c>
      <c r="AK5803">
        <v>51.380572667026698</v>
      </c>
      <c r="AL5803">
        <v>77.432431698948704</v>
      </c>
      <c r="AM5803">
        <v>98.656216111723097</v>
      </c>
      <c r="AN5803">
        <v>1.00000000631898</v>
      </c>
    </row>
    <row r="5804" spans="1:40" x14ac:dyDescent="0.25">
      <c r="A5804" t="str">
        <f>"20190304155217871"</f>
        <v>20190304155217871</v>
      </c>
      <c r="B5804" t="str">
        <f>"1551685937863034"</f>
        <v>1551685937863034</v>
      </c>
      <c r="C5804" t="s">
        <v>40</v>
      </c>
      <c r="D5804">
        <v>4.7978120000000004</v>
      </c>
      <c r="E5804">
        <v>0.46114369999999999</v>
      </c>
      <c r="F5804" t="s">
        <v>41</v>
      </c>
      <c r="G5804">
        <v>-324.94380000000001</v>
      </c>
      <c r="H5804" s="1">
        <v>-4.0457169999999999E-6</v>
      </c>
      <c r="I5804">
        <v>26.56691</v>
      </c>
      <c r="J5804">
        <v>-374.68950000000001</v>
      </c>
      <c r="K5804">
        <v>1.110887</v>
      </c>
      <c r="L5804">
        <v>17.252109999999998</v>
      </c>
      <c r="M5804">
        <v>0.9983301</v>
      </c>
      <c r="N5804">
        <v>-8.6257920000000002E-3</v>
      </c>
      <c r="O5804">
        <v>-5.7121970000000001E-2</v>
      </c>
      <c r="P5804">
        <v>0.97356430000000005</v>
      </c>
      <c r="Q5804">
        <v>0.20972479999999999</v>
      </c>
      <c r="R5804">
        <v>9.0488479999999996E-2</v>
      </c>
      <c r="S5804">
        <v>3.0432429999999999</v>
      </c>
      <c r="T5804">
        <v>-6.7745570000000005E-2</v>
      </c>
      <c r="U5804">
        <v>0.56753540000000002</v>
      </c>
      <c r="V5804">
        <v>-0.14642260000000001</v>
      </c>
      <c r="W5804">
        <v>0.21774250000000001</v>
      </c>
      <c r="X5804">
        <v>0.9649605</v>
      </c>
      <c r="Y5804">
        <v>-0.2391008</v>
      </c>
      <c r="Z5804">
        <v>4.4521609999999996E-3</v>
      </c>
      <c r="AA5804">
        <v>0.97098459999999998</v>
      </c>
      <c r="AB5804">
        <v>27</v>
      </c>
      <c r="AC5804">
        <v>49.745699999999999</v>
      </c>
      <c r="AD5804">
        <v>-1.110891045717</v>
      </c>
      <c r="AE5804">
        <v>9.3147999999999893</v>
      </c>
      <c r="AF5804">
        <v>-12.135420563926999</v>
      </c>
      <c r="AG5804">
        <v>-1.110891045717</v>
      </c>
      <c r="AH5804">
        <v>49.1087096147197</v>
      </c>
      <c r="AI5804">
        <v>91.258040937945907</v>
      </c>
      <c r="AJ5804">
        <v>103.88047727838401</v>
      </c>
      <c r="AK5804">
        <v>50.598101458470801</v>
      </c>
      <c r="AL5804">
        <v>77.423527226815196</v>
      </c>
      <c r="AM5804">
        <v>98.628212137033302</v>
      </c>
      <c r="AN5804">
        <v>1.00000007032862</v>
      </c>
    </row>
    <row r="5805" spans="1:40" x14ac:dyDescent="0.25">
      <c r="A5805" t="str">
        <f>"20190304155217892"</f>
        <v>20190304155217892</v>
      </c>
      <c r="B5805" t="str">
        <f>"1551685937882554"</f>
        <v>1551685937882554</v>
      </c>
      <c r="C5805" t="s">
        <v>40</v>
      </c>
      <c r="D5805">
        <v>4.7958280000000002</v>
      </c>
      <c r="E5805">
        <v>0.46097100000000002</v>
      </c>
      <c r="F5805" t="s">
        <v>41</v>
      </c>
      <c r="G5805">
        <v>-323.69209999999998</v>
      </c>
      <c r="H5805" s="1">
        <v>-4.566782E-6</v>
      </c>
      <c r="I5805">
        <v>26.794730000000001</v>
      </c>
      <c r="J5805">
        <v>-374.4409</v>
      </c>
      <c r="K5805">
        <v>1.1108910000000001</v>
      </c>
      <c r="L5805">
        <v>17.23911</v>
      </c>
      <c r="M5805">
        <v>0.99839429999999996</v>
      </c>
      <c r="N5805">
        <v>-8.6307559999999998E-3</v>
      </c>
      <c r="O5805">
        <v>-5.5986260000000003E-2</v>
      </c>
      <c r="P5805">
        <v>0.9735298</v>
      </c>
      <c r="Q5805">
        <v>0.20981030000000001</v>
      </c>
      <c r="R5805">
        <v>9.0662900000000005E-2</v>
      </c>
      <c r="S5805">
        <v>3.042786</v>
      </c>
      <c r="T5805">
        <v>-6.6282030000000006E-2</v>
      </c>
      <c r="U5805">
        <v>0.5693665</v>
      </c>
      <c r="V5805">
        <v>-0.1454974</v>
      </c>
      <c r="W5805">
        <v>0.21783459999999999</v>
      </c>
      <c r="X5805">
        <v>0.96507960000000004</v>
      </c>
      <c r="Y5805">
        <v>-0.23859069999999999</v>
      </c>
      <c r="Z5805">
        <v>4.3461039999999999E-3</v>
      </c>
      <c r="AA5805">
        <v>0.97111049999999999</v>
      </c>
      <c r="AB5805">
        <v>27</v>
      </c>
      <c r="AC5805">
        <v>50.748800000000003</v>
      </c>
      <c r="AD5805">
        <v>-1.110895566782</v>
      </c>
      <c r="AE5805">
        <v>9.5556199999999905</v>
      </c>
      <c r="AF5805">
        <v>-12.376245085267801</v>
      </c>
      <c r="AG5805">
        <v>-1.110895566782</v>
      </c>
      <c r="AH5805">
        <v>50.111003451639696</v>
      </c>
      <c r="AI5805">
        <v>91.232930390363506</v>
      </c>
      <c r="AJ5805">
        <v>103.87308948600599</v>
      </c>
      <c r="AK5805">
        <v>51.628656754763298</v>
      </c>
      <c r="AL5805">
        <v>77.418119863651199</v>
      </c>
      <c r="AM5805">
        <v>98.573463518998494</v>
      </c>
      <c r="AN5805">
        <v>1.0000000203500301</v>
      </c>
    </row>
    <row r="5806" spans="1:40" x14ac:dyDescent="0.25">
      <c r="A5806" t="str">
        <f>"20190304155217914"</f>
        <v>20190304155217914</v>
      </c>
      <c r="B5806" t="str">
        <f>"1551685937903050"</f>
        <v>1551685937903050</v>
      </c>
      <c r="C5806" t="s">
        <v>40</v>
      </c>
      <c r="D5806">
        <v>4.1646429999999999</v>
      </c>
      <c r="E5806">
        <v>0.4609143</v>
      </c>
      <c r="F5806" t="s">
        <v>41</v>
      </c>
      <c r="G5806">
        <v>-322.08909999999997</v>
      </c>
      <c r="H5806" s="1">
        <v>-5.2338169999999996E-6</v>
      </c>
      <c r="I5806">
        <v>27.08473</v>
      </c>
      <c r="J5806">
        <v>-374.17739999999998</v>
      </c>
      <c r="K5806">
        <v>1.110886</v>
      </c>
      <c r="L5806">
        <v>17.225619999999999</v>
      </c>
      <c r="M5806">
        <v>0.99846089999999998</v>
      </c>
      <c r="N5806">
        <v>-8.636052E-3</v>
      </c>
      <c r="O5806">
        <v>-5.4782490000000003E-2</v>
      </c>
      <c r="P5806">
        <v>0.97367570000000003</v>
      </c>
      <c r="Q5806">
        <v>0.20910699999999999</v>
      </c>
      <c r="R5806">
        <v>9.072007E-2</v>
      </c>
      <c r="S5806">
        <v>3.0422359999999999</v>
      </c>
      <c r="T5806">
        <v>-6.4555760000000004E-2</v>
      </c>
      <c r="U5806">
        <v>0.57214359999999997</v>
      </c>
      <c r="V5806">
        <v>-0.14439689999999999</v>
      </c>
      <c r="W5806">
        <v>0.21714020000000001</v>
      </c>
      <c r="X5806">
        <v>0.96540130000000002</v>
      </c>
      <c r="Y5806">
        <v>-0.23831189999999999</v>
      </c>
      <c r="Z5806">
        <v>4.2291309999999997E-3</v>
      </c>
      <c r="AA5806">
        <v>0.97117949999999997</v>
      </c>
      <c r="AB5806">
        <v>27</v>
      </c>
      <c r="AC5806">
        <v>52.088299999999997</v>
      </c>
      <c r="AD5806">
        <v>-1.1108912338169901</v>
      </c>
      <c r="AE5806">
        <v>9.8591099999999905</v>
      </c>
      <c r="AF5806">
        <v>-12.692363579423599</v>
      </c>
      <c r="AG5806">
        <v>-1.1108912338169901</v>
      </c>
      <c r="AH5806">
        <v>51.447355808939001</v>
      </c>
      <c r="AI5806">
        <v>91.200985299564195</v>
      </c>
      <c r="AJ5806">
        <v>103.85846768946401</v>
      </c>
      <c r="AK5806">
        <v>53.001515000018799</v>
      </c>
      <c r="AL5806">
        <v>77.4588815139183</v>
      </c>
      <c r="AM5806">
        <v>98.506775135429905</v>
      </c>
      <c r="AN5806">
        <v>1.00000000061367</v>
      </c>
    </row>
    <row r="5807" spans="1:40" x14ac:dyDescent="0.25">
      <c r="A5807" t="str">
        <f>"20190304155217936"</f>
        <v>20190304155217936</v>
      </c>
      <c r="B5807" t="str">
        <f>"1551685937933305"</f>
        <v>1551685937933305</v>
      </c>
      <c r="C5807" t="s">
        <v>40</v>
      </c>
      <c r="D5807">
        <v>4.723363</v>
      </c>
      <c r="E5807">
        <v>0.53921779999999997</v>
      </c>
      <c r="F5807" t="s">
        <v>41</v>
      </c>
      <c r="G5807">
        <v>-323.00700000000001</v>
      </c>
      <c r="H5807" s="1">
        <v>-4.8431999999999996E-6</v>
      </c>
      <c r="I5807">
        <v>26.86974</v>
      </c>
      <c r="J5807">
        <v>-373.90899999999999</v>
      </c>
      <c r="K5807">
        <v>1.110884</v>
      </c>
      <c r="L5807">
        <v>17.21219</v>
      </c>
      <c r="M5807">
        <v>0.99852750000000001</v>
      </c>
      <c r="N5807">
        <v>-8.6414930000000001E-3</v>
      </c>
      <c r="O5807">
        <v>-5.3556909999999999E-2</v>
      </c>
      <c r="P5807">
        <v>0.97382749999999996</v>
      </c>
      <c r="Q5807">
        <v>0.20840880000000001</v>
      </c>
      <c r="R5807">
        <v>9.0695670000000006E-2</v>
      </c>
      <c r="S5807">
        <v>3.0418699999999999</v>
      </c>
      <c r="T5807">
        <v>-6.6037890000000002E-2</v>
      </c>
      <c r="U5807">
        <v>0.57330319999999901</v>
      </c>
      <c r="V5807">
        <v>-0.14319379999999901</v>
      </c>
      <c r="W5807">
        <v>0.21645130000000001</v>
      </c>
      <c r="X5807">
        <v>0.96573509999999996</v>
      </c>
      <c r="Y5807">
        <v>-0.2374957</v>
      </c>
      <c r="Z5807">
        <v>4.2856020000000003E-3</v>
      </c>
      <c r="AA5807">
        <v>0.9713792</v>
      </c>
      <c r="AB5807">
        <v>27</v>
      </c>
      <c r="AC5807">
        <v>50.902000000000001</v>
      </c>
      <c r="AD5807">
        <v>-1.1108888431999999</v>
      </c>
      <c r="AE5807">
        <v>9.6575500000000005</v>
      </c>
      <c r="AF5807">
        <v>-12.364259457122801</v>
      </c>
      <c r="AG5807">
        <v>-1.1108888431999999</v>
      </c>
      <c r="AH5807">
        <v>50.288572430081103</v>
      </c>
      <c r="AI5807">
        <v>91.228887687005496</v>
      </c>
      <c r="AJ5807">
        <v>103.813109775269</v>
      </c>
      <c r="AK5807">
        <v>51.798161193236503</v>
      </c>
      <c r="AL5807">
        <v>77.499313627861298</v>
      </c>
      <c r="AM5807">
        <v>98.434047670298995</v>
      </c>
      <c r="AN5807">
        <v>0.99999995650106799</v>
      </c>
    </row>
    <row r="5808" spans="1:40" x14ac:dyDescent="0.25">
      <c r="A5808" t="str">
        <f>"20190304155217948"</f>
        <v>20190304155217948</v>
      </c>
      <c r="B5808" t="str">
        <f>"1551685937943066"</f>
        <v>1551685937943066</v>
      </c>
      <c r="C5808" t="s">
        <v>40</v>
      </c>
      <c r="D5808">
        <v>4.6857089999999904</v>
      </c>
      <c r="E5808">
        <v>0.58751629999999999</v>
      </c>
      <c r="F5808" t="s">
        <v>65</v>
      </c>
      <c r="G5808">
        <v>-241.07</v>
      </c>
      <c r="H5808">
        <v>19.46969</v>
      </c>
      <c r="I5808">
        <v>15.347580000000001</v>
      </c>
      <c r="J5808">
        <v>-373.75450000000001</v>
      </c>
      <c r="K5808">
        <v>1.110887</v>
      </c>
      <c r="L5808">
        <v>17.20459</v>
      </c>
      <c r="M5808">
        <v>0.99856509999999998</v>
      </c>
      <c r="N5808">
        <v>-8.6446330000000005E-3</v>
      </c>
      <c r="O5808">
        <v>-5.2851790000000003E-2</v>
      </c>
      <c r="P5808">
        <v>0.97391760000000005</v>
      </c>
      <c r="Q5808">
        <v>0.20789160000000001</v>
      </c>
      <c r="R5808">
        <v>9.091805E-2</v>
      </c>
      <c r="S5808">
        <v>2.9959720000000001</v>
      </c>
      <c r="T5808">
        <v>0.41405340000000002</v>
      </c>
      <c r="U5808">
        <v>-4.2053220000000002E-2</v>
      </c>
      <c r="V5808">
        <v>-0.1427378</v>
      </c>
      <c r="W5808">
        <v>0.21593870000000001</v>
      </c>
      <c r="X5808">
        <v>0.96591740000000004</v>
      </c>
      <c r="Y5808">
        <v>-3.7928740000000002E-2</v>
      </c>
      <c r="Z5808">
        <v>-1.0164680000000001E-2</v>
      </c>
      <c r="AA5808">
        <v>0.99922880000000003</v>
      </c>
      <c r="AB5808">
        <v>27</v>
      </c>
      <c r="AC5808">
        <v>132.68450000000001</v>
      </c>
      <c r="AD5808">
        <v>18.358803000000002</v>
      </c>
      <c r="AE5808">
        <v>-1.85701</v>
      </c>
      <c r="AF5808">
        <v>-5.0615765904894499</v>
      </c>
      <c r="AG5808">
        <v>18.358803000000002</v>
      </c>
      <c r="AH5808">
        <v>130.10682494503101</v>
      </c>
      <c r="AI5808">
        <v>81.974261796427101</v>
      </c>
      <c r="AJ5808">
        <v>92.227867787289398</v>
      </c>
      <c r="AK5808">
        <v>131.49315990746899</v>
      </c>
      <c r="AL5808">
        <v>77.529395572848301</v>
      </c>
      <c r="AM5808">
        <v>98.4060098688349</v>
      </c>
      <c r="AN5808">
        <v>1.00000001266464</v>
      </c>
    </row>
    <row r="5809" spans="1:40" x14ac:dyDescent="0.25">
      <c r="A5809" t="str">
        <f>"20190304155217960"</f>
        <v>20190304155217960</v>
      </c>
      <c r="B5809" t="str">
        <f>"1551685937952826"</f>
        <v>1551685937952826</v>
      </c>
      <c r="C5809" t="s">
        <v>40</v>
      </c>
      <c r="D5809">
        <v>4.7347260000000002</v>
      </c>
      <c r="E5809">
        <v>0.58858219999999895</v>
      </c>
      <c r="F5809" t="s">
        <v>96</v>
      </c>
      <c r="G5809">
        <v>-279.55990000000003</v>
      </c>
      <c r="H5809">
        <v>4.9614390000000004</v>
      </c>
      <c r="I5809">
        <v>4.1637459999999997</v>
      </c>
      <c r="J5809">
        <v>-373.60359999999997</v>
      </c>
      <c r="K5809">
        <v>1.110886</v>
      </c>
      <c r="L5809">
        <v>17.197329999999901</v>
      </c>
      <c r="M5809">
        <v>0.99860119999999997</v>
      </c>
      <c r="N5809">
        <v>-8.6477269999999992E-3</v>
      </c>
      <c r="O5809">
        <v>-5.216312E-2</v>
      </c>
      <c r="P5809">
        <v>0.97393359999999995</v>
      </c>
      <c r="Q5809">
        <v>0.2078467</v>
      </c>
      <c r="R5809">
        <v>9.0847999999999998E-2</v>
      </c>
      <c r="S5809">
        <v>3.0932919999999999</v>
      </c>
      <c r="T5809">
        <v>0.1264497</v>
      </c>
      <c r="U5809">
        <v>-0.4282532</v>
      </c>
      <c r="V5809">
        <v>-0.14200170000000001</v>
      </c>
      <c r="W5809">
        <v>0.2158987</v>
      </c>
      <c r="X5809">
        <v>0.96603479999999997</v>
      </c>
      <c r="Y5809">
        <v>8.5286650000000006E-2</v>
      </c>
      <c r="Z5809">
        <v>-1.204465E-3</v>
      </c>
      <c r="AA5809">
        <v>0.99635569999999896</v>
      </c>
      <c r="AB5809">
        <v>27</v>
      </c>
      <c r="AC5809">
        <v>94.043699999999902</v>
      </c>
      <c r="AD5809">
        <v>3.8505530000000001</v>
      </c>
      <c r="AE5809">
        <v>-13.0335839999999</v>
      </c>
      <c r="AF5809">
        <v>8.0967247022737503</v>
      </c>
      <c r="AG5809">
        <v>3.8505530000000001</v>
      </c>
      <c r="AH5809">
        <v>94.440215781018907</v>
      </c>
      <c r="AI5809">
        <v>87.673731823679702</v>
      </c>
      <c r="AJ5809">
        <v>85.099793924250406</v>
      </c>
      <c r="AK5809">
        <v>94.864841042799597</v>
      </c>
      <c r="AL5809">
        <v>77.531742397179798</v>
      </c>
      <c r="AM5809">
        <v>98.362272694268</v>
      </c>
      <c r="AN5809">
        <v>0.99999998313780902</v>
      </c>
    </row>
    <row r="5810" spans="1:40" x14ac:dyDescent="0.25">
      <c r="A5810" t="str">
        <f>"20190304155217974"</f>
        <v>20190304155217974</v>
      </c>
      <c r="B5810" t="str">
        <f>"1551685937972346"</f>
        <v>1551685937972346</v>
      </c>
      <c r="C5810" t="s">
        <v>40</v>
      </c>
      <c r="D5810">
        <v>4.6852150000000004</v>
      </c>
      <c r="E5810">
        <v>0.58997980000000005</v>
      </c>
      <c r="F5810" t="s">
        <v>96</v>
      </c>
      <c r="G5810">
        <v>-279.33690000000001</v>
      </c>
      <c r="H5810">
        <v>5.5266780000000004</v>
      </c>
      <c r="I5810">
        <v>3.8865219999999998</v>
      </c>
      <c r="J5810">
        <v>-373.43810000000002</v>
      </c>
      <c r="K5810">
        <v>1.1108910000000001</v>
      </c>
      <c r="L5810">
        <v>17.189450000000001</v>
      </c>
      <c r="M5810">
        <v>0.99864039999999998</v>
      </c>
      <c r="N5810">
        <v>-8.6526959999999997E-3</v>
      </c>
      <c r="O5810">
        <v>-5.1407939999999999E-2</v>
      </c>
      <c r="P5810">
        <v>0.97396609999999995</v>
      </c>
      <c r="Q5810">
        <v>0.2076432</v>
      </c>
      <c r="R5810">
        <v>9.0964219999999998E-2</v>
      </c>
      <c r="S5810">
        <v>3.0901489999999998</v>
      </c>
      <c r="T5810">
        <v>0.14475370000000001</v>
      </c>
      <c r="U5810">
        <v>-0.43634030000000001</v>
      </c>
      <c r="V5810">
        <v>-0.1413884</v>
      </c>
      <c r="W5810">
        <v>0.21570220000000001</v>
      </c>
      <c r="X5810">
        <v>0.96616860000000004</v>
      </c>
      <c r="Y5810">
        <v>8.8727E-2</v>
      </c>
      <c r="Z5810">
        <v>-1.1540599999999999E-3</v>
      </c>
      <c r="AA5810">
        <v>0.99605529999999998</v>
      </c>
      <c r="AB5810">
        <v>27</v>
      </c>
      <c r="AC5810">
        <v>94.101200000000006</v>
      </c>
      <c r="AD5810">
        <v>4.4157869999999999</v>
      </c>
      <c r="AE5810">
        <v>-13.302928</v>
      </c>
      <c r="AF5810">
        <v>8.4294092575990707</v>
      </c>
      <c r="AG5810">
        <v>4.4157869999999999</v>
      </c>
      <c r="AH5810">
        <v>94.456743392726906</v>
      </c>
      <c r="AI5810">
        <v>87.333990499484599</v>
      </c>
      <c r="AJ5810">
        <v>84.900379432081095</v>
      </c>
      <c r="AK5810">
        <v>94.934874980804295</v>
      </c>
      <c r="AL5810">
        <v>77.5432721699936</v>
      </c>
      <c r="AM5810">
        <v>98.325526849495304</v>
      </c>
      <c r="AN5810">
        <v>0.99999994118267799</v>
      </c>
    </row>
    <row r="5811" spans="1:40" x14ac:dyDescent="0.25">
      <c r="A5811" t="str">
        <f>"20190304155217992"</f>
        <v>20190304155217992</v>
      </c>
      <c r="B5811" t="str">
        <f>"1551685937983082"</f>
        <v>1551685937983082</v>
      </c>
      <c r="C5811" t="s">
        <v>40</v>
      </c>
      <c r="D5811">
        <v>4.7355090000000004</v>
      </c>
      <c r="E5811">
        <v>0.59014949999999999</v>
      </c>
      <c r="F5811" t="s">
        <v>96</v>
      </c>
      <c r="G5811">
        <v>-279.02</v>
      </c>
      <c r="H5811">
        <v>5.7823949999999904</v>
      </c>
      <c r="I5811">
        <v>3.5347330000000001</v>
      </c>
      <c r="J5811">
        <v>-373.22</v>
      </c>
      <c r="K5811">
        <v>1.110894</v>
      </c>
      <c r="L5811">
        <v>17.179259999999999</v>
      </c>
      <c r="M5811">
        <v>0.99869079999999999</v>
      </c>
      <c r="N5811">
        <v>-8.6642339999999998E-3</v>
      </c>
      <c r="O5811">
        <v>-5.0412819999999997E-2</v>
      </c>
      <c r="P5811">
        <v>0.97394429999999999</v>
      </c>
      <c r="Q5811">
        <v>0.2079259</v>
      </c>
      <c r="R5811">
        <v>9.0551800000000002E-2</v>
      </c>
      <c r="S5811">
        <v>3.0893250000000001</v>
      </c>
      <c r="T5811">
        <v>0.15284990000000001</v>
      </c>
      <c r="U5811">
        <v>-0.44677729999999999</v>
      </c>
      <c r="V5811">
        <v>-0.14001329999999901</v>
      </c>
      <c r="W5811">
        <v>0.2159992</v>
      </c>
      <c r="X5811">
        <v>0.96630260000000001</v>
      </c>
      <c r="Y5811">
        <v>9.3044859999999993E-2</v>
      </c>
      <c r="Z5811">
        <v>-1.028478E-3</v>
      </c>
      <c r="AA5811">
        <v>0.99566140000000003</v>
      </c>
      <c r="AB5811">
        <v>27</v>
      </c>
      <c r="AC5811">
        <v>94.2</v>
      </c>
      <c r="AD5811">
        <v>4.6715009999999904</v>
      </c>
      <c r="AE5811">
        <v>-13.644526999999901</v>
      </c>
      <c r="AF5811">
        <v>8.8567760595945799</v>
      </c>
      <c r="AG5811">
        <v>4.6715009999999904</v>
      </c>
      <c r="AH5811">
        <v>94.540372250839198</v>
      </c>
      <c r="AI5811">
        <v>87.183470568969796</v>
      </c>
      <c r="AJ5811">
        <v>84.648010171166504</v>
      </c>
      <c r="AK5811">
        <v>95.069171601997496</v>
      </c>
      <c r="AL5811">
        <v>77.525845825902294</v>
      </c>
      <c r="AM5811">
        <v>98.244546349982201</v>
      </c>
      <c r="AN5811">
        <v>1.0000000466721399</v>
      </c>
    </row>
    <row r="5812" spans="1:40" x14ac:dyDescent="0.25">
      <c r="A5812" t="str">
        <f>"20190304155218004"</f>
        <v>20190304155218004</v>
      </c>
      <c r="B5812" t="str">
        <f>"1551685937992842"</f>
        <v>1551685937992842</v>
      </c>
      <c r="C5812" t="s">
        <v>40</v>
      </c>
      <c r="D5812">
        <v>4.8248509999999998</v>
      </c>
      <c r="E5812">
        <v>0.58954110000000004</v>
      </c>
      <c r="F5812" t="s">
        <v>96</v>
      </c>
      <c r="G5812">
        <v>-279.02</v>
      </c>
      <c r="H5812">
        <v>5.9248089999999998</v>
      </c>
      <c r="I5812">
        <v>3.4755739999999999</v>
      </c>
      <c r="J5812">
        <v>-373.06639999999999</v>
      </c>
      <c r="K5812">
        <v>1.1109</v>
      </c>
      <c r="L5812">
        <v>17.172179999999901</v>
      </c>
      <c r="M5812">
        <v>0.9987258</v>
      </c>
      <c r="N5812">
        <v>-8.6781949999999997E-3</v>
      </c>
      <c r="O5812">
        <v>-4.9712739999999998E-2</v>
      </c>
      <c r="P5812">
        <v>0.97388770000000002</v>
      </c>
      <c r="Q5812">
        <v>0.20807220000000001</v>
      </c>
      <c r="R5812">
        <v>9.082258E-2</v>
      </c>
      <c r="S5812">
        <v>3.0883790000000002</v>
      </c>
      <c r="T5812">
        <v>0.15782579999999999</v>
      </c>
      <c r="U5812">
        <v>-0.44927980000000001</v>
      </c>
      <c r="V5812">
        <v>-0.1396037</v>
      </c>
      <c r="W5812">
        <v>0.2161594</v>
      </c>
      <c r="X5812">
        <v>0.96632600000000002</v>
      </c>
      <c r="Y5812">
        <v>9.4571230000000006E-2</v>
      </c>
      <c r="Z5812">
        <v>-9.6235120000000003E-4</v>
      </c>
      <c r="AA5812">
        <v>0.9955176</v>
      </c>
      <c r="AB5812">
        <v>27</v>
      </c>
      <c r="AC5812">
        <v>94.046400000000006</v>
      </c>
      <c r="AD5812">
        <v>4.8139089999999998</v>
      </c>
      <c r="AE5812">
        <v>-13.6966059999999</v>
      </c>
      <c r="AF5812">
        <v>8.9811466861059195</v>
      </c>
      <c r="AG5812">
        <v>4.8139089999999998</v>
      </c>
      <c r="AH5812">
        <v>94.368912739641502</v>
      </c>
      <c r="AI5812">
        <v>87.092895086118901</v>
      </c>
      <c r="AJ5812">
        <v>84.563500039723095</v>
      </c>
      <c r="AK5812">
        <v>94.917471559875096</v>
      </c>
      <c r="AL5812">
        <v>77.516444473759407</v>
      </c>
      <c r="AM5812">
        <v>98.220561231280399</v>
      </c>
      <c r="AN5812">
        <v>1.00000000876902</v>
      </c>
    </row>
    <row r="5813" spans="1:40" x14ac:dyDescent="0.25">
      <c r="A5813" t="str">
        <f>"20190304155218018"</f>
        <v>20190304155218018</v>
      </c>
      <c r="B5813" t="str">
        <f>"1551685938012362"</f>
        <v>1551685938012362</v>
      </c>
      <c r="C5813" t="s">
        <v>40</v>
      </c>
      <c r="D5813">
        <v>4.7485140000000001</v>
      </c>
      <c r="E5813">
        <v>0.58943630000000002</v>
      </c>
      <c r="F5813" t="s">
        <v>96</v>
      </c>
      <c r="G5813">
        <v>-279.33690000000001</v>
      </c>
      <c r="H5813">
        <v>5.9077529999999996</v>
      </c>
      <c r="I5813">
        <v>3.7133080000000001</v>
      </c>
      <c r="J5813">
        <v>-372.91239999999999</v>
      </c>
      <c r="K5813">
        <v>1.1109059999999999</v>
      </c>
      <c r="L5813">
        <v>17.16525</v>
      </c>
      <c r="M5813">
        <v>0.99876050000000005</v>
      </c>
      <c r="N5813">
        <v>-8.7006280000000002E-3</v>
      </c>
      <c r="O5813">
        <v>-4.9010779999999997E-2</v>
      </c>
      <c r="P5813">
        <v>0.97384309999999996</v>
      </c>
      <c r="Q5813">
        <v>0.20821729999999999</v>
      </c>
      <c r="R5813">
        <v>9.0969850000000005E-2</v>
      </c>
      <c r="S5813">
        <v>3.0880429999999999</v>
      </c>
      <c r="T5813">
        <v>0.1580387</v>
      </c>
      <c r="U5813">
        <v>-0.44342039999999999</v>
      </c>
      <c r="V5813">
        <v>-0.1390699</v>
      </c>
      <c r="W5813">
        <v>0.21632699999999999</v>
      </c>
      <c r="X5813">
        <v>0.96636549999999999</v>
      </c>
      <c r="Y5813">
        <v>9.3435969999999993E-2</v>
      </c>
      <c r="Z5813">
        <v>-9.4695019999999997E-4</v>
      </c>
      <c r="AA5813">
        <v>0.99562479999999998</v>
      </c>
      <c r="AB5813">
        <v>27</v>
      </c>
      <c r="AC5813">
        <v>93.575499999999906</v>
      </c>
      <c r="AD5813">
        <v>4.7968469999999996</v>
      </c>
      <c r="AE5813">
        <v>-13.451942000000001</v>
      </c>
      <c r="AF5813">
        <v>8.8266688942114992</v>
      </c>
      <c r="AG5813">
        <v>4.7968469999999996</v>
      </c>
      <c r="AH5813">
        <v>93.880650242386096</v>
      </c>
      <c r="AI5813">
        <v>87.0878274653044</v>
      </c>
      <c r="AJ5813">
        <v>84.628834117385694</v>
      </c>
      <c r="AK5813">
        <v>94.416610375731494</v>
      </c>
      <c r="AL5813">
        <v>77.506609433758598</v>
      </c>
      <c r="AM5813">
        <v>98.189225398673301</v>
      </c>
      <c r="AN5813">
        <v>1.00000004380262</v>
      </c>
    </row>
    <row r="5814" spans="1:40" x14ac:dyDescent="0.25">
      <c r="A5814" t="str">
        <f>"20190304155218036"</f>
        <v>20190304155218036</v>
      </c>
      <c r="B5814" t="str">
        <f>"1551685938032858"</f>
        <v>1551685938032858</v>
      </c>
      <c r="C5814" t="s">
        <v>40</v>
      </c>
      <c r="D5814">
        <v>4.6782890000000004</v>
      </c>
      <c r="E5814">
        <v>0.58912469999999995</v>
      </c>
      <c r="F5814" t="s">
        <v>96</v>
      </c>
      <c r="G5814">
        <v>-279.33690000000001</v>
      </c>
      <c r="H5814">
        <v>6.4354519999999997</v>
      </c>
      <c r="I5814">
        <v>3.7539500000000001</v>
      </c>
      <c r="J5814">
        <v>-372.67829999999998</v>
      </c>
      <c r="K5814">
        <v>1.1109230000000001</v>
      </c>
      <c r="L5814">
        <v>17.154910000000001</v>
      </c>
      <c r="M5814">
        <v>0.99881180000000003</v>
      </c>
      <c r="N5814">
        <v>-8.7499559999999997E-3</v>
      </c>
      <c r="O5814">
        <v>-4.7944590000000002E-2</v>
      </c>
      <c r="P5814">
        <v>0.97382349999999995</v>
      </c>
      <c r="Q5814">
        <v>0.208424</v>
      </c>
      <c r="R5814">
        <v>9.0704519999999997E-2</v>
      </c>
      <c r="S5814">
        <v>3.08432</v>
      </c>
      <c r="T5814">
        <v>0.1755012</v>
      </c>
      <c r="U5814">
        <v>-0.44204710000000003</v>
      </c>
      <c r="V5814">
        <v>-0.1377719</v>
      </c>
      <c r="W5814">
        <v>0.21658440000000001</v>
      </c>
      <c r="X5814">
        <v>0.96649370000000001</v>
      </c>
      <c r="Y5814">
        <v>9.4221730000000004E-2</v>
      </c>
      <c r="Z5814">
        <v>-8.7614989999999998E-4</v>
      </c>
      <c r="AA5814">
        <v>0.99555090000000002</v>
      </c>
      <c r="AB5814">
        <v>28</v>
      </c>
      <c r="AC5814">
        <v>93.341399999999894</v>
      </c>
      <c r="AD5814">
        <v>5.3245290000000001</v>
      </c>
      <c r="AE5814">
        <v>-13.40096</v>
      </c>
      <c r="AF5814">
        <v>8.8818441918135704</v>
      </c>
      <c r="AG5814">
        <v>5.3245290000000001</v>
      </c>
      <c r="AH5814">
        <v>93.578225711124404</v>
      </c>
      <c r="AI5814">
        <v>86.757964685760797</v>
      </c>
      <c r="AJ5814">
        <v>84.578094888793004</v>
      </c>
      <c r="AK5814">
        <v>94.149466767271903</v>
      </c>
      <c r="AL5814">
        <v>77.491502631136797</v>
      </c>
      <c r="AM5814">
        <v>98.112752340900798</v>
      </c>
      <c r="AN5814">
        <v>0.99999998544632995</v>
      </c>
    </row>
    <row r="5815" spans="1:40" x14ac:dyDescent="0.25">
      <c r="A5815" t="str">
        <f>"20190304155218050"</f>
        <v>20190304155218050</v>
      </c>
      <c r="B5815" t="str">
        <f>"1551685938042618"</f>
        <v>1551685938042618</v>
      </c>
      <c r="C5815" t="s">
        <v>40</v>
      </c>
      <c r="D5815">
        <v>4.6707229999999997</v>
      </c>
      <c r="E5815">
        <v>0.5893079</v>
      </c>
      <c r="F5815" t="s">
        <v>96</v>
      </c>
      <c r="G5815">
        <v>-279.33690000000001</v>
      </c>
      <c r="H5815">
        <v>6.7777190000000003</v>
      </c>
      <c r="I5815">
        <v>3.8191030000000001</v>
      </c>
      <c r="J5815">
        <v>-372.50909999999999</v>
      </c>
      <c r="K5815">
        <v>1.1109370000000001</v>
      </c>
      <c r="L5815">
        <v>17.147549999999999</v>
      </c>
      <c r="M5815">
        <v>0.99884790000000001</v>
      </c>
      <c r="N5815">
        <v>-8.7983639999999995E-3</v>
      </c>
      <c r="O5815">
        <v>-4.7174519999999998E-2</v>
      </c>
      <c r="P5815">
        <v>0.97386039999999996</v>
      </c>
      <c r="Q5815">
        <v>0.2081075</v>
      </c>
      <c r="R5815">
        <v>9.1032699999999994E-2</v>
      </c>
      <c r="S5815">
        <v>3.0816349999999999</v>
      </c>
      <c r="T5815">
        <v>0.18708739999999999</v>
      </c>
      <c r="U5815">
        <v>-0.44027709999999998</v>
      </c>
      <c r="V5815">
        <v>-0.1373558</v>
      </c>
      <c r="W5815">
        <v>0.21631529999999999</v>
      </c>
      <c r="X5815">
        <v>0.96661319999999995</v>
      </c>
      <c r="Y5815">
        <v>9.4541710000000001E-2</v>
      </c>
      <c r="Z5815">
        <v>-8.2235289999999905E-4</v>
      </c>
      <c r="AA5815">
        <v>0.99552059999999998</v>
      </c>
      <c r="AB5815">
        <v>28</v>
      </c>
      <c r="AC5815">
        <v>93.172199999999904</v>
      </c>
      <c r="AD5815">
        <v>5.6667819999999898</v>
      </c>
      <c r="AE5815">
        <v>-13.328447000000001</v>
      </c>
      <c r="AF5815">
        <v>8.8858718946810296</v>
      </c>
      <c r="AG5815">
        <v>5.6667819999999898</v>
      </c>
      <c r="AH5815">
        <v>93.358825691529802</v>
      </c>
      <c r="AI5815">
        <v>86.542058085105396</v>
      </c>
      <c r="AJ5815">
        <v>84.562979533134495</v>
      </c>
      <c r="AK5815">
        <v>93.951803985158506</v>
      </c>
      <c r="AL5815">
        <v>77.507295516310194</v>
      </c>
      <c r="AM5815">
        <v>98.087588121425</v>
      </c>
      <c r="AN5815">
        <v>1.00000000161098</v>
      </c>
    </row>
    <row r="5816" spans="1:40" x14ac:dyDescent="0.25">
      <c r="A5816" t="str">
        <f>"20190304155218069"</f>
        <v>20190304155218069</v>
      </c>
      <c r="B5816" t="str">
        <f>"1551685938063114"</f>
        <v>1551685938063114</v>
      </c>
      <c r="C5816" t="s">
        <v>40</v>
      </c>
      <c r="D5816">
        <v>4.6809529999999997</v>
      </c>
      <c r="E5816">
        <v>0.58919549999999998</v>
      </c>
      <c r="F5816" t="s">
        <v>96</v>
      </c>
      <c r="G5816">
        <v>-279.33690000000001</v>
      </c>
      <c r="H5816">
        <v>6.6365949999999998</v>
      </c>
      <c r="I5816">
        <v>3.822756</v>
      </c>
      <c r="J5816">
        <v>-372.26229999999998</v>
      </c>
      <c r="K5816">
        <v>1.110962</v>
      </c>
      <c r="L5816">
        <v>17.137079999999902</v>
      </c>
      <c r="M5816">
        <v>0.99889950000000005</v>
      </c>
      <c r="N5816">
        <v>-8.8907759999999995E-3</v>
      </c>
      <c r="O5816">
        <v>-4.6052320000000001E-2</v>
      </c>
      <c r="P5816">
        <v>0.97391309999999998</v>
      </c>
      <c r="Q5816">
        <v>0.2076634</v>
      </c>
      <c r="R5816">
        <v>9.1483469999999997E-2</v>
      </c>
      <c r="S5816">
        <v>3.0826419999999999</v>
      </c>
      <c r="T5816">
        <v>0.18281890000000001</v>
      </c>
      <c r="U5816">
        <v>-0.4408569</v>
      </c>
      <c r="V5816">
        <v>-0.13672190000000001</v>
      </c>
      <c r="W5816">
        <v>0.2159624</v>
      </c>
      <c r="X5816">
        <v>0.96678200000000003</v>
      </c>
      <c r="Y5816">
        <v>9.5796900000000004E-2</v>
      </c>
      <c r="Z5816">
        <v>-7.2396709999999998E-4</v>
      </c>
      <c r="AA5816">
        <v>0.99540070000000003</v>
      </c>
      <c r="AB5816">
        <v>28</v>
      </c>
      <c r="AC5816">
        <v>92.925399999999897</v>
      </c>
      <c r="AD5816">
        <v>5.525633</v>
      </c>
      <c r="AE5816">
        <v>-13.3143239999999</v>
      </c>
      <c r="AF5816">
        <v>8.9894514750372494</v>
      </c>
      <c r="AG5816">
        <v>5.525633</v>
      </c>
      <c r="AH5816">
        <v>93.117353985145101</v>
      </c>
      <c r="AI5816">
        <v>86.619699096469503</v>
      </c>
      <c r="AJ5816">
        <v>84.485813618161501</v>
      </c>
      <c r="AK5816">
        <v>93.713309999527596</v>
      </c>
      <c r="AL5816">
        <v>77.528005141441696</v>
      </c>
      <c r="AM5816">
        <v>98.049366944950194</v>
      </c>
      <c r="AN5816">
        <v>1.00000003583868</v>
      </c>
    </row>
    <row r="5817" spans="1:40" x14ac:dyDescent="0.25">
      <c r="A5817" t="str">
        <f>"20190304155218082"</f>
        <v>20190304155218082</v>
      </c>
      <c r="B5817" t="str">
        <f>"1551685938072874"</f>
        <v>1551685938072874</v>
      </c>
      <c r="C5817" t="s">
        <v>40</v>
      </c>
      <c r="D5817">
        <v>4.6671300000000002</v>
      </c>
      <c r="E5817">
        <v>0.58923539999999996</v>
      </c>
      <c r="F5817" t="s">
        <v>96</v>
      </c>
      <c r="G5817">
        <v>-279.33690000000001</v>
      </c>
      <c r="H5817">
        <v>6.3631890000000002</v>
      </c>
      <c r="I5817">
        <v>3.9086569999999998</v>
      </c>
      <c r="J5817">
        <v>-372.1028</v>
      </c>
      <c r="K5817">
        <v>1.1109770000000001</v>
      </c>
      <c r="L5817">
        <v>17.130459999999999</v>
      </c>
      <c r="M5817">
        <v>0.99893200000000004</v>
      </c>
      <c r="N5817">
        <v>-8.9626199999999993E-3</v>
      </c>
      <c r="O5817">
        <v>-4.5327739999999998E-2</v>
      </c>
      <c r="P5817">
        <v>0.97389320000000001</v>
      </c>
      <c r="Q5817">
        <v>0.20750080000000001</v>
      </c>
      <c r="R5817">
        <v>9.2061850000000001E-2</v>
      </c>
      <c r="S5817">
        <v>3.0844420000000001</v>
      </c>
      <c r="T5817">
        <v>0.1743355</v>
      </c>
      <c r="U5817">
        <v>-0.4390869</v>
      </c>
      <c r="V5817">
        <v>-0.136598</v>
      </c>
      <c r="W5817">
        <v>0.21586929999999999</v>
      </c>
      <c r="X5817">
        <v>0.96682020000000002</v>
      </c>
      <c r="Y5817">
        <v>9.5881960000000002E-2</v>
      </c>
      <c r="Z5817">
        <v>-6.8687000000000002E-4</v>
      </c>
      <c r="AA5817">
        <v>0.99539250000000001</v>
      </c>
      <c r="AB5817">
        <v>28</v>
      </c>
      <c r="AC5817">
        <v>92.765900000000002</v>
      </c>
      <c r="AD5817">
        <v>5.2522120000000001</v>
      </c>
      <c r="AE5817">
        <v>-13.221803</v>
      </c>
      <c r="AF5817">
        <v>8.9749775289461802</v>
      </c>
      <c r="AG5817">
        <v>5.2522120000000001</v>
      </c>
      <c r="AH5817">
        <v>92.977768916706395</v>
      </c>
      <c r="AI5817">
        <v>86.781787169059797</v>
      </c>
      <c r="AJ5817">
        <v>84.486423274548002</v>
      </c>
      <c r="AK5817">
        <v>93.557476800448697</v>
      </c>
      <c r="AL5817">
        <v>77.533466948363198</v>
      </c>
      <c r="AM5817">
        <v>98.041854331949295</v>
      </c>
      <c r="AN5817">
        <v>0.99999993370726203</v>
      </c>
    </row>
    <row r="5818" spans="1:40" x14ac:dyDescent="0.25">
      <c r="A5818" t="str">
        <f>"20190304155218105"</f>
        <v>20190304155218105</v>
      </c>
      <c r="B5818" t="str">
        <f>"1551685938092394"</f>
        <v>1551685938092394</v>
      </c>
      <c r="C5818" t="s">
        <v>40</v>
      </c>
      <c r="D5818">
        <v>4.6900149999999998</v>
      </c>
      <c r="E5818">
        <v>0.58969680000000002</v>
      </c>
      <c r="F5818" t="s">
        <v>96</v>
      </c>
      <c r="G5818">
        <v>-279.33690000000001</v>
      </c>
      <c r="H5818">
        <v>6.2804609999999998</v>
      </c>
      <c r="I5818">
        <v>3.9644469999999998</v>
      </c>
      <c r="J5818">
        <v>-371.8347</v>
      </c>
      <c r="K5818">
        <v>1.1110059999999999</v>
      </c>
      <c r="L5818">
        <v>17.119629999999901</v>
      </c>
      <c r="M5818">
        <v>0.99898529999999996</v>
      </c>
      <c r="N5818">
        <v>-9.0980469999999997E-3</v>
      </c>
      <c r="O5818">
        <v>-4.4110080000000003E-2</v>
      </c>
      <c r="P5818">
        <v>0.97401490000000002</v>
      </c>
      <c r="Q5818">
        <v>0.2067148</v>
      </c>
      <c r="R5818">
        <v>9.2541830000000005E-2</v>
      </c>
      <c r="S5818">
        <v>3.0851440000000001</v>
      </c>
      <c r="T5818">
        <v>0.1719232</v>
      </c>
      <c r="U5818">
        <v>-0.43786619999999998</v>
      </c>
      <c r="V5818">
        <v>-0.13590260000000001</v>
      </c>
      <c r="W5818">
        <v>0.21521650000000001</v>
      </c>
      <c r="X5818">
        <v>0.96706380000000003</v>
      </c>
      <c r="Y5818">
        <v>9.6676310000000001E-2</v>
      </c>
      <c r="Z5818">
        <v>-6.0488800000000004E-4</v>
      </c>
      <c r="AA5818">
        <v>0.99531570000000003</v>
      </c>
      <c r="AB5818">
        <v>28</v>
      </c>
      <c r="AC5818">
        <v>92.497799999999899</v>
      </c>
      <c r="AD5818">
        <v>5.1694550000000001</v>
      </c>
      <c r="AE5818">
        <v>-13.1551829999999</v>
      </c>
      <c r="AF5818">
        <v>9.0344649371434205</v>
      </c>
      <c r="AG5818">
        <v>5.1694550000000001</v>
      </c>
      <c r="AH5818">
        <v>92.704251236011601</v>
      </c>
      <c r="AI5818">
        <v>86.823346704238602</v>
      </c>
      <c r="AJ5818">
        <v>84.433834025119694</v>
      </c>
      <c r="AK5818">
        <v>93.286778371466198</v>
      </c>
      <c r="AL5818">
        <v>77.571771137582402</v>
      </c>
      <c r="AM5818">
        <v>97.999456555335101</v>
      </c>
      <c r="AN5818">
        <v>1.0000000259147199</v>
      </c>
    </row>
    <row r="5819" spans="1:40" x14ac:dyDescent="0.25">
      <c r="A5819" t="str">
        <f>"20190304155218126"</f>
        <v>20190304155218126</v>
      </c>
      <c r="B5819" t="str">
        <f>"1551685938122651"</f>
        <v>1551685938122651</v>
      </c>
      <c r="C5819" t="s">
        <v>40</v>
      </c>
      <c r="D5819">
        <v>4.7159199999999997</v>
      </c>
      <c r="E5819">
        <v>0.58992959999999905</v>
      </c>
      <c r="F5819" t="s">
        <v>96</v>
      </c>
      <c r="G5819">
        <v>-279.33690000000001</v>
      </c>
      <c r="H5819">
        <v>6.1260430000000001</v>
      </c>
      <c r="I5819">
        <v>3.9199009999999999</v>
      </c>
      <c r="J5819">
        <v>-371.5736</v>
      </c>
      <c r="K5819">
        <v>1.1110359999999999</v>
      </c>
      <c r="L5819">
        <v>17.10934</v>
      </c>
      <c r="M5819">
        <v>0.99903560000000002</v>
      </c>
      <c r="N5819">
        <v>-9.2542319999999994E-3</v>
      </c>
      <c r="O5819">
        <v>-4.292456E-2</v>
      </c>
      <c r="P5819">
        <v>0.97417860000000001</v>
      </c>
      <c r="Q5819">
        <v>0.2059405</v>
      </c>
      <c r="R5819">
        <v>9.2546149999999994E-2</v>
      </c>
      <c r="S5819">
        <v>3.0863339999999999</v>
      </c>
      <c r="T5819">
        <v>0.1673346</v>
      </c>
      <c r="U5819">
        <v>-0.44042969999999998</v>
      </c>
      <c r="V5819">
        <v>-0.13476469999999999</v>
      </c>
      <c r="W5819">
        <v>0.2145976</v>
      </c>
      <c r="X5819">
        <v>0.96736049999999996</v>
      </c>
      <c r="Y5819">
        <v>9.8613290000000006E-2</v>
      </c>
      <c r="Z5819">
        <v>-5.0785299999999995E-4</v>
      </c>
      <c r="AA5819">
        <v>0.9951257</v>
      </c>
      <c r="AB5819">
        <v>28</v>
      </c>
      <c r="AC5819">
        <v>92.2366999999999</v>
      </c>
      <c r="AD5819">
        <v>5.0150069999999998</v>
      </c>
      <c r="AE5819">
        <v>-13.189439</v>
      </c>
      <c r="AF5819">
        <v>9.1912658620167402</v>
      </c>
      <c r="AG5819">
        <v>5.0150069999999998</v>
      </c>
      <c r="AH5819">
        <v>92.450029245931901</v>
      </c>
      <c r="AI5819">
        <v>86.910202078070299</v>
      </c>
      <c r="AJ5819">
        <v>84.322382490497304</v>
      </c>
      <c r="AK5819">
        <v>93.041053148220399</v>
      </c>
      <c r="AL5819">
        <v>77.608079485301502</v>
      </c>
      <c r="AM5819">
        <v>97.930931891553399</v>
      </c>
      <c r="AN5819">
        <v>0.99999999562604902</v>
      </c>
    </row>
    <row r="5820" spans="1:40" x14ac:dyDescent="0.25">
      <c r="A5820" t="str">
        <f>"20190304155218138"</f>
        <v>20190304155218138</v>
      </c>
      <c r="B5820" t="str">
        <f>"1551685938132411"</f>
        <v>1551685938132411</v>
      </c>
      <c r="C5820" t="s">
        <v>40</v>
      </c>
      <c r="D5820">
        <v>4.7117269999999998</v>
      </c>
      <c r="E5820">
        <v>0.59027499999999999</v>
      </c>
      <c r="F5820" t="s">
        <v>96</v>
      </c>
      <c r="G5820">
        <v>-279.33690000000001</v>
      </c>
      <c r="H5820">
        <v>6.0479669999999999</v>
      </c>
      <c r="I5820">
        <v>3.8887689999999999</v>
      </c>
      <c r="J5820">
        <v>-371.41739999999999</v>
      </c>
      <c r="K5820">
        <v>1.111057</v>
      </c>
      <c r="L5820">
        <v>17.103390000000001</v>
      </c>
      <c r="M5820">
        <v>0.99906479999999998</v>
      </c>
      <c r="N5820">
        <v>-9.3651169999999992E-3</v>
      </c>
      <c r="O5820">
        <v>-4.2215750000000003E-2</v>
      </c>
      <c r="P5820">
        <v>0.97425539999999999</v>
      </c>
      <c r="Q5820">
        <v>0.20554069999999999</v>
      </c>
      <c r="R5820">
        <v>9.2627000000000001E-2</v>
      </c>
      <c r="S5820">
        <v>3.0866090000000002</v>
      </c>
      <c r="T5820">
        <v>0.16520950000000001</v>
      </c>
      <c r="U5820">
        <v>-0.44241330000000001</v>
      </c>
      <c r="V5820">
        <v>-0.1341618</v>
      </c>
      <c r="W5820">
        <v>0.214307</v>
      </c>
      <c r="X5820">
        <v>0.9675087</v>
      </c>
      <c r="Y5820">
        <v>9.9932690000000005E-2</v>
      </c>
      <c r="Z5820">
        <v>-4.4937779999999999E-4</v>
      </c>
      <c r="AA5820">
        <v>0.99499409999999999</v>
      </c>
      <c r="AB5820">
        <v>28</v>
      </c>
      <c r="AC5820">
        <v>92.080499999999901</v>
      </c>
      <c r="AD5820">
        <v>4.9369100000000001</v>
      </c>
      <c r="AE5820">
        <v>-13.214620999999999</v>
      </c>
      <c r="AF5820">
        <v>9.2892583083618092</v>
      </c>
      <c r="AG5820">
        <v>4.9369100000000001</v>
      </c>
      <c r="AH5820">
        <v>92.296334612859795</v>
      </c>
      <c r="AI5820">
        <v>86.953541288805596</v>
      </c>
      <c r="AJ5820">
        <v>84.252761734243407</v>
      </c>
      <c r="AK5820">
        <v>92.893900678335996</v>
      </c>
      <c r="AL5820">
        <v>77.6251260658603</v>
      </c>
      <c r="AM5820">
        <v>97.894705380514694</v>
      </c>
      <c r="AN5820">
        <v>0.99999998170196402</v>
      </c>
    </row>
    <row r="5821" spans="1:40" x14ac:dyDescent="0.25">
      <c r="A5821" t="str">
        <f>"20190304155218159"</f>
        <v>20190304155218159</v>
      </c>
      <c r="B5821" t="str">
        <f>"1551685938152490"</f>
        <v>1551685938152490</v>
      </c>
      <c r="C5821" t="s">
        <v>40</v>
      </c>
      <c r="D5821">
        <v>4.7521990000000001</v>
      </c>
      <c r="E5821">
        <v>0.58951469999999995</v>
      </c>
      <c r="F5821" t="s">
        <v>96</v>
      </c>
      <c r="G5821">
        <v>-279.33690000000001</v>
      </c>
      <c r="H5821">
        <v>5.8669349999999998</v>
      </c>
      <c r="I5821">
        <v>3.8335900000000001</v>
      </c>
      <c r="J5821">
        <v>-371.15750000000003</v>
      </c>
      <c r="K5821">
        <v>1.1110930000000001</v>
      </c>
      <c r="L5821">
        <v>17.093689999999999</v>
      </c>
      <c r="M5821">
        <v>0.999112</v>
      </c>
      <c r="N5821">
        <v>-9.5648690000000001E-3</v>
      </c>
      <c r="O5821">
        <v>-4.1034809999999998E-2</v>
      </c>
      <c r="P5821">
        <v>0.97447760000000005</v>
      </c>
      <c r="Q5821">
        <v>0.2046636</v>
      </c>
      <c r="R5821">
        <v>9.2229179999999994E-2</v>
      </c>
      <c r="S5821">
        <v>3.087952</v>
      </c>
      <c r="T5821">
        <v>0.15948999999999999</v>
      </c>
      <c r="U5821">
        <v>-0.44500729999999999</v>
      </c>
      <c r="V5821">
        <v>-0.13262850000000001</v>
      </c>
      <c r="W5821">
        <v>0.21362919999999999</v>
      </c>
      <c r="X5821">
        <v>0.96786989999999995</v>
      </c>
      <c r="Y5821">
        <v>0.1018674</v>
      </c>
      <c r="Z5821">
        <v>-3.7020070000000002E-4</v>
      </c>
      <c r="AA5821">
        <v>0.99479790000000001</v>
      </c>
      <c r="AB5821">
        <v>28</v>
      </c>
      <c r="AC5821">
        <v>91.820599999999999</v>
      </c>
      <c r="AD5821">
        <v>4.7558420000000003</v>
      </c>
      <c r="AE5821">
        <v>-13.2600999999999</v>
      </c>
      <c r="AF5821">
        <v>9.4560675417131801</v>
      </c>
      <c r="AG5821">
        <v>4.7558420000000003</v>
      </c>
      <c r="AH5821">
        <v>92.045517264376102</v>
      </c>
      <c r="AI5821">
        <v>87.057708768323806</v>
      </c>
      <c r="AJ5821">
        <v>84.134437668318398</v>
      </c>
      <c r="AK5821">
        <v>92.652104643925696</v>
      </c>
      <c r="AL5821">
        <v>77.664881452095699</v>
      </c>
      <c r="AM5821">
        <v>97.802720317185305</v>
      </c>
      <c r="AN5821">
        <v>0.99999994871544795</v>
      </c>
    </row>
    <row r="5822" spans="1:40" x14ac:dyDescent="0.25">
      <c r="A5822" t="str">
        <f>"20190304155218172"</f>
        <v>20190304155218172</v>
      </c>
      <c r="B5822" t="str">
        <f>"1551685938163227"</f>
        <v>1551685938163227</v>
      </c>
      <c r="C5822" t="s">
        <v>40</v>
      </c>
      <c r="D5822">
        <v>5.273085</v>
      </c>
      <c r="E5822">
        <v>0.5876808</v>
      </c>
      <c r="F5822" t="s">
        <v>96</v>
      </c>
      <c r="G5822">
        <v>-279.33690000000001</v>
      </c>
      <c r="H5822">
        <v>5.6724560000000004</v>
      </c>
      <c r="I5822">
        <v>4.0031679999999996</v>
      </c>
      <c r="J5822">
        <v>-371.00319999999999</v>
      </c>
      <c r="K5822">
        <v>1.111108</v>
      </c>
      <c r="L5822">
        <v>17.088100000000001</v>
      </c>
      <c r="M5822">
        <v>0.99913940000000001</v>
      </c>
      <c r="N5822">
        <v>-9.6892469999999998E-3</v>
      </c>
      <c r="O5822">
        <v>-4.0334290000000002E-2</v>
      </c>
      <c r="P5822">
        <v>0.97457740000000004</v>
      </c>
      <c r="Q5822">
        <v>0.20417060000000001</v>
      </c>
      <c r="R5822">
        <v>9.2267760000000004E-2</v>
      </c>
      <c r="S5822">
        <v>3.0880130000000001</v>
      </c>
      <c r="T5822">
        <v>0.15340290000000001</v>
      </c>
      <c r="U5822">
        <v>-0.44024659999999899</v>
      </c>
      <c r="V5822">
        <v>-0.13199140000000001</v>
      </c>
      <c r="W5822">
        <v>0.21325939999999999</v>
      </c>
      <c r="X5822">
        <v>0.96803859999999997</v>
      </c>
      <c r="Y5822">
        <v>0.10106370000000001</v>
      </c>
      <c r="Z5822">
        <v>-3.7570060000000001E-4</v>
      </c>
      <c r="AA5822">
        <v>0.99487990000000004</v>
      </c>
      <c r="AB5822">
        <v>28</v>
      </c>
      <c r="AC5822">
        <v>91.666299999999893</v>
      </c>
      <c r="AD5822">
        <v>4.5613479999999997</v>
      </c>
      <c r="AE5822">
        <v>-13.084932</v>
      </c>
      <c r="AF5822">
        <v>9.3541157050868602</v>
      </c>
      <c r="AG5822">
        <v>4.5613479999999997</v>
      </c>
      <c r="AH5822">
        <v>91.896494527736394</v>
      </c>
      <c r="AI5822">
        <v>87.172999082833499</v>
      </c>
      <c r="AJ5822">
        <v>84.187898526984398</v>
      </c>
      <c r="AK5822">
        <v>92.483896342485195</v>
      </c>
      <c r="AL5822">
        <v>77.686570066540099</v>
      </c>
      <c r="AM5822">
        <v>97.764360442662806</v>
      </c>
      <c r="AN5822">
        <v>1.00000001622613</v>
      </c>
    </row>
    <row r="5823" spans="1:40" x14ac:dyDescent="0.25">
      <c r="A5823" t="str">
        <f>"20190304155218184"</f>
        <v>20190304155218184</v>
      </c>
      <c r="B5823" t="str">
        <f>"1551685938172987"</f>
        <v>1551685938172987</v>
      </c>
      <c r="C5823" t="s">
        <v>40</v>
      </c>
      <c r="D5823">
        <v>5.1235119999999998</v>
      </c>
      <c r="E5823">
        <v>0.5876808</v>
      </c>
      <c r="F5823" t="s">
        <v>96</v>
      </c>
      <c r="G5823">
        <v>-279.33690000000001</v>
      </c>
      <c r="H5823">
        <v>5.4132110000000004</v>
      </c>
      <c r="I5823">
        <v>4.4486999999999997</v>
      </c>
      <c r="J5823">
        <v>-370.8424</v>
      </c>
      <c r="K5823">
        <v>1.111129</v>
      </c>
      <c r="L5823">
        <v>17.082370000000001</v>
      </c>
      <c r="M5823">
        <v>0.99916729999999998</v>
      </c>
      <c r="N5823">
        <v>-9.8204720000000002E-3</v>
      </c>
      <c r="O5823">
        <v>-3.9604350000000003E-2</v>
      </c>
      <c r="P5823">
        <v>0.97467329999999996</v>
      </c>
      <c r="Q5823">
        <v>0.20376430000000001</v>
      </c>
      <c r="R5823">
        <v>9.2153990000000005E-2</v>
      </c>
      <c r="S5823">
        <v>3.088165</v>
      </c>
      <c r="T5823">
        <v>0.14493449999999999</v>
      </c>
      <c r="U5823">
        <v>-0.42581180000000002</v>
      </c>
      <c r="V5823">
        <v>-0.13117309999999999</v>
      </c>
      <c r="W5823">
        <v>0.21298310000000001</v>
      </c>
      <c r="X5823">
        <v>0.96821060000000003</v>
      </c>
      <c r="Y5823">
        <v>9.7230349999999993E-2</v>
      </c>
      <c r="Z5823">
        <v>-4.4478919999999997E-4</v>
      </c>
      <c r="AA5823">
        <v>0.99526179999999997</v>
      </c>
      <c r="AB5823">
        <v>28</v>
      </c>
      <c r="AC5823">
        <v>91.505499999999898</v>
      </c>
      <c r="AD5823">
        <v>4.3020820000000004</v>
      </c>
      <c r="AE5823">
        <v>-12.63367</v>
      </c>
      <c r="AF5823">
        <v>8.9800890505228601</v>
      </c>
      <c r="AG5823">
        <v>4.3020820000000004</v>
      </c>
      <c r="AH5823">
        <v>91.735099138289399</v>
      </c>
      <c r="AI5823">
        <v>87.327733560658501</v>
      </c>
      <c r="AJ5823">
        <v>84.409042090829303</v>
      </c>
      <c r="AK5823">
        <v>92.273930894927403</v>
      </c>
      <c r="AL5823">
        <v>77.702772622483494</v>
      </c>
      <c r="AM5823">
        <v>97.715451582031307</v>
      </c>
      <c r="AN5823">
        <v>0.99999997450078904</v>
      </c>
    </row>
    <row r="5824" spans="1:40" x14ac:dyDescent="0.25">
      <c r="A5824" t="str">
        <f>"20190304155218204"</f>
        <v>20190304155218204</v>
      </c>
      <c r="B5824" t="str">
        <f>"1551685938192506"</f>
        <v>1551685938192506</v>
      </c>
      <c r="C5824" t="s">
        <v>40</v>
      </c>
      <c r="D5824">
        <v>4.6436149999999996</v>
      </c>
      <c r="E5824">
        <v>0.54973850000000002</v>
      </c>
      <c r="F5824" t="s">
        <v>96</v>
      </c>
      <c r="G5824">
        <v>-279.33690000000001</v>
      </c>
      <c r="H5824">
        <v>5.371486</v>
      </c>
      <c r="I5824">
        <v>4.4524749999999997</v>
      </c>
      <c r="J5824">
        <v>-370.60480000000001</v>
      </c>
      <c r="K5824">
        <v>1.111157</v>
      </c>
      <c r="L5824">
        <v>17.074100000000001</v>
      </c>
      <c r="M5824">
        <v>0.99920750000000003</v>
      </c>
      <c r="N5824">
        <v>-1.001135E-2</v>
      </c>
      <c r="O5824">
        <v>-3.852585E-2</v>
      </c>
      <c r="P5824">
        <v>0.97481280000000003</v>
      </c>
      <c r="Q5824">
        <v>0.203514</v>
      </c>
      <c r="R5824">
        <v>9.1226559999999998E-2</v>
      </c>
      <c r="S5824">
        <v>3.088165</v>
      </c>
      <c r="T5824">
        <v>0.143780399999999</v>
      </c>
      <c r="U5824">
        <v>-0.42623899999999998</v>
      </c>
      <c r="V5824">
        <v>-0.1292055</v>
      </c>
      <c r="W5824">
        <v>0.21292440000000001</v>
      </c>
      <c r="X5824">
        <v>0.96848809999999996</v>
      </c>
      <c r="Y5824">
        <v>9.8438390000000001E-2</v>
      </c>
      <c r="Z5824">
        <v>-3.8249330000000002E-4</v>
      </c>
      <c r="AA5824">
        <v>0.99514309999999995</v>
      </c>
      <c r="AB5824">
        <v>28</v>
      </c>
      <c r="AC5824">
        <v>91.267899999999997</v>
      </c>
      <c r="AD5824">
        <v>4.2603289999999996</v>
      </c>
      <c r="AE5824">
        <v>-12.621625</v>
      </c>
      <c r="AF5824">
        <v>9.0764981092680195</v>
      </c>
      <c r="AG5824">
        <v>4.2603289999999996</v>
      </c>
      <c r="AH5824">
        <v>91.490805294775996</v>
      </c>
      <c r="AI5824">
        <v>87.346915638536998</v>
      </c>
      <c r="AJ5824">
        <v>84.3344148172838</v>
      </c>
      <c r="AK5824">
        <v>92.038582532557498</v>
      </c>
      <c r="AL5824">
        <v>77.706215541858896</v>
      </c>
      <c r="AM5824">
        <v>97.598930360849494</v>
      </c>
      <c r="AN5824">
        <v>1.0000000305936001</v>
      </c>
    </row>
    <row r="5825" spans="1:40" x14ac:dyDescent="0.25">
      <c r="A5825" t="str">
        <f>"20190304155218217"</f>
        <v>20190304155218217</v>
      </c>
      <c r="B5825" t="str">
        <f>"1551685938213002"</f>
        <v>1551685938213002</v>
      </c>
      <c r="C5825" t="s">
        <v>40</v>
      </c>
      <c r="D5825">
        <v>5.0793980000000003</v>
      </c>
      <c r="E5825">
        <v>0.5776173</v>
      </c>
      <c r="F5825" t="s">
        <v>99</v>
      </c>
      <c r="G5825">
        <v>-274.49669999999998</v>
      </c>
      <c r="H5825">
        <v>1.847518</v>
      </c>
      <c r="I5825">
        <v>13.04167</v>
      </c>
      <c r="J5825">
        <v>-370.43990000000002</v>
      </c>
      <c r="K5825">
        <v>1.1111770000000001</v>
      </c>
      <c r="L5825">
        <v>17.068570000000001</v>
      </c>
      <c r="M5825">
        <v>0.99923490000000004</v>
      </c>
      <c r="N5825">
        <v>-1.0145879999999999E-2</v>
      </c>
      <c r="O5825">
        <v>-3.7777600000000001E-2</v>
      </c>
      <c r="P5825">
        <v>0.97488090000000005</v>
      </c>
      <c r="Q5825">
        <v>0.20319699999999999</v>
      </c>
      <c r="R5825">
        <v>9.1206270000000006E-2</v>
      </c>
      <c r="S5825">
        <v>3.084686</v>
      </c>
      <c r="T5825">
        <v>2.3634309999999999E-2</v>
      </c>
      <c r="U5825">
        <v>-0.12942500000000001</v>
      </c>
      <c r="V5825">
        <v>-0.12846080000000001</v>
      </c>
      <c r="W5825">
        <v>0.21274080000000001</v>
      </c>
      <c r="X5825">
        <v>0.96862749999999997</v>
      </c>
      <c r="Y5825">
        <v>4.1501630000000001E-3</v>
      </c>
      <c r="Z5825">
        <v>-6.7763600000000002E-4</v>
      </c>
      <c r="AA5825">
        <v>0.99999119999999997</v>
      </c>
      <c r="AB5825">
        <v>28</v>
      </c>
      <c r="AC5825">
        <v>95.943200000000004</v>
      </c>
      <c r="AD5825">
        <v>0.73634099999999902</v>
      </c>
      <c r="AE5825">
        <v>-4.0269000000000004</v>
      </c>
      <c r="AF5825">
        <v>0.39931216759022597</v>
      </c>
      <c r="AG5825">
        <v>0.73634099999999902</v>
      </c>
      <c r="AH5825">
        <v>96.021194530894206</v>
      </c>
      <c r="AI5825">
        <v>89.560638252417903</v>
      </c>
      <c r="AJ5825">
        <v>89.761732082834101</v>
      </c>
      <c r="AK5825">
        <v>96.024848072857097</v>
      </c>
      <c r="AL5825">
        <v>77.716981699487604</v>
      </c>
      <c r="AM5825">
        <v>97.554565135079201</v>
      </c>
      <c r="AN5825">
        <v>1.0000000294387601</v>
      </c>
    </row>
    <row r="5826" spans="1:40" x14ac:dyDescent="0.25">
      <c r="A5826" t="str">
        <f>"20190304155218231"</f>
        <v>20190304155218231</v>
      </c>
      <c r="B5826" t="str">
        <f>"1551685938222762"</f>
        <v>1551685938222762</v>
      </c>
      <c r="C5826" t="s">
        <v>40</v>
      </c>
      <c r="D5826">
        <v>5.0735140000000003</v>
      </c>
      <c r="E5826">
        <v>0.57090129999999994</v>
      </c>
      <c r="F5826" t="s">
        <v>96</v>
      </c>
      <c r="G5826">
        <v>-264.43430000000001</v>
      </c>
      <c r="H5826">
        <v>5.5973059999999997</v>
      </c>
      <c r="I5826">
        <v>5.0489290000000002</v>
      </c>
      <c r="J5826">
        <v>-370.28030000000001</v>
      </c>
      <c r="K5826">
        <v>1.111194</v>
      </c>
      <c r="L5826">
        <v>17.063289999999999</v>
      </c>
      <c r="M5826">
        <v>0.9992607</v>
      </c>
      <c r="N5826">
        <v>-1.0278870000000001E-2</v>
      </c>
      <c r="O5826">
        <v>-3.7052500000000002E-2</v>
      </c>
      <c r="P5826">
        <v>0.97491070000000002</v>
      </c>
      <c r="Q5826">
        <v>0.20319309999999999</v>
      </c>
      <c r="R5826">
        <v>9.089614E-2</v>
      </c>
      <c r="S5826">
        <v>3.0827939999999998</v>
      </c>
      <c r="T5826">
        <v>0.130463</v>
      </c>
      <c r="U5826">
        <v>-0.34954829999999998</v>
      </c>
      <c r="V5826">
        <v>-0.1274478</v>
      </c>
      <c r="W5826">
        <v>0.21286939999999999</v>
      </c>
      <c r="X5826">
        <v>0.96873299999999996</v>
      </c>
      <c r="Y5826">
        <v>7.5769080000000003E-2</v>
      </c>
      <c r="Z5826">
        <v>-7.3433179999999904E-4</v>
      </c>
      <c r="AA5826">
        <v>0.99712509999999999</v>
      </c>
      <c r="AB5826">
        <v>28</v>
      </c>
      <c r="AC5826">
        <v>105.846</v>
      </c>
      <c r="AD5826">
        <v>4.4861119999999897</v>
      </c>
      <c r="AE5826">
        <v>-12.0143609999999</v>
      </c>
      <c r="AF5826">
        <v>8.0697332760671099</v>
      </c>
      <c r="AG5826">
        <v>4.4861119999999897</v>
      </c>
      <c r="AH5826">
        <v>106.030450404249</v>
      </c>
      <c r="AI5826">
        <v>87.584258202019001</v>
      </c>
      <c r="AJ5826">
        <v>85.647740610752095</v>
      </c>
      <c r="AK5826">
        <v>106.43167859688801</v>
      </c>
      <c r="AL5826">
        <v>77.709440045059495</v>
      </c>
      <c r="AM5826">
        <v>97.494865304813004</v>
      </c>
      <c r="AN5826">
        <v>0.99999997423509901</v>
      </c>
    </row>
    <row r="5827" spans="1:40" x14ac:dyDescent="0.25">
      <c r="A5827" t="str">
        <f>"20190304155218249"</f>
        <v>20190304155218249</v>
      </c>
      <c r="B5827" t="str">
        <f>"1551685938242282"</f>
        <v>1551685938242282</v>
      </c>
      <c r="C5827" t="s">
        <v>40</v>
      </c>
      <c r="D5827">
        <v>5.0208009999999996</v>
      </c>
      <c r="E5827">
        <v>0.56415209999999905</v>
      </c>
      <c r="F5827" t="s">
        <v>65</v>
      </c>
      <c r="G5827">
        <v>-241.6901</v>
      </c>
      <c r="H5827">
        <v>5.3671989999999896</v>
      </c>
      <c r="I5827">
        <v>4.6514800000000003</v>
      </c>
      <c r="J5827">
        <v>-370.0609</v>
      </c>
      <c r="K5827">
        <v>1.1112139999999999</v>
      </c>
      <c r="L5827">
        <v>17.056239999999999</v>
      </c>
      <c r="M5827">
        <v>0.99929489999999999</v>
      </c>
      <c r="N5827">
        <v>-1.0470790000000001E-2</v>
      </c>
      <c r="O5827">
        <v>-3.6056810000000002E-2</v>
      </c>
      <c r="P5827">
        <v>0.97499230000000003</v>
      </c>
      <c r="Q5827">
        <v>0.20316000000000001</v>
      </c>
      <c r="R5827">
        <v>9.0088710000000002E-2</v>
      </c>
      <c r="S5827">
        <v>3.083618</v>
      </c>
      <c r="T5827">
        <v>0.1020597</v>
      </c>
      <c r="U5827">
        <v>-0.29763790000000001</v>
      </c>
      <c r="V5827">
        <v>-0.12567529999999999</v>
      </c>
      <c r="W5827">
        <v>0.21302969999999999</v>
      </c>
      <c r="X5827">
        <v>0.96892940000000005</v>
      </c>
      <c r="Y5827">
        <v>6.0132999999999999E-2</v>
      </c>
      <c r="Z5827">
        <v>-8.8942640000000005E-4</v>
      </c>
      <c r="AA5827">
        <v>0.99819000000000002</v>
      </c>
      <c r="AB5827">
        <v>28</v>
      </c>
      <c r="AC5827">
        <v>128.3708</v>
      </c>
      <c r="AD5827">
        <v>4.2559849999999901</v>
      </c>
      <c r="AE5827">
        <v>-12.40476</v>
      </c>
      <c r="AF5827">
        <v>7.75934758852586</v>
      </c>
      <c r="AG5827">
        <v>4.2559849999999901</v>
      </c>
      <c r="AH5827">
        <v>128.594576723899</v>
      </c>
      <c r="AI5827">
        <v>88.107861250505394</v>
      </c>
      <c r="AJ5827">
        <v>86.546981175116898</v>
      </c>
      <c r="AK5827">
        <v>128.89874338455999</v>
      </c>
      <c r="AL5827">
        <v>77.700040970859604</v>
      </c>
      <c r="AM5827">
        <v>97.390308302362698</v>
      </c>
      <c r="AN5827">
        <v>1.00000005814826</v>
      </c>
    </row>
    <row r="5828" spans="1:40" x14ac:dyDescent="0.25">
      <c r="A5828" t="str">
        <f>"20190304155218260"</f>
        <v>20190304155218260</v>
      </c>
      <c r="B5828" t="str">
        <f>"1551685938253019"</f>
        <v>1551685938253019</v>
      </c>
      <c r="C5828" t="s">
        <v>40</v>
      </c>
      <c r="D5828">
        <v>4.7736269999999896</v>
      </c>
      <c r="E5828">
        <v>0.56258660000000005</v>
      </c>
      <c r="F5828" t="s">
        <v>65</v>
      </c>
      <c r="G5828">
        <v>-241.07</v>
      </c>
      <c r="H5828">
        <v>4.3975369999999998</v>
      </c>
      <c r="I5828">
        <v>6.7190519999999996</v>
      </c>
      <c r="J5828">
        <v>-369.90190000000001</v>
      </c>
      <c r="K5828">
        <v>1.1112299999999999</v>
      </c>
      <c r="L5828">
        <v>17.051300000000001</v>
      </c>
      <c r="M5828">
        <v>0.99931919999999996</v>
      </c>
      <c r="N5828">
        <v>-1.0615289999999999E-2</v>
      </c>
      <c r="O5828">
        <v>-3.533621E-2</v>
      </c>
      <c r="P5828">
        <v>0.97501870000000002</v>
      </c>
      <c r="Q5828">
        <v>0.20309579999999999</v>
      </c>
      <c r="R5828">
        <v>8.9949619999999994E-2</v>
      </c>
      <c r="S5828">
        <v>3.083405</v>
      </c>
      <c r="T5828">
        <v>7.8556299999999996E-2</v>
      </c>
      <c r="U5828">
        <v>-0.24710080000000001</v>
      </c>
      <c r="V5828">
        <v>-0.1248368</v>
      </c>
      <c r="W5828">
        <v>0.2131094</v>
      </c>
      <c r="X5828">
        <v>0.9690202</v>
      </c>
      <c r="Y5828">
        <v>4.4622200000000001E-2</v>
      </c>
      <c r="Z5828">
        <v>-9.4266640000000002E-4</v>
      </c>
      <c r="AA5828">
        <v>0.99900350000000004</v>
      </c>
      <c r="AB5828">
        <v>28</v>
      </c>
      <c r="AC5828">
        <v>128.83189999999999</v>
      </c>
      <c r="AD5828">
        <v>3.2863069999999999</v>
      </c>
      <c r="AE5828">
        <v>-10.332248</v>
      </c>
      <c r="AF5828">
        <v>5.7693774023283604</v>
      </c>
      <c r="AG5828">
        <v>3.2863069999999999</v>
      </c>
      <c r="AH5828">
        <v>129.033132924564</v>
      </c>
      <c r="AI5828">
        <v>88.542521533973698</v>
      </c>
      <c r="AJ5828">
        <v>87.439874964436001</v>
      </c>
      <c r="AK5828">
        <v>129.203850258562</v>
      </c>
      <c r="AL5828">
        <v>77.695366390385104</v>
      </c>
      <c r="AM5828">
        <v>97.340859782044603</v>
      </c>
      <c r="AN5828">
        <v>0.99999999550532004</v>
      </c>
    </row>
    <row r="5829" spans="1:40" x14ac:dyDescent="0.25">
      <c r="A5829" t="str">
        <f>"20190304155218273"</f>
        <v>20190304155218273</v>
      </c>
      <c r="B5829" t="str">
        <f>"1551685938262778"</f>
        <v>1551685938262778</v>
      </c>
      <c r="C5829" t="s">
        <v>40</v>
      </c>
      <c r="D5829">
        <v>4.6045569999999998</v>
      </c>
      <c r="E5829">
        <v>0.56696650000000004</v>
      </c>
      <c r="F5829" t="s">
        <v>65</v>
      </c>
      <c r="G5829">
        <v>-241.07</v>
      </c>
      <c r="H5829">
        <v>4.2730839999999999</v>
      </c>
      <c r="I5829">
        <v>7.2234669999999896</v>
      </c>
      <c r="J5829">
        <v>-369.75360000000001</v>
      </c>
      <c r="K5829">
        <v>1.1112519999999999</v>
      </c>
      <c r="L5829">
        <v>17.046779999999998</v>
      </c>
      <c r="M5829">
        <v>0.99934120000000004</v>
      </c>
      <c r="N5829">
        <v>-1.075065E-2</v>
      </c>
      <c r="O5829">
        <v>-3.4664689999999998E-2</v>
      </c>
      <c r="P5829">
        <v>0.97513269999999996</v>
      </c>
      <c r="Q5829">
        <v>0.20268359999999999</v>
      </c>
      <c r="R5829">
        <v>8.9643840000000002E-2</v>
      </c>
      <c r="S5829">
        <v>3.0827939999999998</v>
      </c>
      <c r="T5829">
        <v>7.5659279999999995E-2</v>
      </c>
      <c r="U5829">
        <v>-0.2351685</v>
      </c>
      <c r="V5829">
        <v>-0.12388</v>
      </c>
      <c r="W5829">
        <v>0.21283350000000001</v>
      </c>
      <c r="X5829">
        <v>0.96920360000000005</v>
      </c>
      <c r="Y5829">
        <v>4.1465729999999999E-2</v>
      </c>
      <c r="Z5829">
        <v>-9.3644349999999997E-4</v>
      </c>
      <c r="AA5829">
        <v>0.99913949999999996</v>
      </c>
      <c r="AB5829">
        <v>28</v>
      </c>
      <c r="AC5829">
        <v>128.68360000000001</v>
      </c>
      <c r="AD5829">
        <v>3.1618319999999902</v>
      </c>
      <c r="AE5829">
        <v>-9.8233130000000006</v>
      </c>
      <c r="AF5829">
        <v>5.3531606524691604</v>
      </c>
      <c r="AG5829">
        <v>3.1618319999999902</v>
      </c>
      <c r="AH5829">
        <v>128.86944433072199</v>
      </c>
      <c r="AI5829">
        <v>88.595731592041005</v>
      </c>
      <c r="AJ5829">
        <v>87.621334655725903</v>
      </c>
      <c r="AK5829">
        <v>129.019328756107</v>
      </c>
      <c r="AL5829">
        <v>77.711545347155493</v>
      </c>
      <c r="AM5829">
        <v>97.283839447293801</v>
      </c>
      <c r="AN5829">
        <v>0.99999998568760495</v>
      </c>
    </row>
    <row r="5830" spans="1:40" x14ac:dyDescent="0.25">
      <c r="A5830" t="str">
        <f>"20190304155218294"</f>
        <v>20190304155218294</v>
      </c>
      <c r="B5830" t="str">
        <f>"1551685938293035"</f>
        <v>1551685938293035</v>
      </c>
      <c r="C5830" t="s">
        <v>40</v>
      </c>
      <c r="D5830">
        <v>4.5585009999999997</v>
      </c>
      <c r="E5830">
        <v>0.56806029999999996</v>
      </c>
      <c r="F5830" t="s">
        <v>65</v>
      </c>
      <c r="G5830">
        <v>-241.07</v>
      </c>
      <c r="H5830">
        <v>4.6100459999999996</v>
      </c>
      <c r="I5830">
        <v>5.7490569999999996</v>
      </c>
      <c r="J5830">
        <v>-369.48719999999997</v>
      </c>
      <c r="K5830">
        <v>1.1112740000000001</v>
      </c>
      <c r="L5830">
        <v>17.038879999999999</v>
      </c>
      <c r="M5830">
        <v>0.99937949999999998</v>
      </c>
      <c r="N5830">
        <v>-1.100227E-2</v>
      </c>
      <c r="O5830">
        <v>-3.3460980000000001E-2</v>
      </c>
      <c r="P5830">
        <v>0.97531219999999996</v>
      </c>
      <c r="Q5830">
        <v>0.20192450000000001</v>
      </c>
      <c r="R5830">
        <v>8.9400789999999994E-2</v>
      </c>
      <c r="S5830">
        <v>3.083923</v>
      </c>
      <c r="T5830">
        <v>8.3849069999999998E-2</v>
      </c>
      <c r="U5830">
        <v>-0.27075199999999999</v>
      </c>
      <c r="V5830">
        <v>-0.12246890000000001</v>
      </c>
      <c r="W5830">
        <v>0.21232709999999999</v>
      </c>
      <c r="X5830">
        <v>0.96949399999999997</v>
      </c>
      <c r="Y5830">
        <v>5.4086929999999998E-2</v>
      </c>
      <c r="Z5830">
        <v>-8.3935460000000004E-4</v>
      </c>
      <c r="AA5830">
        <v>0.99853590000000003</v>
      </c>
      <c r="AB5830">
        <v>28</v>
      </c>
      <c r="AC5830">
        <v>128.41719999999901</v>
      </c>
      <c r="AD5830">
        <v>3.4987720000000002</v>
      </c>
      <c r="AE5830">
        <v>-11.289822999999901</v>
      </c>
      <c r="AF5830">
        <v>6.9811324954998897</v>
      </c>
      <c r="AG5830">
        <v>3.4987720000000002</v>
      </c>
      <c r="AH5830">
        <v>128.62832255134799</v>
      </c>
      <c r="AI5830">
        <v>88.444191235046802</v>
      </c>
      <c r="AJ5830">
        <v>86.893395075478495</v>
      </c>
      <c r="AK5830">
        <v>128.86513484570301</v>
      </c>
      <c r="AL5830">
        <v>77.741239069477203</v>
      </c>
      <c r="AM5830">
        <v>97.199611746257006</v>
      </c>
      <c r="AN5830">
        <v>1.0000000224487999</v>
      </c>
    </row>
    <row r="5831" spans="1:40" x14ac:dyDescent="0.25">
      <c r="A5831" t="str">
        <f>"20190304155218317"</f>
        <v>20190304155218317</v>
      </c>
      <c r="B5831" t="str">
        <f>"1551685938312554"</f>
        <v>1551685938312554</v>
      </c>
      <c r="C5831" t="s">
        <v>40</v>
      </c>
      <c r="D5831">
        <v>4.5913329999999997</v>
      </c>
      <c r="E5831">
        <v>0.56479809999999997</v>
      </c>
      <c r="F5831" t="s">
        <v>65</v>
      </c>
      <c r="G5831">
        <v>-241.07</v>
      </c>
      <c r="H5831">
        <v>4.6108099999999999</v>
      </c>
      <c r="I5831">
        <v>5.369326</v>
      </c>
      <c r="J5831">
        <v>-369.21499999999997</v>
      </c>
      <c r="K5831">
        <v>1.1112959999999901</v>
      </c>
      <c r="L5831">
        <v>17.03116</v>
      </c>
      <c r="M5831">
        <v>0.99941670000000005</v>
      </c>
      <c r="N5831">
        <v>-1.127945E-2</v>
      </c>
      <c r="O5831">
        <v>-3.2235380000000001E-2</v>
      </c>
      <c r="P5831">
        <v>0.97556719999999997</v>
      </c>
      <c r="Q5831">
        <v>0.20072470000000001</v>
      </c>
      <c r="R5831">
        <v>8.9320839999999999E-2</v>
      </c>
      <c r="S5831">
        <v>3.0842589999999999</v>
      </c>
      <c r="T5831">
        <v>8.4049940000000004E-2</v>
      </c>
      <c r="U5831">
        <v>-0.28027340000000001</v>
      </c>
      <c r="V5831">
        <v>-0.1211996</v>
      </c>
      <c r="W5831">
        <v>0.2114058</v>
      </c>
      <c r="X5831">
        <v>0.96985480000000002</v>
      </c>
      <c r="Y5831">
        <v>5.8358340000000002E-2</v>
      </c>
      <c r="Z5831">
        <v>-7.7545969999999996E-4</v>
      </c>
      <c r="AA5831">
        <v>0.99829540000000005</v>
      </c>
      <c r="AB5831">
        <v>28</v>
      </c>
      <c r="AC5831">
        <v>128.14499999999899</v>
      </c>
      <c r="AD5831">
        <v>3.499514</v>
      </c>
      <c r="AE5831">
        <v>-11.661834000000001</v>
      </c>
      <c r="AF5831">
        <v>7.5191456570363497</v>
      </c>
      <c r="AG5831">
        <v>3.499514</v>
      </c>
      <c r="AH5831">
        <v>128.35940089224999</v>
      </c>
      <c r="AI5831">
        <v>88.440980221770204</v>
      </c>
      <c r="AJ5831">
        <v>86.647510485621197</v>
      </c>
      <c r="AK5831">
        <v>128.6270576009</v>
      </c>
      <c r="AL5831">
        <v>77.795252105602302</v>
      </c>
      <c r="AM5831">
        <v>97.1231404301423</v>
      </c>
      <c r="AN5831">
        <v>1.00000004419841</v>
      </c>
    </row>
    <row r="5832" spans="1:40" x14ac:dyDescent="0.25">
      <c r="A5832" t="str">
        <f>"20190304155218337"</f>
        <v>20190304155218337</v>
      </c>
      <c r="B5832" t="str">
        <f>"1551685938333052"</f>
        <v>1551685938333052</v>
      </c>
      <c r="C5832" t="s">
        <v>40</v>
      </c>
      <c r="D5832">
        <v>4.6652829999999996</v>
      </c>
      <c r="E5832">
        <v>0.56280050000000004</v>
      </c>
      <c r="F5832" t="s">
        <v>65</v>
      </c>
      <c r="G5832">
        <v>-241.07</v>
      </c>
      <c r="H5832">
        <v>4.2640710000000004</v>
      </c>
      <c r="I5832">
        <v>6.4541029999999999</v>
      </c>
      <c r="J5832">
        <v>-368.94990000000001</v>
      </c>
      <c r="K5832">
        <v>1.111326</v>
      </c>
      <c r="L5832">
        <v>17.023959999999999</v>
      </c>
      <c r="M5832">
        <v>0.99945130000000004</v>
      </c>
      <c r="N5832">
        <v>-1.155425E-2</v>
      </c>
      <c r="O5832">
        <v>-3.1041160000000002E-2</v>
      </c>
      <c r="P5832">
        <v>0.97585169999999999</v>
      </c>
      <c r="Q5832">
        <v>0.199489</v>
      </c>
      <c r="R5832">
        <v>8.8981640000000001E-2</v>
      </c>
      <c r="S5832">
        <v>3.0828250000000001</v>
      </c>
      <c r="T5832">
        <v>7.5847150000000002E-2</v>
      </c>
      <c r="U5832">
        <v>-0.2544556</v>
      </c>
      <c r="V5832">
        <v>-0.1197014</v>
      </c>
      <c r="W5832">
        <v>0.21044740000000001</v>
      </c>
      <c r="X5832">
        <v>0.97024920000000003</v>
      </c>
      <c r="Y5832">
        <v>5.1294350000000002E-2</v>
      </c>
      <c r="Z5832">
        <v>-7.8713769999999995E-4</v>
      </c>
      <c r="AA5832">
        <v>0.99868330000000005</v>
      </c>
      <c r="AB5832">
        <v>28</v>
      </c>
      <c r="AC5832">
        <v>127.87990000000001</v>
      </c>
      <c r="AD5832">
        <v>3.1527449999999901</v>
      </c>
      <c r="AE5832">
        <v>-10.569857000000001</v>
      </c>
      <c r="AF5832">
        <v>6.59097833225852</v>
      </c>
      <c r="AG5832">
        <v>3.1527449999999901</v>
      </c>
      <c r="AH5832">
        <v>128.06907546653201</v>
      </c>
      <c r="AI5832">
        <v>88.591666991376002</v>
      </c>
      <c r="AJ5832">
        <v>87.053915075650394</v>
      </c>
      <c r="AK5832">
        <v>128.277312441693</v>
      </c>
      <c r="AL5832">
        <v>77.851427959415304</v>
      </c>
      <c r="AM5832">
        <v>97.033144811001804</v>
      </c>
      <c r="AN5832">
        <v>1.0000000217146701</v>
      </c>
    </row>
    <row r="5833" spans="1:40" x14ac:dyDescent="0.25">
      <c r="A5833" t="str">
        <f>"20190304155218351"</f>
        <v>20190304155218351</v>
      </c>
      <c r="B5833" t="str">
        <f>"1551685938342811"</f>
        <v>1551685938342811</v>
      </c>
      <c r="C5833" t="s">
        <v>40</v>
      </c>
      <c r="D5833">
        <v>4.5588889999999997</v>
      </c>
      <c r="E5833">
        <v>0.5622125</v>
      </c>
      <c r="F5833" t="s">
        <v>65</v>
      </c>
      <c r="G5833">
        <v>-241.07</v>
      </c>
      <c r="H5833">
        <v>4.0243710000000004</v>
      </c>
      <c r="I5833">
        <v>7.0904059999999998</v>
      </c>
      <c r="J5833">
        <v>-368.79590000000002</v>
      </c>
      <c r="K5833">
        <v>1.1113390000000001</v>
      </c>
      <c r="L5833">
        <v>17.019870000000001</v>
      </c>
      <c r="M5833">
        <v>0.99947090000000005</v>
      </c>
      <c r="N5833">
        <v>-1.171079E-2</v>
      </c>
      <c r="O5833">
        <v>-3.034742E-2</v>
      </c>
      <c r="P5833">
        <v>0.97595739999999997</v>
      </c>
      <c r="Q5833">
        <v>0.19901179999999999</v>
      </c>
      <c r="R5833">
        <v>8.8892910000000006E-2</v>
      </c>
      <c r="S5833">
        <v>3.0816650000000001</v>
      </c>
      <c r="T5833">
        <v>7.0198769999999994E-2</v>
      </c>
      <c r="U5833">
        <v>-0.23937990000000001</v>
      </c>
      <c r="V5833">
        <v>-0.118938</v>
      </c>
      <c r="W5833">
        <v>0.21012719999999999</v>
      </c>
      <c r="X5833">
        <v>0.97041239999999995</v>
      </c>
      <c r="Y5833">
        <v>4.7163490000000002E-2</v>
      </c>
      <c r="Z5833">
        <v>-7.8513330000000003E-4</v>
      </c>
      <c r="AA5833">
        <v>0.99888690000000002</v>
      </c>
      <c r="AB5833">
        <v>28</v>
      </c>
      <c r="AC5833">
        <v>127.7259</v>
      </c>
      <c r="AD5833">
        <v>2.9130319999999901</v>
      </c>
      <c r="AE5833">
        <v>-9.9294639999999994</v>
      </c>
      <c r="AF5833">
        <v>6.0453473581565298</v>
      </c>
      <c r="AG5833">
        <v>2.9130319999999901</v>
      </c>
      <c r="AH5833">
        <v>127.902287718766</v>
      </c>
      <c r="AI5833">
        <v>88.6967429047737</v>
      </c>
      <c r="AJ5833">
        <v>87.293908445983604</v>
      </c>
      <c r="AK5833">
        <v>128.078207294636</v>
      </c>
      <c r="AL5833">
        <v>77.870192879690293</v>
      </c>
      <c r="AM5833">
        <v>96.987571939178693</v>
      </c>
      <c r="AN5833">
        <v>0.99999995704879896</v>
      </c>
    </row>
    <row r="5834" spans="1:40" x14ac:dyDescent="0.25">
      <c r="A5834" t="str">
        <f>"20190304155218372"</f>
        <v>20190304155218372</v>
      </c>
      <c r="B5834" t="str">
        <f>"1551685938362894"</f>
        <v>1551685938362894</v>
      </c>
      <c r="C5834" t="s">
        <v>40</v>
      </c>
      <c r="D5834">
        <v>4.6369230000000003</v>
      </c>
      <c r="E5834">
        <v>0.5613861</v>
      </c>
      <c r="F5834" t="s">
        <v>65</v>
      </c>
      <c r="G5834">
        <v>-241.07</v>
      </c>
      <c r="H5834">
        <v>4.070665</v>
      </c>
      <c r="I5834">
        <v>7.2852160000000001</v>
      </c>
      <c r="J5834">
        <v>-368.53809999999999</v>
      </c>
      <c r="K5834">
        <v>1.111359</v>
      </c>
      <c r="L5834">
        <v>17.013339999999999</v>
      </c>
      <c r="M5834">
        <v>0.99950249999999996</v>
      </c>
      <c r="N5834">
        <v>-1.196204E-2</v>
      </c>
      <c r="O5834">
        <v>-2.9187569999999999E-2</v>
      </c>
      <c r="P5834">
        <v>0.9761261</v>
      </c>
      <c r="Q5834">
        <v>0.19836670000000001</v>
      </c>
      <c r="R5834">
        <v>8.8479909999999995E-2</v>
      </c>
      <c r="S5834">
        <v>3.0807799999999999</v>
      </c>
      <c r="T5834">
        <v>7.1379540000000005E-2</v>
      </c>
      <c r="U5834">
        <v>-0.23480219999999999</v>
      </c>
      <c r="V5834">
        <v>-0.1173983</v>
      </c>
      <c r="W5834">
        <v>0.20973420000000001</v>
      </c>
      <c r="X5834">
        <v>0.97068489999999996</v>
      </c>
      <c r="Y5834">
        <v>4.6869059999999997E-2</v>
      </c>
      <c r="Z5834">
        <v>-7.6229589999999995E-4</v>
      </c>
      <c r="AA5834">
        <v>0.99890080000000003</v>
      </c>
      <c r="AB5834">
        <v>28</v>
      </c>
      <c r="AC5834">
        <v>127.46810000000001</v>
      </c>
      <c r="AD5834">
        <v>2.9593060000000002</v>
      </c>
      <c r="AE5834">
        <v>-9.7281239999999993</v>
      </c>
      <c r="AF5834">
        <v>6.0000137364517396</v>
      </c>
      <c r="AG5834">
        <v>2.9593060000000002</v>
      </c>
      <c r="AH5834">
        <v>127.629353339069</v>
      </c>
      <c r="AI5834">
        <v>88.673201655981501</v>
      </c>
      <c r="AJ5834">
        <v>87.308436217520907</v>
      </c>
      <c r="AK5834">
        <v>127.804575389882</v>
      </c>
      <c r="AL5834">
        <v>77.893223673616902</v>
      </c>
      <c r="AM5834">
        <v>96.896074378663798</v>
      </c>
      <c r="AN5834">
        <v>0.99999998529026901</v>
      </c>
    </row>
    <row r="5835" spans="1:40" x14ac:dyDescent="0.25">
      <c r="A5835" t="str">
        <f>"20190304155218385"</f>
        <v>20190304155218385</v>
      </c>
      <c r="B5835" t="str">
        <f>"1551685938382415"</f>
        <v>1551685938382415</v>
      </c>
      <c r="C5835" t="s">
        <v>40</v>
      </c>
      <c r="D5835">
        <v>4.6210490000000002</v>
      </c>
      <c r="E5835">
        <v>0.56034329999999999</v>
      </c>
      <c r="F5835" t="s">
        <v>65</v>
      </c>
      <c r="G5835">
        <v>-241.07</v>
      </c>
      <c r="H5835">
        <v>3.884919</v>
      </c>
      <c r="I5835">
        <v>7.5262179999999903</v>
      </c>
      <c r="J5835">
        <v>-368.36509999999998</v>
      </c>
      <c r="K5835">
        <v>1.1113759999999999</v>
      </c>
      <c r="L5835">
        <v>17.00909</v>
      </c>
      <c r="M5835">
        <v>0.99952289999999999</v>
      </c>
      <c r="N5835">
        <v>-1.2122859999999999E-2</v>
      </c>
      <c r="O5835">
        <v>-2.841053E-2</v>
      </c>
      <c r="P5835">
        <v>0.97624670000000002</v>
      </c>
      <c r="Q5835">
        <v>0.1978297</v>
      </c>
      <c r="R5835">
        <v>8.8350739999999997E-2</v>
      </c>
      <c r="S5835">
        <v>3.0805660000000001</v>
      </c>
      <c r="T5835">
        <v>6.7029480000000002E-2</v>
      </c>
      <c r="U5835">
        <v>-0.2292786</v>
      </c>
      <c r="V5835">
        <v>-0.11651499999999999</v>
      </c>
      <c r="W5835">
        <v>0.2093584</v>
      </c>
      <c r="X5835">
        <v>0.97087250000000003</v>
      </c>
      <c r="Y5835">
        <v>4.586937E-2</v>
      </c>
      <c r="Z5835">
        <v>-7.4120329999999995E-4</v>
      </c>
      <c r="AA5835">
        <v>0.99894709999999998</v>
      </c>
      <c r="AB5835">
        <v>28</v>
      </c>
      <c r="AC5835">
        <v>127.29510000000001</v>
      </c>
      <c r="AD5835">
        <v>2.7735430000000001</v>
      </c>
      <c r="AE5835">
        <v>-9.4828720000000004</v>
      </c>
      <c r="AF5835">
        <v>5.8594904887563901</v>
      </c>
      <c r="AG5835">
        <v>2.7735430000000001</v>
      </c>
      <c r="AH5835">
        <v>127.452969849121</v>
      </c>
      <c r="AI5835">
        <v>88.754680737281802</v>
      </c>
      <c r="AJ5835">
        <v>87.367751823759704</v>
      </c>
      <c r="AK5835">
        <v>127.61773267427</v>
      </c>
      <c r="AL5835">
        <v>77.915245084404205</v>
      </c>
      <c r="AM5835">
        <v>96.843372634799096</v>
      </c>
      <c r="AN5835">
        <v>1.0000000480658999</v>
      </c>
    </row>
    <row r="5836" spans="1:40" x14ac:dyDescent="0.25">
      <c r="A5836" t="str">
        <f>"20190304155218406"</f>
        <v>20190304155218406</v>
      </c>
      <c r="B5836" t="str">
        <f>"1551685938402910"</f>
        <v>1551685938402910</v>
      </c>
      <c r="C5836" t="s">
        <v>40</v>
      </c>
      <c r="D5836">
        <v>4.4763380000000002</v>
      </c>
      <c r="E5836">
        <v>0.559195199999999</v>
      </c>
      <c r="F5836" t="s">
        <v>65</v>
      </c>
      <c r="G5836">
        <v>-241.07</v>
      </c>
      <c r="H5836">
        <v>3.6948840000000001</v>
      </c>
      <c r="I5836">
        <v>7.8608320000000003</v>
      </c>
      <c r="J5836">
        <v>-368.11630000000002</v>
      </c>
      <c r="K5836">
        <v>1.1113980000000001</v>
      </c>
      <c r="L5836">
        <v>17.003270000000001</v>
      </c>
      <c r="M5836">
        <v>0.99955139999999998</v>
      </c>
      <c r="N5836">
        <v>-1.2337799999999901E-2</v>
      </c>
      <c r="O5836">
        <v>-2.729581E-2</v>
      </c>
      <c r="P5836">
        <v>0.97630249999999996</v>
      </c>
      <c r="Q5836">
        <v>0.19784360000000001</v>
      </c>
      <c r="R5836">
        <v>8.770087E-2</v>
      </c>
      <c r="S5836">
        <v>3.0803530000000001</v>
      </c>
      <c r="T5836">
        <v>6.2516929999999998E-2</v>
      </c>
      <c r="U5836">
        <v>-0.2213745</v>
      </c>
      <c r="V5836">
        <v>-0.11478140000000001</v>
      </c>
      <c r="W5836">
        <v>0.2095873</v>
      </c>
      <c r="X5836">
        <v>0.97102960000000005</v>
      </c>
      <c r="Y5836">
        <v>4.443826E-2</v>
      </c>
      <c r="Z5836">
        <v>-7.1362039999999904E-4</v>
      </c>
      <c r="AA5836">
        <v>0.99901189999999995</v>
      </c>
      <c r="AB5836">
        <v>28</v>
      </c>
      <c r="AC5836">
        <v>127.0463</v>
      </c>
      <c r="AD5836">
        <v>2.5834860000000002</v>
      </c>
      <c r="AE5836">
        <v>-9.1424380000000003</v>
      </c>
      <c r="AF5836">
        <v>5.6686039064832201</v>
      </c>
      <c r="AG5836">
        <v>2.5834860000000002</v>
      </c>
      <c r="AH5836">
        <v>127.196198366396</v>
      </c>
      <c r="AI5836">
        <v>88.837577064672004</v>
      </c>
      <c r="AJ5836">
        <v>87.448254599361107</v>
      </c>
      <c r="AK5836">
        <v>127.348656643973</v>
      </c>
      <c r="AL5836">
        <v>77.901832479548503</v>
      </c>
      <c r="AM5836">
        <v>96.741415257300005</v>
      </c>
      <c r="AN5836">
        <v>1.0000000450916999</v>
      </c>
    </row>
    <row r="5837" spans="1:40" x14ac:dyDescent="0.25">
      <c r="A5837" t="str">
        <f>"20190304155218428"</f>
        <v>20190304155218428</v>
      </c>
      <c r="B5837" t="str">
        <f>"1551685938422430"</f>
        <v>1551685938422430</v>
      </c>
      <c r="C5837" t="s">
        <v>40</v>
      </c>
      <c r="D5837">
        <v>4.5847680000000004</v>
      </c>
      <c r="E5837">
        <v>0.55858569999999996</v>
      </c>
      <c r="F5837" t="s">
        <v>65</v>
      </c>
      <c r="G5837">
        <v>-241.07</v>
      </c>
      <c r="H5837">
        <v>3.6122359999999998</v>
      </c>
      <c r="I5837">
        <v>8.1596229999999998</v>
      </c>
      <c r="J5837">
        <v>-367.85419999999999</v>
      </c>
      <c r="K5837">
        <v>1.1114120000000001</v>
      </c>
      <c r="L5837">
        <v>16.997409999999999</v>
      </c>
      <c r="M5837">
        <v>0.99958009999999997</v>
      </c>
      <c r="N5837">
        <v>-1.254389E-2</v>
      </c>
      <c r="O5837">
        <v>-2.6121829999999999E-2</v>
      </c>
      <c r="P5837">
        <v>0.97647589999999995</v>
      </c>
      <c r="Q5837">
        <v>0.19741810000000001</v>
      </c>
      <c r="R5837">
        <v>8.6724250000000003E-2</v>
      </c>
      <c r="S5837">
        <v>3.079834</v>
      </c>
      <c r="T5837">
        <v>6.062472E-2</v>
      </c>
      <c r="U5837">
        <v>-0.21438599999999999</v>
      </c>
      <c r="V5837">
        <v>-0.11266619999999999</v>
      </c>
      <c r="W5837">
        <v>0.2093709</v>
      </c>
      <c r="X5837">
        <v>0.97132390000000002</v>
      </c>
      <c r="Y5837">
        <v>4.336752E-2</v>
      </c>
      <c r="Z5837">
        <v>-6.8677119999999896E-4</v>
      </c>
      <c r="AA5837">
        <v>0.99905900000000003</v>
      </c>
      <c r="AB5837">
        <v>28</v>
      </c>
      <c r="AC5837">
        <v>126.7842</v>
      </c>
      <c r="AD5837">
        <v>2.5008240000000002</v>
      </c>
      <c r="AE5837">
        <v>-8.8377870000000005</v>
      </c>
      <c r="AF5837">
        <v>5.5205374671580403</v>
      </c>
      <c r="AG5837">
        <v>2.5008240000000002</v>
      </c>
      <c r="AH5837">
        <v>126.92266359628201</v>
      </c>
      <c r="AI5837">
        <v>88.872283129986698</v>
      </c>
      <c r="AJ5837">
        <v>87.509473489785293</v>
      </c>
      <c r="AK5837">
        <v>127.06727741232299</v>
      </c>
      <c r="AL5837">
        <v>77.914511851081301</v>
      </c>
      <c r="AM5837">
        <v>96.616308793551099</v>
      </c>
      <c r="AN5837">
        <v>0.99999998255022904</v>
      </c>
    </row>
    <row r="5838" spans="1:40" x14ac:dyDescent="0.25">
      <c r="A5838" t="str">
        <f>"20190304155218441"</f>
        <v>20190304155218441</v>
      </c>
      <c r="B5838" t="str">
        <f>"1551685938433168"</f>
        <v>1551685938433168</v>
      </c>
      <c r="C5838" t="s">
        <v>40</v>
      </c>
      <c r="D5838">
        <v>4.5639719999999997</v>
      </c>
      <c r="E5838">
        <v>0.55823080000000003</v>
      </c>
      <c r="F5838" t="s">
        <v>65</v>
      </c>
      <c r="G5838">
        <v>-241.07</v>
      </c>
      <c r="H5838">
        <v>3.4723830000000002</v>
      </c>
      <c r="I5838">
        <v>8.2229919999999996</v>
      </c>
      <c r="J5838">
        <v>-367.67840000000001</v>
      </c>
      <c r="K5838">
        <v>1.1114170000000001</v>
      </c>
      <c r="L5838">
        <v>16.993679999999902</v>
      </c>
      <c r="M5838">
        <v>0.99959880000000001</v>
      </c>
      <c r="N5838">
        <v>-1.2668270000000001E-2</v>
      </c>
      <c r="O5838">
        <v>-2.5333809999999998E-2</v>
      </c>
      <c r="P5838">
        <v>0.9765838</v>
      </c>
      <c r="Q5838">
        <v>0.19704630000000001</v>
      </c>
      <c r="R5838">
        <v>8.6352789999999999E-2</v>
      </c>
      <c r="S5838">
        <v>3.0796510000000001</v>
      </c>
      <c r="T5838">
        <v>5.7348969999999999E-2</v>
      </c>
      <c r="U5838">
        <v>-0.21313480000000001</v>
      </c>
      <c r="V5838">
        <v>-0.11152860000000001</v>
      </c>
      <c r="W5838">
        <v>0.2091248</v>
      </c>
      <c r="X5838">
        <v>0.97150820000000004</v>
      </c>
      <c r="Y5838">
        <v>4.3754689999999999E-2</v>
      </c>
      <c r="Z5838">
        <v>-6.6225490000000001E-4</v>
      </c>
      <c r="AA5838">
        <v>0.99904210000000004</v>
      </c>
      <c r="AB5838">
        <v>27</v>
      </c>
      <c r="AC5838">
        <v>126.6084</v>
      </c>
      <c r="AD5838">
        <v>2.3609659999999999</v>
      </c>
      <c r="AE5838">
        <v>-8.7706879999999892</v>
      </c>
      <c r="AF5838">
        <v>5.5582185116142702</v>
      </c>
      <c r="AG5838">
        <v>2.3609659999999999</v>
      </c>
      <c r="AH5838">
        <v>126.74610680117399</v>
      </c>
      <c r="AI5838">
        <v>88.933869384469702</v>
      </c>
      <c r="AJ5838">
        <v>87.489007272204503</v>
      </c>
      <c r="AK5838">
        <v>126.88988747229099</v>
      </c>
      <c r="AL5838">
        <v>77.928931729499197</v>
      </c>
      <c r="AM5838">
        <v>96.548855045353804</v>
      </c>
      <c r="AN5838">
        <v>0.99999999663011996</v>
      </c>
    </row>
    <row r="5839" spans="1:40" x14ac:dyDescent="0.25">
      <c r="A5839" t="str">
        <f>"20190304155218461"</f>
        <v>20190304155218461</v>
      </c>
      <c r="B5839" t="str">
        <f>"1551685938452377"</f>
        <v>1551685938452377</v>
      </c>
      <c r="C5839" t="s">
        <v>40</v>
      </c>
      <c r="D5839">
        <v>4.5124750000000002</v>
      </c>
      <c r="E5839">
        <v>0.55757080000000003</v>
      </c>
      <c r="F5839" t="s">
        <v>65</v>
      </c>
      <c r="G5839">
        <v>-241.07</v>
      </c>
      <c r="H5839">
        <v>3.3766690000000001</v>
      </c>
      <c r="I5839">
        <v>8.2927420000000005</v>
      </c>
      <c r="J5839">
        <v>-367.44729999999998</v>
      </c>
      <c r="K5839">
        <v>1.1114280000000001</v>
      </c>
      <c r="L5839">
        <v>16.98901</v>
      </c>
      <c r="M5839">
        <v>0.99962280000000003</v>
      </c>
      <c r="N5839">
        <v>-1.2820109999999999E-2</v>
      </c>
      <c r="O5839">
        <v>-2.429742E-2</v>
      </c>
      <c r="P5839">
        <v>0.97678690000000001</v>
      </c>
      <c r="Q5839">
        <v>0.19667490000000001</v>
      </c>
      <c r="R5839">
        <v>8.4892339999999997E-2</v>
      </c>
      <c r="S5839">
        <v>3.07959</v>
      </c>
      <c r="T5839">
        <v>5.5099250000000002E-2</v>
      </c>
      <c r="U5839">
        <v>-0.21163940000000001</v>
      </c>
      <c r="V5839">
        <v>-0.1090619</v>
      </c>
      <c r="W5839">
        <v>0.20891209999999999</v>
      </c>
      <c r="X5839">
        <v>0.97183390000000003</v>
      </c>
      <c r="Y5839">
        <v>4.4308489999999999E-2</v>
      </c>
      <c r="Z5839">
        <v>-6.3373349999999999E-4</v>
      </c>
      <c r="AA5839">
        <v>0.99901770000000001</v>
      </c>
      <c r="AB5839">
        <v>27</v>
      </c>
      <c r="AC5839">
        <v>126.37730000000001</v>
      </c>
      <c r="AD5839">
        <v>2.2652410000000001</v>
      </c>
      <c r="AE5839">
        <v>-8.6962679999999999</v>
      </c>
      <c r="AF5839">
        <v>5.6210087838374898</v>
      </c>
      <c r="AG5839">
        <v>2.2652410000000001</v>
      </c>
      <c r="AH5839">
        <v>126.51084372311701</v>
      </c>
      <c r="AI5839">
        <v>88.975210357276893</v>
      </c>
      <c r="AJ5839">
        <v>87.455961932128204</v>
      </c>
      <c r="AK5839">
        <v>126.655914335143</v>
      </c>
      <c r="AL5839">
        <v>77.941393192903107</v>
      </c>
      <c r="AM5839">
        <v>96.403101111226803</v>
      </c>
      <c r="AN5839">
        <v>0.999999946373613</v>
      </c>
    </row>
    <row r="5840" spans="1:40" x14ac:dyDescent="0.25">
      <c r="A5840" t="str">
        <f>"20190304155218484"</f>
        <v>20190304155218484</v>
      </c>
      <c r="B5840" t="str">
        <f>"1551685938472863"</f>
        <v>1551685938472863</v>
      </c>
      <c r="C5840" t="s">
        <v>40</v>
      </c>
      <c r="D5840">
        <v>4.5180400000000001</v>
      </c>
      <c r="E5840">
        <v>0.55690229999999996</v>
      </c>
      <c r="F5840" t="s">
        <v>65</v>
      </c>
      <c r="G5840">
        <v>-241.07</v>
      </c>
      <c r="H5840">
        <v>3.266661</v>
      </c>
      <c r="I5840">
        <v>8.3211999999999993</v>
      </c>
      <c r="J5840">
        <v>-367.16269999999997</v>
      </c>
      <c r="K5840">
        <v>1.1114360000000001</v>
      </c>
      <c r="L5840">
        <v>16.983519999999999</v>
      </c>
      <c r="M5840">
        <v>0.99965079999999995</v>
      </c>
      <c r="N5840">
        <v>-1.2987510000000001E-2</v>
      </c>
      <c r="O5840">
        <v>-2.302059E-2</v>
      </c>
      <c r="P5840">
        <v>0.97701139999999997</v>
      </c>
      <c r="Q5840">
        <v>0.19620940000000001</v>
      </c>
      <c r="R5840">
        <v>8.3372290000000002E-2</v>
      </c>
      <c r="S5840">
        <v>3.0790410000000001</v>
      </c>
      <c r="T5840">
        <v>5.2509670000000001E-2</v>
      </c>
      <c r="U5840">
        <v>-0.2111816</v>
      </c>
      <c r="V5840">
        <v>-0.1063008</v>
      </c>
      <c r="W5840">
        <v>0.2086211</v>
      </c>
      <c r="X5840">
        <v>0.97220240000000002</v>
      </c>
      <c r="Y5840">
        <v>4.5448170000000003E-2</v>
      </c>
      <c r="Z5840">
        <v>-5.9912259999999999E-4</v>
      </c>
      <c r="AA5840">
        <v>0.99896649999999998</v>
      </c>
      <c r="AB5840">
        <v>27</v>
      </c>
      <c r="AC5840">
        <v>126.092699999999</v>
      </c>
      <c r="AD5840">
        <v>2.1552250000000002</v>
      </c>
      <c r="AE5840">
        <v>-8.6623199999999994</v>
      </c>
      <c r="AF5840">
        <v>5.7553777998065003</v>
      </c>
      <c r="AG5840">
        <v>2.1552250000000002</v>
      </c>
      <c r="AH5840">
        <v>126.222004691178</v>
      </c>
      <c r="AI5840">
        <v>89.022791902243796</v>
      </c>
      <c r="AJ5840">
        <v>87.389277662842105</v>
      </c>
      <c r="AK5840">
        <v>126.37153095804</v>
      </c>
      <c r="AL5840">
        <v>77.958443376094806</v>
      </c>
      <c r="AM5840">
        <v>96.239943734798402</v>
      </c>
      <c r="AN5840">
        <v>1.0000000650058001</v>
      </c>
    </row>
    <row r="5841" spans="1:40" x14ac:dyDescent="0.25">
      <c r="A5841" t="str">
        <f>"20190304155218507"</f>
        <v>20190304155218507</v>
      </c>
      <c r="B5841" t="str">
        <f>"1551685938503118"</f>
        <v>1551685938503118</v>
      </c>
      <c r="C5841" t="s">
        <v>40</v>
      </c>
      <c r="D5841">
        <v>4.6031639999999996</v>
      </c>
      <c r="E5841">
        <v>0.55638900000000002</v>
      </c>
      <c r="F5841" t="s">
        <v>65</v>
      </c>
      <c r="G5841">
        <v>-241.07</v>
      </c>
      <c r="H5841">
        <v>3.1368649999999998</v>
      </c>
      <c r="I5841">
        <v>8.3355329999999999</v>
      </c>
      <c r="J5841">
        <v>-366.87810000000002</v>
      </c>
      <c r="K5841">
        <v>1.111437</v>
      </c>
      <c r="L5841">
        <v>16.97842</v>
      </c>
      <c r="M5841">
        <v>0.99967729999999999</v>
      </c>
      <c r="N5841">
        <v>-1.313425E-2</v>
      </c>
      <c r="O5841">
        <v>-2.174595E-2</v>
      </c>
      <c r="P5841">
        <v>0.97722319999999996</v>
      </c>
      <c r="Q5841">
        <v>0.19584090000000001</v>
      </c>
      <c r="R5841">
        <v>8.1738370000000005E-2</v>
      </c>
      <c r="S5841">
        <v>3.0787049999999998</v>
      </c>
      <c r="T5841">
        <v>4.945314E-2</v>
      </c>
      <c r="U5841">
        <v>-0.21115110000000001</v>
      </c>
      <c r="V5841">
        <v>-0.1034253</v>
      </c>
      <c r="W5841">
        <v>0.20840800000000001</v>
      </c>
      <c r="X5841">
        <v>0.97255809999999998</v>
      </c>
      <c r="Y5841">
        <v>4.671877E-2</v>
      </c>
      <c r="Z5841">
        <v>-5.6654559999999999E-4</v>
      </c>
      <c r="AA5841">
        <v>0.99890789999999996</v>
      </c>
      <c r="AB5841">
        <v>27</v>
      </c>
      <c r="AC5841">
        <v>125.8081</v>
      </c>
      <c r="AD5841">
        <v>2.0254279999999998</v>
      </c>
      <c r="AE5841">
        <v>-8.642887</v>
      </c>
      <c r="AF5841">
        <v>5.9032674569881198</v>
      </c>
      <c r="AG5841">
        <v>2.0254279999999998</v>
      </c>
      <c r="AH5841">
        <v>125.93382155422501</v>
      </c>
      <c r="AI5841">
        <v>89.079586302791199</v>
      </c>
      <c r="AJ5841">
        <v>87.316170558613507</v>
      </c>
      <c r="AK5841">
        <v>126.088375104541</v>
      </c>
      <c r="AL5841">
        <v>77.970926387208607</v>
      </c>
      <c r="AM5841">
        <v>96.070223689972394</v>
      </c>
      <c r="AN5841">
        <v>0.99999997250984896</v>
      </c>
    </row>
    <row r="5842" spans="1:40" x14ac:dyDescent="0.25">
      <c r="A5842" t="str">
        <f>"20190304155218527"</f>
        <v>20190304155218527</v>
      </c>
      <c r="B5842" t="str">
        <f>"1551685938522639"</f>
        <v>1551685938522639</v>
      </c>
      <c r="C5842" t="s">
        <v>40</v>
      </c>
      <c r="D5842">
        <v>4.5932269999999997</v>
      </c>
      <c r="E5842">
        <v>0.55612299999999903</v>
      </c>
      <c r="F5842" t="s">
        <v>65</v>
      </c>
      <c r="G5842">
        <v>-241.07</v>
      </c>
      <c r="H5842">
        <v>2.977541</v>
      </c>
      <c r="I5842">
        <v>8.2884159999999998</v>
      </c>
      <c r="J5842">
        <v>-366.6343</v>
      </c>
      <c r="K5842">
        <v>1.111435</v>
      </c>
      <c r="L5842">
        <v>16.974299999999999</v>
      </c>
      <c r="M5842">
        <v>0.9996988</v>
      </c>
      <c r="N5842">
        <v>-1.3243660000000001E-2</v>
      </c>
      <c r="O5842">
        <v>-2.0659250000000001E-2</v>
      </c>
      <c r="P5842">
        <v>0.97737289999999999</v>
      </c>
      <c r="Q5842">
        <v>0.19578419999999999</v>
      </c>
      <c r="R5842">
        <v>8.0067899999999997E-2</v>
      </c>
      <c r="S5842">
        <v>3.0785520000000002</v>
      </c>
      <c r="T5842">
        <v>4.5663830000000002E-2</v>
      </c>
      <c r="U5842">
        <v>-0.21264649999999999</v>
      </c>
      <c r="V5842">
        <v>-0.1006949</v>
      </c>
      <c r="W5842">
        <v>0.2084696</v>
      </c>
      <c r="X5842">
        <v>0.97283140000000001</v>
      </c>
      <c r="Y5842">
        <v>4.8290239999999998E-2</v>
      </c>
      <c r="Z5842">
        <v>-5.4177969999999996E-4</v>
      </c>
      <c r="AA5842">
        <v>0.99883319999999998</v>
      </c>
      <c r="AB5842">
        <v>27</v>
      </c>
      <c r="AC5842">
        <v>125.5643</v>
      </c>
      <c r="AD5842">
        <v>1.866106</v>
      </c>
      <c r="AE5842">
        <v>-8.6858839999999997</v>
      </c>
      <c r="AF5842">
        <v>6.0883996076032396</v>
      </c>
      <c r="AG5842">
        <v>1.866106</v>
      </c>
      <c r="AH5842">
        <v>125.689327304115</v>
      </c>
      <c r="AI5842">
        <v>89.150389677216495</v>
      </c>
      <c r="AJ5842">
        <v>87.226756251243202</v>
      </c>
      <c r="AK5842">
        <v>125.850538177419</v>
      </c>
      <c r="AL5842">
        <v>77.967317855382902</v>
      </c>
      <c r="AM5842">
        <v>95.909472460552195</v>
      </c>
      <c r="AN5842">
        <v>0.99999998491806497</v>
      </c>
    </row>
    <row r="5843" spans="1:40" x14ac:dyDescent="0.25">
      <c r="A5843" t="str">
        <f>"20190304155218541"</f>
        <v>20190304155218541</v>
      </c>
      <c r="B5843" t="str">
        <f>"1551685938532399"</f>
        <v>1551685938532399</v>
      </c>
      <c r="C5843" t="s">
        <v>40</v>
      </c>
      <c r="D5843">
        <v>4.6297990000000002</v>
      </c>
      <c r="E5843">
        <v>0.55594659999999996</v>
      </c>
      <c r="F5843" t="s">
        <v>65</v>
      </c>
      <c r="G5843">
        <v>-241.07</v>
      </c>
      <c r="H5843">
        <v>3.0097130000000001</v>
      </c>
      <c r="I5843">
        <v>8.1361519999999992</v>
      </c>
      <c r="J5843">
        <v>-366.47449999999998</v>
      </c>
      <c r="K5843">
        <v>1.111432</v>
      </c>
      <c r="L5843">
        <v>16.971800000000002</v>
      </c>
      <c r="M5843">
        <v>0.9997125</v>
      </c>
      <c r="N5843">
        <v>-1.3307019999999999E-2</v>
      </c>
      <c r="O5843">
        <v>-1.995135E-2</v>
      </c>
      <c r="P5843">
        <v>0.97750999999999999</v>
      </c>
      <c r="Q5843">
        <v>0.1954263</v>
      </c>
      <c r="R5843">
        <v>7.9266589999999998E-2</v>
      </c>
      <c r="S5843">
        <v>3.0778810000000001</v>
      </c>
      <c r="T5843">
        <v>4.6531200000000002E-2</v>
      </c>
      <c r="U5843">
        <v>-0.21664430000000001</v>
      </c>
      <c r="V5843">
        <v>-9.9202180000000001E-2</v>
      </c>
      <c r="W5843">
        <v>0.20818039999999999</v>
      </c>
      <c r="X5843">
        <v>0.97304669999999904</v>
      </c>
      <c r="Y5843">
        <v>5.0303269999999997E-2</v>
      </c>
      <c r="Z5843">
        <v>-5.2174800000000005E-4</v>
      </c>
      <c r="AA5843">
        <v>0.99873389999999995</v>
      </c>
      <c r="AB5843">
        <v>27</v>
      </c>
      <c r="AC5843">
        <v>125.404499999999</v>
      </c>
      <c r="AD5843">
        <v>1.8982810000000001</v>
      </c>
      <c r="AE5843">
        <v>-8.8356479999999902</v>
      </c>
      <c r="AF5843">
        <v>6.3302352937117998</v>
      </c>
      <c r="AG5843">
        <v>1.8982810000000001</v>
      </c>
      <c r="AH5843">
        <v>125.527211948342</v>
      </c>
      <c r="AI5843">
        <v>89.134711952533294</v>
      </c>
      <c r="AJ5843">
        <v>87.113065997715793</v>
      </c>
      <c r="AK5843">
        <v>125.70105922048801</v>
      </c>
      <c r="AL5843">
        <v>77.9842598787219</v>
      </c>
      <c r="AM5843">
        <v>95.821196228559103</v>
      </c>
      <c r="AN5843">
        <v>1.0000000159208999</v>
      </c>
    </row>
    <row r="5844" spans="1:40" x14ac:dyDescent="0.25">
      <c r="A5844" t="str">
        <f>"20190304155218553"</f>
        <v>20190304155218553</v>
      </c>
      <c r="B5844" t="str">
        <f>"1551685938543136"</f>
        <v>1551685938543136</v>
      </c>
      <c r="C5844" t="s">
        <v>40</v>
      </c>
      <c r="D5844">
        <v>4.6234999999999999</v>
      </c>
      <c r="E5844">
        <v>0.55574179999999995</v>
      </c>
      <c r="F5844" t="s">
        <v>65</v>
      </c>
      <c r="G5844">
        <v>-241.07</v>
      </c>
      <c r="H5844">
        <v>2.940598</v>
      </c>
      <c r="I5844">
        <v>8.078557</v>
      </c>
      <c r="J5844">
        <v>-366.3152</v>
      </c>
      <c r="K5844">
        <v>1.111429</v>
      </c>
      <c r="L5844">
        <v>16.969360000000002</v>
      </c>
      <c r="M5844">
        <v>0.99972530000000004</v>
      </c>
      <c r="N5844">
        <v>-1.336654E-2</v>
      </c>
      <c r="O5844">
        <v>-1.9248680000000001E-2</v>
      </c>
      <c r="P5844">
        <v>0.97762450000000001</v>
      </c>
      <c r="Q5844">
        <v>0.1951473</v>
      </c>
      <c r="R5844">
        <v>7.8535419999999995E-2</v>
      </c>
      <c r="S5844">
        <v>3.077728</v>
      </c>
      <c r="T5844">
        <v>4.489195E-2</v>
      </c>
      <c r="U5844">
        <v>-0.2182617</v>
      </c>
      <c r="V5844">
        <v>-9.7784510000000005E-2</v>
      </c>
      <c r="W5844">
        <v>0.20796629999999999</v>
      </c>
      <c r="X5844">
        <v>0.97323599999999999</v>
      </c>
      <c r="Y5844">
        <v>5.1530600000000003E-2</v>
      </c>
      <c r="Z5844">
        <v>-5.068602E-4</v>
      </c>
      <c r="AA5844">
        <v>0.99867130000000004</v>
      </c>
      <c r="AB5844">
        <v>27</v>
      </c>
      <c r="AC5844">
        <v>125.2452</v>
      </c>
      <c r="AD5844">
        <v>1.8291689999999901</v>
      </c>
      <c r="AE5844">
        <v>-8.890803</v>
      </c>
      <c r="AF5844">
        <v>6.4767605835578896</v>
      </c>
      <c r="AG5844">
        <v>1.8291689999999901</v>
      </c>
      <c r="AH5844">
        <v>125.366536542086</v>
      </c>
      <c r="AI5844">
        <v>89.165194494413896</v>
      </c>
      <c r="AJ5844">
        <v>87.042580627845297</v>
      </c>
      <c r="AK5844">
        <v>125.547054013408</v>
      </c>
      <c r="AL5844">
        <v>77.996801838038706</v>
      </c>
      <c r="AM5844">
        <v>95.737457641651403</v>
      </c>
      <c r="AN5844">
        <v>1.0000000520138099</v>
      </c>
    </row>
    <row r="5845" spans="1:40" x14ac:dyDescent="0.25">
      <c r="A5845" t="str">
        <f>"20190304155218566"</f>
        <v>20190304155218566</v>
      </c>
      <c r="B5845" t="str">
        <f>"1551685938563161"</f>
        <v>1551685938563161</v>
      </c>
      <c r="C5845" t="s">
        <v>40</v>
      </c>
      <c r="D5845">
        <v>4.6567959999999999</v>
      </c>
      <c r="E5845">
        <v>0.55548369999999903</v>
      </c>
      <c r="F5845" t="s">
        <v>65</v>
      </c>
      <c r="G5845">
        <v>-241.07</v>
      </c>
      <c r="H5845">
        <v>2.8814229999999998</v>
      </c>
      <c r="I5845">
        <v>8.0348959999999998</v>
      </c>
      <c r="J5845">
        <v>-366.16039999999998</v>
      </c>
      <c r="K5845">
        <v>1.111426</v>
      </c>
      <c r="L5845">
        <v>16.967129999999901</v>
      </c>
      <c r="M5845">
        <v>0.9997376</v>
      </c>
      <c r="N5845">
        <v>-1.342053E-2</v>
      </c>
      <c r="O5845">
        <v>-1.856828E-2</v>
      </c>
      <c r="P5845">
        <v>0.97774450000000002</v>
      </c>
      <c r="Q5845">
        <v>0.1947207</v>
      </c>
      <c r="R5845">
        <v>7.8100260000000005E-2</v>
      </c>
      <c r="S5845">
        <v>3.0776059999999998</v>
      </c>
      <c r="T5845">
        <v>4.3493270000000001E-2</v>
      </c>
      <c r="U5845">
        <v>-0.2195435</v>
      </c>
      <c r="V5845">
        <v>-9.6683489999999997E-2</v>
      </c>
      <c r="W5845">
        <v>0.2075988</v>
      </c>
      <c r="X5845">
        <v>0.97342439999999997</v>
      </c>
      <c r="Y5845">
        <v>5.2626579999999999E-2</v>
      </c>
      <c r="Z5845">
        <v>-4.9315800000000005E-4</v>
      </c>
      <c r="AA5845">
        <v>0.99861409999999995</v>
      </c>
      <c r="AB5845">
        <v>27</v>
      </c>
      <c r="AC5845">
        <v>125.0904</v>
      </c>
      <c r="AD5845">
        <v>1.7699969999999901</v>
      </c>
      <c r="AE5845">
        <v>-8.9322339999999905</v>
      </c>
      <c r="AF5845">
        <v>6.6064551678538503</v>
      </c>
      <c r="AG5845">
        <v>1.7699969999999901</v>
      </c>
      <c r="AH5845">
        <v>125.20975928201</v>
      </c>
      <c r="AI5845">
        <v>89.191231086566404</v>
      </c>
      <c r="AJ5845">
        <v>86.979697709286796</v>
      </c>
      <c r="AK5845">
        <v>125.39641924203301</v>
      </c>
      <c r="AL5845">
        <v>78.018327338455094</v>
      </c>
      <c r="AM5845">
        <v>95.672188777082596</v>
      </c>
      <c r="AN5845">
        <v>1.0000000107576801</v>
      </c>
    </row>
    <row r="5846" spans="1:40" x14ac:dyDescent="0.25">
      <c r="A5846" t="str">
        <f>"20190304155218583"</f>
        <v>20190304155218583</v>
      </c>
      <c r="B5846" t="str">
        <f>"1551685938572924"</f>
        <v>1551685938572924</v>
      </c>
      <c r="C5846" t="s">
        <v>40</v>
      </c>
      <c r="D5846">
        <v>4.6420269999999997</v>
      </c>
      <c r="E5846">
        <v>0.55527789999999999</v>
      </c>
      <c r="F5846" t="s">
        <v>65</v>
      </c>
      <c r="G5846">
        <v>-241.07</v>
      </c>
      <c r="H5846">
        <v>2.7497910000000001</v>
      </c>
      <c r="I5846">
        <v>8.0578000000000003</v>
      </c>
      <c r="J5846">
        <v>-365.94720000000001</v>
      </c>
      <c r="K5846">
        <v>1.111418</v>
      </c>
      <c r="L5846">
        <v>16.964230000000001</v>
      </c>
      <c r="M5846">
        <v>0.99975340000000001</v>
      </c>
      <c r="N5846">
        <v>-1.3486379999999999E-2</v>
      </c>
      <c r="O5846">
        <v>-1.7640530000000001E-2</v>
      </c>
      <c r="P5846">
        <v>0.97805699999999995</v>
      </c>
      <c r="Q5846">
        <v>0.19361200000000001</v>
      </c>
      <c r="R5846">
        <v>7.6933699999999994E-2</v>
      </c>
      <c r="S5846">
        <v>3.0777589999999999</v>
      </c>
      <c r="T5846">
        <v>4.0310619999999998E-2</v>
      </c>
      <c r="U5846">
        <v>-0.21920780000000001</v>
      </c>
      <c r="V5846">
        <v>-9.4610079999999999E-2</v>
      </c>
      <c r="W5846">
        <v>0.2065669</v>
      </c>
      <c r="X5846">
        <v>0.97384760000000004</v>
      </c>
      <c r="Y5846">
        <v>5.3440950000000001E-2</v>
      </c>
      <c r="Z5846">
        <v>-4.7966380000000002E-4</v>
      </c>
      <c r="AA5846">
        <v>0.99857090000000004</v>
      </c>
      <c r="AB5846">
        <v>27</v>
      </c>
      <c r="AC5846">
        <v>124.8772</v>
      </c>
      <c r="AD5846">
        <v>1.6383729999999901</v>
      </c>
      <c r="AE5846">
        <v>-8.9064300000000003</v>
      </c>
      <c r="AF5846">
        <v>6.7007958437809299</v>
      </c>
      <c r="AG5846">
        <v>1.6383729999999901</v>
      </c>
      <c r="AH5846">
        <v>124.993486857824</v>
      </c>
      <c r="AI5846">
        <v>89.250105689388903</v>
      </c>
      <c r="AJ5846">
        <v>86.931358834553095</v>
      </c>
      <c r="AK5846">
        <v>125.183691780936</v>
      </c>
      <c r="AL5846">
        <v>78.078761319527104</v>
      </c>
      <c r="AM5846">
        <v>95.548917514751494</v>
      </c>
      <c r="AN5846">
        <v>1.0000000497194801</v>
      </c>
    </row>
    <row r="5847" spans="1:40" x14ac:dyDescent="0.25">
      <c r="A5847" t="str">
        <f>"20190304155218606"</f>
        <v>20190304155218606</v>
      </c>
      <c r="B5847" t="str">
        <f>"1551685938602201"</f>
        <v>1551685938602201</v>
      </c>
      <c r="C5847" t="s">
        <v>40</v>
      </c>
      <c r="D5847">
        <v>4.6143510000000001</v>
      </c>
      <c r="E5847">
        <v>0.5545428</v>
      </c>
      <c r="F5847" t="s">
        <v>65</v>
      </c>
      <c r="G5847">
        <v>-241.07</v>
      </c>
      <c r="H5847">
        <v>2.5683039999999999</v>
      </c>
      <c r="I5847">
        <v>7.9558979999999897</v>
      </c>
      <c r="J5847">
        <v>-365.68220000000002</v>
      </c>
      <c r="K5847">
        <v>1.111415</v>
      </c>
      <c r="L5847">
        <v>16.960850000000001</v>
      </c>
      <c r="M5847">
        <v>0.99977199999999999</v>
      </c>
      <c r="N5847">
        <v>-1.355931E-2</v>
      </c>
      <c r="O5847">
        <v>-1.65019E-2</v>
      </c>
      <c r="P5847">
        <v>0.97828959999999998</v>
      </c>
      <c r="Q5847">
        <v>0.1927576</v>
      </c>
      <c r="R5847">
        <v>7.6120389999999996E-2</v>
      </c>
      <c r="S5847">
        <v>3.0776669999999999</v>
      </c>
      <c r="T5847">
        <v>3.5905600000000003E-2</v>
      </c>
      <c r="U5847">
        <v>-0.2220154</v>
      </c>
      <c r="V5847">
        <v>-9.2680040000000005E-2</v>
      </c>
      <c r="W5847">
        <v>0.2057956</v>
      </c>
      <c r="X5847">
        <v>0.97419639999999996</v>
      </c>
      <c r="Y5847">
        <v>5.5485989999999999E-2</v>
      </c>
      <c r="Z5847">
        <v>-4.6917310000000001E-4</v>
      </c>
      <c r="AA5847">
        <v>0.99845930000000005</v>
      </c>
      <c r="AB5847">
        <v>27</v>
      </c>
      <c r="AC5847">
        <v>124.6122</v>
      </c>
      <c r="AD5847">
        <v>1.4568890000000001</v>
      </c>
      <c r="AE5847">
        <v>-9.0049519999999994</v>
      </c>
      <c r="AF5847">
        <v>6.9462541723189597</v>
      </c>
      <c r="AG5847">
        <v>1.4568890000000001</v>
      </c>
      <c r="AH5847">
        <v>124.726881292345</v>
      </c>
      <c r="AI5847">
        <v>89.331814741772703</v>
      </c>
      <c r="AJ5847">
        <v>86.812392468608905</v>
      </c>
      <c r="AK5847">
        <v>124.92865119539</v>
      </c>
      <c r="AL5847">
        <v>78.123923594648403</v>
      </c>
      <c r="AM5847">
        <v>95.434470307700195</v>
      </c>
      <c r="AN5847">
        <v>1.00000002228336</v>
      </c>
    </row>
    <row r="5848" spans="1:40" x14ac:dyDescent="0.25">
      <c r="A5848" t="str">
        <f>"20190304155218618"</f>
        <v>20190304155218618</v>
      </c>
      <c r="B5848" t="str">
        <f>"1551685938612937"</f>
        <v>1551685938612937</v>
      </c>
      <c r="C5848" t="s">
        <v>40</v>
      </c>
      <c r="D5848">
        <v>4.5848909999999998</v>
      </c>
      <c r="E5848">
        <v>0.55423520000000004</v>
      </c>
      <c r="F5848" t="s">
        <v>65</v>
      </c>
      <c r="G5848">
        <v>-241.07</v>
      </c>
      <c r="H5848">
        <v>2.348058</v>
      </c>
      <c r="I5848">
        <v>8.0851290000000002</v>
      </c>
      <c r="J5848">
        <v>-365.53210000000001</v>
      </c>
      <c r="K5848">
        <v>1.1114090000000001</v>
      </c>
      <c r="L5848">
        <v>16.95908</v>
      </c>
      <c r="M5848">
        <v>0.9997817</v>
      </c>
      <c r="N5848">
        <v>-1.359516E-2</v>
      </c>
      <c r="O5848">
        <v>-1.5867470000000002E-2</v>
      </c>
      <c r="P5848">
        <v>0.97839799999999999</v>
      </c>
      <c r="Q5848">
        <v>0.1922548</v>
      </c>
      <c r="R5848">
        <v>7.5998510000000005E-2</v>
      </c>
      <c r="S5848">
        <v>3.0776059999999998</v>
      </c>
      <c r="T5848">
        <v>3.0541780000000001E-2</v>
      </c>
      <c r="U5848">
        <v>-0.21920780000000001</v>
      </c>
      <c r="V5848">
        <v>-9.1934290000000002E-2</v>
      </c>
      <c r="W5848">
        <v>0.20533319999999999</v>
      </c>
      <c r="X5848">
        <v>0.97436460000000003</v>
      </c>
      <c r="Y5848">
        <v>5.5214310000000003E-2</v>
      </c>
      <c r="Z5848">
        <v>-4.7491500000000002E-4</v>
      </c>
      <c r="AA5848">
        <v>0.99847439999999998</v>
      </c>
      <c r="AB5848">
        <v>27</v>
      </c>
      <c r="AC5848">
        <v>124.46210000000001</v>
      </c>
      <c r="AD5848">
        <v>1.2366490000000001</v>
      </c>
      <c r="AE5848">
        <v>-8.8739509999999999</v>
      </c>
      <c r="AF5848">
        <v>6.8970750201187201</v>
      </c>
      <c r="AG5848">
        <v>1.2366490000000001</v>
      </c>
      <c r="AH5848">
        <v>124.575011731931</v>
      </c>
      <c r="AI5848">
        <v>89.432116397128596</v>
      </c>
      <c r="AJ5848">
        <v>86.831063831816905</v>
      </c>
      <c r="AK5848">
        <v>124.771921891879</v>
      </c>
      <c r="AL5848">
        <v>78.150995112397894</v>
      </c>
      <c r="AM5848">
        <v>95.390075362860898</v>
      </c>
      <c r="AN5848">
        <v>1.0000000052166</v>
      </c>
    </row>
    <row r="5849" spans="1:40" x14ac:dyDescent="0.25">
      <c r="A5849" t="str">
        <f>"20190304155218640"</f>
        <v>20190304155218640</v>
      </c>
      <c r="B5849" t="str">
        <f>"1551685938632457"</f>
        <v>1551685938632457</v>
      </c>
      <c r="C5849" t="s">
        <v>40</v>
      </c>
      <c r="D5849">
        <v>4.6251910000000001</v>
      </c>
      <c r="E5849">
        <v>0.55366749999999998</v>
      </c>
      <c r="F5849" t="s">
        <v>65</v>
      </c>
      <c r="G5849">
        <v>-241.07</v>
      </c>
      <c r="H5849">
        <v>2.224081</v>
      </c>
      <c r="I5849">
        <v>8.1683610000000009</v>
      </c>
      <c r="J5849">
        <v>-365.27350000000001</v>
      </c>
      <c r="K5849">
        <v>1.1113980000000001</v>
      </c>
      <c r="L5849">
        <v>16.956209999999999</v>
      </c>
      <c r="M5849">
        <v>0.99979759999999995</v>
      </c>
      <c r="N5849">
        <v>-1.365156E-2</v>
      </c>
      <c r="O5849">
        <v>-1.478758E-2</v>
      </c>
      <c r="P5849">
        <v>0.97854410000000003</v>
      </c>
      <c r="Q5849">
        <v>0.19146379999999999</v>
      </c>
      <c r="R5849">
        <v>7.6115139999999998E-2</v>
      </c>
      <c r="S5849">
        <v>3.0776979999999998</v>
      </c>
      <c r="T5849">
        <v>2.751398E-2</v>
      </c>
      <c r="U5849">
        <v>-0.21737670000000001</v>
      </c>
      <c r="V5849">
        <v>-9.0988040000000006E-2</v>
      </c>
      <c r="W5849">
        <v>0.2046065</v>
      </c>
      <c r="X5849">
        <v>0.97460630000000004</v>
      </c>
      <c r="Y5849">
        <v>5.5699150000000003E-2</v>
      </c>
      <c r="Z5849">
        <v>-4.656854E-4</v>
      </c>
      <c r="AA5849">
        <v>0.99844750000000004</v>
      </c>
      <c r="AB5849">
        <v>27</v>
      </c>
      <c r="AC5849">
        <v>124.20350000000001</v>
      </c>
      <c r="AD5849">
        <v>1.1126830000000001</v>
      </c>
      <c r="AE5849">
        <v>-8.7878489999999996</v>
      </c>
      <c r="AF5849">
        <v>6.9494928745771096</v>
      </c>
      <c r="AG5849">
        <v>1.1126830000000001</v>
      </c>
      <c r="AH5849">
        <v>124.30995302361799</v>
      </c>
      <c r="AI5849">
        <v>89.4879657347239</v>
      </c>
      <c r="AJ5849">
        <v>86.800235474318796</v>
      </c>
      <c r="AK5849">
        <v>124.50902752574299</v>
      </c>
      <c r="AL5849">
        <v>78.193535590295895</v>
      </c>
      <c r="AM5849">
        <v>95.333603391003095</v>
      </c>
      <c r="AN5849">
        <v>1.0000000416324899</v>
      </c>
    </row>
    <row r="5850" spans="1:40" x14ac:dyDescent="0.25">
      <c r="A5850" t="str">
        <f>"20190304155218651"</f>
        <v>20190304155218651</v>
      </c>
      <c r="B5850" t="str">
        <f>"1551685938643193"</f>
        <v>1551685938643193</v>
      </c>
      <c r="C5850" t="s">
        <v>40</v>
      </c>
      <c r="D5850">
        <v>4.6714279999999997</v>
      </c>
      <c r="E5850">
        <v>0.55342369999999996</v>
      </c>
      <c r="F5850" t="s">
        <v>65</v>
      </c>
      <c r="G5850">
        <v>-241.07</v>
      </c>
      <c r="H5850">
        <v>2.054049</v>
      </c>
      <c r="I5850">
        <v>8.3796630000000007</v>
      </c>
      <c r="J5850">
        <v>-365.12479999999999</v>
      </c>
      <c r="K5850">
        <v>1.111389</v>
      </c>
      <c r="L5850">
        <v>16.954650000000001</v>
      </c>
      <c r="M5850">
        <v>0.99980599999999997</v>
      </c>
      <c r="N5850">
        <v>-1.3680640000000001E-2</v>
      </c>
      <c r="O5850">
        <v>-1.417626E-2</v>
      </c>
      <c r="P5850">
        <v>0.97856109999999996</v>
      </c>
      <c r="Q5850">
        <v>0.1913224</v>
      </c>
      <c r="R5850">
        <v>7.6252390000000003E-2</v>
      </c>
      <c r="S5850">
        <v>3.077728</v>
      </c>
      <c r="T5850">
        <v>2.3358460000000001E-2</v>
      </c>
      <c r="U5850">
        <v>-0.2125244</v>
      </c>
      <c r="V5850">
        <v>-9.0522149999999996E-2</v>
      </c>
      <c r="W5850">
        <v>0.20449729999999999</v>
      </c>
      <c r="X5850">
        <v>0.9746726</v>
      </c>
      <c r="Y5850">
        <v>5.4741959999999999E-2</v>
      </c>
      <c r="Z5850">
        <v>-4.6861370000000002E-4</v>
      </c>
      <c r="AA5850">
        <v>0.99850039999999995</v>
      </c>
      <c r="AB5850">
        <v>27</v>
      </c>
      <c r="AC5850">
        <v>124.0548</v>
      </c>
      <c r="AD5850">
        <v>0.94266000000000005</v>
      </c>
      <c r="AE5850">
        <v>-8.5749870000000001</v>
      </c>
      <c r="AF5850">
        <v>6.8149359739474002</v>
      </c>
      <c r="AG5850">
        <v>0.94266000000000005</v>
      </c>
      <c r="AH5850">
        <v>124.156769409457</v>
      </c>
      <c r="AI5850">
        <v>89.565644093453201</v>
      </c>
      <c r="AJ5850">
        <v>86.858200854607105</v>
      </c>
      <c r="AK5850">
        <v>124.347237003472</v>
      </c>
      <c r="AL5850">
        <v>78.199927435869299</v>
      </c>
      <c r="AM5850">
        <v>95.306090908813701</v>
      </c>
      <c r="AN5850">
        <v>1.00000004126933</v>
      </c>
    </row>
    <row r="5851" spans="1:40" x14ac:dyDescent="0.25">
      <c r="A5851" t="str">
        <f>"20190304155218666"</f>
        <v>20190304155218666</v>
      </c>
      <c r="B5851" t="str">
        <f>"1551685938662713"</f>
        <v>1551685938662713</v>
      </c>
      <c r="C5851" t="s">
        <v>40</v>
      </c>
      <c r="D5851">
        <v>4.702445</v>
      </c>
      <c r="E5851">
        <v>0.55293999999999999</v>
      </c>
      <c r="F5851" t="s">
        <v>65</v>
      </c>
      <c r="G5851">
        <v>-241.07</v>
      </c>
      <c r="H5851">
        <v>2.0028640000000002</v>
      </c>
      <c r="I5851">
        <v>8.4782510000000002</v>
      </c>
      <c r="J5851">
        <v>-364.94229999999999</v>
      </c>
      <c r="K5851">
        <v>1.11138</v>
      </c>
      <c r="L5851">
        <v>16.95288</v>
      </c>
      <c r="M5851">
        <v>0.99981569999999997</v>
      </c>
      <c r="N5851">
        <v>-1.3713120000000001E-2</v>
      </c>
      <c r="O5851">
        <v>-1.343424E-2</v>
      </c>
      <c r="P5851">
        <v>0.97854960000000002</v>
      </c>
      <c r="Q5851">
        <v>0.19121959999999999</v>
      </c>
      <c r="R5851">
        <v>7.6653540000000006E-2</v>
      </c>
      <c r="S5851">
        <v>3.0777589999999999</v>
      </c>
      <c r="T5851">
        <v>2.2117020000000001E-2</v>
      </c>
      <c r="U5851">
        <v>-0.2102966</v>
      </c>
      <c r="V5851">
        <v>-9.0190660000000006E-2</v>
      </c>
      <c r="W5851">
        <v>0.20443049999999999</v>
      </c>
      <c r="X5851">
        <v>0.97471730000000001</v>
      </c>
      <c r="Y5851">
        <v>5.4762709999999999E-2</v>
      </c>
      <c r="Z5851">
        <v>-4.5985200000000001E-4</v>
      </c>
      <c r="AA5851">
        <v>0.99849929999999998</v>
      </c>
      <c r="AB5851">
        <v>27</v>
      </c>
      <c r="AC5851">
        <v>123.8723</v>
      </c>
      <c r="AD5851">
        <v>0.89148399999999905</v>
      </c>
      <c r="AE5851">
        <v>-8.4746290000000002</v>
      </c>
      <c r="AF5851">
        <v>6.8092263122616696</v>
      </c>
      <c r="AG5851">
        <v>0.89148399999999905</v>
      </c>
      <c r="AH5851">
        <v>123.96858923318599</v>
      </c>
      <c r="AI5851">
        <v>89.588601294707203</v>
      </c>
      <c r="AJ5851">
        <v>86.856072230724806</v>
      </c>
      <c r="AK5851">
        <v>124.158654241902</v>
      </c>
      <c r="AL5851">
        <v>78.203836897764106</v>
      </c>
      <c r="AM5851">
        <v>95.286529355567495</v>
      </c>
      <c r="AN5851">
        <v>0.999999999700387</v>
      </c>
    </row>
    <row r="5852" spans="1:40" x14ac:dyDescent="0.25">
      <c r="A5852" t="str">
        <f>"20190304155218684"</f>
        <v>20190304155218684</v>
      </c>
      <c r="B5852" t="str">
        <f>"1551685938682233"</f>
        <v>1551685938682233</v>
      </c>
      <c r="C5852" t="s">
        <v>40</v>
      </c>
      <c r="D5852">
        <v>4.6681949999999999</v>
      </c>
      <c r="E5852">
        <v>0.55244589999999905</v>
      </c>
      <c r="F5852" t="s">
        <v>65</v>
      </c>
      <c r="G5852">
        <v>-241.07</v>
      </c>
      <c r="H5852">
        <v>1.917508</v>
      </c>
      <c r="I5852">
        <v>8.6896550000000001</v>
      </c>
      <c r="J5852">
        <v>-364.73200000000003</v>
      </c>
      <c r="K5852">
        <v>1.11137</v>
      </c>
      <c r="L5852">
        <v>16.950990000000001</v>
      </c>
      <c r="M5852">
        <v>0.9998262</v>
      </c>
      <c r="N5852">
        <v>-1.3746019999999999E-2</v>
      </c>
      <c r="O5852">
        <v>-1.259653E-2</v>
      </c>
      <c r="P5852">
        <v>0.97853190000000001</v>
      </c>
      <c r="Q5852">
        <v>0.19102069999999999</v>
      </c>
      <c r="R5852">
        <v>7.7372209999999997E-2</v>
      </c>
      <c r="S5852">
        <v>3.0779420000000002</v>
      </c>
      <c r="T5852">
        <v>2.0030260000000001E-2</v>
      </c>
      <c r="U5852">
        <v>-0.20532230000000001</v>
      </c>
      <c r="V5852">
        <v>-9.0081770000000005E-2</v>
      </c>
      <c r="W5852">
        <v>0.20426859999999999</v>
      </c>
      <c r="X5852">
        <v>0.97476130000000005</v>
      </c>
      <c r="Y5852">
        <v>5.398849E-2</v>
      </c>
      <c r="Z5852">
        <v>-4.5087179999999999E-4</v>
      </c>
      <c r="AA5852">
        <v>0.99854149999999997</v>
      </c>
      <c r="AB5852">
        <v>27</v>
      </c>
      <c r="AC5852">
        <v>123.661999999999</v>
      </c>
      <c r="AD5852">
        <v>0.80613800000000002</v>
      </c>
      <c r="AE5852">
        <v>-8.2613350000000008</v>
      </c>
      <c r="AF5852">
        <v>6.7025366248181397</v>
      </c>
      <c r="AG5852">
        <v>0.80613800000000002</v>
      </c>
      <c r="AH5852">
        <v>123.751025322221</v>
      </c>
      <c r="AI5852">
        <v>89.627315754732805</v>
      </c>
      <c r="AJ5852">
        <v>86.899805805139593</v>
      </c>
      <c r="AK5852">
        <v>123.935023798695</v>
      </c>
      <c r="AL5852">
        <v>78.2133129237384</v>
      </c>
      <c r="AM5852">
        <v>95.279945864979297</v>
      </c>
      <c r="AN5852">
        <v>0.99999998910499099</v>
      </c>
    </row>
    <row r="5853" spans="1:40" x14ac:dyDescent="0.25">
      <c r="A5853" t="str">
        <f>"20190304155218697"</f>
        <v>20190304155218697</v>
      </c>
      <c r="B5853" t="str">
        <f>"1551685938692968"</f>
        <v>1551685938692968</v>
      </c>
      <c r="C5853" t="s">
        <v>40</v>
      </c>
      <c r="D5853">
        <v>4.5639580000000004</v>
      </c>
      <c r="E5853">
        <v>0.55244589999999905</v>
      </c>
      <c r="F5853" t="s">
        <v>65</v>
      </c>
      <c r="G5853">
        <v>-241.07</v>
      </c>
      <c r="H5853">
        <v>1.8433729999999999</v>
      </c>
      <c r="I5853">
        <v>8.9400460000000006</v>
      </c>
      <c r="J5853">
        <v>-364.5727</v>
      </c>
      <c r="K5853">
        <v>1.1113580000000001</v>
      </c>
      <c r="L5853">
        <v>16.94971</v>
      </c>
      <c r="M5853">
        <v>0.99983350000000004</v>
      </c>
      <c r="N5853">
        <v>-1.376819E-2</v>
      </c>
      <c r="O5853">
        <v>-1.197281E-2</v>
      </c>
      <c r="P5853">
        <v>0.97853920000000005</v>
      </c>
      <c r="Q5853">
        <v>0.19072430000000001</v>
      </c>
      <c r="R5853">
        <v>7.8010010000000005E-2</v>
      </c>
      <c r="S5853">
        <v>3.0780940000000001</v>
      </c>
      <c r="T5853">
        <v>1.822031E-2</v>
      </c>
      <c r="U5853">
        <v>-0.19940189999999999</v>
      </c>
      <c r="V5853">
        <v>-9.0103699999999995E-2</v>
      </c>
      <c r="W5853">
        <v>0.20399690000000001</v>
      </c>
      <c r="X5853">
        <v>0.97481620000000002</v>
      </c>
      <c r="Y5853">
        <v>5.2695449999999998E-2</v>
      </c>
      <c r="Z5853">
        <v>-4.4283819999999999E-4</v>
      </c>
      <c r="AA5853">
        <v>0.99861060000000001</v>
      </c>
      <c r="AB5853">
        <v>27</v>
      </c>
      <c r="AC5853">
        <v>123.5027</v>
      </c>
      <c r="AD5853">
        <v>0.73201499999999897</v>
      </c>
      <c r="AE5853">
        <v>-8.0096639999999901</v>
      </c>
      <c r="AF5853">
        <v>6.5300467630894499</v>
      </c>
      <c r="AG5853">
        <v>0.73201499999999897</v>
      </c>
      <c r="AH5853">
        <v>123.585429878562</v>
      </c>
      <c r="AI5853">
        <v>89.661105227759407</v>
      </c>
      <c r="AJ5853">
        <v>86.975399830793506</v>
      </c>
      <c r="AK5853">
        <v>123.75999286909099</v>
      </c>
      <c r="AL5853">
        <v>78.229215378042994</v>
      </c>
      <c r="AM5853">
        <v>95.280928228716306</v>
      </c>
      <c r="AN5853">
        <v>1.0000000178728601</v>
      </c>
    </row>
    <row r="5854" spans="1:40" x14ac:dyDescent="0.25">
      <c r="A5854" t="str">
        <f>"20190304155218718"</f>
        <v>20190304155218718</v>
      </c>
      <c r="B5854" t="str">
        <f>"1551685938712489"</f>
        <v>1551685938712489</v>
      </c>
      <c r="C5854" t="s">
        <v>40</v>
      </c>
      <c r="D5854">
        <v>5.1235980000000003</v>
      </c>
      <c r="E5854">
        <v>0.56372029999999995</v>
      </c>
      <c r="F5854" t="s">
        <v>65</v>
      </c>
      <c r="G5854">
        <v>-241.07</v>
      </c>
      <c r="H5854">
        <v>1.804897</v>
      </c>
      <c r="I5854">
        <v>9.0288350000000008</v>
      </c>
      <c r="J5854">
        <v>-364.32729999999998</v>
      </c>
      <c r="K5854">
        <v>1.1113390000000001</v>
      </c>
      <c r="L5854">
        <v>16.947849999999999</v>
      </c>
      <c r="M5854">
        <v>0.99984410000000001</v>
      </c>
      <c r="N5854">
        <v>-1.3798980000000001E-2</v>
      </c>
      <c r="O5854">
        <v>-1.102965E-2</v>
      </c>
      <c r="P5854">
        <v>0.97858509999999999</v>
      </c>
      <c r="Q5854">
        <v>0.19009580000000001</v>
      </c>
      <c r="R5854">
        <v>7.8960840000000004E-2</v>
      </c>
      <c r="S5854">
        <v>3.0781559999999999</v>
      </c>
      <c r="T5854">
        <v>1.7285470000000001E-2</v>
      </c>
      <c r="U5854">
        <v>-0.19741819999999999</v>
      </c>
      <c r="V5854">
        <v>-9.0121569999999998E-2</v>
      </c>
      <c r="W5854">
        <v>0.203404</v>
      </c>
      <c r="X5854">
        <v>0.97493839999999998</v>
      </c>
      <c r="Y5854">
        <v>5.299504E-2</v>
      </c>
      <c r="Z5854">
        <v>-4.3131099999999998E-4</v>
      </c>
      <c r="AA5854">
        <v>0.99859469999999995</v>
      </c>
      <c r="AB5854">
        <v>27</v>
      </c>
      <c r="AC5854">
        <v>123.2573</v>
      </c>
      <c r="AD5854">
        <v>0.69355800000000001</v>
      </c>
      <c r="AE5854">
        <v>-7.9190149999999901</v>
      </c>
      <c r="AF5854">
        <v>6.5587122661482402</v>
      </c>
      <c r="AG5854">
        <v>0.69355800000000001</v>
      </c>
      <c r="AH5854">
        <v>123.333264350588</v>
      </c>
      <c r="AI5854">
        <v>89.678258261102997</v>
      </c>
      <c r="AJ5854">
        <v>86.955947817555398</v>
      </c>
      <c r="AK5854">
        <v>123.50948070760199</v>
      </c>
      <c r="AL5854">
        <v>78.263913152373703</v>
      </c>
      <c r="AM5854">
        <v>95.281311351457404</v>
      </c>
      <c r="AN5854">
        <v>0.99999998419491198</v>
      </c>
    </row>
    <row r="5855" spans="1:40" x14ac:dyDescent="0.25">
      <c r="A5855" t="str">
        <f>"20190304155218740"</f>
        <v>20190304155218740</v>
      </c>
      <c r="B5855" t="str">
        <f>"1551685938732985"</f>
        <v>1551685938732985</v>
      </c>
      <c r="C5855" t="s">
        <v>40</v>
      </c>
      <c r="D5855">
        <v>4.626093</v>
      </c>
      <c r="E5855">
        <v>0.54247609999999902</v>
      </c>
      <c r="F5855" t="s">
        <v>65</v>
      </c>
      <c r="G5855">
        <v>-241.07</v>
      </c>
      <c r="H5855">
        <v>14.754860000000001</v>
      </c>
      <c r="I5855">
        <v>5.6926370000000004</v>
      </c>
      <c r="J5855">
        <v>-364.05849999999998</v>
      </c>
      <c r="K5855">
        <v>1.1113219999999999</v>
      </c>
      <c r="L5855">
        <v>16.94604</v>
      </c>
      <c r="M5855">
        <v>0.99985420000000003</v>
      </c>
      <c r="N5855">
        <v>-1.382803E-2</v>
      </c>
      <c r="O5855">
        <v>-1.0020589999999999E-2</v>
      </c>
      <c r="P5855">
        <v>0.97877119999999995</v>
      </c>
      <c r="Q5855">
        <v>0.18877559999999999</v>
      </c>
      <c r="R5855">
        <v>7.9818070000000005E-2</v>
      </c>
      <c r="S5855">
        <v>3.0228579999999998</v>
      </c>
      <c r="T5855">
        <v>0.33460430000000002</v>
      </c>
      <c r="U5855">
        <v>-0.27603149999999999</v>
      </c>
      <c r="V5855">
        <v>-8.9981409999999998E-2</v>
      </c>
      <c r="W5855">
        <v>0.20212089999999999</v>
      </c>
      <c r="X5855">
        <v>0.97521820000000004</v>
      </c>
      <c r="Y5855">
        <v>8.0602179999999995E-2</v>
      </c>
      <c r="Z5855">
        <v>2.6370819999999998E-3</v>
      </c>
      <c r="AA5855">
        <v>0.99674280000000004</v>
      </c>
      <c r="AB5855">
        <v>27</v>
      </c>
      <c r="AC5855">
        <v>122.9885</v>
      </c>
      <c r="AD5855">
        <v>13.643537999999999</v>
      </c>
      <c r="AE5855">
        <v>-11.253403</v>
      </c>
      <c r="AF5855">
        <v>9.8994888369738998</v>
      </c>
      <c r="AG5855">
        <v>13.643537999999999</v>
      </c>
      <c r="AH5855">
        <v>121.61095368452899</v>
      </c>
      <c r="AI5855">
        <v>83.619680798864593</v>
      </c>
      <c r="AJ5855">
        <v>85.346216488073395</v>
      </c>
      <c r="AK5855">
        <v>122.77365378798299</v>
      </c>
      <c r="AL5855">
        <v>78.338989332297103</v>
      </c>
      <c r="AM5855">
        <v>95.271639628793494</v>
      </c>
      <c r="AN5855">
        <v>1.00000002498681</v>
      </c>
    </row>
    <row r="5856" spans="1:40" x14ac:dyDescent="0.25">
      <c r="A5856" t="str">
        <f>"20190304155218753"</f>
        <v>20190304155218753</v>
      </c>
      <c r="B5856" t="str">
        <f>"1551685938742745"</f>
        <v>1551685938742745</v>
      </c>
      <c r="C5856" t="s">
        <v>40</v>
      </c>
      <c r="D5856">
        <v>4.8167450000000001</v>
      </c>
      <c r="E5856">
        <v>0.54935679999999998</v>
      </c>
      <c r="F5856" t="s">
        <v>99</v>
      </c>
      <c r="G5856">
        <v>-274.49669999999998</v>
      </c>
      <c r="H5856">
        <v>1.9469970000000001</v>
      </c>
      <c r="I5856">
        <v>13.66572</v>
      </c>
      <c r="J5856">
        <v>-363.90129999999999</v>
      </c>
      <c r="K5856">
        <v>1.1113109999999999</v>
      </c>
      <c r="L5856">
        <v>16.9451</v>
      </c>
      <c r="M5856">
        <v>0.99985970000000002</v>
      </c>
      <c r="N5856">
        <v>-1.384289E-2</v>
      </c>
      <c r="O5856">
        <v>-9.4423609999999998E-3</v>
      </c>
      <c r="P5856">
        <v>0.9789042</v>
      </c>
      <c r="Q5856">
        <v>0.18792990000000001</v>
      </c>
      <c r="R5856">
        <v>8.0180840000000003E-2</v>
      </c>
      <c r="S5856">
        <v>3.0687259999999998</v>
      </c>
      <c r="T5856">
        <v>2.8633479999999999E-2</v>
      </c>
      <c r="U5856">
        <v>-0.1123962</v>
      </c>
      <c r="V5856">
        <v>-8.9772370000000004E-2</v>
      </c>
      <c r="W5856">
        <v>0.20129559999999999</v>
      </c>
      <c r="X5856">
        <v>0.9754081</v>
      </c>
      <c r="Y5856">
        <v>2.7166349999999999E-2</v>
      </c>
      <c r="Z5856">
        <v>-2.8014460000000001E-4</v>
      </c>
      <c r="AA5856">
        <v>0.99963089999999999</v>
      </c>
      <c r="AB5856">
        <v>27</v>
      </c>
      <c r="AC5856">
        <v>89.404600000000002</v>
      </c>
      <c r="AD5856">
        <v>0.83568599999999904</v>
      </c>
      <c r="AE5856">
        <v>-3.2793800000000002</v>
      </c>
      <c r="AF5856">
        <v>2.4347500183997499</v>
      </c>
      <c r="AG5856">
        <v>0.83568599999999904</v>
      </c>
      <c r="AH5856">
        <v>89.423779093123201</v>
      </c>
      <c r="AI5856">
        <v>89.464771548065897</v>
      </c>
      <c r="AJ5856">
        <v>88.440387494264399</v>
      </c>
      <c r="AK5856">
        <v>89.460821849781794</v>
      </c>
      <c r="AL5856">
        <v>78.387267335207497</v>
      </c>
      <c r="AM5856">
        <v>95.258443385767293</v>
      </c>
      <c r="AN5856">
        <v>0.99999997927019302</v>
      </c>
    </row>
    <row r="5857" spans="1:40" x14ac:dyDescent="0.25">
      <c r="A5857" t="str">
        <f>"20190304155218766"</f>
        <v>20190304155218766</v>
      </c>
      <c r="B5857" t="str">
        <f>"1551685938763241"</f>
        <v>1551685938763241</v>
      </c>
      <c r="C5857" t="s">
        <v>40</v>
      </c>
      <c r="D5857">
        <v>5.2172650000000003</v>
      </c>
      <c r="E5857">
        <v>0.55312669999999997</v>
      </c>
      <c r="F5857" t="s">
        <v>99</v>
      </c>
      <c r="G5857">
        <v>-274.49669999999998</v>
      </c>
      <c r="H5857">
        <v>2.7869429999999999</v>
      </c>
      <c r="I5857">
        <v>12.127230000000001</v>
      </c>
      <c r="J5857">
        <v>-363.74740000000003</v>
      </c>
      <c r="K5857">
        <v>1.1112949999999999</v>
      </c>
      <c r="L5857">
        <v>16.944240000000001</v>
      </c>
      <c r="M5857">
        <v>0.99986470000000005</v>
      </c>
      <c r="N5857">
        <v>-1.3856250000000001E-2</v>
      </c>
      <c r="O5857">
        <v>-8.8830739999999995E-3</v>
      </c>
      <c r="P5857">
        <v>0.97898479999999999</v>
      </c>
      <c r="Q5857">
        <v>0.18737280000000001</v>
      </c>
      <c r="R5857">
        <v>8.0503019999999995E-2</v>
      </c>
      <c r="S5857">
        <v>3.0671390000000001</v>
      </c>
      <c r="T5857">
        <v>5.7484750000000001E-2</v>
      </c>
      <c r="U5857">
        <v>-0.16528319999999999</v>
      </c>
      <c r="V5857">
        <v>-8.9541570000000001E-2</v>
      </c>
      <c r="W5857">
        <v>0.20075609999999999</v>
      </c>
      <c r="X5857">
        <v>0.97554050000000003</v>
      </c>
      <c r="Y5857">
        <v>4.4939809999999997E-2</v>
      </c>
      <c r="Z5857">
        <v>-1.8013790000000001E-4</v>
      </c>
      <c r="AA5857">
        <v>0.99898969999999998</v>
      </c>
      <c r="AB5857">
        <v>27</v>
      </c>
      <c r="AC5857">
        <v>89.250699999999995</v>
      </c>
      <c r="AD5857">
        <v>1.67564799999999</v>
      </c>
      <c r="AE5857">
        <v>-4.8170099999999998</v>
      </c>
      <c r="AF5857">
        <v>4.0225095809043703</v>
      </c>
      <c r="AG5857">
        <v>1.67564799999999</v>
      </c>
      <c r="AH5857">
        <v>89.258600813484406</v>
      </c>
      <c r="AI5857">
        <v>88.925605243567901</v>
      </c>
      <c r="AJ5857">
        <v>87.419666167764802</v>
      </c>
      <c r="AK5857">
        <v>89.364904737426599</v>
      </c>
      <c r="AL5857">
        <v>78.418822656710603</v>
      </c>
      <c r="AM5857">
        <v>95.244291824065996</v>
      </c>
      <c r="AN5857">
        <v>0.99999998579276195</v>
      </c>
    </row>
    <row r="5858" spans="1:40" x14ac:dyDescent="0.25">
      <c r="A5858" t="str">
        <f>"20190304155218784"</f>
        <v>20190304155218784</v>
      </c>
      <c r="B5858" t="str">
        <f>"1551685938782761"</f>
        <v>1551685938782761</v>
      </c>
      <c r="C5858" t="s">
        <v>40</v>
      </c>
      <c r="D5858">
        <v>5.139672</v>
      </c>
      <c r="E5858">
        <v>0.55833669999999902</v>
      </c>
      <c r="F5858" t="s">
        <v>65</v>
      </c>
      <c r="G5858">
        <v>-241.07</v>
      </c>
      <c r="H5858">
        <v>2.5862810000000001</v>
      </c>
      <c r="I5858">
        <v>9.1722979999999996</v>
      </c>
      <c r="J5858">
        <v>-363.52499999999998</v>
      </c>
      <c r="K5858">
        <v>1.1112759999999999</v>
      </c>
      <c r="L5858">
        <v>16.943179999999899</v>
      </c>
      <c r="M5858">
        <v>0.99987110000000001</v>
      </c>
      <c r="N5858">
        <v>-1.3873160000000001E-2</v>
      </c>
      <c r="O5858">
        <v>-8.0933519999999998E-3</v>
      </c>
      <c r="P5858">
        <v>0.97924420000000001</v>
      </c>
      <c r="Q5858">
        <v>0.18574270000000001</v>
      </c>
      <c r="R5858">
        <v>8.1122360000000004E-2</v>
      </c>
      <c r="S5858">
        <v>3.0733030000000001</v>
      </c>
      <c r="T5858">
        <v>3.6951070000000003E-2</v>
      </c>
      <c r="U5858">
        <v>-0.19470209999999999</v>
      </c>
      <c r="V5858">
        <v>-8.9379310000000003E-2</v>
      </c>
      <c r="W5858">
        <v>0.1991512</v>
      </c>
      <c r="X5858">
        <v>0.97588430000000004</v>
      </c>
      <c r="Y5858">
        <v>5.5149289999999997E-2</v>
      </c>
      <c r="Z5858">
        <v>-2.6112690000000002E-4</v>
      </c>
      <c r="AA5858">
        <v>0.99847810000000004</v>
      </c>
      <c r="AB5858">
        <v>27</v>
      </c>
      <c r="AC5858">
        <v>122.454999999999</v>
      </c>
      <c r="AD5858">
        <v>1.4750049999999999</v>
      </c>
      <c r="AE5858">
        <v>-7.7708819999999896</v>
      </c>
      <c r="AF5858">
        <v>6.7784811891912202</v>
      </c>
      <c r="AG5858">
        <v>1.4750049999999999</v>
      </c>
      <c r="AH5858">
        <v>122.496185607261</v>
      </c>
      <c r="AI5858">
        <v>89.311175280327703</v>
      </c>
      <c r="AJ5858">
        <v>86.832695888447603</v>
      </c>
      <c r="AK5858">
        <v>122.692456717236</v>
      </c>
      <c r="AL5858">
        <v>78.512672249874399</v>
      </c>
      <c r="AM5858">
        <v>95.233007415464598</v>
      </c>
      <c r="AN5858">
        <v>1.000000014252</v>
      </c>
    </row>
    <row r="5859" spans="1:40" x14ac:dyDescent="0.25">
      <c r="A5859" t="str">
        <f>"20190304155218798"</f>
        <v>20190304155218798</v>
      </c>
      <c r="B5859" t="str">
        <f>"1551685938792521"</f>
        <v>1551685938792521</v>
      </c>
      <c r="C5859" t="s">
        <v>40</v>
      </c>
      <c r="D5859">
        <v>5.1469579999999997</v>
      </c>
      <c r="E5859">
        <v>0.55964209999999903</v>
      </c>
      <c r="F5859" t="s">
        <v>65</v>
      </c>
      <c r="G5859">
        <v>-241.07</v>
      </c>
      <c r="H5859">
        <v>1.9268730000000001</v>
      </c>
      <c r="I5859">
        <v>7.6136530000000002</v>
      </c>
      <c r="J5859">
        <v>-363.37209999999999</v>
      </c>
      <c r="K5859">
        <v>1.111262</v>
      </c>
      <c r="L5859">
        <v>16.942540000000001</v>
      </c>
      <c r="M5859">
        <v>0.99987510000000002</v>
      </c>
      <c r="N5859">
        <v>-1.3883360000000001E-2</v>
      </c>
      <c r="O5859">
        <v>-7.5627869999999996E-3</v>
      </c>
      <c r="P5859">
        <v>0.97935209999999995</v>
      </c>
      <c r="Q5859">
        <v>0.1850938</v>
      </c>
      <c r="R5859">
        <v>8.1301440000000003E-2</v>
      </c>
      <c r="S5859">
        <v>3.0791019999999998</v>
      </c>
      <c r="T5859">
        <v>2.0507810000000001E-2</v>
      </c>
      <c r="U5859">
        <v>-0.23458860000000001</v>
      </c>
      <c r="V5859">
        <v>-8.9032680000000003E-2</v>
      </c>
      <c r="W5859">
        <v>0.19851759999999999</v>
      </c>
      <c r="X5859">
        <v>0.9760451</v>
      </c>
      <c r="Y5859">
        <v>6.8426600000000004E-2</v>
      </c>
      <c r="Z5859">
        <v>-4.0330869999999998E-4</v>
      </c>
      <c r="AA5859">
        <v>0.99765599999999999</v>
      </c>
      <c r="AB5859">
        <v>27</v>
      </c>
      <c r="AC5859">
        <v>122.3021</v>
      </c>
      <c r="AD5859">
        <v>0.81561099999999997</v>
      </c>
      <c r="AE5859">
        <v>-9.3288869999999999</v>
      </c>
      <c r="AF5859">
        <v>8.4032147907146797</v>
      </c>
      <c r="AG5859">
        <v>0.81561099999999997</v>
      </c>
      <c r="AH5859">
        <v>122.36375044872599</v>
      </c>
      <c r="AI5859">
        <v>89.619000119515107</v>
      </c>
      <c r="AJ5859">
        <v>86.0714346723029</v>
      </c>
      <c r="AK5859">
        <v>122.654664257012</v>
      </c>
      <c r="AL5859">
        <v>78.549714847638697</v>
      </c>
      <c r="AM5859">
        <v>95.211970774153301</v>
      </c>
      <c r="AN5859">
        <v>1.00000004642587</v>
      </c>
    </row>
    <row r="5860" spans="1:40" x14ac:dyDescent="0.25">
      <c r="A5860" t="str">
        <f>"20190304155218811"</f>
        <v>20190304155218811</v>
      </c>
      <c r="B5860" t="str">
        <f>"1551685938802281"</f>
        <v>1551685938802281</v>
      </c>
      <c r="C5860" t="s">
        <v>40</v>
      </c>
      <c r="D5860">
        <v>5.1244930000000002</v>
      </c>
      <c r="E5860">
        <v>0.56158419999999998</v>
      </c>
      <c r="F5860" t="s">
        <v>65</v>
      </c>
      <c r="G5860">
        <v>-241.07</v>
      </c>
      <c r="H5860">
        <v>1.80124199999999</v>
      </c>
      <c r="I5860">
        <v>7.2393130000000001</v>
      </c>
      <c r="J5860">
        <v>-363.21960000000001</v>
      </c>
      <c r="K5860">
        <v>1.111253</v>
      </c>
      <c r="L5860">
        <v>16.941960000000002</v>
      </c>
      <c r="M5860">
        <v>0.99987879999999996</v>
      </c>
      <c r="N5860">
        <v>-1.38929E-2</v>
      </c>
      <c r="O5860">
        <v>-7.0400879999999999E-3</v>
      </c>
      <c r="P5860">
        <v>0.9794349</v>
      </c>
      <c r="Q5860">
        <v>0.18443280000000001</v>
      </c>
      <c r="R5860">
        <v>8.1802810000000004E-2</v>
      </c>
      <c r="S5860">
        <v>3.080292</v>
      </c>
      <c r="T5860">
        <v>1.7377610000000002E-2</v>
      </c>
      <c r="U5860">
        <v>-0.24438480000000001</v>
      </c>
      <c r="V5860">
        <v>-8.9015709999999998E-2</v>
      </c>
      <c r="W5860">
        <v>0.19787070000000001</v>
      </c>
      <c r="X5860">
        <v>0.97617790000000004</v>
      </c>
      <c r="Y5860">
        <v>7.2071999999999997E-2</v>
      </c>
      <c r="Z5860">
        <v>-4.3578479999999999E-4</v>
      </c>
      <c r="AA5860">
        <v>0.99739929999999999</v>
      </c>
      <c r="AB5860">
        <v>27</v>
      </c>
      <c r="AC5860">
        <v>122.14960000000001</v>
      </c>
      <c r="AD5860">
        <v>0.68998899999999896</v>
      </c>
      <c r="AE5860">
        <v>-9.7026470000000007</v>
      </c>
      <c r="AF5860">
        <v>8.8420992867092707</v>
      </c>
      <c r="AG5860">
        <v>0.68998899999999896</v>
      </c>
      <c r="AH5860">
        <v>122.21101134846801</v>
      </c>
      <c r="AI5860">
        <v>89.677361537363396</v>
      </c>
      <c r="AJ5860">
        <v>85.861798845460896</v>
      </c>
      <c r="AK5860">
        <v>122.53240428324099</v>
      </c>
      <c r="AL5860">
        <v>78.587528528452097</v>
      </c>
      <c r="AM5860">
        <v>95.210277816273305</v>
      </c>
      <c r="AN5860">
        <v>0.99999995149684995</v>
      </c>
    </row>
    <row r="5861" spans="1:40" x14ac:dyDescent="0.25">
      <c r="A5861" t="str">
        <f>"20190304155218830"</f>
        <v>20190304155218830</v>
      </c>
      <c r="B5861" t="str">
        <f>"1551685938822777"</f>
        <v>1551685938822777</v>
      </c>
      <c r="C5861" t="s">
        <v>40</v>
      </c>
      <c r="D5861">
        <v>5.2191700000000001</v>
      </c>
      <c r="E5861">
        <v>0.56321549999999998</v>
      </c>
      <c r="F5861" t="s">
        <v>65</v>
      </c>
      <c r="G5861">
        <v>-241.07</v>
      </c>
      <c r="H5861">
        <v>1.1607080000000001</v>
      </c>
      <c r="I5861">
        <v>6.7014860000000001</v>
      </c>
      <c r="J5861">
        <v>-362.98590000000002</v>
      </c>
      <c r="K5861">
        <v>1.1112329999999999</v>
      </c>
      <c r="L5861">
        <v>16.941189999999999</v>
      </c>
      <c r="M5861">
        <v>0.99988370000000004</v>
      </c>
      <c r="N5861">
        <v>-1.390569E-2</v>
      </c>
      <c r="O5861">
        <v>-6.2575309999999898E-3</v>
      </c>
      <c r="P5861">
        <v>0.97974510000000004</v>
      </c>
      <c r="Q5861">
        <v>0.18262139999999999</v>
      </c>
      <c r="R5861">
        <v>8.215298E-2</v>
      </c>
      <c r="S5861">
        <v>3.08432</v>
      </c>
      <c r="T5861">
        <v>1.2485980000000001E-3</v>
      </c>
      <c r="U5861">
        <v>-0.25857540000000001</v>
      </c>
      <c r="V5861">
        <v>-8.8589650000000006E-2</v>
      </c>
      <c r="W5861">
        <v>0.19608249999999999</v>
      </c>
      <c r="X5861">
        <v>0.97657749999999999</v>
      </c>
      <c r="Y5861">
        <v>7.7305349999999995E-2</v>
      </c>
      <c r="Z5861">
        <v>-6.1224049999999996E-4</v>
      </c>
      <c r="AA5861">
        <v>0.99700730000000004</v>
      </c>
      <c r="AB5861">
        <v>27</v>
      </c>
      <c r="AC5861">
        <v>121.91589999999999</v>
      </c>
      <c r="AD5861">
        <v>4.9475000000000102E-2</v>
      </c>
      <c r="AE5861">
        <v>-10.239704</v>
      </c>
      <c r="AF5861">
        <v>9.4765356156568892</v>
      </c>
      <c r="AG5861">
        <v>4.9475000000000102E-2</v>
      </c>
      <c r="AH5861">
        <v>121.97757411915001</v>
      </c>
      <c r="AI5861">
        <v>89.976830231804001</v>
      </c>
      <c r="AJ5861">
        <v>85.557568537000193</v>
      </c>
      <c r="AK5861">
        <v>122.345150141079</v>
      </c>
      <c r="AL5861">
        <v>78.692033330765298</v>
      </c>
      <c r="AM5861">
        <v>95.183365647924504</v>
      </c>
      <c r="AN5861">
        <v>1.00000004319981</v>
      </c>
    </row>
    <row r="5862" spans="1:40" x14ac:dyDescent="0.25">
      <c r="A5862" t="str">
        <f>"20190304155218843"</f>
        <v>20190304155218843</v>
      </c>
      <c r="B5862" t="str">
        <f>"1551685938832537"</f>
        <v>1551685938832537</v>
      </c>
      <c r="C5862" t="s">
        <v>40</v>
      </c>
      <c r="D5862">
        <v>5.2472300000000001</v>
      </c>
      <c r="E5862">
        <v>0.56474389999999997</v>
      </c>
      <c r="F5862" t="s">
        <v>42</v>
      </c>
      <c r="G5862">
        <v>-229.36089999999999</v>
      </c>
      <c r="H5862">
        <v>-0.05</v>
      </c>
      <c r="I5862">
        <v>5.2107539999999997</v>
      </c>
      <c r="J5862">
        <v>-362.8236</v>
      </c>
      <c r="K5862">
        <v>1.1112200000000001</v>
      </c>
      <c r="L5862">
        <v>16.940770000000001</v>
      </c>
      <c r="M5862">
        <v>0.99988690000000002</v>
      </c>
      <c r="N5862">
        <v>-1.391325E-2</v>
      </c>
      <c r="O5862">
        <v>-5.7266069999999999E-3</v>
      </c>
      <c r="P5862">
        <v>0.97986700000000004</v>
      </c>
      <c r="Q5862">
        <v>0.18184110000000001</v>
      </c>
      <c r="R5862">
        <v>8.2429840000000004E-2</v>
      </c>
      <c r="S5862">
        <v>3.0897830000000002</v>
      </c>
      <c r="T5862">
        <v>-2.685094E-2</v>
      </c>
      <c r="U5862">
        <v>-0.27124019999999999</v>
      </c>
      <c r="V5862">
        <v>-8.8339420000000002E-2</v>
      </c>
      <c r="W5862">
        <v>0.19531519999999999</v>
      </c>
      <c r="X5862">
        <v>0.97675389999999995</v>
      </c>
      <c r="Y5862">
        <v>8.1735279999999993E-2</v>
      </c>
      <c r="Z5862">
        <v>-9.5407680000000005E-4</v>
      </c>
      <c r="AA5862">
        <v>0.99665360000000003</v>
      </c>
      <c r="AB5862">
        <v>27</v>
      </c>
      <c r="AC5862">
        <v>133.46270000000001</v>
      </c>
      <c r="AD5862">
        <v>-1.1612199999999999</v>
      </c>
      <c r="AE5862">
        <v>-11.730016000000001</v>
      </c>
      <c r="AF5862">
        <v>10.9646375912557</v>
      </c>
      <c r="AG5862">
        <v>-1.1612199999999999</v>
      </c>
      <c r="AH5862">
        <v>133.51766073904301</v>
      </c>
      <c r="AI5862">
        <v>90.4966243904761</v>
      </c>
      <c r="AJ5862">
        <v>85.305333339617803</v>
      </c>
      <c r="AK5862">
        <v>133.97215172796999</v>
      </c>
      <c r="AL5862">
        <v>78.736863069161203</v>
      </c>
      <c r="AM5862">
        <v>95.167875727779602</v>
      </c>
      <c r="AN5862">
        <v>1.0000000308210899</v>
      </c>
    </row>
    <row r="5863" spans="1:40" x14ac:dyDescent="0.25">
      <c r="A5863" t="str">
        <f>"20190304155218863"</f>
        <v>20190304155218863</v>
      </c>
      <c r="B5863" t="str">
        <f>"1551685938853037"</f>
        <v>1551685938853037</v>
      </c>
      <c r="C5863" t="s">
        <v>40</v>
      </c>
      <c r="D5863">
        <v>5.2049149999999997</v>
      </c>
      <c r="E5863">
        <v>0.56694239999999996</v>
      </c>
      <c r="F5863" t="s">
        <v>42</v>
      </c>
      <c r="G5863">
        <v>-263.48910000000001</v>
      </c>
      <c r="H5863">
        <v>-0.05</v>
      </c>
      <c r="I5863">
        <v>7.8575899999999903</v>
      </c>
      <c r="J5863">
        <v>-362.58730000000003</v>
      </c>
      <c r="K5863">
        <v>1.1112029999999999</v>
      </c>
      <c r="L5863">
        <v>16.940279999999898</v>
      </c>
      <c r="M5863">
        <v>0.99989079999999997</v>
      </c>
      <c r="N5863">
        <v>-1.3922830000000001E-2</v>
      </c>
      <c r="O5863">
        <v>-4.9680940000000002E-3</v>
      </c>
      <c r="P5863">
        <v>0.98009559999999996</v>
      </c>
      <c r="Q5863">
        <v>0.1805138</v>
      </c>
      <c r="R5863">
        <v>8.2630250000000002E-2</v>
      </c>
      <c r="S5863">
        <v>3.092133</v>
      </c>
      <c r="T5863">
        <v>-3.6146999999999999E-2</v>
      </c>
      <c r="U5863">
        <v>-0.28274539999999998</v>
      </c>
      <c r="V5863">
        <v>-8.7787439999999994E-2</v>
      </c>
      <c r="W5863">
        <v>0.1940056</v>
      </c>
      <c r="X5863">
        <v>0.97706459999999995</v>
      </c>
      <c r="Y5863">
        <v>8.6098480000000005E-2</v>
      </c>
      <c r="Z5863">
        <v>-1.113953E-3</v>
      </c>
      <c r="AA5863">
        <v>0.996286</v>
      </c>
      <c r="AB5863">
        <v>27</v>
      </c>
      <c r="AC5863">
        <v>99.098200000000006</v>
      </c>
      <c r="AD5863">
        <v>-1.161203</v>
      </c>
      <c r="AE5863">
        <v>-9.0826899999999995</v>
      </c>
      <c r="AF5863">
        <v>8.5890315364067007</v>
      </c>
      <c r="AG5863">
        <v>-1.161203</v>
      </c>
      <c r="AH5863">
        <v>99.128607394750006</v>
      </c>
      <c r="AI5863">
        <v>90.668633197823894</v>
      </c>
      <c r="AJ5863">
        <v>85.047955546441003</v>
      </c>
      <c r="AK5863">
        <v>99.506787000501006</v>
      </c>
      <c r="AL5863">
        <v>78.813360854865806</v>
      </c>
      <c r="AM5863">
        <v>95.134133591431507</v>
      </c>
      <c r="AN5863">
        <v>1.00000002001313</v>
      </c>
    </row>
    <row r="5864" spans="1:40" x14ac:dyDescent="0.25">
      <c r="A5864" t="str">
        <f>"20190304155218908"</f>
        <v>20190304155218908</v>
      </c>
      <c r="B5864" t="str">
        <f>"1551685938902808"</f>
        <v>1551685938902808</v>
      </c>
      <c r="C5864" t="s">
        <v>40</v>
      </c>
      <c r="D5864">
        <v>5.2052050000000003</v>
      </c>
      <c r="E5864">
        <v>0.56913879999999994</v>
      </c>
      <c r="F5864" t="s">
        <v>42</v>
      </c>
      <c r="G5864">
        <v>-296.51080000000002</v>
      </c>
      <c r="H5864">
        <v>-0.05</v>
      </c>
      <c r="I5864">
        <v>10.536989999999999</v>
      </c>
      <c r="J5864">
        <v>-362.0521</v>
      </c>
      <c r="K5864">
        <v>1.1111610000000001</v>
      </c>
      <c r="L5864">
        <v>16.93976</v>
      </c>
      <c r="M5864">
        <v>0.99989749999999999</v>
      </c>
      <c r="N5864">
        <v>-1.3939139999999999E-2</v>
      </c>
      <c r="O5864">
        <v>-3.3345839999999998E-3</v>
      </c>
      <c r="P5864">
        <v>0.98042229999999997</v>
      </c>
      <c r="Q5864">
        <v>0.17885680000000001</v>
      </c>
      <c r="R5864">
        <v>8.2356020000000002E-2</v>
      </c>
      <c r="S5864">
        <v>3.0962519999999998</v>
      </c>
      <c r="T5864">
        <v>-5.441236E-2</v>
      </c>
      <c r="U5864">
        <v>-0.3000488</v>
      </c>
      <c r="V5864">
        <v>-8.5890590000000003E-2</v>
      </c>
      <c r="W5864">
        <v>0.19238350000000001</v>
      </c>
      <c r="X5864">
        <v>0.97755380000000003</v>
      </c>
      <c r="Y5864">
        <v>9.3109730000000002E-2</v>
      </c>
      <c r="Z5864">
        <v>-1.4546540000000001E-3</v>
      </c>
      <c r="AA5864">
        <v>0.99565479999999995</v>
      </c>
      <c r="AB5864">
        <v>27</v>
      </c>
      <c r="AC5864">
        <v>65.541299999999893</v>
      </c>
      <c r="AD5864">
        <v>-1.1611610000000001</v>
      </c>
      <c r="AE5864">
        <v>-6.4027699999999896</v>
      </c>
      <c r="AF5864">
        <v>6.1822381386794403</v>
      </c>
      <c r="AG5864">
        <v>-1.1611610000000001</v>
      </c>
      <c r="AH5864">
        <v>65.541910776871504</v>
      </c>
      <c r="AI5864">
        <v>91.010479451707297</v>
      </c>
      <c r="AJ5864">
        <v>84.611520914861799</v>
      </c>
      <c r="AK5864">
        <v>65.8430742869336</v>
      </c>
      <c r="AL5864">
        <v>78.908084885117901</v>
      </c>
      <c r="AM5864">
        <v>95.021271518084603</v>
      </c>
      <c r="AN5864">
        <v>1.00000001820861</v>
      </c>
    </row>
    <row r="5865" spans="1:40" x14ac:dyDescent="0.25">
      <c r="A5865" t="str">
        <f>"20190304155218931"</f>
        <v>20190304155218931</v>
      </c>
      <c r="B5865" t="str">
        <f>"1551685938922330"</f>
        <v>1551685938922330</v>
      </c>
      <c r="C5865" t="s">
        <v>40</v>
      </c>
      <c r="D5865">
        <v>5.222194</v>
      </c>
      <c r="E5865">
        <v>0.57008389999999998</v>
      </c>
      <c r="F5865" t="s">
        <v>42</v>
      </c>
      <c r="G5865">
        <v>-309.78609999999998</v>
      </c>
      <c r="H5865">
        <v>-0.05</v>
      </c>
      <c r="I5865">
        <v>11.56837</v>
      </c>
      <c r="J5865">
        <v>-361.7876</v>
      </c>
      <c r="K5865">
        <v>1.111135</v>
      </c>
      <c r="L5865">
        <v>16.939729999999901</v>
      </c>
      <c r="M5865">
        <v>0.99989939999999999</v>
      </c>
      <c r="N5865">
        <v>-1.394481E-2</v>
      </c>
      <c r="O5865">
        <v>-2.5744679999999999E-3</v>
      </c>
      <c r="P5865">
        <v>0.98059260000000004</v>
      </c>
      <c r="Q5865">
        <v>0.178124</v>
      </c>
      <c r="R5865">
        <v>8.1914719999999996E-2</v>
      </c>
      <c r="S5865">
        <v>3.0992739999999999</v>
      </c>
      <c r="T5865">
        <v>-6.8854570000000004E-2</v>
      </c>
      <c r="U5865">
        <v>-0.31851200000000002</v>
      </c>
      <c r="V5865">
        <v>-8.4692080000000003E-2</v>
      </c>
      <c r="W5865">
        <v>0.19166659999999999</v>
      </c>
      <c r="X5865">
        <v>0.97779910000000003</v>
      </c>
      <c r="Y5865">
        <v>9.9630200000000002E-2</v>
      </c>
      <c r="Z5865">
        <v>-1.7790989999999999E-3</v>
      </c>
      <c r="AA5865">
        <v>0.99502299999999999</v>
      </c>
      <c r="AB5865">
        <v>27</v>
      </c>
      <c r="AC5865">
        <v>52.0015</v>
      </c>
      <c r="AD5865">
        <v>-1.161135</v>
      </c>
      <c r="AE5865">
        <v>-5.3713599999999904</v>
      </c>
      <c r="AF5865">
        <v>5.2348705310570498</v>
      </c>
      <c r="AG5865">
        <v>-1.161135</v>
      </c>
      <c r="AH5865">
        <v>51.9895101539609</v>
      </c>
      <c r="AI5865">
        <v>91.272997812559694</v>
      </c>
      <c r="AJ5865">
        <v>84.2502158728784</v>
      </c>
      <c r="AK5865">
        <v>52.2652969953674</v>
      </c>
      <c r="AL5865">
        <v>78.949938451024593</v>
      </c>
      <c r="AM5865">
        <v>94.950319889145902</v>
      </c>
      <c r="AN5865">
        <v>0.999999956965547</v>
      </c>
    </row>
    <row r="5866" spans="1:40" x14ac:dyDescent="0.25">
      <c r="A5866" t="str">
        <f>"20190304155218953"</f>
        <v>20190304155218953</v>
      </c>
      <c r="B5866" t="str">
        <f>"1551685938942825"</f>
        <v>1551685938942825</v>
      </c>
      <c r="C5866" t="s">
        <v>40</v>
      </c>
      <c r="D5866">
        <v>4.8082310000000001</v>
      </c>
      <c r="E5866">
        <v>0.57068649999999999</v>
      </c>
      <c r="F5866" t="s">
        <v>42</v>
      </c>
      <c r="G5866">
        <v>-313.26679999999999</v>
      </c>
      <c r="H5866">
        <v>-0.05</v>
      </c>
      <c r="I5866">
        <v>11.81488</v>
      </c>
      <c r="J5866">
        <v>-361.52080000000001</v>
      </c>
      <c r="K5866">
        <v>1.1111139999999999</v>
      </c>
      <c r="L5866">
        <v>16.939910000000001</v>
      </c>
      <c r="M5866">
        <v>0.99990109999999999</v>
      </c>
      <c r="N5866">
        <v>-1.3949359999999999E-2</v>
      </c>
      <c r="O5866">
        <v>-1.837719E-3</v>
      </c>
      <c r="P5866">
        <v>0.98075999999999997</v>
      </c>
      <c r="Q5866">
        <v>0.17750160000000001</v>
      </c>
      <c r="R5866">
        <v>8.125839E-2</v>
      </c>
      <c r="S5866">
        <v>3.10025</v>
      </c>
      <c r="T5866">
        <v>-7.4191090000000001E-2</v>
      </c>
      <c r="U5866">
        <v>-0.32745360000000001</v>
      </c>
      <c r="V5866">
        <v>-8.3301440000000004E-2</v>
      </c>
      <c r="W5866">
        <v>0.1910587</v>
      </c>
      <c r="X5866">
        <v>0.9780375</v>
      </c>
      <c r="Y5866">
        <v>0.1031632</v>
      </c>
      <c r="Z5866">
        <v>-1.9342230000000001E-3</v>
      </c>
      <c r="AA5866">
        <v>0.99466259999999995</v>
      </c>
      <c r="AB5866">
        <v>27</v>
      </c>
      <c r="AC5866">
        <v>48.253999999999998</v>
      </c>
      <c r="AD5866">
        <v>-1.161114</v>
      </c>
      <c r="AE5866">
        <v>-5.1250299999999998</v>
      </c>
      <c r="AF5866">
        <v>5.0334535393427497</v>
      </c>
      <c r="AG5866">
        <v>-1.161114</v>
      </c>
      <c r="AH5866">
        <v>48.235720544638802</v>
      </c>
      <c r="AI5866">
        <v>91.371494257731399</v>
      </c>
      <c r="AJ5866">
        <v>84.042679750896298</v>
      </c>
      <c r="AK5866">
        <v>48.511530348095597</v>
      </c>
      <c r="AL5866">
        <v>78.985424326168996</v>
      </c>
      <c r="AM5866">
        <v>94.868248707996599</v>
      </c>
      <c r="AN5866">
        <v>0.99999995407900499</v>
      </c>
    </row>
    <row r="5867" spans="1:40" x14ac:dyDescent="0.25">
      <c r="A5867" t="str">
        <f>"20190304155218965"</f>
        <v>20190304155218965</v>
      </c>
      <c r="B5867" t="str">
        <f>"1551685938962345"</f>
        <v>1551685938962345</v>
      </c>
      <c r="C5867" t="s">
        <v>40</v>
      </c>
      <c r="D5867">
        <v>5.2497939999999996</v>
      </c>
      <c r="E5867">
        <v>0.57164510000000002</v>
      </c>
      <c r="F5867" t="s">
        <v>42</v>
      </c>
      <c r="G5867">
        <v>-314.9513</v>
      </c>
      <c r="H5867">
        <v>-0.05</v>
      </c>
      <c r="I5867">
        <v>11.916689999999999</v>
      </c>
      <c r="J5867">
        <v>-361.37</v>
      </c>
      <c r="K5867">
        <v>1.1111040000000001</v>
      </c>
      <c r="L5867">
        <v>16.940059999999999</v>
      </c>
      <c r="M5867">
        <v>0.99990159999999995</v>
      </c>
      <c r="N5867">
        <v>-1.395152E-2</v>
      </c>
      <c r="O5867">
        <v>-1.433375E-3</v>
      </c>
      <c r="P5867">
        <v>0.98084289999999996</v>
      </c>
      <c r="Q5867">
        <v>0.1772522</v>
      </c>
      <c r="R5867">
        <v>8.0802559999999995E-2</v>
      </c>
      <c r="S5867">
        <v>3.1005549999999999</v>
      </c>
      <c r="T5867">
        <v>-7.7305789999999999E-2</v>
      </c>
      <c r="U5867">
        <v>-0.33444210000000002</v>
      </c>
      <c r="V5867">
        <v>-8.2443069999999993E-2</v>
      </c>
      <c r="W5867">
        <v>0.19081619999999999</v>
      </c>
      <c r="X5867">
        <v>0.97815759999999996</v>
      </c>
      <c r="Y5867">
        <v>0.105767</v>
      </c>
      <c r="Z5867">
        <v>-2.0389869999999999E-3</v>
      </c>
      <c r="AA5867">
        <v>0.99438879999999996</v>
      </c>
      <c r="AB5867">
        <v>27</v>
      </c>
      <c r="AC5867">
        <v>46.418700000000001</v>
      </c>
      <c r="AD5867">
        <v>-1.1611039999999999</v>
      </c>
      <c r="AE5867">
        <v>-5.0233699999999999</v>
      </c>
      <c r="AF5867">
        <v>4.9537593371440396</v>
      </c>
      <c r="AG5867">
        <v>-1.1611039999999999</v>
      </c>
      <c r="AH5867">
        <v>46.397159379676502</v>
      </c>
      <c r="AI5867">
        <v>91.425447976421495</v>
      </c>
      <c r="AJ5867">
        <v>83.905697766007194</v>
      </c>
      <c r="AK5867">
        <v>46.675307096710803</v>
      </c>
      <c r="AL5867">
        <v>78.999579325397505</v>
      </c>
      <c r="AM5867">
        <v>94.817732983748499</v>
      </c>
      <c r="AN5867">
        <v>0.99999998620561203</v>
      </c>
    </row>
    <row r="5868" spans="1:40" x14ac:dyDescent="0.25">
      <c r="A5868" t="str">
        <f>"20190304155218977"</f>
        <v>20190304155218977</v>
      </c>
      <c r="B5868" t="str">
        <f>"1551685938973081"</f>
        <v>1551685938973081</v>
      </c>
      <c r="C5868" t="s">
        <v>40</v>
      </c>
      <c r="D5868">
        <v>5.2615970000000001</v>
      </c>
      <c r="E5868">
        <v>0.57209429999999994</v>
      </c>
      <c r="F5868" t="s">
        <v>41</v>
      </c>
      <c r="G5868">
        <v>-321.60489999999999</v>
      </c>
      <c r="H5868" s="1">
        <v>-5.2045050000000002E-6</v>
      </c>
      <c r="I5868">
        <v>12.537750000000001</v>
      </c>
      <c r="J5868">
        <v>-361.226</v>
      </c>
      <c r="K5868">
        <v>1.111092</v>
      </c>
      <c r="L5868">
        <v>16.94031</v>
      </c>
      <c r="M5868">
        <v>0.99990210000000002</v>
      </c>
      <c r="N5868">
        <v>-1.3953299999999899E-2</v>
      </c>
      <c r="O5868">
        <v>-1.0632440000000001E-3</v>
      </c>
      <c r="P5868">
        <v>0.98097380000000001</v>
      </c>
      <c r="Q5868">
        <v>0.176788</v>
      </c>
      <c r="R5868">
        <v>8.0228960000000002E-2</v>
      </c>
      <c r="S5868">
        <v>3.1025390000000002</v>
      </c>
      <c r="T5868">
        <v>-8.6690660000000003E-2</v>
      </c>
      <c r="U5868">
        <v>-0.34347529999999998</v>
      </c>
      <c r="V5868">
        <v>-8.1498849999999998E-2</v>
      </c>
      <c r="W5868">
        <v>0.19036030000000001</v>
      </c>
      <c r="X5868">
        <v>0.97832549999999996</v>
      </c>
      <c r="Y5868">
        <v>0.1089155</v>
      </c>
      <c r="Z5868">
        <v>-2.2643379999999999E-3</v>
      </c>
      <c r="AA5868">
        <v>0.99404840000000005</v>
      </c>
      <c r="AB5868">
        <v>27</v>
      </c>
      <c r="AC5868">
        <v>39.621099999999998</v>
      </c>
      <c r="AD5868">
        <v>-1.111097204505</v>
      </c>
      <c r="AE5868">
        <v>-4.4025599999999896</v>
      </c>
      <c r="AF5868">
        <v>4.3570418659293804</v>
      </c>
      <c r="AG5868">
        <v>-1.111097204505</v>
      </c>
      <c r="AH5868">
        <v>39.595000770515</v>
      </c>
      <c r="AI5868">
        <v>91.597747430780004</v>
      </c>
      <c r="AJ5868">
        <v>83.720425677783993</v>
      </c>
      <c r="AK5868">
        <v>39.849497322254997</v>
      </c>
      <c r="AL5868">
        <v>79.026187754993899</v>
      </c>
      <c r="AM5868">
        <v>94.761997177385297</v>
      </c>
      <c r="AN5868">
        <v>0.99999994515882895</v>
      </c>
    </row>
    <row r="5869" spans="1:40" x14ac:dyDescent="0.25">
      <c r="A5869" t="str">
        <f>"20190304155218990"</f>
        <v>20190304155218990</v>
      </c>
      <c r="B5869" t="str">
        <f>"1551685938982841"</f>
        <v>1551685938982841</v>
      </c>
      <c r="C5869" t="s">
        <v>40</v>
      </c>
      <c r="D5869">
        <v>5.2450669999999997</v>
      </c>
      <c r="E5869">
        <v>0.57238140000000004</v>
      </c>
      <c r="F5869" t="s">
        <v>41</v>
      </c>
      <c r="G5869">
        <v>-322.84960000000001</v>
      </c>
      <c r="H5869" s="1">
        <v>-4.6008839999999998E-6</v>
      </c>
      <c r="I5869">
        <v>12.62359</v>
      </c>
      <c r="J5869">
        <v>-361.08019999999999</v>
      </c>
      <c r="K5869">
        <v>1.111078</v>
      </c>
      <c r="L5869">
        <v>16.940550000000002</v>
      </c>
      <c r="M5869">
        <v>0.99990239999999997</v>
      </c>
      <c r="N5869">
        <v>-1.3954940000000001E-2</v>
      </c>
      <c r="O5869">
        <v>-6.9610709999999999E-4</v>
      </c>
      <c r="P5869">
        <v>0.98102579999999995</v>
      </c>
      <c r="Q5869">
        <v>0.17674899999999999</v>
      </c>
      <c r="R5869">
        <v>7.9675789999999996E-2</v>
      </c>
      <c r="S5869">
        <v>3.1029360000000001</v>
      </c>
      <c r="T5869">
        <v>-8.9838150000000006E-2</v>
      </c>
      <c r="U5869">
        <v>-0.34902949999999999</v>
      </c>
      <c r="V5869">
        <v>-8.0578469999999999E-2</v>
      </c>
      <c r="W5869">
        <v>0.19032840000000001</v>
      </c>
      <c r="X5869">
        <v>0.97840800000000006</v>
      </c>
      <c r="Y5869">
        <v>0.1110186</v>
      </c>
      <c r="Z5869">
        <v>-2.3686940000000002E-3</v>
      </c>
      <c r="AA5869">
        <v>0.99381549999999996</v>
      </c>
      <c r="AB5869">
        <v>27</v>
      </c>
      <c r="AC5869">
        <v>38.230599999999903</v>
      </c>
      <c r="AD5869">
        <v>-1.111082600884</v>
      </c>
      <c r="AE5869">
        <v>-4.3169599999999999</v>
      </c>
      <c r="AF5869">
        <v>4.2867685902208699</v>
      </c>
      <c r="AG5869">
        <v>-1.111082600884</v>
      </c>
      <c r="AH5869">
        <v>38.201735710253203</v>
      </c>
      <c r="AI5869">
        <v>91.655570771814695</v>
      </c>
      <c r="AJ5869">
        <v>83.597397028310198</v>
      </c>
      <c r="AK5869">
        <v>38.457554534423103</v>
      </c>
      <c r="AL5869">
        <v>79.0280501607118</v>
      </c>
      <c r="AM5869">
        <v>94.708067081144804</v>
      </c>
      <c r="AN5869">
        <v>1.00000000206905</v>
      </c>
    </row>
    <row r="5870" spans="1:40" x14ac:dyDescent="0.25">
      <c r="A5870" t="str">
        <f>"20190304155219009"</f>
        <v>20190304155219009</v>
      </c>
      <c r="B5870" t="str">
        <f>"1551685939002361"</f>
        <v>1551685939002361</v>
      </c>
      <c r="C5870" t="s">
        <v>40</v>
      </c>
      <c r="D5870">
        <v>5.269425</v>
      </c>
      <c r="E5870">
        <v>0.57294140000000005</v>
      </c>
      <c r="F5870" t="s">
        <v>41</v>
      </c>
      <c r="G5870">
        <v>-323.56599999999997</v>
      </c>
      <c r="H5870" s="1">
        <v>-4.3018339999999997E-6</v>
      </c>
      <c r="I5870">
        <v>12.67512</v>
      </c>
      <c r="J5870">
        <v>-360.86130000000003</v>
      </c>
      <c r="K5870">
        <v>1.111054</v>
      </c>
      <c r="L5870">
        <v>16.94098</v>
      </c>
      <c r="M5870">
        <v>0.99990270000000003</v>
      </c>
      <c r="N5870">
        <v>-1.395677E-2</v>
      </c>
      <c r="O5870">
        <v>-1.7501849999999999E-4</v>
      </c>
      <c r="P5870">
        <v>0.98117770000000004</v>
      </c>
      <c r="Q5870">
        <v>0.17648169999999999</v>
      </c>
      <c r="R5870">
        <v>7.8388009999999994E-2</v>
      </c>
      <c r="S5870">
        <v>3.1032410000000001</v>
      </c>
      <c r="T5870">
        <v>-9.1910720000000001E-2</v>
      </c>
      <c r="U5870">
        <v>-0.3528442</v>
      </c>
      <c r="V5870">
        <v>-7.876698E-2</v>
      </c>
      <c r="W5870">
        <v>0.19007279999999999</v>
      </c>
      <c r="X5870">
        <v>0.97860519999999995</v>
      </c>
      <c r="Y5870">
        <v>0.11272799999999999</v>
      </c>
      <c r="Z5870">
        <v>-2.4503910000000001E-3</v>
      </c>
      <c r="AA5870">
        <v>0.99362280000000003</v>
      </c>
      <c r="AB5870">
        <v>27</v>
      </c>
      <c r="AC5870">
        <v>37.295299999999997</v>
      </c>
      <c r="AD5870">
        <v>-1.1110583018339999</v>
      </c>
      <c r="AE5870">
        <v>-4.26586</v>
      </c>
      <c r="AF5870">
        <v>4.2556038824721902</v>
      </c>
      <c r="AG5870">
        <v>-1.1110583018339999</v>
      </c>
      <c r="AH5870">
        <v>37.263402133971702</v>
      </c>
      <c r="AI5870">
        <v>91.696821563248307</v>
      </c>
      <c r="AJ5870">
        <v>83.484858811346299</v>
      </c>
      <c r="AK5870">
        <v>37.522070219441098</v>
      </c>
      <c r="AL5870">
        <v>79.042967490664097</v>
      </c>
      <c r="AM5870">
        <v>94.601761155000702</v>
      </c>
      <c r="AN5870">
        <v>1.0000000219526</v>
      </c>
    </row>
    <row r="5871" spans="1:40" x14ac:dyDescent="0.25">
      <c r="A5871" t="str">
        <f>"20190304155219022"</f>
        <v>20190304155219022</v>
      </c>
      <c r="B5871" t="str">
        <f>"1551685939013097"</f>
        <v>1551685939013097</v>
      </c>
      <c r="C5871" t="s">
        <v>40</v>
      </c>
      <c r="D5871">
        <v>5.2951680000000003</v>
      </c>
      <c r="E5871">
        <v>0.57323179999999996</v>
      </c>
      <c r="F5871" t="s">
        <v>41</v>
      </c>
      <c r="G5871">
        <v>-325.42779999999999</v>
      </c>
      <c r="H5871" s="1">
        <v>-3.549337E-6</v>
      </c>
      <c r="I5871">
        <v>12.816190000000001</v>
      </c>
      <c r="J5871">
        <v>-360.69</v>
      </c>
      <c r="K5871">
        <v>1.111032</v>
      </c>
      <c r="L5871">
        <v>16.941410000000001</v>
      </c>
      <c r="M5871">
        <v>0.99990250000000003</v>
      </c>
      <c r="N5871">
        <v>-1.3957610000000001E-2</v>
      </c>
      <c r="O5871">
        <v>2.0773680000000001E-4</v>
      </c>
      <c r="P5871">
        <v>0.98126670000000005</v>
      </c>
      <c r="Q5871">
        <v>0.17622160000000001</v>
      </c>
      <c r="R5871">
        <v>7.7856809999999999E-2</v>
      </c>
      <c r="S5871">
        <v>3.1039430000000001</v>
      </c>
      <c r="T5871">
        <v>-9.7327709999999998E-2</v>
      </c>
      <c r="U5871">
        <v>-0.36132809999999999</v>
      </c>
      <c r="V5871">
        <v>-7.784924E-2</v>
      </c>
      <c r="W5871">
        <v>0.18981999999999999</v>
      </c>
      <c r="X5871">
        <v>0.97872769999999998</v>
      </c>
      <c r="Y5871">
        <v>0.1157535</v>
      </c>
      <c r="Z5871">
        <v>-2.622709E-3</v>
      </c>
      <c r="AA5871">
        <v>0.99327449999999995</v>
      </c>
      <c r="AB5871">
        <v>26</v>
      </c>
      <c r="AC5871">
        <v>35.2622</v>
      </c>
      <c r="AD5871">
        <v>-1.1110355493369899</v>
      </c>
      <c r="AE5871">
        <v>-4.1252199999999997</v>
      </c>
      <c r="AF5871">
        <v>4.1285026722486604</v>
      </c>
      <c r="AG5871">
        <v>-1.1110355493369899</v>
      </c>
      <c r="AH5871">
        <v>35.226843124998801</v>
      </c>
      <c r="AI5871">
        <v>91.794207174452396</v>
      </c>
      <c r="AJ5871">
        <v>83.315563115444903</v>
      </c>
      <c r="AK5871">
        <v>35.485340788273902</v>
      </c>
      <c r="AL5871">
        <v>79.057720467877104</v>
      </c>
      <c r="AM5871">
        <v>94.547803912989806</v>
      </c>
      <c r="AN5871">
        <v>1.0000000236579301</v>
      </c>
    </row>
    <row r="5872" spans="1:40" x14ac:dyDescent="0.25">
      <c r="A5872" t="str">
        <f>"20190304155219042"</f>
        <v>20190304155219042</v>
      </c>
      <c r="B5872" t="str">
        <f>"1551685939032617"</f>
        <v>1551685939032617</v>
      </c>
      <c r="C5872" t="s">
        <v>40</v>
      </c>
      <c r="D5872">
        <v>5.3087910000000003</v>
      </c>
      <c r="E5872">
        <v>0.57347780000000004</v>
      </c>
      <c r="F5872" t="s">
        <v>41</v>
      </c>
      <c r="G5872">
        <v>-326.21390000000002</v>
      </c>
      <c r="H5872" s="1">
        <v>-3.2289920000000001E-6</v>
      </c>
      <c r="I5872">
        <v>12.885719999999999</v>
      </c>
      <c r="J5872">
        <v>-360.4676</v>
      </c>
      <c r="K5872">
        <v>1.111005</v>
      </c>
      <c r="L5872">
        <v>16.941990000000001</v>
      </c>
      <c r="M5872">
        <v>0.99990239999999997</v>
      </c>
      <c r="N5872">
        <v>-1.395827E-2</v>
      </c>
      <c r="O5872">
        <v>6.7954850000000004E-4</v>
      </c>
      <c r="P5872">
        <v>0.98151100000000002</v>
      </c>
      <c r="Q5872">
        <v>0.1754561</v>
      </c>
      <c r="R5872">
        <v>7.6494220000000002E-2</v>
      </c>
      <c r="S5872">
        <v>3.1042179999999999</v>
      </c>
      <c r="T5872">
        <v>-0.10003720000000001</v>
      </c>
      <c r="U5872">
        <v>-0.36517329999999998</v>
      </c>
      <c r="V5872">
        <v>-7.6008969999999995E-2</v>
      </c>
      <c r="W5872">
        <v>0.18906719999999999</v>
      </c>
      <c r="X5872">
        <v>0.97901800000000005</v>
      </c>
      <c r="Y5872">
        <v>0.1174205</v>
      </c>
      <c r="Z5872">
        <v>-2.7200430000000001E-3</v>
      </c>
      <c r="AA5872">
        <v>0.99307849999999998</v>
      </c>
      <c r="AB5872">
        <v>26</v>
      </c>
      <c r="AC5872">
        <v>34.253699999999903</v>
      </c>
      <c r="AD5872">
        <v>-1.111008228992</v>
      </c>
      <c r="AE5872">
        <v>-4.0562699999999996</v>
      </c>
      <c r="AF5872">
        <v>4.0753203942587497</v>
      </c>
      <c r="AG5872">
        <v>-1.111008228992</v>
      </c>
      <c r="AH5872">
        <v>34.215438204803</v>
      </c>
      <c r="AI5872">
        <v>91.846751365473494</v>
      </c>
      <c r="AJ5872">
        <v>83.207634066804204</v>
      </c>
      <c r="AK5872">
        <v>34.475190893560601</v>
      </c>
      <c r="AL5872">
        <v>79.101648007429802</v>
      </c>
      <c r="AM5872">
        <v>94.439422528441199</v>
      </c>
      <c r="AN5872">
        <v>1.00000000698015</v>
      </c>
    </row>
    <row r="5873" spans="1:40" x14ac:dyDescent="0.25">
      <c r="A5873" t="str">
        <f>"20190304155219065"</f>
        <v>20190304155219065</v>
      </c>
      <c r="B5873" t="str">
        <f>"1551685939062873"</f>
        <v>1551685939062873</v>
      </c>
      <c r="C5873" t="s">
        <v>40</v>
      </c>
      <c r="D5873">
        <v>5.253031</v>
      </c>
      <c r="E5873">
        <v>0.57371000000000005</v>
      </c>
      <c r="F5873" t="s">
        <v>41</v>
      </c>
      <c r="G5873">
        <v>-327.95069999999998</v>
      </c>
      <c r="H5873" s="1">
        <v>-2.5173969999999999E-6</v>
      </c>
      <c r="I5873">
        <v>13.05335</v>
      </c>
      <c r="J5873">
        <v>-360.17540000000002</v>
      </c>
      <c r="K5873">
        <v>1.1109639999999901</v>
      </c>
      <c r="L5873">
        <v>16.942869999999999</v>
      </c>
      <c r="M5873">
        <v>0.99990179999999995</v>
      </c>
      <c r="N5873">
        <v>-1.395859E-2</v>
      </c>
      <c r="O5873">
        <v>1.249224E-3</v>
      </c>
      <c r="P5873">
        <v>0.98165290000000005</v>
      </c>
      <c r="Q5873">
        <v>0.17502670000000001</v>
      </c>
      <c r="R5873">
        <v>7.5653380000000006E-2</v>
      </c>
      <c r="S5873">
        <v>3.1043699999999999</v>
      </c>
      <c r="T5873">
        <v>-0.10606740000000001</v>
      </c>
      <c r="U5873">
        <v>-0.37124629999999997</v>
      </c>
      <c r="V5873">
        <v>-7.4589269999999999E-2</v>
      </c>
      <c r="W5873">
        <v>0.18864900000000001</v>
      </c>
      <c r="X5873">
        <v>0.97920779999999996</v>
      </c>
      <c r="Y5873">
        <v>0.1198849</v>
      </c>
      <c r="Z5873">
        <v>-2.905412E-3</v>
      </c>
      <c r="AA5873">
        <v>0.99278350000000004</v>
      </c>
      <c r="AB5873">
        <v>26</v>
      </c>
      <c r="AC5873">
        <v>32.224699999999999</v>
      </c>
      <c r="AD5873">
        <v>-1.11096651739699</v>
      </c>
      <c r="AE5873">
        <v>-3.8895200000000001</v>
      </c>
      <c r="AF5873">
        <v>3.9251784032581201</v>
      </c>
      <c r="AG5873">
        <v>-1.11096651739699</v>
      </c>
      <c r="AH5873">
        <v>32.182114104213099</v>
      </c>
      <c r="AI5873">
        <v>91.962603695331893</v>
      </c>
      <c r="AJ5873">
        <v>83.046112170345097</v>
      </c>
      <c r="AK5873">
        <v>32.439632246940903</v>
      </c>
      <c r="AL5873">
        <v>79.126047681638994</v>
      </c>
      <c r="AM5873">
        <v>94.355983791145505</v>
      </c>
      <c r="AN5873">
        <v>0.99999995999048497</v>
      </c>
    </row>
    <row r="5874" spans="1:40" x14ac:dyDescent="0.25">
      <c r="A5874" t="str">
        <f>"20190304155219079"</f>
        <v>20190304155219079</v>
      </c>
      <c r="B5874" t="str">
        <f>"1551685939072633"</f>
        <v>1551685939072633</v>
      </c>
      <c r="C5874" t="s">
        <v>40</v>
      </c>
      <c r="D5874">
        <v>5.210248</v>
      </c>
      <c r="E5874">
        <v>0.57401259999999998</v>
      </c>
      <c r="F5874" t="s">
        <v>41</v>
      </c>
      <c r="G5874">
        <v>-328.49799999999999</v>
      </c>
      <c r="H5874" s="1">
        <v>-2.2919189999999999E-6</v>
      </c>
      <c r="I5874">
        <v>13.11102</v>
      </c>
      <c r="J5874">
        <v>-360.02780000000001</v>
      </c>
      <c r="K5874">
        <v>1.1109420000000001</v>
      </c>
      <c r="L5874">
        <v>16.943359999999998</v>
      </c>
      <c r="M5874">
        <v>0.99990159999999995</v>
      </c>
      <c r="N5874">
        <v>-1.39585E-2</v>
      </c>
      <c r="O5874">
        <v>1.5042619999999999E-3</v>
      </c>
      <c r="P5874">
        <v>0.98174380000000006</v>
      </c>
      <c r="Q5874">
        <v>0.17475750000000001</v>
      </c>
      <c r="R5874">
        <v>7.5097510000000006E-2</v>
      </c>
      <c r="S5874">
        <v>3.1043699999999999</v>
      </c>
      <c r="T5874">
        <v>-0.10887380000000001</v>
      </c>
      <c r="U5874">
        <v>-0.37551879999999999</v>
      </c>
      <c r="V5874">
        <v>-7.3772669999999999E-2</v>
      </c>
      <c r="W5874">
        <v>0.18838630000000001</v>
      </c>
      <c r="X5874">
        <v>0.97932030000000003</v>
      </c>
      <c r="Y5874">
        <v>0.1214789</v>
      </c>
      <c r="Z5874">
        <v>-3.0047670000000002E-3</v>
      </c>
      <c r="AA5874">
        <v>0.99258950000000001</v>
      </c>
      <c r="AB5874">
        <v>26</v>
      </c>
      <c r="AC5874">
        <v>31.529799999999899</v>
      </c>
      <c r="AD5874">
        <v>-1.110944291919</v>
      </c>
      <c r="AE5874">
        <v>-3.8323399999999999</v>
      </c>
      <c r="AF5874">
        <v>3.8750285978768599</v>
      </c>
      <c r="AG5874">
        <v>-1.110944291919</v>
      </c>
      <c r="AH5874">
        <v>31.4854791810696</v>
      </c>
      <c r="AI5874">
        <v>92.005684755161695</v>
      </c>
      <c r="AJ5874">
        <v>82.983690603546606</v>
      </c>
      <c r="AK5874">
        <v>31.742486404118999</v>
      </c>
      <c r="AL5874">
        <v>79.141374830303405</v>
      </c>
      <c r="AM5874">
        <v>94.307982159538398</v>
      </c>
      <c r="AN5874">
        <v>1.0000000274293499</v>
      </c>
    </row>
    <row r="5875" spans="1:40" x14ac:dyDescent="0.25">
      <c r="A5875" t="str">
        <f>"20190304155219098"</f>
        <v>20190304155219098</v>
      </c>
      <c r="B5875" t="str">
        <f>"1551685939093131"</f>
        <v>1551685939093131</v>
      </c>
      <c r="C5875" t="s">
        <v>40</v>
      </c>
      <c r="D5875">
        <v>5.2215939999999996</v>
      </c>
      <c r="E5875">
        <v>0.57430769999999998</v>
      </c>
      <c r="F5875" t="s">
        <v>41</v>
      </c>
      <c r="G5875">
        <v>-329.2706</v>
      </c>
      <c r="H5875" s="1">
        <v>-1.9761009999999998E-6</v>
      </c>
      <c r="I5875">
        <v>13.182840000000001</v>
      </c>
      <c r="J5875">
        <v>-359.81869999999998</v>
      </c>
      <c r="K5875">
        <v>1.1109039999999999</v>
      </c>
      <c r="L5875">
        <v>16.944089999999999</v>
      </c>
      <c r="M5875">
        <v>0.99990089999999998</v>
      </c>
      <c r="N5875">
        <v>-1.3958190000000001E-2</v>
      </c>
      <c r="O5875">
        <v>1.8397699999999999E-3</v>
      </c>
      <c r="P5875">
        <v>0.98180750000000006</v>
      </c>
      <c r="Q5875">
        <v>0.17469749999999901</v>
      </c>
      <c r="R5875">
        <v>7.4396920000000005E-2</v>
      </c>
      <c r="S5875">
        <v>3.104797</v>
      </c>
      <c r="T5875">
        <v>-0.1121447</v>
      </c>
      <c r="U5875">
        <v>-0.37960820000000001</v>
      </c>
      <c r="V5875">
        <v>-7.272779E-2</v>
      </c>
      <c r="W5875">
        <v>0.1883338</v>
      </c>
      <c r="X5875">
        <v>0.97940850000000002</v>
      </c>
      <c r="Y5875">
        <v>0.1230769</v>
      </c>
      <c r="Z5875">
        <v>-3.1169840000000002E-3</v>
      </c>
      <c r="AA5875">
        <v>0.99239219999999895</v>
      </c>
      <c r="AB5875">
        <v>26</v>
      </c>
      <c r="AC5875">
        <v>30.548099999999899</v>
      </c>
      <c r="AD5875">
        <v>-1.1109059761010001</v>
      </c>
      <c r="AE5875">
        <v>-3.76125</v>
      </c>
      <c r="AF5875">
        <v>3.8124839794346999</v>
      </c>
      <c r="AG5875">
        <v>-1.1109059761010001</v>
      </c>
      <c r="AH5875">
        <v>30.501392946135301</v>
      </c>
      <c r="AI5875">
        <v>92.069783549970296</v>
      </c>
      <c r="AJ5875">
        <v>82.875335325479298</v>
      </c>
      <c r="AK5875">
        <v>30.758805533305999</v>
      </c>
      <c r="AL5875">
        <v>79.144437170888096</v>
      </c>
      <c r="AM5875">
        <v>94.246809796043905</v>
      </c>
      <c r="AN5875">
        <v>0.999999980766487</v>
      </c>
    </row>
    <row r="5876" spans="1:40" x14ac:dyDescent="0.25">
      <c r="A5876" t="str">
        <f>"20190304155219122"</f>
        <v>20190304155219122</v>
      </c>
      <c r="B5876" t="str">
        <f>"1551685939112648"</f>
        <v>1551685939112648</v>
      </c>
      <c r="C5876" t="s">
        <v>40</v>
      </c>
      <c r="D5876">
        <v>4.7348460000000001</v>
      </c>
      <c r="E5876">
        <v>0.57471969999999994</v>
      </c>
      <c r="F5876" t="s">
        <v>41</v>
      </c>
      <c r="G5876">
        <v>-330.13040000000001</v>
      </c>
      <c r="H5876" s="1">
        <v>-5.3416639999999999E-6</v>
      </c>
      <c r="I5876">
        <v>13.27224</v>
      </c>
      <c r="J5876">
        <v>-359.53120000000001</v>
      </c>
      <c r="K5876">
        <v>1.11086</v>
      </c>
      <c r="L5876">
        <v>16.9451</v>
      </c>
      <c r="M5876">
        <v>0.99990009999999996</v>
      </c>
      <c r="N5876">
        <v>-1.395738E-2</v>
      </c>
      <c r="O5876">
        <v>2.2421630000000001E-3</v>
      </c>
      <c r="P5876">
        <v>0.98186090000000004</v>
      </c>
      <c r="Q5876">
        <v>0.17454610000000001</v>
      </c>
      <c r="R5876">
        <v>7.4047710000000003E-2</v>
      </c>
      <c r="S5876">
        <v>3.1053769999999998</v>
      </c>
      <c r="T5876">
        <v>-0.1162002</v>
      </c>
      <c r="U5876">
        <v>-0.38406370000000001</v>
      </c>
      <c r="V5876">
        <v>-7.1961079999999997E-2</v>
      </c>
      <c r="W5876">
        <v>0.18819150000000001</v>
      </c>
      <c r="X5876">
        <v>0.97949249999999999</v>
      </c>
      <c r="Y5876">
        <v>0.12484770000000001</v>
      </c>
      <c r="Z5876">
        <v>-3.2535939999999998E-3</v>
      </c>
      <c r="AA5876">
        <v>0.99217060000000001</v>
      </c>
      <c r="AB5876">
        <v>26</v>
      </c>
      <c r="AC5876">
        <v>29.4008</v>
      </c>
      <c r="AD5876">
        <v>-1.110865341664</v>
      </c>
      <c r="AE5876">
        <v>-3.67286</v>
      </c>
      <c r="AF5876">
        <v>3.7335305097390599</v>
      </c>
      <c r="AG5876">
        <v>-1.110865341664</v>
      </c>
      <c r="AH5876">
        <v>29.351232369958598</v>
      </c>
      <c r="AI5876">
        <v>92.150148148365801</v>
      </c>
      <c r="AJ5876">
        <v>82.750802710655094</v>
      </c>
      <c r="AK5876">
        <v>29.608581754446899</v>
      </c>
      <c r="AL5876">
        <v>79.152738989497095</v>
      </c>
      <c r="AM5876">
        <v>94.201841273239594</v>
      </c>
      <c r="AN5876">
        <v>0.99999999763163305</v>
      </c>
    </row>
    <row r="5877" spans="1:40" x14ac:dyDescent="0.25">
      <c r="A5877" t="str">
        <f>"20190304155219143"</f>
        <v>20190304155219143</v>
      </c>
      <c r="B5877" t="str">
        <f>"1551685939133145"</f>
        <v>1551685939133145</v>
      </c>
      <c r="C5877" t="s">
        <v>40</v>
      </c>
      <c r="D5877">
        <v>4.842327</v>
      </c>
      <c r="E5877">
        <v>0.57390069999999904</v>
      </c>
      <c r="F5877" t="s">
        <v>41</v>
      </c>
      <c r="G5877">
        <v>-329.55040000000002</v>
      </c>
      <c r="H5877" s="1">
        <v>-1.8634579999999999E-6</v>
      </c>
      <c r="I5877">
        <v>13.20229</v>
      </c>
      <c r="J5877">
        <v>-359.27820000000003</v>
      </c>
      <c r="K5877">
        <v>1.1108209999999901</v>
      </c>
      <c r="L5877">
        <v>16.94604</v>
      </c>
      <c r="M5877">
        <v>0.99989939999999999</v>
      </c>
      <c r="N5877">
        <v>-1.3956349999999999E-2</v>
      </c>
      <c r="O5877">
        <v>2.541902E-3</v>
      </c>
      <c r="P5877">
        <v>0.98199099999999995</v>
      </c>
      <c r="Q5877">
        <v>0.17390720000000001</v>
      </c>
      <c r="R5877">
        <v>7.3823630000000001E-2</v>
      </c>
      <c r="S5877">
        <v>3.1050420000000001</v>
      </c>
      <c r="T5877">
        <v>-0.1150496</v>
      </c>
      <c r="U5877">
        <v>-0.38763429999999999</v>
      </c>
      <c r="V5877">
        <v>-7.1423840000000002E-2</v>
      </c>
      <c r="W5877">
        <v>0.18756110000000001</v>
      </c>
      <c r="X5877">
        <v>0.97965270000000004</v>
      </c>
      <c r="Y5877">
        <v>0.12628229999999999</v>
      </c>
      <c r="Z5877">
        <v>-3.2732439999999998E-3</v>
      </c>
      <c r="AA5877">
        <v>0.99198900000000001</v>
      </c>
      <c r="AB5877">
        <v>26</v>
      </c>
      <c r="AC5877">
        <v>29.727799999999998</v>
      </c>
      <c r="AD5877">
        <v>-1.11082286345799</v>
      </c>
      <c r="AE5877">
        <v>-3.7437499999999999</v>
      </c>
      <c r="AF5877">
        <v>3.8140681514667301</v>
      </c>
      <c r="AG5877">
        <v>-1.11082286345799</v>
      </c>
      <c r="AH5877">
        <v>29.677396529929499</v>
      </c>
      <c r="AI5877">
        <v>92.126106261955997</v>
      </c>
      <c r="AJ5877">
        <v>82.676626644046806</v>
      </c>
      <c r="AK5877">
        <v>29.9420925803907</v>
      </c>
      <c r="AL5877">
        <v>79.189512815645102</v>
      </c>
      <c r="AM5877">
        <v>94.169903082402499</v>
      </c>
      <c r="AN5877">
        <v>0.999999971885422</v>
      </c>
    </row>
    <row r="5878" spans="1:40" x14ac:dyDescent="0.25">
      <c r="A5878" t="str">
        <f>"20190304155219164"</f>
        <v>20190304155219164</v>
      </c>
      <c r="B5878" t="str">
        <f>"1551685939152665"</f>
        <v>1551685939152665</v>
      </c>
      <c r="C5878" t="s">
        <v>40</v>
      </c>
      <c r="D5878">
        <v>4.893078</v>
      </c>
      <c r="E5878">
        <v>0.57164979999999999</v>
      </c>
      <c r="F5878" t="s">
        <v>41</v>
      </c>
      <c r="G5878">
        <v>-325.32350000000002</v>
      </c>
      <c r="H5878" s="1">
        <v>-3.601623E-6</v>
      </c>
      <c r="I5878">
        <v>12.77031</v>
      </c>
      <c r="J5878">
        <v>-359.0283</v>
      </c>
      <c r="K5878">
        <v>1.1107819999999999</v>
      </c>
      <c r="L5878">
        <v>16.947019999999998</v>
      </c>
      <c r="M5878">
        <v>0.99989890000000003</v>
      </c>
      <c r="N5878">
        <v>-1.395511E-2</v>
      </c>
      <c r="O5878">
        <v>2.786527E-3</v>
      </c>
      <c r="P5878">
        <v>0.98208280000000003</v>
      </c>
      <c r="Q5878">
        <v>0.17328929999999901</v>
      </c>
      <c r="R5878">
        <v>7.4058319999999997E-2</v>
      </c>
      <c r="S5878">
        <v>3.1016539999999999</v>
      </c>
      <c r="T5878">
        <v>-0.10147009999999999</v>
      </c>
      <c r="U5878">
        <v>-0.38143919999999998</v>
      </c>
      <c r="V5878">
        <v>-7.1399589999999999E-2</v>
      </c>
      <c r="W5878">
        <v>0.1869508</v>
      </c>
      <c r="X5878">
        <v>0.97977110000000001</v>
      </c>
      <c r="Y5878">
        <v>0.1247306</v>
      </c>
      <c r="Z5878">
        <v>-2.9580930000000002E-3</v>
      </c>
      <c r="AA5878">
        <v>0.99218620000000002</v>
      </c>
      <c r="AB5878">
        <v>26</v>
      </c>
      <c r="AC5878">
        <v>33.704799999999899</v>
      </c>
      <c r="AD5878">
        <v>-1.110785601623</v>
      </c>
      <c r="AE5878">
        <v>-4.1767099999999999</v>
      </c>
      <c r="AF5878">
        <v>4.2660588812406797</v>
      </c>
      <c r="AG5878">
        <v>-1.110785601623</v>
      </c>
      <c r="AH5878">
        <v>33.657026838980997</v>
      </c>
      <c r="AI5878">
        <v>91.8752583000539</v>
      </c>
      <c r="AJ5878">
        <v>82.776228487727906</v>
      </c>
      <c r="AK5878">
        <v>33.944492317176703</v>
      </c>
      <c r="AL5878">
        <v>79.225109930300903</v>
      </c>
      <c r="AM5878">
        <v>94.167990333793895</v>
      </c>
      <c r="AN5878">
        <v>0.99999995573400802</v>
      </c>
    </row>
    <row r="5879" spans="1:40" x14ac:dyDescent="0.25">
      <c r="A5879" t="str">
        <f>"20190304155219176"</f>
        <v>20190304155219176</v>
      </c>
      <c r="B5879" t="str">
        <f>"1551685939173163"</f>
        <v>1551685939173163</v>
      </c>
      <c r="C5879" t="s">
        <v>40</v>
      </c>
      <c r="D5879">
        <v>4.8187519999999999</v>
      </c>
      <c r="E5879">
        <v>0.56991420000000004</v>
      </c>
      <c r="F5879" t="s">
        <v>41</v>
      </c>
      <c r="G5879">
        <v>-324.51139999999998</v>
      </c>
      <c r="H5879" s="1">
        <v>-3.876351E-6</v>
      </c>
      <c r="I5879">
        <v>12.909800000000001</v>
      </c>
      <c r="J5879">
        <v>-358.89019999999999</v>
      </c>
      <c r="K5879">
        <v>1.11076</v>
      </c>
      <c r="L5879">
        <v>16.94754</v>
      </c>
      <c r="M5879">
        <v>0.99989859999999997</v>
      </c>
      <c r="N5879">
        <v>-1.3954329999999999E-2</v>
      </c>
      <c r="O5879">
        <v>2.8962609999999998E-3</v>
      </c>
      <c r="P5879">
        <v>0.98211660000000001</v>
      </c>
      <c r="Q5879">
        <v>0.173100799999999</v>
      </c>
      <c r="R5879">
        <v>7.4050690000000002E-2</v>
      </c>
      <c r="S5879">
        <v>3.0996700000000001</v>
      </c>
      <c r="T5879">
        <v>-9.9750279999999997E-2</v>
      </c>
      <c r="U5879">
        <v>-0.3625488</v>
      </c>
      <c r="V5879">
        <v>-7.127414E-2</v>
      </c>
      <c r="W5879">
        <v>0.18676570000000001</v>
      </c>
      <c r="X5879">
        <v>0.97981560000000001</v>
      </c>
      <c r="Y5879">
        <v>0.1189603</v>
      </c>
      <c r="Z5879">
        <v>-2.792901E-3</v>
      </c>
      <c r="AA5879">
        <v>0.99289510000000003</v>
      </c>
      <c r="AB5879">
        <v>26</v>
      </c>
      <c r="AC5879">
        <v>34.378799999999998</v>
      </c>
      <c r="AD5879">
        <v>-1.1107638763509999</v>
      </c>
      <c r="AE5879">
        <v>-4.0377399999999897</v>
      </c>
      <c r="AF5879">
        <v>4.1330469052955996</v>
      </c>
      <c r="AG5879">
        <v>-1.1107638763509999</v>
      </c>
      <c r="AH5879">
        <v>34.331608910105203</v>
      </c>
      <c r="AI5879">
        <v>91.839824648918906</v>
      </c>
      <c r="AJ5879">
        <v>83.135422346237903</v>
      </c>
      <c r="AK5879">
        <v>34.597330004883197</v>
      </c>
      <c r="AL5879">
        <v>79.235906222168694</v>
      </c>
      <c r="AM5879">
        <v>94.160504560223302</v>
      </c>
      <c r="AN5879">
        <v>1.0000000198662899</v>
      </c>
    </row>
    <row r="5880" spans="1:40" x14ac:dyDescent="0.25">
      <c r="A5880" t="str">
        <f>"20190304155219188"</f>
        <v>20190304155219188</v>
      </c>
      <c r="B5880" t="str">
        <f>"1551685939182922"</f>
        <v>1551685939182922</v>
      </c>
      <c r="C5880" t="s">
        <v>40</v>
      </c>
      <c r="D5880">
        <v>4.8166840000000004</v>
      </c>
      <c r="E5880">
        <v>0.56891939999999996</v>
      </c>
      <c r="F5880" t="s">
        <v>41</v>
      </c>
      <c r="G5880">
        <v>-322.3639</v>
      </c>
      <c r="H5880" s="1">
        <v>-4.7925009999999997E-6</v>
      </c>
      <c r="I5880">
        <v>12.83784</v>
      </c>
      <c r="J5880">
        <v>-358.74220000000003</v>
      </c>
      <c r="K5880">
        <v>1.1107370000000001</v>
      </c>
      <c r="L5880">
        <v>16.948090000000001</v>
      </c>
      <c r="M5880">
        <v>0.99989830000000002</v>
      </c>
      <c r="N5880">
        <v>-1.3953460000000001E-2</v>
      </c>
      <c r="O5880">
        <v>3.0032890000000001E-3</v>
      </c>
      <c r="P5880">
        <v>0.98215909999999995</v>
      </c>
      <c r="Q5880">
        <v>0.1728189</v>
      </c>
      <c r="R5880">
        <v>7.4144039999999994E-2</v>
      </c>
      <c r="S5880">
        <v>3.0975039999999998</v>
      </c>
      <c r="T5880">
        <v>-9.4195130000000002E-2</v>
      </c>
      <c r="U5880">
        <v>-0.34851070000000001</v>
      </c>
      <c r="V5880">
        <v>-7.1251809999999999E-2</v>
      </c>
      <c r="W5880">
        <v>0.1864875</v>
      </c>
      <c r="X5880">
        <v>0.97987020000000002</v>
      </c>
      <c r="Y5880">
        <v>0.1147151</v>
      </c>
      <c r="Z5880">
        <v>-2.5907759999999999E-3</v>
      </c>
      <c r="AA5880">
        <v>0.99339500000000003</v>
      </c>
      <c r="AB5880">
        <v>26</v>
      </c>
      <c r="AC5880">
        <v>36.378300000000003</v>
      </c>
      <c r="AD5880">
        <v>-1.1107417925009999</v>
      </c>
      <c r="AE5880">
        <v>-4.1102499999999997</v>
      </c>
      <c r="AF5880">
        <v>4.2156160762480903</v>
      </c>
      <c r="AG5880">
        <v>-1.1107417925009999</v>
      </c>
      <c r="AH5880">
        <v>36.332345854272702</v>
      </c>
      <c r="AI5880">
        <v>91.739421964595095</v>
      </c>
      <c r="AJ5880">
        <v>83.381606534265501</v>
      </c>
      <c r="AK5880">
        <v>36.5929572664798</v>
      </c>
      <c r="AL5880">
        <v>79.252130837523396</v>
      </c>
      <c r="AM5880">
        <v>94.158974715566899</v>
      </c>
      <c r="AN5880">
        <v>1.0000000084662799</v>
      </c>
    </row>
    <row r="5881" spans="1:40" x14ac:dyDescent="0.25">
      <c r="A5881" t="str">
        <f>"20190304155219200"</f>
        <v>20190304155219200</v>
      </c>
      <c r="B5881" t="str">
        <f>"1551685939192681"</f>
        <v>1551685939192681</v>
      </c>
      <c r="C5881" t="s">
        <v>40</v>
      </c>
      <c r="D5881">
        <v>4.8244610000000003</v>
      </c>
      <c r="E5881">
        <v>0.56805740000000005</v>
      </c>
      <c r="F5881" t="s">
        <v>41</v>
      </c>
      <c r="G5881">
        <v>-322.00670000000002</v>
      </c>
      <c r="H5881" s="1">
        <v>-4.9479539999999999E-6</v>
      </c>
      <c r="I5881">
        <v>12.913270000000001</v>
      </c>
      <c r="J5881">
        <v>-358.60090000000002</v>
      </c>
      <c r="K5881">
        <v>1.110719</v>
      </c>
      <c r="L5881">
        <v>16.948640000000001</v>
      </c>
      <c r="M5881">
        <v>0.99989799999999995</v>
      </c>
      <c r="N5881">
        <v>-1.3952630000000001E-2</v>
      </c>
      <c r="O5881">
        <v>3.0813699999999999E-3</v>
      </c>
      <c r="P5881">
        <v>0.98220640000000003</v>
      </c>
      <c r="Q5881">
        <v>0.17245639999999901</v>
      </c>
      <c r="R5881">
        <v>7.4361070000000001E-2</v>
      </c>
      <c r="S5881">
        <v>3.0966490000000002</v>
      </c>
      <c r="T5881">
        <v>-9.3630909999999998E-2</v>
      </c>
      <c r="U5881">
        <v>-0.34011839999999999</v>
      </c>
      <c r="V5881">
        <v>-7.1381959999999994E-2</v>
      </c>
      <c r="W5881">
        <v>0.18612909999999999</v>
      </c>
      <c r="X5881">
        <v>0.97992889999999999</v>
      </c>
      <c r="Y5881">
        <v>0.1121658</v>
      </c>
      <c r="Z5881">
        <v>-2.5254280000000001E-3</v>
      </c>
      <c r="AA5881">
        <v>0.99368630000000002</v>
      </c>
      <c r="AB5881">
        <v>26</v>
      </c>
      <c r="AC5881">
        <v>36.594200000000001</v>
      </c>
      <c r="AD5881">
        <v>-1.1107239479539901</v>
      </c>
      <c r="AE5881">
        <v>-4.0353700000000003</v>
      </c>
      <c r="AF5881">
        <v>4.1443498743230798</v>
      </c>
      <c r="AG5881">
        <v>-1.1107239479539901</v>
      </c>
      <c r="AH5881">
        <v>36.548324149135603</v>
      </c>
      <c r="AI5881">
        <v>91.729637278739403</v>
      </c>
      <c r="AJ5881">
        <v>83.530652767796198</v>
      </c>
      <c r="AK5881">
        <v>36.799311701166999</v>
      </c>
      <c r="AL5881">
        <v>79.273031905039005</v>
      </c>
      <c r="AM5881">
        <v>94.166296146438498</v>
      </c>
      <c r="AN5881">
        <v>1.00000003756773</v>
      </c>
    </row>
    <row r="5882" spans="1:40" x14ac:dyDescent="0.25">
      <c r="A5882" t="str">
        <f>"20190304155219220"</f>
        <v>20190304155219220</v>
      </c>
      <c r="B5882" t="str">
        <f>"1551685939213177"</f>
        <v>1551685939213177</v>
      </c>
      <c r="C5882" t="s">
        <v>40</v>
      </c>
      <c r="D5882">
        <v>4.836519</v>
      </c>
      <c r="E5882">
        <v>0.56635489999999999</v>
      </c>
      <c r="F5882" t="s">
        <v>41</v>
      </c>
      <c r="G5882">
        <v>-321.88150000000002</v>
      </c>
      <c r="H5882" s="1">
        <v>-4.9907049999999998E-6</v>
      </c>
      <c r="I5882">
        <v>13.005850000000001</v>
      </c>
      <c r="J5882">
        <v>-358.3732</v>
      </c>
      <c r="K5882">
        <v>1.110684</v>
      </c>
      <c r="L5882">
        <v>16.949490000000001</v>
      </c>
      <c r="M5882">
        <v>0.9998977</v>
      </c>
      <c r="N5882">
        <v>-1.39512E-2</v>
      </c>
      <c r="O5882">
        <v>3.1828020000000002E-3</v>
      </c>
      <c r="P5882">
        <v>0.98216300000000001</v>
      </c>
      <c r="Q5882">
        <v>0.17256679999999999</v>
      </c>
      <c r="R5882">
        <v>7.4678469999999997E-2</v>
      </c>
      <c r="S5882">
        <v>3.095917</v>
      </c>
      <c r="T5882">
        <v>-9.3648309999999998E-2</v>
      </c>
      <c r="U5882">
        <v>-0.332428</v>
      </c>
      <c r="V5882">
        <v>-7.1585040000000003E-2</v>
      </c>
      <c r="W5882">
        <v>0.18624289999999999</v>
      </c>
      <c r="X5882">
        <v>0.9798924</v>
      </c>
      <c r="Y5882">
        <v>0.1098537</v>
      </c>
      <c r="Z5882">
        <v>-2.4768379999999999E-3</v>
      </c>
      <c r="AA5882">
        <v>0.99394470000000001</v>
      </c>
      <c r="AB5882">
        <v>26</v>
      </c>
      <c r="AC5882">
        <v>36.491699999999902</v>
      </c>
      <c r="AD5882">
        <v>-1.1106889907049999</v>
      </c>
      <c r="AE5882">
        <v>-3.9436399999999998</v>
      </c>
      <c r="AF5882">
        <v>4.0560630276582499</v>
      </c>
      <c r="AG5882">
        <v>-1.1106889907049999</v>
      </c>
      <c r="AH5882">
        <v>36.445588797073803</v>
      </c>
      <c r="AI5882">
        <v>91.734859796612895</v>
      </c>
      <c r="AJ5882">
        <v>83.649631925734099</v>
      </c>
      <c r="AK5882">
        <v>36.687412283831101</v>
      </c>
      <c r="AL5882">
        <v>79.266394934365906</v>
      </c>
      <c r="AM5882">
        <v>94.178262324558105</v>
      </c>
      <c r="AN5882">
        <v>0.999999975664985</v>
      </c>
    </row>
    <row r="5883" spans="1:40" x14ac:dyDescent="0.25">
      <c r="A5883" t="str">
        <f>"20190304155219234"</f>
        <v>20190304155219234</v>
      </c>
      <c r="B5883" t="str">
        <f>"1551685939222938"</f>
        <v>1551685939222938</v>
      </c>
      <c r="C5883" t="s">
        <v>40</v>
      </c>
      <c r="D5883">
        <v>4.7764810000000004</v>
      </c>
      <c r="E5883">
        <v>0.56554950000000004</v>
      </c>
      <c r="F5883" t="s">
        <v>41</v>
      </c>
      <c r="G5883">
        <v>-320.28930000000003</v>
      </c>
      <c r="H5883" s="1">
        <v>-5.7369629999999999E-6</v>
      </c>
      <c r="I5883">
        <v>13.04194</v>
      </c>
      <c r="J5883">
        <v>-358.21300000000002</v>
      </c>
      <c r="K5883">
        <v>1.110665</v>
      </c>
      <c r="L5883">
        <v>16.95007</v>
      </c>
      <c r="M5883">
        <v>0.99989749999999999</v>
      </c>
      <c r="N5883">
        <v>-1.39501E-2</v>
      </c>
      <c r="O5883">
        <v>3.2342970000000001E-3</v>
      </c>
      <c r="P5883">
        <v>0.98216809999999999</v>
      </c>
      <c r="Q5883">
        <v>0.17252590000000001</v>
      </c>
      <c r="R5883">
        <v>7.4704729999999997E-2</v>
      </c>
      <c r="S5883">
        <v>3.0944820000000002</v>
      </c>
      <c r="T5883">
        <v>-9.0248350000000005E-2</v>
      </c>
      <c r="U5883">
        <v>-0.31750489999999998</v>
      </c>
      <c r="V5883">
        <v>-7.1550530000000001E-2</v>
      </c>
      <c r="W5883">
        <v>0.18620500000000001</v>
      </c>
      <c r="X5883">
        <v>0.9799021</v>
      </c>
      <c r="Y5883">
        <v>0.1052189</v>
      </c>
      <c r="Z5883">
        <v>-2.3151360000000002E-3</v>
      </c>
      <c r="AA5883">
        <v>0.99444639999999995</v>
      </c>
      <c r="AB5883">
        <v>26</v>
      </c>
      <c r="AC5883">
        <v>37.923699999999997</v>
      </c>
      <c r="AD5883">
        <v>-1.110670736963</v>
      </c>
      <c r="AE5883">
        <v>-3.9081299999999999</v>
      </c>
      <c r="AF5883">
        <v>4.0273599187207996</v>
      </c>
      <c r="AG5883">
        <v>-1.110670736963</v>
      </c>
      <c r="AH5883">
        <v>37.878712124941103</v>
      </c>
      <c r="AI5883">
        <v>91.670124185432002</v>
      </c>
      <c r="AJ5883">
        <v>83.930969191617294</v>
      </c>
      <c r="AK5883">
        <v>38.108398675948301</v>
      </c>
      <c r="AL5883">
        <v>79.268604859918597</v>
      </c>
      <c r="AM5883">
        <v>94.176213985525493</v>
      </c>
      <c r="AN5883">
        <v>0.99999995297634403</v>
      </c>
    </row>
    <row r="5884" spans="1:40" x14ac:dyDescent="0.25">
      <c r="A5884" t="str">
        <f>"20190304155219245"</f>
        <v>20190304155219245</v>
      </c>
      <c r="B5884" t="str">
        <f>"1551685939242457"</f>
        <v>1551685939242457</v>
      </c>
      <c r="C5884" t="s">
        <v>40</v>
      </c>
      <c r="D5884">
        <v>4.8301100000000003</v>
      </c>
      <c r="E5884">
        <v>0.56415899999999997</v>
      </c>
      <c r="F5884" t="s">
        <v>42</v>
      </c>
      <c r="G5884">
        <v>-317.92129999999997</v>
      </c>
      <c r="H5884">
        <v>-0.05</v>
      </c>
      <c r="I5884">
        <v>12.89972</v>
      </c>
      <c r="J5884">
        <v>-358.07369999999997</v>
      </c>
      <c r="K5884">
        <v>1.110649</v>
      </c>
      <c r="L5884">
        <v>16.950589999999998</v>
      </c>
      <c r="M5884">
        <v>0.99989740000000005</v>
      </c>
      <c r="N5884">
        <v>-1.3949100000000001E-2</v>
      </c>
      <c r="O5884">
        <v>3.268033E-3</v>
      </c>
      <c r="P5884">
        <v>0.98214170000000001</v>
      </c>
      <c r="Q5884">
        <v>0.17254720000000001</v>
      </c>
      <c r="R5884">
        <v>7.5001960000000006E-2</v>
      </c>
      <c r="S5884">
        <v>3.0937809999999999</v>
      </c>
      <c r="T5884">
        <v>-8.9121220000000001E-2</v>
      </c>
      <c r="U5884">
        <v>-0.31100460000000002</v>
      </c>
      <c r="V5884">
        <v>-7.1806259999999997E-2</v>
      </c>
      <c r="W5884">
        <v>0.1862279</v>
      </c>
      <c r="X5884">
        <v>0.9798791</v>
      </c>
      <c r="Y5884">
        <v>0.1032096</v>
      </c>
      <c r="Z5884">
        <v>-2.252843E-3</v>
      </c>
      <c r="AA5884">
        <v>0.99465709999999996</v>
      </c>
      <c r="AB5884">
        <v>26</v>
      </c>
      <c r="AC5884">
        <v>40.1524</v>
      </c>
      <c r="AD5884">
        <v>-1.160649</v>
      </c>
      <c r="AE5884">
        <v>-4.05086999999999</v>
      </c>
      <c r="AF5884">
        <v>4.17862417473098</v>
      </c>
      <c r="AG5884">
        <v>-1.160649</v>
      </c>
      <c r="AH5884">
        <v>40.105772656657699</v>
      </c>
      <c r="AI5884">
        <v>91.648740076159697</v>
      </c>
      <c r="AJ5884">
        <v>84.051809138589206</v>
      </c>
      <c r="AK5884">
        <v>40.339571223333103</v>
      </c>
      <c r="AL5884">
        <v>79.267270049199695</v>
      </c>
      <c r="AM5884">
        <v>94.191185196165193</v>
      </c>
      <c r="AN5884">
        <v>1.0000000101652</v>
      </c>
    </row>
    <row r="5885" spans="1:40" x14ac:dyDescent="0.25">
      <c r="A5885" t="str">
        <f>"20190304155219264"</f>
        <v>20190304155219264</v>
      </c>
      <c r="B5885" t="str">
        <f>"1551685939262953"</f>
        <v>1551685939262953</v>
      </c>
      <c r="C5885" t="s">
        <v>40</v>
      </c>
      <c r="D5885">
        <v>4.9131819999999999</v>
      </c>
      <c r="E5885">
        <v>0.56289860000000003</v>
      </c>
      <c r="F5885" t="s">
        <v>42</v>
      </c>
      <c r="G5885">
        <v>-316.82260000000002</v>
      </c>
      <c r="H5885">
        <v>-0.05</v>
      </c>
      <c r="I5885">
        <v>12.965070000000001</v>
      </c>
      <c r="J5885">
        <v>-357.8519</v>
      </c>
      <c r="K5885">
        <v>1.1106240000000001</v>
      </c>
      <c r="L5885">
        <v>16.951350000000001</v>
      </c>
      <c r="M5885">
        <v>0.99989740000000005</v>
      </c>
      <c r="N5885">
        <v>-1.394741E-2</v>
      </c>
      <c r="O5885">
        <v>3.2956980000000001E-3</v>
      </c>
      <c r="P5885">
        <v>0.98210299999999995</v>
      </c>
      <c r="Q5885">
        <v>0.17297899999999999</v>
      </c>
      <c r="R5885">
        <v>7.4513670000000004E-2</v>
      </c>
      <c r="S5885">
        <v>3.0926209999999998</v>
      </c>
      <c r="T5885">
        <v>-8.7014679999999997E-2</v>
      </c>
      <c r="U5885">
        <v>-0.298797599999999</v>
      </c>
      <c r="V5885">
        <v>-7.1280239999999995E-2</v>
      </c>
      <c r="W5885">
        <v>0.1866622</v>
      </c>
      <c r="X5885">
        <v>0.97983489999999995</v>
      </c>
      <c r="Y5885">
        <v>9.9389930000000001E-2</v>
      </c>
      <c r="Z5885">
        <v>-2.1363129999999999E-3</v>
      </c>
      <c r="AA5885">
        <v>0.99504630000000005</v>
      </c>
      <c r="AB5885">
        <v>26</v>
      </c>
      <c r="AC5885">
        <v>41.0292999999999</v>
      </c>
      <c r="AD5885">
        <v>-1.1606239999999901</v>
      </c>
      <c r="AE5885">
        <v>-3.9862799999999998</v>
      </c>
      <c r="AF5885">
        <v>4.11822710760425</v>
      </c>
      <c r="AG5885">
        <v>-1.1606239999999901</v>
      </c>
      <c r="AH5885">
        <v>40.983450271477402</v>
      </c>
      <c r="AI5885">
        <v>91.614020944609393</v>
      </c>
      <c r="AJ5885">
        <v>84.261887797437296</v>
      </c>
      <c r="AK5885">
        <v>41.206189325559301</v>
      </c>
      <c r="AL5885">
        <v>79.241942710471207</v>
      </c>
      <c r="AM5885">
        <v>94.160777717201597</v>
      </c>
      <c r="AN5885">
        <v>1.0000000403906499</v>
      </c>
    </row>
    <row r="5886" spans="1:40" x14ac:dyDescent="0.25">
      <c r="A5886" t="str">
        <f>"20190304155219278"</f>
        <v>20190304155219278</v>
      </c>
      <c r="B5886" t="str">
        <f>"1551685939272713"</f>
        <v>1551685939272713</v>
      </c>
      <c r="C5886" t="s">
        <v>40</v>
      </c>
      <c r="D5886">
        <v>4.8263319999999998</v>
      </c>
      <c r="E5886">
        <v>0.56226489999999996</v>
      </c>
      <c r="F5886" t="s">
        <v>42</v>
      </c>
      <c r="G5886">
        <v>-314.10930000000002</v>
      </c>
      <c r="H5886">
        <v>-0.05</v>
      </c>
      <c r="I5886">
        <v>12.84657</v>
      </c>
      <c r="J5886">
        <v>-357.70159999999998</v>
      </c>
      <c r="K5886">
        <v>1.1106119999999999</v>
      </c>
      <c r="L5886">
        <v>16.951899999999998</v>
      </c>
      <c r="M5886">
        <v>0.99989740000000005</v>
      </c>
      <c r="N5886">
        <v>-1.394622E-2</v>
      </c>
      <c r="O5886">
        <v>3.30138E-3</v>
      </c>
      <c r="P5886">
        <v>0.98205100000000001</v>
      </c>
      <c r="Q5886">
        <v>0.17331160000000001</v>
      </c>
      <c r="R5886">
        <v>7.4425610000000003E-2</v>
      </c>
      <c r="S5886">
        <v>3.0911249999999999</v>
      </c>
      <c r="T5886">
        <v>-8.2016939999999997E-2</v>
      </c>
      <c r="U5886">
        <v>-0.29006959999999998</v>
      </c>
      <c r="V5886">
        <v>-7.1180339999999995E-2</v>
      </c>
      <c r="W5886">
        <v>0.1869952</v>
      </c>
      <c r="X5886">
        <v>0.97977860000000006</v>
      </c>
      <c r="Y5886">
        <v>9.666392E-2</v>
      </c>
      <c r="Z5886">
        <v>-1.996552E-3</v>
      </c>
      <c r="AA5886">
        <v>0.99531510000000001</v>
      </c>
      <c r="AB5886">
        <v>26</v>
      </c>
      <c r="AC5886">
        <v>43.592299999999902</v>
      </c>
      <c r="AD5886">
        <v>-1.160612</v>
      </c>
      <c r="AE5886">
        <v>-4.1053299999999897</v>
      </c>
      <c r="AF5886">
        <v>4.2462528564200301</v>
      </c>
      <c r="AG5886">
        <v>-1.160612</v>
      </c>
      <c r="AH5886">
        <v>43.547910243967102</v>
      </c>
      <c r="AI5886">
        <v>91.519447566721396</v>
      </c>
      <c r="AJ5886">
        <v>84.430830736216095</v>
      </c>
      <c r="AK5886">
        <v>43.7698317354753</v>
      </c>
      <c r="AL5886">
        <v>79.222520543743599</v>
      </c>
      <c r="AM5886">
        <v>94.155204697057997</v>
      </c>
      <c r="AN5886">
        <v>0.999999975321757</v>
      </c>
    </row>
    <row r="5887" spans="1:40" x14ac:dyDescent="0.25">
      <c r="A5887" t="str">
        <f>"20190304155219299"</f>
        <v>20190304155219299</v>
      </c>
      <c r="B5887" t="str">
        <f>"1551685939293210"</f>
        <v>1551685939293210</v>
      </c>
      <c r="C5887" t="s">
        <v>40</v>
      </c>
      <c r="D5887">
        <v>4.8319039999999998</v>
      </c>
      <c r="E5887">
        <v>0.56124090000000004</v>
      </c>
      <c r="F5887" t="s">
        <v>42</v>
      </c>
      <c r="G5887">
        <v>-312.77120000000002</v>
      </c>
      <c r="H5887">
        <v>-0.05</v>
      </c>
      <c r="I5887">
        <v>12.80589</v>
      </c>
      <c r="J5887">
        <v>-357.46539999999999</v>
      </c>
      <c r="K5887">
        <v>1.1105929999999999</v>
      </c>
      <c r="L5887">
        <v>16.952670000000001</v>
      </c>
      <c r="M5887">
        <v>0.99989740000000005</v>
      </c>
      <c r="N5887">
        <v>-1.394431E-2</v>
      </c>
      <c r="O5887">
        <v>3.298437E-3</v>
      </c>
      <c r="P5887">
        <v>0.98208059999999997</v>
      </c>
      <c r="Q5887">
        <v>0.17345749999999999</v>
      </c>
      <c r="R5887">
        <v>7.3689749999999998E-2</v>
      </c>
      <c r="S5887">
        <v>3.090576</v>
      </c>
      <c r="T5887">
        <v>-7.9833749999999995E-2</v>
      </c>
      <c r="U5887">
        <v>-0.28518680000000002</v>
      </c>
      <c r="V5887">
        <v>-7.0440139999999998E-2</v>
      </c>
      <c r="W5887">
        <v>0.1871419</v>
      </c>
      <c r="X5887">
        <v>0.97980409999999996</v>
      </c>
      <c r="Y5887">
        <v>9.5121369999999997E-2</v>
      </c>
      <c r="Z5887">
        <v>-1.929676E-3</v>
      </c>
      <c r="AA5887">
        <v>0.99546380000000001</v>
      </c>
      <c r="AB5887">
        <v>26</v>
      </c>
      <c r="AC5887">
        <v>44.694199999999903</v>
      </c>
      <c r="AD5887">
        <v>-1.160593</v>
      </c>
      <c r="AE5887">
        <v>-4.1467799999999997</v>
      </c>
      <c r="AF5887">
        <v>4.2913237936082798</v>
      </c>
      <c r="AG5887">
        <v>-1.160593</v>
      </c>
      <c r="AH5887">
        <v>44.650426482250602</v>
      </c>
      <c r="AI5887">
        <v>91.482120450772996</v>
      </c>
      <c r="AJ5887">
        <v>84.510201124315103</v>
      </c>
      <c r="AK5887">
        <v>44.871182523531701</v>
      </c>
      <c r="AL5887">
        <v>79.2139643581435</v>
      </c>
      <c r="AM5887">
        <v>94.1120373275578</v>
      </c>
      <c r="AN5887">
        <v>0.99999998921781896</v>
      </c>
    </row>
    <row r="5888" spans="1:40" x14ac:dyDescent="0.25">
      <c r="A5888" t="str">
        <f>"20190304155219322"</f>
        <v>20190304155219322</v>
      </c>
      <c r="B5888" t="str">
        <f>"1551685939312729"</f>
        <v>1551685939312729</v>
      </c>
      <c r="C5888" t="s">
        <v>40</v>
      </c>
      <c r="D5888">
        <v>4.8183590000000001</v>
      </c>
      <c r="E5888">
        <v>0.56043019999999999</v>
      </c>
      <c r="F5888" t="s">
        <v>42</v>
      </c>
      <c r="G5888">
        <v>-310.70740000000001</v>
      </c>
      <c r="H5888">
        <v>-0.05</v>
      </c>
      <c r="I5888">
        <v>12.728070000000001</v>
      </c>
      <c r="J5888">
        <v>-357.1952</v>
      </c>
      <c r="K5888">
        <v>1.110582</v>
      </c>
      <c r="L5888">
        <v>16.953579999999999</v>
      </c>
      <c r="M5888">
        <v>0.99989740000000005</v>
      </c>
      <c r="N5888">
        <v>-1.3942049999999999E-2</v>
      </c>
      <c r="O5888">
        <v>3.2824180000000001E-3</v>
      </c>
      <c r="P5888">
        <v>0.98203499999999999</v>
      </c>
      <c r="Q5888">
        <v>0.17391970000000001</v>
      </c>
      <c r="R5888">
        <v>7.3205510000000001E-2</v>
      </c>
      <c r="S5888">
        <v>3.0892330000000001</v>
      </c>
      <c r="T5888">
        <v>-7.6678750000000004E-2</v>
      </c>
      <c r="U5888">
        <v>-0.27911380000000002</v>
      </c>
      <c r="V5888">
        <v>-6.9966669999999995E-2</v>
      </c>
      <c r="W5888">
        <v>0.18760279999999999</v>
      </c>
      <c r="X5888">
        <v>0.97974989999999995</v>
      </c>
      <c r="Y5888">
        <v>9.3208120000000005E-2</v>
      </c>
      <c r="Z5888">
        <v>-1.84114E-3</v>
      </c>
      <c r="AA5888">
        <v>0.99564490000000005</v>
      </c>
      <c r="AB5888">
        <v>26</v>
      </c>
      <c r="AC5888">
        <v>46.487799999999901</v>
      </c>
      <c r="AD5888">
        <v>-1.160582</v>
      </c>
      <c r="AE5888">
        <v>-4.2255099999999999</v>
      </c>
      <c r="AF5888">
        <v>4.3753897716321104</v>
      </c>
      <c r="AG5888">
        <v>-1.160582</v>
      </c>
      <c r="AH5888">
        <v>46.444967893425101</v>
      </c>
      <c r="AI5888">
        <v>91.425120525706205</v>
      </c>
      <c r="AJ5888">
        <v>84.618282770521205</v>
      </c>
      <c r="AK5888">
        <v>46.665040757013301</v>
      </c>
      <c r="AL5888">
        <v>79.187080777197096</v>
      </c>
      <c r="AM5888">
        <v>94.084716934950293</v>
      </c>
      <c r="AN5888">
        <v>1.0000000060143599</v>
      </c>
    </row>
    <row r="5889" spans="1:40" x14ac:dyDescent="0.25">
      <c r="A5889" t="str">
        <f>"20190304155219336"</f>
        <v>20190304155219336</v>
      </c>
      <c r="B5889" t="str">
        <f>"1551685939333225"</f>
        <v>1551685939333225</v>
      </c>
      <c r="C5889" t="s">
        <v>40</v>
      </c>
      <c r="D5889">
        <v>4.8518860000000004</v>
      </c>
      <c r="E5889">
        <v>0.55953999999999904</v>
      </c>
      <c r="F5889" t="s">
        <v>42</v>
      </c>
      <c r="G5889">
        <v>-307.65809999999999</v>
      </c>
      <c r="H5889">
        <v>-0.05</v>
      </c>
      <c r="I5889">
        <v>12.557079999999999</v>
      </c>
      <c r="J5889">
        <v>-357.0326</v>
      </c>
      <c r="K5889">
        <v>1.1105849999999999</v>
      </c>
      <c r="L5889">
        <v>16.9541</v>
      </c>
      <c r="M5889">
        <v>0.99989749999999999</v>
      </c>
      <c r="N5889">
        <v>-1.3940650000000001E-2</v>
      </c>
      <c r="O5889">
        <v>3.2698039999999999E-3</v>
      </c>
      <c r="P5889">
        <v>0.9819871</v>
      </c>
      <c r="Q5889">
        <v>0.174240899999999</v>
      </c>
      <c r="R5889">
        <v>7.3084640000000006E-2</v>
      </c>
      <c r="S5889">
        <v>3.0881349999999999</v>
      </c>
      <c r="T5889">
        <v>-7.2350499999999998E-2</v>
      </c>
      <c r="U5889">
        <v>-0.2740784</v>
      </c>
      <c r="V5889">
        <v>-6.9856730000000006E-2</v>
      </c>
      <c r="W5889">
        <v>0.1879227</v>
      </c>
      <c r="X5889">
        <v>0.97969649999999997</v>
      </c>
      <c r="Y5889">
        <v>9.1621380000000002E-2</v>
      </c>
      <c r="Z5889">
        <v>-1.7420370000000001E-3</v>
      </c>
      <c r="AA5889">
        <v>0.99579240000000002</v>
      </c>
      <c r="AB5889">
        <v>26</v>
      </c>
      <c r="AC5889">
        <v>49.374499999999998</v>
      </c>
      <c r="AD5889">
        <v>-1.160585</v>
      </c>
      <c r="AE5889">
        <v>-4.3970200000000004</v>
      </c>
      <c r="AF5889">
        <v>4.5559596587679003</v>
      </c>
      <c r="AG5889">
        <v>-1.160585</v>
      </c>
      <c r="AH5889">
        <v>49.332814283333498</v>
      </c>
      <c r="AI5889">
        <v>91.341961688964602</v>
      </c>
      <c r="AJ5889">
        <v>84.723614963036894</v>
      </c>
      <c r="AK5889">
        <v>49.556334520103597</v>
      </c>
      <c r="AL5889">
        <v>79.168420643395294</v>
      </c>
      <c r="AM5889">
        <v>94.078541759347203</v>
      </c>
      <c r="AN5889">
        <v>1.0000000680069101</v>
      </c>
    </row>
    <row r="5890" spans="1:40" x14ac:dyDescent="0.25">
      <c r="A5890" t="str">
        <f>"20190304155219354"</f>
        <v>20190304155219354</v>
      </c>
      <c r="B5890" t="str">
        <f>"1551685939352745"</f>
        <v>1551685939352745</v>
      </c>
      <c r="C5890" t="s">
        <v>40</v>
      </c>
      <c r="D5890">
        <v>4.8557269999999999</v>
      </c>
      <c r="E5890">
        <v>0.5589172</v>
      </c>
      <c r="F5890" t="s">
        <v>42</v>
      </c>
      <c r="G5890">
        <v>-305.23329999999999</v>
      </c>
      <c r="H5890">
        <v>-0.05</v>
      </c>
      <c r="I5890">
        <v>12.47113</v>
      </c>
      <c r="J5890">
        <v>-356.80860000000001</v>
      </c>
      <c r="K5890">
        <v>1.1105849999999999</v>
      </c>
      <c r="L5890">
        <v>16.954829999999902</v>
      </c>
      <c r="M5890">
        <v>0.9998977</v>
      </c>
      <c r="N5890">
        <v>-1.393869E-2</v>
      </c>
      <c r="O5890">
        <v>3.2517449999999999E-3</v>
      </c>
      <c r="P5890">
        <v>0.98186560000000001</v>
      </c>
      <c r="Q5890">
        <v>0.1750507</v>
      </c>
      <c r="R5890">
        <v>7.2782959999999994E-2</v>
      </c>
      <c r="S5890">
        <v>3.087189</v>
      </c>
      <c r="T5890">
        <v>-6.9169759999999997E-2</v>
      </c>
      <c r="U5890">
        <v>-0.26718140000000001</v>
      </c>
      <c r="V5890">
        <v>-6.9572960000000003E-2</v>
      </c>
      <c r="W5890">
        <v>0.1887286</v>
      </c>
      <c r="X5890">
        <v>0.97956169999999998</v>
      </c>
      <c r="Y5890">
        <v>8.9426060000000002E-2</v>
      </c>
      <c r="Z5890">
        <v>-1.6518559999999999E-3</v>
      </c>
      <c r="AA5890">
        <v>0.99599210000000005</v>
      </c>
      <c r="AB5890">
        <v>26</v>
      </c>
      <c r="AC5890">
        <v>51.575299999999999</v>
      </c>
      <c r="AD5890">
        <v>-1.160585</v>
      </c>
      <c r="AE5890">
        <v>-4.48369999999999</v>
      </c>
      <c r="AF5890">
        <v>4.6490657838438398</v>
      </c>
      <c r="AG5890">
        <v>-1.160585</v>
      </c>
      <c r="AH5890">
        <v>51.534546059052403</v>
      </c>
      <c r="AI5890">
        <v>91.284896831141197</v>
      </c>
      <c r="AJ5890">
        <v>84.845152028347897</v>
      </c>
      <c r="AK5890">
        <v>51.756837304044502</v>
      </c>
      <c r="AL5890">
        <v>79.121403983788596</v>
      </c>
      <c r="AM5890">
        <v>94.062586711071305</v>
      </c>
      <c r="AN5890">
        <v>1.0000000026639999</v>
      </c>
    </row>
    <row r="5891" spans="1:40" x14ac:dyDescent="0.25">
      <c r="A5891" t="str">
        <f>"20190304155219367"</f>
        <v>20190304155219367</v>
      </c>
      <c r="B5891" t="str">
        <f>"1551685939362505"</f>
        <v>1551685939362505</v>
      </c>
      <c r="C5891" t="s">
        <v>40</v>
      </c>
      <c r="D5891">
        <v>4.8347350000000002</v>
      </c>
      <c r="E5891">
        <v>0.55861000000000005</v>
      </c>
      <c r="F5891" t="s">
        <v>42</v>
      </c>
      <c r="G5891">
        <v>-300.48540000000003</v>
      </c>
      <c r="H5891">
        <v>-0.05</v>
      </c>
      <c r="I5891">
        <v>12.15344</v>
      </c>
      <c r="J5891">
        <v>-356.6635</v>
      </c>
      <c r="K5891">
        <v>1.110587</v>
      </c>
      <c r="L5891">
        <v>16.955289999999898</v>
      </c>
      <c r="M5891">
        <v>0.99989779999999995</v>
      </c>
      <c r="N5891">
        <v>-1.3937420000000001E-2</v>
      </c>
      <c r="O5891">
        <v>3.2406800000000001E-3</v>
      </c>
      <c r="P5891">
        <v>0.98184729999999998</v>
      </c>
      <c r="Q5891">
        <v>0.17524479999999901</v>
      </c>
      <c r="R5891">
        <v>7.2563649999999993E-2</v>
      </c>
      <c r="S5891">
        <v>3.0862430000000001</v>
      </c>
      <c r="T5891">
        <v>-6.3594460000000005E-2</v>
      </c>
      <c r="U5891">
        <v>-0.26309199999999999</v>
      </c>
      <c r="V5891">
        <v>-6.9364839999999997E-2</v>
      </c>
      <c r="W5891">
        <v>0.18892110000000001</v>
      </c>
      <c r="X5891">
        <v>0.9795393</v>
      </c>
      <c r="Y5891">
        <v>8.8136199999999998E-2</v>
      </c>
      <c r="Z5891">
        <v>-1.543331E-3</v>
      </c>
      <c r="AA5891">
        <v>0.99610719999999997</v>
      </c>
      <c r="AB5891">
        <v>26</v>
      </c>
      <c r="AC5891">
        <v>56.178099999999901</v>
      </c>
      <c r="AD5891">
        <v>-1.160587</v>
      </c>
      <c r="AE5891">
        <v>-4.8018499999999902</v>
      </c>
      <c r="AF5891">
        <v>4.9817868874022704</v>
      </c>
      <c r="AG5891">
        <v>-1.160587</v>
      </c>
      <c r="AH5891">
        <v>56.138456241994099</v>
      </c>
      <c r="AI5891">
        <v>91.179709722982594</v>
      </c>
      <c r="AJ5891">
        <v>84.928795038805404</v>
      </c>
      <c r="AK5891">
        <v>56.371015885917302</v>
      </c>
      <c r="AL5891">
        <v>79.110171938312106</v>
      </c>
      <c r="AM5891">
        <v>94.050566749184398</v>
      </c>
      <c r="AN5891">
        <v>0.99999995164896105</v>
      </c>
    </row>
    <row r="5892" spans="1:40" x14ac:dyDescent="0.25">
      <c r="A5892" t="str">
        <f>"20190304155219382"</f>
        <v>20190304155219382</v>
      </c>
      <c r="B5892" t="str">
        <f>"1551685939373242"</f>
        <v>1551685939373242</v>
      </c>
      <c r="C5892" t="s">
        <v>40</v>
      </c>
      <c r="D5892">
        <v>4.8378809999999897</v>
      </c>
      <c r="E5892">
        <v>0.55830299999999999</v>
      </c>
      <c r="F5892" t="s">
        <v>42</v>
      </c>
      <c r="G5892">
        <v>-298.7765</v>
      </c>
      <c r="H5892">
        <v>-0.05</v>
      </c>
      <c r="I5892">
        <v>12.053710000000001</v>
      </c>
      <c r="J5892">
        <v>-356.5052</v>
      </c>
      <c r="K5892">
        <v>1.110589</v>
      </c>
      <c r="L5892">
        <v>16.95581</v>
      </c>
      <c r="M5892">
        <v>0.99989779999999995</v>
      </c>
      <c r="N5892">
        <v>-1.393601E-2</v>
      </c>
      <c r="O5892">
        <v>3.2313009999999998E-3</v>
      </c>
      <c r="P5892">
        <v>0.98177049999999999</v>
      </c>
      <c r="Q5892">
        <v>0.1757041</v>
      </c>
      <c r="R5892">
        <v>7.2492280000000006E-2</v>
      </c>
      <c r="S5892">
        <v>3.0858150000000002</v>
      </c>
      <c r="T5892">
        <v>-6.1868069999999997E-2</v>
      </c>
      <c r="U5892">
        <v>-0.26129150000000001</v>
      </c>
      <c r="V5892">
        <v>-6.9303970000000006E-2</v>
      </c>
      <c r="W5892">
        <v>0.18937760000000001</v>
      </c>
      <c r="X5892">
        <v>0.97945550000000003</v>
      </c>
      <c r="Y5892">
        <v>8.7562970000000004E-2</v>
      </c>
      <c r="Z5892">
        <v>-1.5072039999999901E-3</v>
      </c>
      <c r="AA5892">
        <v>0.99615779999999998</v>
      </c>
      <c r="AB5892">
        <v>26</v>
      </c>
      <c r="AC5892">
        <v>57.728700000000003</v>
      </c>
      <c r="AD5892">
        <v>-1.1605889999999901</v>
      </c>
      <c r="AE5892">
        <v>-4.9020999999999901</v>
      </c>
      <c r="AF5892">
        <v>5.0865901282937003</v>
      </c>
      <c r="AG5892">
        <v>-1.1605889999999901</v>
      </c>
      <c r="AH5892">
        <v>57.689406965219497</v>
      </c>
      <c r="AI5892">
        <v>91.148061728931197</v>
      </c>
      <c r="AJ5892">
        <v>84.9611476796441</v>
      </c>
      <c r="AK5892">
        <v>57.924848225600797</v>
      </c>
      <c r="AL5892">
        <v>79.083536073460706</v>
      </c>
      <c r="AM5892">
        <v>94.047369159041807</v>
      </c>
      <c r="AN5892">
        <v>0.99999999605988499</v>
      </c>
    </row>
    <row r="5893" spans="1:40" x14ac:dyDescent="0.25">
      <c r="A5893" t="str">
        <f>"20190304155219399"</f>
        <v>20190304155219399</v>
      </c>
      <c r="B5893" t="str">
        <f>"1551685939392762"</f>
        <v>1551685939392762</v>
      </c>
      <c r="C5893" t="s">
        <v>40</v>
      </c>
      <c r="D5893">
        <v>4.8622249999999996</v>
      </c>
      <c r="E5893">
        <v>0.55769139999999995</v>
      </c>
      <c r="F5893" t="s">
        <v>42</v>
      </c>
      <c r="G5893">
        <v>-296.46210000000002</v>
      </c>
      <c r="H5893">
        <v>-0.05</v>
      </c>
      <c r="I5893">
        <v>11.91919</v>
      </c>
      <c r="J5893">
        <v>-356.2921</v>
      </c>
      <c r="K5893">
        <v>1.110595</v>
      </c>
      <c r="L5893">
        <v>16.956479999999999</v>
      </c>
      <c r="M5893">
        <v>0.99989779999999995</v>
      </c>
      <c r="N5893">
        <v>-1.39341E-2</v>
      </c>
      <c r="O5893">
        <v>3.2217639999999998E-3</v>
      </c>
      <c r="P5893">
        <v>0.98172870000000001</v>
      </c>
      <c r="Q5893">
        <v>0.17598039999999901</v>
      </c>
      <c r="R5893">
        <v>7.2385179999999993E-2</v>
      </c>
      <c r="S5893">
        <v>3.08548</v>
      </c>
      <c r="T5893">
        <v>-5.964005E-2</v>
      </c>
      <c r="U5893">
        <v>-0.25881959999999998</v>
      </c>
      <c r="V5893">
        <v>-6.9207299999999999E-2</v>
      </c>
      <c r="W5893">
        <v>0.1896515</v>
      </c>
      <c r="X5893">
        <v>0.97940930000000004</v>
      </c>
      <c r="Y5893">
        <v>8.6772070000000007E-2</v>
      </c>
      <c r="Z5893">
        <v>-1.4601519999999999E-3</v>
      </c>
      <c r="AA5893">
        <v>0.99622710000000003</v>
      </c>
      <c r="AB5893">
        <v>26</v>
      </c>
      <c r="AC5893">
        <v>59.829999999999899</v>
      </c>
      <c r="AD5893">
        <v>-1.160595</v>
      </c>
      <c r="AE5893">
        <v>-5.0372899999999996</v>
      </c>
      <c r="AF5893">
        <v>5.2280872600445099</v>
      </c>
      <c r="AG5893">
        <v>-1.160595</v>
      </c>
      <c r="AH5893">
        <v>59.791118418636998</v>
      </c>
      <c r="AI5893">
        <v>91.107793007262998</v>
      </c>
      <c r="AJ5893">
        <v>85.002812822355395</v>
      </c>
      <c r="AK5893">
        <v>60.030473252375202</v>
      </c>
      <c r="AL5893">
        <v>79.067552708774201</v>
      </c>
      <c r="AM5893">
        <v>94.041932352244899</v>
      </c>
      <c r="AN5893">
        <v>0.99999995937601405</v>
      </c>
    </row>
    <row r="5894" spans="1:40" x14ac:dyDescent="0.25">
      <c r="A5894" t="str">
        <f>"20190304155219422"</f>
        <v>20190304155219422</v>
      </c>
      <c r="B5894" t="str">
        <f>"1551685939412283"</f>
        <v>1551685939412283</v>
      </c>
      <c r="C5894" t="s">
        <v>40</v>
      </c>
      <c r="D5894">
        <v>4.8985839999999996</v>
      </c>
      <c r="E5894">
        <v>0.55707320000000005</v>
      </c>
      <c r="F5894" t="s">
        <v>42</v>
      </c>
      <c r="G5894">
        <v>-292.66419999999999</v>
      </c>
      <c r="H5894">
        <v>-0.05</v>
      </c>
      <c r="I5894">
        <v>11.71039</v>
      </c>
      <c r="J5894">
        <v>-356.03500000000003</v>
      </c>
      <c r="K5894">
        <v>1.110603</v>
      </c>
      <c r="L5894">
        <v>16.95731</v>
      </c>
      <c r="M5894">
        <v>0.99989779999999995</v>
      </c>
      <c r="N5894">
        <v>-1.393175E-2</v>
      </c>
      <c r="O5894">
        <v>3.2151010000000002E-3</v>
      </c>
      <c r="P5894">
        <v>0.98171819999999999</v>
      </c>
      <c r="Q5894">
        <v>0.17611250000000001</v>
      </c>
      <c r="R5894">
        <v>7.2207359999999998E-2</v>
      </c>
      <c r="S5894">
        <v>3.0847169999999999</v>
      </c>
      <c r="T5894">
        <v>-5.626631E-2</v>
      </c>
      <c r="U5894">
        <v>-0.25433349999999999</v>
      </c>
      <c r="V5894">
        <v>-6.9037420000000002E-2</v>
      </c>
      <c r="W5894">
        <v>0.1897807</v>
      </c>
      <c r="X5894">
        <v>0.9793963</v>
      </c>
      <c r="Y5894">
        <v>8.5349869999999994E-2</v>
      </c>
      <c r="Z5894">
        <v>-1.386509E-3</v>
      </c>
      <c r="AA5894">
        <v>0.99634999999999996</v>
      </c>
      <c r="AB5894">
        <v>26</v>
      </c>
      <c r="AC5894">
        <v>63.370800000000003</v>
      </c>
      <c r="AD5894">
        <v>-1.1606030000000001</v>
      </c>
      <c r="AE5894">
        <v>-5.2469199999999896</v>
      </c>
      <c r="AF5894">
        <v>5.4488409635882897</v>
      </c>
      <c r="AG5894">
        <v>-1.1606030000000001</v>
      </c>
      <c r="AH5894">
        <v>63.332503039418498</v>
      </c>
      <c r="AI5894">
        <v>91.045995921255596</v>
      </c>
      <c r="AJ5894">
        <v>85.082640388190299</v>
      </c>
      <c r="AK5894">
        <v>63.577061967411197</v>
      </c>
      <c r="AL5894">
        <v>79.060013573154606</v>
      </c>
      <c r="AM5894">
        <v>94.032096911955605</v>
      </c>
      <c r="AN5894">
        <v>0.99999999595321798</v>
      </c>
    </row>
    <row r="5895" spans="1:40" x14ac:dyDescent="0.25">
      <c r="A5895" t="str">
        <f>"20190304155219435"</f>
        <v>20190304155219435</v>
      </c>
      <c r="B5895" t="str">
        <f>"1551685939432778"</f>
        <v>1551685939432778</v>
      </c>
      <c r="C5895" t="s">
        <v>40</v>
      </c>
      <c r="D5895">
        <v>4.8422669999999997</v>
      </c>
      <c r="E5895">
        <v>0.55647769999999996</v>
      </c>
      <c r="F5895" t="s">
        <v>42</v>
      </c>
      <c r="G5895">
        <v>-290.59609999999998</v>
      </c>
      <c r="H5895">
        <v>-0.05</v>
      </c>
      <c r="I5895">
        <v>11.64433</v>
      </c>
      <c r="J5895">
        <v>-355.8809</v>
      </c>
      <c r="K5895">
        <v>1.1106039999999999</v>
      </c>
      <c r="L5895">
        <v>16.957789999999999</v>
      </c>
      <c r="M5895">
        <v>0.99989790000000001</v>
      </c>
      <c r="N5895">
        <v>-1.393032E-2</v>
      </c>
      <c r="O5895">
        <v>3.2132950000000001E-3</v>
      </c>
      <c r="P5895">
        <v>0.98170009999999996</v>
      </c>
      <c r="Q5895">
        <v>0.17620130000000001</v>
      </c>
      <c r="R5895">
        <v>7.2236250000000002E-2</v>
      </c>
      <c r="S5895">
        <v>3.0841059999999998</v>
      </c>
      <c r="T5895">
        <v>-5.4698709999999998E-2</v>
      </c>
      <c r="U5895">
        <v>-0.25039670000000003</v>
      </c>
      <c r="V5895">
        <v>-6.9069409999999998E-2</v>
      </c>
      <c r="W5895">
        <v>0.18986729999999999</v>
      </c>
      <c r="X5895">
        <v>0.97937730000000001</v>
      </c>
      <c r="Y5895">
        <v>8.4102220000000005E-2</v>
      </c>
      <c r="Z5895">
        <v>-1.3435840000000001E-3</v>
      </c>
      <c r="AA5895">
        <v>0.99645620000000001</v>
      </c>
      <c r="AB5895">
        <v>26</v>
      </c>
      <c r="AC5895">
        <v>65.284800000000004</v>
      </c>
      <c r="AD5895">
        <v>-1.160604</v>
      </c>
      <c r="AE5895">
        <v>-5.3134599999999903</v>
      </c>
      <c r="AF5895">
        <v>5.5214986829936796</v>
      </c>
      <c r="AG5895">
        <v>-1.160604</v>
      </c>
      <c r="AH5895">
        <v>65.246902496635002</v>
      </c>
      <c r="AI5895">
        <v>91.015434232915197</v>
      </c>
      <c r="AJ5895">
        <v>85.162887372369099</v>
      </c>
      <c r="AK5895">
        <v>65.490398034799796</v>
      </c>
      <c r="AL5895">
        <v>79.054960309795206</v>
      </c>
      <c r="AM5895">
        <v>94.0340371063497</v>
      </c>
      <c r="AN5895">
        <v>1.00000003538116</v>
      </c>
    </row>
    <row r="5896" spans="1:40" x14ac:dyDescent="0.25">
      <c r="A5896" t="str">
        <f>"20190304155219448"</f>
        <v>20190304155219448</v>
      </c>
      <c r="B5896" t="str">
        <f>"1551685939442537"</f>
        <v>1551685939442537</v>
      </c>
      <c r="C5896" t="s">
        <v>40</v>
      </c>
      <c r="D5896">
        <v>4.8748659999999999</v>
      </c>
      <c r="E5896">
        <v>0.55621709999999902</v>
      </c>
      <c r="F5896" t="s">
        <v>42</v>
      </c>
      <c r="G5896">
        <v>-287.61950000000002</v>
      </c>
      <c r="H5896">
        <v>-0.05</v>
      </c>
      <c r="I5896">
        <v>11.52319</v>
      </c>
      <c r="J5896">
        <v>-355.7296</v>
      </c>
      <c r="K5896">
        <v>1.110606</v>
      </c>
      <c r="L5896">
        <v>16.958279999999998</v>
      </c>
      <c r="M5896">
        <v>0.99989790000000001</v>
      </c>
      <c r="N5896">
        <v>-1.3928899999999999E-2</v>
      </c>
      <c r="O5896">
        <v>3.2125000000000001E-3</v>
      </c>
      <c r="P5896">
        <v>0.98169949999999995</v>
      </c>
      <c r="Q5896">
        <v>0.17622769999999999</v>
      </c>
      <c r="R5896">
        <v>7.2180099999999997E-2</v>
      </c>
      <c r="S5896">
        <v>3.083405</v>
      </c>
      <c r="T5896">
        <v>-5.2425149999999997E-2</v>
      </c>
      <c r="U5896">
        <v>-0.24548339999999999</v>
      </c>
      <c r="V5896">
        <v>-6.9014889999999995E-2</v>
      </c>
      <c r="W5896">
        <v>0.18989220000000001</v>
      </c>
      <c r="X5896">
        <v>0.97937629999999998</v>
      </c>
      <c r="Y5896">
        <v>8.2543909999999998E-2</v>
      </c>
      <c r="Z5896">
        <v>-1.2863009999999999E-3</v>
      </c>
      <c r="AA5896">
        <v>0.99658659999999999</v>
      </c>
      <c r="AB5896">
        <v>26</v>
      </c>
      <c r="AC5896">
        <v>68.110099999999903</v>
      </c>
      <c r="AD5896">
        <v>-1.160606</v>
      </c>
      <c r="AE5896">
        <v>-5.43508999999999</v>
      </c>
      <c r="AF5896">
        <v>5.6522560168141203</v>
      </c>
      <c r="AG5896">
        <v>-1.160606</v>
      </c>
      <c r="AH5896">
        <v>68.072645608700796</v>
      </c>
      <c r="AI5896">
        <v>90.973421775488404</v>
      </c>
      <c r="AJ5896">
        <v>85.253464581313196</v>
      </c>
      <c r="AK5896">
        <v>68.316762837056402</v>
      </c>
      <c r="AL5896">
        <v>79.053507036883801</v>
      </c>
      <c r="AM5896">
        <v>94.030867438270704</v>
      </c>
      <c r="AN5896">
        <v>1.0000000198321199</v>
      </c>
    </row>
    <row r="5897" spans="1:40" x14ac:dyDescent="0.25">
      <c r="A5897" t="str">
        <f>"20190304155219464"</f>
        <v>20190304155219464</v>
      </c>
      <c r="B5897" t="str">
        <f>"1551685939463034"</f>
        <v>1551685939463034</v>
      </c>
      <c r="C5897" t="s">
        <v>40</v>
      </c>
      <c r="D5897">
        <v>4.8633600000000001</v>
      </c>
      <c r="E5897">
        <v>0.55568379999999995</v>
      </c>
      <c r="F5897" t="s">
        <v>42</v>
      </c>
      <c r="G5897">
        <v>-286.64499999999998</v>
      </c>
      <c r="H5897">
        <v>-0.05</v>
      </c>
      <c r="I5897">
        <v>11.500730000000001</v>
      </c>
      <c r="J5897">
        <v>-355.52820000000003</v>
      </c>
      <c r="K5897">
        <v>1.110614</v>
      </c>
      <c r="L5897">
        <v>16.958919999999999</v>
      </c>
      <c r="M5897">
        <v>0.99989790000000001</v>
      </c>
      <c r="N5897">
        <v>-1.392697E-2</v>
      </c>
      <c r="O5897">
        <v>3.2132039999999999E-3</v>
      </c>
      <c r="P5897">
        <v>0.98171830000000004</v>
      </c>
      <c r="Q5897">
        <v>0.17614779999999999</v>
      </c>
      <c r="R5897">
        <v>7.211969E-2</v>
      </c>
      <c r="S5897">
        <v>3.0831300000000001</v>
      </c>
      <c r="T5897">
        <v>-5.1795960000000002E-2</v>
      </c>
      <c r="U5897">
        <v>-0.24356079999999999</v>
      </c>
      <c r="V5897">
        <v>-6.8954360000000006E-2</v>
      </c>
      <c r="W5897">
        <v>0.1898097</v>
      </c>
      <c r="X5897">
        <v>0.9793965</v>
      </c>
      <c r="Y5897">
        <v>8.1934590000000002E-2</v>
      </c>
      <c r="Z5897">
        <v>-1.2678769999999999E-3</v>
      </c>
      <c r="AA5897">
        <v>0.99663690000000005</v>
      </c>
      <c r="AB5897">
        <v>26</v>
      </c>
      <c r="AC5897">
        <v>68.883200000000002</v>
      </c>
      <c r="AD5897">
        <v>-1.160614</v>
      </c>
      <c r="AE5897">
        <v>-5.4581900000000001</v>
      </c>
      <c r="AF5897">
        <v>5.6779172066677202</v>
      </c>
      <c r="AG5897">
        <v>-1.160614</v>
      </c>
      <c r="AH5897">
        <v>68.845881695474404</v>
      </c>
      <c r="AI5897">
        <v>90.962541861612706</v>
      </c>
      <c r="AJ5897">
        <v>85.285322897299807</v>
      </c>
      <c r="AK5897">
        <v>69.089371071750406</v>
      </c>
      <c r="AL5897">
        <v>79.058320893291494</v>
      </c>
      <c r="AM5897">
        <v>94.027260985143698</v>
      </c>
      <c r="AN5897">
        <v>0.99999996509467404</v>
      </c>
    </row>
    <row r="5898" spans="1:40" x14ac:dyDescent="0.25">
      <c r="A5898" t="str">
        <f>"20190304155219477"</f>
        <v>20190304155219477</v>
      </c>
      <c r="B5898" t="str">
        <f>"1551685939472793"</f>
        <v>1551685939472793</v>
      </c>
      <c r="C5898" t="s">
        <v>40</v>
      </c>
      <c r="D5898">
        <v>4.9220189999999997</v>
      </c>
      <c r="E5898">
        <v>0.55533719999999998</v>
      </c>
      <c r="F5898" t="s">
        <v>42</v>
      </c>
      <c r="G5898">
        <v>-284.20150000000001</v>
      </c>
      <c r="H5898">
        <v>-0.05</v>
      </c>
      <c r="I5898">
        <v>11.41484</v>
      </c>
      <c r="J5898">
        <v>-355.39109999999999</v>
      </c>
      <c r="K5898">
        <v>1.110616</v>
      </c>
      <c r="L5898">
        <v>16.959350000000001</v>
      </c>
      <c r="M5898">
        <v>0.99989790000000001</v>
      </c>
      <c r="N5898">
        <v>-1.392564E-2</v>
      </c>
      <c r="O5898">
        <v>3.2138900000000001E-3</v>
      </c>
      <c r="P5898">
        <v>0.98171200000000003</v>
      </c>
      <c r="Q5898">
        <v>0.17614879999999999</v>
      </c>
      <c r="R5898">
        <v>7.2201630000000003E-2</v>
      </c>
      <c r="S5898">
        <v>3.0824579999999999</v>
      </c>
      <c r="T5898">
        <v>-5.0157189999999997E-2</v>
      </c>
      <c r="U5898">
        <v>-0.23959349999999999</v>
      </c>
      <c r="V5898">
        <v>-6.9036109999999998E-2</v>
      </c>
      <c r="W5898">
        <v>0.18980929999999999</v>
      </c>
      <c r="X5898">
        <v>0.97939089999999995</v>
      </c>
      <c r="Y5898">
        <v>8.0678680000000003E-2</v>
      </c>
      <c r="Z5898">
        <v>-1.2255829999999999E-3</v>
      </c>
      <c r="AA5898">
        <v>0.99673940000000005</v>
      </c>
      <c r="AB5898">
        <v>26</v>
      </c>
      <c r="AC5898">
        <v>71.189599999999899</v>
      </c>
      <c r="AD5898">
        <v>-1.1606160000000001</v>
      </c>
      <c r="AE5898">
        <v>-5.5445099999999998</v>
      </c>
      <c r="AF5898">
        <v>5.7717742342007803</v>
      </c>
      <c r="AG5898">
        <v>-1.1606160000000001</v>
      </c>
      <c r="AH5898">
        <v>71.152613231931198</v>
      </c>
      <c r="AI5898">
        <v>90.931446434536895</v>
      </c>
      <c r="AJ5898">
        <v>85.362421853513197</v>
      </c>
      <c r="AK5898">
        <v>71.395761618199899</v>
      </c>
      <c r="AL5898">
        <v>79.058345120221006</v>
      </c>
      <c r="AM5898">
        <v>94.032042812142194</v>
      </c>
      <c r="AN5898">
        <v>1.00000004492661</v>
      </c>
    </row>
    <row r="5899" spans="1:40" x14ac:dyDescent="0.25">
      <c r="A5899" t="str">
        <f>"20190304155219491"</f>
        <v>20190304155219491</v>
      </c>
      <c r="B5899" t="str">
        <f>"1551685939482555"</f>
        <v>1551685939482555</v>
      </c>
      <c r="C5899" t="s">
        <v>40</v>
      </c>
      <c r="D5899">
        <v>4.8573709999999997</v>
      </c>
      <c r="E5899">
        <v>0.55499370000000003</v>
      </c>
      <c r="F5899" t="s">
        <v>42</v>
      </c>
      <c r="G5899">
        <v>-283.92129999999997</v>
      </c>
      <c r="H5899">
        <v>-0.05</v>
      </c>
      <c r="I5899">
        <v>11.470370000000001</v>
      </c>
      <c r="J5899">
        <v>-355.24059999999997</v>
      </c>
      <c r="K5899">
        <v>1.110619</v>
      </c>
      <c r="L5899">
        <v>16.95984</v>
      </c>
      <c r="M5899">
        <v>0.99989790000000001</v>
      </c>
      <c r="N5899">
        <v>-1.392418E-2</v>
      </c>
      <c r="O5899">
        <v>3.2149349999999999E-3</v>
      </c>
      <c r="P5899">
        <v>0.98172890000000002</v>
      </c>
      <c r="Q5899">
        <v>0.17613019999999999</v>
      </c>
      <c r="R5899">
        <v>7.2020790000000001E-2</v>
      </c>
      <c r="S5899">
        <v>3.082306</v>
      </c>
      <c r="T5899">
        <v>-5.0054309999999998E-2</v>
      </c>
      <c r="U5899">
        <v>-0.23672489999999999</v>
      </c>
      <c r="V5899">
        <v>-6.8855630000000001E-2</v>
      </c>
      <c r="W5899">
        <v>0.1897896</v>
      </c>
      <c r="X5899">
        <v>0.97940740000000004</v>
      </c>
      <c r="Y5899">
        <v>7.9761650000000003E-2</v>
      </c>
      <c r="Z5899">
        <v>-1.2102879999999999E-3</v>
      </c>
      <c r="AA5899">
        <v>0.99681319999999995</v>
      </c>
      <c r="AB5899">
        <v>26</v>
      </c>
      <c r="AC5899">
        <v>71.319299999999998</v>
      </c>
      <c r="AD5899">
        <v>-1.1606190000000001</v>
      </c>
      <c r="AE5899">
        <v>-5.4894699999999998</v>
      </c>
      <c r="AF5899">
        <v>5.7172455924448302</v>
      </c>
      <c r="AG5899">
        <v>-1.1606190000000001</v>
      </c>
      <c r="AH5899">
        <v>71.282514874308802</v>
      </c>
      <c r="AI5899">
        <v>90.929819718038203</v>
      </c>
      <c r="AJ5899">
        <v>85.414382842709102</v>
      </c>
      <c r="AK5899">
        <v>71.520842140130995</v>
      </c>
      <c r="AL5899">
        <v>79.059494496735994</v>
      </c>
      <c r="AM5899">
        <v>94.021469009643496</v>
      </c>
      <c r="AN5899">
        <v>1.0000000226128001</v>
      </c>
    </row>
    <row r="5900" spans="1:40" x14ac:dyDescent="0.25">
      <c r="A5900" t="str">
        <f>"20190304155219512"</f>
        <v>20190304155219512</v>
      </c>
      <c r="B5900" t="str">
        <f>"1551685939503049"</f>
        <v>1551685939503049</v>
      </c>
      <c r="C5900" t="s">
        <v>40</v>
      </c>
      <c r="D5900">
        <v>4.8669180000000001</v>
      </c>
      <c r="E5900">
        <v>0.5544618</v>
      </c>
      <c r="F5900" t="s">
        <v>42</v>
      </c>
      <c r="G5900">
        <v>-283.48149999999998</v>
      </c>
      <c r="H5900">
        <v>-0.05</v>
      </c>
      <c r="I5900">
        <v>11.49921</v>
      </c>
      <c r="J5900">
        <v>-354.99290000000002</v>
      </c>
      <c r="K5900">
        <v>1.110622</v>
      </c>
      <c r="L5900">
        <v>16.960629999999998</v>
      </c>
      <c r="M5900">
        <v>0.99989790000000001</v>
      </c>
      <c r="N5900">
        <v>-1.392176E-2</v>
      </c>
      <c r="O5900">
        <v>3.2168280000000001E-3</v>
      </c>
      <c r="P5900">
        <v>0.98164850000000003</v>
      </c>
      <c r="Q5900">
        <v>0.176597</v>
      </c>
      <c r="R5900">
        <v>7.1970030000000004E-2</v>
      </c>
      <c r="S5900">
        <v>3.0819700000000001</v>
      </c>
      <c r="T5900">
        <v>-4.9847250000000003E-2</v>
      </c>
      <c r="U5900">
        <v>-0.2345276</v>
      </c>
      <c r="V5900">
        <v>-6.8803119999999995E-2</v>
      </c>
      <c r="W5900">
        <v>0.19025210000000001</v>
      </c>
      <c r="X5900">
        <v>0.97932129999999995</v>
      </c>
      <c r="Y5900">
        <v>7.9065559999999993E-2</v>
      </c>
      <c r="Z5900">
        <v>-1.196917E-3</v>
      </c>
      <c r="AA5900">
        <v>0.99686870000000005</v>
      </c>
      <c r="AB5900">
        <v>26</v>
      </c>
      <c r="AC5900">
        <v>71.511399999999995</v>
      </c>
      <c r="AD5900">
        <v>-1.160622</v>
      </c>
      <c r="AE5900">
        <v>-5.4614199999999897</v>
      </c>
      <c r="AF5900">
        <v>5.6899638118022597</v>
      </c>
      <c r="AG5900">
        <v>-1.160622</v>
      </c>
      <c r="AH5900">
        <v>71.474741841241496</v>
      </c>
      <c r="AI5900">
        <v>90.927365838155197</v>
      </c>
      <c r="AJ5900">
        <v>85.448394508569507</v>
      </c>
      <c r="AK5900">
        <v>71.710260443528099</v>
      </c>
      <c r="AL5900">
        <v>79.032502836282504</v>
      </c>
      <c r="AM5900">
        <v>94.018764380771998</v>
      </c>
      <c r="AN5900">
        <v>0.99999996975491601</v>
      </c>
    </row>
    <row r="5901" spans="1:40" x14ac:dyDescent="0.25">
      <c r="A5901" t="str">
        <f>"20190304155219534"</f>
        <v>20190304155219534</v>
      </c>
      <c r="B5901" t="str">
        <f>"1551685939522569"</f>
        <v>1551685939522569</v>
      </c>
      <c r="C5901" t="s">
        <v>40</v>
      </c>
      <c r="D5901">
        <v>4.8907939999999996</v>
      </c>
      <c r="E5901">
        <v>0.55395640000000002</v>
      </c>
      <c r="F5901" t="s">
        <v>42</v>
      </c>
      <c r="G5901">
        <v>-280.53590000000003</v>
      </c>
      <c r="H5901">
        <v>-0.05</v>
      </c>
      <c r="I5901">
        <v>11.39584</v>
      </c>
      <c r="J5901">
        <v>-354.74</v>
      </c>
      <c r="K5901">
        <v>1.1106290000000001</v>
      </c>
      <c r="L5901">
        <v>16.961459999999999</v>
      </c>
      <c r="M5901">
        <v>0.99989790000000001</v>
      </c>
      <c r="N5901">
        <v>-1.3919269999999999E-2</v>
      </c>
      <c r="O5901">
        <v>3.218416E-3</v>
      </c>
      <c r="P5901">
        <v>0.98161980000000004</v>
      </c>
      <c r="Q5901">
        <v>0.17685490000000001</v>
      </c>
      <c r="R5901">
        <v>7.1728570000000005E-2</v>
      </c>
      <c r="S5901">
        <v>3.0816349999999999</v>
      </c>
      <c r="T5901">
        <v>-4.8035979999999999E-2</v>
      </c>
      <c r="U5901">
        <v>-0.2303162</v>
      </c>
      <c r="V5901">
        <v>-6.8561499999999997E-2</v>
      </c>
      <c r="W5901">
        <v>0.19050729999999999</v>
      </c>
      <c r="X5901">
        <v>0.97928870000000001</v>
      </c>
      <c r="Y5901">
        <v>7.7722009999999994E-2</v>
      </c>
      <c r="Z5901">
        <v>-1.1519970000000001E-3</v>
      </c>
      <c r="AA5901">
        <v>0.99697440000000004</v>
      </c>
      <c r="AB5901">
        <v>26</v>
      </c>
      <c r="AC5901">
        <v>74.204099999999897</v>
      </c>
      <c r="AD5901">
        <v>-1.1606289999999999</v>
      </c>
      <c r="AE5901">
        <v>-5.5656199999999902</v>
      </c>
      <c r="AF5901">
        <v>5.8030222596817698</v>
      </c>
      <c r="AG5901">
        <v>-1.1606289999999999</v>
      </c>
      <c r="AH5901">
        <v>74.167758351520106</v>
      </c>
      <c r="AI5901">
        <v>90.893800081047601</v>
      </c>
      <c r="AJ5901">
        <v>85.526186881953706</v>
      </c>
      <c r="AK5901">
        <v>74.403484501140696</v>
      </c>
      <c r="AL5901">
        <v>79.017609261753194</v>
      </c>
      <c r="AM5901">
        <v>94.004830327694194</v>
      </c>
      <c r="AN5901">
        <v>1.00000003429161</v>
      </c>
    </row>
    <row r="5902" spans="1:40" x14ac:dyDescent="0.25">
      <c r="A5902" t="str">
        <f>"20190304155219555"</f>
        <v>20190304155219555</v>
      </c>
      <c r="B5902" t="str">
        <f>"1551685939552826"</f>
        <v>1551685939552826</v>
      </c>
      <c r="C5902" t="s">
        <v>40</v>
      </c>
      <c r="D5902">
        <v>4.8883929999999998</v>
      </c>
      <c r="E5902">
        <v>0.55335419999999902</v>
      </c>
      <c r="F5902" t="s">
        <v>42</v>
      </c>
      <c r="G5902">
        <v>-277.86320000000001</v>
      </c>
      <c r="H5902">
        <v>-0.05</v>
      </c>
      <c r="I5902">
        <v>11.30392</v>
      </c>
      <c r="J5902">
        <v>-354.49939999999998</v>
      </c>
      <c r="K5902">
        <v>1.1106290000000001</v>
      </c>
      <c r="L5902">
        <v>16.962219999999999</v>
      </c>
      <c r="M5902">
        <v>0.99989810000000001</v>
      </c>
      <c r="N5902">
        <v>-1.391688E-2</v>
      </c>
      <c r="O5902">
        <v>3.2196379999999999E-3</v>
      </c>
      <c r="P5902">
        <v>0.98157640000000002</v>
      </c>
      <c r="Q5902">
        <v>0.1771712</v>
      </c>
      <c r="R5902">
        <v>7.1542839999999996E-2</v>
      </c>
      <c r="S5902">
        <v>3.0811160000000002</v>
      </c>
      <c r="T5902">
        <v>-4.6516420000000003E-2</v>
      </c>
      <c r="U5902">
        <v>-0.22674559999999999</v>
      </c>
      <c r="V5902">
        <v>-6.8374679999999993E-2</v>
      </c>
      <c r="W5902">
        <v>0.1908204</v>
      </c>
      <c r="X5902">
        <v>0.97924080000000002</v>
      </c>
      <c r="Y5902">
        <v>7.6587730000000007E-2</v>
      </c>
      <c r="Z5902">
        <v>-1.114847E-3</v>
      </c>
      <c r="AA5902">
        <v>0.99706220000000001</v>
      </c>
      <c r="AB5902">
        <v>26</v>
      </c>
      <c r="AC5902">
        <v>76.636199999999903</v>
      </c>
      <c r="AD5902">
        <v>-1.1606289999999999</v>
      </c>
      <c r="AE5902">
        <v>-5.6582999999999997</v>
      </c>
      <c r="AF5902">
        <v>5.9036886226335703</v>
      </c>
      <c r="AG5902">
        <v>-1.1606289999999999</v>
      </c>
      <c r="AH5902">
        <v>76.600109479082604</v>
      </c>
      <c r="AI5902">
        <v>90.865501014011798</v>
      </c>
      <c r="AJ5902">
        <v>85.592838306188995</v>
      </c>
      <c r="AK5902">
        <v>76.8360421367219</v>
      </c>
      <c r="AL5902">
        <v>78.9993347015333</v>
      </c>
      <c r="AM5902">
        <v>93.994147852214695</v>
      </c>
      <c r="AN5902">
        <v>1.0000000331529499</v>
      </c>
    </row>
    <row r="5903" spans="1:40" x14ac:dyDescent="0.25">
      <c r="A5903" t="str">
        <f>"20190304155219567"</f>
        <v>20190304155219567</v>
      </c>
      <c r="B5903" t="str">
        <f>"1551685939562585"</f>
        <v>1551685939562585</v>
      </c>
      <c r="C5903" t="s">
        <v>40</v>
      </c>
      <c r="D5903">
        <v>4.8791289999999998</v>
      </c>
      <c r="E5903">
        <v>0.55315269999999905</v>
      </c>
      <c r="F5903" t="s">
        <v>42</v>
      </c>
      <c r="G5903">
        <v>-271.96969999999999</v>
      </c>
      <c r="H5903">
        <v>-0.05</v>
      </c>
      <c r="I5903">
        <v>11.00076</v>
      </c>
      <c r="J5903">
        <v>-354.35980000000001</v>
      </c>
      <c r="K5903">
        <v>1.110625</v>
      </c>
      <c r="L5903">
        <v>16.962679999999999</v>
      </c>
      <c r="M5903">
        <v>0.99989810000000001</v>
      </c>
      <c r="N5903">
        <v>-1.3915490000000001E-2</v>
      </c>
      <c r="O5903">
        <v>3.220129E-3</v>
      </c>
      <c r="P5903">
        <v>0.98157939999999999</v>
      </c>
      <c r="Q5903">
        <v>0.17728179999999999</v>
      </c>
      <c r="R5903">
        <v>7.1226600000000001E-2</v>
      </c>
      <c r="S5903">
        <v>3.0803219999999998</v>
      </c>
      <c r="T5903">
        <v>-4.3319110000000001E-2</v>
      </c>
      <c r="U5903">
        <v>-0.2225037</v>
      </c>
      <c r="V5903">
        <v>-6.8058019999999997E-2</v>
      </c>
      <c r="W5903">
        <v>0.1909294</v>
      </c>
      <c r="X5903">
        <v>0.97924149999999999</v>
      </c>
      <c r="Y5903">
        <v>7.5243119999999997E-2</v>
      </c>
      <c r="Z5903">
        <v>-1.053118E-3</v>
      </c>
      <c r="AA5903">
        <v>0.99716470000000001</v>
      </c>
      <c r="AB5903">
        <v>26</v>
      </c>
      <c r="AC5903">
        <v>82.390100000000004</v>
      </c>
      <c r="AD5903">
        <v>-1.160625</v>
      </c>
      <c r="AE5903">
        <v>-5.9619199999999903</v>
      </c>
      <c r="AF5903">
        <v>6.2259924323784599</v>
      </c>
      <c r="AG5903">
        <v>-1.160625</v>
      </c>
      <c r="AH5903">
        <v>82.354215332880003</v>
      </c>
      <c r="AI5903">
        <v>90.805123654317001</v>
      </c>
      <c r="AJ5903">
        <v>85.676653514744601</v>
      </c>
      <c r="AK5903">
        <v>82.597377774679003</v>
      </c>
      <c r="AL5903">
        <v>78.992971256393403</v>
      </c>
      <c r="AM5903">
        <v>93.975706592589702</v>
      </c>
      <c r="AN5903">
        <v>0.99999992259646198</v>
      </c>
    </row>
    <row r="5904" spans="1:40" x14ac:dyDescent="0.25">
      <c r="A5904" t="str">
        <f>"20190304155219580"</f>
        <v>20190304155219580</v>
      </c>
      <c r="B5904" t="str">
        <f>"1551685939572348"</f>
        <v>1551685939572348</v>
      </c>
      <c r="C5904" t="s">
        <v>40</v>
      </c>
      <c r="D5904">
        <v>4.9160649999999997</v>
      </c>
      <c r="E5904">
        <v>0.55286579999999996</v>
      </c>
      <c r="F5904" t="s">
        <v>42</v>
      </c>
      <c r="G5904">
        <v>-270.10169999999999</v>
      </c>
      <c r="H5904">
        <v>-0.05</v>
      </c>
      <c r="I5904">
        <v>10.896649999999999</v>
      </c>
      <c r="J5904">
        <v>-354.22</v>
      </c>
      <c r="K5904">
        <v>1.110625</v>
      </c>
      <c r="L5904">
        <v>16.96313</v>
      </c>
      <c r="M5904">
        <v>0.99989810000000001</v>
      </c>
      <c r="N5904">
        <v>-1.39141E-2</v>
      </c>
      <c r="O5904">
        <v>3.220498E-3</v>
      </c>
      <c r="P5904">
        <v>0.98158469999999998</v>
      </c>
      <c r="Q5904">
        <v>0.1772541</v>
      </c>
      <c r="R5904">
        <v>7.1220740000000005E-2</v>
      </c>
      <c r="S5904">
        <v>3.0800169999999998</v>
      </c>
      <c r="T5904">
        <v>-4.2426110000000003E-2</v>
      </c>
      <c r="U5904">
        <v>-0.22174070000000001</v>
      </c>
      <c r="V5904">
        <v>-6.8051879999999995E-2</v>
      </c>
      <c r="W5904">
        <v>0.1909005</v>
      </c>
      <c r="X5904">
        <v>0.9792476</v>
      </c>
      <c r="Y5904">
        <v>7.5005349999999998E-2</v>
      </c>
      <c r="Z5904">
        <v>-1.0380089999999999E-3</v>
      </c>
      <c r="AA5904">
        <v>0.99718260000000003</v>
      </c>
      <c r="AB5904">
        <v>26</v>
      </c>
      <c r="AC5904">
        <v>84.118300000000005</v>
      </c>
      <c r="AD5904">
        <v>-1.160625</v>
      </c>
      <c r="AE5904">
        <v>-6.0664800000000003</v>
      </c>
      <c r="AF5904">
        <v>6.3361775647123304</v>
      </c>
      <c r="AG5904">
        <v>-1.160625</v>
      </c>
      <c r="AH5904">
        <v>84.082400612229407</v>
      </c>
      <c r="AI5904">
        <v>90.788592083114395</v>
      </c>
      <c r="AJ5904">
        <v>85.6905205163754</v>
      </c>
      <c r="AK5904">
        <v>84.328786836036201</v>
      </c>
      <c r="AL5904">
        <v>78.994658556413597</v>
      </c>
      <c r="AM5904">
        <v>93.975324381627004</v>
      </c>
      <c r="AN5904">
        <v>0.99999996068877095</v>
      </c>
    </row>
    <row r="5905" spans="1:40" x14ac:dyDescent="0.25">
      <c r="A5905" t="str">
        <f>"20190304155219591"</f>
        <v>20190304155219591</v>
      </c>
      <c r="B5905" t="str">
        <f>"1551685939583081"</f>
        <v>1551685939583081</v>
      </c>
      <c r="C5905" t="s">
        <v>40</v>
      </c>
      <c r="D5905">
        <v>5.0095839999999896</v>
      </c>
      <c r="E5905">
        <v>0.55270739999999996</v>
      </c>
      <c r="F5905" t="s">
        <v>42</v>
      </c>
      <c r="G5905">
        <v>-270.30970000000002</v>
      </c>
      <c r="H5905">
        <v>-0.05</v>
      </c>
      <c r="I5905">
        <v>10.98427</v>
      </c>
      <c r="J5905">
        <v>-354.07499999999999</v>
      </c>
      <c r="K5905">
        <v>1.1106240000000001</v>
      </c>
      <c r="L5905">
        <v>16.96359</v>
      </c>
      <c r="M5905">
        <v>0.99989810000000001</v>
      </c>
      <c r="N5905">
        <v>-1.391266E-2</v>
      </c>
      <c r="O5905">
        <v>3.220807E-3</v>
      </c>
      <c r="P5905">
        <v>0.98161080000000001</v>
      </c>
      <c r="Q5905">
        <v>0.17718729999999999</v>
      </c>
      <c r="R5905">
        <v>7.1029010000000004E-2</v>
      </c>
      <c r="S5905">
        <v>3.079895</v>
      </c>
      <c r="T5905">
        <v>-4.2600270000000003E-2</v>
      </c>
      <c r="U5905">
        <v>-0.21945190000000001</v>
      </c>
      <c r="V5905">
        <v>-6.7859489999999995E-2</v>
      </c>
      <c r="W5905">
        <v>0.19083259999999999</v>
      </c>
      <c r="X5905">
        <v>0.97927419999999998</v>
      </c>
      <c r="Y5905">
        <v>7.4271260000000006E-2</v>
      </c>
      <c r="Z5905">
        <v>-1.030097E-3</v>
      </c>
      <c r="AA5905">
        <v>0.99723759999999995</v>
      </c>
      <c r="AB5905">
        <v>26</v>
      </c>
      <c r="AC5905">
        <v>83.765299999999897</v>
      </c>
      <c r="AD5905">
        <v>-1.1606239999999901</v>
      </c>
      <c r="AE5905">
        <v>-5.9793200000000004</v>
      </c>
      <c r="AF5905">
        <v>6.2479135494094402</v>
      </c>
      <c r="AG5905">
        <v>-1.1606239999999901</v>
      </c>
      <c r="AH5905">
        <v>83.729612465243903</v>
      </c>
      <c r="AI5905">
        <v>90.791957145702497</v>
      </c>
      <c r="AJ5905">
        <v>85.732491180557801</v>
      </c>
      <c r="AK5905">
        <v>83.970420240523893</v>
      </c>
      <c r="AL5905">
        <v>78.998621961887906</v>
      </c>
      <c r="AM5905">
        <v>93.964014258388204</v>
      </c>
      <c r="AN5905">
        <v>0.99999997519572903</v>
      </c>
    </row>
    <row r="5906" spans="1:40" x14ac:dyDescent="0.25">
      <c r="A5906" t="str">
        <f>"20190304155219604"</f>
        <v>20190304155219604</v>
      </c>
      <c r="B5906" t="str">
        <f>"1551685939592843"</f>
        <v>1551685939592843</v>
      </c>
      <c r="C5906" t="s">
        <v>40</v>
      </c>
      <c r="D5906">
        <v>4.9385899999999996</v>
      </c>
      <c r="E5906">
        <v>0.55244910000000003</v>
      </c>
      <c r="F5906" t="s">
        <v>42</v>
      </c>
      <c r="G5906">
        <v>-273.80239999999998</v>
      </c>
      <c r="H5906">
        <v>-0.05</v>
      </c>
      <c r="I5906">
        <v>11.262589999999999</v>
      </c>
      <c r="J5906">
        <v>-353.93380000000002</v>
      </c>
      <c r="K5906">
        <v>1.1106229999999999</v>
      </c>
      <c r="L5906">
        <v>16.96405</v>
      </c>
      <c r="M5906">
        <v>0.99989810000000001</v>
      </c>
      <c r="N5906">
        <v>-1.391126E-2</v>
      </c>
      <c r="O5906">
        <v>3.2211739999999998E-3</v>
      </c>
      <c r="P5906">
        <v>0.9816357</v>
      </c>
      <c r="Q5906">
        <v>0.1771855</v>
      </c>
      <c r="R5906">
        <v>7.0688130000000002E-2</v>
      </c>
      <c r="S5906">
        <v>3.0801090000000002</v>
      </c>
      <c r="T5906">
        <v>-4.453385E-2</v>
      </c>
      <c r="U5906">
        <v>-0.21875</v>
      </c>
      <c r="V5906">
        <v>-6.7518640000000005E-2</v>
      </c>
      <c r="W5906">
        <v>0.19082979999999999</v>
      </c>
      <c r="X5906">
        <v>0.97929840000000001</v>
      </c>
      <c r="Y5906">
        <v>7.4039659999999993E-2</v>
      </c>
      <c r="Z5906">
        <v>-1.052028E-3</v>
      </c>
      <c r="AA5906">
        <v>0.99725469999999905</v>
      </c>
      <c r="AB5906">
        <v>26</v>
      </c>
      <c r="AC5906">
        <v>80.131399999999999</v>
      </c>
      <c r="AD5906">
        <v>-1.160623</v>
      </c>
      <c r="AE5906">
        <v>-5.70146</v>
      </c>
      <c r="AF5906">
        <v>5.9583288837798802</v>
      </c>
      <c r="AG5906">
        <v>-1.160623</v>
      </c>
      <c r="AH5906">
        <v>80.095898651415794</v>
      </c>
      <c r="AI5906">
        <v>90.8278944092324</v>
      </c>
      <c r="AJ5906">
        <v>85.745606746197495</v>
      </c>
      <c r="AK5906">
        <v>80.325598096828998</v>
      </c>
      <c r="AL5906">
        <v>78.998786424711398</v>
      </c>
      <c r="AM5906">
        <v>93.944069335761</v>
      </c>
      <c r="AN5906">
        <v>1.00000006777902</v>
      </c>
    </row>
    <row r="5907" spans="1:40" x14ac:dyDescent="0.25">
      <c r="A5907" t="str">
        <f>"20190304155219622"</f>
        <v>20190304155219622</v>
      </c>
      <c r="B5907" t="str">
        <f>"1551685939612361"</f>
        <v>1551685939612361</v>
      </c>
      <c r="C5907" t="s">
        <v>40</v>
      </c>
      <c r="D5907">
        <v>4.8715510000000002</v>
      </c>
      <c r="E5907">
        <v>0.55208970000000002</v>
      </c>
      <c r="F5907" t="s">
        <v>42</v>
      </c>
      <c r="G5907">
        <v>-273.44290000000001</v>
      </c>
      <c r="H5907">
        <v>-0.05</v>
      </c>
      <c r="I5907">
        <v>11.26938</v>
      </c>
      <c r="J5907">
        <v>-353.73140000000001</v>
      </c>
      <c r="K5907">
        <v>1.1106240000000001</v>
      </c>
      <c r="L5907">
        <v>16.964690000000001</v>
      </c>
      <c r="M5907">
        <v>0.99989819999999996</v>
      </c>
      <c r="N5907">
        <v>-1.390923E-2</v>
      </c>
      <c r="O5907">
        <v>3.2211850000000001E-3</v>
      </c>
      <c r="P5907">
        <v>0.98160639999999999</v>
      </c>
      <c r="Q5907">
        <v>0.17731930000000001</v>
      </c>
      <c r="R5907">
        <v>7.0760500000000004E-2</v>
      </c>
      <c r="S5907">
        <v>3.079834</v>
      </c>
      <c r="T5907">
        <v>-4.4409039999999997E-2</v>
      </c>
      <c r="U5907">
        <v>-0.21789549999999999</v>
      </c>
      <c r="V5907">
        <v>-6.7590650000000002E-2</v>
      </c>
      <c r="W5907">
        <v>0.1909613</v>
      </c>
      <c r="X5907">
        <v>0.97926769999999996</v>
      </c>
      <c r="Y5907">
        <v>7.3770779999999994E-2</v>
      </c>
      <c r="Z5907">
        <v>-1.046574E-3</v>
      </c>
      <c r="AA5907">
        <v>0.99727469999999996</v>
      </c>
      <c r="AB5907">
        <v>26</v>
      </c>
      <c r="AC5907">
        <v>80.288499999999999</v>
      </c>
      <c r="AD5907">
        <v>-1.1606239999999901</v>
      </c>
      <c r="AE5907">
        <v>-5.6953100000000001</v>
      </c>
      <c r="AF5907">
        <v>5.9526918626122702</v>
      </c>
      <c r="AG5907">
        <v>-1.1606239999999901</v>
      </c>
      <c r="AH5907">
        <v>80.253049734564996</v>
      </c>
      <c r="AI5907">
        <v>90.826287345293906</v>
      </c>
      <c r="AJ5907">
        <v>85.757909624645905</v>
      </c>
      <c r="AK5907">
        <v>80.481883552630293</v>
      </c>
      <c r="AL5907">
        <v>78.991109802773394</v>
      </c>
      <c r="AM5907">
        <v>93.948385855344</v>
      </c>
      <c r="AN5907">
        <v>0.99999997116420003</v>
      </c>
    </row>
    <row r="5908" spans="1:40" x14ac:dyDescent="0.25">
      <c r="A5908" t="str">
        <f>"20190304155219634"</f>
        <v>20190304155219634</v>
      </c>
      <c r="B5908" t="str">
        <f>"1551685939632858"</f>
        <v>1551685939632858</v>
      </c>
      <c r="C5908" t="s">
        <v>40</v>
      </c>
      <c r="D5908">
        <v>4.870228</v>
      </c>
      <c r="E5908">
        <v>0.55171440000000005</v>
      </c>
      <c r="F5908" t="s">
        <v>42</v>
      </c>
      <c r="G5908">
        <v>-270.38679999999999</v>
      </c>
      <c r="H5908">
        <v>-0.05</v>
      </c>
      <c r="I5908">
        <v>11.150790000000001</v>
      </c>
      <c r="J5908">
        <v>-353.59039999999999</v>
      </c>
      <c r="K5908">
        <v>1.1106279999999999</v>
      </c>
      <c r="L5908">
        <v>16.965150000000001</v>
      </c>
      <c r="M5908">
        <v>0.99989819999999996</v>
      </c>
      <c r="N5908">
        <v>-1.39078E-2</v>
      </c>
      <c r="O5908">
        <v>3.2213720000000001E-3</v>
      </c>
      <c r="P5908">
        <v>0.98154410000000003</v>
      </c>
      <c r="Q5908">
        <v>0.17758170000000001</v>
      </c>
      <c r="R5908">
        <v>7.0965199999999895E-2</v>
      </c>
      <c r="S5908">
        <v>3.079437</v>
      </c>
      <c r="T5908">
        <v>-4.2883039999999997E-2</v>
      </c>
      <c r="U5908">
        <v>-0.21481320000000001</v>
      </c>
      <c r="V5908">
        <v>-6.7795399999999895E-2</v>
      </c>
      <c r="W5908">
        <v>0.19122149999999999</v>
      </c>
      <c r="X5908">
        <v>0.97920280000000004</v>
      </c>
      <c r="Y5908">
        <v>7.2787649999999995E-2</v>
      </c>
      <c r="Z5908">
        <v>-1.013068E-3</v>
      </c>
      <c r="AA5908">
        <v>0.99734690000000004</v>
      </c>
      <c r="AB5908">
        <v>26</v>
      </c>
      <c r="AC5908">
        <v>83.203599999999994</v>
      </c>
      <c r="AD5908">
        <v>-1.160628</v>
      </c>
      <c r="AE5908">
        <v>-5.8143599999999998</v>
      </c>
      <c r="AF5908">
        <v>6.0812079289968404</v>
      </c>
      <c r="AG5908">
        <v>-1.160628</v>
      </c>
      <c r="AH5908">
        <v>83.168331791011099</v>
      </c>
      <c r="AI5908">
        <v>90.797391819446602</v>
      </c>
      <c r="AJ5908">
        <v>85.818016570563103</v>
      </c>
      <c r="AK5908">
        <v>83.398438595274598</v>
      </c>
      <c r="AL5908">
        <v>78.975921887381901</v>
      </c>
      <c r="AM5908">
        <v>93.960570208256101</v>
      </c>
      <c r="AN5908">
        <v>1.00000000092562</v>
      </c>
    </row>
    <row r="5909" spans="1:40" x14ac:dyDescent="0.25">
      <c r="A5909" t="str">
        <f>"20190304155219646"</f>
        <v>20190304155219646</v>
      </c>
      <c r="B5909" t="str">
        <f>"1551685939642617"</f>
        <v>1551685939642617</v>
      </c>
      <c r="C5909" t="s">
        <v>40</v>
      </c>
      <c r="D5909">
        <v>4.897894</v>
      </c>
      <c r="E5909">
        <v>0.55154579999999997</v>
      </c>
      <c r="F5909" t="s">
        <v>42</v>
      </c>
      <c r="G5909">
        <v>-267.18520000000001</v>
      </c>
      <c r="H5909">
        <v>-0.05</v>
      </c>
      <c r="I5909">
        <v>11.039059999999999</v>
      </c>
      <c r="J5909">
        <v>-353.4547</v>
      </c>
      <c r="K5909">
        <v>1.11063</v>
      </c>
      <c r="L5909">
        <v>16.965610000000002</v>
      </c>
      <c r="M5909">
        <v>0.99989819999999996</v>
      </c>
      <c r="N5909">
        <v>-1.3906429999999999E-2</v>
      </c>
      <c r="O5909">
        <v>3.2213789999999999E-3</v>
      </c>
      <c r="P5909">
        <v>0.98149370000000002</v>
      </c>
      <c r="Q5909">
        <v>0.17776989999999901</v>
      </c>
      <c r="R5909">
        <v>7.1191850000000001E-2</v>
      </c>
      <c r="S5909">
        <v>3.079132</v>
      </c>
      <c r="T5909">
        <v>-4.1360139999999997E-2</v>
      </c>
      <c r="U5909">
        <v>-0.2111816</v>
      </c>
      <c r="V5909">
        <v>-6.8022620000000006E-2</v>
      </c>
      <c r="W5909">
        <v>0.19140779999999999</v>
      </c>
      <c r="X5909">
        <v>0.97915070000000004</v>
      </c>
      <c r="Y5909">
        <v>7.1624720000000003E-2</v>
      </c>
      <c r="Z5909">
        <v>-9.7760920000000001E-4</v>
      </c>
      <c r="AA5909">
        <v>0.99743119999999996</v>
      </c>
      <c r="AB5909">
        <v>26</v>
      </c>
      <c r="AC5909">
        <v>86.269499999999994</v>
      </c>
      <c r="AD5909">
        <v>-1.1606299999999901</v>
      </c>
      <c r="AE5909">
        <v>-5.9265499999999998</v>
      </c>
      <c r="AF5909">
        <v>6.2033353349689797</v>
      </c>
      <c r="AG5909">
        <v>-1.1606299999999901</v>
      </c>
      <c r="AH5909">
        <v>86.234423867242896</v>
      </c>
      <c r="AI5909">
        <v>90.769110759668806</v>
      </c>
      <c r="AJ5909">
        <v>85.885474314458904</v>
      </c>
      <c r="AK5909">
        <v>86.465046643081706</v>
      </c>
      <c r="AL5909">
        <v>78.965047445385807</v>
      </c>
      <c r="AM5909">
        <v>93.974012586430703</v>
      </c>
      <c r="AN5909">
        <v>1.0000000580214901</v>
      </c>
    </row>
    <row r="5910" spans="1:40" x14ac:dyDescent="0.25">
      <c r="A5910" t="str">
        <f>"20190304155219659"</f>
        <v>20190304155219659</v>
      </c>
      <c r="B5910" t="str">
        <f>"1551685939652378"</f>
        <v>1551685939652378</v>
      </c>
      <c r="C5910" t="s">
        <v>40</v>
      </c>
      <c r="D5910">
        <v>4.8856539999999997</v>
      </c>
      <c r="E5910">
        <v>0.55136450000000004</v>
      </c>
      <c r="F5910" t="s">
        <v>42</v>
      </c>
      <c r="G5910">
        <v>-265.0498</v>
      </c>
      <c r="H5910">
        <v>-0.05</v>
      </c>
      <c r="I5910">
        <v>10.960889999999999</v>
      </c>
      <c r="J5910">
        <v>-353.31199999999899</v>
      </c>
      <c r="K5910">
        <v>1.110635</v>
      </c>
      <c r="L5910">
        <v>16.966059999999999</v>
      </c>
      <c r="M5910">
        <v>0.99989830000000002</v>
      </c>
      <c r="N5910">
        <v>-1.3904990000000001E-2</v>
      </c>
      <c r="O5910">
        <v>3.2212080000000001E-3</v>
      </c>
      <c r="P5910">
        <v>0.98147450000000003</v>
      </c>
      <c r="Q5910">
        <v>0.17790500000000001</v>
      </c>
      <c r="R5910">
        <v>7.1121399999999904E-2</v>
      </c>
      <c r="S5910">
        <v>3.0790410000000001</v>
      </c>
      <c r="T5910">
        <v>-4.0423389999999997E-2</v>
      </c>
      <c r="U5910">
        <v>-0.20913699999999999</v>
      </c>
      <c r="V5910">
        <v>-6.7951709999999999E-2</v>
      </c>
      <c r="W5910">
        <v>0.19154119999999999</v>
      </c>
      <c r="X5910">
        <v>0.97912949999999999</v>
      </c>
      <c r="Y5910">
        <v>7.0967820000000001E-2</v>
      </c>
      <c r="Z5910">
        <v>-9.5683550000000002E-4</v>
      </c>
      <c r="AA5910">
        <v>0.99747810000000003</v>
      </c>
      <c r="AB5910">
        <v>26</v>
      </c>
      <c r="AC5910">
        <v>88.262199999999893</v>
      </c>
      <c r="AD5910">
        <v>-1.1606350000000001</v>
      </c>
      <c r="AE5910">
        <v>-6.0051699999999997</v>
      </c>
      <c r="AF5910">
        <v>6.2883948148957201</v>
      </c>
      <c r="AG5910">
        <v>-1.1606350000000001</v>
      </c>
      <c r="AH5910">
        <v>88.227210397004498</v>
      </c>
      <c r="AI5910">
        <v>90.751779503419399</v>
      </c>
      <c r="AJ5910">
        <v>85.923137390785897</v>
      </c>
      <c r="AK5910">
        <v>88.458643655600696</v>
      </c>
      <c r="AL5910">
        <v>78.957259701259801</v>
      </c>
      <c r="AM5910">
        <v>93.969968821041107</v>
      </c>
      <c r="AN5910">
        <v>1.0000000219798</v>
      </c>
    </row>
    <row r="5911" spans="1:40" x14ac:dyDescent="0.25">
      <c r="A5911" t="str">
        <f>"20190304155219677"</f>
        <v>20190304155219677</v>
      </c>
      <c r="B5911" t="str">
        <f>"1551685939672874"</f>
        <v>1551685939672874</v>
      </c>
      <c r="C5911" t="s">
        <v>40</v>
      </c>
      <c r="D5911">
        <v>4.8738640000000002</v>
      </c>
      <c r="E5911">
        <v>0.55094799999999999</v>
      </c>
      <c r="F5911" t="s">
        <v>42</v>
      </c>
      <c r="G5911">
        <v>-263.30459999999999</v>
      </c>
      <c r="H5911">
        <v>-0.05</v>
      </c>
      <c r="I5911">
        <v>10.884219999999999</v>
      </c>
      <c r="J5911">
        <v>-353.10160000000002</v>
      </c>
      <c r="K5911">
        <v>1.110635</v>
      </c>
      <c r="L5911">
        <v>16.966739999999898</v>
      </c>
      <c r="M5911">
        <v>0.99989810000000001</v>
      </c>
      <c r="N5911">
        <v>-1.390286E-2</v>
      </c>
      <c r="O5911">
        <v>3.221219E-3</v>
      </c>
      <c r="P5911">
        <v>0.98139770000000004</v>
      </c>
      <c r="Q5911">
        <v>0.1782753</v>
      </c>
      <c r="R5911">
        <v>7.1249389999999996E-2</v>
      </c>
      <c r="S5911">
        <v>3.078827</v>
      </c>
      <c r="T5911">
        <v>-3.9701100000000003E-2</v>
      </c>
      <c r="U5911">
        <v>-0.20803830000000001</v>
      </c>
      <c r="V5911">
        <v>-6.8079799999999996E-2</v>
      </c>
      <c r="W5911">
        <v>0.1919081</v>
      </c>
      <c r="X5911">
        <v>0.97904869999999999</v>
      </c>
      <c r="Y5911">
        <v>7.0618589999999995E-2</v>
      </c>
      <c r="Z5911">
        <v>-9.43052E-4</v>
      </c>
      <c r="AA5911">
        <v>0.99750289999999997</v>
      </c>
      <c r="AB5911">
        <v>25</v>
      </c>
      <c r="AC5911">
        <v>89.796999999999997</v>
      </c>
      <c r="AD5911">
        <v>-1.1606350000000001</v>
      </c>
      <c r="AE5911">
        <v>-6.0825199999999899</v>
      </c>
      <c r="AF5911">
        <v>6.3707127978400102</v>
      </c>
      <c r="AG5911">
        <v>-1.1606350000000001</v>
      </c>
      <c r="AH5911">
        <v>89.762012018881606</v>
      </c>
      <c r="AI5911">
        <v>90.738942361204394</v>
      </c>
      <c r="AJ5911">
        <v>85.940332592010407</v>
      </c>
      <c r="AK5911">
        <v>89.995287970168903</v>
      </c>
      <c r="AL5911">
        <v>78.935839917301905</v>
      </c>
      <c r="AM5911">
        <v>93.977755475769797</v>
      </c>
      <c r="AN5911">
        <v>0.99999996749266895</v>
      </c>
    </row>
    <row r="5912" spans="1:40" x14ac:dyDescent="0.25">
      <c r="A5912" t="str">
        <f>"20190304155219691"</f>
        <v>20190304155219691</v>
      </c>
      <c r="B5912" t="str">
        <f>"1551685939682633"</f>
        <v>1551685939682633</v>
      </c>
      <c r="C5912" t="s">
        <v>40</v>
      </c>
      <c r="D5912">
        <v>4.878266</v>
      </c>
      <c r="E5912">
        <v>0.55078070000000001</v>
      </c>
      <c r="F5912" t="s">
        <v>42</v>
      </c>
      <c r="G5912">
        <v>-260.01620000000003</v>
      </c>
      <c r="H5912">
        <v>-0.05</v>
      </c>
      <c r="I5912">
        <v>10.78923</v>
      </c>
      <c r="J5912">
        <v>-352.94839999999999</v>
      </c>
      <c r="K5912">
        <v>1.1106320000000001</v>
      </c>
      <c r="L5912">
        <v>16.967220000000001</v>
      </c>
      <c r="M5912">
        <v>0.99989830000000002</v>
      </c>
      <c r="N5912">
        <v>-1.390131E-2</v>
      </c>
      <c r="O5912">
        <v>3.2205710000000002E-3</v>
      </c>
      <c r="P5912">
        <v>0.98132819999999998</v>
      </c>
      <c r="Q5912">
        <v>0.17856469999999999</v>
      </c>
      <c r="R5912">
        <v>7.1483930000000001E-2</v>
      </c>
      <c r="S5912">
        <v>3.0787049999999998</v>
      </c>
      <c r="T5912">
        <v>-3.8386820000000002E-2</v>
      </c>
      <c r="U5912">
        <v>-0.2043152</v>
      </c>
      <c r="V5912">
        <v>-6.8315390000000004E-2</v>
      </c>
      <c r="W5912">
        <v>0.192195</v>
      </c>
      <c r="X5912">
        <v>0.97897610000000002</v>
      </c>
      <c r="Y5912">
        <v>6.9420430000000005E-2</v>
      </c>
      <c r="Z5912">
        <v>-9.1079110000000002E-4</v>
      </c>
      <c r="AA5912">
        <v>0.99758709999999995</v>
      </c>
      <c r="AB5912">
        <v>25</v>
      </c>
      <c r="AC5912">
        <v>92.932199999999895</v>
      </c>
      <c r="AD5912">
        <v>-1.1606319999999899</v>
      </c>
      <c r="AE5912">
        <v>-6.1779900000000003</v>
      </c>
      <c r="AF5912">
        <v>6.4762758950691204</v>
      </c>
      <c r="AG5912">
        <v>-1.1606319999999899</v>
      </c>
      <c r="AH5912">
        <v>92.897393407766899</v>
      </c>
      <c r="AI5912">
        <v>90.714066010789793</v>
      </c>
      <c r="AJ5912">
        <v>86.012117495017606</v>
      </c>
      <c r="AK5912">
        <v>93.130096736049296</v>
      </c>
      <c r="AL5912">
        <v>78.919090963745802</v>
      </c>
      <c r="AM5912">
        <v>93.991771121346503</v>
      </c>
      <c r="AN5912">
        <v>1.0000000574535199</v>
      </c>
    </row>
    <row r="5913" spans="1:40" x14ac:dyDescent="0.25">
      <c r="A5913" t="str">
        <f>"20190304155219705"</f>
        <v>20190304155219705</v>
      </c>
      <c r="B5913" t="str">
        <f>"1551685939692394"</f>
        <v>1551685939692394</v>
      </c>
      <c r="C5913" t="s">
        <v>40</v>
      </c>
      <c r="D5913">
        <v>4.9279989999999998</v>
      </c>
      <c r="E5913">
        <v>0.55066380000000004</v>
      </c>
      <c r="F5913" t="s">
        <v>100</v>
      </c>
      <c r="G5913">
        <v>-279.68</v>
      </c>
      <c r="H5913">
        <v>0.22637850000000001</v>
      </c>
      <c r="I5913">
        <v>12.1525</v>
      </c>
      <c r="J5913">
        <v>-352.79669999999999</v>
      </c>
      <c r="K5913">
        <v>1.1106259999999999</v>
      </c>
      <c r="L5913">
        <v>16.96771</v>
      </c>
      <c r="M5913">
        <v>0.99989830000000002</v>
      </c>
      <c r="N5913">
        <v>-1.3899760000000001E-2</v>
      </c>
      <c r="O5913">
        <v>3.2197369999999999E-3</v>
      </c>
      <c r="P5913">
        <v>0.98130130000000004</v>
      </c>
      <c r="Q5913">
        <v>0.1786218</v>
      </c>
      <c r="R5913">
        <v>7.170791E-2</v>
      </c>
      <c r="S5913">
        <v>3.078522</v>
      </c>
      <c r="T5913">
        <v>-3.7154199999999998E-2</v>
      </c>
      <c r="U5913">
        <v>-0.20230100000000001</v>
      </c>
      <c r="V5913">
        <v>-6.8539630000000004E-2</v>
      </c>
      <c r="W5913">
        <v>0.19225020000000001</v>
      </c>
      <c r="X5913">
        <v>0.97894950000000003</v>
      </c>
      <c r="Y5913">
        <v>6.8774299999999997E-2</v>
      </c>
      <c r="Z5913">
        <v>-8.8720909999999995E-4</v>
      </c>
      <c r="AA5913">
        <v>0.99763179999999996</v>
      </c>
      <c r="AB5913">
        <v>25</v>
      </c>
      <c r="AC5913">
        <v>73.116699999999895</v>
      </c>
      <c r="AD5913">
        <v>-0.88424749999999996</v>
      </c>
      <c r="AE5913">
        <v>-4.8152099999999898</v>
      </c>
      <c r="AF5913">
        <v>5.04988891565882</v>
      </c>
      <c r="AG5913">
        <v>-0.88424749999999996</v>
      </c>
      <c r="AH5913">
        <v>73.0901719960614</v>
      </c>
      <c r="AI5913">
        <v>90.691484255450504</v>
      </c>
      <c r="AJ5913">
        <v>86.047645874075897</v>
      </c>
      <c r="AK5913">
        <v>73.269751699562804</v>
      </c>
      <c r="AL5913">
        <v>78.915867175385699</v>
      </c>
      <c r="AM5913">
        <v>94.004939701601202</v>
      </c>
      <c r="AN5913">
        <v>0.99999997191541301</v>
      </c>
    </row>
    <row r="5914" spans="1:40" x14ac:dyDescent="0.25">
      <c r="A5914" t="str">
        <f>"20190304155219724"</f>
        <v>20190304155219724</v>
      </c>
      <c r="B5914" t="str">
        <f>"1551685939712889"</f>
        <v>1551685939712889</v>
      </c>
      <c r="C5914" t="s">
        <v>40</v>
      </c>
      <c r="D5914">
        <v>4.9514630000000004</v>
      </c>
      <c r="E5914">
        <v>0.55030749999999995</v>
      </c>
      <c r="F5914" t="s">
        <v>100</v>
      </c>
      <c r="G5914">
        <v>-279.68</v>
      </c>
      <c r="H5914">
        <v>0.2393441</v>
      </c>
      <c r="I5914">
        <v>12.19919</v>
      </c>
      <c r="J5914">
        <v>-352.5772</v>
      </c>
      <c r="K5914">
        <v>1.110627</v>
      </c>
      <c r="L5914">
        <v>16.968409999999999</v>
      </c>
      <c r="M5914">
        <v>0.99989839999999997</v>
      </c>
      <c r="N5914">
        <v>-1.389752E-2</v>
      </c>
      <c r="O5914">
        <v>3.2117679999999998E-3</v>
      </c>
      <c r="P5914">
        <v>0.98129060000000001</v>
      </c>
      <c r="Q5914">
        <v>0.17873559999999999</v>
      </c>
      <c r="R5914">
        <v>7.157326E-2</v>
      </c>
      <c r="S5914">
        <v>3.078522</v>
      </c>
      <c r="T5914">
        <v>-3.668511E-2</v>
      </c>
      <c r="U5914">
        <v>-0.20077510000000001</v>
      </c>
      <c r="V5914">
        <v>-6.8411600000000003E-2</v>
      </c>
      <c r="W5914">
        <v>0.19236200000000001</v>
      </c>
      <c r="X5914">
        <v>0.97893649999999999</v>
      </c>
      <c r="Y5914">
        <v>6.8274230000000005E-2</v>
      </c>
      <c r="Z5914">
        <v>-8.7497439999999996E-4</v>
      </c>
      <c r="AA5914">
        <v>0.99766619999999995</v>
      </c>
      <c r="AB5914">
        <v>25</v>
      </c>
      <c r="AC5914">
        <v>72.897199999999998</v>
      </c>
      <c r="AD5914">
        <v>-0.87128289999999997</v>
      </c>
      <c r="AE5914">
        <v>-4.7692199999999998</v>
      </c>
      <c r="AF5914">
        <v>5.0026352654705599</v>
      </c>
      <c r="AG5914">
        <v>-0.87128289999999997</v>
      </c>
      <c r="AH5914">
        <v>72.871139168785504</v>
      </c>
      <c r="AI5914">
        <v>90.683415275847693</v>
      </c>
      <c r="AJ5914">
        <v>86.072781691695397</v>
      </c>
      <c r="AK5914">
        <v>73.047850189089502</v>
      </c>
      <c r="AL5914">
        <v>78.909339745580695</v>
      </c>
      <c r="AM5914">
        <v>93.997535782505196</v>
      </c>
      <c r="AN5914">
        <v>0.99999997854540401</v>
      </c>
    </row>
    <row r="5915" spans="1:40" x14ac:dyDescent="0.25">
      <c r="A5915" t="str">
        <f>"20190304155219747"</f>
        <v>20190304155219747</v>
      </c>
      <c r="B5915" t="str">
        <f>"1551685939743145"</f>
        <v>1551685939743145</v>
      </c>
      <c r="C5915" t="s">
        <v>40</v>
      </c>
      <c r="D5915">
        <v>4.9124679999999996</v>
      </c>
      <c r="E5915">
        <v>0.54974460000000003</v>
      </c>
      <c r="F5915" t="s">
        <v>100</v>
      </c>
      <c r="G5915">
        <v>-279.68</v>
      </c>
      <c r="H5915">
        <v>0.25318669999999999</v>
      </c>
      <c r="I5915">
        <v>12.266590000000001</v>
      </c>
      <c r="J5915">
        <v>-352.32580000000002</v>
      </c>
      <c r="K5915">
        <v>1.1106180000000001</v>
      </c>
      <c r="L5915">
        <v>16.96921</v>
      </c>
      <c r="M5915">
        <v>0.99989839999999997</v>
      </c>
      <c r="N5915">
        <v>-1.389495E-2</v>
      </c>
      <c r="O5915">
        <v>3.1853239999999998E-3</v>
      </c>
      <c r="P5915">
        <v>0.98112770000000005</v>
      </c>
      <c r="Q5915">
        <v>0.17951520000000001</v>
      </c>
      <c r="R5915">
        <v>7.1852940000000004E-2</v>
      </c>
      <c r="S5915">
        <v>3.0782780000000001</v>
      </c>
      <c r="T5915">
        <v>-3.6208150000000001E-2</v>
      </c>
      <c r="U5915">
        <v>-0.19854740000000001</v>
      </c>
      <c r="V5915">
        <v>-6.871273E-2</v>
      </c>
      <c r="W5915">
        <v>0.1931387</v>
      </c>
      <c r="X5915">
        <v>0.97876249999999998</v>
      </c>
      <c r="Y5915">
        <v>6.7534269999999993E-2</v>
      </c>
      <c r="Z5915">
        <v>-8.5970939999999998E-4</v>
      </c>
      <c r="AA5915">
        <v>0.99771659999999995</v>
      </c>
      <c r="AB5915">
        <v>25</v>
      </c>
      <c r="AC5915">
        <v>72.645799999999994</v>
      </c>
      <c r="AD5915">
        <v>-0.85743130000000001</v>
      </c>
      <c r="AE5915">
        <v>-4.7026199999999996</v>
      </c>
      <c r="AF5915">
        <v>4.9333344993001997</v>
      </c>
      <c r="AG5915">
        <v>-0.85743130000000001</v>
      </c>
      <c r="AH5915">
        <v>72.620376150700594</v>
      </c>
      <c r="AI5915">
        <v>90.674906440348593</v>
      </c>
      <c r="AJ5915">
        <v>86.113685384686093</v>
      </c>
      <c r="AK5915">
        <v>72.792801910528595</v>
      </c>
      <c r="AL5915">
        <v>78.863988061800697</v>
      </c>
      <c r="AM5915">
        <v>94.015785914062207</v>
      </c>
      <c r="AN5915">
        <v>1.00000001405399</v>
      </c>
    </row>
    <row r="5916" spans="1:40" x14ac:dyDescent="0.25">
      <c r="A5916" t="str">
        <f>"20190304155219768"</f>
        <v>20190304155219768</v>
      </c>
      <c r="B5916" t="str">
        <f>"1551685939762666"</f>
        <v>1551685939762666</v>
      </c>
      <c r="C5916" t="s">
        <v>40</v>
      </c>
      <c r="D5916">
        <v>5.0305470000000003</v>
      </c>
      <c r="E5916">
        <v>0.54967489999999997</v>
      </c>
      <c r="F5916" t="s">
        <v>100</v>
      </c>
      <c r="G5916">
        <v>-279.68</v>
      </c>
      <c r="H5916">
        <v>0.30836960000000002</v>
      </c>
      <c r="I5916">
        <v>12.401389999999999</v>
      </c>
      <c r="J5916">
        <v>-352.08240000000001</v>
      </c>
      <c r="K5916">
        <v>1.1106009999999999</v>
      </c>
      <c r="L5916">
        <v>16.969940000000001</v>
      </c>
      <c r="M5916">
        <v>0.99989859999999997</v>
      </c>
      <c r="N5916">
        <v>-1.3892420000000001E-2</v>
      </c>
      <c r="O5916">
        <v>3.1313780000000002E-3</v>
      </c>
      <c r="P5916">
        <v>0.98100259999999995</v>
      </c>
      <c r="Q5916">
        <v>0.18024799999999999</v>
      </c>
      <c r="R5916">
        <v>7.1724880000000005E-2</v>
      </c>
      <c r="S5916">
        <v>3.0780639999999999</v>
      </c>
      <c r="T5916">
        <v>-3.3992410000000001E-2</v>
      </c>
      <c r="U5916">
        <v>-0.19354250000000001</v>
      </c>
      <c r="V5916">
        <v>-6.8628910000000001E-2</v>
      </c>
      <c r="W5916">
        <v>0.1938704</v>
      </c>
      <c r="X5916">
        <v>0.97862369999999999</v>
      </c>
      <c r="Y5916">
        <v>6.5870189999999995E-2</v>
      </c>
      <c r="Z5916">
        <v>-8.124858E-4</v>
      </c>
      <c r="AA5916">
        <v>0.99782789999999999</v>
      </c>
      <c r="AB5916">
        <v>25</v>
      </c>
      <c r="AC5916">
        <v>72.4024</v>
      </c>
      <c r="AD5916">
        <v>-0.80223139999999904</v>
      </c>
      <c r="AE5916">
        <v>-4.5685500000000001</v>
      </c>
      <c r="AF5916">
        <v>4.7946824491087003</v>
      </c>
      <c r="AG5916">
        <v>-0.80223139999999904</v>
      </c>
      <c r="AH5916">
        <v>72.378886981589503</v>
      </c>
      <c r="AI5916">
        <v>90.633638943681404</v>
      </c>
      <c r="AJ5916">
        <v>86.210023517137401</v>
      </c>
      <c r="AK5916">
        <v>72.541959138836603</v>
      </c>
      <c r="AL5916">
        <v>78.821256969574605</v>
      </c>
      <c r="AM5916">
        <v>94.011470226994902</v>
      </c>
      <c r="AN5916">
        <v>1.00000000274281</v>
      </c>
    </row>
    <row r="5917" spans="1:40" x14ac:dyDescent="0.25">
      <c r="A5917" t="str">
        <f>"20190304155219780"</f>
        <v>20190304155219780</v>
      </c>
      <c r="B5917" t="str">
        <f>"1551685939772426"</f>
        <v>1551685939772426</v>
      </c>
      <c r="C5917" t="s">
        <v>40</v>
      </c>
      <c r="D5917">
        <v>4.9116920000000004</v>
      </c>
      <c r="E5917">
        <v>0.54976459999999905</v>
      </c>
      <c r="F5917" t="s">
        <v>100</v>
      </c>
      <c r="G5917">
        <v>-279.68</v>
      </c>
      <c r="H5917">
        <v>0.36571290000000001</v>
      </c>
      <c r="I5917">
        <v>12.41743</v>
      </c>
      <c r="J5917">
        <v>-351.93799999999999</v>
      </c>
      <c r="K5917">
        <v>1.1105849999999999</v>
      </c>
      <c r="L5917">
        <v>16.97034</v>
      </c>
      <c r="M5917">
        <v>0.99989890000000003</v>
      </c>
      <c r="N5917">
        <v>-1.3890909999999999E-2</v>
      </c>
      <c r="O5917">
        <v>3.0787240000000001E-3</v>
      </c>
      <c r="P5917">
        <v>0.9809369</v>
      </c>
      <c r="Q5917">
        <v>0.18063290000000001</v>
      </c>
      <c r="R5917">
        <v>7.1656880000000006E-2</v>
      </c>
      <c r="S5917">
        <v>3.0780639999999999</v>
      </c>
      <c r="T5917">
        <v>-3.166807E-2</v>
      </c>
      <c r="U5917">
        <v>-0.19354250000000001</v>
      </c>
      <c r="V5917">
        <v>-6.8605369999999999E-2</v>
      </c>
      <c r="W5917">
        <v>0.19425539999999999</v>
      </c>
      <c r="X5917">
        <v>0.978549</v>
      </c>
      <c r="Y5917">
        <v>6.581853E-2</v>
      </c>
      <c r="Z5917">
        <v>-7.8479669999999995E-4</v>
      </c>
      <c r="AA5917">
        <v>0.99783129999999998</v>
      </c>
      <c r="AB5917">
        <v>25</v>
      </c>
      <c r="AC5917">
        <v>72.257999999999996</v>
      </c>
      <c r="AD5917">
        <v>-0.74487209999999904</v>
      </c>
      <c r="AE5917">
        <v>-4.5529099999999998</v>
      </c>
      <c r="AF5917">
        <v>4.77486689946487</v>
      </c>
      <c r="AG5917">
        <v>-0.74487209999999904</v>
      </c>
      <c r="AH5917">
        <v>72.2359931531673</v>
      </c>
      <c r="AI5917">
        <v>90.589506563183207</v>
      </c>
      <c r="AJ5917">
        <v>86.218196819015205</v>
      </c>
      <c r="AK5917">
        <v>72.397464701309801</v>
      </c>
      <c r="AL5917">
        <v>78.798770591888996</v>
      </c>
      <c r="AM5917">
        <v>94.010403888046298</v>
      </c>
      <c r="AN5917">
        <v>1.00000000131149</v>
      </c>
    </row>
    <row r="5918" spans="1:40" x14ac:dyDescent="0.25">
      <c r="A5918" t="str">
        <f>"20190304155219792"</f>
        <v>20190304155219792</v>
      </c>
      <c r="B5918" t="str">
        <f>"1551685939783162"</f>
        <v>1551685939783162</v>
      </c>
      <c r="C5918" t="s">
        <v>40</v>
      </c>
      <c r="D5918">
        <v>4.9093479999999996</v>
      </c>
      <c r="E5918">
        <v>0.54983349999999998</v>
      </c>
      <c r="F5918" t="s">
        <v>100</v>
      </c>
      <c r="G5918">
        <v>-279.68</v>
      </c>
      <c r="H5918">
        <v>0.39503060000000001</v>
      </c>
      <c r="I5918">
        <v>12.40192</v>
      </c>
      <c r="J5918">
        <v>-351.80509999999998</v>
      </c>
      <c r="K5918">
        <v>1.1105700000000001</v>
      </c>
      <c r="L5918">
        <v>16.970700000000001</v>
      </c>
      <c r="M5918">
        <v>0.99989899999999998</v>
      </c>
      <c r="N5918">
        <v>-1.3889530000000001E-2</v>
      </c>
      <c r="O5918">
        <v>3.0236410000000001E-3</v>
      </c>
      <c r="P5918">
        <v>0.98089519999999997</v>
      </c>
      <c r="Q5918">
        <v>0.1808642</v>
      </c>
      <c r="R5918">
        <v>7.164508E-2</v>
      </c>
      <c r="S5918">
        <v>3.078125</v>
      </c>
      <c r="T5918">
        <v>-3.0482410000000001E-2</v>
      </c>
      <c r="U5918">
        <v>-0.19461059999999999</v>
      </c>
      <c r="V5918">
        <v>-6.8640430000000002E-2</v>
      </c>
      <c r="W5918">
        <v>0.1944874</v>
      </c>
      <c r="X5918">
        <v>0.9785005</v>
      </c>
      <c r="Y5918">
        <v>6.6107589999999994E-2</v>
      </c>
      <c r="Z5918">
        <v>-7.7455959999999996E-4</v>
      </c>
      <c r="AA5918">
        <v>0.99781220000000004</v>
      </c>
      <c r="AB5918">
        <v>25</v>
      </c>
      <c r="AC5918">
        <v>72.125099999999904</v>
      </c>
      <c r="AD5918">
        <v>-0.71553940000000005</v>
      </c>
      <c r="AE5918">
        <v>-4.5687800000000003</v>
      </c>
      <c r="AF5918">
        <v>4.7863913460522003</v>
      </c>
      <c r="AG5918">
        <v>-0.71553940000000005</v>
      </c>
      <c r="AH5918">
        <v>72.103886274367895</v>
      </c>
      <c r="AI5918">
        <v>90.567320594817403</v>
      </c>
      <c r="AJ5918">
        <v>86.202170489477297</v>
      </c>
      <c r="AK5918">
        <v>72.266118995124501</v>
      </c>
      <c r="AL5918">
        <v>78.785219998167506</v>
      </c>
      <c r="AM5918">
        <v>94.012644897024998</v>
      </c>
      <c r="AN5918">
        <v>1.0000000429447899</v>
      </c>
    </row>
    <row r="5919" spans="1:40" x14ac:dyDescent="0.25">
      <c r="A5919" t="str">
        <f>"20190304155219803"</f>
        <v>20190304155219803</v>
      </c>
      <c r="B5919" t="str">
        <f>"1551685939792924"</f>
        <v>1551685939792924</v>
      </c>
      <c r="C5919" t="s">
        <v>40</v>
      </c>
      <c r="D5919">
        <v>4.9598060000000004</v>
      </c>
      <c r="E5919">
        <v>0.54995229999999995</v>
      </c>
      <c r="F5919" t="s">
        <v>100</v>
      </c>
      <c r="G5919">
        <v>-279.68</v>
      </c>
      <c r="H5919">
        <v>0.41328130000000002</v>
      </c>
      <c r="I5919">
        <v>12.395049999999999</v>
      </c>
      <c r="J5919">
        <v>-351.6696</v>
      </c>
      <c r="K5919">
        <v>1.110554</v>
      </c>
      <c r="L5919">
        <v>16.971039999999999</v>
      </c>
      <c r="M5919">
        <v>0.99989910000000004</v>
      </c>
      <c r="N5919">
        <v>-1.388813E-2</v>
      </c>
      <c r="O5919">
        <v>2.9570389999999998E-3</v>
      </c>
      <c r="P5919">
        <v>0.98081850000000004</v>
      </c>
      <c r="Q5919">
        <v>0.18127679999999999</v>
      </c>
      <c r="R5919">
        <v>7.1652610000000005E-2</v>
      </c>
      <c r="S5919">
        <v>3.0781860000000001</v>
      </c>
      <c r="T5919">
        <v>-2.9759649999999999E-2</v>
      </c>
      <c r="U5919">
        <v>-0.19528200000000001</v>
      </c>
      <c r="V5919">
        <v>-6.8706069999999994E-2</v>
      </c>
      <c r="W5919">
        <v>0.1949004</v>
      </c>
      <c r="X5919">
        <v>0.97841369999999905</v>
      </c>
      <c r="Y5919">
        <v>6.6256899999999994E-2</v>
      </c>
      <c r="Z5919">
        <v>-7.6808819999999996E-4</v>
      </c>
      <c r="AA5919">
        <v>0.99780230000000003</v>
      </c>
      <c r="AB5919">
        <v>25</v>
      </c>
      <c r="AC5919">
        <v>71.989599999999996</v>
      </c>
      <c r="AD5919">
        <v>-0.69727269999999997</v>
      </c>
      <c r="AE5919">
        <v>-4.5759899999999902</v>
      </c>
      <c r="AF5919">
        <v>4.7884191837634402</v>
      </c>
      <c r="AG5919">
        <v>-0.69727269999999997</v>
      </c>
      <c r="AH5919">
        <v>71.969028006429198</v>
      </c>
      <c r="AI5919">
        <v>90.553868894623506</v>
      </c>
      <c r="AJ5919">
        <v>86.193467574671601</v>
      </c>
      <c r="AK5919">
        <v>72.131519737821904</v>
      </c>
      <c r="AL5919">
        <v>78.761095034065704</v>
      </c>
      <c r="AM5919">
        <v>94.016824742186202</v>
      </c>
      <c r="AN5919">
        <v>1.00000002916134</v>
      </c>
    </row>
    <row r="5920" spans="1:40" x14ac:dyDescent="0.25">
      <c r="A5920" t="str">
        <f>"20190304155219824"</f>
        <v>20190304155219824</v>
      </c>
      <c r="B5920" t="str">
        <f>"1551685939812441"</f>
        <v>1551685939812441</v>
      </c>
      <c r="C5920" t="s">
        <v>40</v>
      </c>
      <c r="D5920">
        <v>4.9890610000000004</v>
      </c>
      <c r="E5920">
        <v>0.55014160000000001</v>
      </c>
      <c r="F5920" t="s">
        <v>100</v>
      </c>
      <c r="G5920">
        <v>-279.68</v>
      </c>
      <c r="H5920">
        <v>0.4371679</v>
      </c>
      <c r="I5920">
        <v>12.38279</v>
      </c>
      <c r="J5920">
        <v>-351.45269999999999</v>
      </c>
      <c r="K5920">
        <v>1.1105309999999999</v>
      </c>
      <c r="L5920">
        <v>16.97156</v>
      </c>
      <c r="M5920">
        <v>0.99989969999999995</v>
      </c>
      <c r="N5920">
        <v>-1.388589E-2</v>
      </c>
      <c r="O5920">
        <v>2.822621E-3</v>
      </c>
      <c r="P5920">
        <v>0.98065369999999996</v>
      </c>
      <c r="Q5920">
        <v>0.18223239999999999</v>
      </c>
      <c r="R5920">
        <v>7.1484790000000006E-2</v>
      </c>
      <c r="S5920">
        <v>3.0783390000000002</v>
      </c>
      <c r="T5920">
        <v>-2.8795000000000001E-2</v>
      </c>
      <c r="U5920">
        <v>-0.1961975</v>
      </c>
      <c r="V5920">
        <v>-6.8657759999999998E-2</v>
      </c>
      <c r="W5920">
        <v>0.19585530000000001</v>
      </c>
      <c r="X5920">
        <v>0.97822640000000005</v>
      </c>
      <c r="Y5920">
        <v>6.6415500000000002E-2</v>
      </c>
      <c r="Z5920">
        <v>-7.5915990000000001E-4</v>
      </c>
      <c r="AA5920">
        <v>0.99779180000000001</v>
      </c>
      <c r="AB5920">
        <v>25</v>
      </c>
      <c r="AC5920">
        <v>71.772699999999901</v>
      </c>
      <c r="AD5920">
        <v>-0.67336309999999999</v>
      </c>
      <c r="AE5920">
        <v>-4.5887699999999896</v>
      </c>
      <c r="AF5920">
        <v>4.7909383807585604</v>
      </c>
      <c r="AG5920">
        <v>-0.67336309999999999</v>
      </c>
      <c r="AH5920">
        <v>71.753170440988796</v>
      </c>
      <c r="AI5920">
        <v>90.536478381220604</v>
      </c>
      <c r="AJ5920">
        <v>86.180047382414202</v>
      </c>
      <c r="AK5920">
        <v>71.916089832291703</v>
      </c>
      <c r="AL5920">
        <v>78.705308273778201</v>
      </c>
      <c r="AM5920">
        <v>94.014775632203296</v>
      </c>
      <c r="AN5920">
        <v>1.0000000381016301</v>
      </c>
    </row>
    <row r="5921" spans="1:40" x14ac:dyDescent="0.25">
      <c r="A5921" t="str">
        <f>"20190304155219835"</f>
        <v>20190304155219835</v>
      </c>
      <c r="B5921" t="str">
        <f>"1551685939832938"</f>
        <v>1551685939832938</v>
      </c>
      <c r="C5921" t="s">
        <v>40</v>
      </c>
      <c r="D5921">
        <v>4.89541</v>
      </c>
      <c r="E5921">
        <v>0.55026540000000002</v>
      </c>
      <c r="F5921" t="s">
        <v>100</v>
      </c>
      <c r="G5921">
        <v>-279.68</v>
      </c>
      <c r="H5921">
        <v>0.49308220000000003</v>
      </c>
      <c r="I5921">
        <v>12.35975</v>
      </c>
      <c r="J5921">
        <v>-351.31979999999999</v>
      </c>
      <c r="K5921">
        <v>1.110522</v>
      </c>
      <c r="L5921">
        <v>16.971800000000002</v>
      </c>
      <c r="M5921">
        <v>0.99990000000000001</v>
      </c>
      <c r="N5921">
        <v>-1.3884550000000001E-2</v>
      </c>
      <c r="O5921">
        <v>2.7218680000000001E-3</v>
      </c>
      <c r="P5921">
        <v>0.98062740000000004</v>
      </c>
      <c r="Q5921">
        <v>0.18247150000000001</v>
      </c>
      <c r="R5921">
        <v>7.1233450000000004E-2</v>
      </c>
      <c r="S5921">
        <v>3.0785520000000002</v>
      </c>
      <c r="T5921">
        <v>-2.6484730000000001E-2</v>
      </c>
      <c r="U5921">
        <v>-0.19781489999999999</v>
      </c>
      <c r="V5921">
        <v>-6.8497669999999997E-2</v>
      </c>
      <c r="W5921">
        <v>0.1960952</v>
      </c>
      <c r="X5921">
        <v>0.97818950000000005</v>
      </c>
      <c r="Y5921">
        <v>6.6833400000000001E-2</v>
      </c>
      <c r="Z5921">
        <v>-7.3731809999999997E-4</v>
      </c>
      <c r="AA5921">
        <v>0.99776390000000004</v>
      </c>
      <c r="AB5921">
        <v>25</v>
      </c>
      <c r="AC5921">
        <v>71.639799999999894</v>
      </c>
      <c r="AD5921">
        <v>-0.61743979999999998</v>
      </c>
      <c r="AE5921">
        <v>-4.61205</v>
      </c>
      <c r="AF5921">
        <v>4.8066901959894599</v>
      </c>
      <c r="AG5921">
        <v>-0.61743979999999998</v>
      </c>
      <c r="AH5921">
        <v>71.621681768759302</v>
      </c>
      <c r="AI5921">
        <v>90.492817568975696</v>
      </c>
      <c r="AJ5921">
        <v>86.160510445179398</v>
      </c>
      <c r="AK5921">
        <v>71.7854497926444</v>
      </c>
      <c r="AL5921">
        <v>78.691290522006298</v>
      </c>
      <c r="AM5921">
        <v>94.005595449132201</v>
      </c>
      <c r="AN5921">
        <v>0.99999997808435903</v>
      </c>
    </row>
    <row r="5922" spans="1:40" x14ac:dyDescent="0.25">
      <c r="A5922" t="str">
        <f>"20190304155219848"</f>
        <v>20190304155219848</v>
      </c>
      <c r="B5922" t="str">
        <f>"1551685939842698"</f>
        <v>1551685939842698</v>
      </c>
      <c r="C5922" t="s">
        <v>40</v>
      </c>
      <c r="D5922">
        <v>4.9352359999999997</v>
      </c>
      <c r="E5922">
        <v>0.55036339999999995</v>
      </c>
      <c r="F5922" t="s">
        <v>100</v>
      </c>
      <c r="G5922">
        <v>-279.68</v>
      </c>
      <c r="H5922">
        <v>0.50479160000000001</v>
      </c>
      <c r="I5922">
        <v>12.33591</v>
      </c>
      <c r="J5922">
        <v>-351.16930000000002</v>
      </c>
      <c r="K5922">
        <v>1.1105050000000001</v>
      </c>
      <c r="L5922">
        <v>16.972110000000001</v>
      </c>
      <c r="M5922">
        <v>0.99990029999999996</v>
      </c>
      <c r="N5922">
        <v>-1.3883059999999999E-2</v>
      </c>
      <c r="O5922">
        <v>2.5973039999999999E-3</v>
      </c>
      <c r="P5922">
        <v>0.98063639999999996</v>
      </c>
      <c r="Q5922">
        <v>0.18251319999999999</v>
      </c>
      <c r="R5922">
        <v>7.1001430000000004E-2</v>
      </c>
      <c r="S5922">
        <v>3.0785830000000001</v>
      </c>
      <c r="T5922">
        <v>-2.6030540000000001E-2</v>
      </c>
      <c r="U5922">
        <v>-0.1992188</v>
      </c>
      <c r="V5922">
        <v>-6.837907E-2</v>
      </c>
      <c r="W5922">
        <v>0.1961387</v>
      </c>
      <c r="X5922">
        <v>0.97818910000000003</v>
      </c>
      <c r="Y5922">
        <v>6.7161680000000001E-2</v>
      </c>
      <c r="Z5922">
        <v>-7.3628889999999996E-4</v>
      </c>
      <c r="AA5922">
        <v>0.99774180000000001</v>
      </c>
      <c r="AB5922">
        <v>25</v>
      </c>
      <c r="AC5922">
        <v>71.4893</v>
      </c>
      <c r="AD5922">
        <v>-0.60571339999999896</v>
      </c>
      <c r="AE5922">
        <v>-4.6361999999999997</v>
      </c>
      <c r="AF5922">
        <v>4.8215370123363801</v>
      </c>
      <c r="AG5922">
        <v>-0.60571339999999896</v>
      </c>
      <c r="AH5922">
        <v>71.471906697660401</v>
      </c>
      <c r="AI5922">
        <v>90.484460212608496</v>
      </c>
      <c r="AJ5922">
        <v>86.140640367041399</v>
      </c>
      <c r="AK5922">
        <v>71.636914749892298</v>
      </c>
      <c r="AL5922">
        <v>78.688749060367002</v>
      </c>
      <c r="AM5922">
        <v>93.998684125461693</v>
      </c>
      <c r="AN5922">
        <v>1.0000000011052801</v>
      </c>
    </row>
    <row r="5923" spans="1:40" x14ac:dyDescent="0.25">
      <c r="A5923" t="str">
        <f>"20190304155219861"</f>
        <v>20190304155219861</v>
      </c>
      <c r="B5923" t="str">
        <f>"1551685939852458"</f>
        <v>1551685939852458</v>
      </c>
      <c r="C5923" t="s">
        <v>40</v>
      </c>
      <c r="D5923">
        <v>4.9731209999999999</v>
      </c>
      <c r="E5923">
        <v>0.55044490000000001</v>
      </c>
      <c r="F5923" t="s">
        <v>100</v>
      </c>
      <c r="G5923">
        <v>-279.68</v>
      </c>
      <c r="H5923">
        <v>0.50083849999999996</v>
      </c>
      <c r="I5923">
        <v>12.315580000000001</v>
      </c>
      <c r="J5923">
        <v>-351.02289999999999</v>
      </c>
      <c r="K5923">
        <v>1.1104889999999901</v>
      </c>
      <c r="L5923">
        <v>16.97232</v>
      </c>
      <c r="M5923">
        <v>0.99990080000000003</v>
      </c>
      <c r="N5923">
        <v>-1.388178E-2</v>
      </c>
      <c r="O5923">
        <v>2.4567980000000001E-3</v>
      </c>
      <c r="P5923">
        <v>0.98068049999999996</v>
      </c>
      <c r="Q5923">
        <v>0.1823062</v>
      </c>
      <c r="R5923">
        <v>7.0927729999999994E-2</v>
      </c>
      <c r="S5923">
        <v>3.0786440000000002</v>
      </c>
      <c r="T5923">
        <v>-2.625537E-2</v>
      </c>
      <c r="U5923">
        <v>-0.20053099999999999</v>
      </c>
      <c r="V5923">
        <v>-6.8436029999999995E-2</v>
      </c>
      <c r="W5923">
        <v>0.19593340000000001</v>
      </c>
      <c r="X5923">
        <v>0.97822620000000005</v>
      </c>
      <c r="Y5923">
        <v>6.7443580000000003E-2</v>
      </c>
      <c r="Z5923">
        <v>-7.4279610000000003E-4</v>
      </c>
      <c r="AA5923">
        <v>0.99772280000000002</v>
      </c>
      <c r="AB5923">
        <v>25</v>
      </c>
      <c r="AC5923">
        <v>71.342899999999901</v>
      </c>
      <c r="AD5923">
        <v>-0.60965049999999898</v>
      </c>
      <c r="AE5923">
        <v>-4.6567399999999903</v>
      </c>
      <c r="AF5923">
        <v>4.8316665709866298</v>
      </c>
      <c r="AG5923">
        <v>-0.60965049999999898</v>
      </c>
      <c r="AH5923">
        <v>71.326056526273305</v>
      </c>
      <c r="AI5923">
        <v>90.488596850915798</v>
      </c>
      <c r="AJ5923">
        <v>86.124672606329796</v>
      </c>
      <c r="AK5923">
        <v>71.492118552847998</v>
      </c>
      <c r="AL5923">
        <v>78.700743971514498</v>
      </c>
      <c r="AM5923">
        <v>94.001852938256505</v>
      </c>
      <c r="AN5923">
        <v>0.99999994290207805</v>
      </c>
    </row>
    <row r="5924" spans="1:40" x14ac:dyDescent="0.25">
      <c r="A5924" t="str">
        <f>"20190304155219879"</f>
        <v>20190304155219879</v>
      </c>
      <c r="B5924" t="str">
        <f>"1551685939872954"</f>
        <v>1551685939872954</v>
      </c>
      <c r="C5924" t="s">
        <v>40</v>
      </c>
      <c r="D5924">
        <v>4.9524949999999999</v>
      </c>
      <c r="E5924">
        <v>0.5505989</v>
      </c>
      <c r="F5924" t="s">
        <v>100</v>
      </c>
      <c r="G5924">
        <v>-279.68</v>
      </c>
      <c r="H5924">
        <v>0.48278979999999999</v>
      </c>
      <c r="I5924">
        <v>12.30203</v>
      </c>
      <c r="J5924">
        <v>-350.82249999999999</v>
      </c>
      <c r="K5924">
        <v>1.1104719999999999</v>
      </c>
      <c r="L5924">
        <v>16.972629999999999</v>
      </c>
      <c r="M5924">
        <v>0.99990120000000005</v>
      </c>
      <c r="N5924">
        <v>-1.387994E-2</v>
      </c>
      <c r="O5924">
        <v>2.2500860000000001E-3</v>
      </c>
      <c r="P5924">
        <v>0.98076819999999998</v>
      </c>
      <c r="Q5924">
        <v>0.1818834</v>
      </c>
      <c r="R5924">
        <v>7.0797150000000003E-2</v>
      </c>
      <c r="S5924">
        <v>3.0786739999999999</v>
      </c>
      <c r="T5924">
        <v>-2.7087690000000001E-2</v>
      </c>
      <c r="U5924">
        <v>-0.2015381</v>
      </c>
      <c r="V5924">
        <v>-6.8499249999999998E-2</v>
      </c>
      <c r="W5924">
        <v>0.19551299999999999</v>
      </c>
      <c r="X5924">
        <v>0.97830589999999995</v>
      </c>
      <c r="Y5924">
        <v>6.7561380000000004E-2</v>
      </c>
      <c r="Z5924">
        <v>-7.5489399999999999E-4</v>
      </c>
      <c r="AA5924">
        <v>0.99771480000000001</v>
      </c>
      <c r="AB5924">
        <v>25</v>
      </c>
      <c r="AC5924">
        <v>71.142499999999899</v>
      </c>
      <c r="AD5924">
        <v>-0.62768219999999997</v>
      </c>
      <c r="AE5924">
        <v>-4.6705999999999896</v>
      </c>
      <c r="AF5924">
        <v>4.8303059359993004</v>
      </c>
      <c r="AG5924">
        <v>-0.62768219999999997</v>
      </c>
      <c r="AH5924">
        <v>71.126296662269795</v>
      </c>
      <c r="AI5924">
        <v>90.504454321420994</v>
      </c>
      <c r="AJ5924">
        <v>86.114912988546394</v>
      </c>
      <c r="AK5924">
        <v>71.292888265722297</v>
      </c>
      <c r="AL5924">
        <v>78.725306335220694</v>
      </c>
      <c r="AM5924">
        <v>94.005212493082496</v>
      </c>
      <c r="AN5924">
        <v>0.99999995719718504</v>
      </c>
    </row>
    <row r="5925" spans="1:40" x14ac:dyDescent="0.25">
      <c r="A5925" t="str">
        <f>"20190304155219902"</f>
        <v>20190304155219902</v>
      </c>
      <c r="B5925" t="str">
        <f>"1551685939892473"</f>
        <v>1551685939892473</v>
      </c>
      <c r="C5925" t="s">
        <v>40</v>
      </c>
      <c r="D5925">
        <v>4.9247829999999997</v>
      </c>
      <c r="E5925">
        <v>0.55075629999999998</v>
      </c>
      <c r="F5925" t="s">
        <v>100</v>
      </c>
      <c r="G5925">
        <v>-279.68</v>
      </c>
      <c r="H5925">
        <v>0.44069000000000003</v>
      </c>
      <c r="I5925">
        <v>12.2841</v>
      </c>
      <c r="J5925">
        <v>-350.57490000000001</v>
      </c>
      <c r="K5925">
        <v>1.1104540000000001</v>
      </c>
      <c r="L5925">
        <v>16.97287</v>
      </c>
      <c r="M5925">
        <v>0.99990179999999995</v>
      </c>
      <c r="N5925">
        <v>-1.3877489999999999E-2</v>
      </c>
      <c r="O5925">
        <v>1.9747969999999999E-3</v>
      </c>
      <c r="P5925">
        <v>0.9808074</v>
      </c>
      <c r="Q5925">
        <v>0.1816989</v>
      </c>
      <c r="R5925">
        <v>7.0726689999999995E-2</v>
      </c>
      <c r="S5925">
        <v>3.0789179999999998</v>
      </c>
      <c r="T5925">
        <v>-2.8987410000000002E-2</v>
      </c>
      <c r="U5925">
        <v>-0.20291139999999999</v>
      </c>
      <c r="V5925">
        <v>-6.8690749999999995E-2</v>
      </c>
      <c r="W5925">
        <v>0.19532920000000001</v>
      </c>
      <c r="X5925">
        <v>0.97832920000000001</v>
      </c>
      <c r="Y5925">
        <v>6.7723939999999996E-2</v>
      </c>
      <c r="Z5925">
        <v>-7.8012350000000003E-4</v>
      </c>
      <c r="AA5925">
        <v>0.99770380000000003</v>
      </c>
      <c r="AB5925">
        <v>25</v>
      </c>
      <c r="AC5925">
        <v>70.894900000000007</v>
      </c>
      <c r="AD5925">
        <v>-0.66976400000000003</v>
      </c>
      <c r="AE5925">
        <v>-4.6887699999999999</v>
      </c>
      <c r="AF5925">
        <v>4.8283483092639603</v>
      </c>
      <c r="AG5925">
        <v>-0.66976400000000003</v>
      </c>
      <c r="AH5925">
        <v>70.879202977096796</v>
      </c>
      <c r="AI5925">
        <v>90.540141333996601</v>
      </c>
      <c r="AJ5925">
        <v>86.102985938397893</v>
      </c>
      <c r="AK5925">
        <v>71.046625154751396</v>
      </c>
      <c r="AL5925">
        <v>78.736044475622705</v>
      </c>
      <c r="AM5925">
        <v>94.016277734155807</v>
      </c>
      <c r="AN5925">
        <v>0.99999996954042003</v>
      </c>
    </row>
    <row r="5926" spans="1:40" x14ac:dyDescent="0.25">
      <c r="A5926" t="str">
        <f>"20190304155219915"</f>
        <v>20190304155219915</v>
      </c>
      <c r="B5926" t="str">
        <f>"1551685939912971"</f>
        <v>1551685939912971</v>
      </c>
      <c r="C5926" t="s">
        <v>40</v>
      </c>
      <c r="D5926">
        <v>4.9514570000000004</v>
      </c>
      <c r="E5926">
        <v>0.55092779999999997</v>
      </c>
      <c r="F5926" t="s">
        <v>100</v>
      </c>
      <c r="G5926">
        <v>-279.68</v>
      </c>
      <c r="H5926">
        <v>0.41272880000000001</v>
      </c>
      <c r="I5926">
        <v>12.274800000000001</v>
      </c>
      <c r="J5926">
        <v>-350.42790000000002</v>
      </c>
      <c r="K5926">
        <v>1.1104459999999901</v>
      </c>
      <c r="L5926">
        <v>16.972989999999999</v>
      </c>
      <c r="M5926">
        <v>0.99990219999999996</v>
      </c>
      <c r="N5926">
        <v>-1.387597E-2</v>
      </c>
      <c r="O5926">
        <v>1.8042240000000001E-3</v>
      </c>
      <c r="P5926">
        <v>0.98083710000000002</v>
      </c>
      <c r="Q5926">
        <v>0.18158850000000001</v>
      </c>
      <c r="R5926">
        <v>7.0601220000000006E-2</v>
      </c>
      <c r="S5926">
        <v>3.0790099999999998</v>
      </c>
      <c r="T5926">
        <v>-3.0303119999999999E-2</v>
      </c>
      <c r="U5926">
        <v>-0.20404050000000001</v>
      </c>
      <c r="V5926">
        <v>-6.8729150000000003E-2</v>
      </c>
      <c r="W5926">
        <v>0.1952189</v>
      </c>
      <c r="X5926">
        <v>0.97834860000000001</v>
      </c>
      <c r="Y5926">
        <v>6.7915610000000001E-2</v>
      </c>
      <c r="Z5926">
        <v>-7.9832519999999997E-4</v>
      </c>
      <c r="AA5926">
        <v>0.99769070000000004</v>
      </c>
      <c r="AB5926">
        <v>25</v>
      </c>
      <c r="AC5926">
        <v>70.747900000000001</v>
      </c>
      <c r="AD5926">
        <v>-0.69771719999999904</v>
      </c>
      <c r="AE5926">
        <v>-4.6981899999999897</v>
      </c>
      <c r="AF5926">
        <v>4.8253724354666403</v>
      </c>
      <c r="AG5926">
        <v>-0.69771719999999904</v>
      </c>
      <c r="AH5926">
        <v>70.732458230725101</v>
      </c>
      <c r="AI5926">
        <v>90.563846691017105</v>
      </c>
      <c r="AJ5926">
        <v>86.097325395108001</v>
      </c>
      <c r="AK5926">
        <v>70.9002939048451</v>
      </c>
      <c r="AL5926">
        <v>78.742489158029301</v>
      </c>
      <c r="AM5926">
        <v>94.018436165700393</v>
      </c>
      <c r="AN5926">
        <v>1.0000000490494401</v>
      </c>
    </row>
    <row r="5927" spans="1:40" x14ac:dyDescent="0.25">
      <c r="A5927" t="str">
        <f>"20190304155219937"</f>
        <v>20190304155219937</v>
      </c>
      <c r="B5927" t="str">
        <f>"1551685939932490"</f>
        <v>1551685939932490</v>
      </c>
      <c r="C5927" t="s">
        <v>40</v>
      </c>
      <c r="D5927">
        <v>4.9671500000000002</v>
      </c>
      <c r="E5927">
        <v>0.55105530000000003</v>
      </c>
      <c r="F5927" t="s">
        <v>100</v>
      </c>
      <c r="G5927">
        <v>-279.68</v>
      </c>
      <c r="H5927">
        <v>0.39282060000000002</v>
      </c>
      <c r="I5927">
        <v>12.249879999999999</v>
      </c>
      <c r="J5927">
        <v>-350.18599999999998</v>
      </c>
      <c r="K5927">
        <v>1.11043799999999</v>
      </c>
      <c r="L5927">
        <v>16.973109999999998</v>
      </c>
      <c r="M5927">
        <v>0.99990270000000003</v>
      </c>
      <c r="N5927">
        <v>-1.3873430000000001E-2</v>
      </c>
      <c r="O5927">
        <v>1.517441E-3</v>
      </c>
      <c r="P5927">
        <v>0.98093090000000005</v>
      </c>
      <c r="Q5927">
        <v>0.18108070000000001</v>
      </c>
      <c r="R5927">
        <v>7.0602070000000003E-2</v>
      </c>
      <c r="S5927">
        <v>3.0791930000000001</v>
      </c>
      <c r="T5927">
        <v>-3.1234029999999999E-2</v>
      </c>
      <c r="U5927">
        <v>-0.20556640000000001</v>
      </c>
      <c r="V5927">
        <v>-6.9008219999999995E-2</v>
      </c>
      <c r="W5927">
        <v>0.19471089999999999</v>
      </c>
      <c r="X5927">
        <v>0.97843020000000003</v>
      </c>
      <c r="Y5927">
        <v>6.8117399999999995E-2</v>
      </c>
      <c r="Z5927">
        <v>-8.1251719999999997E-4</v>
      </c>
      <c r="AA5927">
        <v>0.99767700000000004</v>
      </c>
      <c r="AB5927">
        <v>25</v>
      </c>
      <c r="AC5927">
        <v>70.505999999999901</v>
      </c>
      <c r="AD5927">
        <v>-0.71761739999999896</v>
      </c>
      <c r="AE5927">
        <v>-4.72323</v>
      </c>
      <c r="AF5927">
        <v>4.8297254496706703</v>
      </c>
      <c r="AG5927">
        <v>-0.71761739999999896</v>
      </c>
      <c r="AH5927">
        <v>70.491481042433506</v>
      </c>
      <c r="AI5927">
        <v>90.581898254473401</v>
      </c>
      <c r="AJ5927">
        <v>86.080503794272204</v>
      </c>
      <c r="AK5927">
        <v>70.6603858056814</v>
      </c>
      <c r="AL5927">
        <v>78.772165038111197</v>
      </c>
      <c r="AM5927">
        <v>94.034363593215502</v>
      </c>
      <c r="AN5927">
        <v>1.0000000626392</v>
      </c>
    </row>
    <row r="5928" spans="1:40" x14ac:dyDescent="0.25">
      <c r="A5928" t="str">
        <f>"20190304155219956"</f>
        <v>20190304155219956</v>
      </c>
      <c r="B5928" t="str">
        <f>"1551685939952986"</f>
        <v>1551685939952986</v>
      </c>
      <c r="C5928" t="s">
        <v>40</v>
      </c>
      <c r="D5928">
        <v>4.9566759999999999</v>
      </c>
      <c r="E5928">
        <v>0.55123429999999995</v>
      </c>
      <c r="F5928" t="s">
        <v>100</v>
      </c>
      <c r="G5928">
        <v>-279.68</v>
      </c>
      <c r="H5928">
        <v>0.34618189999999999</v>
      </c>
      <c r="I5928">
        <v>12.25027</v>
      </c>
      <c r="J5928">
        <v>-349.96420000000001</v>
      </c>
      <c r="K5928">
        <v>1.11043799999999</v>
      </c>
      <c r="L5928">
        <v>16.973140000000001</v>
      </c>
      <c r="M5928">
        <v>0.99990310000000004</v>
      </c>
      <c r="N5928">
        <v>-1.3871110000000001E-2</v>
      </c>
      <c r="O5928">
        <v>1.2519619999999999E-3</v>
      </c>
      <c r="P5928">
        <v>0.98090840000000001</v>
      </c>
      <c r="Q5928">
        <v>0.18110180000000001</v>
      </c>
      <c r="R5928">
        <v>7.0861779999999999E-2</v>
      </c>
      <c r="S5928">
        <v>3.0793149999999998</v>
      </c>
      <c r="T5928">
        <v>-3.3378959999999999E-2</v>
      </c>
      <c r="U5928">
        <v>-0.20626829999999999</v>
      </c>
      <c r="V5928">
        <v>-6.9527690000000003E-2</v>
      </c>
      <c r="W5928">
        <v>0.19473009999999999</v>
      </c>
      <c r="X5928">
        <v>0.97838959999999997</v>
      </c>
      <c r="Y5928">
        <v>6.8075469999999999E-2</v>
      </c>
      <c r="Z5928">
        <v>-8.3746799999999996E-4</v>
      </c>
      <c r="AA5928">
        <v>0.99767980000000001</v>
      </c>
      <c r="AB5928">
        <v>25</v>
      </c>
      <c r="AC5928">
        <v>70.284199999999998</v>
      </c>
      <c r="AD5928">
        <v>-0.76425609999999899</v>
      </c>
      <c r="AE5928">
        <v>-4.7228699999999897</v>
      </c>
      <c r="AF5928">
        <v>4.8103016931590803</v>
      </c>
      <c r="AG5928">
        <v>-0.76425609999999899</v>
      </c>
      <c r="AH5928">
        <v>70.269960151886707</v>
      </c>
      <c r="AI5928">
        <v>90.621669575771406</v>
      </c>
      <c r="AJ5928">
        <v>86.083949880064694</v>
      </c>
      <c r="AK5928">
        <v>70.4385575485</v>
      </c>
      <c r="AL5928">
        <v>78.771043466593198</v>
      </c>
      <c r="AM5928">
        <v>94.064799578579994</v>
      </c>
      <c r="AN5928">
        <v>1.00000006045545</v>
      </c>
    </row>
    <row r="5929" spans="1:40" x14ac:dyDescent="0.25">
      <c r="A5929" t="str">
        <f>"20190304155219968"</f>
        <v>20190304155219968</v>
      </c>
      <c r="B5929" t="str">
        <f>"1551685939962747"</f>
        <v>1551685939962747</v>
      </c>
      <c r="C5929" t="s">
        <v>40</v>
      </c>
      <c r="D5929">
        <v>4.9375900000000001</v>
      </c>
      <c r="E5929">
        <v>0.55131189999999997</v>
      </c>
      <c r="F5929" t="s">
        <v>100</v>
      </c>
      <c r="G5929">
        <v>-279.68</v>
      </c>
      <c r="H5929">
        <v>0.34092070000000002</v>
      </c>
      <c r="I5929">
        <v>12.24877</v>
      </c>
      <c r="J5929">
        <v>-349.83249999999998</v>
      </c>
      <c r="K5929">
        <v>1.1104400000000001</v>
      </c>
      <c r="L5929">
        <v>16.973140000000001</v>
      </c>
      <c r="M5929">
        <v>0.99990330000000005</v>
      </c>
      <c r="N5929">
        <v>-1.386973E-2</v>
      </c>
      <c r="O5929">
        <v>1.094268E-3</v>
      </c>
      <c r="P5929">
        <v>0.98092310000000005</v>
      </c>
      <c r="Q5929">
        <v>0.1809829</v>
      </c>
      <c r="R5929">
        <v>7.0961280000000002E-2</v>
      </c>
      <c r="S5929">
        <v>3.079529</v>
      </c>
      <c r="T5929">
        <v>-3.3717160000000003E-2</v>
      </c>
      <c r="U5929">
        <v>-0.20700070000000001</v>
      </c>
      <c r="V5929">
        <v>-6.9781780000000002E-2</v>
      </c>
      <c r="W5929">
        <v>0.1946099</v>
      </c>
      <c r="X5929">
        <v>0.97839529999999997</v>
      </c>
      <c r="Y5929">
        <v>6.8149600000000005E-2</v>
      </c>
      <c r="Z5929">
        <v>-8.4264850000000005E-4</v>
      </c>
      <c r="AA5929">
        <v>0.99767479999999997</v>
      </c>
      <c r="AB5929">
        <v>25</v>
      </c>
      <c r="AC5929">
        <v>70.152499999999904</v>
      </c>
      <c r="AD5929">
        <v>-0.76951929999999902</v>
      </c>
      <c r="AE5929">
        <v>-4.7243699999999897</v>
      </c>
      <c r="AF5929">
        <v>4.8005651687909401</v>
      </c>
      <c r="AG5929">
        <v>-0.76951929999999902</v>
      </c>
      <c r="AH5929">
        <v>70.138886468601001</v>
      </c>
      <c r="AI5929">
        <v>90.627120617717495</v>
      </c>
      <c r="AJ5929">
        <v>86.084571015610805</v>
      </c>
      <c r="AK5929">
        <v>70.307190108467395</v>
      </c>
      <c r="AL5929">
        <v>78.778063335631202</v>
      </c>
      <c r="AM5929">
        <v>94.079580697669201</v>
      </c>
      <c r="AN5929">
        <v>0.99999993653003205</v>
      </c>
    </row>
    <row r="5930" spans="1:40" x14ac:dyDescent="0.25">
      <c r="A5930" t="str">
        <f>"20190304155219980"</f>
        <v>20190304155219980</v>
      </c>
      <c r="B5930" t="str">
        <f>"1551685939972506"</f>
        <v>1551685939972506</v>
      </c>
      <c r="C5930" t="s">
        <v>40</v>
      </c>
      <c r="D5930">
        <v>5.0003260000000003</v>
      </c>
      <c r="E5930">
        <v>0.55141379999999995</v>
      </c>
      <c r="F5930" t="s">
        <v>100</v>
      </c>
      <c r="G5930">
        <v>-279.68</v>
      </c>
      <c r="H5930">
        <v>0.33197059999999901</v>
      </c>
      <c r="I5930">
        <v>12.250159999999999</v>
      </c>
      <c r="J5930">
        <v>-349.69600000000003</v>
      </c>
      <c r="K5930">
        <v>1.1104419999999999</v>
      </c>
      <c r="L5930">
        <v>16.973109999999998</v>
      </c>
      <c r="M5930">
        <v>0.9999036</v>
      </c>
      <c r="N5930">
        <v>-1.386829E-2</v>
      </c>
      <c r="O5930">
        <v>9.3254169999999997E-4</v>
      </c>
      <c r="P5930">
        <v>0.98094300000000001</v>
      </c>
      <c r="Q5930">
        <v>0.1809376</v>
      </c>
      <c r="R5930">
        <v>7.0799310000000004E-2</v>
      </c>
      <c r="S5930">
        <v>3.0796510000000001</v>
      </c>
      <c r="T5930">
        <v>-3.4174799999999998E-2</v>
      </c>
      <c r="U5930">
        <v>-0.2073364</v>
      </c>
      <c r="V5930">
        <v>-6.9779179999999996E-2</v>
      </c>
      <c r="W5930">
        <v>0.19456270000000001</v>
      </c>
      <c r="X5930">
        <v>0.97840490000000002</v>
      </c>
      <c r="Y5930">
        <v>6.809366E-2</v>
      </c>
      <c r="Z5930">
        <v>-8.4755639999999999E-4</v>
      </c>
      <c r="AA5930">
        <v>0.99767859999999997</v>
      </c>
      <c r="AB5930">
        <v>25</v>
      </c>
      <c r="AC5930">
        <v>70.015999999999906</v>
      </c>
      <c r="AD5930">
        <v>-0.77847139999999904</v>
      </c>
      <c r="AE5930">
        <v>-4.72295</v>
      </c>
      <c r="AF5930">
        <v>4.7876578799701397</v>
      </c>
      <c r="AG5930">
        <v>-0.77847139999999904</v>
      </c>
      <c r="AH5930">
        <v>70.002950173400905</v>
      </c>
      <c r="AI5930">
        <v>90.635649625281204</v>
      </c>
      <c r="AJ5930">
        <v>86.0875064957917</v>
      </c>
      <c r="AK5930">
        <v>70.170796765291897</v>
      </c>
      <c r="AL5930">
        <v>78.780820700593395</v>
      </c>
      <c r="AM5930">
        <v>94.079389317951396</v>
      </c>
      <c r="AN5930">
        <v>0.99999996326838503</v>
      </c>
    </row>
    <row r="5931" spans="1:40" x14ac:dyDescent="0.25">
      <c r="A5931" t="str">
        <f>"20190304155219992"</f>
        <v>20190304155219992</v>
      </c>
      <c r="B5931" t="str">
        <f>"1551685939983242"</f>
        <v>1551685939983242</v>
      </c>
      <c r="C5931" t="s">
        <v>40</v>
      </c>
      <c r="D5931">
        <v>4.9528210000000001</v>
      </c>
      <c r="E5931">
        <v>0.5514869</v>
      </c>
      <c r="F5931" t="s">
        <v>100</v>
      </c>
      <c r="G5931">
        <v>-279.68</v>
      </c>
      <c r="H5931">
        <v>0.3286113</v>
      </c>
      <c r="I5931">
        <v>12.22329</v>
      </c>
      <c r="J5931">
        <v>-349.5643</v>
      </c>
      <c r="K5931">
        <v>1.1104449999999999</v>
      </c>
      <c r="L5931">
        <v>16.97308</v>
      </c>
      <c r="M5931">
        <v>0.9999036</v>
      </c>
      <c r="N5931">
        <v>-1.386691E-2</v>
      </c>
      <c r="O5931">
        <v>7.7773100000000004E-4</v>
      </c>
      <c r="P5931">
        <v>0.98094539999999997</v>
      </c>
      <c r="Q5931">
        <v>0.18096329999999999</v>
      </c>
      <c r="R5931">
        <v>7.0700589999999994E-2</v>
      </c>
      <c r="S5931">
        <v>3.0796809999999999</v>
      </c>
      <c r="T5931">
        <v>-3.4389620000000003E-2</v>
      </c>
      <c r="U5931">
        <v>-0.20892330000000001</v>
      </c>
      <c r="V5931">
        <v>-6.9833430000000002E-2</v>
      </c>
      <c r="W5931">
        <v>0.1945865</v>
      </c>
      <c r="X5931">
        <v>0.97839640000000005</v>
      </c>
      <c r="Y5931">
        <v>6.8450150000000001E-2</v>
      </c>
      <c r="Z5931">
        <v>-8.5482609999999997E-4</v>
      </c>
      <c r="AA5931">
        <v>0.99765420000000005</v>
      </c>
      <c r="AB5931">
        <v>25</v>
      </c>
      <c r="AC5931">
        <v>69.884299999999996</v>
      </c>
      <c r="AD5931">
        <v>-0.78183369999999996</v>
      </c>
      <c r="AE5931">
        <v>-4.74979</v>
      </c>
      <c r="AF5931">
        <v>4.8035465203996601</v>
      </c>
      <c r="AG5931">
        <v>-0.78183369999999996</v>
      </c>
      <c r="AH5931">
        <v>69.871879414523406</v>
      </c>
      <c r="AI5931">
        <v>90.639576759324797</v>
      </c>
      <c r="AJ5931">
        <v>86.067222224711301</v>
      </c>
      <c r="AK5931">
        <v>70.041165438803205</v>
      </c>
      <c r="AL5931">
        <v>78.779431644158507</v>
      </c>
      <c r="AM5931">
        <v>94.082585477674897</v>
      </c>
      <c r="AN5931">
        <v>1.0000000647303799</v>
      </c>
    </row>
    <row r="5932" spans="1:40" x14ac:dyDescent="0.25">
      <c r="A5932" t="str">
        <f>"20190304155220004"</f>
        <v>20190304155220004</v>
      </c>
      <c r="B5932" t="str">
        <f>"1551685939993002"</f>
        <v>1551685939993002</v>
      </c>
      <c r="C5932" t="s">
        <v>40</v>
      </c>
      <c r="D5932">
        <v>4.9180460000000004</v>
      </c>
      <c r="E5932">
        <v>0.55154380000000003</v>
      </c>
      <c r="F5932" t="s">
        <v>100</v>
      </c>
      <c r="G5932">
        <v>-279.68</v>
      </c>
      <c r="H5932">
        <v>0.33294580000000001</v>
      </c>
      <c r="I5932">
        <v>12.205970000000001</v>
      </c>
      <c r="J5932">
        <v>-349.4196</v>
      </c>
      <c r="K5932">
        <v>1.110447</v>
      </c>
      <c r="L5932">
        <v>16.973020000000002</v>
      </c>
      <c r="M5932">
        <v>0.99990389999999996</v>
      </c>
      <c r="N5932">
        <v>-1.386542E-2</v>
      </c>
      <c r="O5932">
        <v>6.0910070000000003E-4</v>
      </c>
      <c r="P5932">
        <v>0.98088730000000002</v>
      </c>
      <c r="Q5932">
        <v>0.18116660000000001</v>
      </c>
      <c r="R5932">
        <v>7.0986010000000002E-2</v>
      </c>
      <c r="S5932">
        <v>3.079742</v>
      </c>
      <c r="T5932">
        <v>-3.4264210000000003E-2</v>
      </c>
      <c r="U5932">
        <v>-0.21008299999999999</v>
      </c>
      <c r="V5932">
        <v>-7.0284959999999994E-2</v>
      </c>
      <c r="W5932">
        <v>0.19478809999999999</v>
      </c>
      <c r="X5932">
        <v>0.97832390000000002</v>
      </c>
      <c r="Y5932">
        <v>6.8654530000000005E-2</v>
      </c>
      <c r="Z5932">
        <v>-8.5636139999999996E-4</v>
      </c>
      <c r="AA5932">
        <v>0.99764010000000003</v>
      </c>
      <c r="AB5932">
        <v>25</v>
      </c>
      <c r="AC5932">
        <v>69.739599999999996</v>
      </c>
      <c r="AD5932">
        <v>-0.777501199999999</v>
      </c>
      <c r="AE5932">
        <v>-4.7670500000000002</v>
      </c>
      <c r="AF5932">
        <v>4.8089366967301004</v>
      </c>
      <c r="AG5932">
        <v>-0.777501199999999</v>
      </c>
      <c r="AH5932">
        <v>69.7280568336637</v>
      </c>
      <c r="AI5932">
        <v>90.637335079944194</v>
      </c>
      <c r="AJ5932">
        <v>86.054727744367895</v>
      </c>
      <c r="AK5932">
        <v>69.898013491570694</v>
      </c>
      <c r="AL5932">
        <v>78.767654933325403</v>
      </c>
      <c r="AM5932">
        <v>94.109196046843394</v>
      </c>
      <c r="AN5932">
        <v>1.00000001640751</v>
      </c>
    </row>
    <row r="5933" spans="1:40" x14ac:dyDescent="0.25">
      <c r="A5933" t="str">
        <f>"20190304155220018"</f>
        <v>20190304155220018</v>
      </c>
      <c r="B5933" t="str">
        <f>"1551685940012522"</f>
        <v>1551685940012522</v>
      </c>
      <c r="C5933" t="s">
        <v>40</v>
      </c>
      <c r="D5933">
        <v>4.9656190000000002</v>
      </c>
      <c r="E5933">
        <v>0.55172949999999998</v>
      </c>
      <c r="F5933" t="s">
        <v>100</v>
      </c>
      <c r="G5933">
        <v>-279.68</v>
      </c>
      <c r="H5933">
        <v>0.35021540000000001</v>
      </c>
      <c r="I5933">
        <v>12.221500000000001</v>
      </c>
      <c r="J5933">
        <v>-349.28300000000002</v>
      </c>
      <c r="K5933">
        <v>1.1104480000000001</v>
      </c>
      <c r="L5933">
        <v>16.972929999999899</v>
      </c>
      <c r="M5933">
        <v>0.99990389999999996</v>
      </c>
      <c r="N5933">
        <v>-1.386398E-2</v>
      </c>
      <c r="O5933">
        <v>4.5239E-4</v>
      </c>
      <c r="P5933">
        <v>0.98086819999999997</v>
      </c>
      <c r="Q5933">
        <v>0.1814345</v>
      </c>
      <c r="R5933">
        <v>7.0565810000000007E-2</v>
      </c>
      <c r="S5933">
        <v>3.0798649999999999</v>
      </c>
      <c r="T5933">
        <v>-3.3574100000000003E-2</v>
      </c>
      <c r="U5933">
        <v>-0.20983889999999999</v>
      </c>
      <c r="V5933">
        <v>-7.0019010000000007E-2</v>
      </c>
      <c r="W5933">
        <v>0.19505330000000001</v>
      </c>
      <c r="X5933">
        <v>0.97829010000000005</v>
      </c>
      <c r="Y5933">
        <v>6.8417080000000005E-2</v>
      </c>
      <c r="Z5933">
        <v>-8.4600129999999997E-4</v>
      </c>
      <c r="AA5933">
        <v>0.99765649999999995</v>
      </c>
      <c r="AB5933">
        <v>25</v>
      </c>
      <c r="AC5933">
        <v>69.602999999999994</v>
      </c>
      <c r="AD5933">
        <v>-0.76023259999999904</v>
      </c>
      <c r="AE5933">
        <v>-4.7514299999999903</v>
      </c>
      <c r="AF5933">
        <v>4.7823523540956696</v>
      </c>
      <c r="AG5933">
        <v>-0.76023259999999904</v>
      </c>
      <c r="AH5933">
        <v>69.592579350458806</v>
      </c>
      <c r="AI5933">
        <v>90.624404414900098</v>
      </c>
      <c r="AJ5933">
        <v>86.068855243431599</v>
      </c>
      <c r="AK5933">
        <v>69.760848248102107</v>
      </c>
      <c r="AL5933">
        <v>78.752162590853402</v>
      </c>
      <c r="AM5933">
        <v>94.093841252591503</v>
      </c>
      <c r="AN5933">
        <v>0.99999998568014004</v>
      </c>
    </row>
    <row r="5934" spans="1:40" x14ac:dyDescent="0.25">
      <c r="A5934" t="str">
        <f>"20190304155220035"</f>
        <v>20190304155220035</v>
      </c>
      <c r="B5934" t="str">
        <f>"1551685940033018"</f>
        <v>1551685940033018</v>
      </c>
      <c r="C5934" t="s">
        <v>40</v>
      </c>
      <c r="D5934">
        <v>4.9164810000000001</v>
      </c>
      <c r="E5934">
        <v>0.55185240000000002</v>
      </c>
      <c r="F5934" t="s">
        <v>100</v>
      </c>
      <c r="G5934">
        <v>-279.68</v>
      </c>
      <c r="H5934">
        <v>0.36791010000000002</v>
      </c>
      <c r="I5934">
        <v>12.165190000000001</v>
      </c>
      <c r="J5934">
        <v>-349.08170000000001</v>
      </c>
      <c r="K5934">
        <v>1.1104459999999901</v>
      </c>
      <c r="L5934">
        <v>16.972750000000001</v>
      </c>
      <c r="M5934">
        <v>0.99990389999999996</v>
      </c>
      <c r="N5934">
        <v>-1.386187E-2</v>
      </c>
      <c r="O5934">
        <v>2.2376110000000001E-4</v>
      </c>
      <c r="P5934">
        <v>0.98074839999999996</v>
      </c>
      <c r="Q5934">
        <v>0.1819817</v>
      </c>
      <c r="R5934">
        <v>7.0820309999999997E-2</v>
      </c>
      <c r="S5934">
        <v>3.0798649999999999</v>
      </c>
      <c r="T5934">
        <v>-3.285706E-2</v>
      </c>
      <c r="U5934">
        <v>-0.21273800000000001</v>
      </c>
      <c r="V5934">
        <v>-7.0499190000000003E-2</v>
      </c>
      <c r="W5934">
        <v>0.1955962</v>
      </c>
      <c r="X5934">
        <v>0.97814719999999999</v>
      </c>
      <c r="Y5934">
        <v>6.9123859999999995E-2</v>
      </c>
      <c r="Z5934">
        <v>-8.4727289999999905E-4</v>
      </c>
      <c r="AA5934">
        <v>0.99760769999999999</v>
      </c>
      <c r="AB5934">
        <v>25</v>
      </c>
      <c r="AC5934">
        <v>69.401700000000005</v>
      </c>
      <c r="AD5934">
        <v>-0.74253589999999903</v>
      </c>
      <c r="AE5934">
        <v>-4.8075599999999996</v>
      </c>
      <c r="AF5934">
        <v>4.8225413686843099</v>
      </c>
      <c r="AG5934">
        <v>-0.74253589999999903</v>
      </c>
      <c r="AH5934">
        <v>69.392716909458102</v>
      </c>
      <c r="AI5934">
        <v>90.611594343690896</v>
      </c>
      <c r="AJ5934">
        <v>86.024543694364795</v>
      </c>
      <c r="AK5934">
        <v>69.564052677310599</v>
      </c>
      <c r="AL5934">
        <v>78.720445703601797</v>
      </c>
      <c r="AM5934">
        <v>94.122419865102998</v>
      </c>
      <c r="AN5934">
        <v>0.99999997705646704</v>
      </c>
    </row>
    <row r="5935" spans="1:40" x14ac:dyDescent="0.25">
      <c r="A5935" t="str">
        <f>"20190304155220047"</f>
        <v>20190304155220047</v>
      </c>
      <c r="B5935" t="str">
        <f>"1551685940042778"</f>
        <v>1551685940042778</v>
      </c>
      <c r="C5935" t="s">
        <v>40</v>
      </c>
      <c r="D5935">
        <v>5.0311149999999998</v>
      </c>
      <c r="E5935">
        <v>0.55191080000000003</v>
      </c>
      <c r="F5935" t="s">
        <v>100</v>
      </c>
      <c r="G5935">
        <v>-279.68</v>
      </c>
      <c r="H5935">
        <v>0.41560809999999998</v>
      </c>
      <c r="I5935">
        <v>12.164619999999999</v>
      </c>
      <c r="J5935">
        <v>-348.95069999999998</v>
      </c>
      <c r="K5935">
        <v>1.1104510000000001</v>
      </c>
      <c r="L5935">
        <v>16.972629999999999</v>
      </c>
      <c r="M5935">
        <v>0.99990389999999996</v>
      </c>
      <c r="N5935">
        <v>-1.38605E-2</v>
      </c>
      <c r="O5935" s="1">
        <v>7.6109499999999994E-5</v>
      </c>
      <c r="P5935">
        <v>0.98075690000000004</v>
      </c>
      <c r="Q5935">
        <v>0.1819809</v>
      </c>
      <c r="R5935">
        <v>7.0702749999999995E-2</v>
      </c>
      <c r="S5935">
        <v>3.0799560000000001</v>
      </c>
      <c r="T5935">
        <v>-3.083646E-2</v>
      </c>
      <c r="U5935">
        <v>-0.21337890000000001</v>
      </c>
      <c r="V5935">
        <v>-7.0527199999999998E-2</v>
      </c>
      <c r="W5935">
        <v>0.19559389999999999</v>
      </c>
      <c r="X5935">
        <v>0.97814570000000001</v>
      </c>
      <c r="Y5935">
        <v>6.9181880000000001E-2</v>
      </c>
      <c r="Z5935">
        <v>-8.2568140000000001E-4</v>
      </c>
      <c r="AA5935">
        <v>0.99760369999999998</v>
      </c>
      <c r="AB5935">
        <v>25</v>
      </c>
      <c r="AC5935">
        <v>69.270699999999906</v>
      </c>
      <c r="AD5935">
        <v>-0.69484290000000004</v>
      </c>
      <c r="AE5935">
        <v>-4.8080100000000003</v>
      </c>
      <c r="AF5935">
        <v>4.81280072024005</v>
      </c>
      <c r="AG5935">
        <v>-0.69484290000000004</v>
      </c>
      <c r="AH5935">
        <v>69.263398123283594</v>
      </c>
      <c r="AI5935">
        <v>90.573383312457807</v>
      </c>
      <c r="AJ5935">
        <v>86.025163975785205</v>
      </c>
      <c r="AK5935">
        <v>69.433883493672596</v>
      </c>
      <c r="AL5935">
        <v>78.720580742034201</v>
      </c>
      <c r="AM5935">
        <v>94.124058394155995</v>
      </c>
      <c r="AN5935">
        <v>1.00000003504276</v>
      </c>
    </row>
    <row r="5936" spans="1:40" x14ac:dyDescent="0.25">
      <c r="A5936" t="str">
        <f>"20190304155220069"</f>
        <v>20190304155220069</v>
      </c>
      <c r="B5936" t="str">
        <f>"1551685940062918"</f>
        <v>1551685940062918</v>
      </c>
      <c r="C5936" t="s">
        <v>40</v>
      </c>
      <c r="D5936">
        <v>4.889068</v>
      </c>
      <c r="E5936">
        <v>0.55205990000000005</v>
      </c>
      <c r="F5936" t="s">
        <v>100</v>
      </c>
      <c r="G5936">
        <v>-279.68</v>
      </c>
      <c r="H5936">
        <v>0.42168499999999998</v>
      </c>
      <c r="I5936">
        <v>12.1496</v>
      </c>
      <c r="J5936">
        <v>-348.71050000000002</v>
      </c>
      <c r="K5936">
        <v>1.110457</v>
      </c>
      <c r="L5936">
        <v>16.97232</v>
      </c>
      <c r="M5936">
        <v>0.99990400000000002</v>
      </c>
      <c r="N5936">
        <v>-1.3857990000000001E-2</v>
      </c>
      <c r="O5936">
        <v>-1.9202539999999999E-4</v>
      </c>
      <c r="P5936">
        <v>0.98065950000000002</v>
      </c>
      <c r="Q5936">
        <v>0.18253369999999999</v>
      </c>
      <c r="R5936">
        <v>7.0628330000000003E-2</v>
      </c>
      <c r="S5936">
        <v>3.079987</v>
      </c>
      <c r="T5936">
        <v>-3.0625099999999999E-2</v>
      </c>
      <c r="U5936">
        <v>-0.214447</v>
      </c>
      <c r="V5936">
        <v>-7.0716600000000004E-2</v>
      </c>
      <c r="W5936">
        <v>0.19614190000000001</v>
      </c>
      <c r="X5936">
        <v>0.97802219999999995</v>
      </c>
      <c r="Y5936">
        <v>6.9258040000000007E-2</v>
      </c>
      <c r="Z5936">
        <v>-8.2517179999999895E-4</v>
      </c>
      <c r="AA5936">
        <v>0.9975984</v>
      </c>
      <c r="AB5936">
        <v>25</v>
      </c>
      <c r="AC5936">
        <v>69.030500000000004</v>
      </c>
      <c r="AD5936">
        <v>-0.68877199999999905</v>
      </c>
      <c r="AE5936">
        <v>-4.8227199999999897</v>
      </c>
      <c r="AF5936">
        <v>4.80898658962984</v>
      </c>
      <c r="AG5936">
        <v>-0.68877199999999905</v>
      </c>
      <c r="AH5936">
        <v>69.024586443360704</v>
      </c>
      <c r="AI5936">
        <v>90.570332967600393</v>
      </c>
      <c r="AJ5936">
        <v>86.014606843236194</v>
      </c>
      <c r="AK5936">
        <v>69.195334326558495</v>
      </c>
      <c r="AL5936">
        <v>78.688561531478896</v>
      </c>
      <c r="AM5936">
        <v>94.135615488575496</v>
      </c>
      <c r="AN5936">
        <v>0.99999995307200296</v>
      </c>
    </row>
    <row r="5937" spans="1:40" x14ac:dyDescent="0.25">
      <c r="A5937" t="str">
        <f>"20190304155220081"</f>
        <v>20190304155220081</v>
      </c>
      <c r="B5937" t="str">
        <f>"1551685940072678"</f>
        <v>1551685940072678</v>
      </c>
      <c r="C5937" t="s">
        <v>40</v>
      </c>
      <c r="D5937">
        <v>4.9512549999999997</v>
      </c>
      <c r="E5937">
        <v>0.55215190000000003</v>
      </c>
      <c r="F5937" t="s">
        <v>42</v>
      </c>
      <c r="G5937">
        <v>-223.83779999999999</v>
      </c>
      <c r="H5937">
        <v>-0.05</v>
      </c>
      <c r="I5937">
        <v>8.2051090000000002</v>
      </c>
      <c r="J5937">
        <v>-348.57220000000001</v>
      </c>
      <c r="K5937">
        <v>1.1104609999999999</v>
      </c>
      <c r="L5937">
        <v>16.97214</v>
      </c>
      <c r="M5937">
        <v>0.99990400000000002</v>
      </c>
      <c r="N5937">
        <v>-1.385663E-2</v>
      </c>
      <c r="O5937">
        <v>-3.4575879999999999E-4</v>
      </c>
      <c r="P5937">
        <v>0.98064289999999998</v>
      </c>
      <c r="Q5937">
        <v>0.18270929999999999</v>
      </c>
      <c r="R5937">
        <v>7.0405540000000003E-2</v>
      </c>
      <c r="S5937">
        <v>3.0800480000000001</v>
      </c>
      <c r="T5937">
        <v>-2.8623220000000001E-2</v>
      </c>
      <c r="U5937">
        <v>-0.21624760000000001</v>
      </c>
      <c r="V5937">
        <v>-7.0645540000000007E-2</v>
      </c>
      <c r="W5937">
        <v>0.19631589999999999</v>
      </c>
      <c r="X5937">
        <v>0.97799250000000004</v>
      </c>
      <c r="Y5937">
        <v>6.9684339999999997E-2</v>
      </c>
      <c r="Z5937">
        <v>-8.0840079999999997E-4</v>
      </c>
      <c r="AA5937">
        <v>0.99756880000000003</v>
      </c>
      <c r="AB5937">
        <v>25</v>
      </c>
      <c r="AC5937">
        <v>124.73439999999999</v>
      </c>
      <c r="AD5937">
        <v>-1.160461</v>
      </c>
      <c r="AE5937">
        <v>-8.7670309999999994</v>
      </c>
      <c r="AF5937">
        <v>8.7231470069996604</v>
      </c>
      <c r="AG5937">
        <v>-1.160461</v>
      </c>
      <c r="AH5937">
        <v>124.726681550762</v>
      </c>
      <c r="AI5937">
        <v>90.531767502158601</v>
      </c>
      <c r="AJ5937">
        <v>85.999356444452502</v>
      </c>
      <c r="AK5937">
        <v>125.036734818627</v>
      </c>
      <c r="AL5937">
        <v>78.678395250713805</v>
      </c>
      <c r="AM5937">
        <v>94.131599219391802</v>
      </c>
      <c r="AN5937">
        <v>1.0000000274854699</v>
      </c>
    </row>
    <row r="5938" spans="1:40" x14ac:dyDescent="0.25">
      <c r="A5938" t="str">
        <f>"20190304155220094"</f>
        <v>20190304155220094</v>
      </c>
      <c r="B5938" t="str">
        <f>"1551685940083414"</f>
        <v>1551685940083414</v>
      </c>
      <c r="C5938" t="s">
        <v>40</v>
      </c>
      <c r="D5938">
        <v>5.0685010000000004</v>
      </c>
      <c r="E5938">
        <v>0.55228369999999904</v>
      </c>
      <c r="F5938" t="s">
        <v>42</v>
      </c>
      <c r="G5938">
        <v>-221.5504</v>
      </c>
      <c r="H5938">
        <v>-0.05</v>
      </c>
      <c r="I5938">
        <v>7.99498</v>
      </c>
      <c r="J5938">
        <v>-348.43709999999999</v>
      </c>
      <c r="K5938">
        <v>1.110465</v>
      </c>
      <c r="L5938">
        <v>16.971889999999998</v>
      </c>
      <c r="M5938">
        <v>0.99990389999999996</v>
      </c>
      <c r="N5938">
        <v>-1.3855289999999999E-2</v>
      </c>
      <c r="O5938">
        <v>-4.9556099999999896E-4</v>
      </c>
      <c r="P5938">
        <v>0.98064470000000004</v>
      </c>
      <c r="Q5938">
        <v>0.18279860000000001</v>
      </c>
      <c r="R5938">
        <v>7.0149379999999997E-2</v>
      </c>
      <c r="S5938">
        <v>3.0800779999999999</v>
      </c>
      <c r="T5938">
        <v>-2.813935E-2</v>
      </c>
      <c r="U5938">
        <v>-0.21768190000000001</v>
      </c>
      <c r="V5938">
        <v>-7.0537020000000006E-2</v>
      </c>
      <c r="W5938">
        <v>0.19640279999999999</v>
      </c>
      <c r="X5938">
        <v>0.97798289999999999</v>
      </c>
      <c r="Y5938">
        <v>6.9996600000000006E-2</v>
      </c>
      <c r="Z5938">
        <v>-8.072372E-4</v>
      </c>
      <c r="AA5938">
        <v>0.99754690000000001</v>
      </c>
      <c r="AB5938">
        <v>25</v>
      </c>
      <c r="AC5938">
        <v>126.8867</v>
      </c>
      <c r="AD5938">
        <v>-1.1604649999999901</v>
      </c>
      <c r="AE5938">
        <v>-8.9769099999999895</v>
      </c>
      <c r="AF5938">
        <v>8.9132809374346191</v>
      </c>
      <c r="AG5938">
        <v>-1.1604649999999901</v>
      </c>
      <c r="AH5938">
        <v>126.880573576644</v>
      </c>
      <c r="AI5938">
        <v>90.522731311704604</v>
      </c>
      <c r="AJ5938">
        <v>85.981608867177798</v>
      </c>
      <c r="AK5938">
        <v>127.198558196326</v>
      </c>
      <c r="AL5938">
        <v>78.673317556897302</v>
      </c>
      <c r="AM5938">
        <v>94.125314870926999</v>
      </c>
      <c r="AN5938">
        <v>1.0000000418653601</v>
      </c>
    </row>
    <row r="5939" spans="1:40" x14ac:dyDescent="0.25">
      <c r="A5939" t="str">
        <f>"20190304155220104"</f>
        <v>20190304155220104</v>
      </c>
      <c r="B5939" t="str">
        <f>"1551685940102934"</f>
        <v>1551685940102934</v>
      </c>
      <c r="C5939" t="s">
        <v>40</v>
      </c>
      <c r="D5939">
        <v>4.9428960000000002</v>
      </c>
      <c r="E5939">
        <v>0.55240489999999998</v>
      </c>
      <c r="F5939" t="s">
        <v>42</v>
      </c>
      <c r="G5939">
        <v>-220.47489999999999</v>
      </c>
      <c r="H5939">
        <v>-0.05</v>
      </c>
      <c r="I5939">
        <v>7.861084</v>
      </c>
      <c r="J5939">
        <v>-348.30430000000001</v>
      </c>
      <c r="K5939">
        <v>1.1104609999999999</v>
      </c>
      <c r="L5939">
        <v>16.971679999999999</v>
      </c>
      <c r="M5939">
        <v>0.99990380000000001</v>
      </c>
      <c r="N5939">
        <v>-1.385397E-2</v>
      </c>
      <c r="O5939">
        <v>-6.429815E-4</v>
      </c>
      <c r="P5939">
        <v>0.98063109999999998</v>
      </c>
      <c r="Q5939">
        <v>0.1829779</v>
      </c>
      <c r="R5939">
        <v>6.9869559999999997E-2</v>
      </c>
      <c r="S5939">
        <v>3.0800779999999999</v>
      </c>
      <c r="T5939">
        <v>-2.7932640000000002E-2</v>
      </c>
      <c r="U5939">
        <v>-0.2192993</v>
      </c>
      <c r="V5939">
        <v>-7.0402019999999996E-2</v>
      </c>
      <c r="W5939">
        <v>0.19658049999999999</v>
      </c>
      <c r="X5939">
        <v>0.97795690000000002</v>
      </c>
      <c r="Y5939">
        <v>7.0370769999999999E-2</v>
      </c>
      <c r="Z5939">
        <v>-8.0987569999999996E-4</v>
      </c>
      <c r="AA5939">
        <v>0.99752059999999998</v>
      </c>
      <c r="AB5939">
        <v>25</v>
      </c>
      <c r="AC5939">
        <v>127.82940000000001</v>
      </c>
      <c r="AD5939">
        <v>-1.160461</v>
      </c>
      <c r="AE5939">
        <v>-9.1105959999999993</v>
      </c>
      <c r="AF5939">
        <v>9.0276540438445902</v>
      </c>
      <c r="AG5939">
        <v>-1.160461</v>
      </c>
      <c r="AH5939">
        <v>127.824750803857</v>
      </c>
      <c r="AI5939">
        <v>90.518854913198496</v>
      </c>
      <c r="AJ5939">
        <v>85.960179531230693</v>
      </c>
      <c r="AK5939">
        <v>128.14839884031301</v>
      </c>
      <c r="AL5939">
        <v>78.6629333924581</v>
      </c>
      <c r="AM5939">
        <v>94.117555748393897</v>
      </c>
      <c r="AN5939">
        <v>1.0000000178289701</v>
      </c>
    </row>
    <row r="5940" spans="1:40" x14ac:dyDescent="0.25">
      <c r="A5940" t="str">
        <f>"20190304155220119"</f>
        <v>20190304155220119</v>
      </c>
      <c r="B5940" t="str">
        <f>"1551685940112693"</f>
        <v>1551685940112693</v>
      </c>
      <c r="C5940" t="s">
        <v>40</v>
      </c>
      <c r="D5940">
        <v>5.0357390000000004</v>
      </c>
      <c r="E5940">
        <v>0.55249939999999997</v>
      </c>
      <c r="F5940" t="s">
        <v>42</v>
      </c>
      <c r="G5940">
        <v>-218.72630000000001</v>
      </c>
      <c r="H5940">
        <v>-0.05</v>
      </c>
      <c r="I5940">
        <v>7.6728519999999998</v>
      </c>
      <c r="J5940">
        <v>-348.15159999999997</v>
      </c>
      <c r="K5940">
        <v>1.1104609999999999</v>
      </c>
      <c r="L5940">
        <v>16.97137</v>
      </c>
      <c r="M5940">
        <v>0.99990369999999995</v>
      </c>
      <c r="N5940">
        <v>-1.3852379999999999E-2</v>
      </c>
      <c r="O5940">
        <v>-8.1185440000000001E-4</v>
      </c>
      <c r="P5940">
        <v>0.98061310000000002</v>
      </c>
      <c r="Q5940">
        <v>0.18320629999999999</v>
      </c>
      <c r="R5940">
        <v>6.9522849999999997E-2</v>
      </c>
      <c r="S5940">
        <v>3.080139</v>
      </c>
      <c r="T5940">
        <v>-2.7584790000000001E-2</v>
      </c>
      <c r="U5940">
        <v>-0.22103880000000001</v>
      </c>
      <c r="V5940">
        <v>-7.0221569999999997E-2</v>
      </c>
      <c r="W5940">
        <v>0.1968068</v>
      </c>
      <c r="X5940">
        <v>0.97792429999999997</v>
      </c>
      <c r="Y5940">
        <v>7.0761459999999998E-2</v>
      </c>
      <c r="Z5940">
        <v>-8.1120259999999903E-4</v>
      </c>
      <c r="AA5940">
        <v>0.99749290000000002</v>
      </c>
      <c r="AB5940">
        <v>25</v>
      </c>
      <c r="AC5940">
        <v>129.425299999999</v>
      </c>
      <c r="AD5940">
        <v>-1.160461</v>
      </c>
      <c r="AE5940">
        <v>-9.2985179999999996</v>
      </c>
      <c r="AF5940">
        <v>9.1926951098225107</v>
      </c>
      <c r="AG5940">
        <v>-1.160461</v>
      </c>
      <c r="AH5940">
        <v>129.422455769192</v>
      </c>
      <c r="AI5940">
        <v>90.512435488455594</v>
      </c>
      <c r="AJ5940">
        <v>85.937184535853206</v>
      </c>
      <c r="AK5940">
        <v>129.75370657689601</v>
      </c>
      <c r="AL5940">
        <v>78.649708365698004</v>
      </c>
      <c r="AM5940">
        <v>94.107174494550705</v>
      </c>
      <c r="AN5940">
        <v>0.99999996097499599</v>
      </c>
    </row>
    <row r="5941" spans="1:40" x14ac:dyDescent="0.25">
      <c r="A5941" t="str">
        <f>"20190304155220137"</f>
        <v>20190304155220137</v>
      </c>
      <c r="B5941" t="str">
        <f>"1551685940133189"</f>
        <v>1551685940133189</v>
      </c>
      <c r="C5941" t="s">
        <v>40</v>
      </c>
      <c r="D5941">
        <v>4.921665</v>
      </c>
      <c r="E5941">
        <v>0.55266800000000005</v>
      </c>
      <c r="F5941" t="s">
        <v>65</v>
      </c>
      <c r="G5941">
        <v>-241.07</v>
      </c>
      <c r="H5941">
        <v>0.16628219999999999</v>
      </c>
      <c r="I5941">
        <v>9.2286450000000002</v>
      </c>
      <c r="J5941">
        <v>-347.95769999999999</v>
      </c>
      <c r="K5941">
        <v>1.1104670000000001</v>
      </c>
      <c r="L5941">
        <v>16.970979999999901</v>
      </c>
      <c r="M5941">
        <v>0.9999036</v>
      </c>
      <c r="N5941">
        <v>-1.3850350000000001E-2</v>
      </c>
      <c r="O5941">
        <v>-1.0251769999999999E-3</v>
      </c>
      <c r="P5941">
        <v>0.98056639999999995</v>
      </c>
      <c r="Q5941">
        <v>0.18344559999999999</v>
      </c>
      <c r="R5941">
        <v>6.9551009999999996E-2</v>
      </c>
      <c r="S5941">
        <v>3.0801699999999999</v>
      </c>
      <c r="T5941">
        <v>-2.715921E-2</v>
      </c>
      <c r="U5941">
        <v>-0.22271730000000001</v>
      </c>
      <c r="V5941">
        <v>-7.0460179999999997E-2</v>
      </c>
      <c r="W5941">
        <v>0.19704289999999999</v>
      </c>
      <c r="X5941">
        <v>0.97785960000000005</v>
      </c>
      <c r="Y5941">
        <v>7.1088830000000006E-2</v>
      </c>
      <c r="Z5941">
        <v>-8.1114269999999996E-4</v>
      </c>
      <c r="AA5941">
        <v>0.99746970000000001</v>
      </c>
      <c r="AB5941">
        <v>25</v>
      </c>
      <c r="AC5941">
        <v>106.8877</v>
      </c>
      <c r="AD5941">
        <v>-0.94418480000000005</v>
      </c>
      <c r="AE5941">
        <v>-7.74233499999999</v>
      </c>
      <c r="AF5941">
        <v>7.6321491881142398</v>
      </c>
      <c r="AG5941">
        <v>-0.94418480000000005</v>
      </c>
      <c r="AH5941">
        <v>106.887285020319</v>
      </c>
      <c r="AI5941">
        <v>90.504821731862805</v>
      </c>
      <c r="AJ5941">
        <v>85.915800187616796</v>
      </c>
      <c r="AK5941">
        <v>107.163580031563</v>
      </c>
      <c r="AL5941">
        <v>78.635910749386198</v>
      </c>
      <c r="AM5941">
        <v>94.121354232961494</v>
      </c>
      <c r="AN5941">
        <v>0.99999996935909996</v>
      </c>
    </row>
    <row r="5942" spans="1:40" x14ac:dyDescent="0.25">
      <c r="A5942" t="str">
        <f>"20190304155220158"</f>
        <v>20190304155220158</v>
      </c>
      <c r="B5942" t="str">
        <f>"1551685940152710"</f>
        <v>1551685940152710</v>
      </c>
      <c r="C5942" t="s">
        <v>40</v>
      </c>
      <c r="D5942">
        <v>4.9356169999999997</v>
      </c>
      <c r="E5942">
        <v>0.55288419999999905</v>
      </c>
      <c r="F5942" t="s">
        <v>65</v>
      </c>
      <c r="G5942">
        <v>-241.07</v>
      </c>
      <c r="H5942">
        <v>0.19583229999999999</v>
      </c>
      <c r="I5942">
        <v>9.1928009999999993</v>
      </c>
      <c r="J5942">
        <v>-347.72280000000001</v>
      </c>
      <c r="K5942">
        <v>1.1104670000000001</v>
      </c>
      <c r="L5942">
        <v>16.970459999999999</v>
      </c>
      <c r="M5942">
        <v>0.9999034</v>
      </c>
      <c r="N5942">
        <v>-1.384791E-2</v>
      </c>
      <c r="O5942">
        <v>-1.280434E-3</v>
      </c>
      <c r="P5942">
        <v>0.98059700000000005</v>
      </c>
      <c r="Q5942">
        <v>0.18329400000000001</v>
      </c>
      <c r="R5942">
        <v>6.9521150000000004E-2</v>
      </c>
      <c r="S5942">
        <v>3.080292</v>
      </c>
      <c r="T5942">
        <v>-2.635813E-2</v>
      </c>
      <c r="U5942">
        <v>-0.22415160000000001</v>
      </c>
      <c r="V5942">
        <v>-7.0682499999999995E-2</v>
      </c>
      <c r="W5942">
        <v>0.19688810000000001</v>
      </c>
      <c r="X5942">
        <v>0.97787480000000004</v>
      </c>
      <c r="Y5942">
        <v>7.129365E-2</v>
      </c>
      <c r="Z5942">
        <v>-8.0572249999999999E-4</v>
      </c>
      <c r="AA5942">
        <v>0.99745510000000004</v>
      </c>
      <c r="AB5942">
        <v>25</v>
      </c>
      <c r="AC5942">
        <v>106.6528</v>
      </c>
      <c r="AD5942">
        <v>-0.91463470000000002</v>
      </c>
      <c r="AE5942">
        <v>-7.7776589999999999</v>
      </c>
      <c r="AF5942">
        <v>7.6405187240826899</v>
      </c>
      <c r="AG5942">
        <v>-0.91463470000000002</v>
      </c>
      <c r="AH5942">
        <v>106.65486989020501</v>
      </c>
      <c r="AI5942">
        <v>90.490080565552105</v>
      </c>
      <c r="AJ5942">
        <v>85.902457145051002</v>
      </c>
      <c r="AK5942">
        <v>106.932106283867</v>
      </c>
      <c r="AL5942">
        <v>78.644958077480894</v>
      </c>
      <c r="AM5942">
        <v>94.134249104806301</v>
      </c>
      <c r="AN5942">
        <v>1.00000003210144</v>
      </c>
    </row>
    <row r="5943" spans="1:40" x14ac:dyDescent="0.25">
      <c r="A5943" t="str">
        <f>"20190304155220171"</f>
        <v>20190304155220171</v>
      </c>
      <c r="B5943" t="str">
        <f>"1551685940163203"</f>
        <v>1551685940163203</v>
      </c>
      <c r="C5943" t="s">
        <v>40</v>
      </c>
      <c r="D5943">
        <v>4.8805680000000002</v>
      </c>
      <c r="E5943">
        <v>0.55294709999999903</v>
      </c>
      <c r="F5943" t="s">
        <v>65</v>
      </c>
      <c r="G5943">
        <v>-241.07</v>
      </c>
      <c r="H5943">
        <v>0.17979239999999999</v>
      </c>
      <c r="I5943">
        <v>9.1366999999999994</v>
      </c>
      <c r="J5943">
        <v>-347.58350000000002</v>
      </c>
      <c r="K5943">
        <v>1.110471</v>
      </c>
      <c r="L5943">
        <v>16.970089999999999</v>
      </c>
      <c r="M5943">
        <v>0.99990310000000004</v>
      </c>
      <c r="N5943">
        <v>-1.3846499999999999E-2</v>
      </c>
      <c r="O5943">
        <v>-1.4295029999999999E-3</v>
      </c>
      <c r="P5943">
        <v>0.98067610000000005</v>
      </c>
      <c r="Q5943">
        <v>0.18291009999999999</v>
      </c>
      <c r="R5943">
        <v>6.9414660000000003E-2</v>
      </c>
      <c r="S5943">
        <v>3.0803829999999999</v>
      </c>
      <c r="T5943">
        <v>-2.688026E-2</v>
      </c>
      <c r="U5943">
        <v>-0.22625729999999999</v>
      </c>
      <c r="V5943">
        <v>-7.0723499999999995E-2</v>
      </c>
      <c r="W5943">
        <v>0.19650380000000001</v>
      </c>
      <c r="X5943">
        <v>0.97794910000000002</v>
      </c>
      <c r="Y5943">
        <v>7.1820780000000001E-2</v>
      </c>
      <c r="Z5943">
        <v>-8.1819819999999998E-4</v>
      </c>
      <c r="AA5943">
        <v>0.9974172</v>
      </c>
      <c r="AB5943">
        <v>25</v>
      </c>
      <c r="AC5943">
        <v>106.51349999999999</v>
      </c>
      <c r="AD5943">
        <v>-0.93067860000000002</v>
      </c>
      <c r="AE5943">
        <v>-7.8333899999999996</v>
      </c>
      <c r="AF5943">
        <v>7.6805227991319196</v>
      </c>
      <c r="AG5943">
        <v>-0.93067860000000002</v>
      </c>
      <c r="AH5943">
        <v>106.51650164486099</v>
      </c>
      <c r="AI5943">
        <v>90.499307828798393</v>
      </c>
      <c r="AJ5943">
        <v>85.875744802399595</v>
      </c>
      <c r="AK5943">
        <v>106.797105371748</v>
      </c>
      <c r="AL5943">
        <v>78.667415188370896</v>
      </c>
      <c r="AM5943">
        <v>94.1363256980068</v>
      </c>
      <c r="AN5943">
        <v>0.99999999952874996</v>
      </c>
    </row>
    <row r="5944" spans="1:40" x14ac:dyDescent="0.25">
      <c r="A5944" t="str">
        <f>"20190304155220183"</f>
        <v>20190304155220183</v>
      </c>
      <c r="B5944" t="str">
        <f>"1551685940172964"</f>
        <v>1551685940172964</v>
      </c>
      <c r="C5944" t="s">
        <v>40</v>
      </c>
      <c r="D5944">
        <v>4.9188229999999997</v>
      </c>
      <c r="E5944">
        <v>0.55303029999999997</v>
      </c>
      <c r="F5944" t="s">
        <v>42</v>
      </c>
      <c r="G5944">
        <v>-220.94040000000001</v>
      </c>
      <c r="H5944">
        <v>-0.05</v>
      </c>
      <c r="I5944">
        <v>7.6380919999999897</v>
      </c>
      <c r="J5944">
        <v>-347.43699999999899</v>
      </c>
      <c r="K5944">
        <v>1.110476</v>
      </c>
      <c r="L5944">
        <v>16.969729999999998</v>
      </c>
      <c r="M5944">
        <v>0.99990290000000004</v>
      </c>
      <c r="N5944">
        <v>-1.3845130000000001E-2</v>
      </c>
      <c r="O5944">
        <v>-1.58368299999999E-3</v>
      </c>
      <c r="P5944">
        <v>0.9807553</v>
      </c>
      <c r="Q5944">
        <v>0.18247830000000001</v>
      </c>
      <c r="R5944">
        <v>6.9431149999999997E-2</v>
      </c>
      <c r="S5944">
        <v>3.080444</v>
      </c>
      <c r="T5944">
        <v>-2.822709E-2</v>
      </c>
      <c r="U5944">
        <v>-0.22698969999999999</v>
      </c>
      <c r="V5944">
        <v>-7.0893440000000002E-2</v>
      </c>
      <c r="W5944">
        <v>0.1960713</v>
      </c>
      <c r="X5944">
        <v>0.97802359999999999</v>
      </c>
      <c r="Y5944">
        <v>7.1900909999999998E-2</v>
      </c>
      <c r="Z5944">
        <v>-8.348416E-4</v>
      </c>
      <c r="AA5944">
        <v>0.99741139999999995</v>
      </c>
      <c r="AB5944">
        <v>25</v>
      </c>
      <c r="AC5944">
        <v>126.49659999999901</v>
      </c>
      <c r="AD5944">
        <v>-1.1604760000000001</v>
      </c>
      <c r="AE5944">
        <v>-9.3316379999999892</v>
      </c>
      <c r="AF5944">
        <v>9.1305122975230493</v>
      </c>
      <c r="AG5944">
        <v>-1.1604760000000001</v>
      </c>
      <c r="AH5944">
        <v>126.50063222592701</v>
      </c>
      <c r="AI5944">
        <v>90.524234580309496</v>
      </c>
      <c r="AJ5944">
        <v>85.871687053997704</v>
      </c>
      <c r="AK5944">
        <v>126.83502242252</v>
      </c>
      <c r="AL5944">
        <v>78.692687232688499</v>
      </c>
      <c r="AM5944">
        <v>94.145915432337105</v>
      </c>
      <c r="AN5944">
        <v>0.99999999833784103</v>
      </c>
    </row>
    <row r="5945" spans="1:40" x14ac:dyDescent="0.25">
      <c r="A5945" t="str">
        <f>"20190304155220203"</f>
        <v>20190304155220203</v>
      </c>
      <c r="B5945" t="str">
        <f>"1551685940192486"</f>
        <v>1551685940192486</v>
      </c>
      <c r="C5945" t="s">
        <v>40</v>
      </c>
      <c r="D5945">
        <v>4.943168</v>
      </c>
      <c r="E5945">
        <v>0.55316690000000002</v>
      </c>
      <c r="F5945" t="s">
        <v>42</v>
      </c>
      <c r="G5945">
        <v>-226.92910000000001</v>
      </c>
      <c r="H5945">
        <v>-0.05</v>
      </c>
      <c r="I5945">
        <v>8.0661159999999992</v>
      </c>
      <c r="J5945">
        <v>-347.22840000000002</v>
      </c>
      <c r="K5945">
        <v>1.1104780000000001</v>
      </c>
      <c r="L5945">
        <v>16.969149999999999</v>
      </c>
      <c r="M5945">
        <v>0.99990270000000003</v>
      </c>
      <c r="N5945">
        <v>-1.3843039999999999E-2</v>
      </c>
      <c r="O5945">
        <v>-1.797054E-3</v>
      </c>
      <c r="P5945">
        <v>0.98089139999999997</v>
      </c>
      <c r="Q5945">
        <v>0.1817908</v>
      </c>
      <c r="R5945">
        <v>6.9314580000000001E-2</v>
      </c>
      <c r="S5945">
        <v>3.080505</v>
      </c>
      <c r="T5945">
        <v>-2.9664869999999999E-2</v>
      </c>
      <c r="U5945">
        <v>-0.2276001</v>
      </c>
      <c r="V5945">
        <v>-7.0989199999999905E-2</v>
      </c>
      <c r="W5945">
        <v>0.19538249999999999</v>
      </c>
      <c r="X5945">
        <v>0.97815450000000004</v>
      </c>
      <c r="Y5945">
        <v>7.1882630000000003E-2</v>
      </c>
      <c r="Z5945">
        <v>-8.5146099999999997E-4</v>
      </c>
      <c r="AA5945">
        <v>0.99741270000000004</v>
      </c>
      <c r="AB5945">
        <v>25</v>
      </c>
      <c r="AC5945">
        <v>120.2993</v>
      </c>
      <c r="AD5945">
        <v>-1.1604779999999999</v>
      </c>
      <c r="AE5945">
        <v>-8.9030339999999892</v>
      </c>
      <c r="AF5945">
        <v>8.6860107071459698</v>
      </c>
      <c r="AG5945">
        <v>-1.1604779999999999</v>
      </c>
      <c r="AH5945">
        <v>120.303972371573</v>
      </c>
      <c r="AI5945">
        <v>90.551235458680594</v>
      </c>
      <c r="AJ5945">
        <v>85.870380125470106</v>
      </c>
      <c r="AK5945">
        <v>120.622714525803</v>
      </c>
      <c r="AL5945">
        <v>78.732931039751705</v>
      </c>
      <c r="AM5945">
        <v>94.150942375341003</v>
      </c>
      <c r="AN5945">
        <v>1.00000000684657</v>
      </c>
    </row>
    <row r="5946" spans="1:40" x14ac:dyDescent="0.25">
      <c r="A5946" t="str">
        <f>"20190304155220214"</f>
        <v>20190304155220214</v>
      </c>
      <c r="B5946" t="str">
        <f>"1551685940203219"</f>
        <v>1551685940203219</v>
      </c>
      <c r="C5946" t="s">
        <v>40</v>
      </c>
      <c r="D5946">
        <v>4.9728659999999998</v>
      </c>
      <c r="E5946">
        <v>0.55327169999999903</v>
      </c>
      <c r="F5946" t="s">
        <v>42</v>
      </c>
      <c r="G5946">
        <v>-234.26609999999999</v>
      </c>
      <c r="H5946">
        <v>-0.05</v>
      </c>
      <c r="I5946">
        <v>8.5659789999999898</v>
      </c>
      <c r="J5946">
        <v>-347.09949999999998</v>
      </c>
      <c r="K5946">
        <v>1.1104810000000001</v>
      </c>
      <c r="L5946">
        <v>16.968779999999999</v>
      </c>
      <c r="M5946">
        <v>0.99990250000000003</v>
      </c>
      <c r="N5946">
        <v>-1.384172E-2</v>
      </c>
      <c r="O5946">
        <v>-1.9240349999999999E-3</v>
      </c>
      <c r="P5946">
        <v>0.980908</v>
      </c>
      <c r="Q5946">
        <v>0.18168699999999999</v>
      </c>
      <c r="R5946">
        <v>6.9353109999999996E-2</v>
      </c>
      <c r="S5946">
        <v>3.080505</v>
      </c>
      <c r="T5946">
        <v>-3.1646489999999999E-2</v>
      </c>
      <c r="U5946">
        <v>-0.22915650000000001</v>
      </c>
      <c r="V5946">
        <v>-7.1154899999999993E-2</v>
      </c>
      <c r="W5946">
        <v>0.19527630000000001</v>
      </c>
      <c r="X5946">
        <v>0.97816369999999997</v>
      </c>
      <c r="Y5946">
        <v>7.2256310000000004E-2</v>
      </c>
      <c r="Z5946">
        <v>-8.7830809999999999E-4</v>
      </c>
      <c r="AA5946">
        <v>0.99738570000000004</v>
      </c>
      <c r="AB5946">
        <v>25</v>
      </c>
      <c r="AC5946">
        <v>112.833399999999</v>
      </c>
      <c r="AD5946">
        <v>-1.1604809999999901</v>
      </c>
      <c r="AE5946">
        <v>-8.4028010000000002</v>
      </c>
      <c r="AF5946">
        <v>8.18480825784129</v>
      </c>
      <c r="AG5946">
        <v>-1.1604809999999901</v>
      </c>
      <c r="AH5946">
        <v>112.837489898671</v>
      </c>
      <c r="AI5946">
        <v>90.587695671926198</v>
      </c>
      <c r="AJ5946">
        <v>85.851245127448706</v>
      </c>
      <c r="AK5946">
        <v>113.139899809933</v>
      </c>
      <c r="AL5946">
        <v>78.739135722895</v>
      </c>
      <c r="AM5946">
        <v>94.160558350324607</v>
      </c>
      <c r="AN5946">
        <v>1.0000000385666901</v>
      </c>
    </row>
    <row r="5947" spans="1:40" x14ac:dyDescent="0.25">
      <c r="A5947" t="str">
        <f>"20190304155220226"</f>
        <v>20190304155220226</v>
      </c>
      <c r="B5947" t="str">
        <f>"1551685940222739"</f>
        <v>1551685940222739</v>
      </c>
      <c r="C5947" t="s">
        <v>40</v>
      </c>
      <c r="D5947">
        <v>4.9130770000000004</v>
      </c>
      <c r="E5947">
        <v>0.55346139999999999</v>
      </c>
      <c r="F5947" t="s">
        <v>42</v>
      </c>
      <c r="G5947">
        <v>-235.8398</v>
      </c>
      <c r="H5947">
        <v>-0.05</v>
      </c>
      <c r="I5947">
        <v>8.6682589999999902</v>
      </c>
      <c r="J5947">
        <v>-346.96769999999998</v>
      </c>
      <c r="K5947">
        <v>1.1104860000000001</v>
      </c>
      <c r="L5947">
        <v>16.96838</v>
      </c>
      <c r="M5947">
        <v>0.99990219999999996</v>
      </c>
      <c r="N5947">
        <v>-1.3840369999999999E-2</v>
      </c>
      <c r="O5947">
        <v>-2.0512439999999998E-3</v>
      </c>
      <c r="P5947">
        <v>0.98095600000000005</v>
      </c>
      <c r="Q5947">
        <v>0.18149770000000001</v>
      </c>
      <c r="R5947">
        <v>6.9168489999999999E-2</v>
      </c>
      <c r="S5947">
        <v>3.080597</v>
      </c>
      <c r="T5947">
        <v>-3.213179E-2</v>
      </c>
      <c r="U5947">
        <v>-0.2298279</v>
      </c>
      <c r="V5947">
        <v>-7.1097489999999999E-2</v>
      </c>
      <c r="W5947">
        <v>0.1950856</v>
      </c>
      <c r="X5947">
        <v>0.97820589999999996</v>
      </c>
      <c r="Y5947">
        <v>7.2343199999999996E-2</v>
      </c>
      <c r="Z5947">
        <v>-8.8511639999999995E-4</v>
      </c>
      <c r="AA5947">
        <v>0.99737940000000003</v>
      </c>
      <c r="AB5947">
        <v>25</v>
      </c>
      <c r="AC5947">
        <v>111.127899999999</v>
      </c>
      <c r="AD5947">
        <v>-1.1604859999999999</v>
      </c>
      <c r="AE5947">
        <v>-8.3001210000000007</v>
      </c>
      <c r="AF5947">
        <v>8.0712559771084003</v>
      </c>
      <c r="AG5947">
        <v>-1.1604859999999999</v>
      </c>
      <c r="AH5947">
        <v>111.132641364032</v>
      </c>
      <c r="AI5947">
        <v>90.596709318180103</v>
      </c>
      <c r="AJ5947">
        <v>85.846059577885896</v>
      </c>
      <c r="AK5947">
        <v>111.431395384563</v>
      </c>
      <c r="AL5947">
        <v>78.750276006911903</v>
      </c>
      <c r="AM5947">
        <v>94.157034541241401</v>
      </c>
      <c r="AN5947">
        <v>1.0000000136032301</v>
      </c>
    </row>
    <row r="5948" spans="1:40" x14ac:dyDescent="0.25">
      <c r="A5948" t="str">
        <f>"20190304155220239"</f>
        <v>20190304155220239</v>
      </c>
      <c r="B5948" t="str">
        <f>"1551685940232499"</f>
        <v>1551685940232499</v>
      </c>
      <c r="C5948" t="s">
        <v>40</v>
      </c>
      <c r="D5948">
        <v>5.0439160000000003</v>
      </c>
      <c r="E5948">
        <v>0.55350829999999995</v>
      </c>
      <c r="F5948" t="s">
        <v>42</v>
      </c>
      <c r="G5948">
        <v>-237.61760000000001</v>
      </c>
      <c r="H5948">
        <v>-0.05</v>
      </c>
      <c r="I5948">
        <v>8.7313229999999997</v>
      </c>
      <c r="J5948">
        <v>-346.83080000000001</v>
      </c>
      <c r="K5948">
        <v>1.1104940000000001</v>
      </c>
      <c r="L5948">
        <v>16.967960000000001</v>
      </c>
      <c r="M5948">
        <v>0.99990190000000001</v>
      </c>
      <c r="N5948">
        <v>-1.3838949999999999E-2</v>
      </c>
      <c r="O5948">
        <v>-2.1750900000000002E-3</v>
      </c>
      <c r="P5948">
        <v>0.98096870000000003</v>
      </c>
      <c r="Q5948">
        <v>0.18144560000000001</v>
      </c>
      <c r="R5948">
        <v>6.9122520000000007E-2</v>
      </c>
      <c r="S5948">
        <v>3.0806269999999998</v>
      </c>
      <c r="T5948">
        <v>-3.2693390000000003E-2</v>
      </c>
      <c r="U5948">
        <v>-0.2320557</v>
      </c>
      <c r="V5948">
        <v>-7.1176180000000006E-2</v>
      </c>
      <c r="W5948">
        <v>0.1950308</v>
      </c>
      <c r="X5948">
        <v>0.9782111</v>
      </c>
      <c r="Y5948">
        <v>7.2935829999999993E-2</v>
      </c>
      <c r="Z5948">
        <v>-8.9891989999999996E-4</v>
      </c>
      <c r="AA5948">
        <v>0.99733620000000001</v>
      </c>
      <c r="AB5948">
        <v>25</v>
      </c>
      <c r="AC5948">
        <v>109.2132</v>
      </c>
      <c r="AD5948">
        <v>-1.1604939999999999</v>
      </c>
      <c r="AE5948">
        <v>-8.236637</v>
      </c>
      <c r="AF5948">
        <v>7.9981482596268698</v>
      </c>
      <c r="AG5948">
        <v>-1.1604939999999999</v>
      </c>
      <c r="AH5948">
        <v>109.218596532904</v>
      </c>
      <c r="AI5948">
        <v>90.607143422233904</v>
      </c>
      <c r="AJ5948">
        <v>85.8116693975023</v>
      </c>
      <c r="AK5948">
        <v>109.517208467548</v>
      </c>
      <c r="AL5948">
        <v>78.753477253129603</v>
      </c>
      <c r="AM5948">
        <v>94.161597305079496</v>
      </c>
      <c r="AN5948">
        <v>1.00000000885562</v>
      </c>
    </row>
    <row r="5949" spans="1:40" x14ac:dyDescent="0.25">
      <c r="A5949" t="str">
        <f>"20190304155220252"</f>
        <v>20190304155220252</v>
      </c>
      <c r="B5949" t="str">
        <f>"1551685940243234"</f>
        <v>1551685940243234</v>
      </c>
      <c r="C5949" t="s">
        <v>40</v>
      </c>
      <c r="D5949">
        <v>4.9263640000000004</v>
      </c>
      <c r="E5949">
        <v>0.553594699999999</v>
      </c>
      <c r="F5949" t="s">
        <v>42</v>
      </c>
      <c r="G5949">
        <v>-238.39330000000001</v>
      </c>
      <c r="H5949">
        <v>-0.05</v>
      </c>
      <c r="I5949">
        <v>8.78566</v>
      </c>
      <c r="J5949">
        <v>-346.68950000000001</v>
      </c>
      <c r="K5949">
        <v>1.1105020000000001</v>
      </c>
      <c r="L5949">
        <v>16.967500000000001</v>
      </c>
      <c r="M5949">
        <v>0.9999017</v>
      </c>
      <c r="N5949">
        <v>-1.3837489999999999E-2</v>
      </c>
      <c r="O5949">
        <v>-2.298685E-3</v>
      </c>
      <c r="P5949">
        <v>0.98105430000000005</v>
      </c>
      <c r="Q5949">
        <v>0.18100749999999999</v>
      </c>
      <c r="R5949">
        <v>6.9057869999999993E-2</v>
      </c>
      <c r="S5949">
        <v>3.0806269999999998</v>
      </c>
      <c r="T5949">
        <v>-3.296876E-2</v>
      </c>
      <c r="U5949">
        <v>-0.2324524</v>
      </c>
      <c r="V5949">
        <v>-7.1236610000000006E-2</v>
      </c>
      <c r="W5949">
        <v>0.19459170000000001</v>
      </c>
      <c r="X5949">
        <v>0.97829410000000006</v>
      </c>
      <c r="Y5949">
        <v>7.2940169999999999E-2</v>
      </c>
      <c r="Z5949">
        <v>-9.0236570000000005E-4</v>
      </c>
      <c r="AA5949">
        <v>0.99733590000000005</v>
      </c>
      <c r="AB5949">
        <v>25</v>
      </c>
      <c r="AC5949">
        <v>108.2962</v>
      </c>
      <c r="AD5949">
        <v>-1.1605019999999999</v>
      </c>
      <c r="AE5949">
        <v>-8.1818399999999993</v>
      </c>
      <c r="AF5949">
        <v>7.9319500366374003</v>
      </c>
      <c r="AG5949">
        <v>-1.1605019999999999</v>
      </c>
      <c r="AH5949">
        <v>108.30235703950299</v>
      </c>
      <c r="AI5949">
        <v>90.612283325365894</v>
      </c>
      <c r="AJ5949">
        <v>85.811196549750306</v>
      </c>
      <c r="AK5949">
        <v>108.598633216941</v>
      </c>
      <c r="AL5949">
        <v>78.779126768736106</v>
      </c>
      <c r="AM5949">
        <v>94.164766023248902</v>
      </c>
      <c r="AN5949">
        <v>0.99999996520399503</v>
      </c>
    </row>
    <row r="5950" spans="1:40" x14ac:dyDescent="0.25">
      <c r="A5950" t="str">
        <f>"20190304155220270"</f>
        <v>20190304155220270</v>
      </c>
      <c r="B5950" t="str">
        <f>"1551685940262557"</f>
        <v>1551685940262557</v>
      </c>
      <c r="C5950" t="s">
        <v>40</v>
      </c>
      <c r="D5950">
        <v>4.8930199999999999</v>
      </c>
      <c r="E5950">
        <v>0.55370529999999996</v>
      </c>
      <c r="F5950" t="s">
        <v>42</v>
      </c>
      <c r="G5950">
        <v>-242.27670000000001</v>
      </c>
      <c r="H5950">
        <v>-0.05</v>
      </c>
      <c r="I5950">
        <v>9.0517430000000001</v>
      </c>
      <c r="J5950">
        <v>-346.48989999999998</v>
      </c>
      <c r="K5950">
        <v>1.110506</v>
      </c>
      <c r="L5950">
        <v>16.966829999999899</v>
      </c>
      <c r="M5950">
        <v>0.99990120000000005</v>
      </c>
      <c r="N5950">
        <v>-1.3835439999999999E-2</v>
      </c>
      <c r="O5950">
        <v>-2.4609409999999999E-3</v>
      </c>
      <c r="P5950">
        <v>0.98119630000000002</v>
      </c>
      <c r="Q5950">
        <v>0.1804132</v>
      </c>
      <c r="R5950">
        <v>6.8591089999999993E-2</v>
      </c>
      <c r="S5950">
        <v>3.0806580000000001</v>
      </c>
      <c r="T5950">
        <v>-3.4240130000000001E-2</v>
      </c>
      <c r="U5950">
        <v>-0.23355100000000001</v>
      </c>
      <c r="V5950">
        <v>-7.0934949999999997E-2</v>
      </c>
      <c r="W5950">
        <v>0.1939948</v>
      </c>
      <c r="X5950">
        <v>0.97843460000000004</v>
      </c>
      <c r="Y5950">
        <v>7.313066E-2</v>
      </c>
      <c r="Z5950">
        <v>-9.1918459999999996E-4</v>
      </c>
      <c r="AA5950">
        <v>0.99732200000000004</v>
      </c>
      <c r="AB5950">
        <v>25</v>
      </c>
      <c r="AC5950">
        <v>104.21319999999901</v>
      </c>
      <c r="AD5950">
        <v>-1.160506</v>
      </c>
      <c r="AE5950">
        <v>-7.91508699999999</v>
      </c>
      <c r="AF5950">
        <v>7.6576317664487004</v>
      </c>
      <c r="AG5950">
        <v>-1.160506</v>
      </c>
      <c r="AH5950">
        <v>104.219514880425</v>
      </c>
      <c r="AI5950">
        <v>90.636259029467794</v>
      </c>
      <c r="AJ5950">
        <v>85.797687537996396</v>
      </c>
      <c r="AK5950">
        <v>104.50690589792499</v>
      </c>
      <c r="AL5950">
        <v>78.813991497208406</v>
      </c>
      <c r="AM5950">
        <v>94.146598039542994</v>
      </c>
      <c r="AN5950">
        <v>1.0000000080178499</v>
      </c>
    </row>
    <row r="5951" spans="1:40" x14ac:dyDescent="0.25">
      <c r="A5951" t="str">
        <f>"20190304155220282"</f>
        <v>20190304155220282</v>
      </c>
      <c r="B5951" t="str">
        <f>"1551685940273216"</f>
        <v>1551685940273216</v>
      </c>
      <c r="C5951" t="s">
        <v>40</v>
      </c>
      <c r="D5951">
        <v>4.7823919999999998</v>
      </c>
      <c r="E5951">
        <v>0.55371169999999903</v>
      </c>
      <c r="F5951" t="s">
        <v>42</v>
      </c>
      <c r="G5951">
        <v>-246.9093</v>
      </c>
      <c r="H5951">
        <v>-0.05</v>
      </c>
      <c r="I5951">
        <v>9.3413389999999996</v>
      </c>
      <c r="J5951">
        <v>-346.35610000000003</v>
      </c>
      <c r="K5951">
        <v>1.110514</v>
      </c>
      <c r="L5951">
        <v>16.9664</v>
      </c>
      <c r="M5951">
        <v>0.99990109999999999</v>
      </c>
      <c r="N5951">
        <v>-1.383406E-2</v>
      </c>
      <c r="O5951">
        <v>-2.5616329999999998E-3</v>
      </c>
      <c r="P5951">
        <v>0.98128579999999999</v>
      </c>
      <c r="Q5951">
        <v>0.18009359999999999</v>
      </c>
      <c r="R5951">
        <v>6.8152850000000001E-2</v>
      </c>
      <c r="S5951">
        <v>3.080597</v>
      </c>
      <c r="T5951">
        <v>-3.590107E-2</v>
      </c>
      <c r="U5951">
        <v>-0.2359009</v>
      </c>
      <c r="V5951">
        <v>-7.059986E-2</v>
      </c>
      <c r="W5951">
        <v>0.1936735</v>
      </c>
      <c r="X5951">
        <v>0.97852249999999996</v>
      </c>
      <c r="Y5951">
        <v>7.3787229999999995E-2</v>
      </c>
      <c r="Z5951">
        <v>-9.4609109999999996E-4</v>
      </c>
      <c r="AA5951">
        <v>0.99727359999999998</v>
      </c>
      <c r="AB5951">
        <v>25</v>
      </c>
      <c r="AC5951">
        <v>99.446799999999996</v>
      </c>
      <c r="AD5951">
        <v>-1.160514</v>
      </c>
      <c r="AE5951">
        <v>-7.6250609999999996</v>
      </c>
      <c r="AF5951">
        <v>7.3692677171936296</v>
      </c>
      <c r="AG5951">
        <v>-1.160514</v>
      </c>
      <c r="AH5951">
        <v>99.4525436589186</v>
      </c>
      <c r="AI5951">
        <v>90.666727729957998</v>
      </c>
      <c r="AJ5951">
        <v>85.7622228430983</v>
      </c>
      <c r="AK5951">
        <v>99.731947437423401</v>
      </c>
      <c r="AL5951">
        <v>78.832756702583794</v>
      </c>
      <c r="AM5951">
        <v>94.126708295147907</v>
      </c>
      <c r="AN5951">
        <v>1.00000002392025</v>
      </c>
    </row>
    <row r="5952" spans="1:40" x14ac:dyDescent="0.25">
      <c r="A5952" t="str">
        <f>"20190304155220293"</f>
        <v>20190304155220293</v>
      </c>
      <c r="B5952" t="str">
        <f>"1551685940282978"</f>
        <v>1551685940282978</v>
      </c>
      <c r="C5952" t="s">
        <v>40</v>
      </c>
      <c r="D5952">
        <v>4.9256630000000001</v>
      </c>
      <c r="E5952">
        <v>0.55377799999999999</v>
      </c>
      <c r="F5952" t="s">
        <v>42</v>
      </c>
      <c r="G5952">
        <v>-246.01599999999999</v>
      </c>
      <c r="H5952">
        <v>-0.05</v>
      </c>
      <c r="I5952">
        <v>9.2340999999999998</v>
      </c>
      <c r="J5952">
        <v>-346.22949999999997</v>
      </c>
      <c r="K5952">
        <v>1.1105210000000001</v>
      </c>
      <c r="L5952">
        <v>16.965969999999999</v>
      </c>
      <c r="M5952">
        <v>0.99990089999999998</v>
      </c>
      <c r="N5952">
        <v>-1.383275E-2</v>
      </c>
      <c r="O5952">
        <v>-2.6511289999999999E-3</v>
      </c>
      <c r="P5952">
        <v>0.98135640000000002</v>
      </c>
      <c r="Q5952">
        <v>0.17979439999999999</v>
      </c>
      <c r="R5952">
        <v>6.7923579999999997E-2</v>
      </c>
      <c r="S5952">
        <v>3.0802309999999999</v>
      </c>
      <c r="T5952">
        <v>-3.5625339999999998E-2</v>
      </c>
      <c r="U5952">
        <v>-0.23736570000000001</v>
      </c>
      <c r="V5952">
        <v>-7.0462259999999999E-2</v>
      </c>
      <c r="W5952">
        <v>0.19337260000000001</v>
      </c>
      <c r="X5952">
        <v>0.97859189999999996</v>
      </c>
      <c r="Y5952">
        <v>7.4178549999999996E-2</v>
      </c>
      <c r="Z5952">
        <v>-9.4819209999999997E-4</v>
      </c>
      <c r="AA5952">
        <v>0.99724449999999998</v>
      </c>
      <c r="AB5952">
        <v>25</v>
      </c>
      <c r="AC5952">
        <v>100.213499999999</v>
      </c>
      <c r="AD5952">
        <v>-1.1605209999999999</v>
      </c>
      <c r="AE5952">
        <v>-7.7318699999999998</v>
      </c>
      <c r="AF5952">
        <v>7.4651433009949004</v>
      </c>
      <c r="AG5952">
        <v>-1.1605209999999999</v>
      </c>
      <c r="AH5952">
        <v>100.22028712795399</v>
      </c>
      <c r="AI5952">
        <v>90.661605654079807</v>
      </c>
      <c r="AJ5952">
        <v>85.740056342142907</v>
      </c>
      <c r="AK5952">
        <v>100.504632358441</v>
      </c>
      <c r="AL5952">
        <v>78.850328923199498</v>
      </c>
      <c r="AM5952">
        <v>94.118401910324394</v>
      </c>
      <c r="AN5952">
        <v>0.99999999963033803</v>
      </c>
    </row>
    <row r="5953" spans="1:40" x14ac:dyDescent="0.25">
      <c r="A5953" t="str">
        <f>"20190304155220306"</f>
        <v>20190304155220306</v>
      </c>
      <c r="B5953" t="str">
        <f>"1551685940302496"</f>
        <v>1551685940302496</v>
      </c>
      <c r="C5953" t="s">
        <v>40</v>
      </c>
      <c r="D5953">
        <v>4.9303850000000002</v>
      </c>
      <c r="E5953">
        <v>0.5539269</v>
      </c>
      <c r="F5953" t="s">
        <v>42</v>
      </c>
      <c r="G5953">
        <v>-249.41749999999999</v>
      </c>
      <c r="H5953">
        <v>-0.05</v>
      </c>
      <c r="I5953">
        <v>9.4729310000000009</v>
      </c>
      <c r="J5953">
        <v>-346.09660000000002</v>
      </c>
      <c r="K5953">
        <v>1.110528</v>
      </c>
      <c r="L5953">
        <v>16.965520000000001</v>
      </c>
      <c r="M5953">
        <v>0.99990060000000003</v>
      </c>
      <c r="N5953">
        <v>-1.3831370000000001E-2</v>
      </c>
      <c r="O5953">
        <v>-2.7407379999999999E-3</v>
      </c>
      <c r="P5953">
        <v>0.98146219999999995</v>
      </c>
      <c r="Q5953">
        <v>0.17931259999999999</v>
      </c>
      <c r="R5953">
        <v>6.7666400000000002E-2</v>
      </c>
      <c r="S5953">
        <v>3.0802309999999999</v>
      </c>
      <c r="T5953">
        <v>-3.6923890000000001E-2</v>
      </c>
      <c r="U5953">
        <v>-0.23840330000000001</v>
      </c>
      <c r="V5953">
        <v>-7.029784E-2</v>
      </c>
      <c r="W5953">
        <v>0.1928888</v>
      </c>
      <c r="X5953">
        <v>0.97869919999999999</v>
      </c>
      <c r="Y5953">
        <v>7.4422489999999994E-2</v>
      </c>
      <c r="Z5953">
        <v>-9.6595009999999996E-4</v>
      </c>
      <c r="AA5953">
        <v>0.99722639999999996</v>
      </c>
      <c r="AB5953">
        <v>24</v>
      </c>
      <c r="AC5953">
        <v>96.679100000000005</v>
      </c>
      <c r="AD5953">
        <v>-1.160528</v>
      </c>
      <c r="AE5953">
        <v>-7.4925889999999997</v>
      </c>
      <c r="AF5953">
        <v>7.2265283423504298</v>
      </c>
      <c r="AG5953">
        <v>-1.160528</v>
      </c>
      <c r="AH5953">
        <v>96.685425390772295</v>
      </c>
      <c r="AI5953">
        <v>90.685783122750607</v>
      </c>
      <c r="AJ5953">
        <v>85.725507521406897</v>
      </c>
      <c r="AK5953">
        <v>96.962059694068898</v>
      </c>
      <c r="AL5953">
        <v>78.8785805148881</v>
      </c>
      <c r="AM5953">
        <v>94.108375857178004</v>
      </c>
      <c r="AN5953">
        <v>0.99999999977737197</v>
      </c>
    </row>
    <row r="5954" spans="1:40" x14ac:dyDescent="0.25">
      <c r="A5954" t="str">
        <f>"20190304155220320"</f>
        <v>20190304155220320</v>
      </c>
      <c r="B5954" t="str">
        <f>"1551685940313232"</f>
        <v>1551685940313232</v>
      </c>
      <c r="C5954" t="s">
        <v>40</v>
      </c>
      <c r="D5954">
        <v>4.9270399999999999</v>
      </c>
      <c r="E5954">
        <v>0.55397069999999904</v>
      </c>
      <c r="F5954" t="s">
        <v>42</v>
      </c>
      <c r="G5954">
        <v>-253.86150000000001</v>
      </c>
      <c r="H5954">
        <v>-0.05</v>
      </c>
      <c r="I5954">
        <v>9.7647860000000009</v>
      </c>
      <c r="J5954">
        <v>-345.95190000000002</v>
      </c>
      <c r="K5954">
        <v>1.110536</v>
      </c>
      <c r="L5954">
        <v>16.965029999999999</v>
      </c>
      <c r="M5954">
        <v>0.99990049999999997</v>
      </c>
      <c r="N5954">
        <v>-1.3829849999999999E-2</v>
      </c>
      <c r="O5954">
        <v>-2.8257880000000001E-3</v>
      </c>
      <c r="P5954">
        <v>0.98146250000000002</v>
      </c>
      <c r="Q5954">
        <v>0.1794029</v>
      </c>
      <c r="R5954">
        <v>6.7424659999999997E-2</v>
      </c>
      <c r="S5954">
        <v>3.0803219999999998</v>
      </c>
      <c r="T5954">
        <v>-3.8757439999999997E-2</v>
      </c>
      <c r="U5954">
        <v>-0.24047850000000001</v>
      </c>
      <c r="V5954">
        <v>-7.0144010000000007E-2</v>
      </c>
      <c r="W5954">
        <v>0.19297629999999999</v>
      </c>
      <c r="X5954">
        <v>0.97869300000000004</v>
      </c>
      <c r="Y5954">
        <v>7.5002230000000003E-2</v>
      </c>
      <c r="Z5954">
        <v>-9.9412989999999994E-4</v>
      </c>
      <c r="AA5954">
        <v>0.99718280000000004</v>
      </c>
      <c r="AB5954">
        <v>24</v>
      </c>
      <c r="AC5954">
        <v>92.090400000000002</v>
      </c>
      <c r="AD5954">
        <v>-1.160536</v>
      </c>
      <c r="AE5954">
        <v>-7.2002439999999899</v>
      </c>
      <c r="AF5954">
        <v>6.9388671511132296</v>
      </c>
      <c r="AG5954">
        <v>-1.160536</v>
      </c>
      <c r="AH5954">
        <v>92.095843329237994</v>
      </c>
      <c r="AI5954">
        <v>90.719928168025405</v>
      </c>
      <c r="AJ5954">
        <v>85.6912489535421</v>
      </c>
      <c r="AK5954">
        <v>92.364165560414406</v>
      </c>
      <c r="AL5954">
        <v>78.873471270025703</v>
      </c>
      <c r="AM5954">
        <v>94.099442224501104</v>
      </c>
      <c r="AN5954">
        <v>1.00000001137478</v>
      </c>
    </row>
    <row r="5955" spans="1:40" x14ac:dyDescent="0.25">
      <c r="A5955" t="str">
        <f>"20190304155220338"</f>
        <v>20190304155220338</v>
      </c>
      <c r="B5955" t="str">
        <f>"1551685940332753"</f>
        <v>1551685940332753</v>
      </c>
      <c r="C5955" t="s">
        <v>40</v>
      </c>
      <c r="D5955">
        <v>4.8670169999999997</v>
      </c>
      <c r="E5955">
        <v>0.55410219999999999</v>
      </c>
      <c r="F5955" t="s">
        <v>42</v>
      </c>
      <c r="G5955">
        <v>-253.28659999999999</v>
      </c>
      <c r="H5955">
        <v>-0.05</v>
      </c>
      <c r="I5955">
        <v>9.7031709999999993</v>
      </c>
      <c r="J5955">
        <v>-345.75240000000002</v>
      </c>
      <c r="K5955">
        <v>1.110554</v>
      </c>
      <c r="L5955">
        <v>16.964289999999998</v>
      </c>
      <c r="M5955">
        <v>0.99990029999999996</v>
      </c>
      <c r="N5955">
        <v>-1.382776E-2</v>
      </c>
      <c r="O5955">
        <v>-2.9289920000000001E-3</v>
      </c>
      <c r="P5955">
        <v>0.98146509999999998</v>
      </c>
      <c r="Q5955">
        <v>0.17944839999999901</v>
      </c>
      <c r="R5955">
        <v>6.7268679999999997E-2</v>
      </c>
      <c r="S5955">
        <v>3.0803219999999998</v>
      </c>
      <c r="T5955">
        <v>-3.8577800000000002E-2</v>
      </c>
      <c r="U5955">
        <v>-0.241394</v>
      </c>
      <c r="V5955">
        <v>-7.00963E-2</v>
      </c>
      <c r="W5955">
        <v>0.1930171</v>
      </c>
      <c r="X5955">
        <v>0.97868840000000001</v>
      </c>
      <c r="Y5955">
        <v>7.5193930000000006E-2</v>
      </c>
      <c r="Z5955">
        <v>-9.9468740000000009E-4</v>
      </c>
      <c r="AA5955">
        <v>0.99716839999999995</v>
      </c>
      <c r="AB5955">
        <v>24</v>
      </c>
      <c r="AC5955">
        <v>92.465800000000002</v>
      </c>
      <c r="AD5955">
        <v>-1.1605540000000001</v>
      </c>
      <c r="AE5955">
        <v>-7.2611189999999901</v>
      </c>
      <c r="AF5955">
        <v>6.9891361525854103</v>
      </c>
      <c r="AG5955">
        <v>-1.1605540000000001</v>
      </c>
      <c r="AH5955">
        <v>92.472195042282706</v>
      </c>
      <c r="AI5955">
        <v>90.716996817443203</v>
      </c>
      <c r="AJ5955">
        <v>85.677748433731693</v>
      </c>
      <c r="AK5955">
        <v>92.743203339567003</v>
      </c>
      <c r="AL5955">
        <v>78.871089113284995</v>
      </c>
      <c r="AM5955">
        <v>94.096682584292594</v>
      </c>
      <c r="AN5955">
        <v>1.00000003823032</v>
      </c>
    </row>
    <row r="5956" spans="1:40" x14ac:dyDescent="0.25">
      <c r="A5956" t="str">
        <f>"20190304155220359"</f>
        <v>20190304155220359</v>
      </c>
      <c r="B5956" t="str">
        <f>"1551685940353248"</f>
        <v>1551685940353248</v>
      </c>
      <c r="C5956" t="s">
        <v>40</v>
      </c>
      <c r="D5956">
        <v>4.9532499999999997</v>
      </c>
      <c r="E5956">
        <v>0.55425829999999998</v>
      </c>
      <c r="F5956" t="s">
        <v>42</v>
      </c>
      <c r="G5956">
        <v>-253.56469999999999</v>
      </c>
      <c r="H5956">
        <v>-0.05</v>
      </c>
      <c r="I5956">
        <v>9.6998289999999994</v>
      </c>
      <c r="J5956">
        <v>-345.52260000000001</v>
      </c>
      <c r="K5956">
        <v>1.110571</v>
      </c>
      <c r="L5956">
        <v>16.963470000000001</v>
      </c>
      <c r="M5956">
        <v>0.99989989999999995</v>
      </c>
      <c r="N5956">
        <v>-1.382537E-2</v>
      </c>
      <c r="O5956">
        <v>-3.0240279999999998E-3</v>
      </c>
      <c r="P5956">
        <v>0.98156339999999997</v>
      </c>
      <c r="Q5956">
        <v>0.1789174</v>
      </c>
      <c r="R5956">
        <v>6.7244709999999999E-2</v>
      </c>
      <c r="S5956">
        <v>3.0803829999999999</v>
      </c>
      <c r="T5956">
        <v>-3.8779019999999997E-2</v>
      </c>
      <c r="U5956">
        <v>-0.2427368</v>
      </c>
      <c r="V5956">
        <v>-7.0174280000000006E-2</v>
      </c>
      <c r="W5956">
        <v>0.19248180000000001</v>
      </c>
      <c r="X5956">
        <v>0.9787882</v>
      </c>
      <c r="Y5956">
        <v>7.5529470000000001E-2</v>
      </c>
      <c r="Z5956">
        <v>-1.0013929999999999E-3</v>
      </c>
      <c r="AA5956">
        <v>0.99714309999999995</v>
      </c>
      <c r="AB5956">
        <v>24</v>
      </c>
      <c r="AC5956">
        <v>91.957899999999995</v>
      </c>
      <c r="AD5956">
        <v>-1.160571</v>
      </c>
      <c r="AE5956">
        <v>-7.2636409999999998</v>
      </c>
      <c r="AF5956">
        <v>6.9843923635408798</v>
      </c>
      <c r="AG5956">
        <v>-1.160571</v>
      </c>
      <c r="AH5956">
        <v>91.964889526937796</v>
      </c>
      <c r="AI5956">
        <v>90.720942287192102</v>
      </c>
      <c r="AJ5956">
        <v>85.656935221404893</v>
      </c>
      <c r="AK5956">
        <v>92.237029263933906</v>
      </c>
      <c r="AL5956">
        <v>78.902345311391599</v>
      </c>
      <c r="AM5956">
        <v>94.100807730598305</v>
      </c>
      <c r="AN5956">
        <v>1.0000000066819901</v>
      </c>
    </row>
    <row r="5957" spans="1:40" x14ac:dyDescent="0.25">
      <c r="A5957" t="str">
        <f>"20190304155220372"</f>
        <v>20190304155220372</v>
      </c>
      <c r="B5957" t="str">
        <f>"1551685940363008"</f>
        <v>1551685940363008</v>
      </c>
      <c r="C5957" t="s">
        <v>40</v>
      </c>
      <c r="D5957">
        <v>4.9074140000000002</v>
      </c>
      <c r="E5957">
        <v>0.55430809999999997</v>
      </c>
      <c r="F5957" t="s">
        <v>42</v>
      </c>
      <c r="G5957">
        <v>-257.79700000000003</v>
      </c>
      <c r="H5957">
        <v>-0.05</v>
      </c>
      <c r="I5957">
        <v>10.016999999999999</v>
      </c>
      <c r="J5957">
        <v>-345.37729999999999</v>
      </c>
      <c r="K5957">
        <v>1.1105849999999999</v>
      </c>
      <c r="L5957">
        <v>16.963010000000001</v>
      </c>
      <c r="M5957">
        <v>0.99989980000000001</v>
      </c>
      <c r="N5957">
        <v>-1.382385E-2</v>
      </c>
      <c r="O5957">
        <v>-3.0724509999999999E-3</v>
      </c>
      <c r="P5957">
        <v>0.9815971</v>
      </c>
      <c r="Q5957">
        <v>0.17877219999999999</v>
      </c>
      <c r="R5957">
        <v>6.7141969999999995E-2</v>
      </c>
      <c r="S5957">
        <v>3.080505</v>
      </c>
      <c r="T5957">
        <v>-4.075372E-2</v>
      </c>
      <c r="U5957">
        <v>-0.243927</v>
      </c>
      <c r="V5957">
        <v>-7.012504E-2</v>
      </c>
      <c r="W5957">
        <v>0.1923339</v>
      </c>
      <c r="X5957">
        <v>0.97882080000000005</v>
      </c>
      <c r="Y5957">
        <v>7.5859940000000001E-2</v>
      </c>
      <c r="Z5957">
        <v>-1.02805E-3</v>
      </c>
      <c r="AA5957">
        <v>0.9971179</v>
      </c>
      <c r="AB5957">
        <v>24</v>
      </c>
      <c r="AC5957">
        <v>87.580299999999895</v>
      </c>
      <c r="AD5957">
        <v>-1.160585</v>
      </c>
      <c r="AE5957">
        <v>-6.9460099999999896</v>
      </c>
      <c r="AF5957">
        <v>6.6757003638104404</v>
      </c>
      <c r="AG5957">
        <v>-1.160585</v>
      </c>
      <c r="AH5957">
        <v>87.585945319913506</v>
      </c>
      <c r="AI5957">
        <v>90.756975925887701</v>
      </c>
      <c r="AJ5957">
        <v>85.641408462678001</v>
      </c>
      <c r="AK5957">
        <v>87.847650796549402</v>
      </c>
      <c r="AL5957">
        <v>78.910980683723594</v>
      </c>
      <c r="AM5957">
        <v>94.097804057268604</v>
      </c>
      <c r="AN5957">
        <v>1.0000000044184201</v>
      </c>
    </row>
    <row r="5958" spans="1:40" x14ac:dyDescent="0.25">
      <c r="A5958" t="str">
        <f>"20190304155220393"</f>
        <v>20190304155220393</v>
      </c>
      <c r="B5958" t="str">
        <f>"1551685940382528"</f>
        <v>1551685940382528</v>
      </c>
      <c r="C5958" t="s">
        <v>40</v>
      </c>
      <c r="D5958">
        <v>4.9066400000000003</v>
      </c>
      <c r="E5958">
        <v>0.55445580000000005</v>
      </c>
      <c r="F5958" t="s">
        <v>42</v>
      </c>
      <c r="G5958">
        <v>-258.995</v>
      </c>
      <c r="H5958">
        <v>-0.05</v>
      </c>
      <c r="I5958">
        <v>10.104950000000001</v>
      </c>
      <c r="J5958">
        <v>-345.15289999999999</v>
      </c>
      <c r="K5958">
        <v>1.1106009999999999</v>
      </c>
      <c r="L5958">
        <v>16.962219999999999</v>
      </c>
      <c r="M5958">
        <v>0.99989980000000001</v>
      </c>
      <c r="N5958">
        <v>-1.382154E-2</v>
      </c>
      <c r="O5958">
        <v>-3.1288750000000001E-3</v>
      </c>
      <c r="P5958">
        <v>0.98172919999999997</v>
      </c>
      <c r="Q5958">
        <v>0.17813609999999999</v>
      </c>
      <c r="R5958">
        <v>6.6902229999999993E-2</v>
      </c>
      <c r="S5958">
        <v>3.080505</v>
      </c>
      <c r="T5958">
        <v>-4.1387920000000002E-2</v>
      </c>
      <c r="U5958">
        <v>-0.2445679</v>
      </c>
      <c r="V5958">
        <v>-6.9949579999999997E-2</v>
      </c>
      <c r="W5958">
        <v>0.19169420000000001</v>
      </c>
      <c r="X5958">
        <v>0.97895880000000002</v>
      </c>
      <c r="Y5958">
        <v>7.6009469999999996E-2</v>
      </c>
      <c r="Z5958">
        <v>-1.03718E-3</v>
      </c>
      <c r="AA5958">
        <v>0.99710659999999895</v>
      </c>
      <c r="AB5958">
        <v>24</v>
      </c>
      <c r="AC5958">
        <v>86.157899999999898</v>
      </c>
      <c r="AD5958">
        <v>-1.160601</v>
      </c>
      <c r="AE5958">
        <v>-6.8572699999999998</v>
      </c>
      <c r="AF5958">
        <v>6.5864457949532103</v>
      </c>
      <c r="AG5958">
        <v>-1.160601</v>
      </c>
      <c r="AH5958">
        <v>86.163399162103403</v>
      </c>
      <c r="AI5958">
        <v>90.769469622814299</v>
      </c>
      <c r="AJ5958">
        <v>85.628734715787004</v>
      </c>
      <c r="AK5958">
        <v>86.422564287684907</v>
      </c>
      <c r="AL5958">
        <v>78.948327368768702</v>
      </c>
      <c r="AM5958">
        <v>94.087011473322804</v>
      </c>
      <c r="AN5958">
        <v>0.99999997107662697</v>
      </c>
    </row>
    <row r="5959" spans="1:40" x14ac:dyDescent="0.25">
      <c r="A5959" t="str">
        <f>"20190304155220405"</f>
        <v>20190304155220405</v>
      </c>
      <c r="B5959" t="str">
        <f>"1551685940403025"</f>
        <v>1551685940403025</v>
      </c>
      <c r="C5959" t="s">
        <v>40</v>
      </c>
      <c r="D5959">
        <v>4.9379479999999996</v>
      </c>
      <c r="E5959">
        <v>0.55464219999999997</v>
      </c>
      <c r="F5959" t="s">
        <v>42</v>
      </c>
      <c r="G5959">
        <v>-263.56830000000002</v>
      </c>
      <c r="H5959">
        <v>-0.05</v>
      </c>
      <c r="I5959">
        <v>10.441509999999999</v>
      </c>
      <c r="J5959">
        <v>-345.00380000000001</v>
      </c>
      <c r="K5959">
        <v>1.110611</v>
      </c>
      <c r="L5959">
        <v>16.961729999999999</v>
      </c>
      <c r="M5959">
        <v>0.99989969999999995</v>
      </c>
      <c r="N5959">
        <v>-1.3819990000000001E-2</v>
      </c>
      <c r="O5959">
        <v>-3.1564509999999998E-3</v>
      </c>
      <c r="P5959">
        <v>0.98183799999999999</v>
      </c>
      <c r="Q5959">
        <v>0.17764150000000001</v>
      </c>
      <c r="R5959">
        <v>6.6618120000000003E-2</v>
      </c>
      <c r="S5959">
        <v>3.0805660000000001</v>
      </c>
      <c r="T5959">
        <v>-4.3823359999999999E-2</v>
      </c>
      <c r="U5959">
        <v>-0.24621580000000001</v>
      </c>
      <c r="V5959">
        <v>-6.9697830000000002E-2</v>
      </c>
      <c r="W5959">
        <v>0.1911976</v>
      </c>
      <c r="X5959">
        <v>0.97907390000000005</v>
      </c>
      <c r="Y5959">
        <v>7.6509110000000005E-2</v>
      </c>
      <c r="Z5959">
        <v>-1.0716320000000001E-3</v>
      </c>
      <c r="AA5959">
        <v>0.99706830000000002</v>
      </c>
      <c r="AB5959">
        <v>24</v>
      </c>
      <c r="AC5959">
        <v>81.435499999999905</v>
      </c>
      <c r="AD5959">
        <v>-1.1606110000000001</v>
      </c>
      <c r="AE5959">
        <v>-6.5202199999999904</v>
      </c>
      <c r="AF5959">
        <v>6.2618520579922299</v>
      </c>
      <c r="AG5959">
        <v>-1.1606110000000001</v>
      </c>
      <c r="AH5959">
        <v>81.439240648926102</v>
      </c>
      <c r="AI5959">
        <v>90.814078654582701</v>
      </c>
      <c r="AJ5959">
        <v>85.603186472031297</v>
      </c>
      <c r="AK5959">
        <v>81.6878676828034</v>
      </c>
      <c r="AL5959">
        <v>78.977317050713793</v>
      </c>
      <c r="AM5959">
        <v>94.071874675621601</v>
      </c>
      <c r="AN5959">
        <v>1.0000000057068299</v>
      </c>
    </row>
    <row r="5960" spans="1:40" x14ac:dyDescent="0.25">
      <c r="A5960" t="str">
        <f>"20190304155220427"</f>
        <v>20190304155220427</v>
      </c>
      <c r="B5960" t="str">
        <f>"1551685940422545"</f>
        <v>1551685940422545</v>
      </c>
      <c r="C5960" t="s">
        <v>40</v>
      </c>
      <c r="D5960">
        <v>4.8823359999999996</v>
      </c>
      <c r="E5960">
        <v>0.55480399999999996</v>
      </c>
      <c r="F5960" t="s">
        <v>42</v>
      </c>
      <c r="G5960">
        <v>-267.02350000000001</v>
      </c>
      <c r="H5960">
        <v>-0.05</v>
      </c>
      <c r="I5960">
        <v>10.672129999999999</v>
      </c>
      <c r="J5960">
        <v>-344.7835</v>
      </c>
      <c r="K5960">
        <v>1.1106240000000001</v>
      </c>
      <c r="L5960">
        <v>16.960999999999999</v>
      </c>
      <c r="M5960">
        <v>0.9998996</v>
      </c>
      <c r="N5960">
        <v>-1.381771E-2</v>
      </c>
      <c r="O5960">
        <v>-3.179795E-3</v>
      </c>
      <c r="P5960">
        <v>0.98198540000000001</v>
      </c>
      <c r="Q5960">
        <v>0.17714070000000001</v>
      </c>
      <c r="R5960">
        <v>6.5772789999999998E-2</v>
      </c>
      <c r="S5960">
        <v>3.0806580000000001</v>
      </c>
      <c r="T5960">
        <v>-4.5850630000000003E-2</v>
      </c>
      <c r="U5960">
        <v>-0.2484741</v>
      </c>
      <c r="V5960">
        <v>-6.8882090000000007E-2</v>
      </c>
      <c r="W5960">
        <v>0.190694</v>
      </c>
      <c r="X5960">
        <v>0.97922980000000004</v>
      </c>
      <c r="Y5960">
        <v>7.7208460000000007E-2</v>
      </c>
      <c r="Z5960">
        <v>-1.1045919999999999E-3</v>
      </c>
      <c r="AA5960">
        <v>0.99701430000000002</v>
      </c>
      <c r="AB5960">
        <v>24</v>
      </c>
      <c r="AC5960">
        <v>77.759999999999906</v>
      </c>
      <c r="AD5960">
        <v>-1.1606239999999901</v>
      </c>
      <c r="AE5960">
        <v>-6.2888699999999904</v>
      </c>
      <c r="AF5960">
        <v>6.0402168860458403</v>
      </c>
      <c r="AG5960">
        <v>-1.1606239999999901</v>
      </c>
      <c r="AH5960">
        <v>77.762394921118499</v>
      </c>
      <c r="AI5960">
        <v>90.852523362492803</v>
      </c>
      <c r="AJ5960">
        <v>85.558451777529697</v>
      </c>
      <c r="AK5960">
        <v>78.005264770833506</v>
      </c>
      <c r="AL5960">
        <v>79.006711687802294</v>
      </c>
      <c r="AM5960">
        <v>94.023736560545899</v>
      </c>
      <c r="AN5960">
        <v>0.99999997258340301</v>
      </c>
    </row>
    <row r="5961" spans="1:40" x14ac:dyDescent="0.25">
      <c r="A5961" t="str">
        <f>"20190304155220448"</f>
        <v>20190304155220448</v>
      </c>
      <c r="B5961" t="str">
        <f>"1551685940443040"</f>
        <v>1551685940443040</v>
      </c>
      <c r="C5961" t="s">
        <v>40</v>
      </c>
      <c r="D5961">
        <v>4.8673599999999997</v>
      </c>
      <c r="E5961">
        <v>0.55493009999999998</v>
      </c>
      <c r="F5961" t="s">
        <v>42</v>
      </c>
      <c r="G5961">
        <v>-270.07709999999997</v>
      </c>
      <c r="H5961">
        <v>-0.05</v>
      </c>
      <c r="I5961">
        <v>10.84276</v>
      </c>
      <c r="J5961">
        <v>-344.55070000000001</v>
      </c>
      <c r="K5961">
        <v>1.1106339999999999</v>
      </c>
      <c r="L5961">
        <v>16.96021</v>
      </c>
      <c r="M5961">
        <v>0.99989950000000005</v>
      </c>
      <c r="N5961">
        <v>-1.3815249999999999E-2</v>
      </c>
      <c r="O5961">
        <v>-3.187442E-3</v>
      </c>
      <c r="P5961">
        <v>0.98205339999999997</v>
      </c>
      <c r="Q5961">
        <v>0.17696500000000001</v>
      </c>
      <c r="R5961">
        <v>6.5227820000000006E-2</v>
      </c>
      <c r="S5961">
        <v>3.0805660000000001</v>
      </c>
      <c r="T5961">
        <v>-4.7859069999999997E-2</v>
      </c>
      <c r="U5961">
        <v>-0.25228879999999998</v>
      </c>
      <c r="V5961">
        <v>-6.8351259999999997E-2</v>
      </c>
      <c r="W5961">
        <v>0.1905152</v>
      </c>
      <c r="X5961">
        <v>0.9793018</v>
      </c>
      <c r="Y5961">
        <v>7.8428280000000003E-2</v>
      </c>
      <c r="Z5961">
        <v>-1.1454480000000001E-3</v>
      </c>
      <c r="AA5961">
        <v>0.99691909999999895</v>
      </c>
      <c r="AB5961">
        <v>24</v>
      </c>
      <c r="AC5961">
        <v>74.473600000000005</v>
      </c>
      <c r="AD5961">
        <v>-1.1606339999999999</v>
      </c>
      <c r="AE5961">
        <v>-6.1174499999999998</v>
      </c>
      <c r="AF5961">
        <v>5.8785977792396897</v>
      </c>
      <c r="AG5961">
        <v>-1.1606339999999999</v>
      </c>
      <c r="AH5961">
        <v>74.474755532820893</v>
      </c>
      <c r="AI5961">
        <v>90.890071999444402</v>
      </c>
      <c r="AJ5961">
        <v>85.486767074830198</v>
      </c>
      <c r="AK5961">
        <v>74.715421398834906</v>
      </c>
      <c r="AL5961">
        <v>79.017147530343493</v>
      </c>
      <c r="AM5961">
        <v>93.992536281318493</v>
      </c>
      <c r="AN5961">
        <v>0.99999997582893296</v>
      </c>
    </row>
    <row r="5962" spans="1:40" x14ac:dyDescent="0.25">
      <c r="A5962" t="str">
        <f>"20190304155220460"</f>
        <v>20190304155220460</v>
      </c>
      <c r="B5962" t="str">
        <f>"1551685940452800"</f>
        <v>1551685940452800</v>
      </c>
      <c r="C5962" t="s">
        <v>40</v>
      </c>
      <c r="D5962">
        <v>4.8606199999999999</v>
      </c>
      <c r="E5962">
        <v>0.55498309999999995</v>
      </c>
      <c r="F5962" t="s">
        <v>42</v>
      </c>
      <c r="G5962">
        <v>-270.56709999999998</v>
      </c>
      <c r="H5962">
        <v>-0.05</v>
      </c>
      <c r="I5962">
        <v>10.835100000000001</v>
      </c>
      <c r="J5962">
        <v>-344.42</v>
      </c>
      <c r="K5962">
        <v>1.1106400000000001</v>
      </c>
      <c r="L5962">
        <v>16.959779999999999</v>
      </c>
      <c r="M5962">
        <v>0.9998996</v>
      </c>
      <c r="N5962">
        <v>-1.3813870000000001E-2</v>
      </c>
      <c r="O5962">
        <v>-3.1853210000000001E-3</v>
      </c>
      <c r="P5962">
        <v>0.98208830000000003</v>
      </c>
      <c r="Q5962">
        <v>0.17696249999999999</v>
      </c>
      <c r="R5962">
        <v>6.4706470000000002E-2</v>
      </c>
      <c r="S5962">
        <v>3.080505</v>
      </c>
      <c r="T5962">
        <v>-4.8326130000000002E-2</v>
      </c>
      <c r="U5962">
        <v>-0.25503540000000002</v>
      </c>
      <c r="V5962">
        <v>-6.783016E-2</v>
      </c>
      <c r="W5962">
        <v>0.19051100000000001</v>
      </c>
      <c r="X5962">
        <v>0.97933890000000001</v>
      </c>
      <c r="Y5962">
        <v>7.9314389999999999E-2</v>
      </c>
      <c r="Z5962">
        <v>-1.1639249999999999E-3</v>
      </c>
      <c r="AA5962">
        <v>0.99684899999999999</v>
      </c>
      <c r="AB5962">
        <v>24</v>
      </c>
      <c r="AC5962">
        <v>73.852900000000005</v>
      </c>
      <c r="AD5962">
        <v>-1.1606399999999999</v>
      </c>
      <c r="AE5962">
        <v>-6.1246799999999899</v>
      </c>
      <c r="AF5962">
        <v>5.8879370385507697</v>
      </c>
      <c r="AG5962">
        <v>-1.1606399999999999</v>
      </c>
      <c r="AH5962">
        <v>73.853920420561806</v>
      </c>
      <c r="AI5962">
        <v>90.897501707649198</v>
      </c>
      <c r="AJ5962">
        <v>85.441786692622799</v>
      </c>
      <c r="AK5962">
        <v>74.097344414399998</v>
      </c>
      <c r="AL5962">
        <v>79.017393224494</v>
      </c>
      <c r="AM5962">
        <v>93.962045468067899</v>
      </c>
      <c r="AN5962">
        <v>1.00000002638991</v>
      </c>
    </row>
    <row r="5963" spans="1:40" x14ac:dyDescent="0.25">
      <c r="A5963" t="str">
        <f>"20190304155220472"</f>
        <v>20190304155220472</v>
      </c>
      <c r="B5963" t="str">
        <f>"1551685940462560"</f>
        <v>1551685940462560</v>
      </c>
      <c r="C5963" t="s">
        <v>40</v>
      </c>
      <c r="D5963">
        <v>4.9013970000000002</v>
      </c>
      <c r="E5963">
        <v>0.55504989999999998</v>
      </c>
      <c r="F5963" t="s">
        <v>42</v>
      </c>
      <c r="G5963">
        <v>-270.66520000000003</v>
      </c>
      <c r="H5963">
        <v>-0.05</v>
      </c>
      <c r="I5963">
        <v>10.80513</v>
      </c>
      <c r="J5963">
        <v>-344.29680000000002</v>
      </c>
      <c r="K5963">
        <v>1.1106389999999999</v>
      </c>
      <c r="L5963">
        <v>16.959379999999999</v>
      </c>
      <c r="M5963">
        <v>0.99989950000000005</v>
      </c>
      <c r="N5963">
        <v>-1.381256E-2</v>
      </c>
      <c r="O5963">
        <v>-3.1821459999999998E-3</v>
      </c>
      <c r="P5963">
        <v>0.98212489999999997</v>
      </c>
      <c r="Q5963">
        <v>0.17691019999999999</v>
      </c>
      <c r="R5963">
        <v>6.4294900000000002E-2</v>
      </c>
      <c r="S5963">
        <v>3.0803829999999999</v>
      </c>
      <c r="T5963">
        <v>-4.847431E-2</v>
      </c>
      <c r="U5963">
        <v>-0.25704959999999999</v>
      </c>
      <c r="V5963">
        <v>-6.741714E-2</v>
      </c>
      <c r="W5963">
        <v>0.19045719999999999</v>
      </c>
      <c r="X5963">
        <v>0.97937790000000002</v>
      </c>
      <c r="Y5963">
        <v>7.9967869999999996E-2</v>
      </c>
      <c r="Z5963">
        <v>-1.1753009999999999E-3</v>
      </c>
      <c r="AA5963">
        <v>0.99679669999999998</v>
      </c>
      <c r="AB5963">
        <v>24</v>
      </c>
      <c r="AC5963">
        <v>73.631599999999906</v>
      </c>
      <c r="AD5963">
        <v>-1.160639</v>
      </c>
      <c r="AE5963">
        <v>-6.1542499999999896</v>
      </c>
      <c r="AF5963">
        <v>5.9184296468306803</v>
      </c>
      <c r="AG5963">
        <v>-1.160639</v>
      </c>
      <c r="AH5963">
        <v>73.632644480405304</v>
      </c>
      <c r="AI5963">
        <v>90.900150803799804</v>
      </c>
      <c r="AJ5963">
        <v>85.4045709481763</v>
      </c>
      <c r="AK5963">
        <v>73.879234061748207</v>
      </c>
      <c r="AL5963">
        <v>79.020533419081204</v>
      </c>
      <c r="AM5963">
        <v>93.9378402614512</v>
      </c>
      <c r="AN5963">
        <v>1.0000000434030101</v>
      </c>
    </row>
    <row r="5964" spans="1:40" x14ac:dyDescent="0.25">
      <c r="A5964" t="str">
        <f>"20190304155220484"</f>
        <v>20190304155220484</v>
      </c>
      <c r="B5964" t="str">
        <f>"1551685940473297"</f>
        <v>1551685940473297</v>
      </c>
      <c r="C5964" t="s">
        <v>40</v>
      </c>
      <c r="D5964">
        <v>4.8766129999999999</v>
      </c>
      <c r="E5964">
        <v>0.555114</v>
      </c>
      <c r="F5964" t="s">
        <v>42</v>
      </c>
      <c r="G5964">
        <v>-270.9203</v>
      </c>
      <c r="H5964">
        <v>-0.05</v>
      </c>
      <c r="I5964">
        <v>10.791169999999999</v>
      </c>
      <c r="J5964">
        <v>-344.1583</v>
      </c>
      <c r="K5964">
        <v>1.110641</v>
      </c>
      <c r="L5964">
        <v>16.958950000000002</v>
      </c>
      <c r="M5964">
        <v>0.9998996</v>
      </c>
      <c r="N5964">
        <v>-1.38111E-2</v>
      </c>
      <c r="O5964">
        <v>-3.1761229999999999E-3</v>
      </c>
      <c r="P5964">
        <v>0.98213830000000002</v>
      </c>
      <c r="Q5964">
        <v>0.17695469999999999</v>
      </c>
      <c r="R5964">
        <v>6.3965069999999999E-2</v>
      </c>
      <c r="S5964">
        <v>3.0803530000000001</v>
      </c>
      <c r="T5964">
        <v>-4.8723700000000002E-2</v>
      </c>
      <c r="U5964">
        <v>-0.2589417</v>
      </c>
      <c r="V5964">
        <v>-6.7083119999999996E-2</v>
      </c>
      <c r="W5964">
        <v>0.19050020000000001</v>
      </c>
      <c r="X5964">
        <v>0.97939240000000005</v>
      </c>
      <c r="Y5964">
        <v>8.0582399999999998E-2</v>
      </c>
      <c r="Z5964">
        <v>-1.187331E-3</v>
      </c>
      <c r="AA5964">
        <v>0.9967473</v>
      </c>
      <c r="AB5964">
        <v>24</v>
      </c>
      <c r="AC5964">
        <v>73.238</v>
      </c>
      <c r="AD5964">
        <v>-1.160641</v>
      </c>
      <c r="AE5964">
        <v>-6.1677799999999996</v>
      </c>
      <c r="AF5964">
        <v>5.9336341027539801</v>
      </c>
      <c r="AG5964">
        <v>-1.160641</v>
      </c>
      <c r="AH5964">
        <v>73.238958026843505</v>
      </c>
      <c r="AI5964">
        <v>90.904943799861897</v>
      </c>
      <c r="AJ5964">
        <v>85.368158197424705</v>
      </c>
      <c r="AK5964">
        <v>73.488094777684793</v>
      </c>
      <c r="AL5964">
        <v>79.018022960149906</v>
      </c>
      <c r="AM5964">
        <v>93.918333223139499</v>
      </c>
      <c r="AN5964">
        <v>0.999999972183366</v>
      </c>
    </row>
    <row r="5965" spans="1:40" x14ac:dyDescent="0.25">
      <c r="A5965" t="str">
        <f>"20190304155220496"</f>
        <v>20190304155220496</v>
      </c>
      <c r="B5965" t="str">
        <f>"1551685940492817"</f>
        <v>1551685940492817</v>
      </c>
      <c r="C5965" t="s">
        <v>40</v>
      </c>
      <c r="D5965">
        <v>4.8836680000000001</v>
      </c>
      <c r="E5965">
        <v>0.55523319999999998</v>
      </c>
      <c r="F5965" t="s">
        <v>42</v>
      </c>
      <c r="G5965">
        <v>-271.1549</v>
      </c>
      <c r="H5965">
        <v>-0.05</v>
      </c>
      <c r="I5965">
        <v>10.78528</v>
      </c>
      <c r="J5965">
        <v>-344.03050000000002</v>
      </c>
      <c r="K5965">
        <v>1.1106419999999999</v>
      </c>
      <c r="L5965">
        <v>16.958559999999999</v>
      </c>
      <c r="M5965">
        <v>0.99989969999999995</v>
      </c>
      <c r="N5965">
        <v>-1.3809760000000001E-2</v>
      </c>
      <c r="O5965">
        <v>-3.1696509999999999E-3</v>
      </c>
      <c r="P5965">
        <v>0.98212279999999996</v>
      </c>
      <c r="Q5965">
        <v>0.17727019999999999</v>
      </c>
      <c r="R5965">
        <v>6.3328620000000002E-2</v>
      </c>
      <c r="S5965">
        <v>3.0803829999999999</v>
      </c>
      <c r="T5965">
        <v>-4.8973320000000001E-2</v>
      </c>
      <c r="U5965">
        <v>-0.26049800000000001</v>
      </c>
      <c r="V5965">
        <v>-6.6441050000000001E-2</v>
      </c>
      <c r="W5965">
        <v>0.19081390000000001</v>
      </c>
      <c r="X5965">
        <v>0.97937510000000005</v>
      </c>
      <c r="Y5965">
        <v>8.1087839999999994E-2</v>
      </c>
      <c r="Z5965">
        <v>-1.197788E-3</v>
      </c>
      <c r="AA5965">
        <v>0.99670619999999999</v>
      </c>
      <c r="AB5965">
        <v>24</v>
      </c>
      <c r="AC5965">
        <v>72.875600000000006</v>
      </c>
      <c r="AD5965">
        <v>-1.160642</v>
      </c>
      <c r="AE5965">
        <v>-6.1732800000000001</v>
      </c>
      <c r="AF5965">
        <v>5.9407406310729201</v>
      </c>
      <c r="AG5965">
        <v>-1.160642</v>
      </c>
      <c r="AH5965">
        <v>72.876449555295096</v>
      </c>
      <c r="AI5965">
        <v>90.909408537504603</v>
      </c>
      <c r="AJ5965">
        <v>85.339668732660101</v>
      </c>
      <c r="AK5965">
        <v>73.1273983461966</v>
      </c>
      <c r="AL5965">
        <v>78.999713414455002</v>
      </c>
      <c r="AM5965">
        <v>93.8810133387246</v>
      </c>
      <c r="AN5965">
        <v>0.99999997202916002</v>
      </c>
    </row>
    <row r="5966" spans="1:40" x14ac:dyDescent="0.25">
      <c r="A5966" t="str">
        <f>"20190304155220516"</f>
        <v>20190304155220516</v>
      </c>
      <c r="B5966" t="str">
        <f>"1551685940513312"</f>
        <v>1551685940513312</v>
      </c>
      <c r="C5966" t="s">
        <v>40</v>
      </c>
      <c r="D5966">
        <v>4.9612860000000003</v>
      </c>
      <c r="E5966">
        <v>0.55536560000000001</v>
      </c>
      <c r="F5966" t="s">
        <v>42</v>
      </c>
      <c r="G5966">
        <v>-269.46519999999998</v>
      </c>
      <c r="H5966">
        <v>-0.05</v>
      </c>
      <c r="I5966">
        <v>10.574170000000001</v>
      </c>
      <c r="J5966">
        <v>-343.82249999999999</v>
      </c>
      <c r="K5966">
        <v>1.1106469999999999</v>
      </c>
      <c r="L5966">
        <v>16.957920000000001</v>
      </c>
      <c r="M5966">
        <v>0.99989969999999995</v>
      </c>
      <c r="N5966">
        <v>-1.380756E-2</v>
      </c>
      <c r="O5966">
        <v>-3.1586520000000001E-3</v>
      </c>
      <c r="P5966">
        <v>0.98215620000000003</v>
      </c>
      <c r="Q5966">
        <v>0.17745050000000001</v>
      </c>
      <c r="R5966">
        <v>6.2296299999999999E-2</v>
      </c>
      <c r="S5966">
        <v>3.0802309999999999</v>
      </c>
      <c r="T5966">
        <v>-4.7945139999999997E-2</v>
      </c>
      <c r="U5966">
        <v>-0.26373289999999999</v>
      </c>
      <c r="V5966">
        <v>-6.5398220000000007E-2</v>
      </c>
      <c r="W5966">
        <v>0.1909922</v>
      </c>
      <c r="X5966">
        <v>0.97941060000000002</v>
      </c>
      <c r="Y5966">
        <v>8.2142480000000004E-2</v>
      </c>
      <c r="Z5966">
        <v>-1.200773E-3</v>
      </c>
      <c r="AA5966">
        <v>0.9966199</v>
      </c>
      <c r="AB5966">
        <v>24</v>
      </c>
      <c r="AC5966">
        <v>74.357299999999995</v>
      </c>
      <c r="AD5966">
        <v>-1.160647</v>
      </c>
      <c r="AE5966">
        <v>-6.38375</v>
      </c>
      <c r="AF5966">
        <v>6.1473401313493898</v>
      </c>
      <c r="AG5966">
        <v>-1.160647</v>
      </c>
      <c r="AH5966">
        <v>74.359110476517799</v>
      </c>
      <c r="AI5966">
        <v>90.891198673735005</v>
      </c>
      <c r="AJ5966">
        <v>85.274049004842496</v>
      </c>
      <c r="AK5966">
        <v>74.621807824576905</v>
      </c>
      <c r="AL5966">
        <v>78.989306883826501</v>
      </c>
      <c r="AM5966">
        <v>93.820142381955804</v>
      </c>
      <c r="AN5966">
        <v>1.00000003551618</v>
      </c>
    </row>
    <row r="5967" spans="1:40" x14ac:dyDescent="0.25">
      <c r="A5967" t="str">
        <f>"20190304155220529"</f>
        <v>20190304155220529</v>
      </c>
      <c r="B5967" t="str">
        <f>"1551685940523072"</f>
        <v>1551685940523072</v>
      </c>
      <c r="C5967" t="s">
        <v>40</v>
      </c>
      <c r="D5967">
        <v>4.9049160000000001</v>
      </c>
      <c r="E5967">
        <v>0.55542860000000005</v>
      </c>
      <c r="F5967" t="s">
        <v>42</v>
      </c>
      <c r="G5967">
        <v>-268.7647</v>
      </c>
      <c r="H5967">
        <v>-0.05</v>
      </c>
      <c r="I5967">
        <v>10.427020000000001</v>
      </c>
      <c r="J5967">
        <v>-343.67689999999999</v>
      </c>
      <c r="K5967">
        <v>1.1106480000000001</v>
      </c>
      <c r="L5967">
        <v>16.957460000000001</v>
      </c>
      <c r="M5967">
        <v>0.99989980000000001</v>
      </c>
      <c r="N5967">
        <v>-1.380603E-2</v>
      </c>
      <c r="O5967">
        <v>-3.1510169999999999E-3</v>
      </c>
      <c r="P5967">
        <v>0.98209460000000004</v>
      </c>
      <c r="Q5967">
        <v>0.17793529999999999</v>
      </c>
      <c r="R5967">
        <v>6.1880099999999903E-2</v>
      </c>
      <c r="S5967">
        <v>3.0801090000000002</v>
      </c>
      <c r="T5967">
        <v>-4.7628879999999998E-2</v>
      </c>
      <c r="U5967">
        <v>-0.2680054</v>
      </c>
      <c r="V5967">
        <v>-6.4974470000000006E-2</v>
      </c>
      <c r="W5967">
        <v>0.1914747</v>
      </c>
      <c r="X5967">
        <v>0.97934449999999995</v>
      </c>
      <c r="Y5967">
        <v>8.3525440000000006E-2</v>
      </c>
      <c r="Z5967">
        <v>-1.217089E-3</v>
      </c>
      <c r="AA5967">
        <v>0.99650490000000003</v>
      </c>
      <c r="AB5967">
        <v>24</v>
      </c>
      <c r="AC5967">
        <v>74.912199999999899</v>
      </c>
      <c r="AD5967">
        <v>-1.1606479999999999</v>
      </c>
      <c r="AE5967">
        <v>-6.5304399999999996</v>
      </c>
      <c r="AF5967">
        <v>6.2928362932031199</v>
      </c>
      <c r="AG5967">
        <v>-1.1606479999999999</v>
      </c>
      <c r="AH5967">
        <v>74.914560145156699</v>
      </c>
      <c r="AI5967">
        <v>90.884495459174204</v>
      </c>
      <c r="AJ5967">
        <v>85.198416594158203</v>
      </c>
      <c r="AK5967">
        <v>75.187354083883406</v>
      </c>
      <c r="AL5967">
        <v>78.961140874300398</v>
      </c>
      <c r="AM5967">
        <v>93.795717645715499</v>
      </c>
      <c r="AN5967">
        <v>0.99999994608605902</v>
      </c>
    </row>
    <row r="5968" spans="1:40" x14ac:dyDescent="0.25">
      <c r="A5968" t="str">
        <f>"20190304155220550"</f>
        <v>20190304155220550</v>
      </c>
      <c r="B5968" t="str">
        <f>"1551685940542592"</f>
        <v>1551685940542592</v>
      </c>
      <c r="C5968" t="s">
        <v>40</v>
      </c>
      <c r="D5968">
        <v>4.9654590000000001</v>
      </c>
      <c r="E5968">
        <v>0.55552539999999995</v>
      </c>
      <c r="F5968" t="s">
        <v>42</v>
      </c>
      <c r="G5968">
        <v>-266.54750000000001</v>
      </c>
      <c r="H5968">
        <v>-0.05</v>
      </c>
      <c r="I5968">
        <v>10.201969999999999</v>
      </c>
      <c r="J5968">
        <v>-343.45429999999999</v>
      </c>
      <c r="K5968">
        <v>1.110652</v>
      </c>
      <c r="L5968">
        <v>16.956759999999999</v>
      </c>
      <c r="M5968">
        <v>0.99989980000000001</v>
      </c>
      <c r="N5968">
        <v>-1.380368E-2</v>
      </c>
      <c r="O5968">
        <v>-3.1414939999999999E-3</v>
      </c>
      <c r="P5968">
        <v>0.98205949999999997</v>
      </c>
      <c r="Q5968">
        <v>0.178388299999999</v>
      </c>
      <c r="R5968">
        <v>6.1129490000000002E-2</v>
      </c>
      <c r="S5968">
        <v>3.0801090000000002</v>
      </c>
      <c r="T5968">
        <v>-4.6349639999999998E-2</v>
      </c>
      <c r="U5968">
        <v>-0.2697754</v>
      </c>
      <c r="V5968">
        <v>-6.4213569999999998E-2</v>
      </c>
      <c r="W5968">
        <v>0.1919254</v>
      </c>
      <c r="X5968">
        <v>0.97930649999999997</v>
      </c>
      <c r="Y5968">
        <v>8.4103869999999997E-2</v>
      </c>
      <c r="Z5968">
        <v>-1.209332E-3</v>
      </c>
      <c r="AA5968">
        <v>0.99645629999999996</v>
      </c>
      <c r="AB5968">
        <v>24</v>
      </c>
      <c r="AC5968">
        <v>76.906799999999905</v>
      </c>
      <c r="AD5968">
        <v>-1.160652</v>
      </c>
      <c r="AE5968">
        <v>-6.7547899999999998</v>
      </c>
      <c r="AF5968">
        <v>6.5116596604952601</v>
      </c>
      <c r="AG5968">
        <v>-1.160652</v>
      </c>
      <c r="AH5968">
        <v>76.910259716423099</v>
      </c>
      <c r="AI5968">
        <v>90.861502671822706</v>
      </c>
      <c r="AJ5968">
        <v>85.160555174131403</v>
      </c>
      <c r="AK5968">
        <v>77.194150518331796</v>
      </c>
      <c r="AL5968">
        <v>78.934830080915503</v>
      </c>
      <c r="AM5968">
        <v>93.751539757626304</v>
      </c>
      <c r="AN5968">
        <v>0.99999998133977697</v>
      </c>
    </row>
    <row r="5969" spans="1:40" x14ac:dyDescent="0.25">
      <c r="A5969" t="str">
        <f>"20190304155220571"</f>
        <v>20190304155220571</v>
      </c>
      <c r="B5969" t="str">
        <f>"1551685940563088"</f>
        <v>1551685940563088</v>
      </c>
      <c r="C5969" t="s">
        <v>40</v>
      </c>
      <c r="D5969">
        <v>5.1104339999999997</v>
      </c>
      <c r="E5969">
        <v>0.55564250000000004</v>
      </c>
      <c r="F5969" t="s">
        <v>42</v>
      </c>
      <c r="G5969">
        <v>-265.24189999999999</v>
      </c>
      <c r="H5969">
        <v>-0.05</v>
      </c>
      <c r="I5969">
        <v>10.02505</v>
      </c>
      <c r="J5969">
        <v>-343.21879999999999</v>
      </c>
      <c r="K5969">
        <v>1.1106549999999999</v>
      </c>
      <c r="L5969">
        <v>16.956019999999999</v>
      </c>
      <c r="M5969">
        <v>0.99989989999999995</v>
      </c>
      <c r="N5969">
        <v>-1.380119E-2</v>
      </c>
      <c r="O5969">
        <v>-3.1342470000000002E-3</v>
      </c>
      <c r="P5969">
        <v>0.98205419999999999</v>
      </c>
      <c r="Q5969">
        <v>0.1786287</v>
      </c>
      <c r="R5969">
        <v>6.0512330000000003E-2</v>
      </c>
      <c r="S5969">
        <v>3.0801090000000002</v>
      </c>
      <c r="T5969">
        <v>-4.5708060000000002E-2</v>
      </c>
      <c r="U5969">
        <v>-0.27297969999999999</v>
      </c>
      <c r="V5969">
        <v>-6.3588060000000002E-2</v>
      </c>
      <c r="W5969">
        <v>0.19216359999999999</v>
      </c>
      <c r="X5969">
        <v>0.97930059999999997</v>
      </c>
      <c r="Y5969">
        <v>8.5139880000000001E-2</v>
      </c>
      <c r="Z5969">
        <v>-1.2159720000000001E-3</v>
      </c>
      <c r="AA5969">
        <v>0.99636829999999998</v>
      </c>
      <c r="AB5969">
        <v>24</v>
      </c>
      <c r="AC5969">
        <v>77.976900000000001</v>
      </c>
      <c r="AD5969">
        <v>-1.160655</v>
      </c>
      <c r="AE5969">
        <v>-6.9309700000000003</v>
      </c>
      <c r="AF5969">
        <v>6.6850443484637498</v>
      </c>
      <c r="AG5969">
        <v>-1.160655</v>
      </c>
      <c r="AH5969">
        <v>77.981100972234898</v>
      </c>
      <c r="AI5969">
        <v>90.849600185371798</v>
      </c>
      <c r="AJ5969">
        <v>85.100214650388907</v>
      </c>
      <c r="AK5969">
        <v>78.275724505186503</v>
      </c>
      <c r="AL5969">
        <v>78.920923330292794</v>
      </c>
      <c r="AM5969">
        <v>93.715120844099502</v>
      </c>
      <c r="AN5969">
        <v>0.99999997784994099</v>
      </c>
    </row>
    <row r="5970" spans="1:40" x14ac:dyDescent="0.25">
      <c r="A5970" t="str">
        <f>"20190304155220584"</f>
        <v>20190304155220584</v>
      </c>
      <c r="B5970" t="str">
        <f>"1551685940572849"</f>
        <v>1551685940572849</v>
      </c>
      <c r="C5970" t="s">
        <v>40</v>
      </c>
      <c r="D5970">
        <v>5.1764530000000004</v>
      </c>
      <c r="E5970">
        <v>0.55576809999999999</v>
      </c>
      <c r="F5970" t="s">
        <v>42</v>
      </c>
      <c r="G5970">
        <v>-262.12970000000001</v>
      </c>
      <c r="H5970">
        <v>-0.05</v>
      </c>
      <c r="I5970">
        <v>9.6972050000000003</v>
      </c>
      <c r="J5970">
        <v>-343.08179999999999</v>
      </c>
      <c r="K5970">
        <v>1.110657</v>
      </c>
      <c r="L5970">
        <v>16.9556</v>
      </c>
      <c r="M5970">
        <v>0.99990000000000001</v>
      </c>
      <c r="N5970">
        <v>-1.379974E-2</v>
      </c>
      <c r="O5970">
        <v>-3.1315190000000001E-3</v>
      </c>
      <c r="P5970">
        <v>0.98203459999999998</v>
      </c>
      <c r="Q5970">
        <v>0.178833299999999</v>
      </c>
      <c r="R5970">
        <v>6.0226050000000003E-2</v>
      </c>
      <c r="S5970">
        <v>3.079834</v>
      </c>
      <c r="T5970">
        <v>-4.4082639999999999E-2</v>
      </c>
      <c r="U5970">
        <v>-0.27569579999999999</v>
      </c>
      <c r="V5970">
        <v>-6.3298320000000005E-2</v>
      </c>
      <c r="W5970">
        <v>0.19236619999999999</v>
      </c>
      <c r="X5970">
        <v>0.97927960000000003</v>
      </c>
      <c r="Y5970">
        <v>8.6022929999999997E-2</v>
      </c>
      <c r="Z5970">
        <v>-1.207599E-3</v>
      </c>
      <c r="AA5970">
        <v>0.99629239999999997</v>
      </c>
      <c r="AB5970">
        <v>24</v>
      </c>
      <c r="AC5970">
        <v>80.952099999999902</v>
      </c>
      <c r="AD5970">
        <v>-1.160657</v>
      </c>
      <c r="AE5970">
        <v>-7.2583950000000002</v>
      </c>
      <c r="AF5970">
        <v>7.0034040741107297</v>
      </c>
      <c r="AG5970">
        <v>-1.160657</v>
      </c>
      <c r="AH5970">
        <v>80.957925481927802</v>
      </c>
      <c r="AI5970">
        <v>90.818311535856495</v>
      </c>
      <c r="AJ5970">
        <v>85.055838958911195</v>
      </c>
      <c r="AK5970">
        <v>81.268570134057896</v>
      </c>
      <c r="AL5970">
        <v>78.909094580174198</v>
      </c>
      <c r="AM5970">
        <v>93.698319008849595</v>
      </c>
      <c r="AN5970">
        <v>0.99999998359671105</v>
      </c>
    </row>
    <row r="5971" spans="1:40" x14ac:dyDescent="0.25">
      <c r="A5971" t="str">
        <f>"20190304155220597"</f>
        <v>20190304155220597</v>
      </c>
      <c r="B5971" t="str">
        <f>"1551685940593346"</f>
        <v>1551685940593346</v>
      </c>
      <c r="C5971" t="s">
        <v>40</v>
      </c>
      <c r="D5971">
        <v>5.3248680000000004</v>
      </c>
      <c r="E5971">
        <v>0.60608629999999997</v>
      </c>
      <c r="F5971" t="s">
        <v>42</v>
      </c>
      <c r="G5971">
        <v>-260.7955</v>
      </c>
      <c r="H5971">
        <v>-0.05</v>
      </c>
      <c r="I5971">
        <v>9.5406189999999995</v>
      </c>
      <c r="J5971">
        <v>-342.95429999999999</v>
      </c>
      <c r="K5971">
        <v>1.110657</v>
      </c>
      <c r="L5971">
        <v>16.955200000000001</v>
      </c>
      <c r="M5971">
        <v>0.99990000000000001</v>
      </c>
      <c r="N5971">
        <v>-1.3798400000000001E-2</v>
      </c>
      <c r="O5971">
        <v>-3.1302209999999999E-3</v>
      </c>
      <c r="P5971">
        <v>0.98198790000000002</v>
      </c>
      <c r="Q5971">
        <v>0.17921479999999901</v>
      </c>
      <c r="R5971">
        <v>5.985149E-2</v>
      </c>
      <c r="S5971">
        <v>3.0798030000000001</v>
      </c>
      <c r="T5971">
        <v>-4.3440939999999997E-2</v>
      </c>
      <c r="U5971">
        <v>-0.27752690000000002</v>
      </c>
      <c r="V5971">
        <v>-6.2921359999999996E-2</v>
      </c>
      <c r="W5971">
        <v>0.1927461</v>
      </c>
      <c r="X5971">
        <v>0.97922920000000002</v>
      </c>
      <c r="Y5971">
        <v>8.6612919999999996E-2</v>
      </c>
      <c r="Z5971">
        <v>-1.207481E-3</v>
      </c>
      <c r="AA5971">
        <v>0.9962413</v>
      </c>
      <c r="AB5971">
        <v>24</v>
      </c>
      <c r="AC5971">
        <v>82.1587999999999</v>
      </c>
      <c r="AD5971">
        <v>-1.160657</v>
      </c>
      <c r="AE5971">
        <v>-7.4145810000000001</v>
      </c>
      <c r="AF5971">
        <v>7.15592842146956</v>
      </c>
      <c r="AG5971">
        <v>-1.160657</v>
      </c>
      <c r="AH5971">
        <v>82.165343471242196</v>
      </c>
      <c r="AI5971">
        <v>90.806247428986097</v>
      </c>
      <c r="AJ5971">
        <v>85.022566129618298</v>
      </c>
      <c r="AK5971">
        <v>82.484532513629802</v>
      </c>
      <c r="AL5971">
        <v>78.886912889762598</v>
      </c>
      <c r="AM5971">
        <v>93.676543719248002</v>
      </c>
      <c r="AN5971">
        <v>0.999999991371049</v>
      </c>
    </row>
    <row r="5972" spans="1:40" x14ac:dyDescent="0.25">
      <c r="A5972" t="str">
        <f>"20190304155220609"</f>
        <v>20190304155220609</v>
      </c>
      <c r="B5972" t="str">
        <f>"1551685940603104"</f>
        <v>1551685940603104</v>
      </c>
      <c r="C5972" t="s">
        <v>40</v>
      </c>
      <c r="D5972">
        <v>5.3534940000000004</v>
      </c>
      <c r="E5972">
        <v>0.60508419999999996</v>
      </c>
      <c r="F5972" t="s">
        <v>41</v>
      </c>
      <c r="G5972">
        <v>-326.029</v>
      </c>
      <c r="H5972" s="1">
        <v>-3.1986709999999998E-6</v>
      </c>
      <c r="I5972">
        <v>13.26646</v>
      </c>
      <c r="J5972">
        <v>-342.81729999999999</v>
      </c>
      <c r="K5972">
        <v>1.1106560000000001</v>
      </c>
      <c r="L5972">
        <v>16.95477</v>
      </c>
      <c r="M5972">
        <v>0.99990000000000001</v>
      </c>
      <c r="N5972">
        <v>-1.379697E-2</v>
      </c>
      <c r="O5972">
        <v>-3.1286809999999999E-3</v>
      </c>
      <c r="P5972">
        <v>0.98197389999999996</v>
      </c>
      <c r="Q5972">
        <v>0.17942640000000001</v>
      </c>
      <c r="R5972">
        <v>5.9442290000000002E-2</v>
      </c>
      <c r="S5972">
        <v>3.1341860000000001</v>
      </c>
      <c r="T5972">
        <v>-0.20567009999999999</v>
      </c>
      <c r="U5972">
        <v>-0.68307499999999999</v>
      </c>
      <c r="V5972">
        <v>-6.2510170000000004E-2</v>
      </c>
      <c r="W5972">
        <v>0.19295619999999999</v>
      </c>
      <c r="X5972">
        <v>0.97921409999999998</v>
      </c>
      <c r="Y5972">
        <v>0.20936660000000001</v>
      </c>
      <c r="Z5972">
        <v>-8.0856250000000008E-3</v>
      </c>
      <c r="AA5972">
        <v>0.9778038</v>
      </c>
      <c r="AB5972">
        <v>24</v>
      </c>
      <c r="AC5972">
        <v>16.7882999999999</v>
      </c>
      <c r="AD5972">
        <v>-1.1106591986709999</v>
      </c>
      <c r="AE5972">
        <v>-3.68831</v>
      </c>
      <c r="AF5972">
        <v>3.6206448180550002</v>
      </c>
      <c r="AG5972">
        <v>-1.1106591986709999</v>
      </c>
      <c r="AH5972">
        <v>16.729907844163499</v>
      </c>
      <c r="AI5972">
        <v>93.712462677541197</v>
      </c>
      <c r="AJ5972">
        <v>77.788514130181099</v>
      </c>
      <c r="AK5972">
        <v>17.153205217343601</v>
      </c>
      <c r="AL5972">
        <v>78.874644114577094</v>
      </c>
      <c r="AM5972">
        <v>93.652638996997894</v>
      </c>
      <c r="AN5972">
        <v>0.99999993505533702</v>
      </c>
    </row>
    <row r="5973" spans="1:40" x14ac:dyDescent="0.25">
      <c r="A5973" t="str">
        <f>"20190304155220626"</f>
        <v>20190304155220626</v>
      </c>
      <c r="B5973" t="str">
        <f>"1551685940622624"</f>
        <v>1551685940622624</v>
      </c>
      <c r="C5973" t="s">
        <v>40</v>
      </c>
      <c r="D5973">
        <v>5.3330250000000001</v>
      </c>
      <c r="E5973">
        <v>0.60253040000000002</v>
      </c>
      <c r="F5973" t="s">
        <v>41</v>
      </c>
      <c r="G5973">
        <v>-326.01549999999997</v>
      </c>
      <c r="H5973" s="1">
        <v>-3.1867220000000001E-6</v>
      </c>
      <c r="I5973">
        <v>13.330870000000001</v>
      </c>
      <c r="J5973">
        <v>-342.63069999999999</v>
      </c>
      <c r="K5973">
        <v>1.110657</v>
      </c>
      <c r="L5973">
        <v>16.954190000000001</v>
      </c>
      <c r="M5973">
        <v>0.99990000000000001</v>
      </c>
      <c r="N5973">
        <v>-1.379502E-2</v>
      </c>
      <c r="O5973">
        <v>-3.125811E-3</v>
      </c>
      <c r="P5973">
        <v>0.98211919999999997</v>
      </c>
      <c r="Q5973">
        <v>0.1788815</v>
      </c>
      <c r="R5973">
        <v>5.8678370000000001E-2</v>
      </c>
      <c r="S5973">
        <v>3.1338810000000001</v>
      </c>
      <c r="T5973">
        <v>-0.20716119999999999</v>
      </c>
      <c r="U5973">
        <v>-0.67593380000000003</v>
      </c>
      <c r="V5973">
        <v>-6.1743640000000002E-2</v>
      </c>
      <c r="W5973">
        <v>0.1924121</v>
      </c>
      <c r="X5973">
        <v>0.97936990000000002</v>
      </c>
      <c r="Y5973">
        <v>0.20725879999999999</v>
      </c>
      <c r="Z5973">
        <v>-8.0515459999999997E-3</v>
      </c>
      <c r="AA5973">
        <v>0.97825300000000004</v>
      </c>
      <c r="AB5973">
        <v>24</v>
      </c>
      <c r="AC5973">
        <v>16.615200000000002</v>
      </c>
      <c r="AD5973">
        <v>-1.1106601867219901</v>
      </c>
      <c r="AE5973">
        <v>-3.6233200000000001</v>
      </c>
      <c r="AF5973">
        <v>3.5561922950006899</v>
      </c>
      <c r="AG5973">
        <v>-1.1106601867219901</v>
      </c>
      <c r="AH5973">
        <v>16.555826143735501</v>
      </c>
      <c r="AI5973">
        <v>93.752637797963402</v>
      </c>
      <c r="AJ5973">
        <v>77.877070362767995</v>
      </c>
      <c r="AK5973">
        <v>16.969839392021001</v>
      </c>
      <c r="AL5973">
        <v>78.906415353261806</v>
      </c>
      <c r="AM5973">
        <v>93.607395164324103</v>
      </c>
      <c r="AN5973">
        <v>1.0000000471664301</v>
      </c>
    </row>
    <row r="5974" spans="1:40" x14ac:dyDescent="0.25">
      <c r="A5974" t="str">
        <f>"20190304155220639"</f>
        <v>20190304155220639</v>
      </c>
      <c r="B5974" t="str">
        <f>"1551685940632385"</f>
        <v>1551685940632385</v>
      </c>
      <c r="C5974" t="s">
        <v>40</v>
      </c>
      <c r="D5974">
        <v>5.3409380000000004</v>
      </c>
      <c r="E5974">
        <v>0.60287349999999995</v>
      </c>
      <c r="F5974" t="s">
        <v>41</v>
      </c>
      <c r="G5974">
        <v>-324.93200000000002</v>
      </c>
      <c r="H5974" s="1">
        <v>-3.6279879999999999E-6</v>
      </c>
      <c r="I5974">
        <v>13.236269999999999</v>
      </c>
      <c r="J5974">
        <v>-342.50650000000002</v>
      </c>
      <c r="K5974">
        <v>1.110657</v>
      </c>
      <c r="L5974">
        <v>16.95383</v>
      </c>
      <c r="M5974">
        <v>0.99990020000000002</v>
      </c>
      <c r="N5974">
        <v>-1.3793710000000001E-2</v>
      </c>
      <c r="O5974">
        <v>-3.1213719999999999E-3</v>
      </c>
      <c r="P5974">
        <v>0.98217319999999997</v>
      </c>
      <c r="Q5974">
        <v>0.17870429999999901</v>
      </c>
      <c r="R5974">
        <v>5.831588E-2</v>
      </c>
      <c r="S5974">
        <v>3.1296689999999998</v>
      </c>
      <c r="T5974">
        <v>-0.19639789999999999</v>
      </c>
      <c r="U5974">
        <v>-0.65744019999999903</v>
      </c>
      <c r="V5974">
        <v>-6.1377370000000001E-2</v>
      </c>
      <c r="W5974">
        <v>0.19223380000000001</v>
      </c>
      <c r="X5974">
        <v>0.97942790000000002</v>
      </c>
      <c r="Y5974">
        <v>0.2020602</v>
      </c>
      <c r="Z5974">
        <v>-7.5248980000000004E-3</v>
      </c>
      <c r="AA5974">
        <v>0.9793442</v>
      </c>
      <c r="AB5974">
        <v>24</v>
      </c>
      <c r="AC5974">
        <v>17.5745</v>
      </c>
      <c r="AD5974">
        <v>-1.110660627988</v>
      </c>
      <c r="AE5974">
        <v>-3.71755999999999</v>
      </c>
      <c r="AF5974">
        <v>3.6487316047748601</v>
      </c>
      <c r="AG5974">
        <v>-1.110660627988</v>
      </c>
      <c r="AH5974">
        <v>17.519046824656801</v>
      </c>
      <c r="AI5974">
        <v>93.551535110511296</v>
      </c>
      <c r="AJ5974">
        <v>78.235064387766997</v>
      </c>
      <c r="AK5974">
        <v>17.929411897738401</v>
      </c>
      <c r="AL5974">
        <v>78.916825151210404</v>
      </c>
      <c r="AM5974">
        <v>93.585839905255398</v>
      </c>
      <c r="AN5974">
        <v>1.00000001335448</v>
      </c>
    </row>
    <row r="5975" spans="1:40" x14ac:dyDescent="0.25">
      <c r="A5975" t="str">
        <f>"20190304155220650"</f>
        <v>20190304155220650</v>
      </c>
      <c r="B5975" t="str">
        <f>"1551685940643120"</f>
        <v>1551685940643120</v>
      </c>
      <c r="C5975" t="s">
        <v>40</v>
      </c>
      <c r="D5975">
        <v>5.3330099999999998</v>
      </c>
      <c r="E5975">
        <v>0.60334840000000001</v>
      </c>
      <c r="F5975" t="s">
        <v>41</v>
      </c>
      <c r="G5975">
        <v>-324.85860000000002</v>
      </c>
      <c r="H5975" s="1">
        <v>-3.659511E-6</v>
      </c>
      <c r="I5975">
        <v>13.22364</v>
      </c>
      <c r="J5975">
        <v>-342.37430000000001</v>
      </c>
      <c r="K5975">
        <v>1.1106560000000001</v>
      </c>
      <c r="L5975">
        <v>16.953429999999901</v>
      </c>
      <c r="M5975">
        <v>0.99990009999999996</v>
      </c>
      <c r="N5975">
        <v>-1.379231E-2</v>
      </c>
      <c r="O5975">
        <v>-3.1145349999999999E-3</v>
      </c>
      <c r="P5975">
        <v>0.98223510000000003</v>
      </c>
      <c r="Q5975">
        <v>0.17849509999999999</v>
      </c>
      <c r="R5975">
        <v>5.7911089999999998E-2</v>
      </c>
      <c r="S5975">
        <v>3.1296080000000002</v>
      </c>
      <c r="T5975">
        <v>-0.19696079999999999</v>
      </c>
      <c r="U5975">
        <v>-0.66149899999999995</v>
      </c>
      <c r="V5975">
        <v>-6.0967519999999997E-2</v>
      </c>
      <c r="W5975">
        <v>0.1920241</v>
      </c>
      <c r="X5975">
        <v>0.97949459999999999</v>
      </c>
      <c r="Y5975">
        <v>0.20328160000000001</v>
      </c>
      <c r="Z5975">
        <v>-7.5884519999999999E-3</v>
      </c>
      <c r="AA5975">
        <v>0.97909089999999999</v>
      </c>
      <c r="AB5975">
        <v>24</v>
      </c>
      <c r="AC5975">
        <v>17.515699999999899</v>
      </c>
      <c r="AD5975">
        <v>-1.1106596595110001</v>
      </c>
      <c r="AE5975">
        <v>-3.7297899999999902</v>
      </c>
      <c r="AF5975">
        <v>3.6611314917853699</v>
      </c>
      <c r="AG5975">
        <v>-1.1106596595110001</v>
      </c>
      <c r="AH5975">
        <v>17.460075253767499</v>
      </c>
      <c r="AI5975">
        <v>93.562490566466707</v>
      </c>
      <c r="AJ5975">
        <v>78.157458763484797</v>
      </c>
      <c r="AK5975">
        <v>17.8743301006397</v>
      </c>
      <c r="AL5975">
        <v>78.929067820792199</v>
      </c>
      <c r="AM5975">
        <v>93.561715228317297</v>
      </c>
      <c r="AN5975">
        <v>0.99999998245246002</v>
      </c>
    </row>
    <row r="5976" spans="1:40" x14ac:dyDescent="0.25">
      <c r="A5976" t="str">
        <f>"20190304155220662"</f>
        <v>20190304155220662</v>
      </c>
      <c r="B5976" t="str">
        <f>"1551685940652880"</f>
        <v>1551685940652880</v>
      </c>
      <c r="C5976" t="s">
        <v>40</v>
      </c>
      <c r="D5976">
        <v>5.3458329999999998</v>
      </c>
      <c r="E5976">
        <v>0.6028637</v>
      </c>
      <c r="F5976" t="s">
        <v>41</v>
      </c>
      <c r="G5976">
        <v>-325.48390000000001</v>
      </c>
      <c r="H5976" s="1">
        <v>-3.3843649999999998E-6</v>
      </c>
      <c r="I5976">
        <v>13.3553</v>
      </c>
      <c r="J5976">
        <v>-342.23950000000002</v>
      </c>
      <c r="K5976">
        <v>1.11066</v>
      </c>
      <c r="L5976">
        <v>16.952999999999999</v>
      </c>
      <c r="M5976">
        <v>0.99990020000000002</v>
      </c>
      <c r="N5976">
        <v>-1.379088E-2</v>
      </c>
      <c r="O5976">
        <v>-3.1028980000000002E-3</v>
      </c>
      <c r="P5976">
        <v>0.98231270000000004</v>
      </c>
      <c r="Q5976">
        <v>0.17821609999999999</v>
      </c>
      <c r="R5976">
        <v>5.7455539999999999E-2</v>
      </c>
      <c r="S5976">
        <v>3.1310120000000001</v>
      </c>
      <c r="T5976">
        <v>-0.20588519999999999</v>
      </c>
      <c r="U5976">
        <v>-0.66699219999999904</v>
      </c>
      <c r="V5976">
        <v>-6.0502430000000003E-2</v>
      </c>
      <c r="W5976">
        <v>0.19174379999999999</v>
      </c>
      <c r="X5976">
        <v>0.97957839999999996</v>
      </c>
      <c r="Y5976">
        <v>0.20480519999999999</v>
      </c>
      <c r="Z5976">
        <v>-7.9224869999999902E-3</v>
      </c>
      <c r="AA5976">
        <v>0.97877069999999999</v>
      </c>
      <c r="AB5976">
        <v>24</v>
      </c>
      <c r="AC5976">
        <v>16.755600000000001</v>
      </c>
      <c r="AD5976">
        <v>-1.110663384365</v>
      </c>
      <c r="AE5976">
        <v>-3.5977000000000001</v>
      </c>
      <c r="AF5976">
        <v>3.5308565005821402</v>
      </c>
      <c r="AG5976">
        <v>-1.110663384365</v>
      </c>
      <c r="AH5976">
        <v>16.696554731450298</v>
      </c>
      <c r="AI5976">
        <v>93.723626655241205</v>
      </c>
      <c r="AJ5976">
        <v>78.059458926224295</v>
      </c>
      <c r="AK5976">
        <v>17.1019139479003</v>
      </c>
      <c r="AL5976">
        <v>78.945432503543401</v>
      </c>
      <c r="AM5976">
        <v>93.534312264054506</v>
      </c>
      <c r="AN5976">
        <v>1.0000000353104499</v>
      </c>
    </row>
    <row r="5977" spans="1:40" x14ac:dyDescent="0.25">
      <c r="A5977" t="str">
        <f>"20190304155220676"</f>
        <v>20190304155220676</v>
      </c>
      <c r="B5977" t="str">
        <f>"1551685940672435"</f>
        <v>1551685940672435</v>
      </c>
      <c r="C5977" t="s">
        <v>40</v>
      </c>
      <c r="D5977">
        <v>5.3059649999999996</v>
      </c>
      <c r="E5977">
        <v>0.60374799999999995</v>
      </c>
      <c r="F5977" t="s">
        <v>41</v>
      </c>
      <c r="G5977">
        <v>-325.14010000000002</v>
      </c>
      <c r="H5977" s="1">
        <v>-3.52498E-6</v>
      </c>
      <c r="I5977">
        <v>13.32307</v>
      </c>
      <c r="J5977">
        <v>-342.10469999999998</v>
      </c>
      <c r="K5977">
        <v>1.1106609999999999</v>
      </c>
      <c r="L5977">
        <v>16.95261</v>
      </c>
      <c r="M5977">
        <v>0.99990029999999996</v>
      </c>
      <c r="N5977">
        <v>-1.378946E-2</v>
      </c>
      <c r="O5977">
        <v>-3.0857530000000001E-3</v>
      </c>
      <c r="P5977">
        <v>0.98238599999999998</v>
      </c>
      <c r="Q5977">
        <v>0.17793599999999901</v>
      </c>
      <c r="R5977">
        <v>5.7070320000000001E-2</v>
      </c>
      <c r="S5977">
        <v>3.1297609999999998</v>
      </c>
      <c r="T5977">
        <v>-0.2032881</v>
      </c>
      <c r="U5977">
        <v>-0.66439820000000005</v>
      </c>
      <c r="V5977">
        <v>-6.0102679999999999E-2</v>
      </c>
      <c r="W5977">
        <v>0.19146250000000001</v>
      </c>
      <c r="X5977">
        <v>0.97965800000000003</v>
      </c>
      <c r="Y5977">
        <v>0.2041384</v>
      </c>
      <c r="Z5977">
        <v>-7.8188330000000007E-3</v>
      </c>
      <c r="AA5977">
        <v>0.97891079999999997</v>
      </c>
      <c r="AB5977">
        <v>24</v>
      </c>
      <c r="AC5977">
        <v>16.964599999999901</v>
      </c>
      <c r="AD5977">
        <v>-1.11066452498</v>
      </c>
      <c r="AE5977">
        <v>-3.6295399999999902</v>
      </c>
      <c r="AF5977">
        <v>3.5625674635635001</v>
      </c>
      <c r="AG5977">
        <v>-1.11066452498</v>
      </c>
      <c r="AH5977">
        <v>16.906426617765</v>
      </c>
      <c r="AI5977">
        <v>93.678089481819796</v>
      </c>
      <c r="AJ5977">
        <v>78.100569238676997</v>
      </c>
      <c r="AK5977">
        <v>17.313368349381498</v>
      </c>
      <c r="AL5977">
        <v>78.961853762416894</v>
      </c>
      <c r="AM5977">
        <v>93.510734494492297</v>
      </c>
      <c r="AN5977">
        <v>1.00000000900671</v>
      </c>
    </row>
    <row r="5978" spans="1:40" x14ac:dyDescent="0.25">
      <c r="A5978" t="str">
        <f>"20190304155220694"</f>
        <v>20190304155220694</v>
      </c>
      <c r="B5978" t="str">
        <f>"1551685940683313"</f>
        <v>1551685940683313</v>
      </c>
      <c r="C5978" t="s">
        <v>40</v>
      </c>
      <c r="D5978">
        <v>5.2981819999999997</v>
      </c>
      <c r="E5978">
        <v>0.60386899999999999</v>
      </c>
      <c r="F5978" t="s">
        <v>41</v>
      </c>
      <c r="G5978">
        <v>-325.27260000000001</v>
      </c>
      <c r="H5978" s="1">
        <v>-3.4706139999999998E-6</v>
      </c>
      <c r="I5978">
        <v>13.336069999999999</v>
      </c>
      <c r="J5978">
        <v>-341.91070000000002</v>
      </c>
      <c r="K5978">
        <v>1.11067</v>
      </c>
      <c r="L5978">
        <v>16.952030000000001</v>
      </c>
      <c r="M5978">
        <v>0.99990040000000002</v>
      </c>
      <c r="N5978">
        <v>-1.378742E-2</v>
      </c>
      <c r="O5978">
        <v>-3.0517280000000001E-3</v>
      </c>
      <c r="P5978">
        <v>0.98248630000000003</v>
      </c>
      <c r="Q5978">
        <v>0.17762500000000001</v>
      </c>
      <c r="R5978">
        <v>5.6303829999999999E-2</v>
      </c>
      <c r="S5978">
        <v>3.1303100000000001</v>
      </c>
      <c r="T5978">
        <v>-0.2065535</v>
      </c>
      <c r="U5978">
        <v>-0.67257690000000003</v>
      </c>
      <c r="V5978">
        <v>-5.9307539999999999E-2</v>
      </c>
      <c r="W5978">
        <v>0.19114990000000001</v>
      </c>
      <c r="X5978">
        <v>0.97976750000000001</v>
      </c>
      <c r="Y5978">
        <v>0.20656189999999999</v>
      </c>
      <c r="Z5978">
        <v>-8.0156440000000006E-3</v>
      </c>
      <c r="AA5978">
        <v>0.97840070000000001</v>
      </c>
      <c r="AB5978">
        <v>24</v>
      </c>
      <c r="AC5978">
        <v>16.638100000000001</v>
      </c>
      <c r="AD5978">
        <v>-1.110673470614</v>
      </c>
      <c r="AE5978">
        <v>-3.6159599999999998</v>
      </c>
      <c r="AF5978">
        <v>3.5500570991810498</v>
      </c>
      <c r="AG5978">
        <v>-1.110673470614</v>
      </c>
      <c r="AH5978">
        <v>16.578513220573001</v>
      </c>
      <c r="AI5978">
        <v>93.748070592705005</v>
      </c>
      <c r="AJ5978">
        <v>77.913442619368695</v>
      </c>
      <c r="AK5978">
        <v>16.990691615425401</v>
      </c>
      <c r="AL5978">
        <v>78.980101476137904</v>
      </c>
      <c r="AM5978">
        <v>93.464016190449996</v>
      </c>
      <c r="AN5978">
        <v>1.0000000113135501</v>
      </c>
    </row>
    <row r="5979" spans="1:40" x14ac:dyDescent="0.25">
      <c r="A5979" t="str">
        <f>"20190304155220705"</f>
        <v>20190304155220705</v>
      </c>
      <c r="B5979" t="str">
        <f>"1551685940702833"</f>
        <v>1551685940702833</v>
      </c>
      <c r="C5979" t="s">
        <v>40</v>
      </c>
      <c r="D5979">
        <v>5.3474529999999998</v>
      </c>
      <c r="E5979">
        <v>0.60411329999999996</v>
      </c>
      <c r="F5979" t="s">
        <v>41</v>
      </c>
      <c r="G5979">
        <v>-324.80270000000002</v>
      </c>
      <c r="H5979" s="1">
        <v>-3.6717750000000001E-6</v>
      </c>
      <c r="I5979">
        <v>13.25822</v>
      </c>
      <c r="J5979">
        <v>-341.78140000000002</v>
      </c>
      <c r="K5979">
        <v>1.1106750000000001</v>
      </c>
      <c r="L5979">
        <v>16.95166</v>
      </c>
      <c r="M5979">
        <v>0.99990029999999996</v>
      </c>
      <c r="N5979">
        <v>-1.3786069999999999E-2</v>
      </c>
      <c r="O5979">
        <v>-3.0229889999999998E-3</v>
      </c>
      <c r="P5979">
        <v>0.98253939999999995</v>
      </c>
      <c r="Q5979">
        <v>0.1774191</v>
      </c>
      <c r="R5979">
        <v>5.6024820000000003E-2</v>
      </c>
      <c r="S5979">
        <v>3.1289060000000002</v>
      </c>
      <c r="T5979">
        <v>-0.20313329999999999</v>
      </c>
      <c r="U5979">
        <v>-0.67556759999999905</v>
      </c>
      <c r="V5979">
        <v>-5.9004420000000002E-2</v>
      </c>
      <c r="W5979">
        <v>0.19094259999999999</v>
      </c>
      <c r="X5979">
        <v>0.97982619999999998</v>
      </c>
      <c r="Y5979">
        <v>0.2075864</v>
      </c>
      <c r="Z5979">
        <v>-7.9512790000000003E-3</v>
      </c>
      <c r="AA5979">
        <v>0.97818430000000001</v>
      </c>
      <c r="AB5979">
        <v>24</v>
      </c>
      <c r="AC5979">
        <v>16.9787</v>
      </c>
      <c r="AD5979">
        <v>-1.1106786717749999</v>
      </c>
      <c r="AE5979">
        <v>-3.6934399999999901</v>
      </c>
      <c r="AF5979">
        <v>3.6272711305459802</v>
      </c>
      <c r="AG5979">
        <v>-1.1106786717749999</v>
      </c>
      <c r="AH5979">
        <v>16.920652525484101</v>
      </c>
      <c r="AI5979">
        <v>93.672335348901996</v>
      </c>
      <c r="AJ5979">
        <v>77.900655427684299</v>
      </c>
      <c r="AK5979">
        <v>17.340680057442999</v>
      </c>
      <c r="AL5979">
        <v>78.992201529936295</v>
      </c>
      <c r="AM5979">
        <v>93.446148466205898</v>
      </c>
      <c r="AN5979">
        <v>0.999999990140368</v>
      </c>
    </row>
    <row r="5980" spans="1:40" x14ac:dyDescent="0.25">
      <c r="A5980" t="str">
        <f>"20190304155220718"</f>
        <v>20190304155220718</v>
      </c>
      <c r="B5980" t="str">
        <f>"1551685940712593"</f>
        <v>1551685940712593</v>
      </c>
      <c r="C5980" t="s">
        <v>40</v>
      </c>
      <c r="D5980">
        <v>5.3241459999999998</v>
      </c>
      <c r="E5980">
        <v>0.60430249999999996</v>
      </c>
      <c r="F5980" t="s">
        <v>41</v>
      </c>
      <c r="G5980">
        <v>-324.31200000000001</v>
      </c>
      <c r="H5980" s="1">
        <v>-3.8851939999999999E-6</v>
      </c>
      <c r="I5980">
        <v>13.164440000000001</v>
      </c>
      <c r="J5980">
        <v>-341.65429999999998</v>
      </c>
      <c r="K5980">
        <v>1.110681</v>
      </c>
      <c r="L5980">
        <v>16.951319999999999</v>
      </c>
      <c r="M5980">
        <v>0.99990060000000003</v>
      </c>
      <c r="N5980">
        <v>-1.378473E-2</v>
      </c>
      <c r="O5980">
        <v>-2.986977E-3</v>
      </c>
      <c r="P5980">
        <v>0.98253509999999999</v>
      </c>
      <c r="Q5980">
        <v>0.17748939999999999</v>
      </c>
      <c r="R5980">
        <v>5.5879760000000001E-2</v>
      </c>
      <c r="S5980">
        <v>3.1278990000000002</v>
      </c>
      <c r="T5980">
        <v>-0.1988666</v>
      </c>
      <c r="U5980">
        <v>-0.67810059999999905</v>
      </c>
      <c r="V5980">
        <v>-5.8827020000000001E-2</v>
      </c>
      <c r="W5980">
        <v>0.1910104</v>
      </c>
      <c r="X5980">
        <v>0.97982360000000002</v>
      </c>
      <c r="Y5980">
        <v>0.20846000000000001</v>
      </c>
      <c r="Z5980">
        <v>-7.8524979999999994E-3</v>
      </c>
      <c r="AA5980">
        <v>0.97799939999999996</v>
      </c>
      <c r="AB5980">
        <v>24</v>
      </c>
      <c r="AC5980">
        <v>17.342299999999899</v>
      </c>
      <c r="AD5980">
        <v>-1.1106848851940001</v>
      </c>
      <c r="AE5980">
        <v>-3.78688</v>
      </c>
      <c r="AF5980">
        <v>3.7204911659860702</v>
      </c>
      <c r="AG5980">
        <v>-1.1106848851940001</v>
      </c>
      <c r="AH5980">
        <v>17.285859739538601</v>
      </c>
      <c r="AI5980">
        <v>93.594337901702303</v>
      </c>
      <c r="AJ5980">
        <v>77.853348584830201</v>
      </c>
      <c r="AK5980">
        <v>17.716563503269501</v>
      </c>
      <c r="AL5980">
        <v>78.988243468366406</v>
      </c>
      <c r="AM5980">
        <v>93.435821386433801</v>
      </c>
      <c r="AN5980">
        <v>0.99999993915359797</v>
      </c>
    </row>
    <row r="5981" spans="1:40" x14ac:dyDescent="0.25">
      <c r="A5981" t="str">
        <f>"20190304155220739"</f>
        <v>20190304155220739</v>
      </c>
      <c r="B5981" t="str">
        <f>"1551685940733089"</f>
        <v>1551685940733089</v>
      </c>
      <c r="C5981" t="s">
        <v>40</v>
      </c>
      <c r="D5981">
        <v>5.5767879999999996</v>
      </c>
      <c r="E5981">
        <v>0.60537609999999997</v>
      </c>
      <c r="F5981" t="s">
        <v>41</v>
      </c>
      <c r="G5981">
        <v>-324.15800000000002</v>
      </c>
      <c r="H5981" s="1">
        <v>-3.9488799999999999E-6</v>
      </c>
      <c r="I5981">
        <v>13.147320000000001</v>
      </c>
      <c r="J5981">
        <v>-341.4237</v>
      </c>
      <c r="K5981">
        <v>1.1106990000000001</v>
      </c>
      <c r="L5981">
        <v>16.950710000000001</v>
      </c>
      <c r="M5981">
        <v>0.99990080000000003</v>
      </c>
      <c r="N5981">
        <v>-1.3782310000000001E-2</v>
      </c>
      <c r="O5981">
        <v>-2.9101029999999998E-3</v>
      </c>
      <c r="P5981">
        <v>0.98261589999999999</v>
      </c>
      <c r="Q5981">
        <v>0.1771375</v>
      </c>
      <c r="R5981">
        <v>5.5574749999999999E-2</v>
      </c>
      <c r="S5981">
        <v>3.127869</v>
      </c>
      <c r="T5981">
        <v>-0.1985605</v>
      </c>
      <c r="U5981">
        <v>-0.68005369999999998</v>
      </c>
      <c r="V5981">
        <v>-5.8452690000000002E-2</v>
      </c>
      <c r="W5981">
        <v>0.1906552</v>
      </c>
      <c r="X5981">
        <v>0.97991530000000004</v>
      </c>
      <c r="Y5981">
        <v>0.2091201</v>
      </c>
      <c r="Z5981">
        <v>-7.8712699999999997E-3</v>
      </c>
      <c r="AA5981">
        <v>0.97785829999999996</v>
      </c>
      <c r="AB5981">
        <v>24</v>
      </c>
      <c r="AC5981">
        <v>17.265699999999899</v>
      </c>
      <c r="AD5981">
        <v>-1.11070294888</v>
      </c>
      <c r="AE5981">
        <v>-3.8033899999999998</v>
      </c>
      <c r="AF5981">
        <v>3.7383694494667199</v>
      </c>
      <c r="AG5981">
        <v>-1.11070294888</v>
      </c>
      <c r="AH5981">
        <v>17.208776087104098</v>
      </c>
      <c r="AI5981">
        <v>93.608964524623502</v>
      </c>
      <c r="AJ5981">
        <v>77.743711304411306</v>
      </c>
      <c r="AK5981">
        <v>17.645142152939499</v>
      </c>
      <c r="AL5981">
        <v>79.008977270962404</v>
      </c>
      <c r="AM5981">
        <v>93.413691607734904</v>
      </c>
      <c r="AN5981">
        <v>1.00000005871468</v>
      </c>
    </row>
    <row r="5982" spans="1:40" x14ac:dyDescent="0.25">
      <c r="A5982" t="str">
        <f>"20190304155220761"</f>
        <v>20190304155220761</v>
      </c>
      <c r="B5982" t="str">
        <f>"1551685940752609"</f>
        <v>1551685940752609</v>
      </c>
      <c r="C5982" t="s">
        <v>40</v>
      </c>
      <c r="D5982">
        <v>5.3344779999999998</v>
      </c>
      <c r="E5982">
        <v>0.60646639999999996</v>
      </c>
      <c r="F5982" t="s">
        <v>41</v>
      </c>
      <c r="G5982">
        <v>-323.98309999999998</v>
      </c>
      <c r="H5982" s="1">
        <v>-4.0267830000000003E-6</v>
      </c>
      <c r="I5982">
        <v>13.10699</v>
      </c>
      <c r="J5982">
        <v>-341.19720000000001</v>
      </c>
      <c r="K5982">
        <v>1.1107089999999999</v>
      </c>
      <c r="L5982">
        <v>16.950129999999898</v>
      </c>
      <c r="M5982">
        <v>0.99990120000000005</v>
      </c>
      <c r="N5982">
        <v>-1.378003E-2</v>
      </c>
      <c r="O5982">
        <v>-2.8196810000000001E-3</v>
      </c>
      <c r="P5982">
        <v>0.98262850000000002</v>
      </c>
      <c r="Q5982">
        <v>0.1772194</v>
      </c>
      <c r="R5982">
        <v>5.5089819999999998E-2</v>
      </c>
      <c r="S5982">
        <v>3.1279300000000001</v>
      </c>
      <c r="T5982">
        <v>-0.19920170000000001</v>
      </c>
      <c r="U5982">
        <v>-0.68936160000000002</v>
      </c>
      <c r="V5982">
        <v>-5.7883579999999997E-2</v>
      </c>
      <c r="W5982">
        <v>0.1907343</v>
      </c>
      <c r="X5982">
        <v>0.97993359999999996</v>
      </c>
      <c r="Y5982">
        <v>0.2119711</v>
      </c>
      <c r="Z5982">
        <v>-8.0038469999999997E-3</v>
      </c>
      <c r="AA5982">
        <v>0.97724319999999998</v>
      </c>
      <c r="AB5982">
        <v>24</v>
      </c>
      <c r="AC5982">
        <v>17.214099999999998</v>
      </c>
      <c r="AD5982">
        <v>-1.1107130267830001</v>
      </c>
      <c r="AE5982">
        <v>-3.8431399999999898</v>
      </c>
      <c r="AF5982">
        <v>3.7795934263451598</v>
      </c>
      <c r="AG5982">
        <v>-1.1107130267830001</v>
      </c>
      <c r="AH5982">
        <v>17.156831591858499</v>
      </c>
      <c r="AI5982">
        <v>93.617588820806006</v>
      </c>
      <c r="AJ5982">
        <v>77.576367483106793</v>
      </c>
      <c r="AK5982">
        <v>17.603291742391001</v>
      </c>
      <c r="AL5982">
        <v>79.004359479581396</v>
      </c>
      <c r="AM5982">
        <v>93.380469527362294</v>
      </c>
      <c r="AN5982">
        <v>0.99999997121953199</v>
      </c>
    </row>
    <row r="5983" spans="1:40" x14ac:dyDescent="0.25">
      <c r="A5983" t="str">
        <f>"20190304155220774"</f>
        <v>20190304155220774</v>
      </c>
      <c r="B5983" t="str">
        <f>"1551685940763345"</f>
        <v>1551685940763345</v>
      </c>
      <c r="C5983" t="s">
        <v>40</v>
      </c>
      <c r="D5983">
        <v>5.5296070000000004</v>
      </c>
      <c r="E5983">
        <v>0.60725280000000004</v>
      </c>
      <c r="F5983" t="s">
        <v>41</v>
      </c>
      <c r="G5983">
        <v>-323.3571</v>
      </c>
      <c r="H5983" s="1">
        <v>-4.3068079999999901E-6</v>
      </c>
      <c r="I5983">
        <v>12.957940000000001</v>
      </c>
      <c r="J5983">
        <v>-341.06439999999998</v>
      </c>
      <c r="K5983">
        <v>1.1107119999999999</v>
      </c>
      <c r="L5983">
        <v>16.949829999999999</v>
      </c>
      <c r="M5983">
        <v>0.99990129999999999</v>
      </c>
      <c r="N5983">
        <v>-1.377869E-2</v>
      </c>
      <c r="O5983">
        <v>-2.7609499999999999E-3</v>
      </c>
      <c r="P5983">
        <v>0.98264379999999996</v>
      </c>
      <c r="Q5983">
        <v>0.17718539999999999</v>
      </c>
      <c r="R5983">
        <v>5.4925000000000002E-2</v>
      </c>
      <c r="S5983">
        <v>3.1273499999999999</v>
      </c>
      <c r="T5983">
        <v>-0.1947074</v>
      </c>
      <c r="U5983">
        <v>-0.69982909999999998</v>
      </c>
      <c r="V5983">
        <v>-5.7662970000000001E-2</v>
      </c>
      <c r="W5983">
        <v>0.1906987</v>
      </c>
      <c r="X5983">
        <v>0.97995359999999998</v>
      </c>
      <c r="Y5983">
        <v>0.21519550000000001</v>
      </c>
      <c r="Z5983">
        <v>-7.9813409999999994E-3</v>
      </c>
      <c r="AA5983">
        <v>0.97653840000000003</v>
      </c>
      <c r="AB5983">
        <v>24</v>
      </c>
      <c r="AC5983">
        <v>17.707299999999901</v>
      </c>
      <c r="AD5983">
        <v>-1.1107163068079999</v>
      </c>
      <c r="AE5983">
        <v>-3.9918900000000002</v>
      </c>
      <c r="AF5983">
        <v>3.9282724820836199</v>
      </c>
      <c r="AG5983">
        <v>-1.1107163068079999</v>
      </c>
      <c r="AH5983">
        <v>17.652159699561501</v>
      </c>
      <c r="AI5983">
        <v>93.514687506173502</v>
      </c>
      <c r="AJ5983">
        <v>77.453963987677895</v>
      </c>
      <c r="AK5983">
        <v>18.1180505978576</v>
      </c>
      <c r="AL5983">
        <v>79.006438060723596</v>
      </c>
      <c r="AM5983">
        <v>93.3675467791344</v>
      </c>
      <c r="AN5983">
        <v>1.00000003522193</v>
      </c>
    </row>
    <row r="5984" spans="1:40" x14ac:dyDescent="0.25">
      <c r="A5984" t="str">
        <f>"20190304155220797"</f>
        <v>20190304155220797</v>
      </c>
      <c r="B5984" t="str">
        <f>"1551685940792624"</f>
        <v>1551685940792624</v>
      </c>
      <c r="C5984" t="s">
        <v>40</v>
      </c>
      <c r="D5984">
        <v>4.1814</v>
      </c>
      <c r="E5984">
        <v>0.60738590000000003</v>
      </c>
      <c r="F5984" t="s">
        <v>41</v>
      </c>
      <c r="G5984">
        <v>-323.16000000000003</v>
      </c>
      <c r="H5984" s="1">
        <v>-4.404235E-6</v>
      </c>
      <c r="I5984">
        <v>12.90512</v>
      </c>
      <c r="J5984">
        <v>-340.8168</v>
      </c>
      <c r="K5984">
        <v>1.110717</v>
      </c>
      <c r="L5984">
        <v>16.949279999999899</v>
      </c>
      <c r="M5984">
        <v>0.9999017</v>
      </c>
      <c r="N5984">
        <v>-1.377604E-2</v>
      </c>
      <c r="O5984">
        <v>-2.644385E-3</v>
      </c>
      <c r="P5984">
        <v>0.98260009999999998</v>
      </c>
      <c r="Q5984">
        <v>0.17763329999999999</v>
      </c>
      <c r="R5984">
        <v>5.4257859999999998E-2</v>
      </c>
      <c r="S5984">
        <v>3.127472</v>
      </c>
      <c r="T5984">
        <v>-0.19401550000000001</v>
      </c>
      <c r="U5984">
        <v>-0.70651249999999999</v>
      </c>
      <c r="V5984">
        <v>-5.6884129999999998E-2</v>
      </c>
      <c r="W5984">
        <v>0.19114239999999999</v>
      </c>
      <c r="X5984">
        <v>0.97991260000000002</v>
      </c>
      <c r="Y5984">
        <v>0.2172857</v>
      </c>
      <c r="Z5984">
        <v>-8.0408999999999897E-3</v>
      </c>
      <c r="AA5984">
        <v>0.97607489999999997</v>
      </c>
      <c r="AB5984">
        <v>24</v>
      </c>
      <c r="AC5984">
        <v>17.656799999999901</v>
      </c>
      <c r="AD5984">
        <v>-1.110721404235</v>
      </c>
      <c r="AE5984">
        <v>-4.04415999999999</v>
      </c>
      <c r="AF5984">
        <v>3.9824761971618798</v>
      </c>
      <c r="AG5984">
        <v>-1.110721404235</v>
      </c>
      <c r="AH5984">
        <v>17.601253992090399</v>
      </c>
      <c r="AI5984">
        <v>93.522047553435101</v>
      </c>
      <c r="AJ5984">
        <v>77.250870044705195</v>
      </c>
      <c r="AK5984">
        <v>18.080319709365401</v>
      </c>
      <c r="AL5984">
        <v>78.9805387218005</v>
      </c>
      <c r="AM5984">
        <v>93.322303389021201</v>
      </c>
      <c r="AN5984">
        <v>0.99999996248118705</v>
      </c>
    </row>
    <row r="5985" spans="1:40" x14ac:dyDescent="0.25">
      <c r="A5985" t="str">
        <f>"20190304155220809"</f>
        <v>20190304155220809</v>
      </c>
      <c r="B5985" t="str">
        <f>"1551685940803361"</f>
        <v>1551685940803361</v>
      </c>
      <c r="C5985" t="s">
        <v>40</v>
      </c>
      <c r="D5985">
        <v>4.896808</v>
      </c>
      <c r="E5985">
        <v>0.54464080000000004</v>
      </c>
      <c r="F5985" t="s">
        <v>41</v>
      </c>
      <c r="G5985">
        <v>-323.0917</v>
      </c>
      <c r="H5985" s="1">
        <v>-4.4328360000000003E-6</v>
      </c>
      <c r="I5985">
        <v>12.92578</v>
      </c>
      <c r="J5985">
        <v>-340.69150000000002</v>
      </c>
      <c r="K5985">
        <v>1.1107199999999999</v>
      </c>
      <c r="L5985">
        <v>16.949010000000001</v>
      </c>
      <c r="M5985">
        <v>0.99990179999999995</v>
      </c>
      <c r="N5985">
        <v>-1.3774649999999999E-2</v>
      </c>
      <c r="O5985">
        <v>-2.5834360000000002E-3</v>
      </c>
      <c r="P5985">
        <v>0.98264309999999999</v>
      </c>
      <c r="Q5985">
        <v>0.1776112</v>
      </c>
      <c r="R5985">
        <v>5.3547339999999999E-2</v>
      </c>
      <c r="S5985">
        <v>3.127777</v>
      </c>
      <c r="T5985">
        <v>-0.19599910000000001</v>
      </c>
      <c r="U5985">
        <v>-0.7099915</v>
      </c>
      <c r="V5985">
        <v>-5.6114329999999997E-2</v>
      </c>
      <c r="W5985">
        <v>0.1911195</v>
      </c>
      <c r="X5985">
        <v>0.97996150000000004</v>
      </c>
      <c r="Y5985">
        <v>0.21834600000000001</v>
      </c>
      <c r="Z5985">
        <v>-8.1488510000000004E-3</v>
      </c>
      <c r="AA5985">
        <v>0.97583739999999997</v>
      </c>
      <c r="AB5985">
        <v>24</v>
      </c>
      <c r="AC5985">
        <v>17.599799999999998</v>
      </c>
      <c r="AD5985">
        <v>-1.110724432836</v>
      </c>
      <c r="AE5985">
        <v>-4.0232299999999999</v>
      </c>
      <c r="AF5985">
        <v>3.9627449665375498</v>
      </c>
      <c r="AG5985">
        <v>-1.110724432836</v>
      </c>
      <c r="AH5985">
        <v>17.5437314499795</v>
      </c>
      <c r="AI5985">
        <v>93.533866289121406</v>
      </c>
      <c r="AJ5985">
        <v>77.271737640424007</v>
      </c>
      <c r="AK5985">
        <v>18.019976959600001</v>
      </c>
      <c r="AL5985">
        <v>78.981875983877401</v>
      </c>
      <c r="AM5985">
        <v>93.277278905935503</v>
      </c>
      <c r="AN5985">
        <v>1.0000000113969201</v>
      </c>
    </row>
    <row r="5986" spans="1:40" x14ac:dyDescent="0.25">
      <c r="A5986" t="str">
        <f>"20190304155220822"</f>
        <v>20190304155220822</v>
      </c>
      <c r="B5986" t="str">
        <f>"1551685940813121"</f>
        <v>1551685940813121</v>
      </c>
      <c r="C5986" t="s">
        <v>40</v>
      </c>
      <c r="D5986">
        <v>4.9506809999999897</v>
      </c>
      <c r="E5986">
        <v>0.54364419999999902</v>
      </c>
      <c r="F5986" t="s">
        <v>99</v>
      </c>
      <c r="G5986">
        <v>-274.49669999999998</v>
      </c>
      <c r="H5986">
        <v>2.707884</v>
      </c>
      <c r="I5986">
        <v>12.48362</v>
      </c>
      <c r="J5986">
        <v>-340.54090000000002</v>
      </c>
      <c r="K5986">
        <v>1.1107209999999901</v>
      </c>
      <c r="L5986">
        <v>16.94867</v>
      </c>
      <c r="M5986">
        <v>0.99990210000000002</v>
      </c>
      <c r="N5986">
        <v>-1.3772909999999999E-2</v>
      </c>
      <c r="O5986">
        <v>-2.509266E-3</v>
      </c>
      <c r="P5986">
        <v>0.98268089999999997</v>
      </c>
      <c r="Q5986">
        <v>0.17748239999999901</v>
      </c>
      <c r="R5986">
        <v>5.3275400000000001E-2</v>
      </c>
      <c r="S5986">
        <v>3.0509339999999998</v>
      </c>
      <c r="T5986">
        <v>7.361376E-2</v>
      </c>
      <c r="U5986">
        <v>-0.20581050000000001</v>
      </c>
      <c r="V5986">
        <v>-5.5769970000000002E-2</v>
      </c>
      <c r="W5986">
        <v>0.19098979999999999</v>
      </c>
      <c r="X5986">
        <v>0.9800065</v>
      </c>
      <c r="Y5986">
        <v>6.4795000000000005E-2</v>
      </c>
      <c r="Z5986">
        <v>2.389515E-4</v>
      </c>
      <c r="AA5986">
        <v>0.99789859999999997</v>
      </c>
      <c r="AB5986">
        <v>24</v>
      </c>
      <c r="AC5986">
        <v>66.044200000000004</v>
      </c>
      <c r="AD5986">
        <v>1.5971629999999899</v>
      </c>
      <c r="AE5986">
        <v>-4.4650499999999997</v>
      </c>
      <c r="AF5986">
        <v>4.2967963120181096</v>
      </c>
      <c r="AG5986">
        <v>1.5971629999999899</v>
      </c>
      <c r="AH5986">
        <v>66.016764227386304</v>
      </c>
      <c r="AI5986">
        <v>88.617021785140196</v>
      </c>
      <c r="AJ5986">
        <v>86.276074116138204</v>
      </c>
      <c r="AK5986">
        <v>66.175724758024799</v>
      </c>
      <c r="AL5986">
        <v>78.989447319557897</v>
      </c>
      <c r="AM5986">
        <v>93.257061236422103</v>
      </c>
      <c r="AN5986">
        <v>1.0000000666500399</v>
      </c>
    </row>
    <row r="5987" spans="1:40" x14ac:dyDescent="0.25">
      <c r="A5987" t="str">
        <f>"20190304155220840"</f>
        <v>20190304155220840</v>
      </c>
      <c r="B5987" t="str">
        <f>"1551685940832641"</f>
        <v>1551685940832641</v>
      </c>
      <c r="C5987" t="s">
        <v>40</v>
      </c>
      <c r="D5987">
        <v>4.8270179999999998</v>
      </c>
      <c r="E5987">
        <v>0.5436898</v>
      </c>
      <c r="F5987" t="s">
        <v>99</v>
      </c>
      <c r="G5987">
        <v>-274.49669999999998</v>
      </c>
      <c r="H5987">
        <v>1.9263079999999999</v>
      </c>
      <c r="I5987">
        <v>12.6372</v>
      </c>
      <c r="J5987">
        <v>-340.36419999999998</v>
      </c>
      <c r="K5987">
        <v>1.1107279999999999</v>
      </c>
      <c r="L5987">
        <v>16.9483</v>
      </c>
      <c r="M5987">
        <v>0.99990230000000002</v>
      </c>
      <c r="N5987">
        <v>-1.3770900000000001E-2</v>
      </c>
      <c r="O5987">
        <v>-2.4228259999999999E-3</v>
      </c>
      <c r="P5987">
        <v>0.98278120000000002</v>
      </c>
      <c r="Q5987">
        <v>0.17718989999999901</v>
      </c>
      <c r="R5987">
        <v>5.2393380000000003E-2</v>
      </c>
      <c r="S5987">
        <v>3.0568240000000002</v>
      </c>
      <c r="T5987">
        <v>3.7749049999999999E-2</v>
      </c>
      <c r="U5987">
        <v>-0.19955439999999999</v>
      </c>
      <c r="V5987">
        <v>-5.4802990000000003E-2</v>
      </c>
      <c r="W5987">
        <v>0.19069729999999999</v>
      </c>
      <c r="X5987">
        <v>0.98011789999999999</v>
      </c>
      <c r="Y5987">
        <v>6.2726270000000001E-2</v>
      </c>
      <c r="Z5987">
        <v>-1.087109E-4</v>
      </c>
      <c r="AA5987">
        <v>0.9980308</v>
      </c>
      <c r="AB5987">
        <v>24</v>
      </c>
      <c r="AC5987">
        <v>65.867500000000007</v>
      </c>
      <c r="AD5987">
        <v>0.81557999999999997</v>
      </c>
      <c r="AE5987">
        <v>-4.3110999999999997</v>
      </c>
      <c r="AF5987">
        <v>4.1508530458488302</v>
      </c>
      <c r="AG5987">
        <v>0.81557999999999997</v>
      </c>
      <c r="AH5987">
        <v>65.867697102283799</v>
      </c>
      <c r="AI5987">
        <v>89.291998836741399</v>
      </c>
      <c r="AJ5987">
        <v>86.394100675938802</v>
      </c>
      <c r="AK5987">
        <v>66.003395922504097</v>
      </c>
      <c r="AL5987">
        <v>79.006518969612898</v>
      </c>
      <c r="AM5987">
        <v>93.200343370382299</v>
      </c>
      <c r="AN5987">
        <v>0.99999996292031901</v>
      </c>
    </row>
    <row r="5988" spans="1:40" x14ac:dyDescent="0.25">
      <c r="A5988" t="str">
        <f>"20190304155220853"</f>
        <v>20190304155220853</v>
      </c>
      <c r="B5988" t="str">
        <f>"1551685940842401"</f>
        <v>1551685940842401</v>
      </c>
      <c r="C5988" t="s">
        <v>40</v>
      </c>
      <c r="D5988">
        <v>4.996308</v>
      </c>
      <c r="E5988">
        <v>0.54119119999999998</v>
      </c>
      <c r="F5988" t="s">
        <v>99</v>
      </c>
      <c r="G5988">
        <v>-274.49669999999998</v>
      </c>
      <c r="H5988">
        <v>1.70446899999999</v>
      </c>
      <c r="I5988">
        <v>12.57896</v>
      </c>
      <c r="J5988">
        <v>-340.22410000000002</v>
      </c>
      <c r="K5988">
        <v>1.1107279999999999</v>
      </c>
      <c r="L5988">
        <v>16.948060000000002</v>
      </c>
      <c r="M5988">
        <v>0.99990250000000003</v>
      </c>
      <c r="N5988">
        <v>-1.376933E-2</v>
      </c>
      <c r="O5988">
        <v>-2.3552299999999998E-3</v>
      </c>
      <c r="P5988">
        <v>0.98272809999999999</v>
      </c>
      <c r="Q5988">
        <v>0.17763329999999999</v>
      </c>
      <c r="R5988">
        <v>5.1885210000000001E-2</v>
      </c>
      <c r="S5988">
        <v>3.058411</v>
      </c>
      <c r="T5988">
        <v>2.756917E-2</v>
      </c>
      <c r="U5988">
        <v>-0.2028809</v>
      </c>
      <c r="V5988">
        <v>-5.4228070000000003E-2</v>
      </c>
      <c r="W5988">
        <v>0.19113769999999999</v>
      </c>
      <c r="X5988">
        <v>0.98006420000000005</v>
      </c>
      <c r="Y5988">
        <v>6.3841419999999996E-2</v>
      </c>
      <c r="Z5988">
        <v>-2.0620790000000001E-4</v>
      </c>
      <c r="AA5988">
        <v>0.99795999999999996</v>
      </c>
      <c r="AB5988">
        <v>24</v>
      </c>
      <c r="AC5988">
        <v>65.727400000000003</v>
      </c>
      <c r="AD5988">
        <v>0.59374099999999896</v>
      </c>
      <c r="AE5988">
        <v>-4.3691000000000004</v>
      </c>
      <c r="AF5988">
        <v>4.2139277176683398</v>
      </c>
      <c r="AG5988">
        <v>0.59374099999999896</v>
      </c>
      <c r="AH5988">
        <v>65.732168592875993</v>
      </c>
      <c r="AI5988">
        <v>89.483536836612998</v>
      </c>
      <c r="AJ5988">
        <v>86.331927934948794</v>
      </c>
      <c r="AK5988">
        <v>65.869778374510204</v>
      </c>
      <c r="AL5988">
        <v>78.980814270122494</v>
      </c>
      <c r="AM5988">
        <v>93.167011491356803</v>
      </c>
      <c r="AN5988">
        <v>1.00000007002942</v>
      </c>
    </row>
    <row r="5989" spans="1:40" x14ac:dyDescent="0.25">
      <c r="A5989" t="str">
        <f>"20190304155220864"</f>
        <v>20190304155220864</v>
      </c>
      <c r="B5989" t="str">
        <f>"1551685940853138"</f>
        <v>1551685940853138</v>
      </c>
      <c r="C5989" t="s">
        <v>40</v>
      </c>
      <c r="D5989">
        <v>4.9733130000000001</v>
      </c>
      <c r="E5989">
        <v>0.53937049999999997</v>
      </c>
      <c r="F5989" t="s">
        <v>100</v>
      </c>
      <c r="G5989">
        <v>-279.68</v>
      </c>
      <c r="H5989">
        <v>1.332719</v>
      </c>
      <c r="I5989">
        <v>13.290760000000001</v>
      </c>
      <c r="J5989">
        <v>-340.09879999999998</v>
      </c>
      <c r="K5989">
        <v>1.1107290000000001</v>
      </c>
      <c r="L5989">
        <v>16.94781</v>
      </c>
      <c r="M5989">
        <v>0.99990259999999997</v>
      </c>
      <c r="N5989">
        <v>-1.3767929999999999E-2</v>
      </c>
      <c r="O5989">
        <v>-2.2953869999999999E-3</v>
      </c>
      <c r="P5989">
        <v>0.98275040000000002</v>
      </c>
      <c r="Q5989">
        <v>0.1776645</v>
      </c>
      <c r="R5989">
        <v>5.1352330000000002E-2</v>
      </c>
      <c r="S5989">
        <v>3.060486</v>
      </c>
      <c r="T5989">
        <v>1.122105E-2</v>
      </c>
      <c r="U5989">
        <v>-0.1848755</v>
      </c>
      <c r="V5989">
        <v>-5.3636570000000001E-2</v>
      </c>
      <c r="W5989">
        <v>0.1911687</v>
      </c>
      <c r="X5989">
        <v>0.98009060000000003</v>
      </c>
      <c r="Y5989">
        <v>5.800715E-2</v>
      </c>
      <c r="Z5989">
        <v>-3.334392E-4</v>
      </c>
      <c r="AA5989">
        <v>0.99831610000000004</v>
      </c>
      <c r="AB5989">
        <v>24</v>
      </c>
      <c r="AC5989">
        <v>60.418799999999898</v>
      </c>
      <c r="AD5989">
        <v>0.22198999999999899</v>
      </c>
      <c r="AE5989">
        <v>-3.6570499999999999</v>
      </c>
      <c r="AF5989">
        <v>3.5182953698219901</v>
      </c>
      <c r="AG5989">
        <v>0.22198999999999899</v>
      </c>
      <c r="AH5989">
        <v>60.426223187465801</v>
      </c>
      <c r="AI5989">
        <v>89.789867252920104</v>
      </c>
      <c r="AJ5989">
        <v>86.667735782311993</v>
      </c>
      <c r="AK5989">
        <v>60.528969349980201</v>
      </c>
      <c r="AL5989">
        <v>78.979003604616295</v>
      </c>
      <c r="AM5989">
        <v>93.132451850986698</v>
      </c>
      <c r="AN5989">
        <v>0.99999996885470699</v>
      </c>
    </row>
    <row r="5990" spans="1:40" x14ac:dyDescent="0.25">
      <c r="A5990" t="str">
        <f>"20190304155220878"</f>
        <v>20190304155220878</v>
      </c>
      <c r="B5990" t="str">
        <f>"1551685940872656"</f>
        <v>1551685940872656</v>
      </c>
      <c r="C5990" t="s">
        <v>40</v>
      </c>
      <c r="D5990">
        <v>4.788646</v>
      </c>
      <c r="E5990">
        <v>0.54050869999999995</v>
      </c>
      <c r="F5990" t="s">
        <v>100</v>
      </c>
      <c r="G5990">
        <v>-279.68</v>
      </c>
      <c r="H5990">
        <v>1.0951550000000001</v>
      </c>
      <c r="I5990">
        <v>13.551410000000001</v>
      </c>
      <c r="J5990">
        <v>-339.96640000000002</v>
      </c>
      <c r="K5990">
        <v>1.110733</v>
      </c>
      <c r="L5990">
        <v>16.947569999999999</v>
      </c>
      <c r="M5990">
        <v>0.99990279999999998</v>
      </c>
      <c r="N5990">
        <v>-1.376643E-2</v>
      </c>
      <c r="O5990">
        <v>-2.2336399999999998E-3</v>
      </c>
      <c r="P5990">
        <v>0.98275409999999996</v>
      </c>
      <c r="Q5990">
        <v>0.1778141</v>
      </c>
      <c r="R5990">
        <v>5.0761380000000002E-2</v>
      </c>
      <c r="S5990">
        <v>3.0618289999999999</v>
      </c>
      <c r="T5990">
        <v>-7.8976149999999902E-4</v>
      </c>
      <c r="U5990">
        <v>-0.1721191</v>
      </c>
      <c r="V5990">
        <v>-5.2984450000000002E-2</v>
      </c>
      <c r="W5990">
        <v>0.19131699999999999</v>
      </c>
      <c r="X5990">
        <v>0.9800972</v>
      </c>
      <c r="Y5990">
        <v>5.3895510000000001E-2</v>
      </c>
      <c r="Z5990">
        <v>-4.0838190000000001E-4</v>
      </c>
      <c r="AA5990">
        <v>0.9985465</v>
      </c>
      <c r="AB5990">
        <v>24</v>
      </c>
      <c r="AC5990">
        <v>60.2864</v>
      </c>
      <c r="AD5990">
        <v>-1.5578E-2</v>
      </c>
      <c r="AE5990">
        <v>-3.3961600000000001</v>
      </c>
      <c r="AF5990">
        <v>3.2614804408051099</v>
      </c>
      <c r="AG5990">
        <v>-1.5578E-2</v>
      </c>
      <c r="AH5990">
        <v>60.293832086638197</v>
      </c>
      <c r="AI5990">
        <v>90.014781788235098</v>
      </c>
      <c r="AJ5990">
        <v>86.903711151112404</v>
      </c>
      <c r="AK5990">
        <v>60.381981459964997</v>
      </c>
      <c r="AL5990">
        <v>78.970347587412903</v>
      </c>
      <c r="AM5990">
        <v>93.094420789489305</v>
      </c>
      <c r="AN5990">
        <v>1.00000003393932</v>
      </c>
    </row>
    <row r="5991" spans="1:40" x14ac:dyDescent="0.25">
      <c r="A5991" t="str">
        <f>"20190304155220891"</f>
        <v>20190304155220891</v>
      </c>
      <c r="B5991" t="str">
        <f>"1551685940882417"</f>
        <v>1551685940882417</v>
      </c>
      <c r="C5991" t="s">
        <v>40</v>
      </c>
      <c r="D5991">
        <v>4.9614019999999996</v>
      </c>
      <c r="E5991">
        <v>0.53942659999999998</v>
      </c>
      <c r="F5991" t="s">
        <v>99</v>
      </c>
      <c r="G5991">
        <v>-274.49669999999998</v>
      </c>
      <c r="H5991">
        <v>1.378422</v>
      </c>
      <c r="I5991">
        <v>13.040839999999999</v>
      </c>
      <c r="J5991">
        <v>-339.82819999999998</v>
      </c>
      <c r="K5991">
        <v>1.1107309999999999</v>
      </c>
      <c r="L5991">
        <v>16.94736</v>
      </c>
      <c r="M5991">
        <v>0.99990299999999999</v>
      </c>
      <c r="N5991">
        <v>-1.376488E-2</v>
      </c>
      <c r="O5991">
        <v>-2.1698680000000001E-3</v>
      </c>
      <c r="P5991">
        <v>0.98274410000000001</v>
      </c>
      <c r="Q5991">
        <v>0.1779849</v>
      </c>
      <c r="R5991">
        <v>5.0357600000000002E-2</v>
      </c>
      <c r="S5991">
        <v>3.0598139999999998</v>
      </c>
      <c r="T5991">
        <v>1.25109E-2</v>
      </c>
      <c r="U5991">
        <v>-0.18258669999999999</v>
      </c>
      <c r="V5991">
        <v>-5.2518139999999998E-2</v>
      </c>
      <c r="W5991">
        <v>0.19148599999999999</v>
      </c>
      <c r="X5991">
        <v>0.98008919999999999</v>
      </c>
      <c r="Y5991">
        <v>5.740162E-2</v>
      </c>
      <c r="Z5991">
        <v>-3.1688940000000002E-4</v>
      </c>
      <c r="AA5991">
        <v>0.99835110000000005</v>
      </c>
      <c r="AB5991">
        <v>24</v>
      </c>
      <c r="AC5991">
        <v>65.331500000000005</v>
      </c>
      <c r="AD5991">
        <v>0.26769100000000001</v>
      </c>
      <c r="AE5991">
        <v>-3.90652</v>
      </c>
      <c r="AF5991">
        <v>3.7646736725649901</v>
      </c>
      <c r="AG5991">
        <v>0.26769100000000001</v>
      </c>
      <c r="AH5991">
        <v>65.338730547454006</v>
      </c>
      <c r="AI5991">
        <v>89.765650735669595</v>
      </c>
      <c r="AJ5991">
        <v>86.702389364951301</v>
      </c>
      <c r="AK5991">
        <v>65.4476442348018</v>
      </c>
      <c r="AL5991">
        <v>78.960481175872303</v>
      </c>
      <c r="AM5991">
        <v>93.067264371188301</v>
      </c>
      <c r="AN5991">
        <v>0.99999994159084804</v>
      </c>
    </row>
    <row r="5992" spans="1:40" x14ac:dyDescent="0.25">
      <c r="A5992" t="str">
        <f>"20190304155220905"</f>
        <v>20190304155220905</v>
      </c>
      <c r="B5992" t="str">
        <f>"1551685940902913"</f>
        <v>1551685940902913</v>
      </c>
      <c r="C5992" t="s">
        <v>40</v>
      </c>
      <c r="D5992">
        <v>4.8187230000000003</v>
      </c>
      <c r="E5992">
        <v>0.53890819999999995</v>
      </c>
      <c r="F5992" t="s">
        <v>100</v>
      </c>
      <c r="G5992">
        <v>-279.68</v>
      </c>
      <c r="H5992">
        <v>1.1807989999999999</v>
      </c>
      <c r="I5992">
        <v>13.499320000000001</v>
      </c>
      <c r="J5992">
        <v>-339.66559999999998</v>
      </c>
      <c r="K5992">
        <v>1.110733</v>
      </c>
      <c r="L5992">
        <v>16.94708</v>
      </c>
      <c r="M5992">
        <v>0.99990310000000004</v>
      </c>
      <c r="N5992">
        <v>-1.3763030000000001E-2</v>
      </c>
      <c r="O5992">
        <v>-2.0963230000000002E-3</v>
      </c>
      <c r="P5992">
        <v>0.98287950000000002</v>
      </c>
      <c r="Q5992">
        <v>0.17743539999999999</v>
      </c>
      <c r="R5992">
        <v>4.964702E-2</v>
      </c>
      <c r="S5992">
        <v>3.061035</v>
      </c>
      <c r="T5992">
        <v>3.5653109999999998E-3</v>
      </c>
      <c r="U5992">
        <v>-0.1754761</v>
      </c>
      <c r="V5992">
        <v>-5.1734879999999997E-2</v>
      </c>
      <c r="W5992">
        <v>0.190937</v>
      </c>
      <c r="X5992">
        <v>0.98023800000000005</v>
      </c>
      <c r="Y5992">
        <v>5.5139199999999902E-2</v>
      </c>
      <c r="Z5992">
        <v>-3.7895339999999999E-4</v>
      </c>
      <c r="AA5992">
        <v>0.99847859999999999</v>
      </c>
      <c r="AB5992">
        <v>24</v>
      </c>
      <c r="AC5992">
        <v>59.985599999999899</v>
      </c>
      <c r="AD5992">
        <v>7.0065999999999906E-2</v>
      </c>
      <c r="AE5992">
        <v>-3.4477599999999899</v>
      </c>
      <c r="AF5992">
        <v>3.32198680262935</v>
      </c>
      <c r="AG5992">
        <v>7.0065999999999906E-2</v>
      </c>
      <c r="AH5992">
        <v>59.992614892102097</v>
      </c>
      <c r="AI5992">
        <v>89.933186046481595</v>
      </c>
      <c r="AJ5992">
        <v>86.830582479946997</v>
      </c>
      <c r="AK5992">
        <v>60.084559973035198</v>
      </c>
      <c r="AL5992">
        <v>78.992528356350505</v>
      </c>
      <c r="AM5992">
        <v>93.021146510822106</v>
      </c>
      <c r="AN5992">
        <v>0.99999998621080699</v>
      </c>
    </row>
    <row r="5993" spans="1:40" x14ac:dyDescent="0.25">
      <c r="A5993" t="str">
        <f>"20190304155220919"</f>
        <v>20190304155220919</v>
      </c>
      <c r="B5993" t="str">
        <f>"1551685940912673"</f>
        <v>1551685940912673</v>
      </c>
      <c r="C5993" t="s">
        <v>40</v>
      </c>
      <c r="D5993">
        <v>4.9885859999999997</v>
      </c>
      <c r="E5993">
        <v>0.53796549999999999</v>
      </c>
      <c r="F5993" t="s">
        <v>100</v>
      </c>
      <c r="G5993">
        <v>-279.68</v>
      </c>
      <c r="H5993">
        <v>1.103999</v>
      </c>
      <c r="I5993">
        <v>13.541930000000001</v>
      </c>
      <c r="J5993">
        <v>-339.52359999999999</v>
      </c>
      <c r="K5993">
        <v>1.1107290000000001</v>
      </c>
      <c r="L5993">
        <v>16.946839999999899</v>
      </c>
      <c r="M5993">
        <v>0.9999034</v>
      </c>
      <c r="N5993">
        <v>-1.376143E-2</v>
      </c>
      <c r="O5993">
        <v>-2.033389E-3</v>
      </c>
      <c r="P5993">
        <v>0.98291680000000003</v>
      </c>
      <c r="Q5993">
        <v>0.17727989999999999</v>
      </c>
      <c r="R5993">
        <v>4.9464670000000002E-2</v>
      </c>
      <c r="S5993">
        <v>3.061096</v>
      </c>
      <c r="T5993">
        <v>-3.4415720000000001E-4</v>
      </c>
      <c r="U5993">
        <v>-0.17376710000000001</v>
      </c>
      <c r="V5993">
        <v>-5.1490149999999998E-2</v>
      </c>
      <c r="W5993">
        <v>0.19078059999999999</v>
      </c>
      <c r="X5993">
        <v>0.98028139999999997</v>
      </c>
      <c r="Y5993">
        <v>5.4644760000000001E-2</v>
      </c>
      <c r="Z5993">
        <v>-4.0711810000000002E-4</v>
      </c>
      <c r="AA5993">
        <v>0.9985058</v>
      </c>
      <c r="AB5993">
        <v>24</v>
      </c>
      <c r="AC5993">
        <v>59.843599999999903</v>
      </c>
      <c r="AD5993">
        <v>-6.7300000000001196E-3</v>
      </c>
      <c r="AE5993">
        <v>-3.4049099999999899</v>
      </c>
      <c r="AF5993">
        <v>3.2832060959200202</v>
      </c>
      <c r="AG5993">
        <v>-6.7300000000001196E-3</v>
      </c>
      <c r="AH5993">
        <v>59.850399666284702</v>
      </c>
      <c r="AI5993">
        <v>90.006433068339007</v>
      </c>
      <c r="AJ5993">
        <v>86.860079497924204</v>
      </c>
      <c r="AK5993">
        <v>59.940385615836597</v>
      </c>
      <c r="AL5993">
        <v>79.001657916312496</v>
      </c>
      <c r="AM5993">
        <v>93.006748494052601</v>
      </c>
      <c r="AN5993">
        <v>1.00000004803467</v>
      </c>
    </row>
    <row r="5994" spans="1:40" x14ac:dyDescent="0.25">
      <c r="A5994" t="str">
        <f>"20190304155220933"</f>
        <v>20190304155220933</v>
      </c>
      <c r="B5994" t="str">
        <f>"1551685940922433"</f>
        <v>1551685940922433</v>
      </c>
      <c r="C5994" t="s">
        <v>40</v>
      </c>
      <c r="D5994">
        <v>4.9794589999999896</v>
      </c>
      <c r="E5994">
        <v>0.53713580000000005</v>
      </c>
      <c r="F5994" t="s">
        <v>100</v>
      </c>
      <c r="G5994">
        <v>-279.68</v>
      </c>
      <c r="H5994">
        <v>0.99896739999999995</v>
      </c>
      <c r="I5994">
        <v>13.68099</v>
      </c>
      <c r="J5994">
        <v>-339.38330000000002</v>
      </c>
      <c r="K5994">
        <v>1.1107279999999999</v>
      </c>
      <c r="L5994">
        <v>16.946619999999999</v>
      </c>
      <c r="M5994">
        <v>0.9999034</v>
      </c>
      <c r="N5994">
        <v>-1.375986E-2</v>
      </c>
      <c r="O5994">
        <v>-1.9710510000000001E-3</v>
      </c>
      <c r="P5994">
        <v>0.98299809999999999</v>
      </c>
      <c r="Q5994">
        <v>0.1768836</v>
      </c>
      <c r="R5994">
        <v>4.9262359999999998E-2</v>
      </c>
      <c r="S5994">
        <v>3.0616460000000001</v>
      </c>
      <c r="T5994">
        <v>-5.7183499999999996E-3</v>
      </c>
      <c r="U5994">
        <v>-0.1670837</v>
      </c>
      <c r="V5994">
        <v>-5.122633E-2</v>
      </c>
      <c r="W5994">
        <v>0.19038459999999999</v>
      </c>
      <c r="X5994">
        <v>0.98037209999999997</v>
      </c>
      <c r="Y5994">
        <v>5.2523050000000002E-2</v>
      </c>
      <c r="Z5994">
        <v>-4.3408070000000001E-4</v>
      </c>
      <c r="AA5994">
        <v>0.99861960000000005</v>
      </c>
      <c r="AB5994">
        <v>24</v>
      </c>
      <c r="AC5994">
        <v>59.703299999999999</v>
      </c>
      <c r="AD5994">
        <v>-0.1117606</v>
      </c>
      <c r="AE5994">
        <v>-3.2656299999999998</v>
      </c>
      <c r="AF5994">
        <v>3.1479232680674398</v>
      </c>
      <c r="AG5994">
        <v>-0.1117606</v>
      </c>
      <c r="AH5994">
        <v>59.709412729926797</v>
      </c>
      <c r="AI5994">
        <v>90.107094047768996</v>
      </c>
      <c r="AJ5994">
        <v>86.982119185895201</v>
      </c>
      <c r="AK5994">
        <v>59.792439989400798</v>
      </c>
      <c r="AL5994">
        <v>79.024769513920205</v>
      </c>
      <c r="AM5994">
        <v>92.991094626627202</v>
      </c>
      <c r="AN5994">
        <v>0.999999943630417</v>
      </c>
    </row>
    <row r="5995" spans="1:40" x14ac:dyDescent="0.25">
      <c r="A5995" t="str">
        <f>"20190304155220953"</f>
        <v>20190304155220953</v>
      </c>
      <c r="B5995" t="str">
        <f>"1551685940942929"</f>
        <v>1551685940942929</v>
      </c>
      <c r="C5995" t="s">
        <v>40</v>
      </c>
      <c r="D5995">
        <v>4.9782979999999997</v>
      </c>
      <c r="E5995">
        <v>0.53575450000000002</v>
      </c>
      <c r="F5995" t="s">
        <v>100</v>
      </c>
      <c r="G5995">
        <v>-279.68</v>
      </c>
      <c r="H5995">
        <v>0.86533669999999996</v>
      </c>
      <c r="I5995">
        <v>13.80504</v>
      </c>
      <c r="J5995">
        <v>-339.16980000000001</v>
      </c>
      <c r="K5995">
        <v>1.110722</v>
      </c>
      <c r="L5995">
        <v>16.946290000000001</v>
      </c>
      <c r="M5995">
        <v>0.99990369999999995</v>
      </c>
      <c r="N5995">
        <v>-1.3757459999999999E-2</v>
      </c>
      <c r="O5995">
        <v>-1.8776019999999999E-3</v>
      </c>
      <c r="P5995">
        <v>0.98304369999999996</v>
      </c>
      <c r="Q5995">
        <v>0.17668719999999999</v>
      </c>
      <c r="R5995">
        <v>4.9061439999999998E-2</v>
      </c>
      <c r="S5995">
        <v>3.062195</v>
      </c>
      <c r="T5995">
        <v>-1.2586709999999999E-2</v>
      </c>
      <c r="U5995">
        <v>-0.16113279999999999</v>
      </c>
      <c r="V5995">
        <v>-5.0933329999999999E-2</v>
      </c>
      <c r="W5995">
        <v>0.1901871</v>
      </c>
      <c r="X5995">
        <v>0.98042580000000001</v>
      </c>
      <c r="Y5995">
        <v>5.067029E-2</v>
      </c>
      <c r="Z5995">
        <v>-4.7097790000000001E-4</v>
      </c>
      <c r="AA5995">
        <v>0.99871529999999997</v>
      </c>
      <c r="AB5995">
        <v>24</v>
      </c>
      <c r="AC5995">
        <v>59.489800000000002</v>
      </c>
      <c r="AD5995">
        <v>-0.245385299999999</v>
      </c>
      <c r="AE5995">
        <v>-3.1412499999999999</v>
      </c>
      <c r="AF5995">
        <v>3.0294843327998899</v>
      </c>
      <c r="AG5995">
        <v>-0.245385299999999</v>
      </c>
      <c r="AH5995">
        <v>59.494584253138299</v>
      </c>
      <c r="AI5995">
        <v>90.236009223652204</v>
      </c>
      <c r="AJ5995">
        <v>87.084997226118304</v>
      </c>
      <c r="AK5995">
        <v>59.572170891464999</v>
      </c>
      <c r="AL5995">
        <v>79.036297140531701</v>
      </c>
      <c r="AM5995">
        <v>92.973854618465396</v>
      </c>
      <c r="AN5995">
        <v>1.0000000432084599</v>
      </c>
    </row>
    <row r="5996" spans="1:40" x14ac:dyDescent="0.25">
      <c r="A5996" t="str">
        <f>"20190304155220974"</f>
        <v>20190304155220974</v>
      </c>
      <c r="B5996" t="str">
        <f>"1551685940962449"</f>
        <v>1551685940962449</v>
      </c>
      <c r="C5996" t="s">
        <v>40</v>
      </c>
      <c r="D5996">
        <v>4.8116890000000003</v>
      </c>
      <c r="E5996">
        <v>0.53588559999999996</v>
      </c>
      <c r="F5996" t="s">
        <v>97</v>
      </c>
      <c r="G5996">
        <v>-279.68</v>
      </c>
      <c r="H5996">
        <v>0.70349430000000002</v>
      </c>
      <c r="I5996">
        <v>14.01652</v>
      </c>
      <c r="J5996">
        <v>-338.94779999999997</v>
      </c>
      <c r="K5996">
        <v>1.1107229999999999</v>
      </c>
      <c r="L5996">
        <v>16.945979999999999</v>
      </c>
      <c r="M5996">
        <v>0.99990389999999996</v>
      </c>
      <c r="N5996">
        <v>-1.375501E-2</v>
      </c>
      <c r="O5996">
        <v>-1.7811700000000001E-3</v>
      </c>
      <c r="P5996">
        <v>0.98305209999999998</v>
      </c>
      <c r="Q5996">
        <v>0.1765707</v>
      </c>
      <c r="R5996">
        <v>4.9312830000000002E-2</v>
      </c>
      <c r="S5996">
        <v>3.0630190000000002</v>
      </c>
      <c r="T5996">
        <v>-2.096725E-2</v>
      </c>
      <c r="U5996">
        <v>-0.15084839999999999</v>
      </c>
      <c r="V5996">
        <v>-5.1088799999999997E-2</v>
      </c>
      <c r="W5996">
        <v>0.19006819999999999</v>
      </c>
      <c r="X5996">
        <v>0.98044070000000005</v>
      </c>
      <c r="Y5996">
        <v>4.7406110000000001E-2</v>
      </c>
      <c r="Z5996">
        <v>-5.0071610000000004E-4</v>
      </c>
      <c r="AA5996">
        <v>0.99887559999999997</v>
      </c>
      <c r="AB5996">
        <v>23</v>
      </c>
      <c r="AC5996">
        <v>59.267799999999902</v>
      </c>
      <c r="AD5996">
        <v>-0.407228699999999</v>
      </c>
      <c r="AE5996">
        <v>-2.92945999999999</v>
      </c>
      <c r="AF5996">
        <v>2.8237463607242601</v>
      </c>
      <c r="AG5996">
        <v>-0.407228699999999</v>
      </c>
      <c r="AH5996">
        <v>59.270132969502299</v>
      </c>
      <c r="AI5996">
        <v>90.393211288511694</v>
      </c>
      <c r="AJ5996">
        <v>87.272378175802203</v>
      </c>
      <c r="AK5996">
        <v>59.338756651502997</v>
      </c>
      <c r="AL5996">
        <v>79.043235437286299</v>
      </c>
      <c r="AM5996">
        <v>92.982870457766097</v>
      </c>
      <c r="AN5996">
        <v>0.99999997617658398</v>
      </c>
    </row>
    <row r="5997" spans="1:40" x14ac:dyDescent="0.25">
      <c r="A5997" t="str">
        <f>"20190304155220985"</f>
        <v>20190304155220985</v>
      </c>
      <c r="B5997" t="str">
        <f>"1551685940982945"</f>
        <v>1551685940982945</v>
      </c>
      <c r="C5997" t="s">
        <v>40</v>
      </c>
      <c r="D5997">
        <v>4.7434229999999999</v>
      </c>
      <c r="E5997">
        <v>0.53643160000000001</v>
      </c>
      <c r="F5997" t="s">
        <v>97</v>
      </c>
      <c r="G5997">
        <v>-279.68</v>
      </c>
      <c r="H5997">
        <v>0.66544199999999998</v>
      </c>
      <c r="I5997">
        <v>14.031650000000001</v>
      </c>
      <c r="J5997">
        <v>-338.82249999999999</v>
      </c>
      <c r="K5997">
        <v>1.1107209999999901</v>
      </c>
      <c r="L5997">
        <v>16.94586</v>
      </c>
      <c r="M5997">
        <v>0.99990409999999996</v>
      </c>
      <c r="N5997">
        <v>-1.3753629999999999E-2</v>
      </c>
      <c r="O5997">
        <v>-1.7265749999999999E-3</v>
      </c>
      <c r="P5997">
        <v>0.98308039999999997</v>
      </c>
      <c r="Q5997">
        <v>0.176377799999999</v>
      </c>
      <c r="R5997">
        <v>4.9436979999999998E-2</v>
      </c>
      <c r="S5997">
        <v>3.0634160000000001</v>
      </c>
      <c r="T5997">
        <v>-2.3015379999999998E-2</v>
      </c>
      <c r="U5997">
        <v>-0.15063480000000001</v>
      </c>
      <c r="V5997">
        <v>-5.1159490000000002E-2</v>
      </c>
      <c r="W5997">
        <v>0.1898743</v>
      </c>
      <c r="X5997">
        <v>0.98047459999999997</v>
      </c>
      <c r="Y5997">
        <v>4.7384349999999999E-2</v>
      </c>
      <c r="Z5997">
        <v>-5.1473779999999998E-4</v>
      </c>
      <c r="AA5997">
        <v>0.9988766</v>
      </c>
      <c r="AB5997">
        <v>23</v>
      </c>
      <c r="AC5997">
        <v>59.142499999999899</v>
      </c>
      <c r="AD5997">
        <v>-0.44527899999999898</v>
      </c>
      <c r="AE5997">
        <v>-2.91420999999999</v>
      </c>
      <c r="AF5997">
        <v>2.8119230454344102</v>
      </c>
      <c r="AG5997">
        <v>-0.44527899999999898</v>
      </c>
      <c r="AH5997">
        <v>59.144099467469303</v>
      </c>
      <c r="AI5997">
        <v>90.430868705029198</v>
      </c>
      <c r="AJ5997">
        <v>87.278002421436398</v>
      </c>
      <c r="AK5997">
        <v>59.212580474247098</v>
      </c>
      <c r="AL5997">
        <v>79.054551330213599</v>
      </c>
      <c r="AM5997">
        <v>92.986887206350005</v>
      </c>
      <c r="AN5997">
        <v>0.99999999223135405</v>
      </c>
    </row>
    <row r="5998" spans="1:40" x14ac:dyDescent="0.25">
      <c r="A5998" t="str">
        <f>"20190304155220999"</f>
        <v>20190304155220999</v>
      </c>
      <c r="B5998" t="str">
        <f>"1551685940992705"</f>
        <v>1551685940992705</v>
      </c>
      <c r="C5998" t="s">
        <v>40</v>
      </c>
      <c r="D5998">
        <v>4.8086869999999999</v>
      </c>
      <c r="E5998">
        <v>0.53692899999999999</v>
      </c>
      <c r="F5998" t="s">
        <v>97</v>
      </c>
      <c r="G5998">
        <v>-279.68</v>
      </c>
      <c r="H5998">
        <v>0.59882590000000002</v>
      </c>
      <c r="I5998">
        <v>13.961880000000001</v>
      </c>
      <c r="J5998">
        <v>-338.69290000000001</v>
      </c>
      <c r="K5998">
        <v>1.1107129999999901</v>
      </c>
      <c r="L5998">
        <v>16.945679999999999</v>
      </c>
      <c r="M5998">
        <v>0.99990400000000002</v>
      </c>
      <c r="N5998">
        <v>-1.3752210000000001E-2</v>
      </c>
      <c r="O5998">
        <v>-1.6700720000000001E-3</v>
      </c>
      <c r="P5998">
        <v>0.98314259999999998</v>
      </c>
      <c r="Q5998">
        <v>0.1760263</v>
      </c>
      <c r="R5998">
        <v>4.9451769999999999E-2</v>
      </c>
      <c r="S5998">
        <v>3.064209</v>
      </c>
      <c r="T5998">
        <v>-2.652144E-2</v>
      </c>
      <c r="U5998">
        <v>-0.15460209999999999</v>
      </c>
      <c r="V5998">
        <v>-5.1118139999999999E-2</v>
      </c>
      <c r="W5998">
        <v>0.1895223</v>
      </c>
      <c r="X5998">
        <v>0.98054490000000005</v>
      </c>
      <c r="Y5998">
        <v>4.8717179999999999E-2</v>
      </c>
      <c r="Z5998">
        <v>-5.5442950000000001E-4</v>
      </c>
      <c r="AA5998">
        <v>0.99881240000000004</v>
      </c>
      <c r="AB5998">
        <v>23</v>
      </c>
      <c r="AC5998">
        <v>59.012900000000002</v>
      </c>
      <c r="AD5998">
        <v>-0.51188709999999904</v>
      </c>
      <c r="AE5998">
        <v>-2.9838</v>
      </c>
      <c r="AF5998">
        <v>2.88501420360521</v>
      </c>
      <c r="AG5998">
        <v>-0.51188709999999904</v>
      </c>
      <c r="AH5998">
        <v>59.013372417425899</v>
      </c>
      <c r="AI5998">
        <v>90.496383296191595</v>
      </c>
      <c r="AJ5998">
        <v>87.201182850494703</v>
      </c>
      <c r="AK5998">
        <v>59.086068234702701</v>
      </c>
      <c r="AL5998">
        <v>79.075092879545295</v>
      </c>
      <c r="AM5998">
        <v>92.984263816215005</v>
      </c>
      <c r="AN5998">
        <v>1.00000003367517</v>
      </c>
    </row>
    <row r="5999" spans="1:40" x14ac:dyDescent="0.25">
      <c r="A5999" t="str">
        <f>"20190304155221011"</f>
        <v>20190304155221011</v>
      </c>
      <c r="B5999" t="str">
        <f>"1551685941002465"</f>
        <v>1551685941002465</v>
      </c>
      <c r="C5999" t="s">
        <v>40</v>
      </c>
      <c r="D5999">
        <v>4.8330909999999996</v>
      </c>
      <c r="E5999">
        <v>0.53730149999999999</v>
      </c>
      <c r="F5999" t="s">
        <v>100</v>
      </c>
      <c r="G5999">
        <v>-279.68</v>
      </c>
      <c r="H5999">
        <v>0.62233890000000003</v>
      </c>
      <c r="I5999">
        <v>13.89626</v>
      </c>
      <c r="J5999">
        <v>-338.56529999999998</v>
      </c>
      <c r="K5999">
        <v>1.1107119999999999</v>
      </c>
      <c r="L5999">
        <v>16.945529999999899</v>
      </c>
      <c r="M5999">
        <v>0.99990429999999997</v>
      </c>
      <c r="N5999">
        <v>-1.375083E-2</v>
      </c>
      <c r="O5999">
        <v>-1.6146400000000001E-3</v>
      </c>
      <c r="P5999">
        <v>0.98313609999999896</v>
      </c>
      <c r="Q5999">
        <v>0.176033299999999</v>
      </c>
      <c r="R5999">
        <v>4.9556290000000003E-2</v>
      </c>
      <c r="S5999">
        <v>3.0639340000000002</v>
      </c>
      <c r="T5999">
        <v>-2.5356770000000001E-2</v>
      </c>
      <c r="U5999">
        <v>-0.1583252</v>
      </c>
      <c r="V5999">
        <v>-5.1168110000000003E-2</v>
      </c>
      <c r="W5999">
        <v>0.1895279</v>
      </c>
      <c r="X5999">
        <v>0.9805412</v>
      </c>
      <c r="Y5999">
        <v>4.9987730000000001E-2</v>
      </c>
      <c r="Z5999">
        <v>-5.5948830000000001E-4</v>
      </c>
      <c r="AA5999">
        <v>0.99874969999999996</v>
      </c>
      <c r="AB5999">
        <v>23</v>
      </c>
      <c r="AC5999">
        <v>58.885299999999901</v>
      </c>
      <c r="AD5999">
        <v>-0.4883731</v>
      </c>
      <c r="AE5999">
        <v>-3.0492699999999902</v>
      </c>
      <c r="AF5999">
        <v>2.9539758437798</v>
      </c>
      <c r="AG5999">
        <v>-0.4883731</v>
      </c>
      <c r="AH5999">
        <v>58.8861075538913</v>
      </c>
      <c r="AI5999">
        <v>90.474576067782905</v>
      </c>
      <c r="AJ5999">
        <v>87.128209018133205</v>
      </c>
      <c r="AK5999">
        <v>58.962175540077297</v>
      </c>
      <c r="AL5999">
        <v>79.074765978436503</v>
      </c>
      <c r="AM5999">
        <v>92.987187022475098</v>
      </c>
      <c r="AN5999">
        <v>1.00000002262841</v>
      </c>
    </row>
    <row r="6000" spans="1:40" x14ac:dyDescent="0.25">
      <c r="A6000" t="str">
        <f>"20190304155221028"</f>
        <v>20190304155221028</v>
      </c>
      <c r="B6000" t="str">
        <f>"1551685941022961"</f>
        <v>1551685941022961</v>
      </c>
      <c r="C6000" t="s">
        <v>40</v>
      </c>
      <c r="D6000">
        <v>4.7968279999999996</v>
      </c>
      <c r="E6000">
        <v>0.53736260000000002</v>
      </c>
      <c r="F6000" t="s">
        <v>100</v>
      </c>
      <c r="G6000">
        <v>-279.68</v>
      </c>
      <c r="H6000">
        <v>0.67440519999999904</v>
      </c>
      <c r="I6000">
        <v>13.858409999999999</v>
      </c>
      <c r="J6000">
        <v>-338.37920000000003</v>
      </c>
      <c r="K6000">
        <v>1.1107100000000001</v>
      </c>
      <c r="L6000">
        <v>16.945309999999999</v>
      </c>
      <c r="M6000">
        <v>0.99990440000000003</v>
      </c>
      <c r="N6000">
        <v>-1.374888E-2</v>
      </c>
      <c r="O6000">
        <v>-1.5334560000000001E-3</v>
      </c>
      <c r="P6000">
        <v>0.98315410000000003</v>
      </c>
      <c r="Q6000">
        <v>0.175917299999999</v>
      </c>
      <c r="R6000">
        <v>4.961281E-2</v>
      </c>
      <c r="S6000">
        <v>3.0636290000000002</v>
      </c>
      <c r="T6000">
        <v>-2.2700310000000001E-2</v>
      </c>
      <c r="U6000">
        <v>-0.16061400000000001</v>
      </c>
      <c r="V6000">
        <v>-5.1144500000000002E-2</v>
      </c>
      <c r="W6000">
        <v>0.1894103</v>
      </c>
      <c r="X6000">
        <v>0.98056509999999997</v>
      </c>
      <c r="Y6000">
        <v>5.0818660000000002E-2</v>
      </c>
      <c r="Z6000">
        <v>-5.4747729999999998E-4</v>
      </c>
      <c r="AA6000">
        <v>0.99870780000000003</v>
      </c>
      <c r="AB6000">
        <v>23</v>
      </c>
      <c r="AC6000">
        <v>58.699199999999998</v>
      </c>
      <c r="AD6000">
        <v>-0.43630479999999999</v>
      </c>
      <c r="AE6000">
        <v>-3.0868999999999902</v>
      </c>
      <c r="AF6000">
        <v>2.9967101240298999</v>
      </c>
      <c r="AG6000">
        <v>-0.43630479999999999</v>
      </c>
      <c r="AH6000">
        <v>58.700630902806097</v>
      </c>
      <c r="AI6000">
        <v>90.425301279953601</v>
      </c>
      <c r="AJ6000">
        <v>87.077545615768301</v>
      </c>
      <c r="AK6000">
        <v>58.778692583566702</v>
      </c>
      <c r="AL6000">
        <v>79.081627662189504</v>
      </c>
      <c r="AM6000">
        <v>92.985738525087797</v>
      </c>
      <c r="AN6000">
        <v>0.99999996848217398</v>
      </c>
    </row>
    <row r="6001" spans="1:40" x14ac:dyDescent="0.25">
      <c r="A6001" t="str">
        <f>"20190304155221041"</f>
        <v>20190304155221041</v>
      </c>
      <c r="B6001" t="str">
        <f>"1551685941032722"</f>
        <v>1551685941032722</v>
      </c>
      <c r="C6001" t="s">
        <v>40</v>
      </c>
      <c r="D6001">
        <v>4.7837620000000003</v>
      </c>
      <c r="E6001">
        <v>0.5376571</v>
      </c>
      <c r="F6001" t="s">
        <v>100</v>
      </c>
      <c r="G6001">
        <v>-279.68</v>
      </c>
      <c r="H6001">
        <v>0.64305019999999902</v>
      </c>
      <c r="I6001">
        <v>13.8653</v>
      </c>
      <c r="J6001">
        <v>-338.24829999999997</v>
      </c>
      <c r="K6001">
        <v>1.110714</v>
      </c>
      <c r="L6001">
        <v>16.94519</v>
      </c>
      <c r="M6001">
        <v>0.99990449999999997</v>
      </c>
      <c r="N6001">
        <v>-1.3747509999999999E-2</v>
      </c>
      <c r="O6001">
        <v>-1.4762320000000001E-3</v>
      </c>
      <c r="P6001">
        <v>0.98312339999999998</v>
      </c>
      <c r="Q6001">
        <v>0.1761151</v>
      </c>
      <c r="R6001">
        <v>4.9520120000000001E-2</v>
      </c>
      <c r="S6001">
        <v>3.063904</v>
      </c>
      <c r="T6001">
        <v>-2.441084E-2</v>
      </c>
      <c r="U6001">
        <v>-0.16076660000000001</v>
      </c>
      <c r="V6001">
        <v>-5.0996199999999998E-2</v>
      </c>
      <c r="W6001">
        <v>0.18960650000000001</v>
      </c>
      <c r="X6001">
        <v>0.98053489999999999</v>
      </c>
      <c r="Y6001">
        <v>5.0920310000000003E-2</v>
      </c>
      <c r="Z6001">
        <v>-5.6151910000000005E-4</v>
      </c>
      <c r="AA6001">
        <v>0.9987026</v>
      </c>
      <c r="AB6001">
        <v>23</v>
      </c>
      <c r="AC6001">
        <v>58.568299999999901</v>
      </c>
      <c r="AD6001">
        <v>-0.46766380000000002</v>
      </c>
      <c r="AE6001">
        <v>-3.0798899999999998</v>
      </c>
      <c r="AF6001">
        <v>2.9932277620009899</v>
      </c>
      <c r="AG6001">
        <v>-0.46766380000000002</v>
      </c>
      <c r="AH6001">
        <v>58.569059218348997</v>
      </c>
      <c r="AI6001">
        <v>90.456890915656203</v>
      </c>
      <c r="AJ6001">
        <v>87.074389697600694</v>
      </c>
      <c r="AK6001">
        <v>58.647359868859503</v>
      </c>
      <c r="AL6001">
        <v>79.070178712493899</v>
      </c>
      <c r="AM6001">
        <v>92.977188120540802</v>
      </c>
      <c r="AN6001">
        <v>0.999999963687349</v>
      </c>
    </row>
    <row r="6002" spans="1:40" x14ac:dyDescent="0.25">
      <c r="A6002" t="str">
        <f>"20190304155221053"</f>
        <v>20190304155221053</v>
      </c>
      <c r="B6002" t="str">
        <f>"1551685941042482"</f>
        <v>1551685941042482</v>
      </c>
      <c r="C6002" t="s">
        <v>40</v>
      </c>
      <c r="D6002">
        <v>4.9464649999999999</v>
      </c>
      <c r="E6002">
        <v>0.53825259999999997</v>
      </c>
      <c r="F6002" t="s">
        <v>100</v>
      </c>
      <c r="G6002">
        <v>-279.68</v>
      </c>
      <c r="H6002">
        <v>0.69950440000000003</v>
      </c>
      <c r="I6002">
        <v>13.825010000000001</v>
      </c>
      <c r="J6002">
        <v>-338.12470000000002</v>
      </c>
      <c r="K6002">
        <v>1.110717</v>
      </c>
      <c r="L6002">
        <v>16.945070000000001</v>
      </c>
      <c r="M6002">
        <v>0.99990460000000003</v>
      </c>
      <c r="N6002">
        <v>-1.374621E-2</v>
      </c>
      <c r="O6002">
        <v>-1.4221069999999999E-3</v>
      </c>
      <c r="P6002">
        <v>0.98313260000000002</v>
      </c>
      <c r="Q6002">
        <v>0.17609089999999999</v>
      </c>
      <c r="R6002">
        <v>4.9421800000000002E-2</v>
      </c>
      <c r="S6002">
        <v>3.0635379999999999</v>
      </c>
      <c r="T6002">
        <v>-2.1509770000000001E-2</v>
      </c>
      <c r="U6002">
        <v>-0.16320799999999999</v>
      </c>
      <c r="V6002">
        <v>-5.0843550000000001E-2</v>
      </c>
      <c r="W6002">
        <v>0.18958120000000001</v>
      </c>
      <c r="X6002">
        <v>0.98054770000000002</v>
      </c>
      <c r="Y6002">
        <v>5.1774899999999999E-2</v>
      </c>
      <c r="Z6002">
        <v>-5.4732499999999998E-4</v>
      </c>
      <c r="AA6002">
        <v>0.99865870000000001</v>
      </c>
      <c r="AB6002">
        <v>23</v>
      </c>
      <c r="AC6002">
        <v>58.444699999999997</v>
      </c>
      <c r="AD6002">
        <v>-0.41121259999999898</v>
      </c>
      <c r="AE6002">
        <v>-3.1200600000000001</v>
      </c>
      <c r="AF6002">
        <v>3.03678447507236</v>
      </c>
      <c r="AG6002">
        <v>-0.41121259999999898</v>
      </c>
      <c r="AH6002">
        <v>58.446193254827399</v>
      </c>
      <c r="AI6002">
        <v>90.402568905611602</v>
      </c>
      <c r="AJ6002">
        <v>87.025664134140001</v>
      </c>
      <c r="AK6002">
        <v>58.5264782959907</v>
      </c>
      <c r="AL6002">
        <v>79.071654866070801</v>
      </c>
      <c r="AM6002">
        <v>92.968253606204399</v>
      </c>
      <c r="AN6002">
        <v>0.99999994497266398</v>
      </c>
    </row>
    <row r="6003" spans="1:40" x14ac:dyDescent="0.25">
      <c r="A6003" t="str">
        <f>"20190304155221064"</f>
        <v>20190304155221064</v>
      </c>
      <c r="B6003" t="str">
        <f>"1551685941062977"</f>
        <v>1551685941062977</v>
      </c>
      <c r="C6003" t="s">
        <v>40</v>
      </c>
      <c r="D6003">
        <v>4.9154549999999997</v>
      </c>
      <c r="E6003">
        <v>0.53775299999999904</v>
      </c>
      <c r="F6003" t="s">
        <v>100</v>
      </c>
      <c r="G6003">
        <v>-279.68</v>
      </c>
      <c r="H6003">
        <v>0.69337789999999999</v>
      </c>
      <c r="I6003">
        <v>13.73977</v>
      </c>
      <c r="J6003">
        <v>-337.99540000000002</v>
      </c>
      <c r="K6003">
        <v>1.1107209999999901</v>
      </c>
      <c r="L6003">
        <v>16.944949999999999</v>
      </c>
      <c r="M6003">
        <v>0.99990469999999998</v>
      </c>
      <c r="N6003">
        <v>-1.374483E-2</v>
      </c>
      <c r="O6003">
        <v>-1.365359E-3</v>
      </c>
      <c r="P6003">
        <v>0.98312909999999998</v>
      </c>
      <c r="Q6003">
        <v>0.17618210000000001</v>
      </c>
      <c r="R6003">
        <v>4.9165859999999999E-2</v>
      </c>
      <c r="S6003">
        <v>3.063812</v>
      </c>
      <c r="T6003">
        <v>-2.1878479999999999E-2</v>
      </c>
      <c r="U6003">
        <v>-0.16802979999999901</v>
      </c>
      <c r="V6003">
        <v>-5.0532210000000001E-2</v>
      </c>
      <c r="W6003">
        <v>0.18967110000000001</v>
      </c>
      <c r="X6003">
        <v>0.98054649999999999</v>
      </c>
      <c r="Y6003">
        <v>5.3393639999999999E-2</v>
      </c>
      <c r="Z6003">
        <v>-5.6675589999999896E-4</v>
      </c>
      <c r="AA6003">
        <v>0.99857340000000006</v>
      </c>
      <c r="AB6003">
        <v>23</v>
      </c>
      <c r="AC6003">
        <v>58.315399999999997</v>
      </c>
      <c r="AD6003">
        <v>-0.41734309999999902</v>
      </c>
      <c r="AE6003">
        <v>-3.2051799999999901</v>
      </c>
      <c r="AF6003">
        <v>3.1253884481890899</v>
      </c>
      <c r="AG6003">
        <v>-0.41734309999999902</v>
      </c>
      <c r="AH6003">
        <v>58.316744415255499</v>
      </c>
      <c r="AI6003">
        <v>90.409442009581596</v>
      </c>
      <c r="AJ6003">
        <v>86.932263310090406</v>
      </c>
      <c r="AK6003">
        <v>58.401925545391201</v>
      </c>
      <c r="AL6003">
        <v>79.0664097837372</v>
      </c>
      <c r="AM6003">
        <v>92.9501133435257</v>
      </c>
      <c r="AN6003">
        <v>1.00000003454247</v>
      </c>
    </row>
    <row r="6004" spans="1:40" x14ac:dyDescent="0.25">
      <c r="A6004" t="str">
        <f>"20190304155221076"</f>
        <v>20190304155221076</v>
      </c>
      <c r="B6004" t="str">
        <f>"1551685941072737"</f>
        <v>1551685941072737</v>
      </c>
      <c r="C6004" t="s">
        <v>40</v>
      </c>
      <c r="D6004">
        <v>4.9138380000000002</v>
      </c>
      <c r="E6004">
        <v>0.53737469999999998</v>
      </c>
      <c r="F6004" t="s">
        <v>100</v>
      </c>
      <c r="G6004">
        <v>-279.68</v>
      </c>
      <c r="H6004">
        <v>0.58263739999999997</v>
      </c>
      <c r="I6004">
        <v>13.806889999999999</v>
      </c>
      <c r="J6004">
        <v>-337.88069999999999</v>
      </c>
      <c r="K6004">
        <v>1.1107199999999999</v>
      </c>
      <c r="L6004">
        <v>16.944849999999999</v>
      </c>
      <c r="M6004">
        <v>0.99990480000000004</v>
      </c>
      <c r="N6004">
        <v>-1.37436E-2</v>
      </c>
      <c r="O6004">
        <v>-1.3149289999999901E-3</v>
      </c>
      <c r="P6004">
        <v>0.98304840000000004</v>
      </c>
      <c r="Q6004">
        <v>0.1766442</v>
      </c>
      <c r="R6004">
        <v>4.912238E-2</v>
      </c>
      <c r="S6004">
        <v>3.0646969999999998</v>
      </c>
      <c r="T6004">
        <v>-2.775335E-2</v>
      </c>
      <c r="U6004">
        <v>-0.16491700000000001</v>
      </c>
      <c r="V6004">
        <v>-5.043926E-2</v>
      </c>
      <c r="W6004">
        <v>0.19013089999999999</v>
      </c>
      <c r="X6004">
        <v>0.98046219999999995</v>
      </c>
      <c r="Y6004">
        <v>5.2415509999999998E-2</v>
      </c>
      <c r="Z6004">
        <v>-6.0380239999999999E-4</v>
      </c>
      <c r="AA6004">
        <v>0.99862519999999999</v>
      </c>
      <c r="AB6004">
        <v>23</v>
      </c>
      <c r="AC6004">
        <v>58.200699999999898</v>
      </c>
      <c r="AD6004">
        <v>-0.52808259999999996</v>
      </c>
      <c r="AE6004">
        <v>-3.1379600000000001</v>
      </c>
      <c r="AF6004">
        <v>3.06116898898118</v>
      </c>
      <c r="AG6004">
        <v>-0.52808259999999996</v>
      </c>
      <c r="AH6004">
        <v>58.199998660456899</v>
      </c>
      <c r="AI6004">
        <v>90.519146254379706</v>
      </c>
      <c r="AJ6004">
        <v>86.989165026544995</v>
      </c>
      <c r="AK6004">
        <v>58.282840278153103</v>
      </c>
      <c r="AL6004">
        <v>79.039576551123204</v>
      </c>
      <c r="AM6004">
        <v>92.944949141951199</v>
      </c>
      <c r="AN6004">
        <v>1.0000000018564901</v>
      </c>
    </row>
    <row r="6005" spans="1:40" x14ac:dyDescent="0.25">
      <c r="A6005" t="str">
        <f>"20190304155221088"</f>
        <v>20190304155221088</v>
      </c>
      <c r="B6005" t="str">
        <f>"1551685941082498"</f>
        <v>1551685941082498</v>
      </c>
      <c r="C6005" t="s">
        <v>40</v>
      </c>
      <c r="D6005">
        <v>4.7797479999999997</v>
      </c>
      <c r="E6005">
        <v>0.53775209999999996</v>
      </c>
      <c r="F6005" t="s">
        <v>100</v>
      </c>
      <c r="G6005">
        <v>-279.68</v>
      </c>
      <c r="H6005">
        <v>0.57978339999999995</v>
      </c>
      <c r="I6005">
        <v>13.86992</v>
      </c>
      <c r="J6005">
        <v>-337.7586</v>
      </c>
      <c r="K6005">
        <v>1.110719</v>
      </c>
      <c r="L6005">
        <v>16.94473</v>
      </c>
      <c r="M6005">
        <v>0.99990489999999999</v>
      </c>
      <c r="N6005">
        <v>-1.3742300000000001E-2</v>
      </c>
      <c r="O6005">
        <v>-1.261161E-3</v>
      </c>
      <c r="P6005">
        <v>0.98304919999999996</v>
      </c>
      <c r="Q6005">
        <v>0.17667620000000001</v>
      </c>
      <c r="R6005">
        <v>4.8992149999999998E-2</v>
      </c>
      <c r="S6005">
        <v>3.0648499999999999</v>
      </c>
      <c r="T6005">
        <v>-2.7959700000000001E-2</v>
      </c>
      <c r="U6005">
        <v>-0.1619263</v>
      </c>
      <c r="V6005">
        <v>-5.0256160000000001E-2</v>
      </c>
      <c r="W6005">
        <v>0.19016179999999999</v>
      </c>
      <c r="X6005">
        <v>0.98046560000000005</v>
      </c>
      <c r="Y6005">
        <v>5.149484E-2</v>
      </c>
      <c r="Z6005">
        <v>-5.9465120000000004E-4</v>
      </c>
      <c r="AA6005">
        <v>0.99867309999999998</v>
      </c>
      <c r="AB6005">
        <v>23</v>
      </c>
      <c r="AC6005">
        <v>58.078600000000002</v>
      </c>
      <c r="AD6005">
        <v>-0.53093559999999995</v>
      </c>
      <c r="AE6005">
        <v>-3.0748099999999998</v>
      </c>
      <c r="AF6005">
        <v>3.0013040623509002</v>
      </c>
      <c r="AG6005">
        <v>-0.53093559999999995</v>
      </c>
      <c r="AH6005">
        <v>58.077592009886303</v>
      </c>
      <c r="AI6005">
        <v>90.523075861639597</v>
      </c>
      <c r="AJ6005">
        <v>87.041729586381294</v>
      </c>
      <c r="AK6005">
        <v>58.157513808216102</v>
      </c>
      <c r="AL6005">
        <v>79.037773104796997</v>
      </c>
      <c r="AM6005">
        <v>92.934267215175595</v>
      </c>
      <c r="AN6005">
        <v>0.99999999229027203</v>
      </c>
    </row>
    <row r="6006" spans="1:40" x14ac:dyDescent="0.25">
      <c r="A6006" t="str">
        <f>"20190304155221102"</f>
        <v>20190304155221102</v>
      </c>
      <c r="B6006" t="str">
        <f>"1551685941093234"</f>
        <v>1551685941093234</v>
      </c>
      <c r="C6006" t="s">
        <v>40</v>
      </c>
      <c r="D6006">
        <v>5.2718939999999996</v>
      </c>
      <c r="E6006">
        <v>0.53748549999999995</v>
      </c>
      <c r="F6006" t="s">
        <v>100</v>
      </c>
      <c r="G6006">
        <v>-279.68</v>
      </c>
      <c r="H6006">
        <v>0.60554300000000005</v>
      </c>
      <c r="I6006">
        <v>13.812580000000001</v>
      </c>
      <c r="J6006">
        <v>-337.6182</v>
      </c>
      <c r="K6006">
        <v>1.110716</v>
      </c>
      <c r="L6006">
        <v>16.944610000000001</v>
      </c>
      <c r="M6006">
        <v>0.99990489999999999</v>
      </c>
      <c r="N6006">
        <v>-1.3740820000000001E-2</v>
      </c>
      <c r="O6006">
        <v>-1.1991669999999999E-3</v>
      </c>
      <c r="P6006">
        <v>0.9830603</v>
      </c>
      <c r="Q6006">
        <v>0.1766567</v>
      </c>
      <c r="R6006">
        <v>4.883581E-2</v>
      </c>
      <c r="S6006">
        <v>3.0647890000000002</v>
      </c>
      <c r="T6006">
        <v>-2.6658540000000001E-2</v>
      </c>
      <c r="U6006">
        <v>-0.16528319999999999</v>
      </c>
      <c r="V6006">
        <v>-5.0038489999999998E-2</v>
      </c>
      <c r="W6006">
        <v>0.19014120000000001</v>
      </c>
      <c r="X6006">
        <v>0.98048069999999998</v>
      </c>
      <c r="Y6006">
        <v>5.2648769999999998E-2</v>
      </c>
      <c r="Z6006">
        <v>-5.9686720000000002E-4</v>
      </c>
      <c r="AA6006">
        <v>0.99861290000000003</v>
      </c>
      <c r="AB6006">
        <v>23</v>
      </c>
      <c r="AC6006">
        <v>57.938200000000002</v>
      </c>
      <c r="AD6006">
        <v>-0.50517299999999998</v>
      </c>
      <c r="AE6006">
        <v>-3.1320299999999999</v>
      </c>
      <c r="AF6006">
        <v>3.0623114816100698</v>
      </c>
      <c r="AG6006">
        <v>-0.50517299999999998</v>
      </c>
      <c r="AH6006">
        <v>57.937522712479101</v>
      </c>
      <c r="AI6006">
        <v>90.498868485300093</v>
      </c>
      <c r="AJ6006">
        <v>86.974423533884604</v>
      </c>
      <c r="AK6006">
        <v>58.0205953901661</v>
      </c>
      <c r="AL6006">
        <v>79.038975027149405</v>
      </c>
      <c r="AM6006">
        <v>92.921535436475693</v>
      </c>
      <c r="AN6006">
        <v>0.99999996474570396</v>
      </c>
    </row>
    <row r="6007" spans="1:40" x14ac:dyDescent="0.25">
      <c r="A6007" t="str">
        <f>"20190304155221118"</f>
        <v>20190304155221118</v>
      </c>
      <c r="B6007" t="str">
        <f>"1551685941112754"</f>
        <v>1551685941112754</v>
      </c>
      <c r="C6007" t="s">
        <v>40</v>
      </c>
      <c r="D6007">
        <v>5.1594369999999996</v>
      </c>
      <c r="E6007">
        <v>0.53703250000000002</v>
      </c>
      <c r="F6007" t="s">
        <v>100</v>
      </c>
      <c r="G6007">
        <v>-279.68</v>
      </c>
      <c r="H6007">
        <v>0.6194499</v>
      </c>
      <c r="I6007">
        <v>13.852</v>
      </c>
      <c r="J6007">
        <v>-337.44369999999998</v>
      </c>
      <c r="K6007">
        <v>1.1107180000000001</v>
      </c>
      <c r="L6007">
        <v>16.944520000000001</v>
      </c>
      <c r="M6007">
        <v>0.99990500000000004</v>
      </c>
      <c r="N6007">
        <v>-1.3738999999999999E-2</v>
      </c>
      <c r="O6007">
        <v>-1.1221499999999999E-3</v>
      </c>
      <c r="P6007">
        <v>0.98298719999999995</v>
      </c>
      <c r="Q6007">
        <v>0.1771363</v>
      </c>
      <c r="R6007">
        <v>4.8574119999999998E-2</v>
      </c>
      <c r="S6007">
        <v>3.0644529999999999</v>
      </c>
      <c r="T6007">
        <v>-2.5984529999999999E-2</v>
      </c>
      <c r="U6007">
        <v>-0.1635742</v>
      </c>
      <c r="V6007">
        <v>-4.97014E-2</v>
      </c>
      <c r="W6007">
        <v>0.1906177</v>
      </c>
      <c r="X6007">
        <v>0.98040530000000004</v>
      </c>
      <c r="Y6007">
        <v>5.2176479999999997E-2</v>
      </c>
      <c r="Z6007">
        <v>-5.8566379999999999E-4</v>
      </c>
      <c r="AA6007">
        <v>0.99863769999999996</v>
      </c>
      <c r="AB6007">
        <v>23</v>
      </c>
      <c r="AC6007">
        <v>57.763699999999901</v>
      </c>
      <c r="AD6007">
        <v>-0.49126809999999999</v>
      </c>
      <c r="AE6007">
        <v>-3.0925199999999999</v>
      </c>
      <c r="AF6007">
        <v>3.0274740432771199</v>
      </c>
      <c r="AG6007">
        <v>-0.49126809999999999</v>
      </c>
      <c r="AH6007">
        <v>57.762968085800203</v>
      </c>
      <c r="AI6007">
        <v>90.486615080394401</v>
      </c>
      <c r="AJ6007">
        <v>86.999757487898705</v>
      </c>
      <c r="AK6007">
        <v>57.844337886347802</v>
      </c>
      <c r="AL6007">
        <v>79.011164731551503</v>
      </c>
      <c r="AM6007">
        <v>92.902110727073506</v>
      </c>
      <c r="AN6007">
        <v>0.99999994449166796</v>
      </c>
    </row>
    <row r="6008" spans="1:40" x14ac:dyDescent="0.25">
      <c r="A6008" t="str">
        <f>"20190304155221131"</f>
        <v>20190304155221131</v>
      </c>
      <c r="B6008" t="str">
        <f>"1551685941122513"</f>
        <v>1551685941122513</v>
      </c>
      <c r="C6008" t="s">
        <v>40</v>
      </c>
      <c r="D6008">
        <v>4.9102269999999999</v>
      </c>
      <c r="E6008">
        <v>0.53676480000000004</v>
      </c>
      <c r="F6008" t="s">
        <v>100</v>
      </c>
      <c r="G6008">
        <v>-279.68</v>
      </c>
      <c r="H6008">
        <v>0.68911889999999998</v>
      </c>
      <c r="I6008">
        <v>13.91647</v>
      </c>
      <c r="J6008">
        <v>-337.31689999999998</v>
      </c>
      <c r="K6008">
        <v>1.110722</v>
      </c>
      <c r="L6008">
        <v>16.944430000000001</v>
      </c>
      <c r="M6008">
        <v>0.99990520000000005</v>
      </c>
      <c r="N6008">
        <v>-1.373769E-2</v>
      </c>
      <c r="O6008">
        <v>-1.0661170000000001E-3</v>
      </c>
      <c r="P6008">
        <v>0.98298129999999995</v>
      </c>
      <c r="Q6008">
        <v>0.1771942</v>
      </c>
      <c r="R6008">
        <v>4.8479540000000002E-2</v>
      </c>
      <c r="S6008">
        <v>3.063904</v>
      </c>
      <c r="T6008">
        <v>-2.2363069999999999E-2</v>
      </c>
      <c r="U6008">
        <v>-0.16061400000000001</v>
      </c>
      <c r="V6008">
        <v>-4.9551230000000002E-2</v>
      </c>
      <c r="W6008">
        <v>0.19067480000000001</v>
      </c>
      <c r="X6008">
        <v>0.98040190000000005</v>
      </c>
      <c r="Y6008">
        <v>5.1280779999999998E-2</v>
      </c>
      <c r="Z6008">
        <v>-5.4638760000000005E-4</v>
      </c>
      <c r="AA6008">
        <v>0.99868409999999996</v>
      </c>
      <c r="AB6008">
        <v>23</v>
      </c>
      <c r="AC6008">
        <v>57.636899999999898</v>
      </c>
      <c r="AD6008">
        <v>-0.42160310000000001</v>
      </c>
      <c r="AE6008">
        <v>-3.02795999999999</v>
      </c>
      <c r="AF6008">
        <v>2.9663465271921101</v>
      </c>
      <c r="AG6008">
        <v>-0.42160310000000001</v>
      </c>
      <c r="AH6008">
        <v>57.6370202366152</v>
      </c>
      <c r="AI6008">
        <v>90.4185455939935</v>
      </c>
      <c r="AJ6008">
        <v>87.053815165223099</v>
      </c>
      <c r="AK6008">
        <v>57.714842654635298</v>
      </c>
      <c r="AL6008">
        <v>79.007833130886894</v>
      </c>
      <c r="AM6008">
        <v>92.893367100971801</v>
      </c>
      <c r="AN6008">
        <v>1.00000004463658</v>
      </c>
    </row>
    <row r="6009" spans="1:40" x14ac:dyDescent="0.25">
      <c r="A6009" t="str">
        <f>"20190304155221144"</f>
        <v>20190304155221144</v>
      </c>
      <c r="B6009" t="str">
        <f>"1551685941133250"</f>
        <v>1551685941133250</v>
      </c>
      <c r="C6009" t="s">
        <v>40</v>
      </c>
      <c r="D6009">
        <v>4.9503550000000001</v>
      </c>
      <c r="E6009">
        <v>0.53657219999999906</v>
      </c>
      <c r="F6009" t="s">
        <v>97</v>
      </c>
      <c r="G6009">
        <v>-279.68</v>
      </c>
      <c r="H6009">
        <v>0.72320819999999997</v>
      </c>
      <c r="I6009">
        <v>13.95762</v>
      </c>
      <c r="J6009">
        <v>-337.16849999999999</v>
      </c>
      <c r="K6009">
        <v>1.1107229999999999</v>
      </c>
      <c r="L6009">
        <v>16.944369999999999</v>
      </c>
      <c r="M6009">
        <v>0.9999053</v>
      </c>
      <c r="N6009">
        <v>-1.3736150000000001E-2</v>
      </c>
      <c r="O6009">
        <v>-1.000665E-3</v>
      </c>
      <c r="P6009">
        <v>0.98296709999999998</v>
      </c>
      <c r="Q6009">
        <v>0.17729909999999999</v>
      </c>
      <c r="R6009">
        <v>4.8381899999999999E-2</v>
      </c>
      <c r="S6009">
        <v>3.0634769999999998</v>
      </c>
      <c r="T6009">
        <v>-2.0596739999999999E-2</v>
      </c>
      <c r="U6009">
        <v>-0.15875239999999999</v>
      </c>
      <c r="V6009">
        <v>-4.9389410000000002E-2</v>
      </c>
      <c r="W6009">
        <v>0.1907778</v>
      </c>
      <c r="X6009">
        <v>0.98038999999999998</v>
      </c>
      <c r="Y6009">
        <v>5.0748649999999999E-2</v>
      </c>
      <c r="Z6009">
        <v>-5.2630509999999995E-4</v>
      </c>
      <c r="AA6009">
        <v>0.99871129999999997</v>
      </c>
      <c r="AB6009">
        <v>23</v>
      </c>
      <c r="AC6009">
        <v>57.488499999999902</v>
      </c>
      <c r="AD6009">
        <v>-0.38751479999999999</v>
      </c>
      <c r="AE6009">
        <v>-2.9867499999999998</v>
      </c>
      <c r="AF6009">
        <v>2.9290836229869401</v>
      </c>
      <c r="AG6009">
        <v>-0.38751479999999999</v>
      </c>
      <c r="AH6009">
        <v>57.488855110490903</v>
      </c>
      <c r="AI6009">
        <v>90.385707188580994</v>
      </c>
      <c r="AJ6009">
        <v>87.083275812212406</v>
      </c>
      <c r="AK6009">
        <v>57.564730178345201</v>
      </c>
      <c r="AL6009">
        <v>79.001821005600306</v>
      </c>
      <c r="AM6009">
        <v>92.883969123530505</v>
      </c>
      <c r="AN6009">
        <v>1.00000001744649</v>
      </c>
    </row>
    <row r="6010" spans="1:40" x14ac:dyDescent="0.25">
      <c r="A6010" t="str">
        <f>"20190304155221165"</f>
        <v>20190304155221165</v>
      </c>
      <c r="B6010" t="str">
        <f>"1551685941152769"</f>
        <v>1551685941152769</v>
      </c>
      <c r="C6010" t="s">
        <v>40</v>
      </c>
      <c r="D6010">
        <v>4.7404380000000002</v>
      </c>
      <c r="E6010">
        <v>0.5367826</v>
      </c>
      <c r="F6010" t="s">
        <v>97</v>
      </c>
      <c r="G6010">
        <v>-279.68</v>
      </c>
      <c r="H6010">
        <v>0.76430200000000004</v>
      </c>
      <c r="I6010">
        <v>13.99004</v>
      </c>
      <c r="J6010">
        <v>-336.9699</v>
      </c>
      <c r="K6010">
        <v>1.1107290000000001</v>
      </c>
      <c r="L6010">
        <v>16.944269999999999</v>
      </c>
      <c r="M6010">
        <v>0.99990540000000006</v>
      </c>
      <c r="N6010">
        <v>-1.3734140000000001E-2</v>
      </c>
      <c r="O6010">
        <v>-9.1315769999999997E-4</v>
      </c>
      <c r="P6010">
        <v>0.98295120000000002</v>
      </c>
      <c r="Q6010">
        <v>0.17747249999999901</v>
      </c>
      <c r="R6010">
        <v>4.8070979999999999E-2</v>
      </c>
      <c r="S6010">
        <v>3.0630489999999999</v>
      </c>
      <c r="T6010">
        <v>-1.845753E-2</v>
      </c>
      <c r="U6010">
        <v>-0.15740970000000001</v>
      </c>
      <c r="V6010">
        <v>-4.8992719999999997E-2</v>
      </c>
      <c r="W6010">
        <v>0.19094910000000001</v>
      </c>
      <c r="X6010">
        <v>0.98037649999999998</v>
      </c>
      <c r="Y6010">
        <v>5.0407100000000003E-2</v>
      </c>
      <c r="Z6010">
        <v>-5.0521080000000002E-4</v>
      </c>
      <c r="AA6010">
        <v>0.99872859999999997</v>
      </c>
      <c r="AB6010">
        <v>23</v>
      </c>
      <c r="AC6010">
        <v>57.289899999999903</v>
      </c>
      <c r="AD6010">
        <v>-0.34642699999999998</v>
      </c>
      <c r="AE6010">
        <v>-2.9542299999999999</v>
      </c>
      <c r="AF6010">
        <v>2.9018033036514401</v>
      </c>
      <c r="AG6010">
        <v>-0.34642699999999998</v>
      </c>
      <c r="AH6010">
        <v>57.290484762186601</v>
      </c>
      <c r="AI6010">
        <v>90.346011244253404</v>
      </c>
      <c r="AJ6010">
        <v>87.100406449012596</v>
      </c>
      <c r="AK6010">
        <v>57.3649729222088</v>
      </c>
      <c r="AL6010">
        <v>78.9918218305057</v>
      </c>
      <c r="AM6010">
        <v>92.860883383876299</v>
      </c>
      <c r="AN6010">
        <v>0.99999996357802801</v>
      </c>
    </row>
    <row r="6011" spans="1:40" x14ac:dyDescent="0.25">
      <c r="A6011" t="str">
        <f>"20190304155221179"</f>
        <v>20190304155221179</v>
      </c>
      <c r="B6011" t="str">
        <f>"1551685941173265"</f>
        <v>1551685941173265</v>
      </c>
      <c r="C6011" t="s">
        <v>40</v>
      </c>
      <c r="D6011">
        <v>4.9416529999999996</v>
      </c>
      <c r="E6011">
        <v>0.53640940000000004</v>
      </c>
      <c r="F6011" t="s">
        <v>97</v>
      </c>
      <c r="G6011">
        <v>-279.68</v>
      </c>
      <c r="H6011">
        <v>0.85889590000000005</v>
      </c>
      <c r="I6011">
        <v>13.952030000000001</v>
      </c>
      <c r="J6011">
        <v>-336.82240000000002</v>
      </c>
      <c r="K6011">
        <v>1.1107290000000001</v>
      </c>
      <c r="L6011">
        <v>16.944179999999999</v>
      </c>
      <c r="M6011">
        <v>0.99990540000000006</v>
      </c>
      <c r="N6011">
        <v>-1.3732629999999999E-2</v>
      </c>
      <c r="O6011">
        <v>-8.4854449999999997E-4</v>
      </c>
      <c r="P6011">
        <v>0.98291490000000004</v>
      </c>
      <c r="Q6011">
        <v>0.17773810000000001</v>
      </c>
      <c r="R6011">
        <v>4.7830459999999998E-2</v>
      </c>
      <c r="S6011">
        <v>3.0622859999999998</v>
      </c>
      <c r="T6011">
        <v>-1.3460990000000001E-2</v>
      </c>
      <c r="U6011">
        <v>-0.15994259999999999</v>
      </c>
      <c r="V6011">
        <v>-4.8688170000000003E-2</v>
      </c>
      <c r="W6011">
        <v>0.19121260000000001</v>
      </c>
      <c r="X6011">
        <v>0.9803404</v>
      </c>
      <c r="Y6011">
        <v>5.1309220000000003E-2</v>
      </c>
      <c r="Z6011">
        <v>-4.7318049999999997E-4</v>
      </c>
      <c r="AA6011">
        <v>0.99868270000000003</v>
      </c>
      <c r="AB6011">
        <v>23</v>
      </c>
      <c r="AC6011">
        <v>57.142400000000002</v>
      </c>
      <c r="AD6011">
        <v>-0.25183309999999998</v>
      </c>
      <c r="AE6011">
        <v>-2.9921500000000001</v>
      </c>
      <c r="AF6011">
        <v>2.9435994672247401</v>
      </c>
      <c r="AG6011">
        <v>-0.25183309999999998</v>
      </c>
      <c r="AH6011">
        <v>57.143811785911602</v>
      </c>
      <c r="AI6011">
        <v>90.252166851628601</v>
      </c>
      <c r="AJ6011">
        <v>87.051178740377594</v>
      </c>
      <c r="AK6011">
        <v>57.220131275254801</v>
      </c>
      <c r="AL6011">
        <v>78.976441932462706</v>
      </c>
      <c r="AM6011">
        <v>92.843233269090902</v>
      </c>
      <c r="AN6011">
        <v>1.00000004808443</v>
      </c>
    </row>
    <row r="6012" spans="1:40" x14ac:dyDescent="0.25">
      <c r="A6012" t="str">
        <f>"20190304155221196"</f>
        <v>20190304155221196</v>
      </c>
      <c r="B6012" t="str">
        <f>"1551685941192785"</f>
        <v>1551685941192785</v>
      </c>
      <c r="C6012" t="s">
        <v>40</v>
      </c>
      <c r="D6012">
        <v>4.7725900000000001</v>
      </c>
      <c r="E6012">
        <v>0.53665629999999998</v>
      </c>
      <c r="F6012" t="s">
        <v>97</v>
      </c>
      <c r="G6012">
        <v>-279.68</v>
      </c>
      <c r="H6012">
        <v>0.80023630000000001</v>
      </c>
      <c r="I6012">
        <v>14.001749999999999</v>
      </c>
      <c r="J6012">
        <v>-336.64010000000002</v>
      </c>
      <c r="K6012">
        <v>1.1107290000000001</v>
      </c>
      <c r="L6012">
        <v>16.944120000000002</v>
      </c>
      <c r="M6012">
        <v>0.99990540000000006</v>
      </c>
      <c r="N6012">
        <v>-1.373077E-2</v>
      </c>
      <c r="O6012">
        <v>-7.6975169999999996E-4</v>
      </c>
      <c r="P6012">
        <v>0.98289669999999896</v>
      </c>
      <c r="Q6012">
        <v>0.17794389999999999</v>
      </c>
      <c r="R6012">
        <v>4.743696E-2</v>
      </c>
      <c r="S6012">
        <v>3.0628359999999999</v>
      </c>
      <c r="T6012">
        <v>-1.664233E-2</v>
      </c>
      <c r="U6012">
        <v>-0.15771479999999999</v>
      </c>
      <c r="V6012">
        <v>-4.8216889999999998E-2</v>
      </c>
      <c r="W6012">
        <v>0.1914167</v>
      </c>
      <c r="X6012">
        <v>0.98032379999999997</v>
      </c>
      <c r="Y6012">
        <v>5.065352E-2</v>
      </c>
      <c r="Z6012">
        <v>-4.9191920000000002E-4</v>
      </c>
      <c r="AA6012">
        <v>0.99871620000000005</v>
      </c>
      <c r="AB6012">
        <v>23</v>
      </c>
      <c r="AC6012">
        <v>56.960099999999997</v>
      </c>
      <c r="AD6012">
        <v>-0.31049270000000001</v>
      </c>
      <c r="AE6012">
        <v>-2.9423699999999999</v>
      </c>
      <c r="AF6012">
        <v>2.8984339642763102</v>
      </c>
      <c r="AG6012">
        <v>-0.31049270000000001</v>
      </c>
      <c r="AH6012">
        <v>56.960660204378897</v>
      </c>
      <c r="AI6012">
        <v>90.311912799205402</v>
      </c>
      <c r="AJ6012">
        <v>87.087025965990904</v>
      </c>
      <c r="AK6012">
        <v>57.035200850709202</v>
      </c>
      <c r="AL6012">
        <v>78.9645271150208</v>
      </c>
      <c r="AM6012">
        <v>92.815804135244903</v>
      </c>
      <c r="AN6012">
        <v>0.99999998718330096</v>
      </c>
    </row>
    <row r="6013" spans="1:40" x14ac:dyDescent="0.25">
      <c r="A6013" t="str">
        <f>"20190304155221208"</f>
        <v>20190304155221208</v>
      </c>
      <c r="B6013" t="str">
        <f>"1551685941202546"</f>
        <v>1551685941202546</v>
      </c>
      <c r="C6013" t="s">
        <v>40</v>
      </c>
      <c r="D6013">
        <v>4.76938</v>
      </c>
      <c r="E6013">
        <v>0.53694090000000005</v>
      </c>
      <c r="F6013" t="s">
        <v>97</v>
      </c>
      <c r="G6013">
        <v>-279.68</v>
      </c>
      <c r="H6013">
        <v>0.77020049999999995</v>
      </c>
      <c r="I6013">
        <v>13.953029999999901</v>
      </c>
      <c r="J6013">
        <v>-336.51400000000001</v>
      </c>
      <c r="K6013">
        <v>1.1107290000000001</v>
      </c>
      <c r="L6013">
        <v>16.944089999999999</v>
      </c>
      <c r="M6013">
        <v>0.9999055</v>
      </c>
      <c r="N6013">
        <v>-1.3729399999999999E-2</v>
      </c>
      <c r="O6013">
        <v>-7.1611410000000004E-4</v>
      </c>
      <c r="P6013">
        <v>0.98284479999999996</v>
      </c>
      <c r="Q6013">
        <v>0.17824379999999901</v>
      </c>
      <c r="R6013">
        <v>4.7385360000000001E-2</v>
      </c>
      <c r="S6013">
        <v>3.0632630000000001</v>
      </c>
      <c r="T6013">
        <v>-1.831317E-2</v>
      </c>
      <c r="U6013">
        <v>-0.16085820000000001</v>
      </c>
      <c r="V6013">
        <v>-4.8112139999999998E-2</v>
      </c>
      <c r="W6013">
        <v>0.19171440000000001</v>
      </c>
      <c r="X6013">
        <v>0.9802708</v>
      </c>
      <c r="Y6013">
        <v>5.1721540000000003E-2</v>
      </c>
      <c r="Z6013">
        <v>-5.1536819999999995E-4</v>
      </c>
      <c r="AA6013">
        <v>0.99866140000000003</v>
      </c>
      <c r="AB6013">
        <v>23</v>
      </c>
      <c r="AC6013">
        <v>56.833999999999897</v>
      </c>
      <c r="AD6013">
        <v>-0.34052850000000001</v>
      </c>
      <c r="AE6013">
        <v>-2.9910600000000001</v>
      </c>
      <c r="AF6013">
        <v>2.9502501476435499</v>
      </c>
      <c r="AG6013">
        <v>-0.34052850000000001</v>
      </c>
      <c r="AH6013">
        <v>56.834092876766803</v>
      </c>
      <c r="AI6013">
        <v>90.342829066975597</v>
      </c>
      <c r="AJ6013">
        <v>87.028450924945105</v>
      </c>
      <c r="AK6013">
        <v>56.911633685196001</v>
      </c>
      <c r="AL6013">
        <v>78.947148616658794</v>
      </c>
      <c r="AM6013">
        <v>92.809848351030794</v>
      </c>
      <c r="AN6013">
        <v>1.00000001525768</v>
      </c>
    </row>
    <row r="6014" spans="1:40" x14ac:dyDescent="0.25">
      <c r="A6014" t="str">
        <f>"20190304155221220"</f>
        <v>20190304155221220</v>
      </c>
      <c r="B6014" t="str">
        <f>"1551685941213282"</f>
        <v>1551685941213282</v>
      </c>
      <c r="C6014" t="s">
        <v>40</v>
      </c>
      <c r="D6014">
        <v>4.5985449999999997</v>
      </c>
      <c r="E6014">
        <v>0.53679869999999996</v>
      </c>
      <c r="F6014" t="s">
        <v>100</v>
      </c>
      <c r="G6014">
        <v>-279.68</v>
      </c>
      <c r="H6014">
        <v>0.80568719999999905</v>
      </c>
      <c r="I6014">
        <v>13.914899999999999</v>
      </c>
      <c r="J6014">
        <v>-336.3922</v>
      </c>
      <c r="K6014">
        <v>1.110725</v>
      </c>
      <c r="L6014">
        <v>16.94406</v>
      </c>
      <c r="M6014">
        <v>0.99990570000000001</v>
      </c>
      <c r="N6014">
        <v>-1.3727069999999999E-2</v>
      </c>
      <c r="O6014">
        <v>-6.6521600000000005E-4</v>
      </c>
      <c r="P6014">
        <v>0.98280670000000003</v>
      </c>
      <c r="Q6014">
        <v>0.17846799999999999</v>
      </c>
      <c r="R6014">
        <v>4.733246E-2</v>
      </c>
      <c r="S6014">
        <v>3.0632630000000001</v>
      </c>
      <c r="T6014">
        <v>-1.6441819999999999E-2</v>
      </c>
      <c r="U6014">
        <v>-0.163269</v>
      </c>
      <c r="V6014">
        <v>-4.8008580000000002E-2</v>
      </c>
      <c r="W6014">
        <v>0.1919362</v>
      </c>
      <c r="X6014">
        <v>0.98023249999999995</v>
      </c>
      <c r="Y6014">
        <v>5.2556499999999999E-2</v>
      </c>
      <c r="Z6014">
        <v>-5.0750839999999997E-4</v>
      </c>
      <c r="AA6014">
        <v>0.9986178</v>
      </c>
      <c r="AB6014">
        <v>23</v>
      </c>
      <c r="AC6014">
        <v>56.712200000000003</v>
      </c>
      <c r="AD6014">
        <v>-0.30503779999999903</v>
      </c>
      <c r="AE6014">
        <v>-3.0291600000000001</v>
      </c>
      <c r="AF6014">
        <v>2.99134362272985</v>
      </c>
      <c r="AG6014">
        <v>-0.30503779999999903</v>
      </c>
      <c r="AH6014">
        <v>56.712566635710999</v>
      </c>
      <c r="AI6014">
        <v>90.307743951015595</v>
      </c>
      <c r="AJ6014">
        <v>86.980692349098106</v>
      </c>
      <c r="AK6014">
        <v>56.792221290759798</v>
      </c>
      <c r="AL6014">
        <v>78.934200236541599</v>
      </c>
      <c r="AM6014">
        <v>92.803919271179097</v>
      </c>
      <c r="AN6014">
        <v>1.00000004134015</v>
      </c>
    </row>
    <row r="6015" spans="1:40" x14ac:dyDescent="0.25">
      <c r="A6015" t="str">
        <f>"20190304155221231"</f>
        <v>20190304155221231</v>
      </c>
      <c r="B6015" t="str">
        <f>"1551685941223042"</f>
        <v>1551685941223042</v>
      </c>
      <c r="C6015" t="s">
        <v>40</v>
      </c>
      <c r="D6015">
        <v>4.7541729999999998</v>
      </c>
      <c r="E6015">
        <v>0.53708350000000005</v>
      </c>
      <c r="F6015" t="s">
        <v>97</v>
      </c>
      <c r="G6015">
        <v>-279.68</v>
      </c>
      <c r="H6015">
        <v>0.85711930000000003</v>
      </c>
      <c r="I6015">
        <v>13.94178</v>
      </c>
      <c r="J6015">
        <v>-336.28120000000001</v>
      </c>
      <c r="K6015">
        <v>1.110722</v>
      </c>
      <c r="L6015">
        <v>16.944029999999898</v>
      </c>
      <c r="M6015">
        <v>0.99990559999999995</v>
      </c>
      <c r="N6015">
        <v>-1.372465E-2</v>
      </c>
      <c r="O6015">
        <v>-6.1920539999999998E-4</v>
      </c>
      <c r="P6015">
        <v>0.98278520000000003</v>
      </c>
      <c r="Q6015">
        <v>0.17860009999999901</v>
      </c>
      <c r="R6015">
        <v>4.728284E-2</v>
      </c>
      <c r="S6015">
        <v>3.0627749999999998</v>
      </c>
      <c r="T6015">
        <v>-1.369596E-2</v>
      </c>
      <c r="U6015">
        <v>-0.162139899999999</v>
      </c>
      <c r="V6015">
        <v>-4.791339E-2</v>
      </c>
      <c r="W6015">
        <v>0.19206580000000001</v>
      </c>
      <c r="X6015">
        <v>0.98021170000000002</v>
      </c>
      <c r="Y6015">
        <v>5.2244369999999998E-2</v>
      </c>
      <c r="Z6015">
        <v>-4.8124840000000001E-4</v>
      </c>
      <c r="AA6015">
        <v>0.99863420000000003</v>
      </c>
      <c r="AB6015">
        <v>23</v>
      </c>
      <c r="AC6015">
        <v>56.601199999999999</v>
      </c>
      <c r="AD6015">
        <v>-0.25360269999999902</v>
      </c>
      <c r="AE6015">
        <v>-3.0022499999999899</v>
      </c>
      <c r="AF6015">
        <v>2.96713895522528</v>
      </c>
      <c r="AG6015">
        <v>-0.25360269999999902</v>
      </c>
      <c r="AH6015">
        <v>56.601915233729997</v>
      </c>
      <c r="AI6015">
        <v>90.256357827704093</v>
      </c>
      <c r="AJ6015">
        <v>86.999234532852199</v>
      </c>
      <c r="AK6015">
        <v>56.680199682388398</v>
      </c>
      <c r="AL6015">
        <v>78.926633137925194</v>
      </c>
      <c r="AM6015">
        <v>92.798427875007903</v>
      </c>
      <c r="AN6015">
        <v>0.99999997064391</v>
      </c>
    </row>
    <row r="6016" spans="1:40" x14ac:dyDescent="0.25">
      <c r="A6016" t="str">
        <f>"20190304155221243"</f>
        <v>20190304155221243</v>
      </c>
      <c r="B6016" t="str">
        <f>"1551685941232802"</f>
        <v>1551685941232802</v>
      </c>
      <c r="C6016" t="s">
        <v>40</v>
      </c>
      <c r="D6016">
        <v>4.851896</v>
      </c>
      <c r="E6016">
        <v>0.53716339999999996</v>
      </c>
      <c r="F6016" t="s">
        <v>100</v>
      </c>
      <c r="G6016">
        <v>-279.68</v>
      </c>
      <c r="H6016">
        <v>0.87168380000000001</v>
      </c>
      <c r="I6016">
        <v>13.901479999999999</v>
      </c>
      <c r="J6016">
        <v>-336.1524</v>
      </c>
      <c r="K6016">
        <v>1.1107199999999999</v>
      </c>
      <c r="L6016">
        <v>16.944029999999898</v>
      </c>
      <c r="M6016">
        <v>0.99990579999999996</v>
      </c>
      <c r="N6016">
        <v>-1.3721179999999999E-2</v>
      </c>
      <c r="O6016">
        <v>-5.67116E-4</v>
      </c>
      <c r="P6016">
        <v>0.98277619999999999</v>
      </c>
      <c r="Q6016">
        <v>0.1786567</v>
      </c>
      <c r="R6016">
        <v>4.7255989999999998E-2</v>
      </c>
      <c r="S6016">
        <v>3.0628660000000001</v>
      </c>
      <c r="T6016">
        <v>-1.293564E-2</v>
      </c>
      <c r="U6016">
        <v>-0.16464229999999899</v>
      </c>
      <c r="V6016">
        <v>-4.783482E-2</v>
      </c>
      <c r="W6016">
        <v>0.19211909999999999</v>
      </c>
      <c r="X6016">
        <v>0.98020510000000005</v>
      </c>
      <c r="Y6016">
        <v>5.3108490000000001E-2</v>
      </c>
      <c r="Z6016">
        <v>-4.8209270000000001E-4</v>
      </c>
      <c r="AA6016">
        <v>0.99858860000000005</v>
      </c>
      <c r="AB6016">
        <v>23</v>
      </c>
      <c r="AC6016">
        <v>56.472399999999901</v>
      </c>
      <c r="AD6016">
        <v>-0.2390362</v>
      </c>
      <c r="AE6016">
        <v>-3.0425499999999901</v>
      </c>
      <c r="AF6016">
        <v>3.0104663158979101</v>
      </c>
      <c r="AG6016">
        <v>-0.2390362</v>
      </c>
      <c r="AH6016">
        <v>56.473107682114701</v>
      </c>
      <c r="AI6016">
        <v>90.242173062741202</v>
      </c>
      <c r="AJ6016">
        <v>86.948566996330399</v>
      </c>
      <c r="AK6016">
        <v>56.553796839998199</v>
      </c>
      <c r="AL6016">
        <v>78.923521407084095</v>
      </c>
      <c r="AM6016">
        <v>92.7938649767881</v>
      </c>
      <c r="AN6016">
        <v>0.99999997832762599</v>
      </c>
    </row>
    <row r="6017" spans="1:40" x14ac:dyDescent="0.25">
      <c r="A6017" t="str">
        <f>"20190304155221256"</f>
        <v>20190304155221256</v>
      </c>
      <c r="B6017" t="str">
        <f>"1551685941253298"</f>
        <v>1551685941253298</v>
      </c>
      <c r="C6017" t="s">
        <v>40</v>
      </c>
      <c r="D6017">
        <v>4.8727510000000001</v>
      </c>
      <c r="E6017">
        <v>0.53740100000000002</v>
      </c>
      <c r="F6017" t="s">
        <v>100</v>
      </c>
      <c r="G6017">
        <v>-279.68</v>
      </c>
      <c r="H6017">
        <v>0.87202380000000002</v>
      </c>
      <c r="I6017">
        <v>13.895490000000001</v>
      </c>
      <c r="J6017">
        <v>-336.03030000000001</v>
      </c>
      <c r="K6017">
        <v>1.110717</v>
      </c>
      <c r="L6017">
        <v>16.943999999999999</v>
      </c>
      <c r="M6017">
        <v>0.99990590000000001</v>
      </c>
      <c r="N6017">
        <v>-1.3717790000000001E-2</v>
      </c>
      <c r="O6017">
        <v>-5.1956159999999997E-4</v>
      </c>
      <c r="P6017">
        <v>0.98275109999999999</v>
      </c>
      <c r="Q6017">
        <v>0.17878910000000001</v>
      </c>
      <c r="R6017">
        <v>4.7279069999999999E-2</v>
      </c>
      <c r="S6017">
        <v>3.062897</v>
      </c>
      <c r="T6017">
        <v>-1.294672E-2</v>
      </c>
      <c r="U6017">
        <v>-0.1653442</v>
      </c>
      <c r="V6017">
        <v>-4.7810690000000003E-2</v>
      </c>
      <c r="W6017">
        <v>0.19224830000000001</v>
      </c>
      <c r="X6017">
        <v>0.98018099999999997</v>
      </c>
      <c r="Y6017">
        <v>5.3383609999999998E-2</v>
      </c>
      <c r="Z6017">
        <v>-4.8411359999999998E-4</v>
      </c>
      <c r="AA6017">
        <v>0.99857399999999996</v>
      </c>
      <c r="AB6017">
        <v>23</v>
      </c>
      <c r="AC6017">
        <v>56.350299999999997</v>
      </c>
      <c r="AD6017">
        <v>-0.238693199999999</v>
      </c>
      <c r="AE6017">
        <v>-3.0485099999999998</v>
      </c>
      <c r="AF6017">
        <v>3.01917537106304</v>
      </c>
      <c r="AG6017">
        <v>-0.238693199999999</v>
      </c>
      <c r="AH6017">
        <v>56.350868294634203</v>
      </c>
      <c r="AI6017">
        <v>90.242346651259993</v>
      </c>
      <c r="AJ6017">
        <v>86.933130393298299</v>
      </c>
      <c r="AK6017">
        <v>56.4321960579612</v>
      </c>
      <c r="AL6017">
        <v>78.915978779353097</v>
      </c>
      <c r="AM6017">
        <v>92.792526409269399</v>
      </c>
      <c r="AN6017">
        <v>1.00000003184608</v>
      </c>
    </row>
    <row r="6018" spans="1:40" x14ac:dyDescent="0.25">
      <c r="A6018" t="str">
        <f>"20190304155221267"</f>
        <v>20190304155221267</v>
      </c>
      <c r="B6018" t="str">
        <f>"1551685941263058"</f>
        <v>1551685941263058</v>
      </c>
      <c r="C6018" t="s">
        <v>40</v>
      </c>
      <c r="D6018">
        <v>4.8665849999999997</v>
      </c>
      <c r="E6018">
        <v>0.53751159999999998</v>
      </c>
      <c r="F6018" t="s">
        <v>100</v>
      </c>
      <c r="G6018">
        <v>-279.68</v>
      </c>
      <c r="H6018">
        <v>0.86516139999999997</v>
      </c>
      <c r="I6018">
        <v>13.868080000000001</v>
      </c>
      <c r="J6018">
        <v>-335.89890000000003</v>
      </c>
      <c r="K6018">
        <v>1.110714</v>
      </c>
      <c r="L6018">
        <v>16.943999999999999</v>
      </c>
      <c r="M6018">
        <v>0.99990590000000001</v>
      </c>
      <c r="N6018">
        <v>-1.371412E-2</v>
      </c>
      <c r="O6018">
        <v>-4.6950810000000003E-4</v>
      </c>
      <c r="P6018">
        <v>0.98273670000000002</v>
      </c>
      <c r="Q6018">
        <v>0.17886060000000001</v>
      </c>
      <c r="R6018">
        <v>4.7305710000000001E-2</v>
      </c>
      <c r="S6018">
        <v>3.0631710000000001</v>
      </c>
      <c r="T6018">
        <v>-1.3348820000000001E-2</v>
      </c>
      <c r="U6018">
        <v>-0.16720579999999999</v>
      </c>
      <c r="V6018">
        <v>-4.7786210000000003E-2</v>
      </c>
      <c r="W6018">
        <v>0.19231609999999999</v>
      </c>
      <c r="X6018">
        <v>0.98016890000000001</v>
      </c>
      <c r="Y6018">
        <v>5.4033739999999997E-2</v>
      </c>
      <c r="Z6018">
        <v>-4.9285010000000001E-4</v>
      </c>
      <c r="AA6018">
        <v>0.99853899999999995</v>
      </c>
      <c r="AB6018">
        <v>23</v>
      </c>
      <c r="AC6018">
        <v>56.218899999999998</v>
      </c>
      <c r="AD6018">
        <v>-0.24555259999999901</v>
      </c>
      <c r="AE6018">
        <v>-3.07592</v>
      </c>
      <c r="AF6018">
        <v>3.0494639479678098</v>
      </c>
      <c r="AG6018">
        <v>-0.24555259999999901</v>
      </c>
      <c r="AH6018">
        <v>56.219268778313399</v>
      </c>
      <c r="AI6018">
        <v>90.249885619583793</v>
      </c>
      <c r="AJ6018">
        <v>86.895186244952995</v>
      </c>
      <c r="AK6018">
        <v>56.302448511743798</v>
      </c>
      <c r="AL6018">
        <v>78.912020331436494</v>
      </c>
      <c r="AM6018">
        <v>92.7911332442538</v>
      </c>
      <c r="AN6018">
        <v>1.0000000383562899</v>
      </c>
    </row>
    <row r="6019" spans="1:40" x14ac:dyDescent="0.25">
      <c r="A6019" t="str">
        <f>"20190304155221280"</f>
        <v>20190304155221280</v>
      </c>
      <c r="B6019" t="str">
        <f>"1551685941272818"</f>
        <v>1551685941272818</v>
      </c>
      <c r="C6019" t="s">
        <v>40</v>
      </c>
      <c r="D6019">
        <v>4.8013029999999999</v>
      </c>
      <c r="E6019">
        <v>0.53795119999999996</v>
      </c>
      <c r="F6019" t="s">
        <v>100</v>
      </c>
      <c r="G6019">
        <v>-279.68</v>
      </c>
      <c r="H6019">
        <v>0.86350419999999894</v>
      </c>
      <c r="I6019">
        <v>13.860720000000001</v>
      </c>
      <c r="J6019">
        <v>-335.76870000000002</v>
      </c>
      <c r="K6019">
        <v>1.110711</v>
      </c>
      <c r="L6019">
        <v>16.94397</v>
      </c>
      <c r="M6019">
        <v>0.99990599999999996</v>
      </c>
      <c r="N6019">
        <v>-1.371079E-2</v>
      </c>
      <c r="O6019">
        <v>-4.2364140000000002E-4</v>
      </c>
      <c r="P6019">
        <v>0.98274119999999998</v>
      </c>
      <c r="Q6019">
        <v>0.17884620000000001</v>
      </c>
      <c r="R6019">
        <v>4.7266219999999998E-2</v>
      </c>
      <c r="S6019">
        <v>3.063202</v>
      </c>
      <c r="T6019">
        <v>-1.3470289999999999E-2</v>
      </c>
      <c r="U6019">
        <v>-0.16799929999999999</v>
      </c>
      <c r="V6019">
        <v>-4.7700840000000001E-2</v>
      </c>
      <c r="W6019">
        <v>0.19229879999999999</v>
      </c>
      <c r="X6019">
        <v>0.98017639999999995</v>
      </c>
      <c r="Y6019">
        <v>5.4336839999999997E-2</v>
      </c>
      <c r="Z6019">
        <v>-4.9612959999999998E-4</v>
      </c>
      <c r="AA6019">
        <v>0.99852249999999998</v>
      </c>
      <c r="AB6019">
        <v>23</v>
      </c>
      <c r="AC6019">
        <v>56.088700000000003</v>
      </c>
      <c r="AD6019">
        <v>-0.2472068</v>
      </c>
      <c r="AE6019">
        <v>-3.08325</v>
      </c>
      <c r="AF6019">
        <v>3.0594267446634298</v>
      </c>
      <c r="AG6019">
        <v>-0.2472068</v>
      </c>
      <c r="AH6019">
        <v>56.088915013513301</v>
      </c>
      <c r="AI6019">
        <v>90.252149487929202</v>
      </c>
      <c r="AJ6019">
        <v>86.877837577474807</v>
      </c>
      <c r="AK6019">
        <v>56.172836768326398</v>
      </c>
      <c r="AL6019">
        <v>78.913029823531801</v>
      </c>
      <c r="AM6019">
        <v>92.786133467200102</v>
      </c>
      <c r="AN6019">
        <v>0.99999998686755198</v>
      </c>
    </row>
    <row r="6020" spans="1:40" x14ac:dyDescent="0.25">
      <c r="A6020" t="str">
        <f>"20190304155221297"</f>
        <v>20190304155221297</v>
      </c>
      <c r="B6020" t="str">
        <f>"1551685941293314"</f>
        <v>1551685941293314</v>
      </c>
      <c r="C6020" t="s">
        <v>40</v>
      </c>
      <c r="D6020">
        <v>4.8978979999999996</v>
      </c>
      <c r="E6020">
        <v>0.5388172</v>
      </c>
      <c r="F6020" t="s">
        <v>100</v>
      </c>
      <c r="G6020">
        <v>-279.68</v>
      </c>
      <c r="H6020">
        <v>0.85550680000000001</v>
      </c>
      <c r="I6020">
        <v>13.79767</v>
      </c>
      <c r="J6020">
        <v>-335.60989999999998</v>
      </c>
      <c r="K6020">
        <v>1.1107100000000001</v>
      </c>
      <c r="L6020">
        <v>16.943999999999999</v>
      </c>
      <c r="M6020">
        <v>0.99990610000000002</v>
      </c>
      <c r="N6020">
        <v>-1.3706879999999999E-2</v>
      </c>
      <c r="O6020">
        <v>-3.7075489999999998E-4</v>
      </c>
      <c r="P6020">
        <v>0.98269249999999997</v>
      </c>
      <c r="Q6020">
        <v>0.17914630000000001</v>
      </c>
      <c r="R6020">
        <v>4.7142870000000003E-2</v>
      </c>
      <c r="S6020">
        <v>3.0634459999999999</v>
      </c>
      <c r="T6020">
        <v>-1.393926E-2</v>
      </c>
      <c r="U6020">
        <v>-0.17184449999999901</v>
      </c>
      <c r="V6020">
        <v>-4.752323E-2</v>
      </c>
      <c r="W6020">
        <v>0.1925946</v>
      </c>
      <c r="X6020">
        <v>0.98012699999999997</v>
      </c>
      <c r="Y6020">
        <v>5.5634599999999999E-2</v>
      </c>
      <c r="Z6020">
        <v>-5.1148009999999995E-4</v>
      </c>
      <c r="AA6020">
        <v>0.99845110000000004</v>
      </c>
      <c r="AB6020">
        <v>23</v>
      </c>
      <c r="AC6020">
        <v>55.929899999999897</v>
      </c>
      <c r="AD6020">
        <v>-0.25520320000000002</v>
      </c>
      <c r="AE6020">
        <v>-3.1463299999999998</v>
      </c>
      <c r="AF6020">
        <v>3.1255266846436598</v>
      </c>
      <c r="AG6020">
        <v>-0.25520320000000002</v>
      </c>
      <c r="AH6020">
        <v>55.929901985708099</v>
      </c>
      <c r="AI6020">
        <v>90.261026507401198</v>
      </c>
      <c r="AJ6020">
        <v>86.801470875565499</v>
      </c>
      <c r="AK6020">
        <v>56.0177470259259</v>
      </c>
      <c r="AL6020">
        <v>78.895759454308006</v>
      </c>
      <c r="AM6020">
        <v>92.7759154769726</v>
      </c>
      <c r="AN6020">
        <v>1.0000000367338899</v>
      </c>
    </row>
    <row r="6021" spans="1:40" x14ac:dyDescent="0.25">
      <c r="A6021" t="str">
        <f>"20190304155221308"</f>
        <v>20190304155221308</v>
      </c>
      <c r="B6021" t="str">
        <f>"1551685941303074"</f>
        <v>1551685941303074</v>
      </c>
      <c r="C6021" t="s">
        <v>40</v>
      </c>
      <c r="D6021">
        <v>4.8985370000000001</v>
      </c>
      <c r="E6021">
        <v>0.53923759999999998</v>
      </c>
      <c r="F6021" t="s">
        <v>100</v>
      </c>
      <c r="G6021">
        <v>-279.68</v>
      </c>
      <c r="H6021">
        <v>0.8471204</v>
      </c>
      <c r="I6021">
        <v>13.674099999999999</v>
      </c>
      <c r="J6021">
        <v>-335.4837</v>
      </c>
      <c r="K6021">
        <v>1.110706</v>
      </c>
      <c r="L6021">
        <v>16.943999999999999</v>
      </c>
      <c r="M6021">
        <v>0.99990619999999997</v>
      </c>
      <c r="N6021">
        <v>-1.370386E-2</v>
      </c>
      <c r="O6021">
        <v>-3.3109769999999902E-4</v>
      </c>
      <c r="P6021">
        <v>0.98264050000000003</v>
      </c>
      <c r="Q6021">
        <v>0.17940919999999999</v>
      </c>
      <c r="R6021">
        <v>4.7226079999999997E-2</v>
      </c>
      <c r="S6021">
        <v>3.0640559999999999</v>
      </c>
      <c r="T6021">
        <v>-1.4441010000000001E-2</v>
      </c>
      <c r="U6021">
        <v>-0.1791382</v>
      </c>
      <c r="V6021">
        <v>-4.7566079999999997E-2</v>
      </c>
      <c r="W6021">
        <v>0.19285469999999999</v>
      </c>
      <c r="X6021">
        <v>0.98007379999999999</v>
      </c>
      <c r="Y6021">
        <v>5.8031659999999999E-2</v>
      </c>
      <c r="Z6021">
        <v>-5.3760539999999995E-4</v>
      </c>
      <c r="AA6021">
        <v>0.99831460000000005</v>
      </c>
      <c r="AB6021">
        <v>23</v>
      </c>
      <c r="AC6021">
        <v>55.8036999999999</v>
      </c>
      <c r="AD6021">
        <v>-0.26358559999999998</v>
      </c>
      <c r="AE6021">
        <v>-3.2698999999999998</v>
      </c>
      <c r="AF6021">
        <v>3.2513493194120602</v>
      </c>
      <c r="AG6021">
        <v>-0.26358559999999998</v>
      </c>
      <c r="AH6021">
        <v>55.803538930791497</v>
      </c>
      <c r="AI6021">
        <v>90.270173934196904</v>
      </c>
      <c r="AJ6021">
        <v>86.665476303187504</v>
      </c>
      <c r="AK6021">
        <v>55.898798797163202</v>
      </c>
      <c r="AL6021">
        <v>78.880572369533098</v>
      </c>
      <c r="AM6021">
        <v>92.778565081171607</v>
      </c>
      <c r="AN6021">
        <v>1.0000000603625401</v>
      </c>
    </row>
    <row r="6022" spans="1:40" x14ac:dyDescent="0.25">
      <c r="A6022" t="str">
        <f>"20190304155221320"</f>
        <v>20190304155221320</v>
      </c>
      <c r="B6022" t="str">
        <f>"1551685941312833"</f>
        <v>1551685941312833</v>
      </c>
      <c r="C6022" t="s">
        <v>40</v>
      </c>
      <c r="D6022">
        <v>4.8974120000000001</v>
      </c>
      <c r="E6022">
        <v>0.53923759999999998</v>
      </c>
      <c r="F6022" t="s">
        <v>100</v>
      </c>
      <c r="G6022">
        <v>-279.68</v>
      </c>
      <c r="H6022">
        <v>0.84835450000000001</v>
      </c>
      <c r="I6022">
        <v>13.628450000000001</v>
      </c>
      <c r="J6022">
        <v>-335.36079999999998</v>
      </c>
      <c r="K6022">
        <v>1.110703</v>
      </c>
      <c r="L6022">
        <v>16.943999999999999</v>
      </c>
      <c r="M6022">
        <v>0.99990610000000002</v>
      </c>
      <c r="N6022">
        <v>-1.370095E-2</v>
      </c>
      <c r="O6022">
        <v>-2.9753260000000003E-4</v>
      </c>
      <c r="P6022">
        <v>0.98260780000000003</v>
      </c>
      <c r="Q6022">
        <v>0.17960599999999999</v>
      </c>
      <c r="R6022">
        <v>4.7153760000000003E-2</v>
      </c>
      <c r="S6022">
        <v>3.064362</v>
      </c>
      <c r="T6022">
        <v>-1.440716E-2</v>
      </c>
      <c r="U6022">
        <v>-0.1820679</v>
      </c>
      <c r="V6022">
        <v>-4.7458630000000002E-2</v>
      </c>
      <c r="W6022">
        <v>0.19304840000000001</v>
      </c>
      <c r="X6022">
        <v>0.98004080000000005</v>
      </c>
      <c r="Y6022">
        <v>5.9010449999999999E-2</v>
      </c>
      <c r="Z6022">
        <v>-5.4590550000000002E-4</v>
      </c>
      <c r="AA6022">
        <v>0.99825719999999996</v>
      </c>
      <c r="AB6022">
        <v>23</v>
      </c>
      <c r="AC6022">
        <v>55.680799999999898</v>
      </c>
      <c r="AD6022">
        <v>-0.26234849999999998</v>
      </c>
      <c r="AE6022">
        <v>-3.31555</v>
      </c>
      <c r="AF6022">
        <v>3.2989084691001498</v>
      </c>
      <c r="AG6022">
        <v>-0.26234849999999998</v>
      </c>
      <c r="AH6022">
        <v>55.680552389964198</v>
      </c>
      <c r="AI6022">
        <v>90.269484370323795</v>
      </c>
      <c r="AJ6022">
        <v>86.609357674221997</v>
      </c>
      <c r="AK6022">
        <v>55.778809043170703</v>
      </c>
      <c r="AL6022">
        <v>78.869260813605905</v>
      </c>
      <c r="AM6022">
        <v>92.772391412716104</v>
      </c>
      <c r="AN6022">
        <v>0.99999998798433798</v>
      </c>
    </row>
    <row r="6023" spans="1:40" x14ac:dyDescent="0.25">
      <c r="A6023" t="str">
        <f>"20190304155221332"</f>
        <v>20190304155221332</v>
      </c>
      <c r="B6023" t="str">
        <f>"1551685941322593"</f>
        <v>1551685941322593</v>
      </c>
      <c r="C6023" t="s">
        <v>40</v>
      </c>
      <c r="D6023">
        <v>4.8329180000000003</v>
      </c>
      <c r="E6023">
        <v>0.53957840000000001</v>
      </c>
      <c r="F6023" t="s">
        <v>100</v>
      </c>
      <c r="G6023">
        <v>-279.68</v>
      </c>
      <c r="H6023">
        <v>0.85972309999999996</v>
      </c>
      <c r="I6023">
        <v>13.6329799999999</v>
      </c>
      <c r="J6023">
        <v>-335.24149999999997</v>
      </c>
      <c r="K6023">
        <v>1.1107039999999999</v>
      </c>
      <c r="L6023">
        <v>16.94397</v>
      </c>
      <c r="M6023">
        <v>0.99990619999999997</v>
      </c>
      <c r="N6023">
        <v>-1.3698129999999999E-2</v>
      </c>
      <c r="O6023">
        <v>-2.6754740000000001E-4</v>
      </c>
      <c r="P6023">
        <v>0.98257340000000004</v>
      </c>
      <c r="Q6023">
        <v>0.1797899</v>
      </c>
      <c r="R6023">
        <v>4.7173010000000001E-2</v>
      </c>
      <c r="S6023">
        <v>3.064362</v>
      </c>
      <c r="T6023">
        <v>-1.381314E-2</v>
      </c>
      <c r="U6023">
        <v>-0.18222050000000001</v>
      </c>
      <c r="V6023">
        <v>-4.7446149999999999E-2</v>
      </c>
      <c r="W6023">
        <v>0.19322990000000001</v>
      </c>
      <c r="X6023">
        <v>0.98000560000000003</v>
      </c>
      <c r="Y6023">
        <v>5.9090049999999998E-2</v>
      </c>
      <c r="Z6023">
        <v>-5.4061419999999998E-4</v>
      </c>
      <c r="AA6023">
        <v>0.99825249999999999</v>
      </c>
      <c r="AB6023">
        <v>23</v>
      </c>
      <c r="AC6023">
        <v>55.561499999999903</v>
      </c>
      <c r="AD6023">
        <v>-0.25098090000000001</v>
      </c>
      <c r="AE6023">
        <v>-3.3109899999999999</v>
      </c>
      <c r="AF6023">
        <v>3.2960561350981101</v>
      </c>
      <c r="AG6023">
        <v>-0.25098090000000001</v>
      </c>
      <c r="AH6023">
        <v>55.561254233523997</v>
      </c>
      <c r="AI6023">
        <v>90.258360118569598</v>
      </c>
      <c r="AJ6023">
        <v>86.605025562786494</v>
      </c>
      <c r="AK6023">
        <v>55.659500082736699</v>
      </c>
      <c r="AL6023">
        <v>78.858661683049206</v>
      </c>
      <c r="AM6023">
        <v>92.771762903183799</v>
      </c>
      <c r="AN6023">
        <v>0.99999995371759498</v>
      </c>
    </row>
    <row r="6024" spans="1:40" x14ac:dyDescent="0.25">
      <c r="A6024" t="str">
        <f>"20190304155221343"</f>
        <v>20190304155221343</v>
      </c>
      <c r="B6024" t="str">
        <f>"1551685941333330"</f>
        <v>1551685941333330</v>
      </c>
      <c r="C6024" t="s">
        <v>40</v>
      </c>
      <c r="D6024">
        <v>4.9445059999999996</v>
      </c>
      <c r="E6024">
        <v>0.5399969</v>
      </c>
      <c r="F6024" t="s">
        <v>100</v>
      </c>
      <c r="G6024">
        <v>-279.68</v>
      </c>
      <c r="H6024">
        <v>0.86430119999999899</v>
      </c>
      <c r="I6024">
        <v>13.589370000000001</v>
      </c>
      <c r="J6024">
        <v>-335.12479999999999</v>
      </c>
      <c r="K6024">
        <v>1.110698</v>
      </c>
      <c r="L6024">
        <v>16.943999999999999</v>
      </c>
      <c r="M6024">
        <v>0.99990619999999997</v>
      </c>
      <c r="N6024">
        <v>-1.369538E-2</v>
      </c>
      <c r="O6024">
        <v>-2.415021E-4</v>
      </c>
      <c r="P6024">
        <v>0.98249790000000004</v>
      </c>
      <c r="Q6024">
        <v>0.18021580000000001</v>
      </c>
      <c r="R6024">
        <v>4.7118519999999997E-2</v>
      </c>
      <c r="S6024">
        <v>3.064575</v>
      </c>
      <c r="T6024">
        <v>-1.3591290000000001E-2</v>
      </c>
      <c r="U6024">
        <v>-0.1850281</v>
      </c>
      <c r="V6024">
        <v>-4.7363620000000002E-2</v>
      </c>
      <c r="W6024">
        <v>0.1936524</v>
      </c>
      <c r="X6024">
        <v>0.97992619999999997</v>
      </c>
      <c r="Y6024">
        <v>6.0023180000000002E-2</v>
      </c>
      <c r="Z6024">
        <v>-5.466348E-4</v>
      </c>
      <c r="AA6024">
        <v>0.9981968</v>
      </c>
      <c r="AB6024">
        <v>23</v>
      </c>
      <c r="AC6024">
        <v>55.444800000000001</v>
      </c>
      <c r="AD6024">
        <v>-0.2463968</v>
      </c>
      <c r="AE6024">
        <v>-3.3546299999999998</v>
      </c>
      <c r="AF6024">
        <v>3.3411728661462998</v>
      </c>
      <c r="AG6024">
        <v>-0.2463968</v>
      </c>
      <c r="AH6024">
        <v>55.4445176205286</v>
      </c>
      <c r="AI6024">
        <v>90.2541611141272</v>
      </c>
      <c r="AJ6024">
        <v>86.551437611193094</v>
      </c>
      <c r="AK6024">
        <v>55.545645028909597</v>
      </c>
      <c r="AL6024">
        <v>78.833988260927597</v>
      </c>
      <c r="AM6024">
        <v>92.767172919057998</v>
      </c>
      <c r="AN6024">
        <v>0.99999996098585098</v>
      </c>
    </row>
    <row r="6025" spans="1:40" x14ac:dyDescent="0.25">
      <c r="A6025" t="str">
        <f>"20190304155221359"</f>
        <v>20190304155221359</v>
      </c>
      <c r="B6025" t="str">
        <f>"1551685941352849"</f>
        <v>1551685941352849</v>
      </c>
      <c r="C6025" t="s">
        <v>40</v>
      </c>
      <c r="D6025">
        <v>5.4258699999999997</v>
      </c>
      <c r="E6025">
        <v>0.54043129999999995</v>
      </c>
      <c r="F6025" t="s">
        <v>100</v>
      </c>
      <c r="G6025">
        <v>-279.68</v>
      </c>
      <c r="H6025">
        <v>0.87888929999999998</v>
      </c>
      <c r="I6025">
        <v>13.531639999999999</v>
      </c>
      <c r="J6025">
        <v>-334.96429999999998</v>
      </c>
      <c r="K6025">
        <v>1.110689</v>
      </c>
      <c r="L6025">
        <v>16.943999999999999</v>
      </c>
      <c r="M6025">
        <v>0.99990619999999997</v>
      </c>
      <c r="N6025">
        <v>-1.3691679999999999E-2</v>
      </c>
      <c r="O6025">
        <v>-2.133499E-4</v>
      </c>
      <c r="P6025">
        <v>0.98244359999999997</v>
      </c>
      <c r="Q6025">
        <v>0.18046329999999999</v>
      </c>
      <c r="R6025">
        <v>4.7303480000000002E-2</v>
      </c>
      <c r="S6025">
        <v>3.06488</v>
      </c>
      <c r="T6025">
        <v>-1.2814519999999999E-2</v>
      </c>
      <c r="U6025">
        <v>-0.1886292</v>
      </c>
      <c r="V6025">
        <v>-4.7518289999999998E-2</v>
      </c>
      <c r="W6025">
        <v>0.1938966</v>
      </c>
      <c r="X6025">
        <v>0.97987040000000003</v>
      </c>
      <c r="Y6025">
        <v>6.1213879999999998E-2</v>
      </c>
      <c r="Z6025">
        <v>-5.4935990000000001E-4</v>
      </c>
      <c r="AA6025">
        <v>0.99812449999999997</v>
      </c>
      <c r="AB6025">
        <v>23</v>
      </c>
      <c r="AC6025">
        <v>55.284299999999902</v>
      </c>
      <c r="AD6025">
        <v>-0.2317997</v>
      </c>
      <c r="AE6025">
        <v>-3.4123600000000001</v>
      </c>
      <c r="AF6025">
        <v>3.4005043618297801</v>
      </c>
      <c r="AG6025">
        <v>-0.2317997</v>
      </c>
      <c r="AH6025">
        <v>55.284058624217401</v>
      </c>
      <c r="AI6025">
        <v>90.239780043399605</v>
      </c>
      <c r="AJ6025">
        <v>86.4801898712753</v>
      </c>
      <c r="AK6025">
        <v>55.389026882421803</v>
      </c>
      <c r="AL6025">
        <v>78.819726074668296</v>
      </c>
      <c r="AM6025">
        <v>92.776353094370506</v>
      </c>
      <c r="AN6025">
        <v>0.99999994008612003</v>
      </c>
    </row>
    <row r="6026" spans="1:40" x14ac:dyDescent="0.25">
      <c r="A6026" t="str">
        <f>"20190304155221377"</f>
        <v>20190304155221377</v>
      </c>
      <c r="B6026" t="str">
        <f>"1551685941373345"</f>
        <v>1551685941373345</v>
      </c>
      <c r="C6026" t="s">
        <v>40</v>
      </c>
      <c r="D6026">
        <v>4.9496060000000002</v>
      </c>
      <c r="E6026">
        <v>0.57104429999999995</v>
      </c>
      <c r="F6026" t="s">
        <v>100</v>
      </c>
      <c r="G6026">
        <v>-279.68</v>
      </c>
      <c r="H6026">
        <v>0.88116909999999904</v>
      </c>
      <c r="I6026">
        <v>13.488490000000001</v>
      </c>
      <c r="J6026">
        <v>-334.78719999999998</v>
      </c>
      <c r="K6026">
        <v>1.1106860000000001</v>
      </c>
      <c r="L6026">
        <v>16.943999999999999</v>
      </c>
      <c r="M6026">
        <v>0.99990639999999997</v>
      </c>
      <c r="N6026">
        <v>-1.368775E-2</v>
      </c>
      <c r="O6026">
        <v>-1.9177429999999999E-4</v>
      </c>
      <c r="P6026">
        <v>0.98237750000000001</v>
      </c>
      <c r="Q6026">
        <v>0.1809105</v>
      </c>
      <c r="R6026">
        <v>4.6970079999999997E-2</v>
      </c>
      <c r="S6026">
        <v>3.0652159999999999</v>
      </c>
      <c r="T6026">
        <v>-1.272619E-2</v>
      </c>
      <c r="U6026">
        <v>-0.19158939999999999</v>
      </c>
      <c r="V6026">
        <v>-4.7158970000000001E-2</v>
      </c>
      <c r="W6026">
        <v>0.1943396</v>
      </c>
      <c r="X6026">
        <v>0.9798</v>
      </c>
      <c r="Y6026">
        <v>6.2188899999999998E-2</v>
      </c>
      <c r="Z6026">
        <v>-5.5685449999999905E-4</v>
      </c>
      <c r="AA6026">
        <v>0.99806419999999996</v>
      </c>
      <c r="AB6026">
        <v>23</v>
      </c>
      <c r="AC6026">
        <v>55.107199999999899</v>
      </c>
      <c r="AD6026">
        <v>-0.2295169</v>
      </c>
      <c r="AE6026">
        <v>-3.4555099999999999</v>
      </c>
      <c r="AF6026">
        <v>3.4448812799627899</v>
      </c>
      <c r="AG6026">
        <v>-0.2295169</v>
      </c>
      <c r="AH6026">
        <v>55.106909556632097</v>
      </c>
      <c r="AI6026">
        <v>90.238167129357805</v>
      </c>
      <c r="AJ6026">
        <v>86.422941240765795</v>
      </c>
      <c r="AK6026">
        <v>55.214955998562999</v>
      </c>
      <c r="AL6026">
        <v>78.793851915383698</v>
      </c>
      <c r="AM6026">
        <v>92.755589240169002</v>
      </c>
      <c r="AN6026">
        <v>0.99999994428980898</v>
      </c>
    </row>
    <row r="6027" spans="1:40" x14ac:dyDescent="0.25">
      <c r="A6027" t="str">
        <f>"20190304155221392"</f>
        <v>20190304155221392</v>
      </c>
      <c r="B6027" t="str">
        <f>"1551685941383106"</f>
        <v>1551685941383106</v>
      </c>
      <c r="C6027" t="s">
        <v>40</v>
      </c>
      <c r="D6027">
        <v>4.9684100000000004</v>
      </c>
      <c r="E6027">
        <v>0.56925340000000002</v>
      </c>
      <c r="F6027" t="s">
        <v>42</v>
      </c>
      <c r="G6027">
        <v>-284.09530000000001</v>
      </c>
      <c r="H6027">
        <v>-0.05</v>
      </c>
      <c r="I6027">
        <v>9.7601169999999993</v>
      </c>
      <c r="J6027">
        <v>-334.62349999999998</v>
      </c>
      <c r="K6027">
        <v>1.110679</v>
      </c>
      <c r="L6027">
        <v>16.94397</v>
      </c>
      <c r="M6027">
        <v>0.99990650000000003</v>
      </c>
      <c r="N6027">
        <v>-1.368427E-2</v>
      </c>
      <c r="O6027">
        <v>-1.790107E-4</v>
      </c>
      <c r="P6027">
        <v>0.98235320000000004</v>
      </c>
      <c r="Q6027">
        <v>0.18106179999999999</v>
      </c>
      <c r="R6027">
        <v>4.6894350000000001E-2</v>
      </c>
      <c r="S6027">
        <v>3.087799</v>
      </c>
      <c r="T6027">
        <v>-7.0700879999999994E-2</v>
      </c>
      <c r="U6027">
        <v>-0.43759160000000002</v>
      </c>
      <c r="V6027">
        <v>-4.7067379999999999E-2</v>
      </c>
      <c r="W6027">
        <v>0.19448879999999999</v>
      </c>
      <c r="X6027">
        <v>0.9797749</v>
      </c>
      <c r="Y6027">
        <v>0.14007919999999999</v>
      </c>
      <c r="Z6027">
        <v>-2.5573169999999999E-3</v>
      </c>
      <c r="AA6027">
        <v>0.99013700000000004</v>
      </c>
      <c r="AB6027">
        <v>23</v>
      </c>
      <c r="AC6027">
        <v>50.528199999999899</v>
      </c>
      <c r="AD6027">
        <v>-1.160679</v>
      </c>
      <c r="AE6027">
        <v>-7.183853</v>
      </c>
      <c r="AF6027">
        <v>7.1710979999288096</v>
      </c>
      <c r="AG6027">
        <v>-1.160679</v>
      </c>
      <c r="AH6027">
        <v>50.503364541676603</v>
      </c>
      <c r="AI6027">
        <v>91.303481797519595</v>
      </c>
      <c r="AJ6027">
        <v>81.918454191308498</v>
      </c>
      <c r="AK6027">
        <v>51.0231482005481</v>
      </c>
      <c r="AL6027">
        <v>78.785138224643106</v>
      </c>
      <c r="AM6027">
        <v>92.750316033245497</v>
      </c>
      <c r="AN6027">
        <v>1.00000004312775</v>
      </c>
    </row>
    <row r="6028" spans="1:40" x14ac:dyDescent="0.25">
      <c r="A6028" t="str">
        <f>"20190304155221410"</f>
        <v>20190304155221410</v>
      </c>
      <c r="B6028" t="str">
        <f>"1551685941402626"</f>
        <v>1551685941402626</v>
      </c>
      <c r="C6028" t="s">
        <v>40</v>
      </c>
      <c r="D6028">
        <v>4.9291689999999999</v>
      </c>
      <c r="E6028">
        <v>0.567057699999999</v>
      </c>
      <c r="F6028" t="s">
        <v>42</v>
      </c>
      <c r="G6028">
        <v>-279.9853</v>
      </c>
      <c r="H6028">
        <v>-0.05</v>
      </c>
      <c r="I6028">
        <v>9.4490359999999995</v>
      </c>
      <c r="J6028">
        <v>-334.45089999999999</v>
      </c>
      <c r="K6028">
        <v>1.1106689999999999</v>
      </c>
      <c r="L6028">
        <v>16.943939999999898</v>
      </c>
      <c r="M6028">
        <v>0.99990650000000003</v>
      </c>
      <c r="N6028">
        <v>-1.368082E-2</v>
      </c>
      <c r="O6028">
        <v>-1.72917E-4</v>
      </c>
      <c r="P6028">
        <v>0.98237149999999995</v>
      </c>
      <c r="Q6028">
        <v>0.1810099</v>
      </c>
      <c r="R6028">
        <v>4.6711549999999998E-2</v>
      </c>
      <c r="S6028">
        <v>3.0861510000000001</v>
      </c>
      <c r="T6028">
        <v>-6.5559149999999997E-2</v>
      </c>
      <c r="U6028">
        <v>-0.42333979999999999</v>
      </c>
      <c r="V6028">
        <v>-4.6874480000000003E-2</v>
      </c>
      <c r="W6028">
        <v>0.194434</v>
      </c>
      <c r="X6028">
        <v>0.97979499999999997</v>
      </c>
      <c r="Y6028">
        <v>0.135680299999999</v>
      </c>
      <c r="Z6028">
        <v>-2.3656010000000002E-3</v>
      </c>
      <c r="AA6028">
        <v>0.99074980000000001</v>
      </c>
      <c r="AB6028">
        <v>23</v>
      </c>
      <c r="AC6028">
        <v>54.465600000000002</v>
      </c>
      <c r="AD6028">
        <v>-1.160669</v>
      </c>
      <c r="AE6028">
        <v>-7.4949039999999902</v>
      </c>
      <c r="AF6028">
        <v>7.4821503180120299</v>
      </c>
      <c r="AG6028">
        <v>-1.160669</v>
      </c>
      <c r="AH6028">
        <v>54.442631191270699</v>
      </c>
      <c r="AI6028">
        <v>91.209941097363995</v>
      </c>
      <c r="AJ6028">
        <v>82.174757024133399</v>
      </c>
      <c r="AK6028">
        <v>54.966624572895199</v>
      </c>
      <c r="AL6028">
        <v>78.788338871225406</v>
      </c>
      <c r="AM6028">
        <v>92.739005289649896</v>
      </c>
      <c r="AN6028">
        <v>1.00000001962813</v>
      </c>
    </row>
    <row r="6029" spans="1:40" x14ac:dyDescent="0.25">
      <c r="A6029" t="str">
        <f>"20190304155221424"</f>
        <v>20190304155221424</v>
      </c>
      <c r="B6029" t="str">
        <f>"1551685941413362"</f>
        <v>1551685941413362</v>
      </c>
      <c r="C6029" t="s">
        <v>40</v>
      </c>
      <c r="D6029">
        <v>5.2184220000000003</v>
      </c>
      <c r="E6029">
        <v>0.56402810000000003</v>
      </c>
      <c r="F6029" t="s">
        <v>42</v>
      </c>
      <c r="G6029">
        <v>-274.77120000000002</v>
      </c>
      <c r="H6029">
        <v>-0.05</v>
      </c>
      <c r="I6029">
        <v>9.0788879999999992</v>
      </c>
      <c r="J6029">
        <v>-334.29950000000002</v>
      </c>
      <c r="K6029">
        <v>1.1106640000000001</v>
      </c>
      <c r="L6029">
        <v>16.94397</v>
      </c>
      <c r="M6029">
        <v>0.99990650000000003</v>
      </c>
      <c r="N6029">
        <v>-1.36779E-2</v>
      </c>
      <c r="O6029">
        <v>-1.72985299999999E-4</v>
      </c>
      <c r="P6029">
        <v>0.9823674</v>
      </c>
      <c r="Q6029">
        <v>0.1810435</v>
      </c>
      <c r="R6029">
        <v>4.6665150000000002E-2</v>
      </c>
      <c r="S6029">
        <v>3.0842290000000001</v>
      </c>
      <c r="T6029">
        <v>-5.9983019999999998E-2</v>
      </c>
      <c r="U6029">
        <v>-0.40646359999999998</v>
      </c>
      <c r="V6029">
        <v>-4.6826060000000003E-2</v>
      </c>
      <c r="W6029">
        <v>0.19446540000000001</v>
      </c>
      <c r="X6029">
        <v>0.97979099999999997</v>
      </c>
      <c r="Y6029">
        <v>0.130444899999999</v>
      </c>
      <c r="Z6029">
        <v>-2.158026E-3</v>
      </c>
      <c r="AA6029">
        <v>0.99145320000000003</v>
      </c>
      <c r="AB6029">
        <v>23</v>
      </c>
      <c r="AC6029">
        <v>59.528300000000002</v>
      </c>
      <c r="AD6029">
        <v>-1.1606639999999999</v>
      </c>
      <c r="AE6029">
        <v>-7.8650819999999904</v>
      </c>
      <c r="AF6029">
        <v>7.8518496551346404</v>
      </c>
      <c r="AG6029">
        <v>-1.1606639999999999</v>
      </c>
      <c r="AH6029">
        <v>59.507425588596</v>
      </c>
      <c r="AI6029">
        <v>91.107785912123006</v>
      </c>
      <c r="AJ6029">
        <v>82.483392249402499</v>
      </c>
      <c r="AK6029">
        <v>60.034426657627201</v>
      </c>
      <c r="AL6029">
        <v>78.786503844700306</v>
      </c>
      <c r="AM6029">
        <v>92.736191430744896</v>
      </c>
      <c r="AN6029">
        <v>0.99999993768663997</v>
      </c>
    </row>
    <row r="6030" spans="1:40" x14ac:dyDescent="0.25">
      <c r="A6030" t="str">
        <f>"20190304155221437"</f>
        <v>20190304155221437</v>
      </c>
      <c r="B6030" t="str">
        <f>"1551685941432882"</f>
        <v>1551685941432882</v>
      </c>
      <c r="C6030" t="s">
        <v>40</v>
      </c>
      <c r="D6030">
        <v>5.0362809999999998</v>
      </c>
      <c r="E6030">
        <v>0.56376870000000001</v>
      </c>
      <c r="F6030" t="s">
        <v>42</v>
      </c>
      <c r="G6030">
        <v>-277.9067</v>
      </c>
      <c r="H6030">
        <v>-0.05</v>
      </c>
      <c r="I6030">
        <v>9.9445340000000009</v>
      </c>
      <c r="J6030">
        <v>-334.1678</v>
      </c>
      <c r="K6030">
        <v>1.1106609999999999</v>
      </c>
      <c r="L6030">
        <v>16.943939999999898</v>
      </c>
      <c r="M6030">
        <v>0.99990650000000003</v>
      </c>
      <c r="N6030">
        <v>-1.367547E-2</v>
      </c>
      <c r="O6030">
        <v>-1.7576340000000001E-4</v>
      </c>
      <c r="P6030">
        <v>0.98240450000000001</v>
      </c>
      <c r="Q6030">
        <v>0.18084339999999999</v>
      </c>
      <c r="R6030">
        <v>4.6659039999999999E-2</v>
      </c>
      <c r="S6030">
        <v>3.0837400000000001</v>
      </c>
      <c r="T6030">
        <v>-6.3468810000000001E-2</v>
      </c>
      <c r="U6030">
        <v>-0.38275150000000002</v>
      </c>
      <c r="V6030">
        <v>-4.682095E-2</v>
      </c>
      <c r="W6030">
        <v>0.19426379999999999</v>
      </c>
      <c r="X6030">
        <v>0.97983129999999996</v>
      </c>
      <c r="Y6030">
        <v>0.1229567</v>
      </c>
      <c r="Z6030">
        <v>-2.1033010000000001E-3</v>
      </c>
      <c r="AA6030">
        <v>0.99240980000000001</v>
      </c>
      <c r="AB6030">
        <v>23</v>
      </c>
      <c r="AC6030">
        <v>56.261099999999999</v>
      </c>
      <c r="AD6030">
        <v>-1.1606609999999999</v>
      </c>
      <c r="AE6030">
        <v>-6.9994059999999898</v>
      </c>
      <c r="AF6030">
        <v>6.9865882035187301</v>
      </c>
      <c r="AG6030">
        <v>-1.1606609999999999</v>
      </c>
      <c r="AH6030">
        <v>56.238759479148698</v>
      </c>
      <c r="AI6030">
        <v>91.173291377614206</v>
      </c>
      <c r="AJ6030">
        <v>82.918379506038207</v>
      </c>
      <c r="AK6030">
        <v>56.682957019160597</v>
      </c>
      <c r="AL6030">
        <v>78.798279956279799</v>
      </c>
      <c r="AM6030">
        <v>92.735780936302902</v>
      </c>
      <c r="AN6030">
        <v>1.00000000090451</v>
      </c>
    </row>
    <row r="6031" spans="1:40" x14ac:dyDescent="0.25">
      <c r="A6031" t="str">
        <f>"20190304155221455"</f>
        <v>20190304155221455</v>
      </c>
      <c r="B6031" t="str">
        <f>"1551685941442642"</f>
        <v>1551685941442642</v>
      </c>
      <c r="C6031" t="s">
        <v>40</v>
      </c>
      <c r="D6031">
        <v>5.0004790000000003</v>
      </c>
      <c r="E6031">
        <v>0.5644633</v>
      </c>
      <c r="F6031" t="s">
        <v>42</v>
      </c>
      <c r="G6031">
        <v>-257.70519999999999</v>
      </c>
      <c r="H6031">
        <v>-0.05</v>
      </c>
      <c r="I6031">
        <v>7.4993740000000004</v>
      </c>
      <c r="J6031">
        <v>-333.99380000000002</v>
      </c>
      <c r="K6031">
        <v>1.1106560000000001</v>
      </c>
      <c r="L6031">
        <v>16.943909999999999</v>
      </c>
      <c r="M6031">
        <v>0.99990659999999998</v>
      </c>
      <c r="N6031">
        <v>-1.367236E-2</v>
      </c>
      <c r="O6031">
        <v>-1.81628E-4</v>
      </c>
      <c r="P6031">
        <v>0.9824271</v>
      </c>
      <c r="Q6031">
        <v>0.18076139999999999</v>
      </c>
      <c r="R6031">
        <v>4.6502519999999999E-2</v>
      </c>
      <c r="S6031">
        <v>3.080444</v>
      </c>
      <c r="T6031">
        <v>-4.6759490000000001E-2</v>
      </c>
      <c r="U6031">
        <v>-0.38049319999999998</v>
      </c>
      <c r="V6031">
        <v>-4.6668969999999997E-2</v>
      </c>
      <c r="W6031">
        <v>0.19417960000000001</v>
      </c>
      <c r="X6031">
        <v>0.97985520000000004</v>
      </c>
      <c r="Y6031">
        <v>0.1223805</v>
      </c>
      <c r="Z6031">
        <v>-1.7649059999999999E-3</v>
      </c>
      <c r="AA6031">
        <v>0.99248170000000002</v>
      </c>
      <c r="AB6031">
        <v>23</v>
      </c>
      <c r="AC6031">
        <v>76.288600000000002</v>
      </c>
      <c r="AD6031">
        <v>-1.1606559999999999</v>
      </c>
      <c r="AE6031">
        <v>-9.4445359999999994</v>
      </c>
      <c r="AF6031">
        <v>9.4285289610336491</v>
      </c>
      <c r="AG6031">
        <v>-1.1606559999999999</v>
      </c>
      <c r="AH6031">
        <v>76.272926180823006</v>
      </c>
      <c r="AI6031">
        <v>90.865226150182906</v>
      </c>
      <c r="AJ6031">
        <v>82.953092861749695</v>
      </c>
      <c r="AK6031">
        <v>76.862237470064898</v>
      </c>
      <c r="AL6031">
        <v>78.803197462129702</v>
      </c>
      <c r="AM6031">
        <v>92.726847651454406</v>
      </c>
      <c r="AN6031">
        <v>0.99999996139202896</v>
      </c>
    </row>
    <row r="6032" spans="1:40" x14ac:dyDescent="0.25">
      <c r="A6032" t="str">
        <f>"20190304155221468"</f>
        <v>20190304155221468</v>
      </c>
      <c r="B6032" t="str">
        <f>"1551685941463138"</f>
        <v>1551685941463138</v>
      </c>
      <c r="C6032" t="s">
        <v>40</v>
      </c>
      <c r="D6032">
        <v>4.9473570000000002</v>
      </c>
      <c r="E6032">
        <v>0.56447829999999999</v>
      </c>
      <c r="F6032" t="s">
        <v>42</v>
      </c>
      <c r="G6032">
        <v>-268.66840000000002</v>
      </c>
      <c r="H6032">
        <v>-0.05</v>
      </c>
      <c r="I6032">
        <v>8.7458799999999997</v>
      </c>
      <c r="J6032">
        <v>-333.86189999999999</v>
      </c>
      <c r="K6032">
        <v>1.1106560000000001</v>
      </c>
      <c r="L6032">
        <v>16.94388</v>
      </c>
      <c r="M6032">
        <v>0.99990670000000004</v>
      </c>
      <c r="N6032">
        <v>-1.3670069999999999E-2</v>
      </c>
      <c r="O6032">
        <v>-1.875895E-4</v>
      </c>
      <c r="P6032">
        <v>0.98242799999999997</v>
      </c>
      <c r="Q6032">
        <v>0.18077599999999999</v>
      </c>
      <c r="R6032">
        <v>4.6426920000000003E-2</v>
      </c>
      <c r="S6032">
        <v>3.0820310000000002</v>
      </c>
      <c r="T6032">
        <v>-5.4759380000000003E-2</v>
      </c>
      <c r="U6032">
        <v>-0.38677980000000001</v>
      </c>
      <c r="V6032">
        <v>-4.6598309999999997E-2</v>
      </c>
      <c r="W6032">
        <v>0.1941918</v>
      </c>
      <c r="X6032">
        <v>0.97985619999999995</v>
      </c>
      <c r="Y6032">
        <v>0.1242978</v>
      </c>
      <c r="Z6032">
        <v>-1.95211E-3</v>
      </c>
      <c r="AA6032">
        <v>0.99224310000000004</v>
      </c>
      <c r="AB6032">
        <v>23</v>
      </c>
      <c r="AC6032">
        <v>65.193499999999901</v>
      </c>
      <c r="AD6032">
        <v>-1.1606559999999999</v>
      </c>
      <c r="AE6032">
        <v>-8.1980000000000004</v>
      </c>
      <c r="AF6032">
        <v>8.1832157579060194</v>
      </c>
      <c r="AG6032">
        <v>-1.1606559999999999</v>
      </c>
      <c r="AH6032">
        <v>65.174700934324704</v>
      </c>
      <c r="AI6032">
        <v>91.012290878972195</v>
      </c>
      <c r="AJ6032">
        <v>82.8434974091318</v>
      </c>
      <c r="AK6032">
        <v>65.696680162466606</v>
      </c>
      <c r="AL6032">
        <v>78.802485499704005</v>
      </c>
      <c r="AM6032">
        <v>92.722722461231996</v>
      </c>
      <c r="AN6032">
        <v>1.0000000151802599</v>
      </c>
    </row>
    <row r="6033" spans="1:40" x14ac:dyDescent="0.25">
      <c r="A6033" t="str">
        <f>"20190304155221485"</f>
        <v>20190304155221485</v>
      </c>
      <c r="B6033" t="str">
        <f>"1551685941482657"</f>
        <v>1551685941482657</v>
      </c>
      <c r="C6033" t="s">
        <v>40</v>
      </c>
      <c r="D6033">
        <v>4.9687270000000003</v>
      </c>
      <c r="E6033">
        <v>0.56494820000000001</v>
      </c>
      <c r="F6033" t="s">
        <v>42</v>
      </c>
      <c r="G6033">
        <v>-269.30770000000001</v>
      </c>
      <c r="H6033">
        <v>-0.05</v>
      </c>
      <c r="I6033">
        <v>8.8346559999999901</v>
      </c>
      <c r="J6033">
        <v>-333.67070000000001</v>
      </c>
      <c r="K6033">
        <v>1.1106510000000001</v>
      </c>
      <c r="L6033">
        <v>16.943819999999999</v>
      </c>
      <c r="M6033">
        <v>0.99990670000000004</v>
      </c>
      <c r="N6033">
        <v>-1.3666910000000001E-2</v>
      </c>
      <c r="O6033">
        <v>-1.991385E-4</v>
      </c>
      <c r="P6033">
        <v>0.98246509999999998</v>
      </c>
      <c r="Q6033">
        <v>0.18060000000000001</v>
      </c>
      <c r="R6033">
        <v>4.6323980000000001E-2</v>
      </c>
      <c r="S6033">
        <v>3.0821529999999999</v>
      </c>
      <c r="T6033">
        <v>-5.541575E-2</v>
      </c>
      <c r="U6033">
        <v>-0.38717649999999998</v>
      </c>
      <c r="V6033">
        <v>-4.6506529999999997E-2</v>
      </c>
      <c r="W6033">
        <v>0.19401350000000001</v>
      </c>
      <c r="X6033">
        <v>0.97989579999999998</v>
      </c>
      <c r="Y6033">
        <v>0.12440660000000001</v>
      </c>
      <c r="Z6033">
        <v>-1.9666810000000001E-3</v>
      </c>
      <c r="AA6033">
        <v>0.99222929999999998</v>
      </c>
      <c r="AB6033">
        <v>23</v>
      </c>
      <c r="AC6033">
        <v>64.363</v>
      </c>
      <c r="AD6033">
        <v>-1.1606510000000001</v>
      </c>
      <c r="AE6033">
        <v>-8.1091639999999998</v>
      </c>
      <c r="AF6033">
        <v>8.0937546495544996</v>
      </c>
      <c r="AG6033">
        <v>-1.1606510000000001</v>
      </c>
      <c r="AH6033">
        <v>64.344016948419593</v>
      </c>
      <c r="AI6033">
        <v>91.025323161637402</v>
      </c>
      <c r="AJ6033">
        <v>82.830490154321495</v>
      </c>
      <c r="AK6033">
        <v>64.861456136364197</v>
      </c>
      <c r="AL6033">
        <v>78.812898512835105</v>
      </c>
      <c r="AM6033">
        <v>92.717258183855293</v>
      </c>
      <c r="AN6033">
        <v>0.99999993718626301</v>
      </c>
    </row>
    <row r="6034" spans="1:40" x14ac:dyDescent="0.25">
      <c r="A6034" t="str">
        <f>"20190304155221499"</f>
        <v>20190304155221499</v>
      </c>
      <c r="B6034" t="str">
        <f>"1551685941493395"</f>
        <v>1551685941493395</v>
      </c>
      <c r="C6034" t="s">
        <v>40</v>
      </c>
      <c r="D6034">
        <v>4.9700009999999999</v>
      </c>
      <c r="E6034">
        <v>0.56491669999999905</v>
      </c>
      <c r="F6034" t="s">
        <v>42</v>
      </c>
      <c r="G6034">
        <v>-253.959</v>
      </c>
      <c r="H6034">
        <v>-0.05</v>
      </c>
      <c r="I6034">
        <v>6.8324579999999999</v>
      </c>
      <c r="J6034">
        <v>-333.54680000000002</v>
      </c>
      <c r="K6034">
        <v>1.110649</v>
      </c>
      <c r="L6034">
        <v>16.94379</v>
      </c>
      <c r="M6034">
        <v>0.99990659999999998</v>
      </c>
      <c r="N6034">
        <v>-1.366595E-2</v>
      </c>
      <c r="O6034">
        <v>-2.0832359999999999E-4</v>
      </c>
      <c r="P6034">
        <v>0.98251949999999999</v>
      </c>
      <c r="Q6034">
        <v>0.18039849999999999</v>
      </c>
      <c r="R6034">
        <v>4.5954490000000001E-2</v>
      </c>
      <c r="S6034">
        <v>3.0801699999999999</v>
      </c>
      <c r="T6034">
        <v>-4.4849159999999999E-2</v>
      </c>
      <c r="U6034">
        <v>-0.39071660000000002</v>
      </c>
      <c r="V6034">
        <v>-4.6146279999999998E-2</v>
      </c>
      <c r="W6034">
        <v>0.19381190000000001</v>
      </c>
      <c r="X6034">
        <v>0.97995279999999996</v>
      </c>
      <c r="Y6034">
        <v>0.12560839999999901</v>
      </c>
      <c r="Z6034">
        <v>-1.7724170000000001E-3</v>
      </c>
      <c r="AA6034">
        <v>0.99207829999999997</v>
      </c>
      <c r="AB6034">
        <v>23</v>
      </c>
      <c r="AC6034">
        <v>79.587800000000001</v>
      </c>
      <c r="AD6034">
        <v>-1.160649</v>
      </c>
      <c r="AE6034">
        <v>-10.111332000000001</v>
      </c>
      <c r="AF6034">
        <v>10.09263789559</v>
      </c>
      <c r="AG6034">
        <v>-1.160649</v>
      </c>
      <c r="AH6034">
        <v>79.573250765219001</v>
      </c>
      <c r="AI6034">
        <v>90.829011732459094</v>
      </c>
      <c r="AJ6034">
        <v>82.771511947706799</v>
      </c>
      <c r="AK6034">
        <v>80.219141625531805</v>
      </c>
      <c r="AL6034">
        <v>78.824673668956095</v>
      </c>
      <c r="AM6034">
        <v>92.696084276435997</v>
      </c>
      <c r="AN6034">
        <v>1.00000001098364</v>
      </c>
    </row>
    <row r="6035" spans="1:40" x14ac:dyDescent="0.25">
      <c r="A6035" t="str">
        <f>"20190304155221510"</f>
        <v>20190304155221510</v>
      </c>
      <c r="B6035" t="str">
        <f>"1551685941503154"</f>
        <v>1551685941503154</v>
      </c>
      <c r="C6035" t="s">
        <v>40</v>
      </c>
      <c r="D6035">
        <v>5.1208619999999998</v>
      </c>
      <c r="E6035">
        <v>0.56539740000000005</v>
      </c>
      <c r="F6035" t="s">
        <v>42</v>
      </c>
      <c r="G6035">
        <v>-256.37490000000003</v>
      </c>
      <c r="H6035">
        <v>-0.05</v>
      </c>
      <c r="I6035">
        <v>7.1317750000000002</v>
      </c>
      <c r="J6035">
        <v>-333.42649999999998</v>
      </c>
      <c r="K6035">
        <v>1.1106469999999999</v>
      </c>
      <c r="L6035">
        <v>16.943760000000001</v>
      </c>
      <c r="M6035">
        <v>0.99990659999999998</v>
      </c>
      <c r="N6035">
        <v>-1.3665389999999999E-2</v>
      </c>
      <c r="O6035">
        <v>-2.1823360000000001E-4</v>
      </c>
      <c r="P6035">
        <v>0.9825178</v>
      </c>
      <c r="Q6035">
        <v>0.18044060000000001</v>
      </c>
      <c r="R6035">
        <v>4.5827E-2</v>
      </c>
      <c r="S6035">
        <v>3.0802</v>
      </c>
      <c r="T6035">
        <v>-4.6325560000000002E-2</v>
      </c>
      <c r="U6035">
        <v>-0.39163209999999998</v>
      </c>
      <c r="V6035">
        <v>-4.602767E-2</v>
      </c>
      <c r="W6035">
        <v>0.19385350000000001</v>
      </c>
      <c r="X6035">
        <v>0.97995010000000005</v>
      </c>
      <c r="Y6035">
        <v>0.1258861</v>
      </c>
      <c r="Z6035">
        <v>-1.806226E-3</v>
      </c>
      <c r="AA6035">
        <v>0.99204309999999996</v>
      </c>
      <c r="AB6035">
        <v>23</v>
      </c>
      <c r="AC6035">
        <v>77.051599999999894</v>
      </c>
      <c r="AD6035">
        <v>-1.160647</v>
      </c>
      <c r="AE6035">
        <v>-9.811985</v>
      </c>
      <c r="AF6035">
        <v>9.7929813659207294</v>
      </c>
      <c r="AG6035">
        <v>-1.160647</v>
      </c>
      <c r="AH6035">
        <v>77.036538910608698</v>
      </c>
      <c r="AI6035">
        <v>90.856273849196299</v>
      </c>
      <c r="AJ6035">
        <v>82.755346034489904</v>
      </c>
      <c r="AK6035">
        <v>77.665165375589197</v>
      </c>
      <c r="AL6035">
        <v>78.822243533995803</v>
      </c>
      <c r="AM6035">
        <v>92.689172102307495</v>
      </c>
      <c r="AN6035">
        <v>0.99999996217894305</v>
      </c>
    </row>
    <row r="6036" spans="1:40" x14ac:dyDescent="0.25">
      <c r="A6036" t="str">
        <f>"20190304155221521"</f>
        <v>20190304155221521</v>
      </c>
      <c r="B6036" t="str">
        <f>"1551685941512913"</f>
        <v>1551685941512913</v>
      </c>
      <c r="C6036" t="s">
        <v>40</v>
      </c>
      <c r="D6036">
        <v>4.9871249999999998</v>
      </c>
      <c r="E6036">
        <v>0.56551549999999995</v>
      </c>
      <c r="F6036" t="s">
        <v>42</v>
      </c>
      <c r="G6036">
        <v>-259.63580000000002</v>
      </c>
      <c r="H6036">
        <v>-0.05</v>
      </c>
      <c r="I6036">
        <v>7.4638979999999897</v>
      </c>
      <c r="J6036">
        <v>-333.30849999999998</v>
      </c>
      <c r="K6036">
        <v>1.110646</v>
      </c>
      <c r="L6036">
        <v>16.9437</v>
      </c>
      <c r="M6036">
        <v>0.99990679999999998</v>
      </c>
      <c r="N6036">
        <v>-1.366561E-2</v>
      </c>
      <c r="O6036">
        <v>-2.3079059999999999E-4</v>
      </c>
      <c r="P6036">
        <v>0.98258590000000001</v>
      </c>
      <c r="Q6036">
        <v>0.18021239999999999</v>
      </c>
      <c r="R6036">
        <v>4.52614E-2</v>
      </c>
      <c r="S6036">
        <v>3.0807500000000001</v>
      </c>
      <c r="T6036">
        <v>-4.845679E-2</v>
      </c>
      <c r="U6036">
        <v>-0.39578249999999998</v>
      </c>
      <c r="V6036">
        <v>-4.5472749999999999E-2</v>
      </c>
      <c r="W6036">
        <v>0.1936262</v>
      </c>
      <c r="X6036">
        <v>0.98002100000000003</v>
      </c>
      <c r="Y6036">
        <v>0.12716430000000001</v>
      </c>
      <c r="Z6036">
        <v>-1.8680350000000001E-3</v>
      </c>
      <c r="AA6036">
        <v>0.99187990000000004</v>
      </c>
      <c r="AB6036">
        <v>23</v>
      </c>
      <c r="AC6036">
        <v>73.672699999999907</v>
      </c>
      <c r="AD6036">
        <v>-1.1606459999999901</v>
      </c>
      <c r="AE6036">
        <v>-9.4798019999999994</v>
      </c>
      <c r="AF6036">
        <v>9.4604874298485608</v>
      </c>
      <c r="AG6036">
        <v>-1.1606459999999901</v>
      </c>
      <c r="AH6036">
        <v>73.656902846379893</v>
      </c>
      <c r="AI6036">
        <v>90.895407213936906</v>
      </c>
      <c r="AJ6036">
        <v>82.681005266822694</v>
      </c>
      <c r="AK6036">
        <v>74.271039163786298</v>
      </c>
      <c r="AL6036">
        <v>78.835519020137994</v>
      </c>
      <c r="AM6036">
        <v>92.656605640370501</v>
      </c>
      <c r="AN6036">
        <v>1.00000001838</v>
      </c>
    </row>
    <row r="6037" spans="1:40" x14ac:dyDescent="0.25">
      <c r="A6037" t="str">
        <f>"20190304155221534"</f>
        <v>20190304155221534</v>
      </c>
      <c r="B6037" t="str">
        <f>"1551685941522674"</f>
        <v>1551685941522674</v>
      </c>
      <c r="C6037" t="s">
        <v>40</v>
      </c>
      <c r="D6037">
        <v>4.990183</v>
      </c>
      <c r="E6037">
        <v>0.56550279999999997</v>
      </c>
      <c r="F6037" t="s">
        <v>42</v>
      </c>
      <c r="G6037">
        <v>-262.39359999999999</v>
      </c>
      <c r="H6037">
        <v>-0.05</v>
      </c>
      <c r="I6037">
        <v>7.7728729999999997</v>
      </c>
      <c r="J6037">
        <v>-333.19</v>
      </c>
      <c r="K6037">
        <v>1.1106469999999999</v>
      </c>
      <c r="L6037">
        <v>16.943660000000001</v>
      </c>
      <c r="M6037">
        <v>0.99990679999999998</v>
      </c>
      <c r="N6037">
        <v>-1.366595E-2</v>
      </c>
      <c r="O6037">
        <v>-2.4514820000000001E-4</v>
      </c>
      <c r="P6037">
        <v>0.98262430000000001</v>
      </c>
      <c r="Q6037">
        <v>0.18020720000000001</v>
      </c>
      <c r="R6037">
        <v>4.4441550000000003E-2</v>
      </c>
      <c r="S6037">
        <v>3.0807500000000001</v>
      </c>
      <c r="T6037">
        <v>-5.0421830000000001E-2</v>
      </c>
      <c r="U6037">
        <v>-0.39840700000000001</v>
      </c>
      <c r="V6037">
        <v>-4.4666190000000001E-2</v>
      </c>
      <c r="W6037">
        <v>0.19362289999999999</v>
      </c>
      <c r="X6037">
        <v>0.98005869999999995</v>
      </c>
      <c r="Y6037">
        <v>0.12797910000000001</v>
      </c>
      <c r="Z6037">
        <v>-1.920482E-3</v>
      </c>
      <c r="AA6037">
        <v>0.99177499999999996</v>
      </c>
      <c r="AB6037">
        <v>23</v>
      </c>
      <c r="AC6037">
        <v>70.796400000000006</v>
      </c>
      <c r="AD6037">
        <v>-1.160647</v>
      </c>
      <c r="AE6037">
        <v>-9.17078699999999</v>
      </c>
      <c r="AF6037">
        <v>9.15101058534988</v>
      </c>
      <c r="AG6037">
        <v>-1.160647</v>
      </c>
      <c r="AH6037">
        <v>70.779936828042594</v>
      </c>
      <c r="AI6037">
        <v>90.931696842901104</v>
      </c>
      <c r="AJ6037">
        <v>82.633196904514605</v>
      </c>
      <c r="AK6037">
        <v>71.378481025961193</v>
      </c>
      <c r="AL6037">
        <v>78.835711260625501</v>
      </c>
      <c r="AM6037">
        <v>92.609450332314594</v>
      </c>
      <c r="AN6037">
        <v>0.99999997568960697</v>
      </c>
    </row>
    <row r="6038" spans="1:40" x14ac:dyDescent="0.25">
      <c r="A6038" t="str">
        <f>"20190304155221545"</f>
        <v>20190304155221545</v>
      </c>
      <c r="B6038" t="str">
        <f>"1551685941543170"</f>
        <v>1551685941543170</v>
      </c>
      <c r="C6038" t="s">
        <v>40</v>
      </c>
      <c r="D6038">
        <v>4.9836070000000001</v>
      </c>
      <c r="E6038">
        <v>0.56596959999999996</v>
      </c>
      <c r="F6038" t="s">
        <v>42</v>
      </c>
      <c r="G6038">
        <v>-263.64870000000002</v>
      </c>
      <c r="H6038">
        <v>-0.05</v>
      </c>
      <c r="I6038">
        <v>7.8957059999999997</v>
      </c>
      <c r="J6038">
        <v>-333.07170000000002</v>
      </c>
      <c r="K6038">
        <v>1.110644</v>
      </c>
      <c r="L6038">
        <v>16.9436</v>
      </c>
      <c r="M6038">
        <v>0.99990679999999998</v>
      </c>
      <c r="N6038">
        <v>-1.366639E-2</v>
      </c>
      <c r="O6038">
        <v>-2.6106609999999999E-4</v>
      </c>
      <c r="P6038">
        <v>0.98265829999999998</v>
      </c>
      <c r="Q6038">
        <v>0.18016789999999999</v>
      </c>
      <c r="R6038">
        <v>4.3846900000000001E-2</v>
      </c>
      <c r="S6038">
        <v>3.0806269999999998</v>
      </c>
      <c r="T6038">
        <v>-5.1415799999999998E-2</v>
      </c>
      <c r="U6038">
        <v>-0.4008179</v>
      </c>
      <c r="V6038">
        <v>-4.408517E-2</v>
      </c>
      <c r="W6038">
        <v>0.1935846</v>
      </c>
      <c r="X6038">
        <v>0.98009259999999998</v>
      </c>
      <c r="Y6038">
        <v>0.1287305</v>
      </c>
      <c r="Z6038">
        <v>-1.9523749999999999E-3</v>
      </c>
      <c r="AA6038">
        <v>0.9916777</v>
      </c>
      <c r="AB6038">
        <v>23</v>
      </c>
      <c r="AC6038">
        <v>69.423000000000002</v>
      </c>
      <c r="AD6038">
        <v>-1.160644</v>
      </c>
      <c r="AE6038">
        <v>-9.0478939999999994</v>
      </c>
      <c r="AF6038">
        <v>9.0272869718365794</v>
      </c>
      <c r="AG6038">
        <v>-1.160644</v>
      </c>
      <c r="AH6038">
        <v>69.406284485370904</v>
      </c>
      <c r="AI6038">
        <v>90.950036657188704</v>
      </c>
      <c r="AJ6038">
        <v>82.589459193420197</v>
      </c>
      <c r="AK6038">
        <v>70.000509502651994</v>
      </c>
      <c r="AL6038">
        <v>78.8379483070172</v>
      </c>
      <c r="AM6038">
        <v>92.575463517425604</v>
      </c>
      <c r="AN6038">
        <v>1.0000000020729201</v>
      </c>
    </row>
    <row r="6039" spans="1:40" x14ac:dyDescent="0.25">
      <c r="A6039" t="str">
        <f>"20190304155221558"</f>
        <v>20190304155221558</v>
      </c>
      <c r="B6039" t="str">
        <f>"1551685941552930"</f>
        <v>1551685941552930</v>
      </c>
      <c r="C6039" t="s">
        <v>40</v>
      </c>
      <c r="D6039">
        <v>4.9636040000000001</v>
      </c>
      <c r="E6039">
        <v>0.56592540000000002</v>
      </c>
      <c r="F6039" t="s">
        <v>42</v>
      </c>
      <c r="G6039">
        <v>-265.99599999999998</v>
      </c>
      <c r="H6039">
        <v>-0.05</v>
      </c>
      <c r="I6039">
        <v>8.0981140000000007</v>
      </c>
      <c r="J6039">
        <v>-332.9477</v>
      </c>
      <c r="K6039">
        <v>1.110643</v>
      </c>
      <c r="L6039">
        <v>16.943570000000001</v>
      </c>
      <c r="M6039">
        <v>0.99990659999999998</v>
      </c>
      <c r="N6039">
        <v>-1.3666620000000001E-2</v>
      </c>
      <c r="O6039">
        <v>-2.811658E-4</v>
      </c>
      <c r="P6039">
        <v>0.98270089999999999</v>
      </c>
      <c r="Q6039">
        <v>0.180133399999999</v>
      </c>
      <c r="R6039">
        <v>4.3022249999999998E-2</v>
      </c>
      <c r="S6039">
        <v>3.0808409999999999</v>
      </c>
      <c r="T6039">
        <v>-5.330932E-2</v>
      </c>
      <c r="U6039">
        <v>-0.40628049999999999</v>
      </c>
      <c r="V6039">
        <v>-4.3278339999999998E-2</v>
      </c>
      <c r="W6039">
        <v>0.19355130000000001</v>
      </c>
      <c r="X6039">
        <v>0.98013510000000004</v>
      </c>
      <c r="Y6039">
        <v>0.13042790000000001</v>
      </c>
      <c r="Z6039">
        <v>-2.0177210000000001E-3</v>
      </c>
      <c r="AA6039">
        <v>0.99145570000000005</v>
      </c>
      <c r="AB6039">
        <v>23</v>
      </c>
      <c r="AC6039">
        <v>66.951700000000002</v>
      </c>
      <c r="AD6039">
        <v>-1.1606430000000001</v>
      </c>
      <c r="AE6039">
        <v>-8.8454560000000004</v>
      </c>
      <c r="AF6039">
        <v>8.8240230574152303</v>
      </c>
      <c r="AG6039">
        <v>-1.1606430000000001</v>
      </c>
      <c r="AH6039">
        <v>66.934414546290697</v>
      </c>
      <c r="AI6039">
        <v>90.984889654343704</v>
      </c>
      <c r="AJ6039">
        <v>82.489953560982599</v>
      </c>
      <c r="AK6039">
        <v>67.5235242396747</v>
      </c>
      <c r="AL6039">
        <v>78.839892644901894</v>
      </c>
      <c r="AM6039">
        <v>92.528280609719403</v>
      </c>
      <c r="AN6039">
        <v>0.999999967348427</v>
      </c>
    </row>
    <row r="6040" spans="1:40" x14ac:dyDescent="0.25">
      <c r="A6040" t="str">
        <f>"20190304155221577"</f>
        <v>20190304155221577</v>
      </c>
      <c r="B6040" t="str">
        <f>"1551685941572450"</f>
        <v>1551685941572450</v>
      </c>
      <c r="C6040" t="s">
        <v>40</v>
      </c>
      <c r="D6040">
        <v>5.0114070000000002</v>
      </c>
      <c r="E6040">
        <v>0.5659305</v>
      </c>
      <c r="F6040" t="s">
        <v>42</v>
      </c>
      <c r="G6040">
        <v>-265.52890000000002</v>
      </c>
      <c r="H6040">
        <v>-0.05</v>
      </c>
      <c r="I6040">
        <v>8.0055239999999994</v>
      </c>
      <c r="J6040">
        <v>-332.75369999999998</v>
      </c>
      <c r="K6040">
        <v>1.110641</v>
      </c>
      <c r="L6040">
        <v>16.943479999999902</v>
      </c>
      <c r="M6040">
        <v>0.99990659999999998</v>
      </c>
      <c r="N6040">
        <v>-1.366677E-2</v>
      </c>
      <c r="O6040">
        <v>-3.18473E-4</v>
      </c>
      <c r="P6040">
        <v>0.98273840000000001</v>
      </c>
      <c r="Q6040">
        <v>0.18026639999999999</v>
      </c>
      <c r="R6040">
        <v>4.1587119999999998E-2</v>
      </c>
      <c r="S6040">
        <v>3.0804140000000002</v>
      </c>
      <c r="T6040">
        <v>-5.3030609999999999E-2</v>
      </c>
      <c r="U6040">
        <v>-0.40838619999999998</v>
      </c>
      <c r="V6040">
        <v>-4.187693E-2</v>
      </c>
      <c r="W6040">
        <v>0.19368560000000001</v>
      </c>
      <c r="X6040">
        <v>0.98016950000000003</v>
      </c>
      <c r="Y6040">
        <v>0.13107489999999999</v>
      </c>
      <c r="Z6040">
        <v>-2.0218810000000001E-3</v>
      </c>
      <c r="AA6040">
        <v>0.99137039999999998</v>
      </c>
      <c r="AB6040">
        <v>23</v>
      </c>
      <c r="AC6040">
        <v>67.224799999999902</v>
      </c>
      <c r="AD6040">
        <v>-1.160641</v>
      </c>
      <c r="AE6040">
        <v>-8.9379559999999891</v>
      </c>
      <c r="AF6040">
        <v>8.9139333292671505</v>
      </c>
      <c r="AG6040">
        <v>-1.160641</v>
      </c>
      <c r="AH6040">
        <v>67.207957812160302</v>
      </c>
      <c r="AI6040">
        <v>90.980778036958199</v>
      </c>
      <c r="AJ6040">
        <v>82.444835541721005</v>
      </c>
      <c r="AK6040">
        <v>67.806451670992402</v>
      </c>
      <c r="AL6040">
        <v>78.8320499852898</v>
      </c>
      <c r="AM6040">
        <v>92.446426912297497</v>
      </c>
      <c r="AN6040">
        <v>1.00000001882191</v>
      </c>
    </row>
    <row r="6041" spans="1:40" x14ac:dyDescent="0.25">
      <c r="A6041" t="str">
        <f>"20190304155221598"</f>
        <v>20190304155221598</v>
      </c>
      <c r="B6041" t="str">
        <f>"1551685941592946"</f>
        <v>1551685941592946</v>
      </c>
      <c r="C6041" t="s">
        <v>40</v>
      </c>
      <c r="D6041">
        <v>4.3063269999999996</v>
      </c>
      <c r="E6041">
        <v>0.5900919</v>
      </c>
      <c r="F6041" t="s">
        <v>42</v>
      </c>
      <c r="G6041">
        <v>-265.75240000000002</v>
      </c>
      <c r="H6041">
        <v>-0.05</v>
      </c>
      <c r="I6041">
        <v>7.9657589999999896</v>
      </c>
      <c r="J6041">
        <v>-332.5369</v>
      </c>
      <c r="K6041">
        <v>1.110636</v>
      </c>
      <c r="L6041">
        <v>16.94333</v>
      </c>
      <c r="M6041">
        <v>0.99990670000000004</v>
      </c>
      <c r="N6041">
        <v>-1.366681E-2</v>
      </c>
      <c r="O6041">
        <v>-3.7068700000000002E-4</v>
      </c>
      <c r="P6041">
        <v>0.98276129999999995</v>
      </c>
      <c r="Q6041">
        <v>0.18054110000000001</v>
      </c>
      <c r="R6041">
        <v>3.9820149999999999E-2</v>
      </c>
      <c r="S6041">
        <v>3.0799259999999999</v>
      </c>
      <c r="T6041">
        <v>-5.3352480000000001E-2</v>
      </c>
      <c r="U6041">
        <v>-0.41268919999999998</v>
      </c>
      <c r="V6041">
        <v>-4.0157959999999999E-2</v>
      </c>
      <c r="W6041">
        <v>0.19396070000000001</v>
      </c>
      <c r="X6041">
        <v>0.98018700000000003</v>
      </c>
      <c r="Y6041">
        <v>0.13240370000000001</v>
      </c>
      <c r="Z6041">
        <v>-2.0492129999999998E-3</v>
      </c>
      <c r="AA6041">
        <v>0.99119380000000001</v>
      </c>
      <c r="AB6041">
        <v>23</v>
      </c>
      <c r="AC6041">
        <v>66.784499999999895</v>
      </c>
      <c r="AD6041">
        <v>-1.160636</v>
      </c>
      <c r="AE6041">
        <v>-8.9775709999999993</v>
      </c>
      <c r="AF6041">
        <v>8.9501567512890592</v>
      </c>
      <c r="AG6041">
        <v>-1.160636</v>
      </c>
      <c r="AH6041">
        <v>66.768016010630802</v>
      </c>
      <c r="AI6041">
        <v>90.987051815398004</v>
      </c>
      <c r="AJ6041">
        <v>82.365096443602496</v>
      </c>
      <c r="AK6041">
        <v>67.375220547267901</v>
      </c>
      <c r="AL6041">
        <v>78.815982850631698</v>
      </c>
      <c r="AM6041">
        <v>92.346078413096507</v>
      </c>
      <c r="AN6041">
        <v>0.99999998493242503</v>
      </c>
    </row>
    <row r="6042" spans="1:40" x14ac:dyDescent="0.25">
      <c r="A6042" t="str">
        <f>"20190304155221866"</f>
        <v>20190304155221866</v>
      </c>
      <c r="B6042" t="str">
        <f>"1551685941863298"</f>
        <v>1551685941863298</v>
      </c>
      <c r="C6042" t="s">
        <v>40</v>
      </c>
      <c r="D6042">
        <v>4.3540679999999998</v>
      </c>
      <c r="E6042">
        <v>0.5900919</v>
      </c>
      <c r="F6042" t="s">
        <v>96</v>
      </c>
      <c r="G6042">
        <v>-274.75409999999999</v>
      </c>
      <c r="H6042">
        <v>4.7226129999999999</v>
      </c>
      <c r="I6042">
        <v>5.4374349999999998</v>
      </c>
      <c r="J6042">
        <v>-329.86430000000001</v>
      </c>
      <c r="K6042">
        <v>1.110376</v>
      </c>
      <c r="L6042">
        <v>16.937069999999999</v>
      </c>
      <c r="M6042">
        <v>0.99990199999999996</v>
      </c>
      <c r="N6042">
        <v>-1.365716E-2</v>
      </c>
      <c r="O6042">
        <v>-3.1289120000000002E-3</v>
      </c>
      <c r="P6042">
        <v>0.98351429999999995</v>
      </c>
      <c r="Q6042">
        <v>0.18043490000000001</v>
      </c>
      <c r="R6042">
        <v>1.197296E-2</v>
      </c>
      <c r="S6042">
        <v>3.0422060000000002</v>
      </c>
      <c r="T6042">
        <v>0.19016710000000001</v>
      </c>
      <c r="U6042">
        <v>-0.60577389999999998</v>
      </c>
      <c r="V6042">
        <v>-1.4898399999999999E-2</v>
      </c>
      <c r="W6042">
        <v>0.19386149999999999</v>
      </c>
      <c r="X6042">
        <v>0.9809158</v>
      </c>
      <c r="Y6042">
        <v>0.1919488</v>
      </c>
      <c r="Z6042">
        <v>4.3751279999999998E-3</v>
      </c>
      <c r="AA6042">
        <v>0.98139520000000002</v>
      </c>
      <c r="AB6042">
        <v>22</v>
      </c>
      <c r="AC6042">
        <v>55.110199999999999</v>
      </c>
      <c r="AD6042">
        <v>3.6122369999999999</v>
      </c>
      <c r="AE6042">
        <v>-11.499635</v>
      </c>
      <c r="AF6042">
        <v>11.2806853217461</v>
      </c>
      <c r="AG6042">
        <v>3.6122369999999999</v>
      </c>
      <c r="AH6042">
        <v>54.919811121884003</v>
      </c>
      <c r="AI6042">
        <v>86.313650721699602</v>
      </c>
      <c r="AJ6042">
        <v>78.392725215462306</v>
      </c>
      <c r="AK6042">
        <v>56.182628731092997</v>
      </c>
      <c r="AL6042">
        <v>78.821777016628701</v>
      </c>
      <c r="AM6042">
        <v>90.870156044340504</v>
      </c>
      <c r="AN6042">
        <v>1.0000000250972201</v>
      </c>
    </row>
    <row r="6043" spans="1:40" x14ac:dyDescent="0.25">
      <c r="A6043" t="str">
        <f>"20190304155221933"</f>
        <v>20190304155221933</v>
      </c>
      <c r="B6043" t="str">
        <f>"1551685941923159"</f>
        <v>1551685941923159</v>
      </c>
      <c r="C6043" t="s">
        <v>40</v>
      </c>
      <c r="D6043">
        <v>4.9841160000000002</v>
      </c>
      <c r="E6043">
        <v>0.5900919</v>
      </c>
      <c r="F6043" t="s">
        <v>96</v>
      </c>
      <c r="G6043">
        <v>-277.21730000000002</v>
      </c>
      <c r="H6043">
        <v>4.4270589999999999</v>
      </c>
      <c r="I6043">
        <v>4.8878309999999896</v>
      </c>
      <c r="J6043">
        <v>-329.19420000000002</v>
      </c>
      <c r="K6043">
        <v>1.110268</v>
      </c>
      <c r="L6043">
        <v>16.93262</v>
      </c>
      <c r="M6043">
        <v>0.99989490000000003</v>
      </c>
      <c r="N6043">
        <v>-1.365266E-2</v>
      </c>
      <c r="O6043">
        <v>-4.9079600000000003E-3</v>
      </c>
      <c r="P6043">
        <v>0.98370990000000003</v>
      </c>
      <c r="Q6043">
        <v>0.17972070000000001</v>
      </c>
      <c r="R6043">
        <v>3.9481400000000002E-3</v>
      </c>
      <c r="S6043">
        <v>3.0237729999999998</v>
      </c>
      <c r="T6043">
        <v>0.1904933</v>
      </c>
      <c r="U6043">
        <v>-0.69204709999999903</v>
      </c>
      <c r="V6043">
        <v>-8.5751000000000004E-3</v>
      </c>
      <c r="W6043">
        <v>0.19314290000000001</v>
      </c>
      <c r="X6043">
        <v>0.98113320000000004</v>
      </c>
      <c r="Y6043">
        <v>0.21800829999999999</v>
      </c>
      <c r="Z6043">
        <v>4.8936550000000002E-3</v>
      </c>
      <c r="AA6043">
        <v>0.97593459999999999</v>
      </c>
      <c r="AB6043">
        <v>22</v>
      </c>
      <c r="AC6043">
        <v>51.976900000000001</v>
      </c>
      <c r="AD6043">
        <v>3.3167909999999998</v>
      </c>
      <c r="AE6043">
        <v>-12.044789</v>
      </c>
      <c r="AF6043">
        <v>11.744133889442701</v>
      </c>
      <c r="AG6043">
        <v>3.3167909999999998</v>
      </c>
      <c r="AH6043">
        <v>51.835075754690003</v>
      </c>
      <c r="AI6043">
        <v>86.429047514300507</v>
      </c>
      <c r="AJ6043">
        <v>77.234171859205802</v>
      </c>
      <c r="AK6043">
        <v>53.252238092359001</v>
      </c>
      <c r="AL6043">
        <v>78.863743028207907</v>
      </c>
      <c r="AM6043">
        <v>90.500752119397902</v>
      </c>
      <c r="AN6043">
        <v>1.00000003415132</v>
      </c>
    </row>
    <row r="6044" spans="1:40" x14ac:dyDescent="0.25">
      <c r="A6044" t="str">
        <f>"20190304155221991"</f>
        <v>20190304155221991</v>
      </c>
      <c r="B6044" t="str">
        <f>"1551685941983201"</f>
        <v>1551685941983201</v>
      </c>
      <c r="C6044" t="s">
        <v>40</v>
      </c>
      <c r="D6044">
        <v>4.8141020000000001</v>
      </c>
      <c r="E6044">
        <v>0.59096099999999996</v>
      </c>
      <c r="F6044" t="s">
        <v>96</v>
      </c>
      <c r="G6044">
        <v>-279.14609999999999</v>
      </c>
      <c r="H6044">
        <v>4.2313190000000001</v>
      </c>
      <c r="I6044">
        <v>5.0484749999999998</v>
      </c>
      <c r="J6044">
        <v>-328.63699999999898</v>
      </c>
      <c r="K6044">
        <v>1.1101989999999999</v>
      </c>
      <c r="L6044">
        <v>16.927489999999999</v>
      </c>
      <c r="M6044">
        <v>0.99988410000000005</v>
      </c>
      <c r="N6044">
        <v>-1.3648510000000001E-2</v>
      </c>
      <c r="O6044">
        <v>-6.7417579999999996E-3</v>
      </c>
      <c r="P6044">
        <v>0.98378480000000001</v>
      </c>
      <c r="Q6044">
        <v>0.179349799999999</v>
      </c>
      <c r="R6044">
        <v>-1.059206E-3</v>
      </c>
      <c r="S6044">
        <v>3.0181580000000001</v>
      </c>
      <c r="T6044">
        <v>0.18821550000000001</v>
      </c>
      <c r="U6044">
        <v>-0.71667479999999995</v>
      </c>
      <c r="V6044">
        <v>-5.338939E-3</v>
      </c>
      <c r="W6044">
        <v>0.19276670000000001</v>
      </c>
      <c r="X6044">
        <v>0.98123009999999999</v>
      </c>
      <c r="Y6044">
        <v>0.22416539999999999</v>
      </c>
      <c r="Z6044">
        <v>4.8305809999999996E-3</v>
      </c>
      <c r="AA6044">
        <v>0.97453920000000005</v>
      </c>
      <c r="AB6044">
        <v>22</v>
      </c>
      <c r="AC6044">
        <v>49.490899999999897</v>
      </c>
      <c r="AD6044">
        <v>3.1211199999999999</v>
      </c>
      <c r="AE6044">
        <v>-11.879015000000001</v>
      </c>
      <c r="AF6044">
        <v>11.5018058435596</v>
      </c>
      <c r="AG6044">
        <v>3.1211199999999999</v>
      </c>
      <c r="AH6044">
        <v>49.384159515546003</v>
      </c>
      <c r="AI6044">
        <v>86.477693499343104</v>
      </c>
      <c r="AJ6044">
        <v>76.889267439564406</v>
      </c>
      <c r="AK6044">
        <v>50.801851725840102</v>
      </c>
      <c r="AL6044">
        <v>78.885710215372995</v>
      </c>
      <c r="AM6044">
        <v>90.311747115278607</v>
      </c>
      <c r="AN6044">
        <v>1.0000000070222701</v>
      </c>
    </row>
    <row r="6045" spans="1:40" x14ac:dyDescent="0.25">
      <c r="A6045" t="str">
        <f>"20190304155222004"</f>
        <v>20190304155222004</v>
      </c>
      <c r="B6045" t="str">
        <f>"1551685941992961"</f>
        <v>1551685941992961</v>
      </c>
      <c r="C6045" t="s">
        <v>40</v>
      </c>
      <c r="D6045">
        <v>4.9817099999999996</v>
      </c>
      <c r="E6045">
        <v>0.59096099999999996</v>
      </c>
      <c r="F6045" t="s">
        <v>96</v>
      </c>
      <c r="G6045">
        <v>-279.33690000000001</v>
      </c>
      <c r="H6045">
        <v>4.287852</v>
      </c>
      <c r="I6045">
        <v>4.8413890000000004</v>
      </c>
      <c r="J6045">
        <v>-328.49810000000002</v>
      </c>
      <c r="K6045">
        <v>1.110182</v>
      </c>
      <c r="L6045">
        <v>16.925989999999999</v>
      </c>
      <c r="M6045">
        <v>0.99988069999999896</v>
      </c>
      <c r="N6045">
        <v>-1.364754E-2</v>
      </c>
      <c r="O6045">
        <v>-7.246639E-3</v>
      </c>
      <c r="P6045">
        <v>0.9837728</v>
      </c>
      <c r="Q6045">
        <v>0.1794094</v>
      </c>
      <c r="R6045">
        <v>-1.97467E-3</v>
      </c>
      <c r="S6045">
        <v>3.013245</v>
      </c>
      <c r="T6045">
        <v>0.1942198</v>
      </c>
      <c r="U6045">
        <v>-0.73870849999999999</v>
      </c>
      <c r="V6045">
        <v>-4.9126370000000001E-3</v>
      </c>
      <c r="W6045">
        <v>0.19282530000000001</v>
      </c>
      <c r="X6045">
        <v>0.9812208</v>
      </c>
      <c r="Y6045">
        <v>0.23072719999999999</v>
      </c>
      <c r="Z6045">
        <v>5.1643030000000003E-3</v>
      </c>
      <c r="AA6045">
        <v>0.9730048</v>
      </c>
      <c r="AB6045">
        <v>22</v>
      </c>
      <c r="AC6045">
        <v>49.161200000000001</v>
      </c>
      <c r="AD6045">
        <v>3.17767</v>
      </c>
      <c r="AE6045">
        <v>-12.084600999999999</v>
      </c>
      <c r="AF6045">
        <v>11.681970444660699</v>
      </c>
      <c r="AG6045">
        <v>3.17767</v>
      </c>
      <c r="AH6045">
        <v>49.054217846940404</v>
      </c>
      <c r="AI6045">
        <v>86.394190782539297</v>
      </c>
      <c r="AJ6045">
        <v>76.604855225142998</v>
      </c>
      <c r="AK6045">
        <v>50.526055740319897</v>
      </c>
      <c r="AL6045">
        <v>78.882288344377102</v>
      </c>
      <c r="AM6045">
        <v>90.286857977891202</v>
      </c>
      <c r="AN6045">
        <v>0.99999999433751097</v>
      </c>
    </row>
    <row r="6046" spans="1:40" x14ac:dyDescent="0.25">
      <c r="A6046" t="str">
        <f>"20190304155222023"</f>
        <v>20190304155222023</v>
      </c>
      <c r="B6046" t="str">
        <f>"1551685942012481"</f>
        <v>1551685942012481</v>
      </c>
      <c r="C6046" t="s">
        <v>40</v>
      </c>
      <c r="D6046">
        <v>4.9527460000000003</v>
      </c>
      <c r="E6046">
        <v>0.53985399999999995</v>
      </c>
      <c r="F6046" t="s">
        <v>96</v>
      </c>
      <c r="G6046">
        <v>-279.33690000000001</v>
      </c>
      <c r="H6046">
        <v>4.2828580000000001</v>
      </c>
      <c r="I6046">
        <v>4.8243309999999999</v>
      </c>
      <c r="J6046">
        <v>-328.31560000000002</v>
      </c>
      <c r="K6046">
        <v>1.1101639999999999</v>
      </c>
      <c r="L6046">
        <v>16.92389</v>
      </c>
      <c r="M6046">
        <v>0.99987550000000003</v>
      </c>
      <c r="N6046">
        <v>-1.364626E-2</v>
      </c>
      <c r="O6046">
        <v>-7.9338399999999993E-3</v>
      </c>
      <c r="P6046">
        <v>0.98378299999999996</v>
      </c>
      <c r="Q6046">
        <v>0.17933009999999999</v>
      </c>
      <c r="R6046">
        <v>-3.4435239999999999E-3</v>
      </c>
      <c r="S6046">
        <v>3.012543</v>
      </c>
      <c r="T6046">
        <v>0.19441820000000001</v>
      </c>
      <c r="U6046">
        <v>-0.74157709999999999</v>
      </c>
      <c r="V6046">
        <v>-4.1107510000000002E-3</v>
      </c>
      <c r="W6046">
        <v>0.19274379999999999</v>
      </c>
      <c r="X6046">
        <v>0.98124049999999996</v>
      </c>
      <c r="Y6046">
        <v>0.23098540000000001</v>
      </c>
      <c r="Z6046">
        <v>5.1256110000000004E-3</v>
      </c>
      <c r="AA6046">
        <v>0.97294369999999997</v>
      </c>
      <c r="AB6046">
        <v>22</v>
      </c>
      <c r="AC6046">
        <v>48.978700000000003</v>
      </c>
      <c r="AD6046">
        <v>3.1726939999999999</v>
      </c>
      <c r="AE6046">
        <v>-12.099558999999999</v>
      </c>
      <c r="AF6046">
        <v>11.664423314515201</v>
      </c>
      <c r="AG6046">
        <v>3.1726939999999999</v>
      </c>
      <c r="AH6046">
        <v>48.879857136919</v>
      </c>
      <c r="AI6046">
        <v>86.387412689592296</v>
      </c>
      <c r="AJ6046">
        <v>76.578262578815298</v>
      </c>
      <c r="AK6046">
        <v>50.352409993995899</v>
      </c>
      <c r="AL6046">
        <v>78.887047226626805</v>
      </c>
      <c r="AM6046">
        <v>90.240030150666996</v>
      </c>
      <c r="AN6046">
        <v>0.99999999477623702</v>
      </c>
    </row>
    <row r="6047" spans="1:40" x14ac:dyDescent="0.25">
      <c r="A6047" t="str">
        <f>"20190304155222034"</f>
        <v>20190304155222034</v>
      </c>
      <c r="B6047" t="str">
        <f>"1551685942023217"</f>
        <v>1551685942023217</v>
      </c>
      <c r="C6047" t="s">
        <v>40</v>
      </c>
      <c r="D6047">
        <v>4.9313010000000004</v>
      </c>
      <c r="E6047">
        <v>0.53907669999999996</v>
      </c>
      <c r="F6047" t="s">
        <v>42</v>
      </c>
      <c r="G6047">
        <v>-272.08609999999999</v>
      </c>
      <c r="H6047">
        <v>-0.05</v>
      </c>
      <c r="I6047">
        <v>10.573119999999999</v>
      </c>
      <c r="J6047">
        <v>-328.20330000000001</v>
      </c>
      <c r="K6047">
        <v>1.110152</v>
      </c>
      <c r="L6047">
        <v>16.922519999999999</v>
      </c>
      <c r="M6047">
        <v>0.99987190000000004</v>
      </c>
      <c r="N6047">
        <v>-1.36454E-2</v>
      </c>
      <c r="O6047">
        <v>-8.3728510000000006E-3</v>
      </c>
      <c r="P6047">
        <v>0.98375670000000004</v>
      </c>
      <c r="Q6047">
        <v>0.17945849999999999</v>
      </c>
      <c r="R6047">
        <v>-4.2164200000000002E-3</v>
      </c>
      <c r="S6047">
        <v>3.0597530000000002</v>
      </c>
      <c r="T6047">
        <v>-6.3130859999999997E-2</v>
      </c>
      <c r="U6047">
        <v>-0.34558109999999997</v>
      </c>
      <c r="V6047">
        <v>-3.76348E-3</v>
      </c>
      <c r="W6047">
        <v>0.1928706</v>
      </c>
      <c r="X6047">
        <v>0.98121700000000001</v>
      </c>
      <c r="Y6047">
        <v>0.1038697</v>
      </c>
      <c r="Z6047">
        <v>-1.72085799999999E-3</v>
      </c>
      <c r="AA6047">
        <v>0.99458939999999996</v>
      </c>
      <c r="AB6047">
        <v>22</v>
      </c>
      <c r="AC6047">
        <v>56.117199999999997</v>
      </c>
      <c r="AD6047">
        <v>-1.1601520000000001</v>
      </c>
      <c r="AE6047">
        <v>-6.3494000000000002</v>
      </c>
      <c r="AF6047">
        <v>5.8767927062399101</v>
      </c>
      <c r="AG6047">
        <v>-1.1601520000000001</v>
      </c>
      <c r="AH6047">
        <v>56.144706975660903</v>
      </c>
      <c r="AI6047">
        <v>91.177338612427107</v>
      </c>
      <c r="AJ6047">
        <v>84.0244816962432</v>
      </c>
      <c r="AK6047">
        <v>56.463357733649197</v>
      </c>
      <c r="AL6047">
        <v>78.879643443291698</v>
      </c>
      <c r="AM6047">
        <v>90.219758180799204</v>
      </c>
      <c r="AN6047">
        <v>1.00000001660753</v>
      </c>
    </row>
    <row r="6048" spans="1:40" x14ac:dyDescent="0.25">
      <c r="A6048" t="str">
        <f>"20190304155222045"</f>
        <v>20190304155222045</v>
      </c>
      <c r="B6048" t="str">
        <f>"1551685942042737"</f>
        <v>1551685942042737</v>
      </c>
      <c r="C6048" t="s">
        <v>40</v>
      </c>
      <c r="D6048">
        <v>4.9077140000000004</v>
      </c>
      <c r="E6048">
        <v>0.53808029999999996</v>
      </c>
      <c r="F6048" t="s">
        <v>42</v>
      </c>
      <c r="G6048">
        <v>-271.26960000000003</v>
      </c>
      <c r="H6048">
        <v>-0.05</v>
      </c>
      <c r="I6048">
        <v>10.564249999999999</v>
      </c>
      <c r="J6048">
        <v>-328.09219999999999</v>
      </c>
      <c r="K6048">
        <v>1.1101379999999901</v>
      </c>
      <c r="L6048">
        <v>16.92108</v>
      </c>
      <c r="M6048">
        <v>0.99986810000000004</v>
      </c>
      <c r="N6048">
        <v>-1.36445E-2</v>
      </c>
      <c r="O6048">
        <v>-8.8155600000000001E-3</v>
      </c>
      <c r="P6048">
        <v>0.98370199999999997</v>
      </c>
      <c r="Q6048">
        <v>0.17974309999999999</v>
      </c>
      <c r="R6048">
        <v>-4.7931340000000001E-3</v>
      </c>
      <c r="S6048">
        <v>3.0594480000000002</v>
      </c>
      <c r="T6048">
        <v>-6.2343120000000002E-2</v>
      </c>
      <c r="U6048">
        <v>-0.3416748</v>
      </c>
      <c r="V6048">
        <v>-3.6154239999999999E-3</v>
      </c>
      <c r="W6048">
        <v>0.1931542</v>
      </c>
      <c r="X6048">
        <v>0.98116179999999997</v>
      </c>
      <c r="Y6048">
        <v>0.1021874</v>
      </c>
      <c r="Z6048">
        <v>-1.6781669999999999E-3</v>
      </c>
      <c r="AA6048">
        <v>0.99476370000000003</v>
      </c>
      <c r="AB6048">
        <v>22</v>
      </c>
      <c r="AC6048">
        <v>56.822599999999902</v>
      </c>
      <c r="AD6048">
        <v>-1.1601379999999999</v>
      </c>
      <c r="AE6048">
        <v>-6.3568300000000004</v>
      </c>
      <c r="AF6048">
        <v>5.8532035580956903</v>
      </c>
      <c r="AG6048">
        <v>-1.1601379999999999</v>
      </c>
      <c r="AH6048">
        <v>56.8530297132165</v>
      </c>
      <c r="AI6048">
        <v>91.162865597611699</v>
      </c>
      <c r="AJ6048">
        <v>84.121923507071799</v>
      </c>
      <c r="AK6048">
        <v>57.1653120313659</v>
      </c>
      <c r="AL6048">
        <v>78.863083305489099</v>
      </c>
      <c r="AM6048">
        <v>90.211124810200104</v>
      </c>
      <c r="AN6048">
        <v>1.00000004702378</v>
      </c>
    </row>
    <row r="6049" spans="1:40" x14ac:dyDescent="0.25">
      <c r="A6049" t="str">
        <f>"20190304155222057"</f>
        <v>20190304155222057</v>
      </c>
      <c r="B6049" t="str">
        <f>"1551685942052497"</f>
        <v>1551685942052497</v>
      </c>
      <c r="C6049" t="s">
        <v>40</v>
      </c>
      <c r="D6049">
        <v>4.8605619999999998</v>
      </c>
      <c r="E6049">
        <v>0.53756619999999899</v>
      </c>
      <c r="F6049" t="s">
        <v>42</v>
      </c>
      <c r="G6049">
        <v>-270.85980000000001</v>
      </c>
      <c r="H6049">
        <v>-0.05</v>
      </c>
      <c r="I6049">
        <v>10.641220000000001</v>
      </c>
      <c r="J6049">
        <v>-327.97840000000002</v>
      </c>
      <c r="K6049">
        <v>1.110123</v>
      </c>
      <c r="L6049">
        <v>16.919560000000001</v>
      </c>
      <c r="M6049">
        <v>0.99986390000000003</v>
      </c>
      <c r="N6049">
        <v>-1.364368E-2</v>
      </c>
      <c r="O6049">
        <v>-9.2896530000000001E-3</v>
      </c>
      <c r="P6049">
        <v>0.98369379999999995</v>
      </c>
      <c r="Q6049">
        <v>0.1797629</v>
      </c>
      <c r="R6049">
        <v>-5.6510469999999898E-3</v>
      </c>
      <c r="S6049">
        <v>3.0593870000000001</v>
      </c>
      <c r="T6049">
        <v>-6.2015769999999998E-2</v>
      </c>
      <c r="U6049">
        <v>-0.33569339999999998</v>
      </c>
      <c r="V6049">
        <v>-3.2172680000000001E-3</v>
      </c>
      <c r="W6049">
        <v>0.19317239999999999</v>
      </c>
      <c r="X6049">
        <v>0.98115960000000002</v>
      </c>
      <c r="Y6049">
        <v>9.9797440000000001E-2</v>
      </c>
      <c r="Z6049">
        <v>-1.6300240000000001E-3</v>
      </c>
      <c r="AA6049">
        <v>0.99500639999999996</v>
      </c>
      <c r="AB6049">
        <v>22</v>
      </c>
      <c r="AC6049">
        <v>57.118600000000001</v>
      </c>
      <c r="AD6049">
        <v>-1.160123</v>
      </c>
      <c r="AE6049">
        <v>-6.27834</v>
      </c>
      <c r="AF6049">
        <v>5.7450660381206102</v>
      </c>
      <c r="AG6049">
        <v>-1.160123</v>
      </c>
      <c r="AH6049">
        <v>57.151168924612101</v>
      </c>
      <c r="AI6049">
        <v>91.157068924020706</v>
      </c>
      <c r="AJ6049">
        <v>84.259680757493598</v>
      </c>
      <c r="AK6049">
        <v>57.450916255591899</v>
      </c>
      <c r="AL6049">
        <v>78.862020469928297</v>
      </c>
      <c r="AM6049">
        <v>90.1878748547106</v>
      </c>
      <c r="AN6049">
        <v>1.00000004380365</v>
      </c>
    </row>
    <row r="6050" spans="1:40" x14ac:dyDescent="0.25">
      <c r="A6050" t="str">
        <f>"20190304155222070"</f>
        <v>20190304155222070</v>
      </c>
      <c r="B6050" t="str">
        <f>"1551685942063233"</f>
        <v>1551685942063233</v>
      </c>
      <c r="C6050" t="s">
        <v>40</v>
      </c>
      <c r="D6050">
        <v>5.3873550000000003</v>
      </c>
      <c r="E6050">
        <v>0.53606469999999995</v>
      </c>
      <c r="F6050" t="s">
        <v>42</v>
      </c>
      <c r="G6050">
        <v>-273.05279999999999</v>
      </c>
      <c r="H6050">
        <v>-0.05</v>
      </c>
      <c r="I6050">
        <v>10.918530000000001</v>
      </c>
      <c r="J6050">
        <v>-327.85199999999998</v>
      </c>
      <c r="K6050">
        <v>1.110107</v>
      </c>
      <c r="L6050">
        <v>16.917819999999999</v>
      </c>
      <c r="M6050">
        <v>0.99985869999999999</v>
      </c>
      <c r="N6050">
        <v>-1.364279E-2</v>
      </c>
      <c r="O6050">
        <v>-9.8262499999999999E-3</v>
      </c>
      <c r="P6050">
        <v>0.98370619999999998</v>
      </c>
      <c r="Q6050">
        <v>0.17967669999999999</v>
      </c>
      <c r="R6050">
        <v>-6.2254160000000001E-3</v>
      </c>
      <c r="S6050">
        <v>3.0596619999999999</v>
      </c>
      <c r="T6050">
        <v>-6.4625260000000004E-2</v>
      </c>
      <c r="U6050">
        <v>-0.33428960000000002</v>
      </c>
      <c r="V6050">
        <v>-3.16352E-3</v>
      </c>
      <c r="W6050">
        <v>0.19308539999999999</v>
      </c>
      <c r="X6050">
        <v>0.98117690000000002</v>
      </c>
      <c r="Y6050">
        <v>9.8800700000000005E-2</v>
      </c>
      <c r="Z6050">
        <v>-1.6431239999999999E-3</v>
      </c>
      <c r="AA6050">
        <v>0.99510589999999999</v>
      </c>
      <c r="AB6050">
        <v>22</v>
      </c>
      <c r="AC6050">
        <v>54.7991999999999</v>
      </c>
      <c r="AD6050">
        <v>-1.160107</v>
      </c>
      <c r="AE6050">
        <v>-5.9992900000000002</v>
      </c>
      <c r="AF6050">
        <v>5.4580623810795803</v>
      </c>
      <c r="AG6050">
        <v>-1.160107</v>
      </c>
      <c r="AH6050">
        <v>54.831226930700197</v>
      </c>
      <c r="AI6050">
        <v>91.206111563985502</v>
      </c>
      <c r="AJ6050">
        <v>84.315335481824107</v>
      </c>
      <c r="AK6050">
        <v>55.114424064242499</v>
      </c>
      <c r="AL6050">
        <v>78.867100854668706</v>
      </c>
      <c r="AM6050">
        <v>90.184732963366699</v>
      </c>
      <c r="AN6050">
        <v>1.0000000443227699</v>
      </c>
    </row>
    <row r="6051" spans="1:40" x14ac:dyDescent="0.25">
      <c r="A6051" t="str">
        <f>"20190304155222082"</f>
        <v>20190304155222082</v>
      </c>
      <c r="B6051" t="str">
        <f>"1551685942072539"</f>
        <v>1551685942072539</v>
      </c>
      <c r="C6051" t="s">
        <v>40</v>
      </c>
      <c r="D6051">
        <v>4.9045199999999998</v>
      </c>
      <c r="E6051">
        <v>0.53631269999999998</v>
      </c>
      <c r="F6051" t="s">
        <v>42</v>
      </c>
      <c r="G6051">
        <v>-271.38290000000001</v>
      </c>
      <c r="H6051">
        <v>-0.05</v>
      </c>
      <c r="I6051">
        <v>10.9369</v>
      </c>
      <c r="J6051">
        <v>-327.7371</v>
      </c>
      <c r="K6051">
        <v>1.11009</v>
      </c>
      <c r="L6051">
        <v>16.91611</v>
      </c>
      <c r="M6051">
        <v>0.99985360000000001</v>
      </c>
      <c r="N6051">
        <v>-1.3642039999999999E-2</v>
      </c>
      <c r="O6051">
        <v>-1.033472E-2</v>
      </c>
      <c r="P6051">
        <v>0.98373029999999995</v>
      </c>
      <c r="Q6051">
        <v>0.17951429999999999</v>
      </c>
      <c r="R6051">
        <v>-7.047635E-3</v>
      </c>
      <c r="S6051">
        <v>3.059113</v>
      </c>
      <c r="T6051">
        <v>-6.2846659999999999E-2</v>
      </c>
      <c r="U6051">
        <v>-0.32400509999999999</v>
      </c>
      <c r="V6051">
        <v>-2.8342380000000002E-3</v>
      </c>
      <c r="W6051">
        <v>0.1929226</v>
      </c>
      <c r="X6051">
        <v>0.98120989999999997</v>
      </c>
      <c r="Y6051">
        <v>9.5008930000000005E-2</v>
      </c>
      <c r="Z6051">
        <v>-1.5520659999999999E-3</v>
      </c>
      <c r="AA6051">
        <v>0.9954752</v>
      </c>
      <c r="AB6051">
        <v>22</v>
      </c>
      <c r="AC6051">
        <v>56.354199999999899</v>
      </c>
      <c r="AD6051">
        <v>-1.1600900000000001</v>
      </c>
      <c r="AE6051">
        <v>-5.9792100000000001</v>
      </c>
      <c r="AF6051">
        <v>5.3941711376920596</v>
      </c>
      <c r="AG6051">
        <v>-1.1600900000000001</v>
      </c>
      <c r="AH6051">
        <v>56.389358933548898</v>
      </c>
      <c r="AI6051">
        <v>91.173217244270603</v>
      </c>
      <c r="AJ6051">
        <v>84.535748028315794</v>
      </c>
      <c r="AK6051">
        <v>56.658650637015903</v>
      </c>
      <c r="AL6051">
        <v>78.876607020204105</v>
      </c>
      <c r="AM6051">
        <v>90.165499169855494</v>
      </c>
      <c r="AN6051">
        <v>1.0000000151769</v>
      </c>
    </row>
    <row r="6052" spans="1:40" x14ac:dyDescent="0.25">
      <c r="A6052" t="str">
        <f>"20190304155222093"</f>
        <v>20190304155222093</v>
      </c>
      <c r="B6052" t="str">
        <f>"1551685942083261"</f>
        <v>1551685942083261</v>
      </c>
      <c r="C6052" t="s">
        <v>40</v>
      </c>
      <c r="D6052">
        <v>4.8621089999999896</v>
      </c>
      <c r="E6052">
        <v>0.5363696</v>
      </c>
      <c r="F6052" t="s">
        <v>42</v>
      </c>
      <c r="G6052">
        <v>-262.18189999999998</v>
      </c>
      <c r="H6052">
        <v>-0.05</v>
      </c>
      <c r="I6052">
        <v>9.877319</v>
      </c>
      <c r="J6052">
        <v>-327.6234</v>
      </c>
      <c r="K6052">
        <v>1.110074</v>
      </c>
      <c r="L6052">
        <v>16.914400000000001</v>
      </c>
      <c r="M6052">
        <v>0.99984810000000002</v>
      </c>
      <c r="N6052">
        <v>-1.364133E-2</v>
      </c>
      <c r="O6052">
        <v>-1.085059E-2</v>
      </c>
      <c r="P6052">
        <v>0.98373909999999998</v>
      </c>
      <c r="Q6052">
        <v>0.17943219999999999</v>
      </c>
      <c r="R6052">
        <v>-7.8590440000000008E-3</v>
      </c>
      <c r="S6052">
        <v>3.0570979999999999</v>
      </c>
      <c r="T6052">
        <v>-5.4099679999999997E-2</v>
      </c>
      <c r="U6052">
        <v>-0.32824710000000001</v>
      </c>
      <c r="V6052">
        <v>-2.522205E-3</v>
      </c>
      <c r="W6052">
        <v>0.19283919999999999</v>
      </c>
      <c r="X6052">
        <v>0.98122710000000002</v>
      </c>
      <c r="Y6052">
        <v>9.5936270000000004E-2</v>
      </c>
      <c r="Z6052">
        <v>-1.4589099999999999E-3</v>
      </c>
      <c r="AA6052">
        <v>0.9953864</v>
      </c>
      <c r="AB6052">
        <v>22</v>
      </c>
      <c r="AC6052">
        <v>65.441500000000005</v>
      </c>
      <c r="AD6052">
        <v>-1.160074</v>
      </c>
      <c r="AE6052">
        <v>-7.0370809999999997</v>
      </c>
      <c r="AF6052">
        <v>6.3245569815352596</v>
      </c>
      <c r="AG6052">
        <v>-1.160074</v>
      </c>
      <c r="AH6052">
        <v>65.493664735919495</v>
      </c>
      <c r="AI6052">
        <v>91.010063007883303</v>
      </c>
      <c r="AJ6052">
        <v>84.484195024580103</v>
      </c>
      <c r="AK6052">
        <v>65.808555015584304</v>
      </c>
      <c r="AL6052">
        <v>78.881476427800195</v>
      </c>
      <c r="AM6052">
        <v>90.147276184373993</v>
      </c>
      <c r="AN6052">
        <v>0.999999970174555</v>
      </c>
    </row>
    <row r="6053" spans="1:40" x14ac:dyDescent="0.25">
      <c r="A6053" t="str">
        <f>"20190304155222104"</f>
        <v>20190304155222104</v>
      </c>
      <c r="B6053" t="str">
        <f>"1551685942102781"</f>
        <v>1551685942102781</v>
      </c>
      <c r="C6053" t="s">
        <v>40</v>
      </c>
      <c r="D6053">
        <v>4.893548</v>
      </c>
      <c r="E6053">
        <v>0.53655369999999902</v>
      </c>
      <c r="F6053" t="s">
        <v>42</v>
      </c>
      <c r="G6053">
        <v>-263.74979999999999</v>
      </c>
      <c r="H6053">
        <v>-0.05</v>
      </c>
      <c r="I6053">
        <v>9.995514</v>
      </c>
      <c r="J6053">
        <v>-327.51</v>
      </c>
      <c r="K6053">
        <v>1.1100620000000001</v>
      </c>
      <c r="L6053">
        <v>16.912569999999999</v>
      </c>
      <c r="M6053">
        <v>0.99984229999999996</v>
      </c>
      <c r="N6053">
        <v>-1.3640640000000001E-2</v>
      </c>
      <c r="O6053">
        <v>-1.137707E-2</v>
      </c>
      <c r="P6053">
        <v>0.98373849999999996</v>
      </c>
      <c r="Q6053">
        <v>0.17940059999999999</v>
      </c>
      <c r="R6053">
        <v>-8.6008519999999904E-3</v>
      </c>
      <c r="S6053">
        <v>3.0570680000000001</v>
      </c>
      <c r="T6053">
        <v>-5.5522559999999999E-2</v>
      </c>
      <c r="U6053">
        <v>-0.3311462</v>
      </c>
      <c r="V6053">
        <v>-2.290149E-3</v>
      </c>
      <c r="W6053">
        <v>0.19280700000000001</v>
      </c>
      <c r="X6053">
        <v>0.98123400000000005</v>
      </c>
      <c r="Y6053">
        <v>9.6345130000000001E-2</v>
      </c>
      <c r="Z6053">
        <v>-1.480227E-3</v>
      </c>
      <c r="AA6053">
        <v>0.99534690000000003</v>
      </c>
      <c r="AB6053">
        <v>22</v>
      </c>
      <c r="AC6053">
        <v>63.760199999999998</v>
      </c>
      <c r="AD6053">
        <v>-1.1600619999999999</v>
      </c>
      <c r="AE6053">
        <v>-6.9170559999999996</v>
      </c>
      <c r="AF6053">
        <v>6.1891116005970499</v>
      </c>
      <c r="AG6053">
        <v>-1.1600619999999999</v>
      </c>
      <c r="AH6053">
        <v>63.813897373258101</v>
      </c>
      <c r="AI6053">
        <v>91.036592677259407</v>
      </c>
      <c r="AJ6053">
        <v>84.460386418970799</v>
      </c>
      <c r="AK6053">
        <v>64.123820411865694</v>
      </c>
      <c r="AL6053">
        <v>78.883356673075198</v>
      </c>
      <c r="AM6053">
        <v>90.133725119491302</v>
      </c>
      <c r="AN6053">
        <v>0.99999997339372004</v>
      </c>
    </row>
    <row r="6054" spans="1:40" x14ac:dyDescent="0.25">
      <c r="A6054" t="str">
        <f>"20190304155222116"</f>
        <v>20190304155222116</v>
      </c>
      <c r="B6054" t="str">
        <f>"1551685942112540"</f>
        <v>1551685942112540</v>
      </c>
      <c r="C6054" t="s">
        <v>40</v>
      </c>
      <c r="D6054">
        <v>4.8705689999999997</v>
      </c>
      <c r="E6054">
        <v>0.53652369999999905</v>
      </c>
      <c r="F6054" t="s">
        <v>42</v>
      </c>
      <c r="G6054">
        <v>-269.57530000000003</v>
      </c>
      <c r="H6054">
        <v>-0.05</v>
      </c>
      <c r="I6054">
        <v>10.56274</v>
      </c>
      <c r="J6054">
        <v>-327.40219999999999</v>
      </c>
      <c r="K6054">
        <v>1.1100449999999999</v>
      </c>
      <c r="L6054">
        <v>16.910769999999999</v>
      </c>
      <c r="M6054">
        <v>0.99983630000000001</v>
      </c>
      <c r="N6054">
        <v>-1.3640029999999999E-2</v>
      </c>
      <c r="O6054">
        <v>-1.18989E-2</v>
      </c>
      <c r="P6054">
        <v>0.9837089</v>
      </c>
      <c r="Q6054">
        <v>0.17953279999999999</v>
      </c>
      <c r="R6054">
        <v>-9.2173159999999997E-3</v>
      </c>
      <c r="S6054">
        <v>3.0577999999999999</v>
      </c>
      <c r="T6054">
        <v>-6.1228159999999997E-2</v>
      </c>
      <c r="U6054">
        <v>-0.335144</v>
      </c>
      <c r="V6054">
        <v>-2.178733E-3</v>
      </c>
      <c r="W6054">
        <v>0.192938</v>
      </c>
      <c r="X6054">
        <v>0.98120850000000004</v>
      </c>
      <c r="Y6054">
        <v>9.7081429999999996E-2</v>
      </c>
      <c r="Z6054">
        <v>-1.557545E-3</v>
      </c>
      <c r="AA6054">
        <v>0.99527520000000003</v>
      </c>
      <c r="AB6054">
        <v>22</v>
      </c>
      <c r="AC6054">
        <v>57.826899999999902</v>
      </c>
      <c r="AD6054">
        <v>-1.160045</v>
      </c>
      <c r="AE6054">
        <v>-6.3480299999999996</v>
      </c>
      <c r="AF6054">
        <v>5.6571905714031798</v>
      </c>
      <c r="AG6054">
        <v>-1.160045</v>
      </c>
      <c r="AH6054">
        <v>57.875333597165898</v>
      </c>
      <c r="AI6054">
        <v>91.142829509362201</v>
      </c>
      <c r="AJ6054">
        <v>84.4171951027554</v>
      </c>
      <c r="AK6054">
        <v>58.162735050429298</v>
      </c>
      <c r="AL6054">
        <v>78.875707257013303</v>
      </c>
      <c r="AM6054">
        <v>90.127222705905396</v>
      </c>
      <c r="AN6054">
        <v>0.99999996959686699</v>
      </c>
    </row>
    <row r="6055" spans="1:40" x14ac:dyDescent="0.25">
      <c r="A6055" t="str">
        <f>"20190304155222129"</f>
        <v>20190304155222129</v>
      </c>
      <c r="B6055" t="str">
        <f>"1551685942123276"</f>
        <v>1551685942123276</v>
      </c>
      <c r="C6055" t="s">
        <v>40</v>
      </c>
      <c r="D6055">
        <v>4.9177169999999997</v>
      </c>
      <c r="E6055">
        <v>0.53655319999999995</v>
      </c>
      <c r="F6055" t="s">
        <v>42</v>
      </c>
      <c r="G6055">
        <v>-269.7688</v>
      </c>
      <c r="H6055">
        <v>-0.05</v>
      </c>
      <c r="I6055">
        <v>10.56413</v>
      </c>
      <c r="J6055">
        <v>-327.28210000000001</v>
      </c>
      <c r="K6055">
        <v>1.110025</v>
      </c>
      <c r="L6055">
        <v>16.908719999999999</v>
      </c>
      <c r="M6055">
        <v>0.99982910000000003</v>
      </c>
      <c r="N6055">
        <v>-1.363934E-2</v>
      </c>
      <c r="O6055">
        <v>-1.2489210000000001E-2</v>
      </c>
      <c r="P6055">
        <v>0.98376169999999996</v>
      </c>
      <c r="Q6055">
        <v>0.17920710000000001</v>
      </c>
      <c r="R6055">
        <v>-9.9013669999999995E-3</v>
      </c>
      <c r="S6055">
        <v>3.0578310000000002</v>
      </c>
      <c r="T6055">
        <v>-6.1547989999999997E-2</v>
      </c>
      <c r="U6055">
        <v>-0.336731</v>
      </c>
      <c r="V6055">
        <v>-2.0670459999999999E-3</v>
      </c>
      <c r="W6055">
        <v>0.19261229999999999</v>
      </c>
      <c r="X6055">
        <v>0.98127279999999995</v>
      </c>
      <c r="Y6055">
        <v>9.7002870000000005E-2</v>
      </c>
      <c r="Z6055">
        <v>-1.5561749999999999E-3</v>
      </c>
      <c r="AA6055">
        <v>0.99528289999999997</v>
      </c>
      <c r="AB6055">
        <v>22</v>
      </c>
      <c r="AC6055">
        <v>57.513300000000001</v>
      </c>
      <c r="AD6055">
        <v>-1.1600250000000001</v>
      </c>
      <c r="AE6055">
        <v>-6.3445900000000002</v>
      </c>
      <c r="AF6055">
        <v>5.6234724424366203</v>
      </c>
      <c r="AG6055">
        <v>-1.1600250000000001</v>
      </c>
      <c r="AH6055">
        <v>57.564923022073501</v>
      </c>
      <c r="AI6055">
        <v>91.148977122453701</v>
      </c>
      <c r="AJ6055">
        <v>84.420523689716504</v>
      </c>
      <c r="AK6055">
        <v>57.8505787598423</v>
      </c>
      <c r="AL6055">
        <v>78.894725998804702</v>
      </c>
      <c r="AM6055">
        <v>90.120693080135098</v>
      </c>
      <c r="AN6055">
        <v>1.00000003940514</v>
      </c>
    </row>
    <row r="6056" spans="1:40" x14ac:dyDescent="0.25">
      <c r="A6056" t="str">
        <f>"20190304155222145"</f>
        <v>20190304155222145</v>
      </c>
      <c r="B6056" t="str">
        <f>"1551685942142797"</f>
        <v>1551685942142797</v>
      </c>
      <c r="C6056" t="s">
        <v>40</v>
      </c>
      <c r="D6056">
        <v>4.9142780000000004</v>
      </c>
      <c r="E6056">
        <v>0.53648629999999997</v>
      </c>
      <c r="F6056" t="s">
        <v>42</v>
      </c>
      <c r="G6056">
        <v>-270.72449999999998</v>
      </c>
      <c r="H6056">
        <v>-0.05</v>
      </c>
      <c r="I6056">
        <v>10.63245</v>
      </c>
      <c r="J6056">
        <v>-327.11250000000001</v>
      </c>
      <c r="K6056">
        <v>1.1099889999999999</v>
      </c>
      <c r="L6056">
        <v>16.90558</v>
      </c>
      <c r="M6056">
        <v>0.99981779999999998</v>
      </c>
      <c r="N6056">
        <v>-1.363844E-2</v>
      </c>
      <c r="O6056">
        <v>-1.336614E-2</v>
      </c>
      <c r="P6056">
        <v>0.98388770000000003</v>
      </c>
      <c r="Q6056">
        <v>0.17847279999999999</v>
      </c>
      <c r="R6056">
        <v>-1.061756E-2</v>
      </c>
      <c r="S6056">
        <v>3.0574949999999999</v>
      </c>
      <c r="T6056">
        <v>-6.2710760000000004E-2</v>
      </c>
      <c r="U6056">
        <v>-0.3392944</v>
      </c>
      <c r="V6056">
        <v>-2.2030610000000001E-3</v>
      </c>
      <c r="W6056">
        <v>0.19187960000000001</v>
      </c>
      <c r="X6056">
        <v>0.98141599999999996</v>
      </c>
      <c r="Y6056">
        <v>9.6965259999999998E-2</v>
      </c>
      <c r="Z6056">
        <v>-1.5632070000000001E-3</v>
      </c>
      <c r="AA6056">
        <v>0.99528649999999996</v>
      </c>
      <c r="AB6056">
        <v>22</v>
      </c>
      <c r="AC6056">
        <v>56.387999999999998</v>
      </c>
      <c r="AD6056">
        <v>-1.1599889999999999</v>
      </c>
      <c r="AE6056">
        <v>-6.2731300000000001</v>
      </c>
      <c r="AF6056">
        <v>5.5165036310594502</v>
      </c>
      <c r="AG6056">
        <v>-1.1599889999999999</v>
      </c>
      <c r="AH6056">
        <v>56.443223058202001</v>
      </c>
      <c r="AI6056">
        <v>91.171762920637093</v>
      </c>
      <c r="AJ6056">
        <v>84.417900144256905</v>
      </c>
      <c r="AK6056">
        <v>56.724023270476501</v>
      </c>
      <c r="AL6056">
        <v>78.937504129562498</v>
      </c>
      <c r="AM6056">
        <v>90.128616086645707</v>
      </c>
      <c r="AN6056">
        <v>0.99999999971496401</v>
      </c>
    </row>
    <row r="6057" spans="1:40" x14ac:dyDescent="0.25">
      <c r="A6057" t="str">
        <f>"20190304155222159"</f>
        <v>20190304155222159</v>
      </c>
      <c r="B6057" t="str">
        <f>"1551685942152557"</f>
        <v>1551685942152557</v>
      </c>
      <c r="C6057" t="s">
        <v>40</v>
      </c>
      <c r="D6057">
        <v>4.9004589999999997</v>
      </c>
      <c r="E6057">
        <v>0.53642590000000001</v>
      </c>
      <c r="F6057" t="s">
        <v>42</v>
      </c>
      <c r="G6057">
        <v>-273.21429999999998</v>
      </c>
      <c r="H6057">
        <v>-0.05</v>
      </c>
      <c r="I6057">
        <v>10.88766</v>
      </c>
      <c r="J6057">
        <v>-326.99110000000002</v>
      </c>
      <c r="K6057">
        <v>1.109966</v>
      </c>
      <c r="L6057">
        <v>16.903229999999901</v>
      </c>
      <c r="M6057">
        <v>0.99980869999999999</v>
      </c>
      <c r="N6057">
        <v>-1.363786E-2</v>
      </c>
      <c r="O6057">
        <v>-1.4022400000000001E-2</v>
      </c>
      <c r="P6057">
        <v>0.98393540000000002</v>
      </c>
      <c r="Q6057">
        <v>0.17816470000000001</v>
      </c>
      <c r="R6057">
        <v>-1.134777E-2</v>
      </c>
      <c r="S6057">
        <v>3.057404</v>
      </c>
      <c r="T6057">
        <v>-6.5801020000000002E-2</v>
      </c>
      <c r="U6057">
        <v>-0.3413696</v>
      </c>
      <c r="V6057">
        <v>-2.1100630000000001E-3</v>
      </c>
      <c r="W6057">
        <v>0.19157160000000001</v>
      </c>
      <c r="X6057">
        <v>0.98147640000000003</v>
      </c>
      <c r="Y6057">
        <v>9.6979949999999995E-2</v>
      </c>
      <c r="Z6057">
        <v>-1.593679E-3</v>
      </c>
      <c r="AA6057">
        <v>0.99528499999999998</v>
      </c>
      <c r="AB6057">
        <v>22</v>
      </c>
      <c r="AC6057">
        <v>53.776800000000001</v>
      </c>
      <c r="AD6057">
        <v>-1.1599660000000001</v>
      </c>
      <c r="AE6057">
        <v>-6.0155699999999896</v>
      </c>
      <c r="AF6057">
        <v>5.2584122109570997</v>
      </c>
      <c r="AG6057">
        <v>-1.1599660000000001</v>
      </c>
      <c r="AH6057">
        <v>53.831136093984298</v>
      </c>
      <c r="AI6057">
        <v>91.228586017099104</v>
      </c>
      <c r="AJ6057">
        <v>84.420849993604904</v>
      </c>
      <c r="AK6057">
        <v>54.099793283066703</v>
      </c>
      <c r="AL6057">
        <v>78.955485102255196</v>
      </c>
      <c r="AM6057">
        <v>90.123179241134693</v>
      </c>
      <c r="AN6057">
        <v>1.00000002702469</v>
      </c>
    </row>
    <row r="6058" spans="1:40" x14ac:dyDescent="0.25">
      <c r="A6058" t="str">
        <f>"20190304155222172"</f>
        <v>20190304155222172</v>
      </c>
      <c r="B6058" t="str">
        <f>"1551685942163293"</f>
        <v>1551685942163293</v>
      </c>
      <c r="C6058" t="s">
        <v>40</v>
      </c>
      <c r="D6058">
        <v>4.9212989999999897</v>
      </c>
      <c r="E6058">
        <v>0.53641070000000002</v>
      </c>
      <c r="F6058" t="s">
        <v>42</v>
      </c>
      <c r="G6058">
        <v>-274.66860000000003</v>
      </c>
      <c r="H6058">
        <v>-0.05</v>
      </c>
      <c r="I6058">
        <v>11.02707</v>
      </c>
      <c r="J6058">
        <v>-326.86700000000002</v>
      </c>
      <c r="K6058">
        <v>1.109945</v>
      </c>
      <c r="L6058">
        <v>16.900759999999998</v>
      </c>
      <c r="M6058">
        <v>0.99979879999999999</v>
      </c>
      <c r="N6058">
        <v>-1.363728E-2</v>
      </c>
      <c r="O6058">
        <v>-1.470871E-2</v>
      </c>
      <c r="P6058">
        <v>0.98399700000000001</v>
      </c>
      <c r="Q6058">
        <v>0.1777928</v>
      </c>
      <c r="R6058">
        <v>-1.182017E-2</v>
      </c>
      <c r="S6058">
        <v>3.0572810000000001</v>
      </c>
      <c r="T6058">
        <v>-6.777859E-2</v>
      </c>
      <c r="U6058">
        <v>-0.34335329999999997</v>
      </c>
      <c r="V6058">
        <v>-2.3044559999999999E-3</v>
      </c>
      <c r="W6058">
        <v>0.1912005</v>
      </c>
      <c r="X6058">
        <v>0.98154830000000004</v>
      </c>
      <c r="Y6058">
        <v>9.6937200000000001E-2</v>
      </c>
      <c r="Z6058">
        <v>-1.609299E-3</v>
      </c>
      <c r="AA6058">
        <v>0.99528919999999999</v>
      </c>
      <c r="AB6058">
        <v>22</v>
      </c>
      <c r="AC6058">
        <v>52.1983999999999</v>
      </c>
      <c r="AD6058">
        <v>-1.159945</v>
      </c>
      <c r="AE6058">
        <v>-5.8736899999999999</v>
      </c>
      <c r="AF6058">
        <v>5.1027236542623804</v>
      </c>
      <c r="AG6058">
        <v>-1.159945</v>
      </c>
      <c r="AH6058">
        <v>52.253673845022298</v>
      </c>
      <c r="AI6058">
        <v>91.265644184374807</v>
      </c>
      <c r="AJ6058">
        <v>84.422584078690306</v>
      </c>
      <c r="AK6058">
        <v>52.515042524944803</v>
      </c>
      <c r="AL6058">
        <v>78.977147745035396</v>
      </c>
      <c r="AM6058">
        <v>90.134517435645904</v>
      </c>
      <c r="AN6058">
        <v>1.0000000034752901</v>
      </c>
    </row>
    <row r="6059" spans="1:40" x14ac:dyDescent="0.25">
      <c r="A6059" t="str">
        <f>"20190304155222192"</f>
        <v>20190304155222192</v>
      </c>
      <c r="B6059" t="str">
        <f>"1551685942182814"</f>
        <v>1551685942182814</v>
      </c>
      <c r="C6059" t="s">
        <v>40</v>
      </c>
      <c r="D6059">
        <v>4.897316</v>
      </c>
      <c r="E6059">
        <v>0.53635219999999995</v>
      </c>
      <c r="F6059" t="s">
        <v>42</v>
      </c>
      <c r="G6059">
        <v>-275.75389999999999</v>
      </c>
      <c r="H6059">
        <v>-0.05</v>
      </c>
      <c r="I6059">
        <v>11.13982</v>
      </c>
      <c r="J6059">
        <v>-326.66950000000003</v>
      </c>
      <c r="K6059">
        <v>1.109904</v>
      </c>
      <c r="L6059">
        <v>16.896550000000001</v>
      </c>
      <c r="M6059">
        <v>0.99978140000000004</v>
      </c>
      <c r="N6059">
        <v>-1.363642E-2</v>
      </c>
      <c r="O6059">
        <v>-1.5855319999999999E-2</v>
      </c>
      <c r="P6059">
        <v>0.98408370000000001</v>
      </c>
      <c r="Q6059">
        <v>0.1772273</v>
      </c>
      <c r="R6059">
        <v>-1.3047929999999999E-2</v>
      </c>
      <c r="S6059">
        <v>3.0571899999999999</v>
      </c>
      <c r="T6059">
        <v>-6.9378969999999998E-2</v>
      </c>
      <c r="U6059">
        <v>-0.34457399999999999</v>
      </c>
      <c r="V6059">
        <v>-2.1904989999999998E-3</v>
      </c>
      <c r="W6059">
        <v>0.190636</v>
      </c>
      <c r="X6059">
        <v>0.98165829999999998</v>
      </c>
      <c r="Y6059">
        <v>9.619047E-2</v>
      </c>
      <c r="Z6059">
        <v>-1.6029950000000001E-3</v>
      </c>
      <c r="AA6059">
        <v>0.99536159999999996</v>
      </c>
      <c r="AB6059">
        <v>22</v>
      </c>
      <c r="AC6059">
        <v>50.915599999999998</v>
      </c>
      <c r="AD6059">
        <v>-1.159904</v>
      </c>
      <c r="AE6059">
        <v>-5.7567300000000001</v>
      </c>
      <c r="AF6059">
        <v>4.94611361658768</v>
      </c>
      <c r="AG6059">
        <v>-1.159904</v>
      </c>
      <c r="AH6059">
        <v>50.974361555072399</v>
      </c>
      <c r="AI6059">
        <v>91.297429435269606</v>
      </c>
      <c r="AJ6059">
        <v>84.457860152947603</v>
      </c>
      <c r="AK6059">
        <v>51.226896774493902</v>
      </c>
      <c r="AL6059">
        <v>79.010096697947205</v>
      </c>
      <c r="AM6059">
        <v>90.127851146797497</v>
      </c>
      <c r="AN6059">
        <v>0.99999995037037803</v>
      </c>
    </row>
    <row r="6060" spans="1:40" x14ac:dyDescent="0.25">
      <c r="A6060" t="str">
        <f>"20190304155222205"</f>
        <v>20190304155222205</v>
      </c>
      <c r="B6060" t="str">
        <f>"1551685942203310"</f>
        <v>1551685942203310</v>
      </c>
      <c r="C6060" t="s">
        <v>40</v>
      </c>
      <c r="D6060">
        <v>4.8741219999999998</v>
      </c>
      <c r="E6060">
        <v>0.53652169999999999</v>
      </c>
      <c r="F6060" t="s">
        <v>42</v>
      </c>
      <c r="G6060">
        <v>-277.61989999999997</v>
      </c>
      <c r="H6060">
        <v>-0.05</v>
      </c>
      <c r="I6060">
        <v>11.31134</v>
      </c>
      <c r="J6060">
        <v>-326.53230000000002</v>
      </c>
      <c r="K6060">
        <v>1.1098730000000001</v>
      </c>
      <c r="L6060">
        <v>16.893460000000001</v>
      </c>
      <c r="M6060">
        <v>0.99976779999999998</v>
      </c>
      <c r="N6060">
        <v>-1.363588E-2</v>
      </c>
      <c r="O6060">
        <v>-1.6684040000000001E-2</v>
      </c>
      <c r="P6060">
        <v>0.98412449999999996</v>
      </c>
      <c r="Q6060">
        <v>0.1769703</v>
      </c>
      <c r="R6060">
        <v>-1.343244E-2</v>
      </c>
      <c r="S6060">
        <v>3.0568849999999999</v>
      </c>
      <c r="T6060">
        <v>-7.2287920000000006E-2</v>
      </c>
      <c r="U6060">
        <v>-0.34808349999999999</v>
      </c>
      <c r="V6060">
        <v>-2.610977E-3</v>
      </c>
      <c r="W6060">
        <v>0.19038040000000001</v>
      </c>
      <c r="X6060">
        <v>0.98170690000000005</v>
      </c>
      <c r="Y6060">
        <v>9.6502039999999997E-2</v>
      </c>
      <c r="Z6060">
        <v>-1.6311489999999999E-3</v>
      </c>
      <c r="AA6060">
        <v>0.99533150000000004</v>
      </c>
      <c r="AB6060">
        <v>22</v>
      </c>
      <c r="AC6060">
        <v>48.912399999999998</v>
      </c>
      <c r="AD6060">
        <v>-1.1598729999999999</v>
      </c>
      <c r="AE6060">
        <v>-5.5821199999999997</v>
      </c>
      <c r="AF6060">
        <v>4.7625669016103096</v>
      </c>
      <c r="AG6060">
        <v>-1.1598729999999999</v>
      </c>
      <c r="AH6060">
        <v>48.971548085061102</v>
      </c>
      <c r="AI6060">
        <v>91.350407079987505</v>
      </c>
      <c r="AJ6060">
        <v>84.445355140309601</v>
      </c>
      <c r="AK6060">
        <v>49.216256163140798</v>
      </c>
      <c r="AL6060">
        <v>79.025014995961101</v>
      </c>
      <c r="AM6060">
        <v>90.152385207614998</v>
      </c>
      <c r="AN6060">
        <v>0.99999997570633203</v>
      </c>
    </row>
    <row r="6061" spans="1:40" x14ac:dyDescent="0.25">
      <c r="A6061" t="str">
        <f>"20190304155222218"</f>
        <v>20190304155222218</v>
      </c>
      <c r="B6061" t="str">
        <f>"1551685942213068"</f>
        <v>1551685942213068</v>
      </c>
      <c r="C6061" t="s">
        <v>40</v>
      </c>
      <c r="D6061">
        <v>4.9046919999999998</v>
      </c>
      <c r="E6061">
        <v>0.53662330000000003</v>
      </c>
      <c r="F6061" t="s">
        <v>42</v>
      </c>
      <c r="G6061">
        <v>-280.2097</v>
      </c>
      <c r="H6061">
        <v>-0.05</v>
      </c>
      <c r="I6061">
        <v>11.580780000000001</v>
      </c>
      <c r="J6061">
        <v>-326.416</v>
      </c>
      <c r="K6061">
        <v>1.10985</v>
      </c>
      <c r="L6061">
        <v>16.890720000000002</v>
      </c>
      <c r="M6061">
        <v>0.99975539999999996</v>
      </c>
      <c r="N6061">
        <v>-1.363554E-2</v>
      </c>
      <c r="O6061">
        <v>-1.741326E-2</v>
      </c>
      <c r="P6061">
        <v>0.9841297</v>
      </c>
      <c r="Q6061">
        <v>0.17688110000000001</v>
      </c>
      <c r="R6061">
        <v>-1.421327E-2</v>
      </c>
      <c r="S6061">
        <v>3.0573730000000001</v>
      </c>
      <c r="T6061">
        <v>-7.6553699999999905E-2</v>
      </c>
      <c r="U6061">
        <v>-0.35064699999999999</v>
      </c>
      <c r="V6061">
        <v>-2.5379949999999999E-3</v>
      </c>
      <c r="W6061">
        <v>0.19029099999999999</v>
      </c>
      <c r="X6061">
        <v>0.98172440000000005</v>
      </c>
      <c r="Y6061">
        <v>9.65781E-2</v>
      </c>
      <c r="Z6061">
        <v>-1.6680929999999901E-3</v>
      </c>
      <c r="AA6061">
        <v>0.99532399999999999</v>
      </c>
      <c r="AB6061">
        <v>22</v>
      </c>
      <c r="AC6061">
        <v>46.206299999999999</v>
      </c>
      <c r="AD6061">
        <v>-1.15985</v>
      </c>
      <c r="AE6061">
        <v>-5.3099400000000001</v>
      </c>
      <c r="AF6061">
        <v>4.5016581528335502</v>
      </c>
      <c r="AG6061">
        <v>-1.15985</v>
      </c>
      <c r="AH6061">
        <v>46.262994930959998</v>
      </c>
      <c r="AI6061">
        <v>91.429401497941399</v>
      </c>
      <c r="AJ6061">
        <v>84.442284674411198</v>
      </c>
      <c r="AK6061">
        <v>46.495966256542197</v>
      </c>
      <c r="AL6061">
        <v>79.030232356670396</v>
      </c>
      <c r="AM6061">
        <v>90.148123116797606</v>
      </c>
      <c r="AN6061">
        <v>0.99999995182748802</v>
      </c>
    </row>
    <row r="6062" spans="1:40" x14ac:dyDescent="0.25">
      <c r="A6062" t="str">
        <f>"20190304155222230"</f>
        <v>20190304155222230</v>
      </c>
      <c r="B6062" t="str">
        <f>"1551685942222829"</f>
        <v>1551685942222829</v>
      </c>
      <c r="C6062" t="s">
        <v>40</v>
      </c>
      <c r="D6062">
        <v>4.9093179999999998</v>
      </c>
      <c r="E6062">
        <v>0.53661579999999998</v>
      </c>
      <c r="F6062" t="s">
        <v>42</v>
      </c>
      <c r="G6062">
        <v>-281.31939999999997</v>
      </c>
      <c r="H6062">
        <v>-0.05</v>
      </c>
      <c r="I6062">
        <v>11.66962</v>
      </c>
      <c r="J6062">
        <v>-326.29649999999998</v>
      </c>
      <c r="K6062">
        <v>1.109828</v>
      </c>
      <c r="L6062">
        <v>16.887789999999999</v>
      </c>
      <c r="M6062">
        <v>0.99974189999999996</v>
      </c>
      <c r="N6062">
        <v>-1.363519E-2</v>
      </c>
      <c r="O6062">
        <v>-1.8175630000000002E-2</v>
      </c>
      <c r="P6062">
        <v>0.98415640000000004</v>
      </c>
      <c r="Q6062">
        <v>0.17669699999999999</v>
      </c>
      <c r="R6062">
        <v>-1.465957E-2</v>
      </c>
      <c r="S6062">
        <v>3.057404</v>
      </c>
      <c r="T6062">
        <v>-7.8634019999999999E-2</v>
      </c>
      <c r="U6062">
        <v>-0.35397339999999999</v>
      </c>
      <c r="V6062">
        <v>-2.8330159999999998E-3</v>
      </c>
      <c r="W6062">
        <v>0.19010750000000001</v>
      </c>
      <c r="X6062">
        <v>0.98175919999999905</v>
      </c>
      <c r="Y6062">
        <v>9.6884620000000005E-2</v>
      </c>
      <c r="Z6062">
        <v>-1.6858450000000001E-3</v>
      </c>
      <c r="AA6062">
        <v>0.99529420000000002</v>
      </c>
      <c r="AB6062">
        <v>22</v>
      </c>
      <c r="AC6062">
        <v>44.9771</v>
      </c>
      <c r="AD6062">
        <v>-1.1598280000000001</v>
      </c>
      <c r="AE6062">
        <v>-5.21816999999999</v>
      </c>
      <c r="AF6062">
        <v>4.3968598107157497</v>
      </c>
      <c r="AG6062">
        <v>-1.1598280000000001</v>
      </c>
      <c r="AH6062">
        <v>45.034971855179997</v>
      </c>
      <c r="AI6062">
        <v>91.468287800642102</v>
      </c>
      <c r="AJ6062">
        <v>84.423764339960897</v>
      </c>
      <c r="AK6062">
        <v>45.263962124205698</v>
      </c>
      <c r="AL6062">
        <v>79.040942238891006</v>
      </c>
      <c r="AM6062">
        <v>90.165335256904001</v>
      </c>
      <c r="AN6062">
        <v>1.0000000071602699</v>
      </c>
    </row>
    <row r="6063" spans="1:40" x14ac:dyDescent="0.25">
      <c r="A6063" t="str">
        <f>"20190304155222245"</f>
        <v>20190304155222245</v>
      </c>
      <c r="B6063" t="str">
        <f>"1551685942232589"</f>
        <v>1551685942232589</v>
      </c>
      <c r="C6063" t="s">
        <v>40</v>
      </c>
      <c r="D6063">
        <v>4.8867979999999998</v>
      </c>
      <c r="E6063">
        <v>0.5366398</v>
      </c>
      <c r="F6063" t="s">
        <v>42</v>
      </c>
      <c r="G6063">
        <v>-281.60809999999998</v>
      </c>
      <c r="H6063">
        <v>-0.05</v>
      </c>
      <c r="I6063">
        <v>11.695360000000001</v>
      </c>
      <c r="J6063">
        <v>-326.14640000000003</v>
      </c>
      <c r="K6063">
        <v>1.109802</v>
      </c>
      <c r="L6063">
        <v>16.883939999999999</v>
      </c>
      <c r="M6063">
        <v>0.99972329999999998</v>
      </c>
      <c r="N6063">
        <v>-1.363469E-2</v>
      </c>
      <c r="O6063">
        <v>-1.917131E-2</v>
      </c>
      <c r="P6063">
        <v>0.98417619999999895</v>
      </c>
      <c r="Q6063">
        <v>0.1765092</v>
      </c>
      <c r="R6063">
        <v>-1.5550659999999999E-2</v>
      </c>
      <c r="S6063">
        <v>3.05722</v>
      </c>
      <c r="T6063">
        <v>-7.9346180000000002E-2</v>
      </c>
      <c r="U6063">
        <v>-0.355224599999999</v>
      </c>
      <c r="V6063">
        <v>-2.9098969999999998E-3</v>
      </c>
      <c r="W6063">
        <v>0.18992020000000001</v>
      </c>
      <c r="X6063">
        <v>0.98179519999999998</v>
      </c>
      <c r="Y6063">
        <v>9.6301810000000002E-2</v>
      </c>
      <c r="Z6063">
        <v>-1.66915799999999E-3</v>
      </c>
      <c r="AA6063">
        <v>0.99535079999999998</v>
      </c>
      <c r="AB6063">
        <v>22</v>
      </c>
      <c r="AC6063">
        <v>44.5383</v>
      </c>
      <c r="AD6063">
        <v>-1.159802</v>
      </c>
      <c r="AE6063">
        <v>-5.1885799999999902</v>
      </c>
      <c r="AF6063">
        <v>4.3307919156272803</v>
      </c>
      <c r="AG6063">
        <v>-1.159802</v>
      </c>
      <c r="AH6063">
        <v>44.599755456125997</v>
      </c>
      <c r="AI6063">
        <v>91.482651724507093</v>
      </c>
      <c r="AJ6063">
        <v>84.453768189854202</v>
      </c>
      <c r="AK6063">
        <v>44.824536651725801</v>
      </c>
      <c r="AL6063">
        <v>79.051872603716802</v>
      </c>
      <c r="AM6063">
        <v>90.169815791242797</v>
      </c>
      <c r="AN6063">
        <v>0.99999998230581499</v>
      </c>
    </row>
    <row r="6064" spans="1:40" x14ac:dyDescent="0.25">
      <c r="A6064" t="str">
        <f>"20190304155222256"</f>
        <v>20190304155222256</v>
      </c>
      <c r="B6064" t="str">
        <f>"1551685942253085"</f>
        <v>1551685942253085</v>
      </c>
      <c r="C6064" t="s">
        <v>40</v>
      </c>
      <c r="D6064">
        <v>4.5851930000000003</v>
      </c>
      <c r="E6064">
        <v>0.53631809999999902</v>
      </c>
      <c r="F6064" t="s">
        <v>42</v>
      </c>
      <c r="G6064">
        <v>-281.87619999999998</v>
      </c>
      <c r="H6064">
        <v>-0.05</v>
      </c>
      <c r="I6064">
        <v>11.69679</v>
      </c>
      <c r="J6064">
        <v>-326.03809999999999</v>
      </c>
      <c r="K6064">
        <v>1.10978</v>
      </c>
      <c r="L6064">
        <v>16.88101</v>
      </c>
      <c r="M6064">
        <v>0.99970870000000001</v>
      </c>
      <c r="N6064">
        <v>-1.363431E-2</v>
      </c>
      <c r="O6064">
        <v>-1.9917819999999999E-2</v>
      </c>
      <c r="P6064">
        <v>0.98409840000000004</v>
      </c>
      <c r="Q6064">
        <v>0.1768536</v>
      </c>
      <c r="R6064">
        <v>-1.6530639999999999E-2</v>
      </c>
      <c r="S6064">
        <v>3.0569459999999999</v>
      </c>
      <c r="T6064">
        <v>-8.0086710000000005E-2</v>
      </c>
      <c r="U6064">
        <v>-0.35818480000000003</v>
      </c>
      <c r="V6064">
        <v>-2.6527009999999999E-3</v>
      </c>
      <c r="W6064">
        <v>0.1902624</v>
      </c>
      <c r="X6064">
        <v>0.98172969999999904</v>
      </c>
      <c r="Y6064">
        <v>9.6518939999999998E-2</v>
      </c>
      <c r="Z6064">
        <v>-1.671175E-3</v>
      </c>
      <c r="AA6064">
        <v>0.99532969999999998</v>
      </c>
      <c r="AB6064">
        <v>22</v>
      </c>
      <c r="AC6064">
        <v>44.161900000000003</v>
      </c>
      <c r="AD6064">
        <v>-1.15978</v>
      </c>
      <c r="AE6064">
        <v>-5.1842199999999998</v>
      </c>
      <c r="AF6064">
        <v>4.3005751090059103</v>
      </c>
      <c r="AG6064">
        <v>-1.15978</v>
      </c>
      <c r="AH6064">
        <v>44.226317570309</v>
      </c>
      <c r="AI6064">
        <v>91.495117257450104</v>
      </c>
      <c r="AJ6064">
        <v>84.4460096625685</v>
      </c>
      <c r="AK6064">
        <v>44.450052888004798</v>
      </c>
      <c r="AL6064">
        <v>79.031902165145695</v>
      </c>
      <c r="AM6064">
        <v>90.154816750184196</v>
      </c>
      <c r="AN6064">
        <v>1.00000001076922</v>
      </c>
    </row>
    <row r="6065" spans="1:40" x14ac:dyDescent="0.25">
      <c r="A6065" t="str">
        <f>"20190304155222269"</f>
        <v>20190304155222269</v>
      </c>
      <c r="B6065" t="str">
        <f>"1551685942262844"</f>
        <v>1551685942262844</v>
      </c>
      <c r="C6065" t="s">
        <v>40</v>
      </c>
      <c r="D6065">
        <v>4.8541869999999996</v>
      </c>
      <c r="E6065">
        <v>0.53631809999999902</v>
      </c>
      <c r="F6065" t="s">
        <v>42</v>
      </c>
      <c r="G6065">
        <v>-280.85250000000002</v>
      </c>
      <c r="H6065">
        <v>-0.05</v>
      </c>
      <c r="I6065">
        <v>11.58183</v>
      </c>
      <c r="J6065">
        <v>-325.91890000000001</v>
      </c>
      <c r="K6065">
        <v>1.1097549999999901</v>
      </c>
      <c r="L6065">
        <v>16.877749999999999</v>
      </c>
      <c r="M6065">
        <v>0.99969180000000002</v>
      </c>
      <c r="N6065">
        <v>-1.3633899999999999E-2</v>
      </c>
      <c r="O6065">
        <v>-2.0751639999999998E-2</v>
      </c>
      <c r="P6065">
        <v>0.98404360000000002</v>
      </c>
      <c r="Q6065">
        <v>0.1770651</v>
      </c>
      <c r="R6065">
        <v>-1.750293E-2</v>
      </c>
      <c r="S6065">
        <v>3.056549</v>
      </c>
      <c r="T6065">
        <v>-7.8452469999999996E-2</v>
      </c>
      <c r="U6065">
        <v>-0.35845949999999999</v>
      </c>
      <c r="V6065">
        <v>-2.4882849999999998E-3</v>
      </c>
      <c r="W6065">
        <v>0.19047349999999999</v>
      </c>
      <c r="X6065">
        <v>0.98168920000000004</v>
      </c>
      <c r="Y6065">
        <v>9.5793859999999995E-2</v>
      </c>
      <c r="Z6065">
        <v>-1.6319329999999999E-3</v>
      </c>
      <c r="AA6065">
        <v>0.99539979999999995</v>
      </c>
      <c r="AB6065">
        <v>22</v>
      </c>
      <c r="AC6065">
        <v>45.066399999999902</v>
      </c>
      <c r="AD6065">
        <v>-1.1597550000000001</v>
      </c>
      <c r="AE6065">
        <v>-5.29591999999999</v>
      </c>
      <c r="AF6065">
        <v>4.3566449110054597</v>
      </c>
      <c r="AG6065">
        <v>-1.1597550000000001</v>
      </c>
      <c r="AH6065">
        <v>45.137117685814403</v>
      </c>
      <c r="AI6065">
        <v>91.4650309121578</v>
      </c>
      <c r="AJ6065">
        <v>84.486876316383899</v>
      </c>
      <c r="AK6065">
        <v>45.361710500417402</v>
      </c>
      <c r="AL6065">
        <v>79.019581773377794</v>
      </c>
      <c r="AM6065">
        <v>90.145227148681997</v>
      </c>
      <c r="AN6065">
        <v>1.00000001558056</v>
      </c>
    </row>
    <row r="6066" spans="1:40" x14ac:dyDescent="0.25">
      <c r="A6066" t="str">
        <f>"20190304155222281"</f>
        <v>20190304155222281</v>
      </c>
      <c r="B6066" t="str">
        <f>"1551685942272605"</f>
        <v>1551685942272605</v>
      </c>
      <c r="C6066" t="s">
        <v>40</v>
      </c>
      <c r="D6066">
        <v>4.8176180000000004</v>
      </c>
      <c r="E6066">
        <v>0.5363</v>
      </c>
      <c r="F6066" t="s">
        <v>42</v>
      </c>
      <c r="G6066">
        <v>-280.33409999999998</v>
      </c>
      <c r="H6066">
        <v>-0.05</v>
      </c>
      <c r="I6066">
        <v>11.4848</v>
      </c>
      <c r="J6066">
        <v>-325.79950000000002</v>
      </c>
      <c r="K6066">
        <v>1.1097319999999999</v>
      </c>
      <c r="L6066">
        <v>16.874300000000002</v>
      </c>
      <c r="M6066">
        <v>0.99967340000000005</v>
      </c>
      <c r="N6066">
        <v>-1.363377E-2</v>
      </c>
      <c r="O6066">
        <v>-2.1622099999999998E-2</v>
      </c>
      <c r="P6066">
        <v>0.98397449999999997</v>
      </c>
      <c r="Q6066">
        <v>0.17733840000000001</v>
      </c>
      <c r="R6066">
        <v>-1.8591170000000001E-2</v>
      </c>
      <c r="S6066">
        <v>3.056244</v>
      </c>
      <c r="T6066">
        <v>-7.7756049999999993E-2</v>
      </c>
      <c r="U6066">
        <v>-0.36157230000000001</v>
      </c>
      <c r="V6066">
        <v>-2.2438129999999999E-3</v>
      </c>
      <c r="W6066">
        <v>0.1907451</v>
      </c>
      <c r="X6066">
        <v>0.98163710000000004</v>
      </c>
      <c r="Y6066">
        <v>9.5939209999999997E-2</v>
      </c>
      <c r="Z6066">
        <v>-1.6184369999999999E-3</v>
      </c>
      <c r="AA6066">
        <v>0.99538590000000005</v>
      </c>
      <c r="AB6066">
        <v>22</v>
      </c>
      <c r="AC6066">
        <v>45.465400000000002</v>
      </c>
      <c r="AD6066">
        <v>-1.159732</v>
      </c>
      <c r="AE6066">
        <v>-5.3895</v>
      </c>
      <c r="AF6066">
        <v>4.4022664463081203</v>
      </c>
      <c r="AG6066">
        <v>-1.159732</v>
      </c>
      <c r="AH6066">
        <v>45.542090286835901</v>
      </c>
      <c r="AI6066">
        <v>91.451960353378297</v>
      </c>
      <c r="AJ6066">
        <v>84.478732620623603</v>
      </c>
      <c r="AK6066">
        <v>45.769060683724199</v>
      </c>
      <c r="AL6066">
        <v>79.003730122509197</v>
      </c>
      <c r="AM6066">
        <v>90.130965701087007</v>
      </c>
      <c r="AN6066">
        <v>1.00000006198359</v>
      </c>
    </row>
    <row r="6067" spans="1:40" x14ac:dyDescent="0.25">
      <c r="A6067" t="str">
        <f>"20190304155222293"</f>
        <v>20190304155222293</v>
      </c>
      <c r="B6067" t="str">
        <f>"1551685942283341"</f>
        <v>1551685942283341</v>
      </c>
      <c r="C6067" t="s">
        <v>40</v>
      </c>
      <c r="D6067">
        <v>4.8380320000000001</v>
      </c>
      <c r="E6067">
        <v>0.53628240000000005</v>
      </c>
      <c r="F6067" t="s">
        <v>42</v>
      </c>
      <c r="G6067">
        <v>-280.23649999999998</v>
      </c>
      <c r="H6067">
        <v>-0.05</v>
      </c>
      <c r="I6067">
        <v>11.43388</v>
      </c>
      <c r="J6067">
        <v>-325.68639999999999</v>
      </c>
      <c r="K6067">
        <v>1.1097090000000001</v>
      </c>
      <c r="L6067">
        <v>16.870940000000001</v>
      </c>
      <c r="M6067">
        <v>0.99965479999999995</v>
      </c>
      <c r="N6067">
        <v>-1.3633589999999999E-2</v>
      </c>
      <c r="O6067">
        <v>-2.246308E-2</v>
      </c>
      <c r="P6067">
        <v>0.98395929999999998</v>
      </c>
      <c r="Q6067">
        <v>0.177312</v>
      </c>
      <c r="R6067">
        <v>-1.9619190000000002E-2</v>
      </c>
      <c r="S6067">
        <v>3.056</v>
      </c>
      <c r="T6067">
        <v>-7.7785370000000006E-2</v>
      </c>
      <c r="U6067">
        <v>-0.36489870000000002</v>
      </c>
      <c r="V6067">
        <v>-2.0317830000000001E-3</v>
      </c>
      <c r="W6067">
        <v>0.19071879999999999</v>
      </c>
      <c r="X6067">
        <v>0.98164260000000003</v>
      </c>
      <c r="Y6067">
        <v>9.6179390000000003E-2</v>
      </c>
      <c r="Z6067">
        <v>-1.6135259999999999E-3</v>
      </c>
      <c r="AA6067">
        <v>0.99536270000000004</v>
      </c>
      <c r="AB6067">
        <v>22</v>
      </c>
      <c r="AC6067">
        <v>45.4499</v>
      </c>
      <c r="AD6067">
        <v>-1.1597090000000001</v>
      </c>
      <c r="AE6067">
        <v>-5.4370599999999998</v>
      </c>
      <c r="AF6067">
        <v>4.4118163817513096</v>
      </c>
      <c r="AG6067">
        <v>-1.1597090000000001</v>
      </c>
      <c r="AH6067">
        <v>45.531347941919201</v>
      </c>
      <c r="AI6067">
        <v>91.452241614326795</v>
      </c>
      <c r="AJ6067">
        <v>84.465532108834907</v>
      </c>
      <c r="AK6067">
        <v>45.759290796067702</v>
      </c>
      <c r="AL6067">
        <v>79.005264396912594</v>
      </c>
      <c r="AM6067">
        <v>90.118589417931005</v>
      </c>
      <c r="AN6067">
        <v>0.99999999147517904</v>
      </c>
    </row>
    <row r="6068" spans="1:40" x14ac:dyDescent="0.25">
      <c r="A6068" t="str">
        <f>"20190304155222304"</f>
        <v>20190304155222304</v>
      </c>
      <c r="B6068" t="str">
        <f>"1551685942302860"</f>
        <v>1551685942302860</v>
      </c>
      <c r="C6068" t="s">
        <v>40</v>
      </c>
      <c r="D6068">
        <v>4.8600949999999896</v>
      </c>
      <c r="E6068">
        <v>0.53645159999999903</v>
      </c>
      <c r="F6068" t="s">
        <v>42</v>
      </c>
      <c r="G6068">
        <v>-280.0453</v>
      </c>
      <c r="H6068">
        <v>-0.05</v>
      </c>
      <c r="I6068">
        <v>11.37668</v>
      </c>
      <c r="J6068">
        <v>-325.56959999999998</v>
      </c>
      <c r="K6068">
        <v>1.1096809999999999</v>
      </c>
      <c r="L6068">
        <v>16.867370000000001</v>
      </c>
      <c r="M6068">
        <v>0.99963449999999998</v>
      </c>
      <c r="N6068">
        <v>-1.3633350000000001E-2</v>
      </c>
      <c r="O6068">
        <v>-2.3352009999999999E-2</v>
      </c>
      <c r="P6068">
        <v>0.9839213</v>
      </c>
      <c r="Q6068">
        <v>0.1773855</v>
      </c>
      <c r="R6068">
        <v>-2.0816350000000001E-2</v>
      </c>
      <c r="S6068">
        <v>3.0555729999999999</v>
      </c>
      <c r="T6068">
        <v>-7.7639940000000005E-2</v>
      </c>
      <c r="U6068">
        <v>-0.3678284</v>
      </c>
      <c r="V6068">
        <v>-1.6970780000000001E-3</v>
      </c>
      <c r="W6068">
        <v>0.19079090000000001</v>
      </c>
      <c r="X6068">
        <v>0.98162930000000004</v>
      </c>
      <c r="Y6068">
        <v>9.6251649999999994E-2</v>
      </c>
      <c r="Z6068">
        <v>-1.603382E-3</v>
      </c>
      <c r="AA6068">
        <v>0.99535569999999896</v>
      </c>
      <c r="AB6068">
        <v>22</v>
      </c>
      <c r="AC6068">
        <v>45.524299999999897</v>
      </c>
      <c r="AD6068">
        <v>-1.159681</v>
      </c>
      <c r="AE6068">
        <v>-5.4906899999999998</v>
      </c>
      <c r="AF6068">
        <v>4.4231807546609296</v>
      </c>
      <c r="AG6068">
        <v>-1.159681</v>
      </c>
      <c r="AH6068">
        <v>45.610940546232399</v>
      </c>
      <c r="AI6068">
        <v>91.449662357520396</v>
      </c>
      <c r="AJ6068">
        <v>84.460987042538306</v>
      </c>
      <c r="AK6068">
        <v>45.839582082760202</v>
      </c>
      <c r="AL6068">
        <v>79.001056917112507</v>
      </c>
      <c r="AM6068">
        <v>90.099055020087107</v>
      </c>
      <c r="AN6068">
        <v>1.00000006510751</v>
      </c>
    </row>
    <row r="6069" spans="1:40" x14ac:dyDescent="0.25">
      <c r="A6069" t="str">
        <f>"20190304155222325"</f>
        <v>20190304155222325</v>
      </c>
      <c r="B6069" t="str">
        <f>"1551685942322380"</f>
        <v>1551685942322380</v>
      </c>
      <c r="C6069" t="s">
        <v>40</v>
      </c>
      <c r="D6069">
        <v>5.0343479999999996</v>
      </c>
      <c r="E6069">
        <v>0.53651260000000001</v>
      </c>
      <c r="F6069" t="s">
        <v>42</v>
      </c>
      <c r="G6069">
        <v>-282.23630000000003</v>
      </c>
      <c r="H6069">
        <v>-0.05</v>
      </c>
      <c r="I6069">
        <v>11.5787</v>
      </c>
      <c r="J6069">
        <v>-325.37830000000002</v>
      </c>
      <c r="K6069">
        <v>1.109639</v>
      </c>
      <c r="L6069">
        <v>16.861149999999999</v>
      </c>
      <c r="M6069">
        <v>0.99959810000000004</v>
      </c>
      <c r="N6069">
        <v>-1.3633269999999999E-2</v>
      </c>
      <c r="O6069">
        <v>-2.48635E-2</v>
      </c>
      <c r="P6069">
        <v>0.9839253</v>
      </c>
      <c r="Q6069">
        <v>0.1771442</v>
      </c>
      <c r="R6069">
        <v>-2.2610580000000002E-2</v>
      </c>
      <c r="S6069">
        <v>3.055847</v>
      </c>
      <c r="T6069">
        <v>-8.1780080000000005E-2</v>
      </c>
      <c r="U6069">
        <v>-0.37295529999999999</v>
      </c>
      <c r="V6069">
        <v>-1.3732340000000001E-3</v>
      </c>
      <c r="W6069">
        <v>0.19054989999999999</v>
      </c>
      <c r="X6069">
        <v>0.98167660000000001</v>
      </c>
      <c r="Y6069">
        <v>9.6377989999999997E-2</v>
      </c>
      <c r="Z6069">
        <v>-1.619585E-3</v>
      </c>
      <c r="AA6069">
        <v>0.99534350000000005</v>
      </c>
      <c r="AB6069">
        <v>22</v>
      </c>
      <c r="AC6069">
        <v>43.142000000000003</v>
      </c>
      <c r="AD6069">
        <v>-1.1596389999999901</v>
      </c>
      <c r="AE6069">
        <v>-5.2824499999999901</v>
      </c>
      <c r="AF6069">
        <v>4.2050627343408697</v>
      </c>
      <c r="AG6069">
        <v>-1.1596389999999901</v>
      </c>
      <c r="AH6069">
        <v>43.229240488652401</v>
      </c>
      <c r="AI6069">
        <v>91.529394965193006</v>
      </c>
      <c r="AJ6069">
        <v>84.444114277307506</v>
      </c>
      <c r="AK6069">
        <v>43.448757731790401</v>
      </c>
      <c r="AL6069">
        <v>79.015123074714396</v>
      </c>
      <c r="AM6069">
        <v>90.080149064531597</v>
      </c>
      <c r="AN6069">
        <v>1.0000000485745899</v>
      </c>
    </row>
    <row r="6070" spans="1:40" x14ac:dyDescent="0.25">
      <c r="A6070" t="str">
        <f>"20190304155222337"</f>
        <v>20190304155222337</v>
      </c>
      <c r="B6070" t="str">
        <f>"1551685942333116"</f>
        <v>1551685942333116</v>
      </c>
      <c r="C6070" t="s">
        <v>40</v>
      </c>
      <c r="D6070">
        <v>5.0270869999999999</v>
      </c>
      <c r="E6070">
        <v>0.54881769999999996</v>
      </c>
      <c r="F6070" t="s">
        <v>42</v>
      </c>
      <c r="G6070">
        <v>-282.23230000000001</v>
      </c>
      <c r="H6070">
        <v>-0.05</v>
      </c>
      <c r="I6070">
        <v>11.50136</v>
      </c>
      <c r="J6070">
        <v>-325.26740000000001</v>
      </c>
      <c r="K6070">
        <v>1.1096159999999999</v>
      </c>
      <c r="L6070">
        <v>16.857389999999999</v>
      </c>
      <c r="M6070">
        <v>0.99957490000000004</v>
      </c>
      <c r="N6070">
        <v>-1.363315E-2</v>
      </c>
      <c r="O6070">
        <v>-2.5773379999999999E-2</v>
      </c>
      <c r="P6070">
        <v>0.9839445</v>
      </c>
      <c r="Q6070">
        <v>0.17690449999999999</v>
      </c>
      <c r="R6070">
        <v>-2.3628360000000001E-2</v>
      </c>
      <c r="S6070">
        <v>3.0550839999999999</v>
      </c>
      <c r="T6070">
        <v>-8.2111840000000005E-2</v>
      </c>
      <c r="U6070">
        <v>-0.37951659999999998</v>
      </c>
      <c r="V6070">
        <v>-1.241289E-3</v>
      </c>
      <c r="W6070">
        <v>0.19031020000000001</v>
      </c>
      <c r="X6070">
        <v>0.98172320000000002</v>
      </c>
      <c r="Y6070">
        <v>9.7606600000000002E-2</v>
      </c>
      <c r="Z6070">
        <v>-1.6351130000000001E-3</v>
      </c>
      <c r="AA6070">
        <v>0.99522379999999999</v>
      </c>
      <c r="AB6070">
        <v>22</v>
      </c>
      <c r="AC6070">
        <v>43.0351</v>
      </c>
      <c r="AD6070">
        <v>-1.159616</v>
      </c>
      <c r="AE6070">
        <v>-5.3560299999999899</v>
      </c>
      <c r="AF6070">
        <v>4.2419544360544501</v>
      </c>
      <c r="AG6070">
        <v>-1.159616</v>
      </c>
      <c r="AH6070">
        <v>43.128020764471501</v>
      </c>
      <c r="AI6070">
        <v>91.532791421231195</v>
      </c>
      <c r="AJ6070">
        <v>84.382611469654293</v>
      </c>
      <c r="AK6070">
        <v>43.3516442798391</v>
      </c>
      <c r="AL6070">
        <v>79.029112082494905</v>
      </c>
      <c r="AM6070">
        <v>90.072444639136293</v>
      </c>
      <c r="AN6070">
        <v>0.99999997722032996</v>
      </c>
    </row>
    <row r="6071" spans="1:40" x14ac:dyDescent="0.25">
      <c r="A6071" t="str">
        <f>"20190304155222348"</f>
        <v>20190304155222348</v>
      </c>
      <c r="B6071" t="str">
        <f>"1551685942342876"</f>
        <v>1551685942342876</v>
      </c>
      <c r="C6071" t="s">
        <v>40</v>
      </c>
      <c r="D6071">
        <v>4.7942809999999998</v>
      </c>
      <c r="E6071">
        <v>0.54881769999999996</v>
      </c>
      <c r="F6071" t="s">
        <v>42</v>
      </c>
      <c r="G6071">
        <v>-303.7056</v>
      </c>
      <c r="H6071">
        <v>-0.05</v>
      </c>
      <c r="I6071">
        <v>13.456189999999999</v>
      </c>
      <c r="J6071">
        <v>-325.15660000000003</v>
      </c>
      <c r="K6071">
        <v>1.1095889999999999</v>
      </c>
      <c r="L6071">
        <v>16.853549999999998</v>
      </c>
      <c r="M6071">
        <v>0.99955090000000002</v>
      </c>
      <c r="N6071">
        <v>-1.363296E-2</v>
      </c>
      <c r="O6071">
        <v>-2.6692440000000001E-2</v>
      </c>
      <c r="P6071">
        <v>0.98387690000000005</v>
      </c>
      <c r="Q6071">
        <v>0.1771539</v>
      </c>
      <c r="R6071">
        <v>-2.4557789999999999E-2</v>
      </c>
      <c r="S6071">
        <v>3.0670169999999999</v>
      </c>
      <c r="T6071">
        <v>-0.16494719999999999</v>
      </c>
      <c r="U6071">
        <v>-0.48379519999999998</v>
      </c>
      <c r="V6071">
        <v>-1.2037790000000001E-3</v>
      </c>
      <c r="W6071">
        <v>0.1905587</v>
      </c>
      <c r="X6071">
        <v>0.98167499999999996</v>
      </c>
      <c r="Y6071">
        <v>0.12918209999999999</v>
      </c>
      <c r="Z6071">
        <v>-3.2736480000000001E-3</v>
      </c>
      <c r="AA6071">
        <v>0.99161549999999998</v>
      </c>
      <c r="AB6071">
        <v>22</v>
      </c>
      <c r="AC6071">
        <v>21.451000000000001</v>
      </c>
      <c r="AD6071">
        <v>-1.159589</v>
      </c>
      <c r="AE6071">
        <v>-3.3973599999999902</v>
      </c>
      <c r="AF6071">
        <v>2.8154904636276199</v>
      </c>
      <c r="AG6071">
        <v>-1.159589</v>
      </c>
      <c r="AH6071">
        <v>21.472834749539601</v>
      </c>
      <c r="AI6071">
        <v>93.064935360867906</v>
      </c>
      <c r="AJ6071">
        <v>82.530064604663494</v>
      </c>
      <c r="AK6071">
        <v>21.687652371354901</v>
      </c>
      <c r="AL6071">
        <v>79.014608213451595</v>
      </c>
      <c r="AM6071">
        <v>90.0702589162359</v>
      </c>
      <c r="AN6071">
        <v>0.99999993642728302</v>
      </c>
    </row>
    <row r="6072" spans="1:40" x14ac:dyDescent="0.25">
      <c r="A6072" t="str">
        <f>"20190304155222359"</f>
        <v>20190304155222359</v>
      </c>
      <c r="B6072" t="str">
        <f>"1551685942352638"</f>
        <v>1551685942352638</v>
      </c>
      <c r="C6072" t="s">
        <v>40</v>
      </c>
      <c r="D6072">
        <v>4.7609949999999897</v>
      </c>
      <c r="E6072">
        <v>0.53510630000000003</v>
      </c>
      <c r="F6072" t="s">
        <v>42</v>
      </c>
      <c r="G6072">
        <v>-303.48099999999999</v>
      </c>
      <c r="H6072">
        <v>-0.05</v>
      </c>
      <c r="I6072">
        <v>13.41164</v>
      </c>
      <c r="J6072">
        <v>-325.0412</v>
      </c>
      <c r="K6072">
        <v>1.109564</v>
      </c>
      <c r="L6072">
        <v>16.849329999999998</v>
      </c>
      <c r="M6072">
        <v>0.99952379999999996</v>
      </c>
      <c r="N6072">
        <v>-1.363296E-2</v>
      </c>
      <c r="O6072">
        <v>-2.7688049999999999E-2</v>
      </c>
      <c r="P6072">
        <v>0.98385020000000001</v>
      </c>
      <c r="Q6072">
        <v>0.1771414</v>
      </c>
      <c r="R6072">
        <v>-2.56873E-2</v>
      </c>
      <c r="S6072">
        <v>3.0665279999999999</v>
      </c>
      <c r="T6072">
        <v>-0.16405120000000001</v>
      </c>
      <c r="U6072">
        <v>-0.4869385</v>
      </c>
      <c r="V6072">
        <v>-1.0427559999999999E-3</v>
      </c>
      <c r="W6072">
        <v>0.1905461</v>
      </c>
      <c r="X6072">
        <v>0.98167769999999999</v>
      </c>
      <c r="Y6072">
        <v>0.12921289999999999</v>
      </c>
      <c r="Z6072">
        <v>-3.22457E-3</v>
      </c>
      <c r="AA6072">
        <v>0.99161169999999998</v>
      </c>
      <c r="AB6072">
        <v>21</v>
      </c>
      <c r="AC6072">
        <v>21.560199999999998</v>
      </c>
      <c r="AD6072">
        <v>-1.159564</v>
      </c>
      <c r="AE6072">
        <v>-3.4376899999999901</v>
      </c>
      <c r="AF6072">
        <v>2.8313696192353301</v>
      </c>
      <c r="AG6072">
        <v>-1.159564</v>
      </c>
      <c r="AH6072">
        <v>21.586232680546701</v>
      </c>
      <c r="AI6072">
        <v>93.048780964075505</v>
      </c>
      <c r="AJ6072">
        <v>82.527427639825802</v>
      </c>
      <c r="AK6072">
        <v>21.8019880728692</v>
      </c>
      <c r="AL6072">
        <v>79.015344379029102</v>
      </c>
      <c r="AM6072">
        <v>90.060860601591997</v>
      </c>
      <c r="AN6072">
        <v>1.0000000051212801</v>
      </c>
    </row>
    <row r="6073" spans="1:40" x14ac:dyDescent="0.25">
      <c r="A6073" t="str">
        <f>"20190304155222371"</f>
        <v>20190304155222371</v>
      </c>
      <c r="B6073" t="str">
        <f>"1551685942363373"</f>
        <v>1551685942363373</v>
      </c>
      <c r="C6073" t="s">
        <v>40</v>
      </c>
      <c r="D6073">
        <v>4.7710999999999997</v>
      </c>
      <c r="E6073">
        <v>0.53449169999999901</v>
      </c>
      <c r="F6073" t="s">
        <v>42</v>
      </c>
      <c r="G6073">
        <v>-277.51639999999998</v>
      </c>
      <c r="H6073">
        <v>-0.05</v>
      </c>
      <c r="I6073">
        <v>10.967650000000001</v>
      </c>
      <c r="J6073">
        <v>-324.93900000000002</v>
      </c>
      <c r="K6073">
        <v>1.109542</v>
      </c>
      <c r="L6073">
        <v>16.845549999999999</v>
      </c>
      <c r="M6073">
        <v>0.99949849999999996</v>
      </c>
      <c r="N6073">
        <v>-1.363296E-2</v>
      </c>
      <c r="O6073">
        <v>-2.8578800000000001E-2</v>
      </c>
      <c r="P6073">
        <v>0.98384380000000005</v>
      </c>
      <c r="Q6073">
        <v>0.1770418</v>
      </c>
      <c r="R6073">
        <v>-2.660626E-2</v>
      </c>
      <c r="S6073">
        <v>3.0527340000000001</v>
      </c>
      <c r="T6073">
        <v>-7.4484110000000006E-2</v>
      </c>
      <c r="U6073">
        <v>-0.37780760000000002</v>
      </c>
      <c r="V6073">
        <v>-9.9175260000000003E-4</v>
      </c>
      <c r="W6073">
        <v>0.1904468</v>
      </c>
      <c r="X6073">
        <v>0.98169700000000004</v>
      </c>
      <c r="Y6073">
        <v>9.4366439999999996E-2</v>
      </c>
      <c r="Z6073">
        <v>-1.486724E-3</v>
      </c>
      <c r="AA6073">
        <v>0.99553639999999999</v>
      </c>
      <c r="AB6073">
        <v>21</v>
      </c>
      <c r="AC6073">
        <v>47.422600000000003</v>
      </c>
      <c r="AD6073">
        <v>-1.1595420000000001</v>
      </c>
      <c r="AE6073">
        <v>-5.8778999999999897</v>
      </c>
      <c r="AF6073">
        <v>4.51743167760461</v>
      </c>
      <c r="AG6073">
        <v>-1.1595420000000001</v>
      </c>
      <c r="AH6073">
        <v>47.543230938889501</v>
      </c>
      <c r="AI6073">
        <v>91.390860049428497</v>
      </c>
      <c r="AJ6073">
        <v>84.572202475809206</v>
      </c>
      <c r="AK6073">
        <v>47.771440576145203</v>
      </c>
      <c r="AL6073">
        <v>79.021139739358205</v>
      </c>
      <c r="AM6073">
        <v>90.057882645021806</v>
      </c>
      <c r="AN6073">
        <v>0.99999998350622898</v>
      </c>
    </row>
    <row r="6074" spans="1:40" x14ac:dyDescent="0.25">
      <c r="A6074" t="str">
        <f>"20190304155222382"</f>
        <v>20190304155222382</v>
      </c>
      <c r="B6074" t="str">
        <f>"1551685942373133"</f>
        <v>1551685942373133</v>
      </c>
      <c r="C6074" t="s">
        <v>40</v>
      </c>
      <c r="D6074">
        <v>4.7479120000000004</v>
      </c>
      <c r="E6074">
        <v>0.53449550000000001</v>
      </c>
      <c r="F6074" t="s">
        <v>42</v>
      </c>
      <c r="G6074">
        <v>-276.81709999999998</v>
      </c>
      <c r="H6074">
        <v>-0.05</v>
      </c>
      <c r="I6074">
        <v>10.922330000000001</v>
      </c>
      <c r="J6074">
        <v>-324.81819999999999</v>
      </c>
      <c r="K6074">
        <v>1.1095159999999999</v>
      </c>
      <c r="L6074">
        <v>16.840879999999999</v>
      </c>
      <c r="M6074">
        <v>0.99946729999999995</v>
      </c>
      <c r="N6074">
        <v>-1.3633060000000001E-2</v>
      </c>
      <c r="O6074">
        <v>-2.965771E-2</v>
      </c>
      <c r="P6074">
        <v>0.98382539999999996</v>
      </c>
      <c r="Q6074">
        <v>0.17697379999999999</v>
      </c>
      <c r="R6074">
        <v>-2.7714900000000001E-2</v>
      </c>
      <c r="S6074">
        <v>3.0523069999999999</v>
      </c>
      <c r="T6074">
        <v>-7.3548199999999994E-2</v>
      </c>
      <c r="U6074">
        <v>-0.37570189999999998</v>
      </c>
      <c r="V6074">
        <v>-9.3512450000000002E-4</v>
      </c>
      <c r="W6074">
        <v>0.19037850000000001</v>
      </c>
      <c r="X6074">
        <v>0.98171030000000004</v>
      </c>
      <c r="Y6074">
        <v>9.2633750000000001E-2</v>
      </c>
      <c r="Z6074">
        <v>-1.43726799999999E-3</v>
      </c>
      <c r="AA6074">
        <v>0.99569920000000001</v>
      </c>
      <c r="AB6074">
        <v>21</v>
      </c>
      <c r="AC6074">
        <v>48.001100000000001</v>
      </c>
      <c r="AD6074">
        <v>-1.159516</v>
      </c>
      <c r="AE6074">
        <v>-5.91854999999999</v>
      </c>
      <c r="AF6074">
        <v>4.4896307091112897</v>
      </c>
      <c r="AG6074">
        <v>-1.159516</v>
      </c>
      <c r="AH6074">
        <v>48.127865247091997</v>
      </c>
      <c r="AI6074">
        <v>91.374162262776494</v>
      </c>
      <c r="AJ6074">
        <v>84.670559602833194</v>
      </c>
      <c r="AK6074">
        <v>48.3507256874258</v>
      </c>
      <c r="AL6074">
        <v>79.025125938468705</v>
      </c>
      <c r="AM6074">
        <v>90.054576865460703</v>
      </c>
      <c r="AN6074">
        <v>0.99999998042308502</v>
      </c>
    </row>
    <row r="6075" spans="1:40" x14ac:dyDescent="0.25">
      <c r="A6075" t="str">
        <f>"20190304155222397"</f>
        <v>20190304155222397</v>
      </c>
      <c r="B6075" t="str">
        <f>"1551685942392653"</f>
        <v>1551685942392653</v>
      </c>
      <c r="C6075" t="s">
        <v>40</v>
      </c>
      <c r="D6075">
        <v>4.7326629999999996</v>
      </c>
      <c r="E6075">
        <v>0.53340379999999998</v>
      </c>
      <c r="F6075" t="s">
        <v>42</v>
      </c>
      <c r="G6075">
        <v>-278.25580000000002</v>
      </c>
      <c r="H6075">
        <v>-0.05</v>
      </c>
      <c r="I6075">
        <v>11.055619999999999</v>
      </c>
      <c r="J6075">
        <v>-324.68950000000001</v>
      </c>
      <c r="K6075">
        <v>1.1094930000000001</v>
      </c>
      <c r="L6075">
        <v>16.835719999999998</v>
      </c>
      <c r="M6075">
        <v>0.99943170000000003</v>
      </c>
      <c r="N6075">
        <v>-1.3632999999999999E-2</v>
      </c>
      <c r="O6075">
        <v>-3.0831859999999999E-2</v>
      </c>
      <c r="P6075">
        <v>0.98386439999999997</v>
      </c>
      <c r="Q6075">
        <v>0.1765495</v>
      </c>
      <c r="R6075">
        <v>-2.9004430000000001E-2</v>
      </c>
      <c r="S6075">
        <v>3.0523069999999999</v>
      </c>
      <c r="T6075">
        <v>-7.6009750000000001E-2</v>
      </c>
      <c r="U6075">
        <v>-0.37924190000000002</v>
      </c>
      <c r="V6075">
        <v>-7.9381979999999905E-4</v>
      </c>
      <c r="W6075">
        <v>0.18995529999999999</v>
      </c>
      <c r="X6075">
        <v>0.98179240000000001</v>
      </c>
      <c r="Y6075">
        <v>9.2599470000000003E-2</v>
      </c>
      <c r="Z6075">
        <v>-1.4368720000000001E-3</v>
      </c>
      <c r="AA6075">
        <v>0.99570239999999999</v>
      </c>
      <c r="AB6075">
        <v>21</v>
      </c>
      <c r="AC6075">
        <v>46.433699999999902</v>
      </c>
      <c r="AD6075">
        <v>-1.1594930000000001</v>
      </c>
      <c r="AE6075">
        <v>-5.7801</v>
      </c>
      <c r="AF6075">
        <v>4.3429145869446204</v>
      </c>
      <c r="AG6075">
        <v>-1.1594930000000001</v>
      </c>
      <c r="AH6075">
        <v>46.561258263629803</v>
      </c>
      <c r="AI6075">
        <v>91.420352354023706</v>
      </c>
      <c r="AJ6075">
        <v>84.671260389541203</v>
      </c>
      <c r="AK6075">
        <v>46.777730836574101</v>
      </c>
      <c r="AL6075">
        <v>79.049824223777605</v>
      </c>
      <c r="AM6075">
        <v>90.046325999592796</v>
      </c>
      <c r="AN6075">
        <v>0.99999998142286195</v>
      </c>
    </row>
    <row r="6076" spans="1:40" x14ac:dyDescent="0.25">
      <c r="A6076" t="str">
        <f>"20190304155222415"</f>
        <v>20190304155222415</v>
      </c>
      <c r="B6076" t="str">
        <f>"1551685942403389"</f>
        <v>1551685942403389</v>
      </c>
      <c r="C6076" t="s">
        <v>40</v>
      </c>
      <c r="D6076">
        <v>4.8800439999999998</v>
      </c>
      <c r="E6076">
        <v>0.53340379999999998</v>
      </c>
      <c r="F6076" t="s">
        <v>42</v>
      </c>
      <c r="G6076">
        <v>-285.26690000000002</v>
      </c>
      <c r="H6076">
        <v>-0.05</v>
      </c>
      <c r="I6076">
        <v>11.994669999999999</v>
      </c>
      <c r="J6076">
        <v>-324.5154</v>
      </c>
      <c r="K6076">
        <v>1.1094619999999999</v>
      </c>
      <c r="L6076">
        <v>16.828520000000001</v>
      </c>
      <c r="M6076">
        <v>0.9993803</v>
      </c>
      <c r="N6076">
        <v>-1.363282E-2</v>
      </c>
      <c r="O6076">
        <v>-3.2455890000000001E-2</v>
      </c>
      <c r="P6076">
        <v>0.98385489999999998</v>
      </c>
      <c r="Q6076">
        <v>0.1763287</v>
      </c>
      <c r="R6076">
        <v>-3.0625759999999998E-2</v>
      </c>
      <c r="S6076">
        <v>3.0542600000000002</v>
      </c>
      <c r="T6076">
        <v>-8.9831590000000003E-2</v>
      </c>
      <c r="U6076">
        <v>-0.37506099999999998</v>
      </c>
      <c r="V6076">
        <v>-7.5967739999999997E-4</v>
      </c>
      <c r="W6076">
        <v>0.1897344</v>
      </c>
      <c r="X6076">
        <v>0.98183520000000002</v>
      </c>
      <c r="Y6076">
        <v>8.9550569999999996E-2</v>
      </c>
      <c r="Z6076">
        <v>-1.4154770000000001E-3</v>
      </c>
      <c r="AA6076">
        <v>0.99598129999999996</v>
      </c>
      <c r="AB6076">
        <v>21</v>
      </c>
      <c r="AC6076">
        <v>39.2484999999999</v>
      </c>
      <c r="AD6076">
        <v>-1.159462</v>
      </c>
      <c r="AE6076">
        <v>-4.83385</v>
      </c>
      <c r="AF6076">
        <v>3.5542841657162798</v>
      </c>
      <c r="AG6076">
        <v>-1.159462</v>
      </c>
      <c r="AH6076">
        <v>39.350891743227002</v>
      </c>
      <c r="AI6076">
        <v>91.680875744759703</v>
      </c>
      <c r="AJ6076">
        <v>84.838887419128397</v>
      </c>
      <c r="AK6076">
        <v>39.528090885435802</v>
      </c>
      <c r="AL6076">
        <v>79.0627159439086</v>
      </c>
      <c r="AM6076">
        <v>90.044331574306597</v>
      </c>
      <c r="AN6076">
        <v>1.00000003980607</v>
      </c>
    </row>
    <row r="6077" spans="1:40" x14ac:dyDescent="0.25">
      <c r="A6077" t="str">
        <f>"20190304155222871"</f>
        <v>20190304155222871</v>
      </c>
      <c r="B6077" t="str">
        <f>"1551685942863085"</f>
        <v>1551685942863085</v>
      </c>
      <c r="C6077" t="s">
        <v>40</v>
      </c>
      <c r="D6077">
        <v>3.8612389999999999</v>
      </c>
      <c r="E6077">
        <v>0.58174130000000002</v>
      </c>
      <c r="F6077" t="s">
        <v>42</v>
      </c>
      <c r="G6077">
        <v>-285.33150000000001</v>
      </c>
      <c r="H6077">
        <v>-0.05</v>
      </c>
      <c r="I6077">
        <v>11.946009999999999</v>
      </c>
      <c r="J6077">
        <v>-320.19049999999999</v>
      </c>
      <c r="K6077">
        <v>1.1059110000000001</v>
      </c>
      <c r="L6077">
        <v>16.536650000000002</v>
      </c>
      <c r="M6077">
        <v>0.99655009999999999</v>
      </c>
      <c r="N6077">
        <v>-1.5008509999999999E-2</v>
      </c>
      <c r="O6077">
        <v>-8.1625039999999996E-2</v>
      </c>
      <c r="P6077">
        <v>0.97893050000000004</v>
      </c>
      <c r="Q6077">
        <v>0.17127609999999999</v>
      </c>
      <c r="R6077">
        <v>-0.111174</v>
      </c>
      <c r="S6077">
        <v>3.0535890000000001</v>
      </c>
      <c r="T6077">
        <v>-9.0356590000000001E-2</v>
      </c>
      <c r="U6077">
        <v>-0.38049319999999998</v>
      </c>
      <c r="V6077">
        <v>3.2088869999999999E-2</v>
      </c>
      <c r="W6077">
        <v>0.18583350000000001</v>
      </c>
      <c r="X6077">
        <v>0.98205719999999996</v>
      </c>
      <c r="Y6077">
        <v>4.2209490000000002E-2</v>
      </c>
      <c r="Z6077">
        <v>2.375163E-4</v>
      </c>
      <c r="AA6077">
        <v>0.99910869999999996</v>
      </c>
      <c r="AB6077">
        <v>21</v>
      </c>
      <c r="AC6077">
        <v>34.858999999999902</v>
      </c>
      <c r="AD6077">
        <v>-1.1559109999999999</v>
      </c>
      <c r="AE6077">
        <v>-4.5906399999999996</v>
      </c>
      <c r="AF6077">
        <v>1.72776289979229</v>
      </c>
      <c r="AG6077">
        <v>-1.1559109999999999</v>
      </c>
      <c r="AH6077">
        <v>35.079491980199897</v>
      </c>
      <c r="AI6077">
        <v>91.884997934909194</v>
      </c>
      <c r="AJ6077">
        <v>87.180301495732394</v>
      </c>
      <c r="AK6077">
        <v>35.141030896471001</v>
      </c>
      <c r="AL6077">
        <v>79.290269566184605</v>
      </c>
      <c r="AM6077">
        <v>88.128517444963705</v>
      </c>
      <c r="AN6077">
        <v>1.0000000646859799</v>
      </c>
    </row>
    <row r="6078" spans="1:40" x14ac:dyDescent="0.25">
      <c r="A6078" t="str">
        <f>"20190304155222972"</f>
        <v>20190304155222972</v>
      </c>
      <c r="B6078" t="str">
        <f>"1551685942962637"</f>
        <v>1551685942962637</v>
      </c>
      <c r="C6078" t="s">
        <v>40</v>
      </c>
      <c r="D6078">
        <v>4.1000620000000003</v>
      </c>
      <c r="E6078">
        <v>0.58855880000000005</v>
      </c>
      <c r="F6078" t="s">
        <v>96</v>
      </c>
      <c r="G6078">
        <v>-279.02</v>
      </c>
      <c r="H6078">
        <v>0.64184180000000002</v>
      </c>
      <c r="I6078">
        <v>2.4640330000000001</v>
      </c>
      <c r="J6078">
        <v>-319.25599999999997</v>
      </c>
      <c r="K6078">
        <v>1.0995440000000001</v>
      </c>
      <c r="L6078">
        <v>16.43713</v>
      </c>
      <c r="M6078">
        <v>0.99500379999999999</v>
      </c>
      <c r="N6078">
        <v>-2.2248400000000002E-2</v>
      </c>
      <c r="O6078">
        <v>-9.7327170000000005E-2</v>
      </c>
      <c r="P6078">
        <v>0.97728970000000004</v>
      </c>
      <c r="Q6078">
        <v>0.16375329999999999</v>
      </c>
      <c r="R6078">
        <v>-0.13449820000000001</v>
      </c>
      <c r="S6078">
        <v>2.9556580000000001</v>
      </c>
      <c r="T6078">
        <v>-3.3315900000000002E-2</v>
      </c>
      <c r="U6078">
        <v>-1.010284</v>
      </c>
      <c r="V6078">
        <v>4.0050910000000002E-2</v>
      </c>
      <c r="W6078">
        <v>0.1853611</v>
      </c>
      <c r="X6078">
        <v>0.981854</v>
      </c>
      <c r="Y6078">
        <v>0.22974849999999999</v>
      </c>
      <c r="Z6078">
        <v>-4.942274E-3</v>
      </c>
      <c r="AA6078">
        <v>0.97323749999999998</v>
      </c>
      <c r="AB6078">
        <v>21</v>
      </c>
      <c r="AC6078">
        <v>40.235999999999898</v>
      </c>
      <c r="AD6078">
        <v>-0.4577022</v>
      </c>
      <c r="AE6078">
        <v>-13.973096999999999</v>
      </c>
      <c r="AF6078">
        <v>9.9885472387094705</v>
      </c>
      <c r="AG6078">
        <v>-0.4577022</v>
      </c>
      <c r="AH6078">
        <v>41.4004003577869</v>
      </c>
      <c r="AI6078">
        <v>90.615741601385807</v>
      </c>
      <c r="AJ6078">
        <v>76.435650523235694</v>
      </c>
      <c r="AK6078">
        <v>42.590770326783897</v>
      </c>
      <c r="AL6078">
        <v>79.317814450183704</v>
      </c>
      <c r="AM6078">
        <v>87.664136803345997</v>
      </c>
      <c r="AN6078">
        <v>1.00000004505051</v>
      </c>
    </row>
    <row r="6079" spans="1:40" x14ac:dyDescent="0.25">
      <c r="A6079" t="str">
        <f>"20190304155223438"</f>
        <v>20190304155223438</v>
      </c>
      <c r="B6079" t="str">
        <f>"1551685943433070"</f>
        <v>1551685943433070</v>
      </c>
      <c r="C6079" t="s">
        <v>40</v>
      </c>
      <c r="D6079">
        <v>4.7918320000000003</v>
      </c>
      <c r="E6079">
        <v>0.59907159999999904</v>
      </c>
      <c r="F6079" t="s">
        <v>42</v>
      </c>
      <c r="G6079">
        <v>-272.87509999999997</v>
      </c>
      <c r="H6079">
        <v>-0.05</v>
      </c>
      <c r="I6079">
        <v>-1.566101</v>
      </c>
      <c r="J6079">
        <v>-315.04989999999998</v>
      </c>
      <c r="K6079">
        <v>1.0624880000000001</v>
      </c>
      <c r="L6079">
        <v>15.682919999999999</v>
      </c>
      <c r="M6079">
        <v>0.97765800000000003</v>
      </c>
      <c r="N6079">
        <v>-1.839785E-2</v>
      </c>
      <c r="O6079">
        <v>-0.20939579999999999</v>
      </c>
      <c r="P6079">
        <v>0.94572619999999996</v>
      </c>
      <c r="Q6079">
        <v>0.16481799999999999</v>
      </c>
      <c r="R6079">
        <v>-0.28006629999999999</v>
      </c>
      <c r="S6079">
        <v>2.9255680000000002</v>
      </c>
      <c r="T6079">
        <v>-7.2509770000000001E-2</v>
      </c>
      <c r="U6079">
        <v>-1.1355900000000001</v>
      </c>
      <c r="V6079">
        <v>7.7600119999999995E-2</v>
      </c>
      <c r="W6079">
        <v>0.18212229999999999</v>
      </c>
      <c r="X6079">
        <v>0.980209</v>
      </c>
      <c r="Y6079">
        <v>0.15851850000000001</v>
      </c>
      <c r="Z6079">
        <v>-2.2523959999999998E-3</v>
      </c>
      <c r="AA6079">
        <v>0.98735340000000005</v>
      </c>
      <c r="AB6079">
        <v>20</v>
      </c>
      <c r="AC6079">
        <v>42.174799999999998</v>
      </c>
      <c r="AD6079">
        <v>-1.1124879999999999</v>
      </c>
      <c r="AE6079">
        <v>-17.249020999999999</v>
      </c>
      <c r="AF6079">
        <v>8.0289901407925193</v>
      </c>
      <c r="AG6079">
        <v>-1.1124879999999999</v>
      </c>
      <c r="AH6079">
        <v>44.8252691032542</v>
      </c>
      <c r="AI6079">
        <v>91.399430579301097</v>
      </c>
      <c r="AJ6079">
        <v>79.845010481524398</v>
      </c>
      <c r="AK6079">
        <v>45.552245415678897</v>
      </c>
      <c r="AL6079">
        <v>79.506597724231398</v>
      </c>
      <c r="AM6079">
        <v>85.473510731241504</v>
      </c>
      <c r="AN6079">
        <v>0.99999999723115196</v>
      </c>
    </row>
    <row r="6080" spans="1:40" x14ac:dyDescent="0.25">
      <c r="A6080" t="str">
        <f>"20190304155224549"</f>
        <v>20190304155224549</v>
      </c>
      <c r="B6080" t="str">
        <f>"1551685944543295"</f>
        <v>1551685944543295</v>
      </c>
      <c r="C6080" t="s">
        <v>40</v>
      </c>
      <c r="D6080">
        <v>4.3464140000000002</v>
      </c>
      <c r="E6080">
        <v>0.59520459999999997</v>
      </c>
      <c r="F6080" t="s">
        <v>42</v>
      </c>
      <c r="G6080">
        <v>-274.04739999999998</v>
      </c>
      <c r="H6080">
        <v>-0.05</v>
      </c>
      <c r="I6080">
        <v>-9.2430420000000009</v>
      </c>
      <c r="J6080">
        <v>-306.59050000000002</v>
      </c>
      <c r="K6080">
        <v>1.0548630000000001</v>
      </c>
      <c r="L6080">
        <v>11.173769999999999</v>
      </c>
      <c r="M6080">
        <v>0.76522819999999903</v>
      </c>
      <c r="N6080">
        <v>-1.458653E-2</v>
      </c>
      <c r="O6080">
        <v>-0.643594</v>
      </c>
      <c r="P6080">
        <v>0.65110049999999997</v>
      </c>
      <c r="Q6080">
        <v>0.19162999999999999</v>
      </c>
      <c r="R6080">
        <v>-0.7344022</v>
      </c>
      <c r="S6080">
        <v>2.699036</v>
      </c>
      <c r="T6080">
        <v>-7.3230740000000002E-2</v>
      </c>
      <c r="U6080">
        <v>-1.6407779999999901</v>
      </c>
      <c r="V6080">
        <v>0.14592459999999999</v>
      </c>
      <c r="W6080">
        <v>0.203679</v>
      </c>
      <c r="X6080">
        <v>0.96810169999999995</v>
      </c>
      <c r="Y6080">
        <v>-0.152383399999999</v>
      </c>
      <c r="Z6080">
        <v>7.7466189999999997E-3</v>
      </c>
      <c r="AA6080">
        <v>0.98829109999999998</v>
      </c>
      <c r="AB6080">
        <v>18</v>
      </c>
      <c r="AC6080">
        <v>32.543100000000003</v>
      </c>
      <c r="AD6080">
        <v>-1.1048629999999999</v>
      </c>
      <c r="AE6080">
        <v>-20.416812</v>
      </c>
      <c r="AF6080">
        <v>-5.3171913574448801</v>
      </c>
      <c r="AG6080">
        <v>-1.1048629999999999</v>
      </c>
      <c r="AH6080">
        <v>38.0156366128397</v>
      </c>
      <c r="AI6080">
        <v>91.648700717223306</v>
      </c>
      <c r="AJ6080">
        <v>97.962222605070707</v>
      </c>
      <c r="AK6080">
        <v>38.4015868586173</v>
      </c>
      <c r="AL6080">
        <v>78.247820262334798</v>
      </c>
      <c r="AM6080">
        <v>81.428180993802698</v>
      </c>
      <c r="AN6080">
        <v>1.0000000127345201</v>
      </c>
    </row>
    <row r="6081" spans="1:40" x14ac:dyDescent="0.25">
      <c r="A6081" t="str">
        <f>"20190304155224561"</f>
        <v>20190304155224561</v>
      </c>
      <c r="B6081" t="str">
        <f>"1551685944553054"</f>
        <v>1551685944553054</v>
      </c>
      <c r="C6081" t="s">
        <v>40</v>
      </c>
      <c r="D6081">
        <v>5.0176280000000002</v>
      </c>
      <c r="E6081">
        <v>0.59893689999999999</v>
      </c>
      <c r="F6081" t="s">
        <v>78</v>
      </c>
      <c r="G6081">
        <v>-253.97409999999999</v>
      </c>
      <c r="H6081">
        <v>1.529711</v>
      </c>
      <c r="I6081">
        <v>-91.564989999999995</v>
      </c>
      <c r="J6081">
        <v>-306.51560000000001</v>
      </c>
      <c r="K6081">
        <v>1.0548489999999999</v>
      </c>
      <c r="L6081">
        <v>11.10074</v>
      </c>
      <c r="M6081">
        <v>0.76097119999999996</v>
      </c>
      <c r="N6081">
        <v>-1.4596130000000001E-2</v>
      </c>
      <c r="O6081">
        <v>-0.64862189999999997</v>
      </c>
      <c r="P6081">
        <v>0.64597260000000001</v>
      </c>
      <c r="Q6081">
        <v>0.1921824</v>
      </c>
      <c r="R6081">
        <v>-0.73877299999999901</v>
      </c>
      <c r="S6081">
        <v>1.437592</v>
      </c>
      <c r="T6081">
        <v>1.297426E-2</v>
      </c>
      <c r="U6081">
        <v>-2.8070369999999998</v>
      </c>
      <c r="V6081">
        <v>0.14619460000000001</v>
      </c>
      <c r="W6081">
        <v>0.20422799999999999</v>
      </c>
      <c r="X6081">
        <v>0.96794530000000001</v>
      </c>
      <c r="Y6081">
        <v>0.38172420000000001</v>
      </c>
      <c r="Z6081">
        <v>-1.371912E-2</v>
      </c>
      <c r="AA6081">
        <v>0.92417450000000001</v>
      </c>
      <c r="AB6081">
        <v>18</v>
      </c>
      <c r="AC6081">
        <v>52.541499999999999</v>
      </c>
      <c r="AD6081">
        <v>0.47486200000000001</v>
      </c>
      <c r="AE6081">
        <v>-102.66573</v>
      </c>
      <c r="AF6081">
        <v>44.050029245411203</v>
      </c>
      <c r="AG6081">
        <v>0.47486200000000001</v>
      </c>
      <c r="AH6081">
        <v>106.583325552318</v>
      </c>
      <c r="AI6081">
        <v>89.764085260778202</v>
      </c>
      <c r="AJ6081">
        <v>67.545086696339993</v>
      </c>
      <c r="AK6081">
        <v>115.32838270014901</v>
      </c>
      <c r="AL6081">
        <v>78.215689601341296</v>
      </c>
      <c r="AM6081">
        <v>81.411190188388602</v>
      </c>
      <c r="AN6081">
        <v>1.00000002042262</v>
      </c>
    </row>
    <row r="6082" spans="1:40" x14ac:dyDescent="0.25">
      <c r="A6082" t="str">
        <f>"20190304155225171"</f>
        <v>20190304155225171</v>
      </c>
      <c r="B6082" t="str">
        <f>"1551685945162702"</f>
        <v>1551685945162702</v>
      </c>
      <c r="C6082" t="s">
        <v>40</v>
      </c>
      <c r="D6082">
        <v>5.2148849999999998</v>
      </c>
      <c r="E6082">
        <v>0.60767360000000004</v>
      </c>
      <c r="F6082" t="s">
        <v>78</v>
      </c>
      <c r="G6082">
        <v>-255.98310000000001</v>
      </c>
      <c r="H6082">
        <v>0.87528799999999995</v>
      </c>
      <c r="I6082">
        <v>-91.564989999999995</v>
      </c>
      <c r="J6082">
        <v>-303.65030000000002</v>
      </c>
      <c r="K6082">
        <v>1.0543499999999999</v>
      </c>
      <c r="L6082">
        <v>7.0411989999999998</v>
      </c>
      <c r="M6082">
        <v>0.48742560000000001</v>
      </c>
      <c r="N6082">
        <v>-1.506416E-2</v>
      </c>
      <c r="O6082">
        <v>-0.87303500000000001</v>
      </c>
      <c r="P6082">
        <v>0.33300099999999999</v>
      </c>
      <c r="Q6082">
        <v>0.19343930000000001</v>
      </c>
      <c r="R6082">
        <v>-0.92287169999999996</v>
      </c>
      <c r="S6082">
        <v>1.397797</v>
      </c>
      <c r="T6082">
        <v>-4.9664970000000003E-3</v>
      </c>
      <c r="U6082">
        <v>-2.839874</v>
      </c>
      <c r="V6082">
        <v>0.16242119999999999</v>
      </c>
      <c r="W6082">
        <v>0.20544000000000001</v>
      </c>
      <c r="X6082">
        <v>0.96509780000000001</v>
      </c>
      <c r="Y6082">
        <v>5.1817630000000003E-2</v>
      </c>
      <c r="Z6082">
        <v>-1.199326E-2</v>
      </c>
      <c r="AA6082">
        <v>0.99858460000000004</v>
      </c>
      <c r="AB6082">
        <v>17</v>
      </c>
      <c r="AC6082">
        <v>47.667200000000001</v>
      </c>
      <c r="AD6082">
        <v>-0.179061999999999</v>
      </c>
      <c r="AE6082">
        <v>-98.606189000000001</v>
      </c>
      <c r="AF6082">
        <v>6.44875895923622</v>
      </c>
      <c r="AG6082">
        <v>-0.179061999999999</v>
      </c>
      <c r="AH6082">
        <v>109.332940355076</v>
      </c>
      <c r="AI6082">
        <v>90.093674311881401</v>
      </c>
      <c r="AJ6082">
        <v>86.624447442788806</v>
      </c>
      <c r="AK6082">
        <v>109.523104420943</v>
      </c>
      <c r="AL6082">
        <v>78.144742583470503</v>
      </c>
      <c r="AM6082">
        <v>80.4469229380407</v>
      </c>
      <c r="AN6082">
        <v>1.00000000168714</v>
      </c>
    </row>
    <row r="6083" spans="1:40" x14ac:dyDescent="0.25">
      <c r="A6083" t="str">
        <f>"20190304155225192"</f>
        <v>20190304155225192</v>
      </c>
      <c r="B6083" t="str">
        <f>"1551685945183199"</f>
        <v>1551685945183199</v>
      </c>
      <c r="C6083" t="s">
        <v>40</v>
      </c>
      <c r="D6083">
        <v>5.2666089999999999</v>
      </c>
      <c r="E6083">
        <v>0.61072550000000003</v>
      </c>
      <c r="F6083" t="s">
        <v>101</v>
      </c>
      <c r="G6083">
        <v>-297.46629999999999</v>
      </c>
      <c r="H6083">
        <v>1.0854299999999999</v>
      </c>
      <c r="I6083">
        <v>-91.564989999999995</v>
      </c>
      <c r="J6083">
        <v>-303.57690000000002</v>
      </c>
      <c r="K6083">
        <v>1.0543929999999999</v>
      </c>
      <c r="L6083">
        <v>6.8753659999999996</v>
      </c>
      <c r="M6083">
        <v>0.4752171</v>
      </c>
      <c r="N6083">
        <v>-1.506389E-2</v>
      </c>
      <c r="O6083">
        <v>-0.87973969999999901</v>
      </c>
      <c r="P6083">
        <v>0.32033499999999998</v>
      </c>
      <c r="Q6083">
        <v>0.19391140000000001</v>
      </c>
      <c r="R6083">
        <v>-0.92724569999999995</v>
      </c>
      <c r="S6083">
        <v>0.19934080000000001</v>
      </c>
      <c r="T6083">
        <v>1.002312E-3</v>
      </c>
      <c r="U6083">
        <v>-3.1785890000000001</v>
      </c>
      <c r="V6083">
        <v>0.16213269999999999</v>
      </c>
      <c r="W6083">
        <v>0.20592949999999999</v>
      </c>
      <c r="X6083">
        <v>0.96504199999999996</v>
      </c>
      <c r="Y6083">
        <v>0.41923060000000001</v>
      </c>
      <c r="Z6083">
        <v>-1.507117E-2</v>
      </c>
      <c r="AA6083">
        <v>0.90775470000000003</v>
      </c>
      <c r="AB6083">
        <v>17</v>
      </c>
      <c r="AC6083">
        <v>6.11060000000003</v>
      </c>
      <c r="AD6083">
        <v>3.10369999999997E-2</v>
      </c>
      <c r="AE6083">
        <v>-98.440355999999994</v>
      </c>
      <c r="AF6083">
        <v>41.409494433010202</v>
      </c>
      <c r="AG6083">
        <v>3.10369999999997E-2</v>
      </c>
      <c r="AH6083">
        <v>89.515892253715293</v>
      </c>
      <c r="AI6083">
        <v>89.981970066779397</v>
      </c>
      <c r="AJ6083">
        <v>65.175032734592193</v>
      </c>
      <c r="AK6083">
        <v>98.629823879350198</v>
      </c>
      <c r="AL6083">
        <v>78.116083699177693</v>
      </c>
      <c r="AM6083">
        <v>80.463038348361295</v>
      </c>
      <c r="AN6083">
        <v>1.00000001657176</v>
      </c>
    </row>
    <row r="6084" spans="1:40" x14ac:dyDescent="0.25">
      <c r="A6084" t="str">
        <f>"20190304155225215"</f>
        <v>20190304155225215</v>
      </c>
      <c r="B6084" t="str">
        <f>"1551685945213455"</f>
        <v>1551685945213455</v>
      </c>
      <c r="C6084" t="s">
        <v>40</v>
      </c>
      <c r="D6084">
        <v>5.1065139999999998</v>
      </c>
      <c r="E6084">
        <v>0.61333669999999996</v>
      </c>
      <c r="F6084" t="s">
        <v>101</v>
      </c>
      <c r="G6084">
        <v>-299.51979999999998</v>
      </c>
      <c r="H6084">
        <v>1.117281</v>
      </c>
      <c r="I6084">
        <v>-90.976820000000004</v>
      </c>
      <c r="J6084">
        <v>-303.5077</v>
      </c>
      <c r="K6084">
        <v>1.05443</v>
      </c>
      <c r="L6084">
        <v>6.71286</v>
      </c>
      <c r="M6084">
        <v>0.46323809999999899</v>
      </c>
      <c r="N6084">
        <v>-1.506126E-2</v>
      </c>
      <c r="O6084">
        <v>-0.8861059</v>
      </c>
      <c r="P6084">
        <v>0.30910589999999999</v>
      </c>
      <c r="Q6084">
        <v>0.19402649999999999</v>
      </c>
      <c r="R6084">
        <v>-0.93102490000000004</v>
      </c>
      <c r="S6084">
        <v>0.13223270000000001</v>
      </c>
      <c r="T6084">
        <v>2.050161E-3</v>
      </c>
      <c r="U6084">
        <v>-3.1893009999999999</v>
      </c>
      <c r="V6084">
        <v>0.16067010000000001</v>
      </c>
      <c r="W6084">
        <v>0.2060826</v>
      </c>
      <c r="X6084">
        <v>0.9652539</v>
      </c>
      <c r="Y6084">
        <v>0.42614039999999997</v>
      </c>
      <c r="Z6084">
        <v>-1.5411279999999999E-2</v>
      </c>
      <c r="AA6084">
        <v>0.90452580000000005</v>
      </c>
      <c r="AB6084">
        <v>17</v>
      </c>
      <c r="AC6084">
        <v>3.9879000000000202</v>
      </c>
      <c r="AD6084">
        <v>6.2850999999999893E-2</v>
      </c>
      <c r="AE6084">
        <v>-97.689679999999996</v>
      </c>
      <c r="AF6084">
        <v>41.724594562167397</v>
      </c>
      <c r="AG6084">
        <v>6.2850999999999893E-2</v>
      </c>
      <c r="AH6084">
        <v>88.420739835423404</v>
      </c>
      <c r="AI6084">
        <v>89.963168051546504</v>
      </c>
      <c r="AJ6084">
        <v>64.737986193266295</v>
      </c>
      <c r="AK6084">
        <v>97.771023185139498</v>
      </c>
      <c r="AL6084">
        <v>78.107119302036097</v>
      </c>
      <c r="AM6084">
        <v>80.549549530327994</v>
      </c>
      <c r="AN6084">
        <v>1.0000000052609801</v>
      </c>
    </row>
    <row r="6085" spans="1:40" x14ac:dyDescent="0.25">
      <c r="A6085" t="str">
        <f>"20190304155225237"</f>
        <v>20190304155225237</v>
      </c>
      <c r="B6085" t="str">
        <f>"1551685945232975"</f>
        <v>1551685945232975</v>
      </c>
      <c r="C6085" t="s">
        <v>40</v>
      </c>
      <c r="D6085">
        <v>5.121067</v>
      </c>
      <c r="E6085">
        <v>0.61422429999999995</v>
      </c>
      <c r="F6085" t="s">
        <v>101</v>
      </c>
      <c r="G6085">
        <v>-301.2756</v>
      </c>
      <c r="H6085">
        <v>0.72706219999999999</v>
      </c>
      <c r="I6085">
        <v>-90.976820000000004</v>
      </c>
      <c r="J6085">
        <v>-303.43920000000003</v>
      </c>
      <c r="K6085">
        <v>1.0544739999999999</v>
      </c>
      <c r="L6085">
        <v>6.5459290000000001</v>
      </c>
      <c r="M6085">
        <v>0.45091890000000001</v>
      </c>
      <c r="N6085">
        <v>-1.505657E-2</v>
      </c>
      <c r="O6085">
        <v>-0.89243799999999995</v>
      </c>
      <c r="P6085">
        <v>0.29826720000000001</v>
      </c>
      <c r="Q6085">
        <v>0.19409390000000001</v>
      </c>
      <c r="R6085">
        <v>-0.93453989999999998</v>
      </c>
      <c r="S6085">
        <v>7.3120119999999997E-2</v>
      </c>
      <c r="T6085">
        <v>-1.072383E-2</v>
      </c>
      <c r="U6085">
        <v>-3.2002259999999998</v>
      </c>
      <c r="V6085">
        <v>0.1584827</v>
      </c>
      <c r="W6085">
        <v>0.2061992</v>
      </c>
      <c r="X6085">
        <v>0.96559050000000002</v>
      </c>
      <c r="Y6085">
        <v>0.43040600000000001</v>
      </c>
      <c r="Z6085">
        <v>-1.2326770000000001E-2</v>
      </c>
      <c r="AA6085">
        <v>0.9025512</v>
      </c>
      <c r="AB6085">
        <v>17</v>
      </c>
      <c r="AC6085">
        <v>2.1636000000000299</v>
      </c>
      <c r="AD6085">
        <v>-0.32741179999999898</v>
      </c>
      <c r="AE6085">
        <v>-97.522749000000005</v>
      </c>
      <c r="AF6085">
        <v>42.048261726788802</v>
      </c>
      <c r="AG6085">
        <v>-0.32741179999999898</v>
      </c>
      <c r="AH6085">
        <v>88.017595001692001</v>
      </c>
      <c r="AI6085">
        <v>90.192312464349698</v>
      </c>
      <c r="AJ6085">
        <v>64.464997848447695</v>
      </c>
      <c r="AK6085">
        <v>97.546196966428198</v>
      </c>
      <c r="AL6085">
        <v>78.1002912513555</v>
      </c>
      <c r="AM6085">
        <v>80.679128737393398</v>
      </c>
      <c r="AN6085">
        <v>0.99999994498508804</v>
      </c>
    </row>
    <row r="6086" spans="1:40" x14ac:dyDescent="0.25">
      <c r="A6086" t="str">
        <f>"20190304155225261"</f>
        <v>20190304155225261</v>
      </c>
      <c r="B6086" t="str">
        <f>"1551685945253471"</f>
        <v>1551685945253471</v>
      </c>
      <c r="C6086" t="s">
        <v>40</v>
      </c>
      <c r="D6086">
        <v>5.0566459999999998</v>
      </c>
      <c r="E6086">
        <v>0.61439370000000004</v>
      </c>
      <c r="F6086" t="s">
        <v>101</v>
      </c>
      <c r="G6086">
        <v>-302.56939999999997</v>
      </c>
      <c r="H6086">
        <v>0.48915340000000002</v>
      </c>
      <c r="I6086">
        <v>-91.564989999999995</v>
      </c>
      <c r="J6086">
        <v>-303.37270000000001</v>
      </c>
      <c r="K6086">
        <v>1.0545180000000001</v>
      </c>
      <c r="L6086">
        <v>6.3773799999999996</v>
      </c>
      <c r="M6086">
        <v>0.43847330000000001</v>
      </c>
      <c r="N6086">
        <v>-1.505047E-2</v>
      </c>
      <c r="O6086">
        <v>-0.89861819999999903</v>
      </c>
      <c r="P6086">
        <v>0.2891089</v>
      </c>
      <c r="Q6086">
        <v>0.19440109999999999</v>
      </c>
      <c r="R6086">
        <v>-0.93734969999999995</v>
      </c>
      <c r="S6086">
        <v>2.8411869999999999E-2</v>
      </c>
      <c r="T6086">
        <v>-1.8466349999999999E-2</v>
      </c>
      <c r="U6086">
        <v>-3.204895</v>
      </c>
      <c r="V6086">
        <v>0.15445599999999901</v>
      </c>
      <c r="W6086">
        <v>0.20658650000000001</v>
      </c>
      <c r="X6086">
        <v>0.96616009999999997</v>
      </c>
      <c r="Y6086">
        <v>0.43047039999999998</v>
      </c>
      <c r="Z6086">
        <v>-1.041358E-2</v>
      </c>
      <c r="AA6086">
        <v>0.90254460000000003</v>
      </c>
      <c r="AB6086">
        <v>17</v>
      </c>
      <c r="AC6086">
        <v>0.80330000000003499</v>
      </c>
      <c r="AD6086">
        <v>-0.56536459999999999</v>
      </c>
      <c r="AE6086">
        <v>-97.942369999999997</v>
      </c>
      <c r="AF6086">
        <v>42.2266297589507</v>
      </c>
      <c r="AG6086">
        <v>-0.56536459999999999</v>
      </c>
      <c r="AH6086">
        <v>88.372086254618196</v>
      </c>
      <c r="AI6086">
        <v>90.330731587092203</v>
      </c>
      <c r="AJ6086">
        <v>64.460237415419897</v>
      </c>
      <c r="AK6086">
        <v>97.944032625393405</v>
      </c>
      <c r="AL6086">
        <v>78.0776128236148</v>
      </c>
      <c r="AM6086">
        <v>80.917217933982798</v>
      </c>
      <c r="AN6086">
        <v>0.99999998837512905</v>
      </c>
    </row>
    <row r="6087" spans="1:40" x14ac:dyDescent="0.25">
      <c r="A6087" t="str">
        <f>"20190304155225283"</f>
        <v>20190304155225283</v>
      </c>
      <c r="B6087" t="str">
        <f>"1551685945272991"</f>
        <v>1551685945272991</v>
      </c>
      <c r="C6087" t="s">
        <v>40</v>
      </c>
      <c r="D6087">
        <v>5.0933219999999997</v>
      </c>
      <c r="E6087">
        <v>0.61393889999999995</v>
      </c>
      <c r="F6087" t="s">
        <v>101</v>
      </c>
      <c r="G6087">
        <v>-303.52190000000002</v>
      </c>
      <c r="H6087">
        <v>0.34563640000000001</v>
      </c>
      <c r="I6087">
        <v>-91.564989999999995</v>
      </c>
      <c r="J6087">
        <v>-303.30849999999998</v>
      </c>
      <c r="K6087">
        <v>1.054556</v>
      </c>
      <c r="L6087">
        <v>6.2079469999999999</v>
      </c>
      <c r="M6087">
        <v>0.4259483</v>
      </c>
      <c r="N6087">
        <v>-1.5043549999999999E-2</v>
      </c>
      <c r="O6087">
        <v>-0.90462240000000005</v>
      </c>
      <c r="P6087">
        <v>0.28185329999999997</v>
      </c>
      <c r="Q6087">
        <v>0.19467690000000001</v>
      </c>
      <c r="R6087">
        <v>-0.93949970000000005</v>
      </c>
      <c r="S6087">
        <v>-4.8828129999999997E-3</v>
      </c>
      <c r="T6087">
        <v>-2.3209690000000002E-2</v>
      </c>
      <c r="U6087">
        <v>-3.2068180000000002</v>
      </c>
      <c r="V6087">
        <v>0.14844579999999999</v>
      </c>
      <c r="W6087">
        <v>0.2069751</v>
      </c>
      <c r="X6087">
        <v>0.96701870000000001</v>
      </c>
      <c r="Y6087">
        <v>0.42730020000000002</v>
      </c>
      <c r="Z6087">
        <v>-9.1929980000000008E-3</v>
      </c>
      <c r="AA6087">
        <v>0.90406299999999995</v>
      </c>
      <c r="AB6087">
        <v>17</v>
      </c>
      <c r="AC6087">
        <v>-0.21340000000003501</v>
      </c>
      <c r="AD6087">
        <v>-0.70891959999999998</v>
      </c>
      <c r="AE6087">
        <v>-97.772936999999999</v>
      </c>
      <c r="AF6087">
        <v>41.841799167805398</v>
      </c>
      <c r="AG6087">
        <v>-0.70891959999999998</v>
      </c>
      <c r="AH6087">
        <v>88.362048056989806</v>
      </c>
      <c r="AI6087">
        <v>90.415446534421903</v>
      </c>
      <c r="AJ6087">
        <v>64.661189976004295</v>
      </c>
      <c r="AK6087">
        <v>97.770600189545803</v>
      </c>
      <c r="AL6087">
        <v>78.054856067362707</v>
      </c>
      <c r="AM6087">
        <v>81.272725376839006</v>
      </c>
      <c r="AN6087">
        <v>1.0000000068536601</v>
      </c>
    </row>
    <row r="6088" spans="1:40" x14ac:dyDescent="0.25">
      <c r="A6088" t="str">
        <f>"20190304155225305"</f>
        <v>20190304155225305</v>
      </c>
      <c r="B6088" t="str">
        <f>"1551685945293487"</f>
        <v>1551685945293487</v>
      </c>
      <c r="C6088" t="s">
        <v>40</v>
      </c>
      <c r="D6088">
        <v>5.412744</v>
      </c>
      <c r="E6088">
        <v>0.61351330000000004</v>
      </c>
      <c r="F6088" t="s">
        <v>101</v>
      </c>
      <c r="G6088">
        <v>-304.1062</v>
      </c>
      <c r="H6088">
        <v>0.36316490000000001</v>
      </c>
      <c r="I6088">
        <v>-91.564989999999995</v>
      </c>
      <c r="J6088">
        <v>-303.25099999999998</v>
      </c>
      <c r="K6088">
        <v>1.054584</v>
      </c>
      <c r="L6088">
        <v>6.0497439999999996</v>
      </c>
      <c r="M6088">
        <v>0.4142478</v>
      </c>
      <c r="N6088">
        <v>-1.5036570000000001E-2</v>
      </c>
      <c r="O6088">
        <v>-0.91003999999999996</v>
      </c>
      <c r="P6088">
        <v>0.27959479999999998</v>
      </c>
      <c r="Q6088">
        <v>0.195302</v>
      </c>
      <c r="R6088">
        <v>-0.94004460000000001</v>
      </c>
      <c r="S6088">
        <v>-2.6153559999999999E-2</v>
      </c>
      <c r="T6088">
        <v>-2.2668480000000001E-2</v>
      </c>
      <c r="U6088">
        <v>-3.2057190000000002</v>
      </c>
      <c r="V6088">
        <v>0.13820170000000001</v>
      </c>
      <c r="W6088">
        <v>0.2077821</v>
      </c>
      <c r="X6088">
        <v>0.96836299999999997</v>
      </c>
      <c r="Y6088">
        <v>0.42163400000000001</v>
      </c>
      <c r="Z6088">
        <v>-9.2758010000000002E-3</v>
      </c>
      <c r="AA6088">
        <v>0.90671869999999999</v>
      </c>
      <c r="AB6088">
        <v>17</v>
      </c>
      <c r="AC6088">
        <v>-0.85520000000002405</v>
      </c>
      <c r="AD6088">
        <v>-0.69141909999999995</v>
      </c>
      <c r="AE6088">
        <v>-97.614733999999999</v>
      </c>
      <c r="AF6088">
        <v>41.217544477941097</v>
      </c>
      <c r="AG6088">
        <v>-0.69141909999999995</v>
      </c>
      <c r="AH6088">
        <v>88.484606793158306</v>
      </c>
      <c r="AI6088">
        <v>90.405832185684801</v>
      </c>
      <c r="AJ6088">
        <v>65.023143564799298</v>
      </c>
      <c r="AK6088">
        <v>97.616031841612696</v>
      </c>
      <c r="AL6088">
        <v>78.007590844445005</v>
      </c>
      <c r="AM6088">
        <v>81.877776212087497</v>
      </c>
      <c r="AN6088">
        <v>1.00000000536614</v>
      </c>
    </row>
    <row r="6089" spans="1:40" x14ac:dyDescent="0.25">
      <c r="A6089" t="str">
        <f>"20190304155225327"</f>
        <v>20190304155225327</v>
      </c>
      <c r="B6089" t="str">
        <f>"1551685945322767"</f>
        <v>1551685945322767</v>
      </c>
      <c r="C6089" t="s">
        <v>40</v>
      </c>
      <c r="D6089">
        <v>5.045261</v>
      </c>
      <c r="E6089">
        <v>0.6118846</v>
      </c>
      <c r="F6089" t="s">
        <v>101</v>
      </c>
      <c r="G6089">
        <v>-304.18</v>
      </c>
      <c r="H6089">
        <v>0.131628</v>
      </c>
      <c r="I6089">
        <v>-91.564989999999995</v>
      </c>
      <c r="J6089">
        <v>-303.19229999999999</v>
      </c>
      <c r="K6089">
        <v>1.05462099999999</v>
      </c>
      <c r="L6089">
        <v>5.8814699999999904</v>
      </c>
      <c r="M6089">
        <v>0.4017907</v>
      </c>
      <c r="N6089">
        <v>-1.5028700000000001E-2</v>
      </c>
      <c r="O6089">
        <v>-0.91560819999999998</v>
      </c>
      <c r="P6089">
        <v>0.27762710000000002</v>
      </c>
      <c r="Q6089">
        <v>0.19734640000000001</v>
      </c>
      <c r="R6089">
        <v>-0.94020090000000001</v>
      </c>
      <c r="S6089">
        <v>-3.0517579999999999E-2</v>
      </c>
      <c r="T6089">
        <v>-3.0319450000000001E-2</v>
      </c>
      <c r="U6089">
        <v>-3.2067260000000002</v>
      </c>
      <c r="V6089">
        <v>0.12681500000000001</v>
      </c>
      <c r="W6089">
        <v>0.2100205</v>
      </c>
      <c r="X6089">
        <v>0.96943769999999996</v>
      </c>
      <c r="Y6089">
        <v>0.41045419999999999</v>
      </c>
      <c r="Z6089">
        <v>-7.2173369999999999E-3</v>
      </c>
      <c r="AA6089">
        <v>0.91185260000000001</v>
      </c>
      <c r="AB6089">
        <v>17</v>
      </c>
      <c r="AC6089">
        <v>-0.98770000000001701</v>
      </c>
      <c r="AD6089">
        <v>-0.92299299999999895</v>
      </c>
      <c r="AE6089">
        <v>-97.446460000000002</v>
      </c>
      <c r="AF6089">
        <v>40.0583585331172</v>
      </c>
      <c r="AG6089">
        <v>-0.92299299999999895</v>
      </c>
      <c r="AH6089">
        <v>88.827993484799094</v>
      </c>
      <c r="AI6089">
        <v>90.542698516410795</v>
      </c>
      <c r="AJ6089">
        <v>65.726268970574694</v>
      </c>
      <c r="AK6089">
        <v>97.447095549232898</v>
      </c>
      <c r="AL6089">
        <v>77.876447070248702</v>
      </c>
      <c r="AM6089">
        <v>82.547288445838106</v>
      </c>
      <c r="AN6089">
        <v>1.0000000544132599</v>
      </c>
    </row>
    <row r="6090" spans="1:40" x14ac:dyDescent="0.25">
      <c r="A6090" t="str">
        <f>"20190304155225351"</f>
        <v>20190304155225351</v>
      </c>
      <c r="B6090" t="str">
        <f>"1551685945343263"</f>
        <v>1551685945343263</v>
      </c>
      <c r="C6090" t="s">
        <v>40</v>
      </c>
      <c r="D6090">
        <v>4.997458</v>
      </c>
      <c r="E6090">
        <v>0.61010249999999999</v>
      </c>
      <c r="F6090" t="s">
        <v>42</v>
      </c>
      <c r="G6090">
        <v>-303.92579999999998</v>
      </c>
      <c r="H6090">
        <v>-0.05</v>
      </c>
      <c r="I6090">
        <v>-92.896479999999997</v>
      </c>
      <c r="J6090">
        <v>-303.1361</v>
      </c>
      <c r="K6090">
        <v>1.054662</v>
      </c>
      <c r="L6090">
        <v>5.7123720000000002</v>
      </c>
      <c r="M6090">
        <v>0.38926440000000001</v>
      </c>
      <c r="N6090">
        <v>-1.5020149999999999E-2</v>
      </c>
      <c r="O6090">
        <v>-0.92100380000000004</v>
      </c>
      <c r="P6090">
        <v>0.27594540000000001</v>
      </c>
      <c r="Q6090">
        <v>0.20028869999999999</v>
      </c>
      <c r="R6090">
        <v>-0.94007379999999996</v>
      </c>
      <c r="S6090">
        <v>-2.3803709999999999E-2</v>
      </c>
      <c r="T6090">
        <v>-3.5845040000000002E-2</v>
      </c>
      <c r="U6090">
        <v>-3.2053530000000001</v>
      </c>
      <c r="V6090">
        <v>0.1150687</v>
      </c>
      <c r="W6090">
        <v>0.21315500000000001</v>
      </c>
      <c r="X6090">
        <v>0.97021860000000004</v>
      </c>
      <c r="Y6090">
        <v>0.3960572</v>
      </c>
      <c r="Z6090">
        <v>-5.6420319999999999E-3</v>
      </c>
      <c r="AA6090">
        <v>0.91820849999999998</v>
      </c>
      <c r="AB6090">
        <v>17</v>
      </c>
      <c r="AC6090">
        <v>-0.78969999999998197</v>
      </c>
      <c r="AD6090">
        <v>-1.104662</v>
      </c>
      <c r="AE6090">
        <v>-98.608851999999999</v>
      </c>
      <c r="AF6090">
        <v>39.111729605780198</v>
      </c>
      <c r="AG6090">
        <v>-1.104662</v>
      </c>
      <c r="AH6090">
        <v>90.510561975575399</v>
      </c>
      <c r="AI6090">
        <v>90.641886945674599</v>
      </c>
      <c r="AJ6090">
        <v>66.629698618166202</v>
      </c>
      <c r="AK6090">
        <v>98.605828935334202</v>
      </c>
      <c r="AL6090">
        <v>77.692692263579701</v>
      </c>
      <c r="AM6090">
        <v>83.236269964370294</v>
      </c>
      <c r="AN6090">
        <v>0.99999999576532494</v>
      </c>
    </row>
    <row r="6091" spans="1:40" x14ac:dyDescent="0.25">
      <c r="A6091" t="str">
        <f>"20190304155225371"</f>
        <v>20190304155225371</v>
      </c>
      <c r="B6091" t="str">
        <f>"1551685945362783"</f>
        <v>1551685945362783</v>
      </c>
      <c r="C6091" t="s">
        <v>40</v>
      </c>
      <c r="D6091">
        <v>5.1228850000000001</v>
      </c>
      <c r="E6091">
        <v>0.60797749999999995</v>
      </c>
      <c r="F6091" t="s">
        <v>52</v>
      </c>
      <c r="G6091">
        <v>-303.6671</v>
      </c>
      <c r="H6091">
        <v>-0.1</v>
      </c>
      <c r="I6091">
        <v>-105.5158</v>
      </c>
      <c r="J6091">
        <v>-303.08319999999998</v>
      </c>
      <c r="K6091">
        <v>1.0547139999999999</v>
      </c>
      <c r="L6091">
        <v>5.5458679999999996</v>
      </c>
      <c r="M6091">
        <v>0.37692510000000001</v>
      </c>
      <c r="N6091">
        <v>-1.501126E-2</v>
      </c>
      <c r="O6091">
        <v>-0.92612209999999995</v>
      </c>
      <c r="P6091">
        <v>0.27298289999999997</v>
      </c>
      <c r="Q6091">
        <v>0.20300979999999999</v>
      </c>
      <c r="R6091">
        <v>-0.9403551</v>
      </c>
      <c r="S6091">
        <v>-1.528931E-2</v>
      </c>
      <c r="T6091">
        <v>-3.324854E-2</v>
      </c>
      <c r="U6091">
        <v>-3.20282</v>
      </c>
      <c r="V6091">
        <v>0.1049317</v>
      </c>
      <c r="W6091">
        <v>0.2160379</v>
      </c>
      <c r="X6091">
        <v>0.97073010000000004</v>
      </c>
      <c r="Y6091">
        <v>0.38131009999999999</v>
      </c>
      <c r="Z6091">
        <v>-6.1862929999999998E-3</v>
      </c>
      <c r="AA6091">
        <v>0.92442650000000004</v>
      </c>
      <c r="AB6091">
        <v>17</v>
      </c>
      <c r="AC6091">
        <v>-0.58390000000002795</v>
      </c>
      <c r="AD6091">
        <v>-1.154714</v>
      </c>
      <c r="AE6091">
        <v>-111.061668</v>
      </c>
      <c r="AF6091">
        <v>42.402887439213401</v>
      </c>
      <c r="AG6091">
        <v>-1.154714</v>
      </c>
      <c r="AH6091">
        <v>102.637049248585</v>
      </c>
      <c r="AI6091">
        <v>90.595741921339098</v>
      </c>
      <c r="AJ6091">
        <v>67.552800539733596</v>
      </c>
      <c r="AK6091">
        <v>111.057201954943</v>
      </c>
      <c r="AL6091">
        <v>77.523574033610998</v>
      </c>
      <c r="AM6091">
        <v>83.830530523057703</v>
      </c>
      <c r="AN6091">
        <v>0.99999998147365399</v>
      </c>
    </row>
    <row r="6092" spans="1:40" x14ac:dyDescent="0.25">
      <c r="A6092" t="str">
        <f>"20190304155225394"</f>
        <v>20190304155225394</v>
      </c>
      <c r="B6092" t="str">
        <f>"1551685945383279"</f>
        <v>1551685945383279</v>
      </c>
      <c r="C6092" t="s">
        <v>40</v>
      </c>
      <c r="D6092">
        <v>5.1092440000000003</v>
      </c>
      <c r="E6092">
        <v>0.60575990000000002</v>
      </c>
      <c r="F6092" t="s">
        <v>101</v>
      </c>
      <c r="G6092">
        <v>-303.33890000000002</v>
      </c>
      <c r="H6092">
        <v>0.17567869999999999</v>
      </c>
      <c r="I6092">
        <v>-91.564989999999995</v>
      </c>
      <c r="J6092">
        <v>-303.03160000000003</v>
      </c>
      <c r="K6092">
        <v>1.054756</v>
      </c>
      <c r="L6092">
        <v>5.3758239999999997</v>
      </c>
      <c r="M6092">
        <v>0.36431039999999998</v>
      </c>
      <c r="N6092">
        <v>-1.5001769999999999E-2</v>
      </c>
      <c r="O6092">
        <v>-0.93115700000000001</v>
      </c>
      <c r="P6092">
        <v>0.26850970000000002</v>
      </c>
      <c r="Q6092">
        <v>0.20489679999999999</v>
      </c>
      <c r="R6092">
        <v>-0.9412334</v>
      </c>
      <c r="S6092">
        <v>-8.4228519999999998E-3</v>
      </c>
      <c r="T6092">
        <v>-2.8956289999999999E-2</v>
      </c>
      <c r="U6092">
        <v>-3.1989749999999999</v>
      </c>
      <c r="V6092">
        <v>9.6192319999999998E-2</v>
      </c>
      <c r="W6092">
        <v>0.2180627</v>
      </c>
      <c r="X6092">
        <v>0.97118260000000001</v>
      </c>
      <c r="Y6092">
        <v>0.36673440000000002</v>
      </c>
      <c r="Z6092">
        <v>-7.2068979999999998E-3</v>
      </c>
      <c r="AA6092">
        <v>0.93029779999999995</v>
      </c>
      <c r="AB6092">
        <v>17</v>
      </c>
      <c r="AC6092">
        <v>-0.30729999999999702</v>
      </c>
      <c r="AD6092">
        <v>-0.87907729999999995</v>
      </c>
      <c r="AE6092">
        <v>-96.940814000000003</v>
      </c>
      <c r="AF6092">
        <v>35.603761921293597</v>
      </c>
      <c r="AG6092">
        <v>-0.87907729999999995</v>
      </c>
      <c r="AH6092">
        <v>90.157876118195105</v>
      </c>
      <c r="AI6092">
        <v>90.519594636245699</v>
      </c>
      <c r="AJ6092">
        <v>68.450707466762395</v>
      </c>
      <c r="AK6092">
        <v>96.937316168704299</v>
      </c>
      <c r="AL6092">
        <v>77.404728172541795</v>
      </c>
      <c r="AM6092">
        <v>84.343497746703804</v>
      </c>
      <c r="AN6092">
        <v>0.99999997305051502</v>
      </c>
    </row>
    <row r="6093" spans="1:40" x14ac:dyDescent="0.25">
      <c r="A6093" t="str">
        <f>"20190304155225417"</f>
        <v>20190304155225417</v>
      </c>
      <c r="B6093" t="str">
        <f>"1551685945413535"</f>
        <v>1551685945413535</v>
      </c>
      <c r="C6093" t="s">
        <v>40</v>
      </c>
      <c r="D6093">
        <v>5.0570500000000003</v>
      </c>
      <c r="E6093">
        <v>0.60256790000000005</v>
      </c>
      <c r="F6093" t="s">
        <v>101</v>
      </c>
      <c r="G6093">
        <v>-303.22140000000002</v>
      </c>
      <c r="H6093">
        <v>0.14515349999999999</v>
      </c>
      <c r="I6093">
        <v>-91.564989999999995</v>
      </c>
      <c r="J6093">
        <v>-302.9819</v>
      </c>
      <c r="K6093">
        <v>1.0547949999999999</v>
      </c>
      <c r="L6093">
        <v>5.2034909999999996</v>
      </c>
      <c r="M6093">
        <v>0.35152359999999999</v>
      </c>
      <c r="N6093">
        <v>-1.499147E-2</v>
      </c>
      <c r="O6093">
        <v>-0.93605910000000003</v>
      </c>
      <c r="P6093">
        <v>0.26308949999999998</v>
      </c>
      <c r="Q6093">
        <v>0.2062532</v>
      </c>
      <c r="R6093">
        <v>-0.94246700000000005</v>
      </c>
      <c r="S6093">
        <v>-6.2561040000000002E-3</v>
      </c>
      <c r="T6093">
        <v>-2.9984239999999999E-2</v>
      </c>
      <c r="U6093">
        <v>-3.1956180000000001</v>
      </c>
      <c r="V6093">
        <v>8.8350120000000004E-2</v>
      </c>
      <c r="W6093">
        <v>0.21954090000000001</v>
      </c>
      <c r="X6093">
        <v>0.97159459999999997</v>
      </c>
      <c r="Y6093">
        <v>0.35332920000000001</v>
      </c>
      <c r="Z6093">
        <v>-6.8156839999999998E-3</v>
      </c>
      <c r="AA6093">
        <v>0.93547420000000003</v>
      </c>
      <c r="AB6093">
        <v>17</v>
      </c>
      <c r="AC6093">
        <v>-0.23950000000002</v>
      </c>
      <c r="AD6093">
        <v>-0.90964149999999999</v>
      </c>
      <c r="AE6093">
        <v>-96.768480999999994</v>
      </c>
      <c r="AF6093">
        <v>34.241409786671703</v>
      </c>
      <c r="AG6093">
        <v>-0.90964149999999999</v>
      </c>
      <c r="AH6093">
        <v>90.498991459146893</v>
      </c>
      <c r="AI6093">
        <v>90.538620928586496</v>
      </c>
      <c r="AJ6093">
        <v>69.275245199170598</v>
      </c>
      <c r="AK6093">
        <v>96.764503031638895</v>
      </c>
      <c r="AL6093">
        <v>77.317930828577204</v>
      </c>
      <c r="AM6093">
        <v>84.804206103245093</v>
      </c>
      <c r="AN6093">
        <v>1.0000000086129901</v>
      </c>
    </row>
    <row r="6094" spans="1:40" x14ac:dyDescent="0.25">
      <c r="A6094" t="str">
        <f>"20190304155225440"</f>
        <v>20190304155225440</v>
      </c>
      <c r="B6094" t="str">
        <f>"1551685945433055"</f>
        <v>1551685945433055</v>
      </c>
      <c r="C6094" t="s">
        <v>40</v>
      </c>
      <c r="D6094">
        <v>5.1449740000000004</v>
      </c>
      <c r="E6094">
        <v>0.60143250000000004</v>
      </c>
      <c r="F6094" t="s">
        <v>101</v>
      </c>
      <c r="G6094">
        <v>-302.98379999999997</v>
      </c>
      <c r="H6094">
        <v>0.1025624</v>
      </c>
      <c r="I6094">
        <v>-91.564989999999995</v>
      </c>
      <c r="J6094">
        <v>-302.93490000000003</v>
      </c>
      <c r="K6094">
        <v>1.0548360000000001</v>
      </c>
      <c r="L6094">
        <v>5.0319209999999996</v>
      </c>
      <c r="M6094">
        <v>0.33879759999999998</v>
      </c>
      <c r="N6094">
        <v>-1.4979920000000001E-2</v>
      </c>
      <c r="O6094">
        <v>-0.94074009999999997</v>
      </c>
      <c r="P6094">
        <v>0.25752129999999901</v>
      </c>
      <c r="Q6094">
        <v>0.2067389</v>
      </c>
      <c r="R6094">
        <v>-0.94389710000000004</v>
      </c>
      <c r="S6094" s="1">
        <v>-6.1035159999999999E-5</v>
      </c>
      <c r="T6094">
        <v>-3.1390189999999998E-2</v>
      </c>
      <c r="U6094">
        <v>-3.1900019999999998</v>
      </c>
      <c r="V6094">
        <v>8.0833940000000007E-2</v>
      </c>
      <c r="W6094">
        <v>0.2201438</v>
      </c>
      <c r="X6094">
        <v>0.97211250000000005</v>
      </c>
      <c r="Y6094">
        <v>0.33878940000000002</v>
      </c>
      <c r="Z6094">
        <v>-6.3045769999999996E-3</v>
      </c>
      <c r="AA6094">
        <v>0.94084109999999999</v>
      </c>
      <c r="AB6094">
        <v>17</v>
      </c>
      <c r="AC6094">
        <v>-4.8899999999946403E-2</v>
      </c>
      <c r="AD6094">
        <v>-0.95227359999999905</v>
      </c>
      <c r="AE6094">
        <v>-96.596910999999906</v>
      </c>
      <c r="AF6094">
        <v>32.773294026417403</v>
      </c>
      <c r="AG6094">
        <v>-0.95227359999999905</v>
      </c>
      <c r="AH6094">
        <v>90.857379551388505</v>
      </c>
      <c r="AI6094">
        <v>90.564870918313204</v>
      </c>
      <c r="AJ6094">
        <v>70.165047259287306</v>
      </c>
      <c r="AK6094">
        <v>96.592230770887298</v>
      </c>
      <c r="AL6094">
        <v>77.282521650643602</v>
      </c>
      <c r="AM6094">
        <v>85.246627194919597</v>
      </c>
      <c r="AN6094">
        <v>1.0000000655953001</v>
      </c>
    </row>
    <row r="6095" spans="1:40" x14ac:dyDescent="0.25">
      <c r="A6095" t="str">
        <f>"20190304155225464"</f>
        <v>20190304155225464</v>
      </c>
      <c r="B6095" t="str">
        <f>"1551685945453552"</f>
        <v>1551685945453552</v>
      </c>
      <c r="C6095" t="s">
        <v>40</v>
      </c>
      <c r="D6095">
        <v>5.0693089999999996</v>
      </c>
      <c r="E6095">
        <v>0.5999951</v>
      </c>
      <c r="F6095" t="s">
        <v>42</v>
      </c>
      <c r="G6095">
        <v>-303.28160000000003</v>
      </c>
      <c r="H6095">
        <v>-0.05</v>
      </c>
      <c r="I6095">
        <v>-92.653180000000006</v>
      </c>
      <c r="J6095">
        <v>-302.88889999999998</v>
      </c>
      <c r="K6095">
        <v>1.0548879999999901</v>
      </c>
      <c r="L6095">
        <v>4.8549499999999997</v>
      </c>
      <c r="M6095">
        <v>0.32568999999999998</v>
      </c>
      <c r="N6095">
        <v>-1.496575E-2</v>
      </c>
      <c r="O6095">
        <v>-0.94535820000000004</v>
      </c>
      <c r="P6095">
        <v>0.25116349999999998</v>
      </c>
      <c r="Q6095">
        <v>0.20690800000000001</v>
      </c>
      <c r="R6095">
        <v>-0.94557199999999997</v>
      </c>
      <c r="S6095">
        <v>-1.132202E-2</v>
      </c>
      <c r="T6095">
        <v>-3.6071539999999999E-2</v>
      </c>
      <c r="U6095">
        <v>-3.1893009999999999</v>
      </c>
      <c r="V6095">
        <v>7.3805079999999995E-2</v>
      </c>
      <c r="W6095">
        <v>0.22041949999999999</v>
      </c>
      <c r="X6095">
        <v>0.9726089</v>
      </c>
      <c r="Y6095">
        <v>0.32901469999999999</v>
      </c>
      <c r="Z6095">
        <v>-4.9055829999999998E-3</v>
      </c>
      <c r="AA6095">
        <v>0.94431200000000004</v>
      </c>
      <c r="AB6095">
        <v>17</v>
      </c>
      <c r="AC6095">
        <v>-0.39270000000004701</v>
      </c>
      <c r="AD6095">
        <v>-1.1048880000000001</v>
      </c>
      <c r="AE6095">
        <v>-97.508129999999994</v>
      </c>
      <c r="AF6095">
        <v>32.128137304947202</v>
      </c>
      <c r="AG6095">
        <v>-1.1048880000000001</v>
      </c>
      <c r="AH6095">
        <v>92.050699822764102</v>
      </c>
      <c r="AI6095">
        <v>90.649282513128995</v>
      </c>
      <c r="AJ6095">
        <v>70.759657161080099</v>
      </c>
      <c r="AK6095">
        <v>97.502663153570893</v>
      </c>
      <c r="AL6095">
        <v>77.266326683427593</v>
      </c>
      <c r="AM6095">
        <v>85.660505737438797</v>
      </c>
      <c r="AN6095">
        <v>1.0000000090866299</v>
      </c>
    </row>
    <row r="6096" spans="1:40" x14ac:dyDescent="0.25">
      <c r="A6096" t="str">
        <f>"20190304155225484"</f>
        <v>20190304155225484</v>
      </c>
      <c r="B6096" t="str">
        <f>"1551685945473071"</f>
        <v>1551685945473071</v>
      </c>
      <c r="C6096" t="s">
        <v>40</v>
      </c>
      <c r="D6096">
        <v>5.0943059999999996</v>
      </c>
      <c r="E6096">
        <v>0.59865080000000004</v>
      </c>
      <c r="F6096" t="s">
        <v>77</v>
      </c>
      <c r="G6096">
        <v>-303.4699</v>
      </c>
      <c r="H6096">
        <v>7.9986500000000002E-2</v>
      </c>
      <c r="I6096">
        <v>-74.574019999999905</v>
      </c>
      <c r="J6096">
        <v>-302.84859999999998</v>
      </c>
      <c r="K6096">
        <v>1.054943</v>
      </c>
      <c r="L6096">
        <v>4.6912839999999996</v>
      </c>
      <c r="M6096">
        <v>0.31360290000000002</v>
      </c>
      <c r="N6096">
        <v>-1.4949789999999999E-2</v>
      </c>
      <c r="O6096">
        <v>-0.94943670000000002</v>
      </c>
      <c r="P6096">
        <v>0.2458245</v>
      </c>
      <c r="Q6096">
        <v>0.20639379999999999</v>
      </c>
      <c r="R6096">
        <v>-0.94708610000000004</v>
      </c>
      <c r="S6096">
        <v>-2.3315430000000002E-2</v>
      </c>
      <c r="T6096">
        <v>-3.9122219999999999E-2</v>
      </c>
      <c r="U6096">
        <v>-3.1874389999999999</v>
      </c>
      <c r="V6096">
        <v>6.6858630000000002E-2</v>
      </c>
      <c r="W6096">
        <v>0.22000980000000001</v>
      </c>
      <c r="X6096">
        <v>0.97320379999999995</v>
      </c>
      <c r="Y6096">
        <v>0.32050840000000003</v>
      </c>
      <c r="Z6096">
        <v>-3.9476900000000002E-3</v>
      </c>
      <c r="AA6096">
        <v>0.94723740000000001</v>
      </c>
      <c r="AB6096">
        <v>17</v>
      </c>
      <c r="AC6096">
        <v>-0.62130000000001895</v>
      </c>
      <c r="AD6096">
        <v>-0.9749565</v>
      </c>
      <c r="AE6096">
        <v>-79.265303999999901</v>
      </c>
      <c r="AF6096">
        <v>25.446704790242801</v>
      </c>
      <c r="AG6096">
        <v>-0.9749565</v>
      </c>
      <c r="AH6096">
        <v>75.059569664161103</v>
      </c>
      <c r="AI6096">
        <v>90.704782627963695</v>
      </c>
      <c r="AJ6096">
        <v>71.272306847585298</v>
      </c>
      <c r="AK6096">
        <v>79.2617456471135</v>
      </c>
      <c r="AL6096">
        <v>77.290391564484906</v>
      </c>
      <c r="AM6096">
        <v>86.069982652204303</v>
      </c>
      <c r="AN6096">
        <v>1.00000001241797</v>
      </c>
    </row>
    <row r="6097" spans="1:40" x14ac:dyDescent="0.25">
      <c r="A6097" t="str">
        <f>"20190304155225507"</f>
        <v>20190304155225507</v>
      </c>
      <c r="B6097" t="str">
        <f>"1551685945503327"</f>
        <v>1551685945503327</v>
      </c>
      <c r="C6097" t="s">
        <v>40</v>
      </c>
      <c r="D6097">
        <v>5.0904759999999998</v>
      </c>
      <c r="E6097">
        <v>0.59677199999999997</v>
      </c>
      <c r="F6097" t="s">
        <v>77</v>
      </c>
      <c r="G6097">
        <v>-303.5779</v>
      </c>
      <c r="H6097" s="1">
        <v>-9.1611609999999996E-6</v>
      </c>
      <c r="I6097">
        <v>-67.958709999999996</v>
      </c>
      <c r="J6097">
        <v>-302.80950000000001</v>
      </c>
      <c r="K6097">
        <v>1.0550010000000001</v>
      </c>
      <c r="L6097">
        <v>4.5233460000000001</v>
      </c>
      <c r="M6097">
        <v>0.30125030000000003</v>
      </c>
      <c r="N6097">
        <v>-1.4930179999999999E-2</v>
      </c>
      <c r="O6097">
        <v>-0.95342830000000001</v>
      </c>
      <c r="P6097">
        <v>0.23975779999999999</v>
      </c>
      <c r="Q6097">
        <v>0.2055642</v>
      </c>
      <c r="R6097">
        <v>-0.9488202</v>
      </c>
      <c r="S6097">
        <v>-3.1982419999999998E-2</v>
      </c>
      <c r="T6097">
        <v>-4.6264050000000001E-2</v>
      </c>
      <c r="U6097">
        <v>-3.1860050000000002</v>
      </c>
      <c r="V6097">
        <v>6.0436740000000003E-2</v>
      </c>
      <c r="W6097">
        <v>0.2192733</v>
      </c>
      <c r="X6097">
        <v>0.97378980000000004</v>
      </c>
      <c r="Y6097">
        <v>0.3107703</v>
      </c>
      <c r="Z6097">
        <v>-1.806015E-3</v>
      </c>
      <c r="AA6097">
        <v>0.95048330000000003</v>
      </c>
      <c r="AB6097">
        <v>17</v>
      </c>
      <c r="AC6097">
        <v>-0.76839999999998498</v>
      </c>
      <c r="AD6097">
        <v>-1.0550101611609899</v>
      </c>
      <c r="AE6097">
        <v>-72.482056</v>
      </c>
      <c r="AF6097">
        <v>22.565588904218099</v>
      </c>
      <c r="AG6097">
        <v>-1.0550101611609899</v>
      </c>
      <c r="AH6097">
        <v>68.868045508994001</v>
      </c>
      <c r="AI6097">
        <v>90.834037698903799</v>
      </c>
      <c r="AJ6097">
        <v>71.857885438686694</v>
      </c>
      <c r="AK6097">
        <v>72.478455704182807</v>
      </c>
      <c r="AL6097">
        <v>77.333645701384</v>
      </c>
      <c r="AM6097">
        <v>86.448582301907905</v>
      </c>
      <c r="AN6097">
        <v>0.99999997710937805</v>
      </c>
    </row>
    <row r="6098" spans="1:40" x14ac:dyDescent="0.25">
      <c r="A6098" t="str">
        <f>"20190304155225529"</f>
        <v>20190304155225529</v>
      </c>
      <c r="B6098" t="str">
        <f>"1551685945522851"</f>
        <v>1551685945522851</v>
      </c>
      <c r="C6098" t="s">
        <v>40</v>
      </c>
      <c r="D6098">
        <v>5.0792760000000001</v>
      </c>
      <c r="E6098">
        <v>0.59537150000000005</v>
      </c>
      <c r="F6098" t="s">
        <v>77</v>
      </c>
      <c r="G6098">
        <v>-303.54919999999998</v>
      </c>
      <c r="H6098" s="1">
        <v>-8.3181430000000002E-6</v>
      </c>
      <c r="I6098">
        <v>-56.240400000000001</v>
      </c>
      <c r="J6098">
        <v>-302.77330000000001</v>
      </c>
      <c r="K6098">
        <v>1.05508</v>
      </c>
      <c r="L6098">
        <v>4.3581539999999999</v>
      </c>
      <c r="M6098">
        <v>0.28917140000000002</v>
      </c>
      <c r="N6098">
        <v>-1.490534E-2</v>
      </c>
      <c r="O6098">
        <v>-0.95716120000000005</v>
      </c>
      <c r="P6098">
        <v>0.2329772</v>
      </c>
      <c r="Q6098">
        <v>0.20435800000000001</v>
      </c>
      <c r="R6098">
        <v>-0.95076780000000005</v>
      </c>
      <c r="S6098">
        <v>-3.8757319999999998E-2</v>
      </c>
      <c r="T6098">
        <v>-5.5275079999999997E-2</v>
      </c>
      <c r="U6098">
        <v>-3.1835939999999998</v>
      </c>
      <c r="V6098">
        <v>5.5075079999999998E-2</v>
      </c>
      <c r="W6098">
        <v>0.21813850000000001</v>
      </c>
      <c r="X6098">
        <v>0.97436259999999997</v>
      </c>
      <c r="Y6098">
        <v>0.300761</v>
      </c>
      <c r="Z6098">
        <v>9.1230770000000003E-4</v>
      </c>
      <c r="AA6098">
        <v>0.95369910000000002</v>
      </c>
      <c r="AB6098">
        <v>17</v>
      </c>
      <c r="AC6098">
        <v>-0.77589999999997805</v>
      </c>
      <c r="AD6098">
        <v>-1.055088318143</v>
      </c>
      <c r="AE6098">
        <v>-60.598554</v>
      </c>
      <c r="AF6098">
        <v>18.262525713746399</v>
      </c>
      <c r="AG6098">
        <v>-1.055088318143</v>
      </c>
      <c r="AH6098">
        <v>57.767131756408801</v>
      </c>
      <c r="AI6098">
        <v>90.997703060183696</v>
      </c>
      <c r="AJ6098">
        <v>72.456148721744697</v>
      </c>
      <c r="AK6098">
        <v>60.594344357923603</v>
      </c>
      <c r="AL6098">
        <v>77.400279300059097</v>
      </c>
      <c r="AM6098">
        <v>86.764843601018896</v>
      </c>
      <c r="AN6098">
        <v>1.000000072949</v>
      </c>
    </row>
    <row r="6099" spans="1:40" x14ac:dyDescent="0.25">
      <c r="A6099" t="str">
        <f>"20190304155225551"</f>
        <v>20190304155225551</v>
      </c>
      <c r="B6099" t="str">
        <f>"1551685945543343"</f>
        <v>1551685945543343</v>
      </c>
      <c r="C6099" t="s">
        <v>40</v>
      </c>
      <c r="D6099">
        <v>5.0271660000000002</v>
      </c>
      <c r="E6099">
        <v>0.59377769999999996</v>
      </c>
      <c r="F6099" t="s">
        <v>77</v>
      </c>
      <c r="G6099">
        <v>-303.63470000000001</v>
      </c>
      <c r="H6099" s="1">
        <v>-5.2188839999999997E-6</v>
      </c>
      <c r="I6099">
        <v>-48.973030000000001</v>
      </c>
      <c r="J6099">
        <v>-302.738</v>
      </c>
      <c r="K6099">
        <v>1.0551649999999999</v>
      </c>
      <c r="L6099">
        <v>4.1872249999999998</v>
      </c>
      <c r="M6099">
        <v>0.27676509999999999</v>
      </c>
      <c r="N6099">
        <v>-1.4874E-2</v>
      </c>
      <c r="O6099">
        <v>-0.96082259999999997</v>
      </c>
      <c r="P6099">
        <v>0.22573509999999999</v>
      </c>
      <c r="Q6099">
        <v>0.20313899999999999</v>
      </c>
      <c r="R6099">
        <v>-0.95277429999999996</v>
      </c>
      <c r="S6099">
        <v>-5.1391600000000003E-2</v>
      </c>
      <c r="T6099">
        <v>-6.2940839999999998E-2</v>
      </c>
      <c r="U6099">
        <v>-3.1814580000000001</v>
      </c>
      <c r="V6099">
        <v>4.987449E-2</v>
      </c>
      <c r="W6099">
        <v>0.21698190000000001</v>
      </c>
      <c r="X6099">
        <v>0.97490069999999995</v>
      </c>
      <c r="Y6099">
        <v>0.29220249999999998</v>
      </c>
      <c r="Z6099">
        <v>3.2798329999999998E-3</v>
      </c>
      <c r="AA6099">
        <v>0.9563509</v>
      </c>
      <c r="AB6099">
        <v>17</v>
      </c>
      <c r="AC6099">
        <v>-0.89670000000000905</v>
      </c>
      <c r="AD6099">
        <v>-1.055170218884</v>
      </c>
      <c r="AE6099">
        <v>-53.160254999999999</v>
      </c>
      <c r="AF6099">
        <v>15.570061762463499</v>
      </c>
      <c r="AG6099">
        <v>-1.055170218884</v>
      </c>
      <c r="AH6099">
        <v>50.815002762620303</v>
      </c>
      <c r="AI6099">
        <v>91.137392326243699</v>
      </c>
      <c r="AJ6099">
        <v>72.964580041264298</v>
      </c>
      <c r="AK6099">
        <v>53.157358034827702</v>
      </c>
      <c r="AL6099">
        <v>77.468172855992293</v>
      </c>
      <c r="AM6099">
        <v>87.071385090036102</v>
      </c>
      <c r="AN6099">
        <v>0.99999999227042902</v>
      </c>
    </row>
    <row r="6100" spans="1:40" x14ac:dyDescent="0.25">
      <c r="A6100" t="str">
        <f>"20190304155225573"</f>
        <v>20190304155225573</v>
      </c>
      <c r="B6100" t="str">
        <f>"1551685945562863"</f>
        <v>1551685945562863</v>
      </c>
      <c r="C6100" t="s">
        <v>40</v>
      </c>
      <c r="D6100">
        <v>5.083977</v>
      </c>
      <c r="E6100">
        <v>0.59213850000000001</v>
      </c>
      <c r="F6100" t="s">
        <v>77</v>
      </c>
      <c r="G6100">
        <v>-303.70119999999997</v>
      </c>
      <c r="H6100" s="1">
        <v>-2.5593560000000001E-6</v>
      </c>
      <c r="I6100">
        <v>-43.592619999999997</v>
      </c>
      <c r="J6100">
        <v>-302.7054</v>
      </c>
      <c r="K6100">
        <v>1.055248</v>
      </c>
      <c r="L6100">
        <v>4.0191350000000003</v>
      </c>
      <c r="M6100">
        <v>0.26465109999999997</v>
      </c>
      <c r="N6100">
        <v>-1.484107E-2</v>
      </c>
      <c r="O6100">
        <v>-0.96423020000000004</v>
      </c>
      <c r="P6100">
        <v>0.21844920000000001</v>
      </c>
      <c r="Q6100">
        <v>0.20153969999999999</v>
      </c>
      <c r="R6100">
        <v>-0.95481009999999999</v>
      </c>
      <c r="S6100">
        <v>-6.4086909999999997E-2</v>
      </c>
      <c r="T6100">
        <v>-7.0201159999999999E-2</v>
      </c>
      <c r="U6100">
        <v>-3.178833</v>
      </c>
      <c r="V6100">
        <v>4.5057890000000003E-2</v>
      </c>
      <c r="W6100">
        <v>0.2154354</v>
      </c>
      <c r="X6100">
        <v>0.97547810000000001</v>
      </c>
      <c r="Y6100">
        <v>0.28398379999999901</v>
      </c>
      <c r="Z6100">
        <v>5.5597939999999998E-3</v>
      </c>
      <c r="AA6100">
        <v>0.95881300000000003</v>
      </c>
      <c r="AB6100">
        <v>17</v>
      </c>
      <c r="AC6100">
        <v>-0.99579999999997404</v>
      </c>
      <c r="AD6100">
        <v>-1.055250559356</v>
      </c>
      <c r="AE6100">
        <v>-47.611755000000002</v>
      </c>
      <c r="AF6100">
        <v>13.555519188835399</v>
      </c>
      <c r="AG6100">
        <v>-1.055250559356</v>
      </c>
      <c r="AH6100">
        <v>45.627768552598397</v>
      </c>
      <c r="AI6100">
        <v>91.270021641556895</v>
      </c>
      <c r="AJ6100">
        <v>73.453881863326799</v>
      </c>
      <c r="AK6100">
        <v>47.610491672649196</v>
      </c>
      <c r="AL6100">
        <v>77.558928427764101</v>
      </c>
      <c r="AM6100">
        <v>87.355355029158801</v>
      </c>
      <c r="AN6100">
        <v>1.0000000743020001</v>
      </c>
    </row>
    <row r="6101" spans="1:40" x14ac:dyDescent="0.25">
      <c r="A6101" t="str">
        <f>"20190304155225596"</f>
        <v>20190304155225596</v>
      </c>
      <c r="B6101" t="str">
        <f>"1551685945593119"</f>
        <v>1551685945593119</v>
      </c>
      <c r="C6101" t="s">
        <v>40</v>
      </c>
      <c r="D6101">
        <v>5.0613199999999896</v>
      </c>
      <c r="E6101">
        <v>0.55520819999999904</v>
      </c>
      <c r="F6101" t="s">
        <v>41</v>
      </c>
      <c r="G6101">
        <v>-303.72559999999999</v>
      </c>
      <c r="H6101" s="1">
        <v>-1.845963E-6</v>
      </c>
      <c r="I6101">
        <v>-38.418610000000001</v>
      </c>
      <c r="J6101">
        <v>-302.67410000000001</v>
      </c>
      <c r="K6101">
        <v>1.0553330000000001</v>
      </c>
      <c r="L6101">
        <v>3.8471069999999998</v>
      </c>
      <c r="M6101">
        <v>0.25235160000000001</v>
      </c>
      <c r="N6101">
        <v>-1.480683E-2</v>
      </c>
      <c r="O6101">
        <v>-0.96752260000000001</v>
      </c>
      <c r="P6101">
        <v>0.2106779</v>
      </c>
      <c r="Q6101">
        <v>0.19967750000000001</v>
      </c>
      <c r="R6101">
        <v>-0.9569455</v>
      </c>
      <c r="S6101">
        <v>-7.6354980000000003E-2</v>
      </c>
      <c r="T6101">
        <v>-7.8976749999999998E-2</v>
      </c>
      <c r="U6101">
        <v>-3.1761170000000001</v>
      </c>
      <c r="V6101">
        <v>4.0579270000000001E-2</v>
      </c>
      <c r="W6101">
        <v>0.213619</v>
      </c>
      <c r="X6101">
        <v>0.97607390000000005</v>
      </c>
      <c r="Y6101">
        <v>0.27547769999999999</v>
      </c>
      <c r="Z6101">
        <v>8.3151660000000006E-3</v>
      </c>
      <c r="AA6101">
        <v>0.96127149999999995</v>
      </c>
      <c r="AB6101">
        <v>17</v>
      </c>
      <c r="AC6101">
        <v>-1.0514999999999699</v>
      </c>
      <c r="AD6101">
        <v>-1.0553348459630001</v>
      </c>
      <c r="AE6101">
        <v>-42.265716999999903</v>
      </c>
      <c r="AF6101">
        <v>11.6771733493898</v>
      </c>
      <c r="AG6101">
        <v>-1.0553348459630001</v>
      </c>
      <c r="AH6101">
        <v>40.6068310156219</v>
      </c>
      <c r="AI6101">
        <v>91.430772343368901</v>
      </c>
      <c r="AJ6101">
        <v>73.956525646358898</v>
      </c>
      <c r="AK6101">
        <v>42.265646028424499</v>
      </c>
      <c r="AL6101">
        <v>77.665480399884103</v>
      </c>
      <c r="AM6101">
        <v>87.619357739421105</v>
      </c>
      <c r="AN6101">
        <v>1.0000000062879699</v>
      </c>
    </row>
    <row r="6102" spans="1:40" x14ac:dyDescent="0.25">
      <c r="A6102" t="str">
        <f>"20190304155225618"</f>
        <v>20190304155225618</v>
      </c>
      <c r="B6102" t="str">
        <f>"1551685945612643"</f>
        <v>1551685945612643</v>
      </c>
      <c r="C6102" t="s">
        <v>40</v>
      </c>
      <c r="D6102">
        <v>5.0709080000000002</v>
      </c>
      <c r="E6102">
        <v>0.55442239999999998</v>
      </c>
      <c r="F6102" t="s">
        <v>41</v>
      </c>
      <c r="G6102">
        <v>-301.5247</v>
      </c>
      <c r="H6102" s="1">
        <v>-2.4161520000000002E-6</v>
      </c>
      <c r="I6102">
        <v>-15.724399999999999</v>
      </c>
      <c r="J6102">
        <v>-302.64569999999998</v>
      </c>
      <c r="K6102">
        <v>1.0554190000000001</v>
      </c>
      <c r="L6102">
        <v>3.67984</v>
      </c>
      <c r="M6102">
        <v>0.24051310000000001</v>
      </c>
      <c r="N6102">
        <v>-1.4771950000000001E-2</v>
      </c>
      <c r="O6102">
        <v>-0.97053339999999999</v>
      </c>
      <c r="P6102">
        <v>0.20300609999999999</v>
      </c>
      <c r="Q6102">
        <v>0.19863549999999999</v>
      </c>
      <c r="R6102">
        <v>-0.95881830000000001</v>
      </c>
      <c r="S6102">
        <v>0.18380740000000001</v>
      </c>
      <c r="T6102">
        <v>-0.16876140000000001</v>
      </c>
      <c r="U6102">
        <v>-3.1297299999999999</v>
      </c>
      <c r="V6102">
        <v>3.6449309999999999E-2</v>
      </c>
      <c r="W6102">
        <v>0.2126122</v>
      </c>
      <c r="X6102">
        <v>0.97645660000000001</v>
      </c>
      <c r="Y6102">
        <v>0.1831615</v>
      </c>
      <c r="Z6102">
        <v>3.6329149999999998E-2</v>
      </c>
      <c r="AA6102">
        <v>0.98241129999999999</v>
      </c>
      <c r="AB6102">
        <v>17</v>
      </c>
      <c r="AC6102">
        <v>1.12099999999998</v>
      </c>
      <c r="AD6102">
        <v>-1.0554214161519999</v>
      </c>
      <c r="AE6102">
        <v>-19.404240000000001</v>
      </c>
      <c r="AF6102">
        <v>3.5688737333925298</v>
      </c>
      <c r="AG6102">
        <v>-1.0554214161519999</v>
      </c>
      <c r="AH6102">
        <v>19.047999823879401</v>
      </c>
      <c r="AI6102">
        <v>93.117297311343506</v>
      </c>
      <c r="AJ6102">
        <v>79.387976252507798</v>
      </c>
      <c r="AK6102">
        <v>19.408170222385198</v>
      </c>
      <c r="AL6102">
        <v>77.724522028576899</v>
      </c>
      <c r="AM6102">
        <v>87.862247581856593</v>
      </c>
      <c r="AN6102">
        <v>0.99999999573593801</v>
      </c>
    </row>
    <row r="6103" spans="1:40" x14ac:dyDescent="0.25">
      <c r="A6103" t="str">
        <f>"20190304155225640"</f>
        <v>20190304155225640</v>
      </c>
      <c r="B6103" t="str">
        <f>"1551685945633136"</f>
        <v>1551685945633136</v>
      </c>
      <c r="C6103" t="s">
        <v>40</v>
      </c>
      <c r="D6103">
        <v>5.0505139999999997</v>
      </c>
      <c r="E6103">
        <v>0.55439119999999997</v>
      </c>
      <c r="F6103" t="s">
        <v>41</v>
      </c>
      <c r="G6103">
        <v>-301.68740000000003</v>
      </c>
      <c r="H6103" s="1">
        <v>-2.9297399999999999E-6</v>
      </c>
      <c r="I6103">
        <v>-14.62815</v>
      </c>
      <c r="J6103">
        <v>-302.61829999999998</v>
      </c>
      <c r="K6103">
        <v>1.0555219999999901</v>
      </c>
      <c r="L6103">
        <v>3.5068049999999999</v>
      </c>
      <c r="M6103">
        <v>0.2284127</v>
      </c>
      <c r="N6103">
        <v>-1.473179E-2</v>
      </c>
      <c r="O6103">
        <v>-0.97345289999999995</v>
      </c>
      <c r="P6103">
        <v>0.19510559999999999</v>
      </c>
      <c r="Q6103">
        <v>0.19798450000000001</v>
      </c>
      <c r="R6103">
        <v>-0.96059159999999999</v>
      </c>
      <c r="S6103">
        <v>0.1639099</v>
      </c>
      <c r="T6103">
        <v>-0.18052699999999999</v>
      </c>
      <c r="U6103">
        <v>-3.1315309999999998</v>
      </c>
      <c r="V6103">
        <v>3.2285220000000003E-2</v>
      </c>
      <c r="W6103">
        <v>0.2119897</v>
      </c>
      <c r="X6103">
        <v>0.97673849999999995</v>
      </c>
      <c r="Y6103">
        <v>0.17718200000000001</v>
      </c>
      <c r="Z6103">
        <v>4.0158550000000001E-2</v>
      </c>
      <c r="AA6103">
        <v>0.98335839999999997</v>
      </c>
      <c r="AB6103">
        <v>17</v>
      </c>
      <c r="AC6103">
        <v>0.93089999999995099</v>
      </c>
      <c r="AD6103">
        <v>-1.05552492973999</v>
      </c>
      <c r="AE6103">
        <v>-18.134954999999898</v>
      </c>
      <c r="AF6103">
        <v>3.22551969402496</v>
      </c>
      <c r="AG6103">
        <v>-1.05552492973999</v>
      </c>
      <c r="AH6103">
        <v>17.807924281364201</v>
      </c>
      <c r="AI6103">
        <v>93.337923849291002</v>
      </c>
      <c r="AJ6103">
        <v>79.733418613055804</v>
      </c>
      <c r="AK6103">
        <v>18.128438360339999</v>
      </c>
      <c r="AL6103">
        <v>77.761021124311895</v>
      </c>
      <c r="AM6103">
        <v>88.106828384183899</v>
      </c>
      <c r="AN6103">
        <v>1.0000000328593901</v>
      </c>
    </row>
    <row r="6104" spans="1:40" x14ac:dyDescent="0.25">
      <c r="A6104" t="str">
        <f>"20190304155225664"</f>
        <v>20190304155225664</v>
      </c>
      <c r="B6104" t="str">
        <f>"1551685945652656"</f>
        <v>1551685945652656</v>
      </c>
      <c r="C6104" t="s">
        <v>40</v>
      </c>
      <c r="D6104">
        <v>4.6267239999999896</v>
      </c>
      <c r="E6104">
        <v>0.59757289999999996</v>
      </c>
      <c r="F6104" t="s">
        <v>41</v>
      </c>
      <c r="G6104">
        <v>-301.83280000000002</v>
      </c>
      <c r="H6104" s="1">
        <v>-3.0619860000000001E-6</v>
      </c>
      <c r="I6104">
        <v>-14.41005</v>
      </c>
      <c r="J6104">
        <v>-302.59269999999998</v>
      </c>
      <c r="K6104">
        <v>1.0556479999999999</v>
      </c>
      <c r="L6104">
        <v>3.3325809999999998</v>
      </c>
      <c r="M6104">
        <v>0.21640909999999999</v>
      </c>
      <c r="N6104">
        <v>-1.4685790000000001E-2</v>
      </c>
      <c r="O6104">
        <v>-0.97619239999999996</v>
      </c>
      <c r="P6104">
        <v>0.18702740000000001</v>
      </c>
      <c r="Q6104">
        <v>0.19787850000000001</v>
      </c>
      <c r="R6104">
        <v>-0.96221860000000003</v>
      </c>
      <c r="S6104">
        <v>0.1373596</v>
      </c>
      <c r="T6104">
        <v>-0.1845849</v>
      </c>
      <c r="U6104">
        <v>-3.1332089999999999</v>
      </c>
      <c r="V6104">
        <v>2.8389480000000002E-2</v>
      </c>
      <c r="W6104">
        <v>0.2118998</v>
      </c>
      <c r="X6104">
        <v>0.97687900000000005</v>
      </c>
      <c r="Y6104">
        <v>0.17340659999999999</v>
      </c>
      <c r="Z6104">
        <v>4.1655369999999997E-2</v>
      </c>
      <c r="AA6104">
        <v>0.98396899999999998</v>
      </c>
      <c r="AB6104">
        <v>17</v>
      </c>
      <c r="AC6104">
        <v>0.75989999999995905</v>
      </c>
      <c r="AD6104">
        <v>-1.055651061986</v>
      </c>
      <c r="AE6104">
        <v>-17.742630999999999</v>
      </c>
      <c r="AF6104">
        <v>3.0872830407845999</v>
      </c>
      <c r="AG6104">
        <v>-1.055651061986</v>
      </c>
      <c r="AH6104">
        <v>17.424983379812701</v>
      </c>
      <c r="AI6104">
        <v>93.413851100018107</v>
      </c>
      <c r="AJ6104">
        <v>79.952847007375794</v>
      </c>
      <c r="AK6104">
        <v>17.727824500635599</v>
      </c>
      <c r="AL6104">
        <v>77.766291771743695</v>
      </c>
      <c r="AM6104">
        <v>88.335372450621605</v>
      </c>
      <c r="AN6104">
        <v>1.0000000342278501</v>
      </c>
    </row>
    <row r="6105" spans="1:40" x14ac:dyDescent="0.25">
      <c r="A6105" t="str">
        <f>"20190304155225685"</f>
        <v>20190304155225685</v>
      </c>
      <c r="B6105" t="str">
        <f>"1551685945682912"</f>
        <v>1551685945682912</v>
      </c>
      <c r="C6105" t="s">
        <v>40</v>
      </c>
      <c r="D6105">
        <v>4.6679930000000001</v>
      </c>
      <c r="E6105">
        <v>0.59740879999999996</v>
      </c>
      <c r="F6105" t="s">
        <v>101</v>
      </c>
      <c r="G6105">
        <v>-309.22149999999999</v>
      </c>
      <c r="H6105">
        <v>4.8370470000000001</v>
      </c>
      <c r="I6105">
        <v>-91.564989999999995</v>
      </c>
      <c r="J6105">
        <v>-302.56950000000001</v>
      </c>
      <c r="K6105">
        <v>1.05579</v>
      </c>
      <c r="L6105">
        <v>3.162598</v>
      </c>
      <c r="M6105">
        <v>0.20490169999999999</v>
      </c>
      <c r="N6105">
        <v>-1.463181E-2</v>
      </c>
      <c r="O6105">
        <v>-0.97867320000000002</v>
      </c>
      <c r="P6105">
        <v>0.18010770000000001</v>
      </c>
      <c r="Q6105">
        <v>0.1976772</v>
      </c>
      <c r="R6105">
        <v>-0.96357939999999997</v>
      </c>
      <c r="S6105">
        <v>-0.21896360000000001</v>
      </c>
      <c r="T6105">
        <v>0.1249083</v>
      </c>
      <c r="U6105">
        <v>-3.134674</v>
      </c>
      <c r="V6105">
        <v>2.3823919999999998E-2</v>
      </c>
      <c r="W6105">
        <v>0.21171429999999999</v>
      </c>
      <c r="X6105">
        <v>0.97704120000000005</v>
      </c>
      <c r="Y6105">
        <v>0.27257880000000001</v>
      </c>
      <c r="Z6105">
        <v>-5.2467630000000001E-2</v>
      </c>
      <c r="AA6105">
        <v>0.96070180000000005</v>
      </c>
      <c r="AB6105">
        <v>17</v>
      </c>
      <c r="AC6105">
        <v>-6.6519999999999797</v>
      </c>
      <c r="AD6105">
        <v>3.7812570000000001</v>
      </c>
      <c r="AE6105">
        <v>-94.727587999999997</v>
      </c>
      <c r="AF6105">
        <v>25.881715564013799</v>
      </c>
      <c r="AG6105">
        <v>3.7812570000000001</v>
      </c>
      <c r="AH6105">
        <v>91.209505479905403</v>
      </c>
      <c r="AI6105">
        <v>87.7161260090692</v>
      </c>
      <c r="AJ6105">
        <v>74.158117243593296</v>
      </c>
      <c r="AK6105">
        <v>94.885905143627397</v>
      </c>
      <c r="AL6105">
        <v>77.777166642671602</v>
      </c>
      <c r="AM6105">
        <v>88.603191314742205</v>
      </c>
      <c r="AN6105">
        <v>1.0000000152430399</v>
      </c>
    </row>
    <row r="6106" spans="1:40" x14ac:dyDescent="0.25">
      <c r="A6106" t="str">
        <f>"20190304155225709"</f>
        <v>20190304155225709</v>
      </c>
      <c r="B6106" t="str">
        <f>"1551685945703408"</f>
        <v>1551685945703408</v>
      </c>
      <c r="C6106" t="s">
        <v>40</v>
      </c>
      <c r="D6106">
        <v>4.849183</v>
      </c>
      <c r="E6106">
        <v>0.59782170000000001</v>
      </c>
      <c r="F6106" t="s">
        <v>101</v>
      </c>
      <c r="G6106">
        <v>-309.87580000000003</v>
      </c>
      <c r="H6106">
        <v>3.3938410000000001</v>
      </c>
      <c r="I6106">
        <v>-91.564989999999995</v>
      </c>
      <c r="J6106">
        <v>-302.54719999999998</v>
      </c>
      <c r="K6106">
        <v>1.055955</v>
      </c>
      <c r="L6106">
        <v>2.98468</v>
      </c>
      <c r="M6106">
        <v>0.19310669999999999</v>
      </c>
      <c r="N6106">
        <v>-1.456438E-2</v>
      </c>
      <c r="O6106">
        <v>-0.98106979999999999</v>
      </c>
      <c r="P6106">
        <v>0.17248949999999999</v>
      </c>
      <c r="Q6106">
        <v>0.1973993</v>
      </c>
      <c r="R6106">
        <v>-0.96502909999999997</v>
      </c>
      <c r="S6106">
        <v>-0.24240110000000001</v>
      </c>
      <c r="T6106">
        <v>7.7570319999999998E-2</v>
      </c>
      <c r="U6106">
        <v>-3.142792</v>
      </c>
      <c r="V6106">
        <v>1.9685879999999999E-2</v>
      </c>
      <c r="W6106">
        <v>0.21143190000000001</v>
      </c>
      <c r="X6106">
        <v>0.97719449999999997</v>
      </c>
      <c r="Y6106">
        <v>0.2679704</v>
      </c>
      <c r="Z6106">
        <v>-3.8156959999999997E-2</v>
      </c>
      <c r="AA6106">
        <v>0.96267119999999995</v>
      </c>
      <c r="AB6106">
        <v>17</v>
      </c>
      <c r="AC6106">
        <v>-7.3286000000000504</v>
      </c>
      <c r="AD6106">
        <v>2.3378860000000001</v>
      </c>
      <c r="AE6106">
        <v>-94.549669999999907</v>
      </c>
      <c r="AF6106">
        <v>25.435280606216399</v>
      </c>
      <c r="AG6106">
        <v>2.3378860000000001</v>
      </c>
      <c r="AH6106">
        <v>91.298814400563302</v>
      </c>
      <c r="AI6106">
        <v>88.586938546361495</v>
      </c>
      <c r="AJ6106">
        <v>74.432494466213797</v>
      </c>
      <c r="AK6106">
        <v>94.804497369135703</v>
      </c>
      <c r="AL6106">
        <v>77.793722005744797</v>
      </c>
      <c r="AM6106">
        <v>88.845915224705095</v>
      </c>
      <c r="AN6106">
        <v>1.00000003651961</v>
      </c>
    </row>
    <row r="6107" spans="1:40" x14ac:dyDescent="0.25">
      <c r="A6107" t="str">
        <f>"20190304155225729"</f>
        <v>20190304155225729</v>
      </c>
      <c r="B6107" t="str">
        <f>"1551685945722928"</f>
        <v>1551685945722928</v>
      </c>
      <c r="C6107" t="s">
        <v>40</v>
      </c>
      <c r="D6107">
        <v>4.9864949999999997</v>
      </c>
      <c r="E6107">
        <v>0.5952189</v>
      </c>
      <c r="F6107" t="s">
        <v>101</v>
      </c>
      <c r="G6107">
        <v>-310.6891</v>
      </c>
      <c r="H6107">
        <v>2.803741</v>
      </c>
      <c r="I6107">
        <v>-91.564989999999995</v>
      </c>
      <c r="J6107">
        <v>-302.52890000000002</v>
      </c>
      <c r="K6107">
        <v>1.0561119999999999</v>
      </c>
      <c r="L6107">
        <v>2.826263</v>
      </c>
      <c r="M6107">
        <v>0.18284520000000001</v>
      </c>
      <c r="N6107">
        <v>-1.449549E-2</v>
      </c>
      <c r="O6107">
        <v>-0.98303479999999999</v>
      </c>
      <c r="P6107">
        <v>0.1666116</v>
      </c>
      <c r="Q6107">
        <v>0.19672010000000001</v>
      </c>
      <c r="R6107">
        <v>-0.96619960000000005</v>
      </c>
      <c r="S6107">
        <v>-0.27084350000000001</v>
      </c>
      <c r="T6107">
        <v>5.8141230000000002E-2</v>
      </c>
      <c r="U6107">
        <v>-3.1452330000000002</v>
      </c>
      <c r="V6107">
        <v>1.5341860000000001E-2</v>
      </c>
      <c r="W6107">
        <v>0.21074580000000001</v>
      </c>
      <c r="X6107">
        <v>0.97742050000000003</v>
      </c>
      <c r="Y6107">
        <v>0.26650040000000003</v>
      </c>
      <c r="Z6107">
        <v>-3.2253209999999997E-2</v>
      </c>
      <c r="AA6107">
        <v>0.96329500000000001</v>
      </c>
      <c r="AB6107">
        <v>17</v>
      </c>
      <c r="AC6107">
        <v>-8.1601999999999695</v>
      </c>
      <c r="AD6107">
        <v>1.7476290000000001</v>
      </c>
      <c r="AE6107">
        <v>-94.391253000000006</v>
      </c>
      <c r="AF6107">
        <v>25.274805906676601</v>
      </c>
      <c r="AG6107">
        <v>1.7476290000000001</v>
      </c>
      <c r="AH6107">
        <v>91.276373697014506</v>
      </c>
      <c r="AI6107">
        <v>88.942886259658295</v>
      </c>
      <c r="AJ6107">
        <v>74.522369481329903</v>
      </c>
      <c r="AK6107">
        <v>94.727221093088403</v>
      </c>
      <c r="AL6107">
        <v>77.833938391469502</v>
      </c>
      <c r="AM6107">
        <v>89.100743590605205</v>
      </c>
      <c r="AN6107">
        <v>0.99999999935307404</v>
      </c>
    </row>
    <row r="6108" spans="1:40" x14ac:dyDescent="0.25">
      <c r="A6108" t="str">
        <f>"20190304155225752"</f>
        <v>20190304155225752</v>
      </c>
      <c r="B6108" t="str">
        <f>"1551685945743424"</f>
        <v>1551685945743424</v>
      </c>
      <c r="C6108" t="s">
        <v>40</v>
      </c>
      <c r="D6108">
        <v>4.6891020000000001</v>
      </c>
      <c r="E6108">
        <v>0.59301899999999996</v>
      </c>
      <c r="F6108" t="s">
        <v>101</v>
      </c>
      <c r="G6108">
        <v>-310.61810000000003</v>
      </c>
      <c r="H6108">
        <v>2.9758800000000001</v>
      </c>
      <c r="I6108">
        <v>-91.564989999999995</v>
      </c>
      <c r="J6108">
        <v>-302.51049999999998</v>
      </c>
      <c r="K6108">
        <v>1.056265</v>
      </c>
      <c r="L6108">
        <v>2.6532900000000001</v>
      </c>
      <c r="M6108">
        <v>0.1718721</v>
      </c>
      <c r="N6108">
        <v>-1.4415549999999999E-2</v>
      </c>
      <c r="O6108">
        <v>-0.98501380000000005</v>
      </c>
      <c r="P6108">
        <v>0.16018829999999901</v>
      </c>
      <c r="Q6108">
        <v>0.19547610000000001</v>
      </c>
      <c r="R6108">
        <v>-0.96753769999999994</v>
      </c>
      <c r="S6108">
        <v>-0.26895140000000001</v>
      </c>
      <c r="T6108">
        <v>6.3829179999999999E-2</v>
      </c>
      <c r="U6108">
        <v>-3.1383359999999998</v>
      </c>
      <c r="V6108">
        <v>1.0866850000000001E-2</v>
      </c>
      <c r="W6108">
        <v>0.2094838</v>
      </c>
      <c r="X6108">
        <v>0.9777517</v>
      </c>
      <c r="Y6108">
        <v>0.2553375</v>
      </c>
      <c r="Z6108">
        <v>-3.4024100000000002E-2</v>
      </c>
      <c r="AA6108">
        <v>0.96625320000000003</v>
      </c>
      <c r="AB6108">
        <v>17</v>
      </c>
      <c r="AC6108">
        <v>-8.1076000000000406</v>
      </c>
      <c r="AD6108">
        <v>1.9196150000000001</v>
      </c>
      <c r="AE6108">
        <v>-94.218279999999993</v>
      </c>
      <c r="AF6108">
        <v>24.172143894896699</v>
      </c>
      <c r="AG6108">
        <v>1.9196150000000001</v>
      </c>
      <c r="AH6108">
        <v>91.384679419489203</v>
      </c>
      <c r="AI6108">
        <v>88.836627454637906</v>
      </c>
      <c r="AJ6108">
        <v>75.184019208751494</v>
      </c>
      <c r="AK6108">
        <v>94.547009972958094</v>
      </c>
      <c r="AL6108">
        <v>77.907896287937106</v>
      </c>
      <c r="AM6108">
        <v>89.363234032517596</v>
      </c>
      <c r="AN6108">
        <v>0.99999996887212494</v>
      </c>
    </row>
    <row r="6109" spans="1:40" x14ac:dyDescent="0.25">
      <c r="A6109" t="str">
        <f>"20190304155225774"</f>
        <v>20190304155225774</v>
      </c>
      <c r="B6109" t="str">
        <f>"1551685945762944"</f>
        <v>1551685945762944</v>
      </c>
      <c r="C6109" t="s">
        <v>40</v>
      </c>
      <c r="D6109">
        <v>4.733257</v>
      </c>
      <c r="E6109">
        <v>0.59112149999999997</v>
      </c>
      <c r="F6109" t="s">
        <v>101</v>
      </c>
      <c r="G6109">
        <v>-310.72379999999998</v>
      </c>
      <c r="H6109">
        <v>2.629537</v>
      </c>
      <c r="I6109">
        <v>-91.564989999999995</v>
      </c>
      <c r="J6109">
        <v>-302.49470000000002</v>
      </c>
      <c r="K6109">
        <v>1.0563929999999999</v>
      </c>
      <c r="L6109">
        <v>2.490326</v>
      </c>
      <c r="M6109">
        <v>0.16176689999999999</v>
      </c>
      <c r="N6109">
        <v>-1.433077E-2</v>
      </c>
      <c r="O6109">
        <v>-0.98672510000000002</v>
      </c>
      <c r="P6109">
        <v>0.15500320000000001</v>
      </c>
      <c r="Q6109">
        <v>0.19466269999999999</v>
      </c>
      <c r="R6109">
        <v>-0.96854580000000001</v>
      </c>
      <c r="S6109">
        <v>-0.27331539999999999</v>
      </c>
      <c r="T6109">
        <v>5.2354930000000001E-2</v>
      </c>
      <c r="U6109">
        <v>-3.135345</v>
      </c>
      <c r="V6109">
        <v>6.0127089999999998E-3</v>
      </c>
      <c r="W6109">
        <v>0.20864630000000001</v>
      </c>
      <c r="X6109">
        <v>0.97797270000000003</v>
      </c>
      <c r="Y6109">
        <v>0.24683430000000001</v>
      </c>
      <c r="Z6109">
        <v>-3.050543E-2</v>
      </c>
      <c r="AA6109">
        <v>0.96857740000000003</v>
      </c>
      <c r="AB6109">
        <v>17</v>
      </c>
      <c r="AC6109">
        <v>-8.2290999999999599</v>
      </c>
      <c r="AD6109">
        <v>1.5731440000000001</v>
      </c>
      <c r="AE6109">
        <v>-94.055316000000005</v>
      </c>
      <c r="AF6109">
        <v>23.3308119476774</v>
      </c>
      <c r="AG6109">
        <v>1.5731440000000001</v>
      </c>
      <c r="AH6109">
        <v>91.459533482646407</v>
      </c>
      <c r="AI6109">
        <v>89.045156479259006</v>
      </c>
      <c r="AJ6109">
        <v>75.689371463872504</v>
      </c>
      <c r="AK6109">
        <v>94.401524527127904</v>
      </c>
      <c r="AL6109">
        <v>77.956966441758695</v>
      </c>
      <c r="AM6109">
        <v>89.647742203282604</v>
      </c>
      <c r="AN6109">
        <v>1.00000001655924</v>
      </c>
    </row>
    <row r="6110" spans="1:40" x14ac:dyDescent="0.25">
      <c r="A6110" t="str">
        <f>"20190304155225797"</f>
        <v>20190304155225797</v>
      </c>
      <c r="B6110" t="str">
        <f>"1551685945793199"</f>
        <v>1551685945793199</v>
      </c>
      <c r="C6110" t="s">
        <v>40</v>
      </c>
      <c r="D6110">
        <v>4.7313929999999997</v>
      </c>
      <c r="E6110">
        <v>0.58881479999999997</v>
      </c>
      <c r="F6110" t="s">
        <v>101</v>
      </c>
      <c r="G6110">
        <v>-310.77190000000002</v>
      </c>
      <c r="H6110">
        <v>2.2650830000000002</v>
      </c>
      <c r="I6110">
        <v>-91.564989999999995</v>
      </c>
      <c r="J6110">
        <v>-302.4796</v>
      </c>
      <c r="K6110">
        <v>1.056516</v>
      </c>
      <c r="L6110">
        <v>2.3210139999999999</v>
      </c>
      <c r="M6110">
        <v>0.15153849999999999</v>
      </c>
      <c r="N6110">
        <v>-1.4228910000000001E-2</v>
      </c>
      <c r="O6110">
        <v>-0.98834900000000003</v>
      </c>
      <c r="P6110">
        <v>0.15021370000000001</v>
      </c>
      <c r="Q6110">
        <v>0.19380159999999999</v>
      </c>
      <c r="R6110">
        <v>-0.96947240000000001</v>
      </c>
      <c r="S6110">
        <v>-0.27575680000000002</v>
      </c>
      <c r="T6110">
        <v>4.0267940000000002E-2</v>
      </c>
      <c r="U6110">
        <v>-3.1334529999999998</v>
      </c>
      <c r="V6110">
        <v>6.4480959999999997E-4</v>
      </c>
      <c r="W6110">
        <v>0.20774619999999999</v>
      </c>
      <c r="X6110">
        <v>0.97818260000000001</v>
      </c>
      <c r="Y6110">
        <v>0.23758889999999999</v>
      </c>
      <c r="Z6110">
        <v>-2.6740819999999998E-2</v>
      </c>
      <c r="AA6110">
        <v>0.97099760000000002</v>
      </c>
      <c r="AB6110">
        <v>17</v>
      </c>
      <c r="AC6110">
        <v>-8.2923000000000098</v>
      </c>
      <c r="AD6110">
        <v>1.2085669999999999</v>
      </c>
      <c r="AE6110">
        <v>-93.886004</v>
      </c>
      <c r="AF6110">
        <v>22.421612831614201</v>
      </c>
      <c r="AG6110">
        <v>1.2085669999999999</v>
      </c>
      <c r="AH6110">
        <v>91.529747712707504</v>
      </c>
      <c r="AI6110">
        <v>89.265227797565402</v>
      </c>
      <c r="AJ6110">
        <v>76.235574483631396</v>
      </c>
      <c r="AK6110">
        <v>94.243748187963007</v>
      </c>
      <c r="AL6110">
        <v>78.009694181311502</v>
      </c>
      <c r="AM6110">
        <v>89.962231117872804</v>
      </c>
      <c r="AN6110">
        <v>1.0000000491683001</v>
      </c>
    </row>
    <row r="6111" spans="1:40" x14ac:dyDescent="0.25">
      <c r="A6111" t="str">
        <f>"20190304155225820"</f>
        <v>20190304155225820</v>
      </c>
      <c r="B6111" t="str">
        <f>"1551685945812720"</f>
        <v>1551685945812720</v>
      </c>
      <c r="C6111" t="s">
        <v>40</v>
      </c>
      <c r="D6111">
        <v>5.0652839999999903</v>
      </c>
      <c r="E6111">
        <v>0.56888899999999998</v>
      </c>
      <c r="F6111" t="s">
        <v>101</v>
      </c>
      <c r="G6111">
        <v>-310.68700000000001</v>
      </c>
      <c r="H6111">
        <v>1.827769</v>
      </c>
      <c r="I6111">
        <v>-91.564989999999995</v>
      </c>
      <c r="J6111">
        <v>-302.46519999999998</v>
      </c>
      <c r="K6111">
        <v>1.056664</v>
      </c>
      <c r="L6111">
        <v>2.141937</v>
      </c>
      <c r="M6111">
        <v>0.141061299999999</v>
      </c>
      <c r="N6111">
        <v>-1.410952E-2</v>
      </c>
      <c r="O6111">
        <v>-0.98990040000000001</v>
      </c>
      <c r="P6111">
        <v>0.14596589999999901</v>
      </c>
      <c r="Q6111">
        <v>0.1932239</v>
      </c>
      <c r="R6111">
        <v>-0.97023649999999995</v>
      </c>
      <c r="S6111">
        <v>-0.27377319999999999</v>
      </c>
      <c r="T6111">
        <v>2.5727030000000001E-2</v>
      </c>
      <c r="U6111">
        <v>-3.1317439999999999</v>
      </c>
      <c r="V6111">
        <v>-5.5277980000000004E-3</v>
      </c>
      <c r="W6111">
        <v>0.20711460000000001</v>
      </c>
      <c r="X6111">
        <v>0.97830099999999998</v>
      </c>
      <c r="Y6111">
        <v>0.22672400000000001</v>
      </c>
      <c r="Z6111">
        <v>-2.2164779999999999E-2</v>
      </c>
      <c r="AA6111">
        <v>0.97370679999999998</v>
      </c>
      <c r="AB6111">
        <v>17</v>
      </c>
      <c r="AC6111">
        <v>-8.2218000000000302</v>
      </c>
      <c r="AD6111">
        <v>0.77110499999999904</v>
      </c>
      <c r="AE6111">
        <v>-93.706926999999993</v>
      </c>
      <c r="AF6111">
        <v>21.357873225868801</v>
      </c>
      <c r="AG6111">
        <v>0.77110499999999904</v>
      </c>
      <c r="AH6111">
        <v>91.603702590592604</v>
      </c>
      <c r="AI6111">
        <v>89.530302051660996</v>
      </c>
      <c r="AJ6111">
        <v>76.875661159199396</v>
      </c>
      <c r="AK6111">
        <v>94.063763904912093</v>
      </c>
      <c r="AL6111">
        <v>78.046685350646698</v>
      </c>
      <c r="AM6111">
        <v>90.323740980354202</v>
      </c>
      <c r="AN6111">
        <v>0.99999993034244195</v>
      </c>
    </row>
    <row r="6112" spans="1:40" x14ac:dyDescent="0.25">
      <c r="A6112" t="str">
        <f>"20190304155225841"</f>
        <v>20190304155225841</v>
      </c>
      <c r="B6112" t="str">
        <f>"1551685945833216"</f>
        <v>1551685945833216</v>
      </c>
      <c r="C6112" t="s">
        <v>40</v>
      </c>
      <c r="D6112">
        <v>4.7959079999999998</v>
      </c>
      <c r="E6112">
        <v>0.56565339999999997</v>
      </c>
      <c r="F6112" t="s">
        <v>101</v>
      </c>
      <c r="G6112">
        <v>-306.39069999999998</v>
      </c>
      <c r="H6112">
        <v>1.6343840000000001</v>
      </c>
      <c r="I6112">
        <v>-91.564989999999995</v>
      </c>
      <c r="J6112">
        <v>-302.45339999999999</v>
      </c>
      <c r="K6112">
        <v>1.0568329999999999</v>
      </c>
      <c r="L6112">
        <v>1.9789429999999999</v>
      </c>
      <c r="M6112">
        <v>0.1318665</v>
      </c>
      <c r="N6112">
        <v>-1.399538E-2</v>
      </c>
      <c r="O6112">
        <v>-0.99116870000000001</v>
      </c>
      <c r="P6112">
        <v>0.14220459999999999</v>
      </c>
      <c r="Q6112">
        <v>0.19163520000000001</v>
      </c>
      <c r="R6112">
        <v>-0.97110980000000002</v>
      </c>
      <c r="S6112">
        <v>-0.130188</v>
      </c>
      <c r="T6112">
        <v>1.9160509999999999E-2</v>
      </c>
      <c r="U6112">
        <v>-3.1077880000000002</v>
      </c>
      <c r="V6112">
        <v>-1.0902729999999999E-2</v>
      </c>
      <c r="W6112">
        <v>0.2054666</v>
      </c>
      <c r="X6112">
        <v>0.97860340000000001</v>
      </c>
      <c r="Y6112">
        <v>0.17323459999999999</v>
      </c>
      <c r="Z6112">
        <v>-2.006848E-2</v>
      </c>
      <c r="AA6112">
        <v>0.98467610000000005</v>
      </c>
      <c r="AB6112">
        <v>17</v>
      </c>
      <c r="AC6112">
        <v>-3.9372999999999898</v>
      </c>
      <c r="AD6112">
        <v>0.57755100000000004</v>
      </c>
      <c r="AE6112">
        <v>-93.543932999999996</v>
      </c>
      <c r="AF6112">
        <v>16.238811836281201</v>
      </c>
      <c r="AG6112">
        <v>0.57755100000000004</v>
      </c>
      <c r="AH6112">
        <v>92.204141069183805</v>
      </c>
      <c r="AI6112">
        <v>89.6465532392656</v>
      </c>
      <c r="AJ6112">
        <v>80.011611316270603</v>
      </c>
      <c r="AK6112">
        <v>93.624976396887305</v>
      </c>
      <c r="AL6112">
        <v>78.143185320146202</v>
      </c>
      <c r="AM6112">
        <v>90.638312282660607</v>
      </c>
      <c r="AN6112">
        <v>1.00000000386428</v>
      </c>
    </row>
    <row r="6113" spans="1:40" x14ac:dyDescent="0.25">
      <c r="A6113" t="str">
        <f>"20190304155225864"</f>
        <v>20190304155225864</v>
      </c>
      <c r="B6113" t="str">
        <f>"1551685945852736"</f>
        <v>1551685945852736</v>
      </c>
      <c r="C6113" t="s">
        <v>40</v>
      </c>
      <c r="D6113">
        <v>4.7347169999999998</v>
      </c>
      <c r="E6113">
        <v>0.56409039999999999</v>
      </c>
      <c r="F6113" t="s">
        <v>101</v>
      </c>
      <c r="G6113">
        <v>-305.95650000000001</v>
      </c>
      <c r="H6113">
        <v>1.1535869999999999</v>
      </c>
      <c r="I6113">
        <v>-91.564989999999995</v>
      </c>
      <c r="J6113">
        <v>-302.44200000000001</v>
      </c>
      <c r="K6113">
        <v>1.057056</v>
      </c>
      <c r="L6113">
        <v>1.8062739999999999</v>
      </c>
      <c r="M6113">
        <v>0.1225053</v>
      </c>
      <c r="N6113">
        <v>-1.3867010000000001E-2</v>
      </c>
      <c r="O6113">
        <v>-0.99237089999999994</v>
      </c>
      <c r="P6113">
        <v>0.13889470000000001</v>
      </c>
      <c r="Q6113">
        <v>0.19023229999999999</v>
      </c>
      <c r="R6113">
        <v>-0.97186430000000001</v>
      </c>
      <c r="S6113">
        <v>-0.1163025</v>
      </c>
      <c r="T6113">
        <v>3.2126899999999998E-3</v>
      </c>
      <c r="U6113">
        <v>-3.1056520000000001</v>
      </c>
      <c r="V6113">
        <v>-1.6920879999999999E-2</v>
      </c>
      <c r="W6113">
        <v>0.203988</v>
      </c>
      <c r="X6113">
        <v>0.97882709999999995</v>
      </c>
      <c r="Y6113">
        <v>0.15955339999999901</v>
      </c>
      <c r="Z6113">
        <v>-1.491464E-2</v>
      </c>
      <c r="AA6113">
        <v>0.98707659999999997</v>
      </c>
      <c r="AB6113">
        <v>17</v>
      </c>
      <c r="AC6113">
        <v>-3.5144999999999902</v>
      </c>
      <c r="AD6113">
        <v>9.6531000000000103E-2</v>
      </c>
      <c r="AE6113">
        <v>-93.371263999999996</v>
      </c>
      <c r="AF6113">
        <v>14.9275827679778</v>
      </c>
      <c r="AG6113">
        <v>9.6531000000000103E-2</v>
      </c>
      <c r="AH6113">
        <v>92.237157845820306</v>
      </c>
      <c r="AI6113">
        <v>89.940807173581007</v>
      </c>
      <c r="AJ6113">
        <v>80.807007682086095</v>
      </c>
      <c r="AK6113">
        <v>93.437333721610202</v>
      </c>
      <c r="AL6113">
        <v>78.229735524837494</v>
      </c>
      <c r="AM6113">
        <v>90.990367403393904</v>
      </c>
      <c r="AN6113">
        <v>0.999999956009191</v>
      </c>
    </row>
    <row r="6114" spans="1:40" x14ac:dyDescent="0.25">
      <c r="A6114" t="str">
        <f>"20190304155225887"</f>
        <v>20190304155225887</v>
      </c>
      <c r="B6114" t="str">
        <f>"1551685945882992"</f>
        <v>1551685945882992</v>
      </c>
      <c r="C6114" t="s">
        <v>40</v>
      </c>
      <c r="D6114">
        <v>4.7170370000000004</v>
      </c>
      <c r="E6114">
        <v>0.56174869999999899</v>
      </c>
      <c r="F6114" t="s">
        <v>101</v>
      </c>
      <c r="G6114">
        <v>-305.8734</v>
      </c>
      <c r="H6114">
        <v>0.41586299999999998</v>
      </c>
      <c r="I6114">
        <v>-91.564989999999995</v>
      </c>
      <c r="J6114">
        <v>-302.4316</v>
      </c>
      <c r="K6114">
        <v>1.05731</v>
      </c>
      <c r="L6114">
        <v>1.6328739999999999</v>
      </c>
      <c r="M6114">
        <v>0.1135376</v>
      </c>
      <c r="N6114">
        <v>-1.3731719999999999E-2</v>
      </c>
      <c r="O6114">
        <v>-0.99343879999999996</v>
      </c>
      <c r="P6114">
        <v>0.13534969999999999</v>
      </c>
      <c r="Q6114">
        <v>0.18894440000000001</v>
      </c>
      <c r="R6114">
        <v>-0.97261520000000001</v>
      </c>
      <c r="S6114">
        <v>-0.1141968</v>
      </c>
      <c r="T6114">
        <v>-2.1338220000000001E-2</v>
      </c>
      <c r="U6114">
        <v>-3.107361</v>
      </c>
      <c r="V6114">
        <v>-2.232408E-2</v>
      </c>
      <c r="W6114">
        <v>0.2026028</v>
      </c>
      <c r="X6114">
        <v>0.9790065</v>
      </c>
      <c r="Y6114">
        <v>0.14993770000000001</v>
      </c>
      <c r="Z6114">
        <v>-7.0017250000000003E-3</v>
      </c>
      <c r="AA6114">
        <v>0.98867059999999996</v>
      </c>
      <c r="AB6114">
        <v>17</v>
      </c>
      <c r="AC6114">
        <v>-3.4418000000000002</v>
      </c>
      <c r="AD6114">
        <v>-0.64144699999999899</v>
      </c>
      <c r="AE6114">
        <v>-93.197863999999996</v>
      </c>
      <c r="AF6114">
        <v>14.0013373150133</v>
      </c>
      <c r="AG6114">
        <v>-0.64144699999999899</v>
      </c>
      <c r="AH6114">
        <v>92.199932454830801</v>
      </c>
      <c r="AI6114">
        <v>90.394089803107093</v>
      </c>
      <c r="AJ6114">
        <v>81.365125579077898</v>
      </c>
      <c r="AK6114">
        <v>93.259189603695205</v>
      </c>
      <c r="AL6114">
        <v>78.310794804472195</v>
      </c>
      <c r="AM6114">
        <v>91.306277274137202</v>
      </c>
      <c r="AN6114">
        <v>0.99999999307896803</v>
      </c>
    </row>
    <row r="6115" spans="1:40" x14ac:dyDescent="0.25">
      <c r="A6115" t="str">
        <f>"20190304155225912"</f>
        <v>20190304155225912</v>
      </c>
      <c r="B6115" t="str">
        <f>"1551685945903488"</f>
        <v>1551685945903488</v>
      </c>
      <c r="C6115" t="s">
        <v>40</v>
      </c>
      <c r="D6115">
        <v>4.747579</v>
      </c>
      <c r="E6115">
        <v>0.56209679999999995</v>
      </c>
      <c r="F6115" t="s">
        <v>77</v>
      </c>
      <c r="G6115">
        <v>-304.90989999999999</v>
      </c>
      <c r="H6115">
        <v>7.9986160000000001E-2</v>
      </c>
      <c r="I6115">
        <v>-70.699019999999905</v>
      </c>
      <c r="J6115">
        <v>-302.42180000000002</v>
      </c>
      <c r="K6115">
        <v>1.057601</v>
      </c>
      <c r="L6115">
        <v>1.4500120000000001</v>
      </c>
      <c r="M6115">
        <v>0.10467949999999999</v>
      </c>
      <c r="N6115">
        <v>-1.358352E-2</v>
      </c>
      <c r="O6115">
        <v>-0.99441329999999994</v>
      </c>
      <c r="P6115">
        <v>0.1311948</v>
      </c>
      <c r="Q6115">
        <v>0.1874334</v>
      </c>
      <c r="R6115">
        <v>-0.97347660000000003</v>
      </c>
      <c r="S6115">
        <v>-0.1064758</v>
      </c>
      <c r="T6115">
        <v>-4.1986820000000001E-2</v>
      </c>
      <c r="U6115">
        <v>-3.1074519999999999</v>
      </c>
      <c r="V6115">
        <v>-2.7013499999999999E-2</v>
      </c>
      <c r="W6115">
        <v>0.20096720000000001</v>
      </c>
      <c r="X6115">
        <v>0.97922549999999997</v>
      </c>
      <c r="Y6115">
        <v>0.13865859999999999</v>
      </c>
      <c r="Z6115">
        <v>-2.78118E-4</v>
      </c>
      <c r="AA6115">
        <v>0.9903402</v>
      </c>
      <c r="AB6115">
        <v>17</v>
      </c>
      <c r="AC6115">
        <v>-2.48809999999997</v>
      </c>
      <c r="AD6115">
        <v>-0.97761483999999998</v>
      </c>
      <c r="AE6115">
        <v>-72.149031999999906</v>
      </c>
      <c r="AF6115">
        <v>10.025810313799701</v>
      </c>
      <c r="AG6115">
        <v>-0.97761483999999998</v>
      </c>
      <c r="AH6115">
        <v>71.478987484525106</v>
      </c>
      <c r="AI6115">
        <v>90.775987810367198</v>
      </c>
      <c r="AJ6115">
        <v>82.015647895042306</v>
      </c>
      <c r="AK6115">
        <v>72.185304979868206</v>
      </c>
      <c r="AL6115">
        <v>78.406476784304004</v>
      </c>
      <c r="AM6115">
        <v>91.580194851482901</v>
      </c>
      <c r="AN6115">
        <v>1.00000006225416</v>
      </c>
    </row>
    <row r="6116" spans="1:40" x14ac:dyDescent="0.25">
      <c r="A6116" t="str">
        <f>"20190304155225931"</f>
        <v>20190304155225931</v>
      </c>
      <c r="B6116" t="str">
        <f>"1551685945923008"</f>
        <v>1551685945923008</v>
      </c>
      <c r="C6116" t="s">
        <v>40</v>
      </c>
      <c r="D6116">
        <v>4.7742550000000001</v>
      </c>
      <c r="E6116">
        <v>0.56321730000000003</v>
      </c>
      <c r="F6116" t="s">
        <v>77</v>
      </c>
      <c r="G6116">
        <v>-305.1189</v>
      </c>
      <c r="H6116" s="1">
        <v>-8.6519829999999997E-6</v>
      </c>
      <c r="I6116">
        <v>-67.447009999999906</v>
      </c>
      <c r="J6116">
        <v>-302.41460000000001</v>
      </c>
      <c r="K6116">
        <v>1.0578299999999901</v>
      </c>
      <c r="L6116">
        <v>1.3033140000000001</v>
      </c>
      <c r="M6116">
        <v>9.7976839999999996E-2</v>
      </c>
      <c r="N6116">
        <v>-1.346208E-2</v>
      </c>
      <c r="O6116">
        <v>-0.99509769999999997</v>
      </c>
      <c r="P6116">
        <v>0.12988350000000001</v>
      </c>
      <c r="Q6116">
        <v>0.18692729999999999</v>
      </c>
      <c r="R6116">
        <v>-0.97375</v>
      </c>
      <c r="S6116">
        <v>-0.1216431</v>
      </c>
      <c r="T6116">
        <v>-4.7699329999999998E-2</v>
      </c>
      <c r="U6116">
        <v>-3.1073300000000001</v>
      </c>
      <c r="V6116">
        <v>-3.2421430000000001E-2</v>
      </c>
      <c r="W6116">
        <v>0.20036280000000001</v>
      </c>
      <c r="X6116">
        <v>0.97918519999999998</v>
      </c>
      <c r="Y6116">
        <v>0.13681299999999999</v>
      </c>
      <c r="Z6116">
        <v>1.6721819999999999E-3</v>
      </c>
      <c r="AA6116">
        <v>0.99059549999999996</v>
      </c>
      <c r="AB6116">
        <v>17</v>
      </c>
      <c r="AC6116">
        <v>-2.7042999999999799</v>
      </c>
      <c r="AD6116">
        <v>-1.0578386519830001</v>
      </c>
      <c r="AE6116">
        <v>-68.750323999999907</v>
      </c>
      <c r="AF6116">
        <v>9.4256079013031808</v>
      </c>
      <c r="AG6116">
        <v>-1.0578386519830001</v>
      </c>
      <c r="AH6116">
        <v>68.138395581092198</v>
      </c>
      <c r="AI6116">
        <v>90.881048890929904</v>
      </c>
      <c r="AJ6116">
        <v>82.124236137912405</v>
      </c>
      <c r="AK6116">
        <v>68.795363646746793</v>
      </c>
      <c r="AL6116">
        <v>78.441824946783399</v>
      </c>
      <c r="AM6116">
        <v>91.896406021822102</v>
      </c>
      <c r="AN6116">
        <v>1.0000000283230599</v>
      </c>
    </row>
    <row r="6117" spans="1:40" x14ac:dyDescent="0.25">
      <c r="A6117" t="str">
        <f>"20190304155225953"</f>
        <v>20190304155225953</v>
      </c>
      <c r="B6117" t="str">
        <f>"1551685945943503"</f>
        <v>1551685945943503</v>
      </c>
      <c r="C6117" t="s">
        <v>40</v>
      </c>
      <c r="D6117">
        <v>4.8051959999999996</v>
      </c>
      <c r="E6117">
        <v>0.56478660000000003</v>
      </c>
      <c r="F6117" t="s">
        <v>101</v>
      </c>
      <c r="G6117">
        <v>-306.42590000000001</v>
      </c>
      <c r="H6117">
        <v>5.7649609999999997E-2</v>
      </c>
      <c r="I6117">
        <v>-91.564989999999995</v>
      </c>
      <c r="J6117">
        <v>-302.40690000000001</v>
      </c>
      <c r="K6117">
        <v>1.0580579999999999</v>
      </c>
      <c r="L6117">
        <v>1.133575</v>
      </c>
      <c r="M6117">
        <v>9.0664739999999994E-2</v>
      </c>
      <c r="N6117">
        <v>-1.332586E-2</v>
      </c>
      <c r="O6117">
        <v>-0.99579229999999996</v>
      </c>
      <c r="P6117">
        <v>0.12757209999999999</v>
      </c>
      <c r="Q6117">
        <v>0.18741840000000001</v>
      </c>
      <c r="R6117">
        <v>-0.97396090000000002</v>
      </c>
      <c r="S6117">
        <v>-0.13412479999999999</v>
      </c>
      <c r="T6117">
        <v>-3.3442140000000002E-2</v>
      </c>
      <c r="U6117">
        <v>-3.105194</v>
      </c>
      <c r="V6117">
        <v>-3.7426210000000001E-2</v>
      </c>
      <c r="W6117">
        <v>0.20072950000000001</v>
      </c>
      <c r="X6117">
        <v>0.97893149999999995</v>
      </c>
      <c r="Y6117">
        <v>0.13354240000000001</v>
      </c>
      <c r="Z6117">
        <v>-2.7028519999999999E-3</v>
      </c>
      <c r="AA6117">
        <v>0.99103940000000001</v>
      </c>
      <c r="AB6117">
        <v>17</v>
      </c>
      <c r="AC6117">
        <v>-4.0190000000000001</v>
      </c>
      <c r="AD6117">
        <v>-1.00040839</v>
      </c>
      <c r="AE6117">
        <v>-92.698565000000002</v>
      </c>
      <c r="AF6117">
        <v>12.4062401743364</v>
      </c>
      <c r="AG6117">
        <v>-1.00040839</v>
      </c>
      <c r="AH6117">
        <v>91.941613178599496</v>
      </c>
      <c r="AI6117">
        <v>90.6178069768836</v>
      </c>
      <c r="AJ6117">
        <v>82.315149481719303</v>
      </c>
      <c r="AK6117">
        <v>92.780255691032195</v>
      </c>
      <c r="AL6117">
        <v>78.420378178650296</v>
      </c>
      <c r="AM6117">
        <v>92.189448406508802</v>
      </c>
      <c r="AN6117">
        <v>0.99999996752873099</v>
      </c>
    </row>
    <row r="6118" spans="1:40" x14ac:dyDescent="0.25">
      <c r="A6118" t="str">
        <f>"20190304155225975"</f>
        <v>20190304155225975</v>
      </c>
      <c r="B6118" t="str">
        <f>"1551685945972784"</f>
        <v>1551685945972784</v>
      </c>
      <c r="C6118" t="s">
        <v>40</v>
      </c>
      <c r="D6118">
        <v>4.7121690000000003</v>
      </c>
      <c r="E6118">
        <v>0.5655829</v>
      </c>
      <c r="F6118" t="s">
        <v>101</v>
      </c>
      <c r="G6118">
        <v>-306.98149999999998</v>
      </c>
      <c r="H6118">
        <v>0.23208429999999999</v>
      </c>
      <c r="I6118">
        <v>-91.564989999999995</v>
      </c>
      <c r="J6118">
        <v>-302.39999999999998</v>
      </c>
      <c r="K6118">
        <v>1.0583320000000001</v>
      </c>
      <c r="L6118">
        <v>0.96945190000000003</v>
      </c>
      <c r="M6118">
        <v>8.3644750000000004E-2</v>
      </c>
      <c r="N6118">
        <v>-1.336293E-2</v>
      </c>
      <c r="O6118">
        <v>-0.99640620000000002</v>
      </c>
      <c r="P6118">
        <v>0.1249164</v>
      </c>
      <c r="Q6118">
        <v>0.18790290000000001</v>
      </c>
      <c r="R6118">
        <v>-0.97421199999999997</v>
      </c>
      <c r="S6118">
        <v>-0.15325929999999999</v>
      </c>
      <c r="T6118">
        <v>-2.7671339999999999E-2</v>
      </c>
      <c r="U6118">
        <v>-3.105591</v>
      </c>
      <c r="V6118">
        <v>-4.178809E-2</v>
      </c>
      <c r="W6118">
        <v>0.20125080000000001</v>
      </c>
      <c r="X6118">
        <v>0.97864799999999996</v>
      </c>
      <c r="Y6118">
        <v>0.13264699999999999</v>
      </c>
      <c r="Z6118">
        <v>-4.5726170000000002E-3</v>
      </c>
      <c r="AA6118">
        <v>0.99115279999999994</v>
      </c>
      <c r="AB6118">
        <v>17</v>
      </c>
      <c r="AC6118">
        <v>-4.5815000000000001</v>
      </c>
      <c r="AD6118">
        <v>-0.82624769999999903</v>
      </c>
      <c r="AE6118">
        <v>-92.534441900000004</v>
      </c>
      <c r="AF6118">
        <v>12.3051733658336</v>
      </c>
      <c r="AG6118">
        <v>-0.82624769999999903</v>
      </c>
      <c r="AH6118">
        <v>91.819554457531694</v>
      </c>
      <c r="AI6118">
        <v>90.510999945769399</v>
      </c>
      <c r="AJ6118">
        <v>82.367000502115701</v>
      </c>
      <c r="AK6118">
        <v>92.644106977209304</v>
      </c>
      <c r="AL6118">
        <v>78.389888274941896</v>
      </c>
      <c r="AM6118">
        <v>92.445034002939707</v>
      </c>
      <c r="AN6118">
        <v>1.00000001843524</v>
      </c>
    </row>
    <row r="6119" spans="1:40" x14ac:dyDescent="0.25">
      <c r="A6119" t="str">
        <f>"20190304155225998"</f>
        <v>20190304155225998</v>
      </c>
      <c r="B6119" t="str">
        <f>"1551685945993281"</f>
        <v>1551685945993281</v>
      </c>
      <c r="C6119" t="s">
        <v>40</v>
      </c>
      <c r="D6119">
        <v>4.8015160000000003</v>
      </c>
      <c r="E6119">
        <v>0.56603519999999996</v>
      </c>
      <c r="F6119" t="s">
        <v>101</v>
      </c>
      <c r="G6119">
        <v>-307.3424</v>
      </c>
      <c r="H6119">
        <v>0.59059759999999994</v>
      </c>
      <c r="I6119">
        <v>-91.564989999999995</v>
      </c>
      <c r="J6119">
        <v>-302.39350000000002</v>
      </c>
      <c r="K6119">
        <v>1.058805</v>
      </c>
      <c r="L6119">
        <v>0.80413819999999903</v>
      </c>
      <c r="M6119">
        <v>7.651173E-2</v>
      </c>
      <c r="N6119">
        <v>-1.396943E-2</v>
      </c>
      <c r="O6119">
        <v>-0.9969711</v>
      </c>
      <c r="P6119">
        <v>0.1221423</v>
      </c>
      <c r="Q6119">
        <v>0.18773590000000001</v>
      </c>
      <c r="R6119">
        <v>-0.97459600000000002</v>
      </c>
      <c r="S6119">
        <v>-0.16577149999999999</v>
      </c>
      <c r="T6119">
        <v>-1.5687820000000002E-2</v>
      </c>
      <c r="U6119">
        <v>-3.1036990000000002</v>
      </c>
      <c r="V6119">
        <v>-4.6112710000000001E-2</v>
      </c>
      <c r="W6119">
        <v>0.20167669999999999</v>
      </c>
      <c r="X6119">
        <v>0.97836599999999996</v>
      </c>
      <c r="Y6119">
        <v>0.1295695</v>
      </c>
      <c r="Z6119">
        <v>-8.9909559999999996E-3</v>
      </c>
      <c r="AA6119">
        <v>0.99152960000000001</v>
      </c>
      <c r="AB6119">
        <v>17</v>
      </c>
      <c r="AC6119">
        <v>-4.9488999999999796</v>
      </c>
      <c r="AD6119">
        <v>-0.4682074</v>
      </c>
      <c r="AE6119">
        <v>-92.369128200000006</v>
      </c>
      <c r="AF6119">
        <v>12.002092357081199</v>
      </c>
      <c r="AG6119">
        <v>-0.4682074</v>
      </c>
      <c r="AH6119">
        <v>91.717276536101906</v>
      </c>
      <c r="AI6119">
        <v>90.290014052264695</v>
      </c>
      <c r="AJ6119">
        <v>82.544656438992405</v>
      </c>
      <c r="AK6119">
        <v>92.500422995341495</v>
      </c>
      <c r="AL6119">
        <v>78.364974396068604</v>
      </c>
      <c r="AM6119">
        <v>92.698488965388407</v>
      </c>
      <c r="AN6119">
        <v>0.99999995165121502</v>
      </c>
    </row>
    <row r="6120" spans="1:40" x14ac:dyDescent="0.25">
      <c r="A6120" t="str">
        <f>"20190304155226020"</f>
        <v>20190304155226020</v>
      </c>
      <c r="B6120" t="str">
        <f>"1551685946012800"</f>
        <v>1551685946012800</v>
      </c>
      <c r="C6120" t="s">
        <v>40</v>
      </c>
      <c r="D6120">
        <v>4.7684749999999996</v>
      </c>
      <c r="E6120">
        <v>0.56601199999999996</v>
      </c>
      <c r="F6120" t="s">
        <v>101</v>
      </c>
      <c r="G6120">
        <v>-307.66160000000002</v>
      </c>
      <c r="H6120">
        <v>0.73952910000000005</v>
      </c>
      <c r="I6120">
        <v>-91.564989999999995</v>
      </c>
      <c r="J6120">
        <v>-302.38749999999999</v>
      </c>
      <c r="K6120">
        <v>1.0592490000000001</v>
      </c>
      <c r="L6120">
        <v>0.63885499999999995</v>
      </c>
      <c r="M6120">
        <v>7.1087049999999999E-2</v>
      </c>
      <c r="N6120">
        <v>-1.450833E-2</v>
      </c>
      <c r="O6120">
        <v>-0.99736460000000005</v>
      </c>
      <c r="P6120">
        <v>0.1218566</v>
      </c>
      <c r="Q6120">
        <v>0.18767239999999999</v>
      </c>
      <c r="R6120">
        <v>-0.97464379999999995</v>
      </c>
      <c r="S6120">
        <v>-0.17694089999999901</v>
      </c>
      <c r="T6120">
        <v>-1.072323E-2</v>
      </c>
      <c r="U6120">
        <v>-3.1024479999999999</v>
      </c>
      <c r="V6120">
        <v>-5.1106409999999998E-2</v>
      </c>
      <c r="W6120">
        <v>0.20217740000000001</v>
      </c>
      <c r="X6120">
        <v>0.97801450000000001</v>
      </c>
      <c r="Y6120">
        <v>0.12775510000000001</v>
      </c>
      <c r="Z6120">
        <v>-1.111177E-2</v>
      </c>
      <c r="AA6120">
        <v>0.9917435</v>
      </c>
      <c r="AB6120">
        <v>16</v>
      </c>
      <c r="AC6120">
        <v>-5.27410000000003</v>
      </c>
      <c r="AD6120">
        <v>-0.319719899999999</v>
      </c>
      <c r="AE6120">
        <v>-92.203845000000001</v>
      </c>
      <c r="AF6120">
        <v>11.8158019799359</v>
      </c>
      <c r="AG6120">
        <v>-0.319719899999999</v>
      </c>
      <c r="AH6120">
        <v>91.594473355171402</v>
      </c>
      <c r="AI6120">
        <v>90.198352380364497</v>
      </c>
      <c r="AJ6120">
        <v>82.649367922017703</v>
      </c>
      <c r="AK6120">
        <v>92.354008827201</v>
      </c>
      <c r="AL6120">
        <v>78.335683160063596</v>
      </c>
      <c r="AM6120">
        <v>92.991285623661298</v>
      </c>
      <c r="AN6120">
        <v>0.99999996421204795</v>
      </c>
    </row>
    <row r="6121" spans="1:40" x14ac:dyDescent="0.25">
      <c r="A6121" t="str">
        <f>"20190304155226043"</f>
        <v>20190304155226043</v>
      </c>
      <c r="B6121" t="str">
        <f>"1551685946033296"</f>
        <v>1551685946033296</v>
      </c>
      <c r="C6121" t="s">
        <v>40</v>
      </c>
      <c r="D6121">
        <v>4.7958379999999998</v>
      </c>
      <c r="E6121">
        <v>0.56583619999999901</v>
      </c>
      <c r="F6121" t="s">
        <v>101</v>
      </c>
      <c r="G6121">
        <v>-307.70670000000001</v>
      </c>
      <c r="H6121">
        <v>0.88269039999999999</v>
      </c>
      <c r="I6121">
        <v>-91.564989999999995</v>
      </c>
      <c r="J6121">
        <v>-302.38240000000002</v>
      </c>
      <c r="K6121">
        <v>1.059552</v>
      </c>
      <c r="L6121">
        <v>0.47668460000000001</v>
      </c>
      <c r="M6121">
        <v>6.7354570000000002E-2</v>
      </c>
      <c r="N6121">
        <v>-1.358526E-2</v>
      </c>
      <c r="O6121">
        <v>-0.99763670000000004</v>
      </c>
      <c r="P6121">
        <v>0.12187969999999999</v>
      </c>
      <c r="Q6121">
        <v>0.18943180000000001</v>
      </c>
      <c r="R6121">
        <v>-0.97430030000000001</v>
      </c>
      <c r="S6121">
        <v>-0.17892459999999999</v>
      </c>
      <c r="T6121">
        <v>-5.9386489999999998E-3</v>
      </c>
      <c r="U6121">
        <v>-3.1015630000000001</v>
      </c>
      <c r="V6121">
        <v>-5.4680899999999998E-2</v>
      </c>
      <c r="W6121">
        <v>0.20308419999999999</v>
      </c>
      <c r="X6121">
        <v>0.97763330000000004</v>
      </c>
      <c r="Y6121">
        <v>0.124693899999999</v>
      </c>
      <c r="Z6121">
        <v>-1.171269E-2</v>
      </c>
      <c r="AA6121">
        <v>0.99212610000000001</v>
      </c>
      <c r="AB6121">
        <v>16</v>
      </c>
      <c r="AC6121">
        <v>-5.3242999999999903</v>
      </c>
      <c r="AD6121">
        <v>-0.17686159999999901</v>
      </c>
      <c r="AE6121">
        <v>-92.041674599999993</v>
      </c>
      <c r="AF6121">
        <v>11.512163472127501</v>
      </c>
      <c r="AG6121">
        <v>-0.17686159999999901</v>
      </c>
      <c r="AH6121">
        <v>91.473633174524707</v>
      </c>
      <c r="AI6121">
        <v>90.109912560168297</v>
      </c>
      <c r="AJ6121">
        <v>82.826909044547193</v>
      </c>
      <c r="AK6121">
        <v>92.195372736282394</v>
      </c>
      <c r="AL6121">
        <v>78.282627493751093</v>
      </c>
      <c r="AM6121">
        <v>93.201326974279198</v>
      </c>
      <c r="AN6121">
        <v>1.0000000311916599</v>
      </c>
    </row>
    <row r="6122" spans="1:40" x14ac:dyDescent="0.25">
      <c r="A6122" t="str">
        <f>"20190304155226065"</f>
        <v>20190304155226065</v>
      </c>
      <c r="B6122" t="str">
        <f>"1551685946052816"</f>
        <v>1551685946052816</v>
      </c>
      <c r="C6122" t="s">
        <v>40</v>
      </c>
      <c r="D6122">
        <v>4.7499289999999998</v>
      </c>
      <c r="E6122">
        <v>0.56563319999999995</v>
      </c>
      <c r="F6122" t="s">
        <v>101</v>
      </c>
      <c r="G6122">
        <v>-307.64</v>
      </c>
      <c r="H6122">
        <v>1.0499940000000001</v>
      </c>
      <c r="I6122">
        <v>-91.564989999999995</v>
      </c>
      <c r="J6122">
        <v>-302.37759999999997</v>
      </c>
      <c r="K6122">
        <v>1.0603590000000001</v>
      </c>
      <c r="L6122">
        <v>0.31182860000000001</v>
      </c>
      <c r="M6122">
        <v>6.3439599999999999E-2</v>
      </c>
      <c r="N6122">
        <v>-1.145697E-2</v>
      </c>
      <c r="O6122">
        <v>-0.99791989999999997</v>
      </c>
      <c r="P6122">
        <v>0.1206714</v>
      </c>
      <c r="Q6122">
        <v>0.1915473</v>
      </c>
      <c r="R6122">
        <v>-0.97403709999999999</v>
      </c>
      <c r="S6122">
        <v>-0.17715449999999999</v>
      </c>
      <c r="T6122">
        <v>-3.2162670000000001E-4</v>
      </c>
      <c r="U6122">
        <v>-3.1013489999999999</v>
      </c>
      <c r="V6122">
        <v>-5.7391579999999998E-2</v>
      </c>
      <c r="W6122">
        <v>0.20311409999999999</v>
      </c>
      <c r="X6122">
        <v>0.97747169999999906</v>
      </c>
      <c r="Y6122">
        <v>0.1202428</v>
      </c>
      <c r="Z6122">
        <v>-1.1374830000000001E-2</v>
      </c>
      <c r="AA6122">
        <v>0.99267939999999999</v>
      </c>
      <c r="AB6122">
        <v>16</v>
      </c>
      <c r="AC6122">
        <v>-5.2624000000000102</v>
      </c>
      <c r="AD6122">
        <v>-1.03649999999999E-2</v>
      </c>
      <c r="AE6122">
        <v>-91.876818599999993</v>
      </c>
      <c r="AF6122">
        <v>11.080809587944</v>
      </c>
      <c r="AG6122">
        <v>-1.03649999999999E-2</v>
      </c>
      <c r="AH6122">
        <v>91.357857318495505</v>
      </c>
      <c r="AI6122">
        <v>90.006453194909199</v>
      </c>
      <c r="AJ6122">
        <v>83.084366089422502</v>
      </c>
      <c r="AK6122">
        <v>92.027401041125103</v>
      </c>
      <c r="AL6122">
        <v>78.280877843311799</v>
      </c>
      <c r="AM6122">
        <v>93.360224600559306</v>
      </c>
      <c r="AN6122">
        <v>1.00000002768729</v>
      </c>
    </row>
    <row r="6123" spans="1:40" x14ac:dyDescent="0.25">
      <c r="A6123" t="str">
        <f>"20190304155226087"</f>
        <v>20190304155226087</v>
      </c>
      <c r="B6123" t="str">
        <f>"1551685946083071"</f>
        <v>1551685946083071</v>
      </c>
      <c r="C6123" t="s">
        <v>40</v>
      </c>
      <c r="D6123">
        <v>4.7620319999999996</v>
      </c>
      <c r="E6123">
        <v>0.56546099999999999</v>
      </c>
      <c r="F6123" t="s">
        <v>101</v>
      </c>
      <c r="G6123">
        <v>-307.62020000000001</v>
      </c>
      <c r="H6123">
        <v>1.2819579999999999</v>
      </c>
      <c r="I6123">
        <v>-91.564989999999995</v>
      </c>
      <c r="J6123">
        <v>-302.37270000000001</v>
      </c>
      <c r="K6123">
        <v>1.06196</v>
      </c>
      <c r="L6123">
        <v>0.14251710000000001</v>
      </c>
      <c r="M6123">
        <v>5.8854400000000001E-2</v>
      </c>
      <c r="N6123">
        <v>-9.3011789999999997E-3</v>
      </c>
      <c r="O6123">
        <v>-0.99822339999999998</v>
      </c>
      <c r="P6123">
        <v>0.1192458</v>
      </c>
      <c r="Q6123">
        <v>0.19309960000000001</v>
      </c>
      <c r="R6123">
        <v>-0.9739063</v>
      </c>
      <c r="S6123">
        <v>-0.1769104</v>
      </c>
      <c r="T6123">
        <v>7.4783559999999898E-3</v>
      </c>
      <c r="U6123">
        <v>-3.100403</v>
      </c>
      <c r="V6123">
        <v>-6.071116E-2</v>
      </c>
      <c r="W6123">
        <v>0.20250380000000001</v>
      </c>
      <c r="X6123">
        <v>0.97739770000000004</v>
      </c>
      <c r="Y6123">
        <v>0.1156228</v>
      </c>
      <c r="Z6123">
        <v>-1.1712419999999999E-2</v>
      </c>
      <c r="AA6123">
        <v>0.99322410000000005</v>
      </c>
      <c r="AB6123">
        <v>16</v>
      </c>
      <c r="AC6123">
        <v>-5.2474999999999996</v>
      </c>
      <c r="AD6123">
        <v>0.219997999999999</v>
      </c>
      <c r="AE6123">
        <v>-91.707507100000001</v>
      </c>
      <c r="AF6123">
        <v>10.6359650297352</v>
      </c>
      <c r="AG6123">
        <v>0.219997999999999</v>
      </c>
      <c r="AH6123">
        <v>91.239150397324593</v>
      </c>
      <c r="AI6123">
        <v>89.862776550587</v>
      </c>
      <c r="AJ6123">
        <v>83.350904623379805</v>
      </c>
      <c r="AK6123">
        <v>91.857251844693096</v>
      </c>
      <c r="AL6123">
        <v>78.316586632256204</v>
      </c>
      <c r="AM6123">
        <v>93.554366754901295</v>
      </c>
      <c r="AN6123">
        <v>0.99999994896413602</v>
      </c>
    </row>
    <row r="6124" spans="1:40" x14ac:dyDescent="0.25">
      <c r="A6124" t="str">
        <f>"20190304155226111"</f>
        <v>20190304155226111</v>
      </c>
      <c r="B6124" t="str">
        <f>"1551685946103568"</f>
        <v>1551685946103568</v>
      </c>
      <c r="C6124" t="s">
        <v>40</v>
      </c>
      <c r="D6124">
        <v>4.7489569999999999</v>
      </c>
      <c r="E6124">
        <v>0.56506999999999996</v>
      </c>
      <c r="F6124" t="s">
        <v>101</v>
      </c>
      <c r="G6124">
        <v>-307.63819999999998</v>
      </c>
      <c r="H6124">
        <v>1.414501</v>
      </c>
      <c r="I6124">
        <v>-91.564989999999995</v>
      </c>
      <c r="J6124">
        <v>-302.36750000000001</v>
      </c>
      <c r="K6124">
        <v>1.064147</v>
      </c>
      <c r="L6124">
        <v>-2.8991699999999999E-2</v>
      </c>
      <c r="M6124">
        <v>5.4006739999999998E-2</v>
      </c>
      <c r="N6124">
        <v>-7.7410539999999998E-3</v>
      </c>
      <c r="O6124">
        <v>-0.99851080000000003</v>
      </c>
      <c r="P6124">
        <v>0.1179259</v>
      </c>
      <c r="Q6124">
        <v>0.19211600000000001</v>
      </c>
      <c r="R6124">
        <v>-0.9742613</v>
      </c>
      <c r="S6124">
        <v>-0.17797850000000001</v>
      </c>
      <c r="T6124">
        <v>1.191676E-2</v>
      </c>
      <c r="U6124">
        <v>-3.0998230000000002</v>
      </c>
      <c r="V6124">
        <v>-6.4413440000000002E-2</v>
      </c>
      <c r="W6124">
        <v>0.1999245</v>
      </c>
      <c r="X6124">
        <v>0.97769170000000005</v>
      </c>
      <c r="Y6124">
        <v>0.11115170000000001</v>
      </c>
      <c r="Z6124">
        <v>-1.1573719999999999E-2</v>
      </c>
      <c r="AA6124">
        <v>0.99373599999999995</v>
      </c>
      <c r="AB6124">
        <v>17</v>
      </c>
      <c r="AC6124">
        <v>-5.2706999999999704</v>
      </c>
      <c r="AD6124">
        <v>0.350354</v>
      </c>
      <c r="AE6124">
        <v>-91.535998300000003</v>
      </c>
      <c r="AF6124">
        <v>10.2065661259769</v>
      </c>
      <c r="AG6124">
        <v>0.350354</v>
      </c>
      <c r="AH6124">
        <v>91.116407856706999</v>
      </c>
      <c r="AI6124">
        <v>89.781060939194504</v>
      </c>
      <c r="AJ6124">
        <v>83.608555477245204</v>
      </c>
      <c r="AK6124">
        <v>91.686948475336607</v>
      </c>
      <c r="AL6124">
        <v>78.467455715430106</v>
      </c>
      <c r="AM6124">
        <v>93.769380772119106</v>
      </c>
      <c r="AN6124">
        <v>0.99999997860088596</v>
      </c>
    </row>
    <row r="6125" spans="1:40" x14ac:dyDescent="0.25">
      <c r="A6125" t="str">
        <f>"20190304155226131"</f>
        <v>20190304155226131</v>
      </c>
      <c r="B6125" t="str">
        <f>"1551685946123088"</f>
        <v>1551685946123088</v>
      </c>
      <c r="C6125" t="s">
        <v>40</v>
      </c>
      <c r="D6125">
        <v>4.7143920000000001</v>
      </c>
      <c r="E6125">
        <v>0.56500810000000001</v>
      </c>
      <c r="F6125" t="s">
        <v>101</v>
      </c>
      <c r="G6125">
        <v>-307.64229999999998</v>
      </c>
      <c r="H6125">
        <v>1.3201940000000001</v>
      </c>
      <c r="I6125">
        <v>-91.564989999999995</v>
      </c>
      <c r="J6125">
        <v>-302.36250000000001</v>
      </c>
      <c r="K6125">
        <v>1.066152</v>
      </c>
      <c r="L6125">
        <v>-0.18890380000000001</v>
      </c>
      <c r="M6125">
        <v>4.995405E-2</v>
      </c>
      <c r="N6125">
        <v>-6.3780540000000002E-3</v>
      </c>
      <c r="O6125">
        <v>-0.99873120000000004</v>
      </c>
      <c r="P6125">
        <v>0.1167782</v>
      </c>
      <c r="Q6125">
        <v>0.19061649999999999</v>
      </c>
      <c r="R6125">
        <v>-0.97469410000000001</v>
      </c>
      <c r="S6125">
        <v>-0.17858889999999999</v>
      </c>
      <c r="T6125">
        <v>8.6694960000000005E-3</v>
      </c>
      <c r="U6125">
        <v>-3.0991520000000001</v>
      </c>
      <c r="V6125">
        <v>-6.7408040000000002E-2</v>
      </c>
      <c r="W6125">
        <v>0.19704240000000001</v>
      </c>
      <c r="X6125">
        <v>0.97807480000000002</v>
      </c>
      <c r="Y6125">
        <v>0.10732650000000001</v>
      </c>
      <c r="Z6125">
        <v>-9.1688959999999993E-3</v>
      </c>
      <c r="AA6125">
        <v>0.9941816</v>
      </c>
      <c r="AB6125">
        <v>16</v>
      </c>
      <c r="AC6125">
        <v>-5.2797999999999599</v>
      </c>
      <c r="AD6125">
        <v>0.25404199999999999</v>
      </c>
      <c r="AE6125">
        <v>-91.376086200000003</v>
      </c>
      <c r="AF6125">
        <v>9.8378304091442992</v>
      </c>
      <c r="AG6125">
        <v>0.25404199999999999</v>
      </c>
      <c r="AH6125">
        <v>90.997546323660401</v>
      </c>
      <c r="AI6125">
        <v>89.840971828992906</v>
      </c>
      <c r="AJ6125">
        <v>83.829664437861197</v>
      </c>
      <c r="AK6125">
        <v>91.528142565134502</v>
      </c>
      <c r="AL6125">
        <v>78.635939549442199</v>
      </c>
      <c r="AM6125">
        <v>93.942539592492807</v>
      </c>
      <c r="AN6125">
        <v>0.999999932824718</v>
      </c>
    </row>
    <row r="6126" spans="1:40" x14ac:dyDescent="0.25">
      <c r="A6126" t="str">
        <f>"20190304155226154"</f>
        <v>20190304155226154</v>
      </c>
      <c r="B6126" t="str">
        <f>"1551685946143584"</f>
        <v>1551685946143584</v>
      </c>
      <c r="C6126" t="s">
        <v>40</v>
      </c>
      <c r="D6126">
        <v>4.6757099999999996</v>
      </c>
      <c r="E6126">
        <v>0.5648183</v>
      </c>
      <c r="F6126" t="s">
        <v>101</v>
      </c>
      <c r="G6126">
        <v>-307.7081</v>
      </c>
      <c r="H6126">
        <v>1.2879179999999999</v>
      </c>
      <c r="I6126">
        <v>-91.564989999999995</v>
      </c>
      <c r="J6126">
        <v>-302.35770000000002</v>
      </c>
      <c r="K6126">
        <v>1.067877</v>
      </c>
      <c r="L6126">
        <v>-0.35150150000000002</v>
      </c>
      <c r="M6126">
        <v>4.6639600000000003E-2</v>
      </c>
      <c r="N6126">
        <v>-4.7684219999999996E-3</v>
      </c>
      <c r="O6126">
        <v>-0.99890049999999997</v>
      </c>
      <c r="P6126">
        <v>0.11526550000000001</v>
      </c>
      <c r="Q6126">
        <v>0.19083649999999999</v>
      </c>
      <c r="R6126">
        <v>-0.97483120000000001</v>
      </c>
      <c r="S6126">
        <v>-0.18124390000000001</v>
      </c>
      <c r="T6126">
        <v>7.5194839999999999E-3</v>
      </c>
      <c r="U6126">
        <v>-3.0981450000000001</v>
      </c>
      <c r="V6126">
        <v>-6.921033E-2</v>
      </c>
      <c r="W6126">
        <v>0.19566829999999999</v>
      </c>
      <c r="X6126">
        <v>0.97822489999999995</v>
      </c>
      <c r="Y6126">
        <v>0.1048958</v>
      </c>
      <c r="Z6126">
        <v>-7.1892509999999998E-3</v>
      </c>
      <c r="AA6126">
        <v>0.99445720000000004</v>
      </c>
      <c r="AB6126">
        <v>16</v>
      </c>
      <c r="AC6126">
        <v>-5.3503999999999703</v>
      </c>
      <c r="AD6126">
        <v>0.22004099999999999</v>
      </c>
      <c r="AE6126">
        <v>-91.213488499999997</v>
      </c>
      <c r="AF6126">
        <v>9.5987303579609708</v>
      </c>
      <c r="AG6126">
        <v>0.22004099999999999</v>
      </c>
      <c r="AH6126">
        <v>90.864155775387204</v>
      </c>
      <c r="AI6126">
        <v>89.862017824932707</v>
      </c>
      <c r="AJ6126">
        <v>83.969739227486798</v>
      </c>
      <c r="AK6126">
        <v>91.370010656124705</v>
      </c>
      <c r="AL6126">
        <v>78.716234164378704</v>
      </c>
      <c r="AM6126">
        <v>94.046986517655</v>
      </c>
      <c r="AN6126">
        <v>1.0000000541917999</v>
      </c>
    </row>
    <row r="6127" spans="1:40" x14ac:dyDescent="0.25">
      <c r="A6127" t="str">
        <f>"20190304155226176"</f>
        <v>20190304155226176</v>
      </c>
      <c r="B6127" t="str">
        <f>"1551685946172864"</f>
        <v>1551685946172864</v>
      </c>
      <c r="C6127" t="s">
        <v>40</v>
      </c>
      <c r="D6127">
        <v>4.6932019999999897</v>
      </c>
      <c r="E6127">
        <v>0.5642374</v>
      </c>
      <c r="F6127" t="s">
        <v>101</v>
      </c>
      <c r="G6127">
        <v>-307.7672</v>
      </c>
      <c r="H6127">
        <v>1.281126</v>
      </c>
      <c r="I6127">
        <v>-91.564989999999995</v>
      </c>
      <c r="J6127">
        <v>-302.35309999999998</v>
      </c>
      <c r="K6127">
        <v>1.0694049999999999</v>
      </c>
      <c r="L6127">
        <v>-0.51547240000000005</v>
      </c>
      <c r="M6127">
        <v>4.4026049999999997E-2</v>
      </c>
      <c r="N6127">
        <v>-3.068182E-3</v>
      </c>
      <c r="O6127">
        <v>-0.99902579999999996</v>
      </c>
      <c r="P6127">
        <v>0.1138827</v>
      </c>
      <c r="Q6127">
        <v>0.19157070000000001</v>
      </c>
      <c r="R6127">
        <v>-0.97484970000000004</v>
      </c>
      <c r="S6127">
        <v>-0.18371580000000001</v>
      </c>
      <c r="T6127">
        <v>7.2426799999999996E-3</v>
      </c>
      <c r="U6127">
        <v>-3.0977480000000002</v>
      </c>
      <c r="V6127">
        <v>-7.0392940000000001E-2</v>
      </c>
      <c r="W6127">
        <v>0.19474040000000001</v>
      </c>
      <c r="X6127">
        <v>0.97832560000000002</v>
      </c>
      <c r="Y6127">
        <v>0.1030929</v>
      </c>
      <c r="Z6127">
        <v>-5.3985350000000003E-3</v>
      </c>
      <c r="AA6127">
        <v>0.99465709999999996</v>
      </c>
      <c r="AB6127">
        <v>16</v>
      </c>
      <c r="AC6127">
        <v>-5.4141000000000101</v>
      </c>
      <c r="AD6127">
        <v>0.21172099999999999</v>
      </c>
      <c r="AE6127">
        <v>-91.049517600000001</v>
      </c>
      <c r="AF6127">
        <v>9.4173685777023302</v>
      </c>
      <c r="AG6127">
        <v>0.21172099999999999</v>
      </c>
      <c r="AH6127">
        <v>90.722382311286907</v>
      </c>
      <c r="AI6127">
        <v>89.867002331406596</v>
      </c>
      <c r="AJ6127">
        <v>84.073679934925295</v>
      </c>
      <c r="AK6127">
        <v>91.210099818744993</v>
      </c>
      <c r="AL6127">
        <v>78.770440937749299</v>
      </c>
      <c r="AM6127">
        <v>94.115480273805801</v>
      </c>
      <c r="AN6127">
        <v>0.99999998450468097</v>
      </c>
    </row>
    <row r="6128" spans="1:40" x14ac:dyDescent="0.25">
      <c r="A6128" t="str">
        <f>"20190304155226199"</f>
        <v>20190304155226199</v>
      </c>
      <c r="B6128" t="str">
        <f>"1551685946193360"</f>
        <v>1551685946193360</v>
      </c>
      <c r="C6128" t="s">
        <v>40</v>
      </c>
      <c r="D6128">
        <v>4.7306980000000003</v>
      </c>
      <c r="E6128">
        <v>0.56402350000000001</v>
      </c>
      <c r="F6128" t="s">
        <v>101</v>
      </c>
      <c r="G6128">
        <v>-307.7269</v>
      </c>
      <c r="H6128">
        <v>1.3769089999999999</v>
      </c>
      <c r="I6128">
        <v>-91.564989999999995</v>
      </c>
      <c r="J6128">
        <v>-302.34859999999998</v>
      </c>
      <c r="K6128">
        <v>1.0709569999999999</v>
      </c>
      <c r="L6128">
        <v>-0.68460080000000001</v>
      </c>
      <c r="M6128">
        <v>4.1798330000000002E-2</v>
      </c>
      <c r="N6128">
        <v>-1.5058859999999999E-3</v>
      </c>
      <c r="O6128">
        <v>-0.99912509999999999</v>
      </c>
      <c r="P6128">
        <v>0.1137561</v>
      </c>
      <c r="Q6128">
        <v>0.19255459999999999</v>
      </c>
      <c r="R6128">
        <v>-0.97467060000000005</v>
      </c>
      <c r="S6128">
        <v>-0.18276980000000001</v>
      </c>
      <c r="T6128">
        <v>1.0459070000000001E-2</v>
      </c>
      <c r="U6128">
        <v>-3.0967099999999999</v>
      </c>
      <c r="V6128">
        <v>-7.2461239999999996E-2</v>
      </c>
      <c r="W6128">
        <v>0.1941988</v>
      </c>
      <c r="X6128">
        <v>0.97828230000000005</v>
      </c>
      <c r="Y6128">
        <v>0.1005918</v>
      </c>
      <c r="Z6128">
        <v>-4.8692689999999999E-3</v>
      </c>
      <c r="AA6128">
        <v>0.99491580000000002</v>
      </c>
      <c r="AB6128">
        <v>17</v>
      </c>
      <c r="AC6128">
        <v>-5.3783000000000198</v>
      </c>
      <c r="AD6128">
        <v>0.305952</v>
      </c>
      <c r="AE6128">
        <v>-90.880389199999996</v>
      </c>
      <c r="AF6128">
        <v>9.1721483036767602</v>
      </c>
      <c r="AG6128">
        <v>0.305952</v>
      </c>
      <c r="AH6128">
        <v>90.575138627814198</v>
      </c>
      <c r="AI6128">
        <v>89.807447198873803</v>
      </c>
      <c r="AJ6128">
        <v>84.217618718847703</v>
      </c>
      <c r="AK6128">
        <v>91.038879873264605</v>
      </c>
      <c r="AL6128">
        <v>78.802076835033503</v>
      </c>
      <c r="AM6128">
        <v>94.236155075567893</v>
      </c>
      <c r="AN6128">
        <v>1.00000003185853</v>
      </c>
    </row>
    <row r="6129" spans="1:40" x14ac:dyDescent="0.25">
      <c r="A6129" t="str">
        <f>"20190304155226221"</f>
        <v>20190304155226221</v>
      </c>
      <c r="B6129" t="str">
        <f>"1551685946212880"</f>
        <v>1551685946212880</v>
      </c>
      <c r="C6129" t="s">
        <v>40</v>
      </c>
      <c r="D6129">
        <v>4.6887280000000002</v>
      </c>
      <c r="E6129">
        <v>0.56373819999999997</v>
      </c>
      <c r="F6129" t="s">
        <v>101</v>
      </c>
      <c r="G6129">
        <v>-307.6524</v>
      </c>
      <c r="H6129">
        <v>1.415586</v>
      </c>
      <c r="I6129">
        <v>-91.564989999999995</v>
      </c>
      <c r="J6129">
        <v>-302.34449999999998</v>
      </c>
      <c r="K6129">
        <v>1.0724929999999999</v>
      </c>
      <c r="L6129">
        <v>-0.85058590000000001</v>
      </c>
      <c r="M6129">
        <v>3.9858200000000003E-2</v>
      </c>
      <c r="N6129">
        <v>-2.2923590000000001E-4</v>
      </c>
      <c r="O6129">
        <v>-0.99920540000000002</v>
      </c>
      <c r="P6129">
        <v>0.113946699999999</v>
      </c>
      <c r="Q6129">
        <v>0.19235759999999999</v>
      </c>
      <c r="R6129">
        <v>-0.97468710000000003</v>
      </c>
      <c r="S6129">
        <v>-0.1807251</v>
      </c>
      <c r="T6129">
        <v>1.174366E-2</v>
      </c>
      <c r="U6129">
        <v>-3.0967410000000002</v>
      </c>
      <c r="V6129">
        <v>-7.4594679999999997E-2</v>
      </c>
      <c r="W6129">
        <v>0.192742</v>
      </c>
      <c r="X6129">
        <v>0.97841</v>
      </c>
      <c r="Y6129">
        <v>9.800441E-2</v>
      </c>
      <c r="Z6129">
        <v>-4.0048779999999999E-3</v>
      </c>
      <c r="AA6129">
        <v>0.99517789999999995</v>
      </c>
      <c r="AB6129">
        <v>17</v>
      </c>
      <c r="AC6129">
        <v>-5.3079000000000098</v>
      </c>
      <c r="AD6129">
        <v>0.34309299999999998</v>
      </c>
      <c r="AE6129">
        <v>-90.714404099999996</v>
      </c>
      <c r="AF6129">
        <v>8.9192675748468595</v>
      </c>
      <c r="AG6129">
        <v>0.34309299999999998</v>
      </c>
      <c r="AH6129">
        <v>90.429465103898494</v>
      </c>
      <c r="AI6129">
        <v>89.783668285340696</v>
      </c>
      <c r="AJ6129">
        <v>84.367003979060897</v>
      </c>
      <c r="AK6129">
        <v>90.868912207946906</v>
      </c>
      <c r="AL6129">
        <v>78.887152236354694</v>
      </c>
      <c r="AM6129">
        <v>94.359836972237702</v>
      </c>
      <c r="AN6129">
        <v>0.999999986474151</v>
      </c>
    </row>
    <row r="6130" spans="1:40" x14ac:dyDescent="0.25">
      <c r="A6130" t="str">
        <f>"20190304155226243"</f>
        <v>20190304155226243</v>
      </c>
      <c r="B6130" t="str">
        <f>"1551685946233376"</f>
        <v>1551685946233376</v>
      </c>
      <c r="C6130" t="s">
        <v>40</v>
      </c>
      <c r="D6130">
        <v>4.6957170000000001</v>
      </c>
      <c r="E6130">
        <v>0.56336419999999998</v>
      </c>
      <c r="F6130" t="s">
        <v>101</v>
      </c>
      <c r="G6130">
        <v>-307.56150000000002</v>
      </c>
      <c r="H6130">
        <v>1.4263509999999999</v>
      </c>
      <c r="I6130">
        <v>-91.564989999999995</v>
      </c>
      <c r="J6130">
        <v>-302.34050000000002</v>
      </c>
      <c r="K6130">
        <v>1.0739749999999999</v>
      </c>
      <c r="L6130">
        <v>-1.01474</v>
      </c>
      <c r="M6130">
        <v>3.812463E-2</v>
      </c>
      <c r="N6130">
        <v>8.775435E-4</v>
      </c>
      <c r="O6130">
        <v>-0.99927279999999996</v>
      </c>
      <c r="P6130">
        <v>0.1158723</v>
      </c>
      <c r="Q6130">
        <v>0.1909254</v>
      </c>
      <c r="R6130">
        <v>-0.97474159999999999</v>
      </c>
      <c r="S6130">
        <v>-0.17807010000000001</v>
      </c>
      <c r="T6130">
        <v>1.207864E-2</v>
      </c>
      <c r="U6130">
        <v>-3.0963440000000002</v>
      </c>
      <c r="V6130">
        <v>-7.8293180000000004E-2</v>
      </c>
      <c r="W6130">
        <v>0.1902044</v>
      </c>
      <c r="X6130">
        <v>0.97861759999999998</v>
      </c>
      <c r="Y6130">
        <v>9.5434469999999993E-2</v>
      </c>
      <c r="Z6130">
        <v>-3.0060400000000002E-3</v>
      </c>
      <c r="AA6130">
        <v>0.99543119999999996</v>
      </c>
      <c r="AB6130">
        <v>17</v>
      </c>
      <c r="AC6130">
        <v>-5.2210000000000001</v>
      </c>
      <c r="AD6130">
        <v>0.35237600000000002</v>
      </c>
      <c r="AE6130">
        <v>-90.550250000000005</v>
      </c>
      <c r="AF6130">
        <v>8.6692688797763893</v>
      </c>
      <c r="AG6130">
        <v>0.35237600000000002</v>
      </c>
      <c r="AH6130">
        <v>90.284007781468304</v>
      </c>
      <c r="AI6130">
        <v>89.777401128411697</v>
      </c>
      <c r="AJ6130">
        <v>84.515149315579606</v>
      </c>
      <c r="AK6130">
        <v>90.699958394915797</v>
      </c>
      <c r="AL6130">
        <v>79.035286696814694</v>
      </c>
      <c r="AM6130">
        <v>94.574140697242399</v>
      </c>
      <c r="AN6130">
        <v>0.99999997142181496</v>
      </c>
    </row>
    <row r="6131" spans="1:40" x14ac:dyDescent="0.25">
      <c r="A6131" t="str">
        <f>"20190304155226265"</f>
        <v>20190304155226265</v>
      </c>
      <c r="B6131" t="str">
        <f>"1551685946263633"</f>
        <v>1551685946263633</v>
      </c>
      <c r="C6131" t="s">
        <v>40</v>
      </c>
      <c r="D6131">
        <v>4.7112850000000002</v>
      </c>
      <c r="E6131">
        <v>0.56286969999999903</v>
      </c>
      <c r="F6131" t="s">
        <v>101</v>
      </c>
      <c r="G6131">
        <v>-307.32159999999999</v>
      </c>
      <c r="H6131">
        <v>1.3365899999999999</v>
      </c>
      <c r="I6131">
        <v>-91.564989999999995</v>
      </c>
      <c r="J6131">
        <v>-302.33640000000003</v>
      </c>
      <c r="K6131">
        <v>1.0753379999999999</v>
      </c>
      <c r="L6131">
        <v>-1.1774290000000001</v>
      </c>
      <c r="M6131">
        <v>3.6628130000000002E-2</v>
      </c>
      <c r="N6131">
        <v>1.8929540000000001E-3</v>
      </c>
      <c r="O6131">
        <v>-0.99932719999999997</v>
      </c>
      <c r="P6131">
        <v>0.1166397</v>
      </c>
      <c r="Q6131">
        <v>0.1905722</v>
      </c>
      <c r="R6131">
        <v>-0.97471920000000001</v>
      </c>
      <c r="S6131">
        <v>-0.17031859999999999</v>
      </c>
      <c r="T6131">
        <v>8.9801550000000001E-3</v>
      </c>
      <c r="U6131">
        <v>-3.096222</v>
      </c>
      <c r="V6131">
        <v>-8.0616779999999999E-2</v>
      </c>
      <c r="W6131">
        <v>0.18882309999999999</v>
      </c>
      <c r="X6131">
        <v>0.97869649999999997</v>
      </c>
      <c r="Y6131">
        <v>9.1461100000000004E-2</v>
      </c>
      <c r="Z6131">
        <v>-9.9430570000000004E-4</v>
      </c>
      <c r="AA6131">
        <v>0.99580809999999997</v>
      </c>
      <c r="AB6131">
        <v>17</v>
      </c>
      <c r="AC6131">
        <v>-4.9851999999999599</v>
      </c>
      <c r="AD6131">
        <v>0.26125199999999998</v>
      </c>
      <c r="AE6131">
        <v>-90.387561000000005</v>
      </c>
      <c r="AF6131">
        <v>8.2925188511235408</v>
      </c>
      <c r="AG6131">
        <v>0.26125199999999998</v>
      </c>
      <c r="AH6131">
        <v>90.143557896074</v>
      </c>
      <c r="AI6131">
        <v>89.8346453326117</v>
      </c>
      <c r="AJ6131">
        <v>84.744018985095096</v>
      </c>
      <c r="AK6131">
        <v>90.524555517641701</v>
      </c>
      <c r="AL6131">
        <v>79.115890741560307</v>
      </c>
      <c r="AM6131">
        <v>94.708913146587406</v>
      </c>
      <c r="AN6131">
        <v>1.0000000337117101</v>
      </c>
    </row>
    <row r="6132" spans="1:40" x14ac:dyDescent="0.25">
      <c r="A6132" t="str">
        <f>"20190304155226289"</f>
        <v>20190304155226289</v>
      </c>
      <c r="B6132" t="str">
        <f>"1551685946283152"</f>
        <v>1551685946283152</v>
      </c>
      <c r="C6132" t="s">
        <v>40</v>
      </c>
      <c r="D6132">
        <v>4.4899420000000001</v>
      </c>
      <c r="E6132">
        <v>0.56278139999999999</v>
      </c>
      <c r="F6132" t="s">
        <v>101</v>
      </c>
      <c r="G6132">
        <v>-307.16809999999998</v>
      </c>
      <c r="H6132">
        <v>1.3190170000000001</v>
      </c>
      <c r="I6132">
        <v>-91.564989999999995</v>
      </c>
      <c r="J6132">
        <v>-302.33190000000002</v>
      </c>
      <c r="K6132">
        <v>1.0766340000000001</v>
      </c>
      <c r="L6132">
        <v>-1.348633</v>
      </c>
      <c r="M6132">
        <v>3.5338429999999997E-2</v>
      </c>
      <c r="N6132">
        <v>2.8650440000000002E-3</v>
      </c>
      <c r="O6132">
        <v>-0.99937129999999996</v>
      </c>
      <c r="P6132">
        <v>0.11680169999999999</v>
      </c>
      <c r="Q6132">
        <v>0.19055510000000001</v>
      </c>
      <c r="R6132">
        <v>-0.97470349999999994</v>
      </c>
      <c r="S6132">
        <v>-0.165496799999999</v>
      </c>
      <c r="T6132">
        <v>8.3470339999999997E-3</v>
      </c>
      <c r="U6132">
        <v>-3.0959780000000001</v>
      </c>
      <c r="V6132">
        <v>-8.2136009999999995E-2</v>
      </c>
      <c r="W6132">
        <v>0.18781629999999999</v>
      </c>
      <c r="X6132">
        <v>0.97876390000000002</v>
      </c>
      <c r="Y6132">
        <v>8.8633370000000003E-2</v>
      </c>
      <c r="Z6132">
        <v>1.814207E-4</v>
      </c>
      <c r="AA6132">
        <v>0.99606430000000001</v>
      </c>
      <c r="AB6132">
        <v>17</v>
      </c>
      <c r="AC6132">
        <v>-4.8361999999999599</v>
      </c>
      <c r="AD6132">
        <v>0.24238299999999999</v>
      </c>
      <c r="AE6132">
        <v>-90.216356999999903</v>
      </c>
      <c r="AF6132">
        <v>8.0212390519067895</v>
      </c>
      <c r="AG6132">
        <v>0.24238299999999999</v>
      </c>
      <c r="AH6132">
        <v>89.988455521220999</v>
      </c>
      <c r="AI6132">
        <v>89.846284213800999</v>
      </c>
      <c r="AJ6132">
        <v>84.906327276709803</v>
      </c>
      <c r="AK6132">
        <v>90.345565206828496</v>
      </c>
      <c r="AL6132">
        <v>79.174627008071596</v>
      </c>
      <c r="AM6132">
        <v>94.796913856058694</v>
      </c>
      <c r="AN6132">
        <v>1.0000000293138001</v>
      </c>
    </row>
    <row r="6133" spans="1:40" x14ac:dyDescent="0.25">
      <c r="A6133" t="str">
        <f>"20190304155226378"</f>
        <v>20190304155226378</v>
      </c>
      <c r="B6133" t="str">
        <f>"1551685946372944"</f>
        <v>1551685946372944</v>
      </c>
      <c r="C6133" t="s">
        <v>40</v>
      </c>
      <c r="D6133">
        <v>4.004194</v>
      </c>
      <c r="E6133">
        <v>0.57307339999999996</v>
      </c>
      <c r="F6133" t="s">
        <v>101</v>
      </c>
      <c r="G6133">
        <v>-307.13850000000002</v>
      </c>
      <c r="H6133">
        <v>1.4137820000000001</v>
      </c>
      <c r="I6133">
        <v>-91.564989999999995</v>
      </c>
      <c r="J6133">
        <v>-302.31259999999997</v>
      </c>
      <c r="K6133">
        <v>1.0811869999999999</v>
      </c>
      <c r="L6133">
        <v>-2.0043639999999998</v>
      </c>
      <c r="M6133">
        <v>3.167184E-2</v>
      </c>
      <c r="N6133">
        <v>2.5759770000000001E-3</v>
      </c>
      <c r="O6133">
        <v>-0.99949500000000002</v>
      </c>
      <c r="P6133">
        <v>0.1128792</v>
      </c>
      <c r="Q6133">
        <v>0.18466350000000001</v>
      </c>
      <c r="R6133">
        <v>-0.97629790000000005</v>
      </c>
      <c r="S6133">
        <v>-0.16491700000000001</v>
      </c>
      <c r="T6133">
        <v>1.1568190000000001E-2</v>
      </c>
      <c r="U6133">
        <v>-3.095367</v>
      </c>
      <c r="V6133">
        <v>-8.1609390000000004E-2</v>
      </c>
      <c r="W6133">
        <v>0.1822714</v>
      </c>
      <c r="X6133">
        <v>0.9798557</v>
      </c>
      <c r="Y6133">
        <v>8.4802870000000002E-2</v>
      </c>
      <c r="Z6133">
        <v>-1.1469029999999999E-3</v>
      </c>
      <c r="AA6133">
        <v>0.99639710000000004</v>
      </c>
      <c r="AB6133">
        <v>16</v>
      </c>
      <c r="AC6133">
        <v>-4.8259000000000398</v>
      </c>
      <c r="AD6133">
        <v>0.33259499999999897</v>
      </c>
      <c r="AE6133">
        <v>-89.560625999999999</v>
      </c>
      <c r="AF6133">
        <v>7.6599328343769804</v>
      </c>
      <c r="AG6133">
        <v>0.33259499999999897</v>
      </c>
      <c r="AH6133">
        <v>89.361620592903293</v>
      </c>
      <c r="AI6133">
        <v>89.787530970115697</v>
      </c>
      <c r="AJ6133">
        <v>85.100675000994997</v>
      </c>
      <c r="AK6133">
        <v>89.689934917197803</v>
      </c>
      <c r="AL6133">
        <v>79.497910319296395</v>
      </c>
      <c r="AM6133">
        <v>94.761013897203199</v>
      </c>
      <c r="AN6133">
        <v>1.0000000743083</v>
      </c>
    </row>
    <row r="6134" spans="1:40" x14ac:dyDescent="0.25">
      <c r="A6134" t="str">
        <f>"20190304155226401"</f>
        <v>20190304155226401</v>
      </c>
      <c r="B6134" t="str">
        <f>"1551685946393440"</f>
        <v>1551685946393440</v>
      </c>
      <c r="C6134" t="s">
        <v>40</v>
      </c>
      <c r="D6134">
        <v>4.4917499999999997</v>
      </c>
      <c r="E6134">
        <v>0.56398530000000002</v>
      </c>
      <c r="F6134" t="s">
        <v>51</v>
      </c>
      <c r="G6134">
        <v>-302.38170000000002</v>
      </c>
      <c r="H6134">
        <v>0.98962280000000002</v>
      </c>
      <c r="I6134">
        <v>-2.7927420000000001</v>
      </c>
      <c r="J6134">
        <v>-302.30790000000002</v>
      </c>
      <c r="K6134">
        <v>1.0828930000000001</v>
      </c>
      <c r="L6134">
        <v>-2.1715390000000001</v>
      </c>
      <c r="M6134">
        <v>3.2321799999999998E-2</v>
      </c>
      <c r="N6134">
        <v>2.102905E-3</v>
      </c>
      <c r="O6134">
        <v>-0.99947540000000001</v>
      </c>
      <c r="P6134">
        <v>0.1129067</v>
      </c>
      <c r="Q6134">
        <v>0.1824741</v>
      </c>
      <c r="R6134">
        <v>-0.97670670000000004</v>
      </c>
      <c r="S6134">
        <v>-0.27740479999999901</v>
      </c>
      <c r="T6134">
        <v>-0.36867729999999999</v>
      </c>
      <c r="U6134">
        <v>-3.174652</v>
      </c>
      <c r="V6134">
        <v>-8.0903810000000007E-2</v>
      </c>
      <c r="W6134">
        <v>0.18058189999999999</v>
      </c>
      <c r="X6134">
        <v>0.98022690000000001</v>
      </c>
      <c r="Y6134">
        <v>0.11862109999999999</v>
      </c>
      <c r="Z6134">
        <v>0.1167343</v>
      </c>
      <c r="AA6134">
        <v>0.98605379999999998</v>
      </c>
      <c r="AB6134">
        <v>16</v>
      </c>
      <c r="AC6134">
        <v>-7.3800000000005597E-2</v>
      </c>
      <c r="AD6134">
        <v>-9.32701999999999E-2</v>
      </c>
      <c r="AE6134">
        <v>-0.62120299999999895</v>
      </c>
      <c r="AF6134">
        <v>9.1799220277372001E-2</v>
      </c>
      <c r="AG6134">
        <v>-9.32701999999999E-2</v>
      </c>
      <c r="AH6134">
        <v>0.60504319548854402</v>
      </c>
      <c r="AI6134">
        <v>98.665781670215296</v>
      </c>
      <c r="AJ6134">
        <v>81.372687304477097</v>
      </c>
      <c r="AK6134">
        <v>0.61903448648565795</v>
      </c>
      <c r="AL6134">
        <v>79.596344468732497</v>
      </c>
      <c r="AM6134">
        <v>94.718258471029799</v>
      </c>
      <c r="AN6134">
        <v>1.00000001228186</v>
      </c>
    </row>
    <row r="6135" spans="1:40" x14ac:dyDescent="0.25">
      <c r="A6135" t="str">
        <f>"20190304155226422"</f>
        <v>20190304155226422</v>
      </c>
      <c r="B6135" t="str">
        <f>"1551685946412960"</f>
        <v>1551685946412960</v>
      </c>
      <c r="C6135" t="s">
        <v>40</v>
      </c>
      <c r="D6135">
        <v>4.6284669999999997</v>
      </c>
      <c r="E6135">
        <v>0.55656190000000005</v>
      </c>
      <c r="F6135" t="s">
        <v>51</v>
      </c>
      <c r="G6135">
        <v>-302.3578</v>
      </c>
      <c r="H6135">
        <v>1.0181910000000001</v>
      </c>
      <c r="I6135">
        <v>-2.952906</v>
      </c>
      <c r="J6135">
        <v>-302.30329999999998</v>
      </c>
      <c r="K6135">
        <v>1.084989</v>
      </c>
      <c r="L6135">
        <v>-2.3348080000000002</v>
      </c>
      <c r="M6135">
        <v>3.259161E-2</v>
      </c>
      <c r="N6135">
        <v>1.6695239999999999E-3</v>
      </c>
      <c r="O6135">
        <v>-0.99946729999999995</v>
      </c>
      <c r="P6135">
        <v>0.1131166</v>
      </c>
      <c r="Q6135">
        <v>0.18193139999999999</v>
      </c>
      <c r="R6135">
        <v>-0.97678350000000003</v>
      </c>
      <c r="S6135">
        <v>-0.20059199999999999</v>
      </c>
      <c r="T6135">
        <v>-0.26027830000000002</v>
      </c>
      <c r="U6135">
        <v>-3.1433719999999998</v>
      </c>
      <c r="V6135">
        <v>-8.0869280000000002E-2</v>
      </c>
      <c r="W6135">
        <v>0.1804538</v>
      </c>
      <c r="X6135">
        <v>0.98025329999999999</v>
      </c>
      <c r="Y6135">
        <v>9.5958290000000002E-2</v>
      </c>
      <c r="Z6135">
        <v>8.384606E-2</v>
      </c>
      <c r="AA6135">
        <v>0.9918477</v>
      </c>
      <c r="AB6135">
        <v>16</v>
      </c>
      <c r="AC6135">
        <v>-5.4500000000018603E-2</v>
      </c>
      <c r="AD6135">
        <v>-6.6797999999999899E-2</v>
      </c>
      <c r="AE6135">
        <v>-0.61809799999999904</v>
      </c>
      <c r="AF6135">
        <v>7.3761062519125606E-2</v>
      </c>
      <c r="AG6135">
        <v>-6.6797999999999899E-2</v>
      </c>
      <c r="AH6135">
        <v>0.60893638029164499</v>
      </c>
      <c r="AI6135">
        <v>96.215028674939703</v>
      </c>
      <c r="AJ6135">
        <v>83.093354470813907</v>
      </c>
      <c r="AK6135">
        <v>0.61701392398441102</v>
      </c>
      <c r="AL6135">
        <v>79.603806238801596</v>
      </c>
      <c r="AM6135">
        <v>94.716127345139</v>
      </c>
      <c r="AN6135">
        <v>0.99999997327152301</v>
      </c>
    </row>
    <row r="6136" spans="1:40" x14ac:dyDescent="0.25">
      <c r="A6136" t="str">
        <f>"20190304155226445"</f>
        <v>20190304155226445</v>
      </c>
      <c r="B6136" t="str">
        <f>"1551685946433457"</f>
        <v>1551685946433457</v>
      </c>
      <c r="C6136" t="s">
        <v>40</v>
      </c>
      <c r="D6136">
        <v>4.764011</v>
      </c>
      <c r="E6136">
        <v>0.55783340000000003</v>
      </c>
      <c r="F6136" t="s">
        <v>51</v>
      </c>
      <c r="G6136">
        <v>-302.33789999999999</v>
      </c>
      <c r="H6136">
        <v>1.0322830000000001</v>
      </c>
      <c r="I6136">
        <v>-3.108511</v>
      </c>
      <c r="J6136">
        <v>-302.29849999999999</v>
      </c>
      <c r="K6136">
        <v>1.0874790000000001</v>
      </c>
      <c r="L6136">
        <v>-2.5033569999999998</v>
      </c>
      <c r="M6136">
        <v>3.219375E-2</v>
      </c>
      <c r="N6136">
        <v>9.6196940000000005E-4</v>
      </c>
      <c r="O6136">
        <v>-0.99948130000000002</v>
      </c>
      <c r="P6136">
        <v>0.1135554</v>
      </c>
      <c r="Q6136">
        <v>0.18025659999999999</v>
      </c>
      <c r="R6136">
        <v>-0.97704290000000005</v>
      </c>
      <c r="S6136">
        <v>-0.13922119999999999</v>
      </c>
      <c r="T6136">
        <v>-0.2130126</v>
      </c>
      <c r="U6136">
        <v>-3.1271059999999999</v>
      </c>
      <c r="V6136">
        <v>-8.1782690000000005E-2</v>
      </c>
      <c r="W6136">
        <v>0.1794317</v>
      </c>
      <c r="X6136">
        <v>0.98036520000000005</v>
      </c>
      <c r="Y6136">
        <v>7.6512699999999906E-2</v>
      </c>
      <c r="Z6136">
        <v>6.8735149999999995E-2</v>
      </c>
      <c r="AA6136">
        <v>0.99469660000000004</v>
      </c>
      <c r="AB6136">
        <v>17</v>
      </c>
      <c r="AC6136">
        <v>-3.9400000000000497E-2</v>
      </c>
      <c r="AD6136">
        <v>-5.5196000000000002E-2</v>
      </c>
      <c r="AE6136">
        <v>-0.60515399999999997</v>
      </c>
      <c r="AF6136">
        <v>5.8378148690038503E-2</v>
      </c>
      <c r="AG6136">
        <v>-5.5196000000000002E-2</v>
      </c>
      <c r="AH6136">
        <v>0.59861290167678405</v>
      </c>
      <c r="AI6136">
        <v>95.243411557749198</v>
      </c>
      <c r="AJ6136">
        <v>84.429993306065796</v>
      </c>
      <c r="AK6136">
        <v>0.60398014264905697</v>
      </c>
      <c r="AL6136">
        <v>79.6633406628969</v>
      </c>
      <c r="AM6136">
        <v>94.768609319374505</v>
      </c>
      <c r="AN6136">
        <v>1.0000000343597799</v>
      </c>
    </row>
    <row r="6137" spans="1:40" x14ac:dyDescent="0.25">
      <c r="A6137" t="str">
        <f>"20190304155226467"</f>
        <v>20190304155226467</v>
      </c>
      <c r="B6137" t="str">
        <f>"1551685946462737"</f>
        <v>1551685946462737</v>
      </c>
      <c r="C6137" t="s">
        <v>40</v>
      </c>
      <c r="D6137">
        <v>4.6621319999999997</v>
      </c>
      <c r="E6137">
        <v>0.55628359999999899</v>
      </c>
      <c r="F6137" t="s">
        <v>51</v>
      </c>
      <c r="G6137">
        <v>-302.33460000000002</v>
      </c>
      <c r="H6137">
        <v>1.0399590000000001</v>
      </c>
      <c r="I6137">
        <v>-3.263566</v>
      </c>
      <c r="J6137">
        <v>-302.29349999999999</v>
      </c>
      <c r="K6137">
        <v>1.0900639999999999</v>
      </c>
      <c r="L6137">
        <v>-2.6699519999999999</v>
      </c>
      <c r="M6137">
        <v>3.1421829999999998E-2</v>
      </c>
      <c r="N6137" s="1">
        <v>-1.255915E-5</v>
      </c>
      <c r="O6137">
        <v>-0.99950640000000002</v>
      </c>
      <c r="P6137">
        <v>0.1138333</v>
      </c>
      <c r="Q6137">
        <v>0.17835219999999999</v>
      </c>
      <c r="R6137">
        <v>-0.97736029999999996</v>
      </c>
      <c r="S6137">
        <v>-0.14770510000000001</v>
      </c>
      <c r="T6137">
        <v>-0.1952333</v>
      </c>
      <c r="U6137">
        <v>-3.123688</v>
      </c>
      <c r="V6137">
        <v>-8.2909529999999995E-2</v>
      </c>
      <c r="W6137">
        <v>0.1784376</v>
      </c>
      <c r="X6137">
        <v>0.98045190000000004</v>
      </c>
      <c r="Y6137">
        <v>7.8504550000000006E-2</v>
      </c>
      <c r="Z6137">
        <v>6.2189550000000003E-2</v>
      </c>
      <c r="AA6137">
        <v>0.99497210000000003</v>
      </c>
      <c r="AB6137">
        <v>17</v>
      </c>
      <c r="AC6137">
        <v>-4.1100000000028503E-2</v>
      </c>
      <c r="AD6137">
        <v>-5.0104999999999802E-2</v>
      </c>
      <c r="AE6137">
        <v>-0.59361399999999998</v>
      </c>
      <c r="AF6137">
        <v>5.9311591121503103E-2</v>
      </c>
      <c r="AG6137">
        <v>-5.0104999999999802E-2</v>
      </c>
      <c r="AH6137">
        <v>0.58786121323013996</v>
      </c>
      <c r="AI6137">
        <v>94.847209250180697</v>
      </c>
      <c r="AJ6137">
        <v>84.238703628073296</v>
      </c>
      <c r="AK6137">
        <v>0.59296642559825896</v>
      </c>
      <c r="AL6137">
        <v>79.721231820046995</v>
      </c>
      <c r="AM6137">
        <v>94.833578748934599</v>
      </c>
      <c r="AN6137">
        <v>0.99999994773609402</v>
      </c>
    </row>
    <row r="6138" spans="1:40" x14ac:dyDescent="0.25">
      <c r="A6138" t="str">
        <f>"20190304155226491"</f>
        <v>20190304155226491</v>
      </c>
      <c r="B6138" t="str">
        <f>"1551685946483233"</f>
        <v>1551685946483233</v>
      </c>
      <c r="C6138" t="s">
        <v>40</v>
      </c>
      <c r="D6138">
        <v>4.5960970000000003</v>
      </c>
      <c r="E6138">
        <v>0.55456110000000003</v>
      </c>
      <c r="F6138" t="s">
        <v>41</v>
      </c>
      <c r="G6138">
        <v>-303.20499999999998</v>
      </c>
      <c r="H6138" s="1">
        <v>-3.5373840000000002E-6</v>
      </c>
      <c r="I6138">
        <v>-24.152950000000001</v>
      </c>
      <c r="J6138">
        <v>-302.28809999999999</v>
      </c>
      <c r="K6138">
        <v>1.092565</v>
      </c>
      <c r="L6138">
        <v>-2.8419490000000001</v>
      </c>
      <c r="M6138">
        <v>3.0847329999999999E-2</v>
      </c>
      <c r="N6138">
        <v>-1.0862070000000001E-3</v>
      </c>
      <c r="O6138">
        <v>-0.99952379999999996</v>
      </c>
      <c r="P6138">
        <v>0.11420569999999999</v>
      </c>
      <c r="Q6138">
        <v>0.17699960000000001</v>
      </c>
      <c r="R6138">
        <v>-0.97756259999999995</v>
      </c>
      <c r="S6138">
        <v>-0.13211059999999999</v>
      </c>
      <c r="T6138">
        <v>-0.15799250000000001</v>
      </c>
      <c r="U6138">
        <v>-3.1137079999999999</v>
      </c>
      <c r="V6138">
        <v>-8.3903359999999996E-2</v>
      </c>
      <c r="W6138">
        <v>0.17810870000000001</v>
      </c>
      <c r="X6138">
        <v>0.98042720000000005</v>
      </c>
      <c r="Y6138">
        <v>7.3135969999999995E-2</v>
      </c>
      <c r="Z6138">
        <v>4.9463470000000002E-2</v>
      </c>
      <c r="AA6138">
        <v>0.99609460000000005</v>
      </c>
      <c r="AB6138">
        <v>17</v>
      </c>
      <c r="AC6138">
        <v>-0.91689999999999805</v>
      </c>
      <c r="AD6138">
        <v>-1.0925685373839999</v>
      </c>
      <c r="AE6138">
        <v>-21.311001000000001</v>
      </c>
      <c r="AF6138">
        <v>1.5697330908499301</v>
      </c>
      <c r="AG6138">
        <v>-1.0925685373839999</v>
      </c>
      <c r="AH6138">
        <v>21.216912067047801</v>
      </c>
      <c r="AI6138">
        <v>92.939831345096707</v>
      </c>
      <c r="AJ6138">
        <v>85.768681351089398</v>
      </c>
      <c r="AK6138">
        <v>21.302937019252301</v>
      </c>
      <c r="AL6138">
        <v>79.740383612556997</v>
      </c>
      <c r="AM6138">
        <v>94.891361666435202</v>
      </c>
      <c r="AN6138">
        <v>0.99999998866740902</v>
      </c>
    </row>
    <row r="6139" spans="1:40" x14ac:dyDescent="0.25">
      <c r="A6139" t="str">
        <f>"20190304155226523"</f>
        <v>20190304155226523</v>
      </c>
      <c r="B6139" t="str">
        <f>"1551685946513488"</f>
        <v>1551685946513488</v>
      </c>
      <c r="C6139" t="s">
        <v>40</v>
      </c>
      <c r="D6139">
        <v>4.6793170000000002</v>
      </c>
      <c r="E6139">
        <v>0.55188490000000001</v>
      </c>
      <c r="F6139" t="s">
        <v>41</v>
      </c>
      <c r="G6139">
        <v>-303.17189999999999</v>
      </c>
      <c r="H6139" s="1">
        <v>-2.4066800000000001E-6</v>
      </c>
      <c r="I6139">
        <v>-26.768149999999999</v>
      </c>
      <c r="J6139">
        <v>-302.28059999999999</v>
      </c>
      <c r="K6139">
        <v>1.0956699999999999</v>
      </c>
      <c r="L6139">
        <v>-3.0867610000000001</v>
      </c>
      <c r="M6139">
        <v>3.0750929999999999E-2</v>
      </c>
      <c r="N6139">
        <v>-2.499317E-3</v>
      </c>
      <c r="O6139">
        <v>-0.99952399999999997</v>
      </c>
      <c r="P6139">
        <v>0.11521199999999999</v>
      </c>
      <c r="Q6139">
        <v>0.1731557</v>
      </c>
      <c r="R6139">
        <v>-0.97813269999999997</v>
      </c>
      <c r="S6139">
        <v>-0.1148071</v>
      </c>
      <c r="T6139">
        <v>-0.14192260000000001</v>
      </c>
      <c r="U6139">
        <v>-3.107971</v>
      </c>
      <c r="V6139">
        <v>-8.5005140000000007E-2</v>
      </c>
      <c r="W6139">
        <v>0.17564340000000001</v>
      </c>
      <c r="X6139">
        <v>0.98077700000000001</v>
      </c>
      <c r="Y6139">
        <v>6.7588720000000005E-2</v>
      </c>
      <c r="Z6139">
        <v>4.3018239999999999E-2</v>
      </c>
      <c r="AA6139">
        <v>0.99678540000000004</v>
      </c>
      <c r="AB6139">
        <v>17</v>
      </c>
      <c r="AC6139">
        <v>-0.89130000000000098</v>
      </c>
      <c r="AD6139">
        <v>-1.0956724066799901</v>
      </c>
      <c r="AE6139">
        <v>-23.681388999999999</v>
      </c>
      <c r="AF6139">
        <v>1.6156517942383299</v>
      </c>
      <c r="AG6139">
        <v>-1.0956724066799901</v>
      </c>
      <c r="AH6139">
        <v>23.5923494096673</v>
      </c>
      <c r="AI6139">
        <v>92.652807167775904</v>
      </c>
      <c r="AJ6139">
        <v>86.082385778662498</v>
      </c>
      <c r="AK6139">
        <v>23.672975719389701</v>
      </c>
      <c r="AL6139">
        <v>79.883897830996503</v>
      </c>
      <c r="AM6139">
        <v>94.953516469567404</v>
      </c>
      <c r="AN6139">
        <v>1.00000000075948</v>
      </c>
    </row>
    <row r="6140" spans="1:40" x14ac:dyDescent="0.25">
      <c r="A6140" t="str">
        <f>"20190304155226544"</f>
        <v>20190304155226544</v>
      </c>
      <c r="B6140" t="str">
        <f>"1551685946533009"</f>
        <v>1551685946533009</v>
      </c>
      <c r="C6140" t="s">
        <v>40</v>
      </c>
      <c r="D6140">
        <v>4.8152619999999997</v>
      </c>
      <c r="E6140">
        <v>0.53439639999999999</v>
      </c>
      <c r="F6140" t="s">
        <v>41</v>
      </c>
      <c r="G6140">
        <v>-302.988</v>
      </c>
      <c r="H6140" s="1">
        <v>-2.065937E-6</v>
      </c>
      <c r="I6140">
        <v>-27.448370000000001</v>
      </c>
      <c r="J6140">
        <v>-302.2756</v>
      </c>
      <c r="K6140">
        <v>1.0975539999999999</v>
      </c>
      <c r="L6140">
        <v>-3.2537229999999999</v>
      </c>
      <c r="M6140">
        <v>3.0890419999999998E-2</v>
      </c>
      <c r="N6140">
        <v>-3.4070200000000002E-3</v>
      </c>
      <c r="O6140">
        <v>-0.99951710000000005</v>
      </c>
      <c r="P6140">
        <v>0.11639620000000001</v>
      </c>
      <c r="Q6140">
        <v>0.170679</v>
      </c>
      <c r="R6140">
        <v>-0.97842779999999996</v>
      </c>
      <c r="S6140">
        <v>-9.0087890000000004E-2</v>
      </c>
      <c r="T6140">
        <v>-0.13953090000000001</v>
      </c>
      <c r="U6140">
        <v>-3.1023860000000001</v>
      </c>
      <c r="V6140">
        <v>-8.6040779999999997E-2</v>
      </c>
      <c r="W6140">
        <v>0.17405979999999999</v>
      </c>
      <c r="X6140">
        <v>0.98096899999999998</v>
      </c>
      <c r="Y6140">
        <v>5.9859839999999997E-2</v>
      </c>
      <c r="Z6140">
        <v>4.1442680000000003E-2</v>
      </c>
      <c r="AA6140">
        <v>0.99734610000000001</v>
      </c>
      <c r="AB6140">
        <v>17</v>
      </c>
      <c r="AC6140">
        <v>-0.71240000000000203</v>
      </c>
      <c r="AD6140">
        <v>-1.0975560659370001</v>
      </c>
      <c r="AE6140">
        <v>-24.194647</v>
      </c>
      <c r="AF6140">
        <v>1.45645249874227</v>
      </c>
      <c r="AG6140">
        <v>-1.0975560659370001</v>
      </c>
      <c r="AH6140">
        <v>24.111519130837099</v>
      </c>
      <c r="AI6140">
        <v>92.601568676501003</v>
      </c>
      <c r="AJ6140">
        <v>86.543257676552699</v>
      </c>
      <c r="AK6140">
        <v>24.180389533580499</v>
      </c>
      <c r="AL6140">
        <v>79.976051114028706</v>
      </c>
      <c r="AM6140">
        <v>95.012584435419001</v>
      </c>
      <c r="AN6140">
        <v>1.0000000043800199</v>
      </c>
    </row>
    <row r="6141" spans="1:40" x14ac:dyDescent="0.25">
      <c r="A6141" t="str">
        <f>"20190304155226568"</f>
        <v>20190304155226568</v>
      </c>
      <c r="B6141" t="str">
        <f>"1551685946563264"</f>
        <v>1551685946563264</v>
      </c>
      <c r="C6141" t="s">
        <v>40</v>
      </c>
      <c r="D6141">
        <v>4.6932460000000003</v>
      </c>
      <c r="E6141">
        <v>0.53994449999999905</v>
      </c>
      <c r="F6141" t="s">
        <v>101</v>
      </c>
      <c r="G6141">
        <v>-300.34640000000002</v>
      </c>
      <c r="H6141">
        <v>13.385579999999999</v>
      </c>
      <c r="I6141">
        <v>-79.671169999999904</v>
      </c>
      <c r="J6141">
        <v>-302.27050000000003</v>
      </c>
      <c r="K6141">
        <v>1.0993189999999999</v>
      </c>
      <c r="L6141">
        <v>-3.4245299999999999</v>
      </c>
      <c r="M6141">
        <v>3.0961559999999999E-2</v>
      </c>
      <c r="N6141">
        <v>-4.2698450000000004E-3</v>
      </c>
      <c r="O6141">
        <v>-0.99951179999999995</v>
      </c>
      <c r="P6141">
        <v>0.1175086</v>
      </c>
      <c r="Q6141">
        <v>0.16890829999999901</v>
      </c>
      <c r="R6141">
        <v>-0.97860230000000004</v>
      </c>
      <c r="S6141">
        <v>7.5073239999999999E-2</v>
      </c>
      <c r="T6141">
        <v>0.47818909999999998</v>
      </c>
      <c r="U6141">
        <v>-2.9737849999999999</v>
      </c>
      <c r="V6141">
        <v>-8.7080480000000002E-2</v>
      </c>
      <c r="W6141">
        <v>0.17313519999999999</v>
      </c>
      <c r="X6141">
        <v>0.98104089999999999</v>
      </c>
      <c r="Y6141">
        <v>6.0659889999999999E-3</v>
      </c>
      <c r="Z6141">
        <v>-0.16283529999999999</v>
      </c>
      <c r="AA6141">
        <v>0.98663460000000003</v>
      </c>
      <c r="AB6141">
        <v>17</v>
      </c>
      <c r="AC6141">
        <v>1.9241000000000099</v>
      </c>
      <c r="AD6141">
        <v>12.286261</v>
      </c>
      <c r="AE6141">
        <v>-76.2466399999999</v>
      </c>
      <c r="AF6141">
        <v>0.42649106216043797</v>
      </c>
      <c r="AG6141">
        <v>12.286261</v>
      </c>
      <c r="AH6141">
        <v>74.340590349753597</v>
      </c>
      <c r="AI6141">
        <v>80.615713662540799</v>
      </c>
      <c r="AJ6141">
        <v>89.671298416341997</v>
      </c>
      <c r="AK6141">
        <v>75.3502321000812</v>
      </c>
      <c r="AL6141">
        <v>80.029843773488395</v>
      </c>
      <c r="AM6141">
        <v>95.072471506506702</v>
      </c>
      <c r="AN6141">
        <v>1.0000000274744301</v>
      </c>
    </row>
    <row r="6142" spans="1:40" x14ac:dyDescent="0.25">
      <c r="A6142" t="str">
        <f>"20190304155226589"</f>
        <v>20190304155226589</v>
      </c>
      <c r="B6142" t="str">
        <f>"1551685946582785"</f>
        <v>1551685946582785</v>
      </c>
      <c r="C6142" t="s">
        <v>40</v>
      </c>
      <c r="D6142">
        <v>4.6950570000000003</v>
      </c>
      <c r="E6142">
        <v>0.53624169999999904</v>
      </c>
      <c r="F6142" t="s">
        <v>42</v>
      </c>
      <c r="G6142">
        <v>-301.76659999999998</v>
      </c>
      <c r="H6142">
        <v>-0.05</v>
      </c>
      <c r="I6142">
        <v>-97.299329999999998</v>
      </c>
      <c r="J6142">
        <v>-302.26549999999997</v>
      </c>
      <c r="K6142">
        <v>1.1008420000000001</v>
      </c>
      <c r="L6142">
        <v>-3.5912169999999999</v>
      </c>
      <c r="M6142">
        <v>3.0891160000000001E-2</v>
      </c>
      <c r="N6142">
        <v>-4.9930499999999997E-3</v>
      </c>
      <c r="O6142">
        <v>-0.99951029999999996</v>
      </c>
      <c r="P6142">
        <v>0.1180123</v>
      </c>
      <c r="Q6142">
        <v>0.16721829999999999</v>
      </c>
      <c r="R6142">
        <v>-0.97883169999999997</v>
      </c>
      <c r="S6142">
        <v>1.6479489999999999E-2</v>
      </c>
      <c r="T6142">
        <v>-3.7587519999999999E-2</v>
      </c>
      <c r="U6142">
        <v>-3.0700989999999999</v>
      </c>
      <c r="V6142">
        <v>-8.7660950000000001E-2</v>
      </c>
      <c r="W6142">
        <v>0.17214889999999999</v>
      </c>
      <c r="X6142">
        <v>0.98116270000000005</v>
      </c>
      <c r="Y6142">
        <v>2.5525039999999999E-2</v>
      </c>
      <c r="Z6142">
        <v>7.2389219999999897E-3</v>
      </c>
      <c r="AA6142">
        <v>0.99964799999999998</v>
      </c>
      <c r="AB6142">
        <v>17</v>
      </c>
      <c r="AC6142">
        <v>0.49889999999999102</v>
      </c>
      <c r="AD6142">
        <v>-1.1508419999999999</v>
      </c>
      <c r="AE6142">
        <v>-93.708112999999997</v>
      </c>
      <c r="AF6142">
        <v>2.3957651168917602</v>
      </c>
      <c r="AG6142">
        <v>-1.1508419999999999</v>
      </c>
      <c r="AH6142">
        <v>93.664675183656698</v>
      </c>
      <c r="AI6142">
        <v>90.703717976715694</v>
      </c>
      <c r="AJ6142">
        <v>88.534801875298399</v>
      </c>
      <c r="AK6142">
        <v>93.702377264742793</v>
      </c>
      <c r="AL6142">
        <v>80.087215441430203</v>
      </c>
      <c r="AM6142">
        <v>95.1054754365055</v>
      </c>
      <c r="AN6142">
        <v>0.99999996489870002</v>
      </c>
    </row>
    <row r="6143" spans="1:40" x14ac:dyDescent="0.25">
      <c r="A6143" t="str">
        <f>"20190304155226612"</f>
        <v>20190304155226612</v>
      </c>
      <c r="B6143" t="str">
        <f>"1551685946603281"</f>
        <v>1551685946603281</v>
      </c>
      <c r="C6143" t="s">
        <v>40</v>
      </c>
      <c r="D6143">
        <v>4.6936689999999999</v>
      </c>
      <c r="E6143">
        <v>0.5339566</v>
      </c>
      <c r="F6143" t="s">
        <v>77</v>
      </c>
      <c r="G6143">
        <v>-301.46850000000001</v>
      </c>
      <c r="H6143" s="1">
        <v>-8.0018110000000003E-6</v>
      </c>
      <c r="I6143">
        <v>-55.760249999999999</v>
      </c>
      <c r="J6143">
        <v>-302.26049999999998</v>
      </c>
      <c r="K6143">
        <v>1.1021920000000001</v>
      </c>
      <c r="L6143">
        <v>-3.7593079999999999</v>
      </c>
      <c r="M6143">
        <v>3.0776209999999998E-2</v>
      </c>
      <c r="N6143">
        <v>-5.6166769999999996E-3</v>
      </c>
      <c r="O6143">
        <v>-0.99951060000000003</v>
      </c>
      <c r="P6143">
        <v>0.1185436</v>
      </c>
      <c r="Q6143">
        <v>0.165072</v>
      </c>
      <c r="R6143">
        <v>-0.97913170000000005</v>
      </c>
      <c r="S6143">
        <v>4.6905519999999999E-2</v>
      </c>
      <c r="T6143">
        <v>-6.4787860000000003E-2</v>
      </c>
      <c r="U6143">
        <v>-3.0702820000000002</v>
      </c>
      <c r="V6143">
        <v>-8.8310470000000002E-2</v>
      </c>
      <c r="W6143">
        <v>0.17060890000000001</v>
      </c>
      <c r="X6143">
        <v>0.98137339999999995</v>
      </c>
      <c r="Y6143">
        <v>1.550552E-2</v>
      </c>
      <c r="Z6143">
        <v>1.546498E-2</v>
      </c>
      <c r="AA6143">
        <v>0.99976019999999999</v>
      </c>
      <c r="AB6143">
        <v>17</v>
      </c>
      <c r="AC6143">
        <v>0.79199999999997295</v>
      </c>
      <c r="AD6143">
        <v>-1.1022000018109901</v>
      </c>
      <c r="AE6143">
        <v>-52.000941999999903</v>
      </c>
      <c r="AF6143">
        <v>0.80842909705583499</v>
      </c>
      <c r="AG6143">
        <v>-1.1022000018109901</v>
      </c>
      <c r="AH6143">
        <v>51.977337576879499</v>
      </c>
      <c r="AI6143">
        <v>91.214650737114795</v>
      </c>
      <c r="AJ6143">
        <v>89.108922408787706</v>
      </c>
      <c r="AK6143">
        <v>51.995307711656501</v>
      </c>
      <c r="AL6143">
        <v>80.176775769063596</v>
      </c>
      <c r="AM6143">
        <v>95.142003796615398</v>
      </c>
      <c r="AN6143">
        <v>0.99999994304919304</v>
      </c>
    </row>
    <row r="6144" spans="1:40" x14ac:dyDescent="0.25">
      <c r="A6144" t="str">
        <f>"20190304155226634"</f>
        <v>20190304155226634</v>
      </c>
      <c r="B6144" t="str">
        <f>"1551685946622800"</f>
        <v>1551685946622800</v>
      </c>
      <c r="C6144" t="s">
        <v>40</v>
      </c>
      <c r="D6144">
        <v>4.947851</v>
      </c>
      <c r="E6144">
        <v>0.53313290000000002</v>
      </c>
      <c r="F6144" t="s">
        <v>41</v>
      </c>
      <c r="G6144">
        <v>-301.47340000000003</v>
      </c>
      <c r="H6144" s="1">
        <v>-4.3916560000000001E-7</v>
      </c>
      <c r="I6144">
        <v>-40.301009999999998</v>
      </c>
      <c r="J6144">
        <v>-302.25540000000001</v>
      </c>
      <c r="K6144">
        <v>1.1033729999999999</v>
      </c>
      <c r="L6144">
        <v>-3.928741</v>
      </c>
      <c r="M6144">
        <v>3.0691619999999999E-2</v>
      </c>
      <c r="N6144">
        <v>-6.1669309999999996E-3</v>
      </c>
      <c r="O6144">
        <v>-0.99951009999999996</v>
      </c>
      <c r="P6144">
        <v>0.1187192</v>
      </c>
      <c r="Q6144">
        <v>0.16243440000000001</v>
      </c>
      <c r="R6144">
        <v>-0.97955170000000003</v>
      </c>
      <c r="S6144">
        <v>6.6162109999999996E-2</v>
      </c>
      <c r="T6144">
        <v>-9.2646359999999997E-2</v>
      </c>
      <c r="U6144">
        <v>-3.071564</v>
      </c>
      <c r="V6144">
        <v>-8.8565660000000004E-2</v>
      </c>
      <c r="W6144">
        <v>0.1685092</v>
      </c>
      <c r="X6144">
        <v>0.98171319999999995</v>
      </c>
      <c r="Y6144">
        <v>9.1651749999999994E-3</v>
      </c>
      <c r="Z6144">
        <v>2.3960809999999999E-2</v>
      </c>
      <c r="AA6144">
        <v>0.99967090000000003</v>
      </c>
      <c r="AB6144">
        <v>17</v>
      </c>
      <c r="AC6144">
        <v>0.78199999999998204</v>
      </c>
      <c r="AD6144">
        <v>-1.1033734391656</v>
      </c>
      <c r="AE6144">
        <v>-36.372269000000003</v>
      </c>
      <c r="AF6144">
        <v>0.33440565703956598</v>
      </c>
      <c r="AG6144">
        <v>-1.1033734391656</v>
      </c>
      <c r="AH6144">
        <v>36.345703164472901</v>
      </c>
      <c r="AI6144">
        <v>91.738762844866699</v>
      </c>
      <c r="AJ6144">
        <v>89.472853996397006</v>
      </c>
      <c r="AK6144">
        <v>36.363984911031103</v>
      </c>
      <c r="AL6144">
        <v>80.298848064636005</v>
      </c>
      <c r="AM6144">
        <v>95.155007305631401</v>
      </c>
      <c r="AN6144">
        <v>1.00000001683505</v>
      </c>
    </row>
    <row r="6145" spans="1:40" x14ac:dyDescent="0.25">
      <c r="A6145" t="str">
        <f>"20190304155226656"</f>
        <v>20190304155226656</v>
      </c>
      <c r="B6145" t="str">
        <f>"1551685946653056"</f>
        <v>1551685946653056</v>
      </c>
      <c r="C6145" t="s">
        <v>40</v>
      </c>
      <c r="D6145">
        <v>4.7309890000000001</v>
      </c>
      <c r="E6145">
        <v>0.53340459999999901</v>
      </c>
      <c r="F6145" t="s">
        <v>41</v>
      </c>
      <c r="G6145">
        <v>-301.44909999999999</v>
      </c>
      <c r="H6145" s="1">
        <v>-1.6446990000000001E-6</v>
      </c>
      <c r="I6145">
        <v>-37.475839999999998</v>
      </c>
      <c r="J6145">
        <v>-302.25029999999998</v>
      </c>
      <c r="K6145">
        <v>1.1043810000000001</v>
      </c>
      <c r="L6145">
        <v>-4.0967710000000004</v>
      </c>
      <c r="M6145">
        <v>3.06424E-2</v>
      </c>
      <c r="N6145">
        <v>-6.6471209999999998E-3</v>
      </c>
      <c r="O6145">
        <v>-0.99950839999999996</v>
      </c>
      <c r="P6145">
        <v>0.1188157</v>
      </c>
      <c r="Q6145">
        <v>0.15992519999999999</v>
      </c>
      <c r="R6145">
        <v>-0.97995270000000001</v>
      </c>
      <c r="S6145">
        <v>7.3791499999999996E-2</v>
      </c>
      <c r="T6145">
        <v>-0.1009876</v>
      </c>
      <c r="U6145">
        <v>-3.0704349999999998</v>
      </c>
      <c r="V6145">
        <v>-8.870306E-2</v>
      </c>
      <c r="W6145">
        <v>0.166471799999999</v>
      </c>
      <c r="X6145">
        <v>0.98204829999999999</v>
      </c>
      <c r="Y6145">
        <v>6.6269120000000004E-3</v>
      </c>
      <c r="Z6145">
        <v>2.6202489999999998E-2</v>
      </c>
      <c r="AA6145">
        <v>0.99963469999999999</v>
      </c>
      <c r="AB6145">
        <v>17</v>
      </c>
      <c r="AC6145">
        <v>0.80119999999999403</v>
      </c>
      <c r="AD6145">
        <v>-1.1043826446989999</v>
      </c>
      <c r="AE6145">
        <v>-33.379069000000001</v>
      </c>
      <c r="AF6145">
        <v>0.22177090802375499</v>
      </c>
      <c r="AG6145">
        <v>-1.1043826446989999</v>
      </c>
      <c r="AH6145">
        <v>33.351456664880502</v>
      </c>
      <c r="AI6145">
        <v>91.896527501475205</v>
      </c>
      <c r="AJ6145">
        <v>89.619016647346498</v>
      </c>
      <c r="AK6145">
        <v>33.370473551194301</v>
      </c>
      <c r="AL6145">
        <v>80.417254788895704</v>
      </c>
      <c r="AM6145">
        <v>95.161209332373105</v>
      </c>
      <c r="AN6145">
        <v>0.99999997829074605</v>
      </c>
    </row>
    <row r="6146" spans="1:40" x14ac:dyDescent="0.25">
      <c r="A6146" t="str">
        <f>"20190304155226679"</f>
        <v>20190304155226679</v>
      </c>
      <c r="B6146" t="str">
        <f>"1551685946672576"</f>
        <v>1551685946672576</v>
      </c>
      <c r="C6146" t="s">
        <v>40</v>
      </c>
      <c r="D6146">
        <v>4.8659239999999997</v>
      </c>
      <c r="E6146">
        <v>0.53356389999999998</v>
      </c>
      <c r="F6146" t="s">
        <v>41</v>
      </c>
      <c r="G6146">
        <v>-301.58240000000001</v>
      </c>
      <c r="H6146" s="1">
        <v>-3.7153729999999999E-6</v>
      </c>
      <c r="I6146">
        <v>-32.73171</v>
      </c>
      <c r="J6146">
        <v>-302.24520000000001</v>
      </c>
      <c r="K6146">
        <v>1.1052649999999999</v>
      </c>
      <c r="L6146">
        <v>-4.2694089999999996</v>
      </c>
      <c r="M6146">
        <v>3.0591980000000001E-2</v>
      </c>
      <c r="N6146">
        <v>-7.0719069999999997E-3</v>
      </c>
      <c r="O6146">
        <v>-0.99950700000000003</v>
      </c>
      <c r="P6146">
        <v>0.1190943</v>
      </c>
      <c r="Q6146">
        <v>0.1580136</v>
      </c>
      <c r="R6146">
        <v>-0.98022880000000001</v>
      </c>
      <c r="S6146">
        <v>7.1655269999999993E-2</v>
      </c>
      <c r="T6146">
        <v>-0.1184809</v>
      </c>
      <c r="U6146">
        <v>-3.0720209999999999</v>
      </c>
      <c r="V6146">
        <v>-8.9024469999999994E-2</v>
      </c>
      <c r="W6146">
        <v>0.16497829999999999</v>
      </c>
      <c r="X6146">
        <v>0.98227129999999996</v>
      </c>
      <c r="Y6146">
        <v>7.2869160000000001E-3</v>
      </c>
      <c r="Z6146">
        <v>3.1441209999999997E-2</v>
      </c>
      <c r="AA6146">
        <v>0.99947909999999995</v>
      </c>
      <c r="AB6146">
        <v>17</v>
      </c>
      <c r="AC6146">
        <v>0.66280000000000405</v>
      </c>
      <c r="AD6146">
        <v>-1.1052687153730001</v>
      </c>
      <c r="AE6146">
        <v>-28.462301</v>
      </c>
      <c r="AF6146">
        <v>0.20793670341440501</v>
      </c>
      <c r="AG6146">
        <v>-1.1052687153730001</v>
      </c>
      <c r="AH6146">
        <v>28.426412347922401</v>
      </c>
      <c r="AI6146">
        <v>92.226579162524601</v>
      </c>
      <c r="AJ6146">
        <v>89.580893892745706</v>
      </c>
      <c r="AK6146">
        <v>28.448651559958499</v>
      </c>
      <c r="AL6146">
        <v>80.504026617196899</v>
      </c>
      <c r="AM6146">
        <v>95.178639552518803</v>
      </c>
      <c r="AN6146">
        <v>1.00000005126667</v>
      </c>
    </row>
    <row r="6147" spans="1:40" x14ac:dyDescent="0.25">
      <c r="A6147" t="str">
        <f>"20190304155226702"</f>
        <v>20190304155226702</v>
      </c>
      <c r="B6147" t="str">
        <f>"1551685946693072"</f>
        <v>1551685946693072</v>
      </c>
      <c r="C6147" t="s">
        <v>40</v>
      </c>
      <c r="D6147">
        <v>4.6816930000000001</v>
      </c>
      <c r="E6147">
        <v>0.53416379999999997</v>
      </c>
      <c r="F6147" t="s">
        <v>41</v>
      </c>
      <c r="G6147">
        <v>-301.65800000000002</v>
      </c>
      <c r="H6147" s="1">
        <v>-7.9077059999999999E-7</v>
      </c>
      <c r="I6147">
        <v>-29.5959</v>
      </c>
      <c r="J6147">
        <v>-302.23989999999998</v>
      </c>
      <c r="K6147">
        <v>1.1060430000000001</v>
      </c>
      <c r="L6147">
        <v>-4.4450379999999896</v>
      </c>
      <c r="M6147">
        <v>3.0512589999999999E-2</v>
      </c>
      <c r="N6147">
        <v>-7.4343119999999898E-3</v>
      </c>
      <c r="O6147">
        <v>-0.99950680000000003</v>
      </c>
      <c r="P6147">
        <v>0.1191889</v>
      </c>
      <c r="Q6147">
        <v>0.1563851</v>
      </c>
      <c r="R6147">
        <v>-0.98047850000000003</v>
      </c>
      <c r="S6147">
        <v>7.1258539999999995E-2</v>
      </c>
      <c r="T6147">
        <v>-0.134129</v>
      </c>
      <c r="U6147">
        <v>-3.0734859999999999</v>
      </c>
      <c r="V6147">
        <v>-8.9192099999999996E-2</v>
      </c>
      <c r="W6147">
        <v>0.1637065</v>
      </c>
      <c r="X6147">
        <v>0.98246880000000003</v>
      </c>
      <c r="Y6147">
        <v>7.3510930000000004E-3</v>
      </c>
      <c r="Z6147">
        <v>3.6136500000000002E-2</v>
      </c>
      <c r="AA6147">
        <v>0.99931990000000004</v>
      </c>
      <c r="AB6147">
        <v>17</v>
      </c>
      <c r="AC6147">
        <v>0.581899999999961</v>
      </c>
      <c r="AD6147">
        <v>-1.1060437907706</v>
      </c>
      <c r="AE6147">
        <v>-25.150862</v>
      </c>
      <c r="AF6147">
        <v>0.18545159915691101</v>
      </c>
      <c r="AG6147">
        <v>-1.1060437907706</v>
      </c>
      <c r="AH6147">
        <v>25.108374785684799</v>
      </c>
      <c r="AI6147">
        <v>92.5222251102754</v>
      </c>
      <c r="AJ6147">
        <v>89.576818459539794</v>
      </c>
      <c r="AK6147">
        <v>25.133408235676001</v>
      </c>
      <c r="AL6147">
        <v>80.577899292691498</v>
      </c>
      <c r="AM6147">
        <v>95.187300291663604</v>
      </c>
      <c r="AN6147">
        <v>0.99999999590904998</v>
      </c>
    </row>
    <row r="6148" spans="1:40" x14ac:dyDescent="0.25">
      <c r="A6148" t="str">
        <f>"20190304155226727"</f>
        <v>20190304155226727</v>
      </c>
      <c r="B6148" t="str">
        <f>"1551685946723328"</f>
        <v>1551685946723328</v>
      </c>
      <c r="C6148" t="s">
        <v>40</v>
      </c>
      <c r="D6148">
        <v>4.8975109999999997</v>
      </c>
      <c r="E6148">
        <v>0.53370709999999999</v>
      </c>
      <c r="F6148" t="s">
        <v>41</v>
      </c>
      <c r="G6148">
        <v>-301.69299999999998</v>
      </c>
      <c r="H6148" s="1">
        <v>-7.8131109999999997E-7</v>
      </c>
      <c r="I6148">
        <v>-29.63964</v>
      </c>
      <c r="J6148">
        <v>-302.23430000000002</v>
      </c>
      <c r="K6148">
        <v>1.1067359999999999</v>
      </c>
      <c r="L6148">
        <v>-4.6293949999999997</v>
      </c>
      <c r="M6148">
        <v>3.0402490000000001E-2</v>
      </c>
      <c r="N6148">
        <v>-7.7486859999999899E-3</v>
      </c>
      <c r="O6148">
        <v>-0.9995077</v>
      </c>
      <c r="P6148">
        <v>0.1192713</v>
      </c>
      <c r="Q6148">
        <v>0.15647169999999999</v>
      </c>
      <c r="R6148">
        <v>-0.98045459999999995</v>
      </c>
      <c r="S6148">
        <v>6.6711430000000002E-2</v>
      </c>
      <c r="T6148">
        <v>-0.13491139999999999</v>
      </c>
      <c r="U6148">
        <v>-3.0731510000000002</v>
      </c>
      <c r="V6148">
        <v>-8.9384790000000006E-2</v>
      </c>
      <c r="W6148">
        <v>0.1641011</v>
      </c>
      <c r="X6148">
        <v>0.98238550000000002</v>
      </c>
      <c r="Y6148">
        <v>8.7159530000000002E-3</v>
      </c>
      <c r="Z6148">
        <v>3.6081420000000003E-2</v>
      </c>
      <c r="AA6148">
        <v>0.9993109</v>
      </c>
      <c r="AB6148">
        <v>17</v>
      </c>
      <c r="AC6148">
        <v>0.54130000000003498</v>
      </c>
      <c r="AD6148">
        <v>-1.1067367813111</v>
      </c>
      <c r="AE6148">
        <v>-25.010245000000001</v>
      </c>
      <c r="AF6148">
        <v>0.218918310146895</v>
      </c>
      <c r="AG6148">
        <v>-1.1067367813111</v>
      </c>
      <c r="AH6148">
        <v>24.966274777266801</v>
      </c>
      <c r="AI6148">
        <v>92.538121005322196</v>
      </c>
      <c r="AJ6148">
        <v>89.497611322213402</v>
      </c>
      <c r="AK6148">
        <v>24.991751995080499</v>
      </c>
      <c r="AL6148">
        <v>80.554980861933998</v>
      </c>
      <c r="AM6148">
        <v>95.198883944509205</v>
      </c>
      <c r="AN6148">
        <v>1.0000000411573999</v>
      </c>
    </row>
    <row r="6149" spans="1:40" x14ac:dyDescent="0.25">
      <c r="A6149" t="str">
        <f>"20190304155226745"</f>
        <v>20190304155226745</v>
      </c>
      <c r="B6149" t="str">
        <f>"1551685946742849"</f>
        <v>1551685946742849</v>
      </c>
      <c r="C6149" t="s">
        <v>40</v>
      </c>
      <c r="D6149">
        <v>4.8987509999999999</v>
      </c>
      <c r="E6149">
        <v>0.53333419999999998</v>
      </c>
      <c r="F6149" t="s">
        <v>41</v>
      </c>
      <c r="G6149">
        <v>-301.63600000000002</v>
      </c>
      <c r="H6149" s="1">
        <v>-4.509101E-6</v>
      </c>
      <c r="I6149">
        <v>-30.615749999999998</v>
      </c>
      <c r="J6149">
        <v>-302.22989999999999</v>
      </c>
      <c r="K6149">
        <v>1.1072139999999999</v>
      </c>
      <c r="L6149">
        <v>-4.7782900000000001</v>
      </c>
      <c r="M6149">
        <v>3.0309249999999999E-2</v>
      </c>
      <c r="N6149">
        <v>-7.9608409999999998E-3</v>
      </c>
      <c r="O6149">
        <v>-0.99950890000000003</v>
      </c>
      <c r="P6149">
        <v>0.1187825</v>
      </c>
      <c r="Q6149">
        <v>0.15702839999999901</v>
      </c>
      <c r="R6149">
        <v>-0.98042499999999999</v>
      </c>
      <c r="S6149">
        <v>7.0739750000000004E-2</v>
      </c>
      <c r="T6149">
        <v>-0.1308378</v>
      </c>
      <c r="U6149">
        <v>-3.0720830000000001</v>
      </c>
      <c r="V6149">
        <v>-8.8988689999999995E-2</v>
      </c>
      <c r="W6149">
        <v>0.16486589999999901</v>
      </c>
      <c r="X6149">
        <v>0.98229339999999998</v>
      </c>
      <c r="Y6149">
        <v>7.3045109999999996E-3</v>
      </c>
      <c r="Z6149">
        <v>3.456302E-2</v>
      </c>
      <c r="AA6149">
        <v>0.99937580000000004</v>
      </c>
      <c r="AB6149">
        <v>17</v>
      </c>
      <c r="AC6149">
        <v>0.59390000000001897</v>
      </c>
      <c r="AD6149">
        <v>-1.1072185091009901</v>
      </c>
      <c r="AE6149">
        <v>-25.83746</v>
      </c>
      <c r="AF6149">
        <v>0.18916449966334001</v>
      </c>
      <c r="AG6149">
        <v>-1.1072185091009901</v>
      </c>
      <c r="AH6149">
        <v>25.796242777907501</v>
      </c>
      <c r="AI6149">
        <v>92.457657551154597</v>
      </c>
      <c r="AJ6149">
        <v>89.579856132799605</v>
      </c>
      <c r="AK6149">
        <v>25.820686619289798</v>
      </c>
      <c r="AL6149">
        <v>80.510555944051106</v>
      </c>
      <c r="AM6149">
        <v>95.176453673891899</v>
      </c>
      <c r="AN6149">
        <v>1.0000000378071401</v>
      </c>
    </row>
    <row r="6150" spans="1:40" x14ac:dyDescent="0.25">
      <c r="A6150" t="str">
        <f>"20190304155226769"</f>
        <v>20190304155226769</v>
      </c>
      <c r="B6150" t="str">
        <f>"1551685946763344"</f>
        <v>1551685946763344</v>
      </c>
      <c r="C6150" t="s">
        <v>40</v>
      </c>
      <c r="D6150">
        <v>4.9021429999999997</v>
      </c>
      <c r="E6150">
        <v>0.53292659999999903</v>
      </c>
      <c r="F6150" t="s">
        <v>41</v>
      </c>
      <c r="G6150">
        <v>-301.61849999999998</v>
      </c>
      <c r="H6150" s="1">
        <v>-4.5195660000000002E-6</v>
      </c>
      <c r="I6150">
        <v>-30.575869999999998</v>
      </c>
      <c r="J6150">
        <v>-302.22469999999998</v>
      </c>
      <c r="K6150">
        <v>1.1076900000000001</v>
      </c>
      <c r="L6150">
        <v>-4.9534609999999999</v>
      </c>
      <c r="M6150">
        <v>3.0210399999999998E-2</v>
      </c>
      <c r="N6150">
        <v>-8.1742769999999902E-3</v>
      </c>
      <c r="O6150">
        <v>-0.99951009999999996</v>
      </c>
      <c r="P6150">
        <v>0.1183652</v>
      </c>
      <c r="Q6150">
        <v>0.15758800000000001</v>
      </c>
      <c r="R6150">
        <v>-0.98038559999999997</v>
      </c>
      <c r="S6150">
        <v>7.2814939999999995E-2</v>
      </c>
      <c r="T6150">
        <v>-0.13185740000000001</v>
      </c>
      <c r="U6150">
        <v>-3.0722049999999999</v>
      </c>
      <c r="V6150">
        <v>-8.8668430000000006E-2</v>
      </c>
      <c r="W6150">
        <v>0.1656348</v>
      </c>
      <c r="X6150">
        <v>0.98219299999999998</v>
      </c>
      <c r="Y6150">
        <v>6.5320919999999998E-3</v>
      </c>
      <c r="Z6150">
        <v>3.4678920000000002E-2</v>
      </c>
      <c r="AA6150">
        <v>0.99937710000000002</v>
      </c>
      <c r="AB6150">
        <v>17</v>
      </c>
      <c r="AC6150">
        <v>0.60620000000000096</v>
      </c>
      <c r="AD6150">
        <v>-1.107694519566</v>
      </c>
      <c r="AE6150">
        <v>-25.622409000000001</v>
      </c>
      <c r="AF6150">
        <v>0.16785229299329299</v>
      </c>
      <c r="AG6150">
        <v>-1.107694519566</v>
      </c>
      <c r="AH6150">
        <v>25.581243741297001</v>
      </c>
      <c r="AI6150">
        <v>92.479364825505002</v>
      </c>
      <c r="AJ6150">
        <v>89.624056982857994</v>
      </c>
      <c r="AK6150">
        <v>25.605764837094501</v>
      </c>
      <c r="AL6150">
        <v>80.465887053949402</v>
      </c>
      <c r="AM6150">
        <v>95.158449282793597</v>
      </c>
      <c r="AN6150">
        <v>1.0000000333493499</v>
      </c>
    </row>
    <row r="6151" spans="1:40" x14ac:dyDescent="0.25">
      <c r="A6151" t="str">
        <f>"20190304155226790"</f>
        <v>20190304155226790</v>
      </c>
      <c r="B6151" t="str">
        <f>"1551685946782864"</f>
        <v>1551685946782864</v>
      </c>
      <c r="C6151" t="s">
        <v>40</v>
      </c>
      <c r="D6151">
        <v>4.7668309999999998</v>
      </c>
      <c r="E6151">
        <v>0.53289609999999998</v>
      </c>
      <c r="F6151" t="s">
        <v>41</v>
      </c>
      <c r="G6151">
        <v>-301.59519999999998</v>
      </c>
      <c r="H6151" s="1">
        <v>-4.4370659999999997E-6</v>
      </c>
      <c r="I6151">
        <v>-30.80621</v>
      </c>
      <c r="J6151">
        <v>-302.21980000000002</v>
      </c>
      <c r="K6151">
        <v>1.1080639999999999</v>
      </c>
      <c r="L6151">
        <v>-5.1188349999999998</v>
      </c>
      <c r="M6151">
        <v>3.012652E-2</v>
      </c>
      <c r="N6151">
        <v>-8.3391639999999996E-3</v>
      </c>
      <c r="O6151">
        <v>-0.9995115</v>
      </c>
      <c r="P6151">
        <v>0.1182112</v>
      </c>
      <c r="Q6151">
        <v>0.1581833</v>
      </c>
      <c r="R6151">
        <v>-0.98030879999999998</v>
      </c>
      <c r="S6151">
        <v>7.4798580000000003E-2</v>
      </c>
      <c r="T6151">
        <v>-0.13162989999999999</v>
      </c>
      <c r="U6151">
        <v>-3.0721440000000002</v>
      </c>
      <c r="V6151">
        <v>-8.8597969999999998E-2</v>
      </c>
      <c r="W6151">
        <v>0.1663924</v>
      </c>
      <c r="X6151">
        <v>0.98207129999999998</v>
      </c>
      <c r="Y6151">
        <v>5.8027520000000004E-3</v>
      </c>
      <c r="Z6151">
        <v>3.4441239999999998E-2</v>
      </c>
      <c r="AA6151">
        <v>0.99938990000000005</v>
      </c>
      <c r="AB6151">
        <v>17</v>
      </c>
      <c r="AC6151">
        <v>0.62460000000004301</v>
      </c>
      <c r="AD6151">
        <v>-1.1080684370659999</v>
      </c>
      <c r="AE6151">
        <v>-25.687374999999999</v>
      </c>
      <c r="AF6151">
        <v>0.14930384935095001</v>
      </c>
      <c r="AG6151">
        <v>-1.1080684370659999</v>
      </c>
      <c r="AH6151">
        <v>25.646837420173899</v>
      </c>
      <c r="AI6151">
        <v>92.473876638931202</v>
      </c>
      <c r="AJ6151">
        <v>89.666454633101694</v>
      </c>
      <c r="AK6151">
        <v>25.671197419627401</v>
      </c>
      <c r="AL6151">
        <v>80.4218689657353</v>
      </c>
      <c r="AM6151">
        <v>95.155007529085296</v>
      </c>
      <c r="AN6151">
        <v>1.0000000346747799</v>
      </c>
    </row>
    <row r="6152" spans="1:40" x14ac:dyDescent="0.25">
      <c r="A6152" t="str">
        <f>"20190304155226814"</f>
        <v>20190304155226814</v>
      </c>
      <c r="B6152" t="str">
        <f>"1551685946803361"</f>
        <v>1551685946803361</v>
      </c>
      <c r="C6152" t="s">
        <v>40</v>
      </c>
      <c r="D6152">
        <v>4.8744389999999997</v>
      </c>
      <c r="E6152">
        <v>0.53253850000000003</v>
      </c>
      <c r="F6152" t="s">
        <v>41</v>
      </c>
      <c r="G6152">
        <v>-301.56900000000002</v>
      </c>
      <c r="H6152" s="1">
        <v>-4.0742790000000002E-6</v>
      </c>
      <c r="I6152">
        <v>-31.85858</v>
      </c>
      <c r="J6152">
        <v>-302.21460000000002</v>
      </c>
      <c r="K6152">
        <v>1.1084050000000001</v>
      </c>
      <c r="L6152">
        <v>-5.2953489999999999</v>
      </c>
      <c r="M6152">
        <v>3.004047E-2</v>
      </c>
      <c r="N6152">
        <v>-8.4845189999999994E-3</v>
      </c>
      <c r="O6152">
        <v>-0.99951299999999998</v>
      </c>
      <c r="P6152">
        <v>0.1184041</v>
      </c>
      <c r="Q6152">
        <v>0.1585609</v>
      </c>
      <c r="R6152">
        <v>-0.98022450000000005</v>
      </c>
      <c r="S6152">
        <v>7.4768070000000006E-2</v>
      </c>
      <c r="T6152">
        <v>-0.1272913</v>
      </c>
      <c r="U6152">
        <v>-3.071777</v>
      </c>
      <c r="V6152">
        <v>-8.8876629999999998E-2</v>
      </c>
      <c r="W6152">
        <v>0.16691239999999999</v>
      </c>
      <c r="X6152">
        <v>0.98195790000000005</v>
      </c>
      <c r="Y6152">
        <v>5.7224769999999897E-3</v>
      </c>
      <c r="Z6152">
        <v>3.2893350000000002E-2</v>
      </c>
      <c r="AA6152">
        <v>0.99944250000000001</v>
      </c>
      <c r="AB6152">
        <v>17</v>
      </c>
      <c r="AC6152">
        <v>0.64560000000000095</v>
      </c>
      <c r="AD6152">
        <v>-1.10840907427899</v>
      </c>
      <c r="AE6152">
        <v>-26.563230999999998</v>
      </c>
      <c r="AF6152">
        <v>0.15242655509869299</v>
      </c>
      <c r="AG6152">
        <v>-1.10840907427899</v>
      </c>
      <c r="AH6152">
        <v>26.524480467772701</v>
      </c>
      <c r="AI6152">
        <v>92.392853178140896</v>
      </c>
      <c r="AJ6152">
        <v>89.670745590337802</v>
      </c>
      <c r="AK6152">
        <v>26.548067135215302</v>
      </c>
      <c r="AL6152">
        <v>80.391652862076597</v>
      </c>
      <c r="AM6152">
        <v>95.171727331150294</v>
      </c>
      <c r="AN6152">
        <v>1.0000000610031601</v>
      </c>
    </row>
    <row r="6153" spans="1:40" x14ac:dyDescent="0.25">
      <c r="A6153" t="str">
        <f>"20190304155226835"</f>
        <v>20190304155226835</v>
      </c>
      <c r="B6153" t="str">
        <f>"1551685946832641"</f>
        <v>1551685946832641</v>
      </c>
      <c r="C6153" t="s">
        <v>40</v>
      </c>
      <c r="D6153">
        <v>4.899343</v>
      </c>
      <c r="E6153">
        <v>0.49587530000000002</v>
      </c>
      <c r="F6153" t="s">
        <v>41</v>
      </c>
      <c r="G6153">
        <v>-301.53089999999997</v>
      </c>
      <c r="H6153" s="1">
        <v>-4.0444429999999999E-6</v>
      </c>
      <c r="I6153">
        <v>-31.926410000000001</v>
      </c>
      <c r="J6153">
        <v>-302.2097</v>
      </c>
      <c r="K6153">
        <v>1.1086720000000001</v>
      </c>
      <c r="L6153">
        <v>-5.4623410000000003</v>
      </c>
      <c r="M6153">
        <v>2.9957299999999999E-2</v>
      </c>
      <c r="N6153">
        <v>-8.6014300000000002E-3</v>
      </c>
      <c r="O6153">
        <v>-0.99951440000000003</v>
      </c>
      <c r="P6153">
        <v>0.1189127</v>
      </c>
      <c r="Q6153">
        <v>0.1583078</v>
      </c>
      <c r="R6153">
        <v>-0.98020390000000002</v>
      </c>
      <c r="S6153">
        <v>7.8857419999999998E-2</v>
      </c>
      <c r="T6153">
        <v>-0.1278464</v>
      </c>
      <c r="U6153">
        <v>-3.0716860000000001</v>
      </c>
      <c r="V6153">
        <v>-8.9467790000000005E-2</v>
      </c>
      <c r="W6153">
        <v>0.16677410000000001</v>
      </c>
      <c r="X6153">
        <v>0.98192760000000001</v>
      </c>
      <c r="Y6153">
        <v>4.309172E-3</v>
      </c>
      <c r="Z6153">
        <v>3.2957680000000003E-2</v>
      </c>
      <c r="AA6153">
        <v>0.99944750000000004</v>
      </c>
      <c r="AB6153">
        <v>17</v>
      </c>
      <c r="AC6153">
        <v>0.67880000000002305</v>
      </c>
      <c r="AD6153">
        <v>-1.1086760444429999</v>
      </c>
      <c r="AE6153">
        <v>-26.464068999999899</v>
      </c>
      <c r="AF6153">
        <v>0.114125714797078</v>
      </c>
      <c r="AG6153">
        <v>-1.1086760444429999</v>
      </c>
      <c r="AH6153">
        <v>26.426176797479702</v>
      </c>
      <c r="AI6153">
        <v>92.402339080471293</v>
      </c>
      <c r="AJ6153">
        <v>89.752560455860504</v>
      </c>
      <c r="AK6153">
        <v>26.449669324624001</v>
      </c>
      <c r="AL6153">
        <v>80.399688426398498</v>
      </c>
      <c r="AM6153">
        <v>95.206098270372905</v>
      </c>
      <c r="AN6153">
        <v>0.99999994876002496</v>
      </c>
    </row>
    <row r="6154" spans="1:40" x14ac:dyDescent="0.25">
      <c r="A6154" t="str">
        <f>"20190304155226858"</f>
        <v>20190304155226858</v>
      </c>
      <c r="B6154" t="str">
        <f>"1551685946853136"</f>
        <v>1551685946853136</v>
      </c>
      <c r="C6154" t="s">
        <v>40</v>
      </c>
      <c r="D6154">
        <v>4.8697239999999997</v>
      </c>
      <c r="E6154">
        <v>0.48006359999999898</v>
      </c>
      <c r="F6154" t="s">
        <v>101</v>
      </c>
      <c r="G6154">
        <v>-291.46879999999999</v>
      </c>
      <c r="H6154">
        <v>1.2019879999999901</v>
      </c>
      <c r="I6154">
        <v>-91.564989999999995</v>
      </c>
      <c r="J6154">
        <v>-302.2045</v>
      </c>
      <c r="K6154">
        <v>1.108916</v>
      </c>
      <c r="L6154">
        <v>-5.6407170000000004</v>
      </c>
      <c r="M6154">
        <v>2.9866690000000001E-2</v>
      </c>
      <c r="N6154">
        <v>-8.7030049999999998E-3</v>
      </c>
      <c r="O6154">
        <v>-0.99951610000000002</v>
      </c>
      <c r="P6154">
        <v>0.119815</v>
      </c>
      <c r="Q6154">
        <v>0.1582181</v>
      </c>
      <c r="R6154">
        <v>-0.98010799999999998</v>
      </c>
      <c r="S6154">
        <v>0.37603760000000003</v>
      </c>
      <c r="T6154">
        <v>3.267407E-3</v>
      </c>
      <c r="U6154">
        <v>-3.0144350000000002</v>
      </c>
      <c r="V6154">
        <v>-9.046208E-2</v>
      </c>
      <c r="W6154">
        <v>0.16678309999999999</v>
      </c>
      <c r="X6154">
        <v>0.98183500000000001</v>
      </c>
      <c r="Y6154">
        <v>-9.4083879999999995E-2</v>
      </c>
      <c r="Z6154">
        <v>-9.7634379999999993E-3</v>
      </c>
      <c r="AA6154">
        <v>0.99551639999999997</v>
      </c>
      <c r="AB6154">
        <v>17</v>
      </c>
      <c r="AC6154">
        <v>10.7357</v>
      </c>
      <c r="AD6154">
        <v>9.3071999999999794E-2</v>
      </c>
      <c r="AE6154">
        <v>-85.924272999999999</v>
      </c>
      <c r="AF6154">
        <v>-8.1645303451824098</v>
      </c>
      <c r="AG6154">
        <v>9.3071999999999794E-2</v>
      </c>
      <c r="AH6154">
        <v>86.206490849278694</v>
      </c>
      <c r="AI6154">
        <v>89.938416770191097</v>
      </c>
      <c r="AJ6154">
        <v>95.410287973503202</v>
      </c>
      <c r="AK6154">
        <v>86.592304985497194</v>
      </c>
      <c r="AL6154">
        <v>80.399165730679599</v>
      </c>
      <c r="AM6154">
        <v>95.264126073708695</v>
      </c>
      <c r="AN6154">
        <v>0.99999997879426805</v>
      </c>
    </row>
    <row r="6155" spans="1:40" x14ac:dyDescent="0.25">
      <c r="A6155" t="str">
        <f>"20190304155226881"</f>
        <v>20190304155226881</v>
      </c>
      <c r="B6155" t="str">
        <f>"1551685946872657"</f>
        <v>1551685946872657</v>
      </c>
      <c r="C6155" t="s">
        <v>40</v>
      </c>
      <c r="D6155">
        <v>4.8609499999999999</v>
      </c>
      <c r="E6155">
        <v>0.4779796</v>
      </c>
      <c r="F6155" t="s">
        <v>101</v>
      </c>
      <c r="G6155">
        <v>-287.77429999999998</v>
      </c>
      <c r="H6155">
        <v>0.43195630000000002</v>
      </c>
      <c r="I6155">
        <v>-91.564989999999995</v>
      </c>
      <c r="J6155">
        <v>-302.19940000000003</v>
      </c>
      <c r="K6155">
        <v>1.1091139999999999</v>
      </c>
      <c r="L6155">
        <v>-5.814972</v>
      </c>
      <c r="M6155">
        <v>2.9778679999999998E-2</v>
      </c>
      <c r="N6155">
        <v>-8.7761330000000002E-3</v>
      </c>
      <c r="O6155">
        <v>-0.99951800000000002</v>
      </c>
      <c r="P6155">
        <v>0.12015049999999999</v>
      </c>
      <c r="Q6155">
        <v>0.15795780000000001</v>
      </c>
      <c r="R6155">
        <v>-0.98010889999999995</v>
      </c>
      <c r="S6155">
        <v>0.50433349999999999</v>
      </c>
      <c r="T6155">
        <v>-2.365923E-2</v>
      </c>
      <c r="U6155">
        <v>-3.0030519999999998</v>
      </c>
      <c r="V6155">
        <v>-9.0884980000000004E-2</v>
      </c>
      <c r="W6155">
        <v>0.16659450000000001</v>
      </c>
      <c r="X6155">
        <v>0.98182800000000003</v>
      </c>
      <c r="Y6155">
        <v>-0.13616909999999999</v>
      </c>
      <c r="Z6155">
        <v>-9.7265419999999995E-4</v>
      </c>
      <c r="AA6155">
        <v>0.99068509999999999</v>
      </c>
      <c r="AB6155">
        <v>17</v>
      </c>
      <c r="AC6155">
        <v>14.4251</v>
      </c>
      <c r="AD6155">
        <v>-0.67715769999999997</v>
      </c>
      <c r="AE6155">
        <v>-85.750017999999997</v>
      </c>
      <c r="AF6155">
        <v>-11.864362048718601</v>
      </c>
      <c r="AG6155">
        <v>-0.67715769999999997</v>
      </c>
      <c r="AH6155">
        <v>86.136339651180293</v>
      </c>
      <c r="AI6155">
        <v>90.446206722911498</v>
      </c>
      <c r="AJ6155">
        <v>97.842534450492394</v>
      </c>
      <c r="AK6155">
        <v>86.952231931545299</v>
      </c>
      <c r="AL6155">
        <v>80.410125384293494</v>
      </c>
      <c r="AM6155">
        <v>95.288633540501394</v>
      </c>
      <c r="AN6155">
        <v>1.0000000143019201</v>
      </c>
    </row>
    <row r="6156" spans="1:40" x14ac:dyDescent="0.25">
      <c r="A6156" t="str">
        <f>"20190304155226903"</f>
        <v>20190304155226903</v>
      </c>
      <c r="B6156" t="str">
        <f>"1551685946893153"</f>
        <v>1551685946893153</v>
      </c>
      <c r="C6156" t="s">
        <v>40</v>
      </c>
      <c r="D6156">
        <v>4.8549860000000002</v>
      </c>
      <c r="E6156">
        <v>0.47530820000000001</v>
      </c>
      <c r="F6156" t="s">
        <v>77</v>
      </c>
      <c r="G6156">
        <v>-290.80720000000002</v>
      </c>
      <c r="H6156">
        <v>7.9986559999999998E-2</v>
      </c>
      <c r="I6156">
        <v>-71.326809999999995</v>
      </c>
      <c r="J6156">
        <v>-302.19420000000002</v>
      </c>
      <c r="K6156">
        <v>1.1092759999999999</v>
      </c>
      <c r="L6156">
        <v>-5.9917600000000002</v>
      </c>
      <c r="M6156">
        <v>2.969215E-2</v>
      </c>
      <c r="N6156">
        <v>-8.8223179999999991E-3</v>
      </c>
      <c r="O6156">
        <v>-0.99952010000000002</v>
      </c>
      <c r="P6156">
        <v>0.12088359999999999</v>
      </c>
      <c r="Q6156">
        <v>0.15826460000000001</v>
      </c>
      <c r="R6156">
        <v>-0.97996930000000004</v>
      </c>
      <c r="S6156">
        <v>0.52246090000000001</v>
      </c>
      <c r="T6156">
        <v>-4.7197099999999999E-2</v>
      </c>
      <c r="U6156">
        <v>-3.0044559999999998</v>
      </c>
      <c r="V6156">
        <v>-9.1707150000000001E-2</v>
      </c>
      <c r="W6156">
        <v>0.16694529999999999</v>
      </c>
      <c r="X6156">
        <v>0.98169200000000001</v>
      </c>
      <c r="Y6156">
        <v>-0.1419755</v>
      </c>
      <c r="Z6156">
        <v>6.7016119999999896E-3</v>
      </c>
      <c r="AA6156">
        <v>0.98984749999999999</v>
      </c>
      <c r="AB6156">
        <v>17</v>
      </c>
      <c r="AC6156">
        <v>11.387</v>
      </c>
      <c r="AD6156">
        <v>-1.0292894400000001</v>
      </c>
      <c r="AE6156">
        <v>-65.335049999999995</v>
      </c>
      <c r="AF6156">
        <v>-9.4396915015659904</v>
      </c>
      <c r="AG6156">
        <v>-1.0292894400000001</v>
      </c>
      <c r="AH6156">
        <v>65.628550522440094</v>
      </c>
      <c r="AI6156">
        <v>90.889376875713793</v>
      </c>
      <c r="AJ6156">
        <v>98.185009011466505</v>
      </c>
      <c r="AK6156">
        <v>66.311943540153493</v>
      </c>
      <c r="AL6156">
        <v>80.389740983424801</v>
      </c>
      <c r="AM6156">
        <v>95.336935982552106</v>
      </c>
      <c r="AN6156">
        <v>1.0000000587086</v>
      </c>
    </row>
    <row r="6157" spans="1:40" x14ac:dyDescent="0.25">
      <c r="A6157" t="str">
        <f>"20190304155226927"</f>
        <v>20190304155226927</v>
      </c>
      <c r="B6157" t="str">
        <f>"1551685946923408"</f>
        <v>1551685946923408</v>
      </c>
      <c r="C6157" t="s">
        <v>40</v>
      </c>
      <c r="D6157">
        <v>4.8410669999999998</v>
      </c>
      <c r="E6157">
        <v>0.47314719999999999</v>
      </c>
      <c r="F6157" t="s">
        <v>77</v>
      </c>
      <c r="G6157">
        <v>-293.0754</v>
      </c>
      <c r="H6157" s="1">
        <v>-9.0873020000000007E-6</v>
      </c>
      <c r="I6157">
        <v>-56.151269999999997</v>
      </c>
      <c r="J6157">
        <v>-302.18889999999999</v>
      </c>
      <c r="K6157">
        <v>1.1094090000000001</v>
      </c>
      <c r="L6157">
        <v>-6.173889</v>
      </c>
      <c r="M6157">
        <v>2.960459E-2</v>
      </c>
      <c r="N6157">
        <v>-8.8434810000000003E-3</v>
      </c>
      <c r="O6157">
        <v>-0.99952249999999998</v>
      </c>
      <c r="P6157">
        <v>0.121152</v>
      </c>
      <c r="Q6157">
        <v>0.158829</v>
      </c>
      <c r="R6157">
        <v>-0.97984490000000002</v>
      </c>
      <c r="S6157">
        <v>0.54623409999999994</v>
      </c>
      <c r="T6157">
        <v>-6.6448690000000005E-2</v>
      </c>
      <c r="U6157">
        <v>-3.0046689999999998</v>
      </c>
      <c r="V6157">
        <v>-9.2065809999999998E-2</v>
      </c>
      <c r="W6157">
        <v>0.16752919999999999</v>
      </c>
      <c r="X6157">
        <v>0.98155890000000001</v>
      </c>
      <c r="Y6157">
        <v>-0.14962159999999999</v>
      </c>
      <c r="Z6157">
        <v>1.297364E-2</v>
      </c>
      <c r="AA6157">
        <v>0.98865820000000004</v>
      </c>
      <c r="AB6157">
        <v>17</v>
      </c>
      <c r="AC6157">
        <v>9.1134999999999806</v>
      </c>
      <c r="AD6157">
        <v>-1.1094180873019901</v>
      </c>
      <c r="AE6157">
        <v>-49.977381000000001</v>
      </c>
      <c r="AF6157">
        <v>-7.6262502591420498</v>
      </c>
      <c r="AG6157">
        <v>-1.1094180873019901</v>
      </c>
      <c r="AH6157">
        <v>50.201344042837398</v>
      </c>
      <c r="AI6157">
        <v>91.251639157539003</v>
      </c>
      <c r="AJ6157">
        <v>98.637945390445097</v>
      </c>
      <c r="AK6157">
        <v>50.789422572173699</v>
      </c>
      <c r="AL6157">
        <v>80.355807619190898</v>
      </c>
      <c r="AM6157">
        <v>95.358409403816694</v>
      </c>
      <c r="AN6157">
        <v>1.0000000101963999</v>
      </c>
    </row>
    <row r="6158" spans="1:40" x14ac:dyDescent="0.25">
      <c r="A6158" t="str">
        <f>"20190304155226947"</f>
        <v>20190304155226947</v>
      </c>
      <c r="B6158" t="str">
        <f>"1551685946942929"</f>
        <v>1551685946942929</v>
      </c>
      <c r="C6158" t="s">
        <v>40</v>
      </c>
      <c r="D6158">
        <v>5.0746769999999897</v>
      </c>
      <c r="E6158">
        <v>0.47240559999999998</v>
      </c>
      <c r="F6158" t="s">
        <v>77</v>
      </c>
      <c r="G6158">
        <v>-294.64830000000001</v>
      </c>
      <c r="H6158" s="1">
        <v>-4.8429060000000004E-6</v>
      </c>
      <c r="I6158">
        <v>-46.343499999999999</v>
      </c>
      <c r="J6158">
        <v>-302.18430000000001</v>
      </c>
      <c r="K6158">
        <v>1.1095109999999999</v>
      </c>
      <c r="L6158">
        <v>-6.3336790000000001</v>
      </c>
      <c r="M6158">
        <v>2.952784E-2</v>
      </c>
      <c r="N6158">
        <v>-8.8409579999999995E-3</v>
      </c>
      <c r="O6158">
        <v>-0.99952490000000005</v>
      </c>
      <c r="P6158">
        <v>0.12195979999999999</v>
      </c>
      <c r="Q6158">
        <v>0.15916340000000001</v>
      </c>
      <c r="R6158">
        <v>-0.97969030000000001</v>
      </c>
      <c r="S6158">
        <v>0.56417850000000003</v>
      </c>
      <c r="T6158">
        <v>-8.3003880000000002E-2</v>
      </c>
      <c r="U6158">
        <v>-3.0054020000000001</v>
      </c>
      <c r="V6158">
        <v>-9.2953980000000005E-2</v>
      </c>
      <c r="W6158">
        <v>0.16786010000000001</v>
      </c>
      <c r="X6158">
        <v>0.98141860000000003</v>
      </c>
      <c r="Y6158">
        <v>-0.1553407</v>
      </c>
      <c r="Z6158">
        <v>1.8370419999999998E-2</v>
      </c>
      <c r="AA6158">
        <v>0.98769019999999996</v>
      </c>
      <c r="AB6158">
        <v>17</v>
      </c>
      <c r="AC6158">
        <v>7.5359999999999996</v>
      </c>
      <c r="AD6158">
        <v>-1.1095158429059999</v>
      </c>
      <c r="AE6158">
        <v>-40.009821000000002</v>
      </c>
      <c r="AF6158">
        <v>-6.3465506500755096</v>
      </c>
      <c r="AG6158">
        <v>-1.1095158429059999</v>
      </c>
      <c r="AH6158">
        <v>40.185060115593799</v>
      </c>
      <c r="AI6158">
        <v>91.562190720751801</v>
      </c>
      <c r="AJ6158">
        <v>98.974770532677198</v>
      </c>
      <c r="AK6158">
        <v>40.698265160243899</v>
      </c>
      <c r="AL6158">
        <v>80.336575637906094</v>
      </c>
      <c r="AM6158">
        <v>95.410566174764099</v>
      </c>
      <c r="AN6158">
        <v>0.99999996199790397</v>
      </c>
    </row>
    <row r="6159" spans="1:40" x14ac:dyDescent="0.25">
      <c r="A6159" t="str">
        <f>"20190304155226970"</f>
        <v>20190304155226970</v>
      </c>
      <c r="B6159" t="str">
        <f>"1551685946963424"</f>
        <v>1551685946963424</v>
      </c>
      <c r="C6159" t="s">
        <v>40</v>
      </c>
      <c r="D6159">
        <v>4.8160239999999996</v>
      </c>
      <c r="E6159">
        <v>0.47212870000000001</v>
      </c>
      <c r="F6159" t="s">
        <v>77</v>
      </c>
      <c r="G6159">
        <v>-294.65800000000002</v>
      </c>
      <c r="H6159" s="1">
        <v>-4.5597319999999998E-6</v>
      </c>
      <c r="I6159">
        <v>-45.792009999999998</v>
      </c>
      <c r="J6159">
        <v>-302.17910000000001</v>
      </c>
      <c r="K6159">
        <v>1.1095969999999999</v>
      </c>
      <c r="L6159">
        <v>-6.5116269999999998</v>
      </c>
      <c r="M6159">
        <v>2.9440790000000001E-2</v>
      </c>
      <c r="N6159">
        <v>-8.8193119999999993E-3</v>
      </c>
      <c r="O6159">
        <v>-0.99952779999999997</v>
      </c>
      <c r="P6159">
        <v>0.1224039</v>
      </c>
      <c r="Q6159">
        <v>0.16013720000000001</v>
      </c>
      <c r="R6159">
        <v>-0.97947629999999997</v>
      </c>
      <c r="S6159">
        <v>0.57308959999999998</v>
      </c>
      <c r="T6159">
        <v>-8.4484699999999996E-2</v>
      </c>
      <c r="U6159">
        <v>-3.004578</v>
      </c>
      <c r="V6159">
        <v>-9.3489370000000002E-2</v>
      </c>
      <c r="W6159">
        <v>0.1688105</v>
      </c>
      <c r="X6159">
        <v>0.98120469999999904</v>
      </c>
      <c r="Y6159">
        <v>-0.15830069999999999</v>
      </c>
      <c r="Z6159">
        <v>1.887049E-2</v>
      </c>
      <c r="AA6159">
        <v>0.98721060000000005</v>
      </c>
      <c r="AB6159">
        <v>17</v>
      </c>
      <c r="AC6159">
        <v>7.5210999999999899</v>
      </c>
      <c r="AD6159">
        <v>-1.1096015597319999</v>
      </c>
      <c r="AE6159">
        <v>-39.280383</v>
      </c>
      <c r="AF6159">
        <v>-6.3564564352278596</v>
      </c>
      <c r="AG6159">
        <v>-1.1096015597319999</v>
      </c>
      <c r="AH6159">
        <v>39.454420594202197</v>
      </c>
      <c r="AI6159">
        <v>91.590442871447493</v>
      </c>
      <c r="AJ6159">
        <v>99.152212924781296</v>
      </c>
      <c r="AK6159">
        <v>39.978582496863403</v>
      </c>
      <c r="AL6159">
        <v>80.281333340471207</v>
      </c>
      <c r="AM6159">
        <v>95.442722179962999</v>
      </c>
      <c r="AN6159">
        <v>0.99999995525766705</v>
      </c>
    </row>
    <row r="6160" spans="1:40" x14ac:dyDescent="0.25">
      <c r="A6160" t="str">
        <f>"20190304155226992"</f>
        <v>20190304155226992</v>
      </c>
      <c r="B6160" t="str">
        <f>"1551685946982945"</f>
        <v>1551685946982945</v>
      </c>
      <c r="C6160" t="s">
        <v>40</v>
      </c>
      <c r="D6160">
        <v>4.8690249999999997</v>
      </c>
      <c r="E6160">
        <v>0.47138020000000003</v>
      </c>
      <c r="F6160" t="s">
        <v>77</v>
      </c>
      <c r="G6160">
        <v>-293.98180000000002</v>
      </c>
      <c r="H6160" s="1">
        <v>-6.2074799999999997E-6</v>
      </c>
      <c r="I6160">
        <v>-49.194240000000001</v>
      </c>
      <c r="J6160">
        <v>-302.17410000000001</v>
      </c>
      <c r="K6160">
        <v>1.109666</v>
      </c>
      <c r="L6160">
        <v>-6.6876530000000001</v>
      </c>
      <c r="M6160">
        <v>2.9352710000000001E-2</v>
      </c>
      <c r="N6160">
        <v>-8.7850210000000005E-3</v>
      </c>
      <c r="O6160">
        <v>-0.99953060000000005</v>
      </c>
      <c r="P6160">
        <v>0.1228815</v>
      </c>
      <c r="Q6160">
        <v>0.160633</v>
      </c>
      <c r="R6160">
        <v>-0.97933530000000002</v>
      </c>
      <c r="S6160">
        <v>0.57684329999999995</v>
      </c>
      <c r="T6160">
        <v>-7.8081849999999994E-2</v>
      </c>
      <c r="U6160">
        <v>-3.0035400000000001</v>
      </c>
      <c r="V6160">
        <v>-9.4057279999999993E-2</v>
      </c>
      <c r="W6160">
        <v>0.16927200000000001</v>
      </c>
      <c r="X6160">
        <v>0.98107089999999997</v>
      </c>
      <c r="Y6160">
        <v>-0.15964879999999901</v>
      </c>
      <c r="Z6160">
        <v>1.6812299999999999E-2</v>
      </c>
      <c r="AA6160">
        <v>0.98703070000000004</v>
      </c>
      <c r="AB6160">
        <v>18</v>
      </c>
      <c r="AC6160">
        <v>8.1922999999999799</v>
      </c>
      <c r="AD6160">
        <v>-1.1096722074800001</v>
      </c>
      <c r="AE6160">
        <v>-42.506586999999897</v>
      </c>
      <c r="AF6160">
        <v>-6.9364802169594197</v>
      </c>
      <c r="AG6160">
        <v>-1.1096722074800001</v>
      </c>
      <c r="AH6160">
        <v>42.700686649928102</v>
      </c>
      <c r="AI6160">
        <v>91.469370946292898</v>
      </c>
      <c r="AJ6160">
        <v>99.226773108107196</v>
      </c>
      <c r="AK6160">
        <v>43.274643506141899</v>
      </c>
      <c r="AL6160">
        <v>80.254505165626497</v>
      </c>
      <c r="AM6160">
        <v>95.476326400426998</v>
      </c>
      <c r="AN6160">
        <v>0.99999994636590195</v>
      </c>
    </row>
    <row r="6161" spans="1:40" x14ac:dyDescent="0.25">
      <c r="A6161" t="str">
        <f>"20190304155227015"</f>
        <v>20190304155227015</v>
      </c>
      <c r="B6161" t="str">
        <f>"1551685947002706"</f>
        <v>1551685947002706</v>
      </c>
      <c r="C6161" t="s">
        <v>40</v>
      </c>
      <c r="D6161">
        <v>4.8360370000000001</v>
      </c>
      <c r="E6161">
        <v>0.4706902</v>
      </c>
      <c r="F6161" t="s">
        <v>77</v>
      </c>
      <c r="G6161">
        <v>-294.339</v>
      </c>
      <c r="H6161" s="1">
        <v>-5.2210950000000004E-6</v>
      </c>
      <c r="I6161">
        <v>-46.951160000000002</v>
      </c>
      <c r="J6161">
        <v>-302.16890000000001</v>
      </c>
      <c r="K6161">
        <v>1.1097140000000001</v>
      </c>
      <c r="L6161">
        <v>-6.8664249999999996</v>
      </c>
      <c r="M6161">
        <v>2.9260359999999999E-2</v>
      </c>
      <c r="N6161">
        <v>-8.7446409999999992E-3</v>
      </c>
      <c r="O6161">
        <v>-0.99953369999999997</v>
      </c>
      <c r="P6161">
        <v>0.12369910000000001</v>
      </c>
      <c r="Q6161">
        <v>0.16074140000000001</v>
      </c>
      <c r="R6161">
        <v>-0.97921469999999999</v>
      </c>
      <c r="S6161">
        <v>0.58447269999999996</v>
      </c>
      <c r="T6161">
        <v>-8.277822E-2</v>
      </c>
      <c r="U6161">
        <v>-3.0035400000000001</v>
      </c>
      <c r="V6161">
        <v>-9.4968360000000002E-2</v>
      </c>
      <c r="W6161">
        <v>0.1693402</v>
      </c>
      <c r="X6161">
        <v>0.98097140000000005</v>
      </c>
      <c r="Y6161">
        <v>-0.16214990000000001</v>
      </c>
      <c r="Z6161">
        <v>1.8378080000000001E-2</v>
      </c>
      <c r="AA6161">
        <v>0.986595</v>
      </c>
      <c r="AB6161">
        <v>18</v>
      </c>
      <c r="AC6161">
        <v>7.8299000000000003</v>
      </c>
      <c r="AD6161">
        <v>-1.10971922109499</v>
      </c>
      <c r="AE6161">
        <v>-40.084735000000002</v>
      </c>
      <c r="AF6161">
        <v>-6.6487002642653001</v>
      </c>
      <c r="AG6161">
        <v>-1.10971922109499</v>
      </c>
      <c r="AH6161">
        <v>40.266957546764502</v>
      </c>
      <c r="AI6161">
        <v>91.557539518458299</v>
      </c>
      <c r="AJ6161">
        <v>99.375829236925497</v>
      </c>
      <c r="AK6161">
        <v>40.827252687716303</v>
      </c>
      <c r="AL6161">
        <v>80.250540786638197</v>
      </c>
      <c r="AM6161">
        <v>95.529602686478995</v>
      </c>
      <c r="AN6161">
        <v>0.99999999017754404</v>
      </c>
    </row>
    <row r="6162" spans="1:40" x14ac:dyDescent="0.25">
      <c r="A6162" t="str">
        <f>"20190304155227036"</f>
        <v>20190304155227036</v>
      </c>
      <c r="B6162" t="str">
        <f>"1551685947032939"</f>
        <v>1551685947032939</v>
      </c>
      <c r="C6162" t="s">
        <v>40</v>
      </c>
      <c r="D6162">
        <v>4.8173130000000004</v>
      </c>
      <c r="E6162">
        <v>0.47032269999999998</v>
      </c>
      <c r="F6162" t="s">
        <v>77</v>
      </c>
      <c r="G6162">
        <v>-294.9076</v>
      </c>
      <c r="H6162" s="1">
        <v>-3.3761019999999998E-6</v>
      </c>
      <c r="I6162">
        <v>-43.701149999999998</v>
      </c>
      <c r="J6162">
        <v>-302.16399999999999</v>
      </c>
      <c r="K6162">
        <v>1.1097539999999999</v>
      </c>
      <c r="L6162">
        <v>-7.0393679999999996</v>
      </c>
      <c r="M6162">
        <v>2.9166689999999999E-2</v>
      </c>
      <c r="N6162">
        <v>-8.6999339999999994E-3</v>
      </c>
      <c r="O6162">
        <v>-0.99953709999999996</v>
      </c>
      <c r="P6162">
        <v>0.1243085</v>
      </c>
      <c r="Q6162">
        <v>0.16087070000000001</v>
      </c>
      <c r="R6162">
        <v>-0.9791164</v>
      </c>
      <c r="S6162">
        <v>0.59213260000000001</v>
      </c>
      <c r="T6162">
        <v>-9.0492959999999997E-2</v>
      </c>
      <c r="U6162">
        <v>-3.0037229999999999</v>
      </c>
      <c r="V6162">
        <v>-9.567088E-2</v>
      </c>
      <c r="W6162">
        <v>0.16942570000000001</v>
      </c>
      <c r="X6162">
        <v>0.98088839999999999</v>
      </c>
      <c r="Y6162">
        <v>-0.16464179999999901</v>
      </c>
      <c r="Z6162">
        <v>2.0931559999999998E-2</v>
      </c>
      <c r="AA6162">
        <v>0.98613130000000004</v>
      </c>
      <c r="AB6162">
        <v>18</v>
      </c>
      <c r="AC6162">
        <v>7.2563999999999798</v>
      </c>
      <c r="AD6162">
        <v>-1.1097573761020001</v>
      </c>
      <c r="AE6162">
        <v>-36.661782000000002</v>
      </c>
      <c r="AF6162">
        <v>-6.1785219015830402</v>
      </c>
      <c r="AG6162">
        <v>-1.1097573761020001</v>
      </c>
      <c r="AH6162">
        <v>36.825366237700202</v>
      </c>
      <c r="AI6162">
        <v>91.702345014131197</v>
      </c>
      <c r="AJ6162">
        <v>99.524318672622996</v>
      </c>
      <c r="AK6162">
        <v>37.356569607806698</v>
      </c>
      <c r="AL6162">
        <v>80.245570459271505</v>
      </c>
      <c r="AM6162">
        <v>95.570719483921394</v>
      </c>
      <c r="AN6162">
        <v>1.00000001917751</v>
      </c>
    </row>
    <row r="6163" spans="1:40" x14ac:dyDescent="0.25">
      <c r="A6163" t="str">
        <f>"20190304155227059"</f>
        <v>20190304155227059</v>
      </c>
      <c r="B6163" t="str">
        <f>"1551685947053435"</f>
        <v>1551685947053435</v>
      </c>
      <c r="C6163" t="s">
        <v>40</v>
      </c>
      <c r="D6163">
        <v>5.0649519999999999</v>
      </c>
      <c r="E6163">
        <v>0.469972</v>
      </c>
      <c r="F6163" t="s">
        <v>77</v>
      </c>
      <c r="G6163">
        <v>-295.10109999999997</v>
      </c>
      <c r="H6163" s="1">
        <v>-2.6844589999999998E-6</v>
      </c>
      <c r="I6163">
        <v>-42.57647</v>
      </c>
      <c r="J6163">
        <v>-302.15879999999999</v>
      </c>
      <c r="K6163">
        <v>1.10978</v>
      </c>
      <c r="L6163">
        <v>-7.2220759999999897</v>
      </c>
      <c r="M6163">
        <v>2.9059120000000001E-2</v>
      </c>
      <c r="N6163">
        <v>-8.6432650000000007E-3</v>
      </c>
      <c r="O6163">
        <v>-0.9995406</v>
      </c>
      <c r="P6163">
        <v>0.1253367</v>
      </c>
      <c r="Q6163">
        <v>0.160695799999999</v>
      </c>
      <c r="R6163">
        <v>-0.97901419999999995</v>
      </c>
      <c r="S6163">
        <v>0.59695430000000005</v>
      </c>
      <c r="T6163">
        <v>-9.3796850000000001E-2</v>
      </c>
      <c r="U6163">
        <v>-3.0036010000000002</v>
      </c>
      <c r="V6163">
        <v>-9.6805189999999999E-2</v>
      </c>
      <c r="W6163">
        <v>0.16919589999999901</v>
      </c>
      <c r="X6163">
        <v>0.98081680000000004</v>
      </c>
      <c r="Y6163">
        <v>-0.16627320000000001</v>
      </c>
      <c r="Z6163">
        <v>2.2060639999999999E-2</v>
      </c>
      <c r="AA6163">
        <v>0.98583290000000001</v>
      </c>
      <c r="AB6163">
        <v>18</v>
      </c>
      <c r="AC6163">
        <v>7.0577000000000103</v>
      </c>
      <c r="AD6163">
        <v>-1.109782684459</v>
      </c>
      <c r="AE6163">
        <v>-35.354393999999999</v>
      </c>
      <c r="AF6163">
        <v>-6.0216076189438796</v>
      </c>
      <c r="AG6163">
        <v>-1.109782684459</v>
      </c>
      <c r="AH6163">
        <v>35.510911106789997</v>
      </c>
      <c r="AI6163">
        <v>91.764840943652203</v>
      </c>
      <c r="AJ6163">
        <v>99.624133613298298</v>
      </c>
      <c r="AK6163">
        <v>36.034930047907501</v>
      </c>
      <c r="AL6163">
        <v>80.258930169891997</v>
      </c>
      <c r="AM6163">
        <v>95.636754018808602</v>
      </c>
      <c r="AN6163">
        <v>1.0000000462749901</v>
      </c>
    </row>
    <row r="6164" spans="1:40" x14ac:dyDescent="0.25">
      <c r="A6164" t="str">
        <f>"20190304155227080"</f>
        <v>20190304155227080</v>
      </c>
      <c r="B6164" t="str">
        <f>"1551685947072955"</f>
        <v>1551685947072955</v>
      </c>
      <c r="C6164" t="s">
        <v>40</v>
      </c>
      <c r="D6164">
        <v>4.7349030000000001</v>
      </c>
      <c r="E6164">
        <v>0.46987309999999999</v>
      </c>
      <c r="F6164" t="s">
        <v>77</v>
      </c>
      <c r="G6164">
        <v>-295.30220000000003</v>
      </c>
      <c r="H6164" s="1">
        <v>-1.8769289999999999E-6</v>
      </c>
      <c r="I6164">
        <v>-41.390180000000001</v>
      </c>
      <c r="J6164">
        <v>-302.15390000000002</v>
      </c>
      <c r="K6164">
        <v>1.1097939999999999</v>
      </c>
      <c r="L6164">
        <v>-7.3949889999999998</v>
      </c>
      <c r="M6164">
        <v>2.8944589999999999E-2</v>
      </c>
      <c r="N6164">
        <v>-8.5833360000000004E-3</v>
      </c>
      <c r="O6164">
        <v>-0.9995444</v>
      </c>
      <c r="P6164">
        <v>0.12665270000000001</v>
      </c>
      <c r="Q6164">
        <v>0.1611003</v>
      </c>
      <c r="R6164">
        <v>-0.97877820000000004</v>
      </c>
      <c r="S6164">
        <v>0.60266109999999995</v>
      </c>
      <c r="T6164">
        <v>-9.7543240000000003E-2</v>
      </c>
      <c r="U6164">
        <v>-3.003174</v>
      </c>
      <c r="V6164">
        <v>-9.823635E-2</v>
      </c>
      <c r="W6164">
        <v>0.1695422</v>
      </c>
      <c r="X6164">
        <v>0.9806146</v>
      </c>
      <c r="Y6164">
        <v>-0.16820750000000001</v>
      </c>
      <c r="Z6164">
        <v>2.3338290000000001E-2</v>
      </c>
      <c r="AA6164">
        <v>0.98547530000000005</v>
      </c>
      <c r="AB6164">
        <v>18</v>
      </c>
      <c r="AC6164">
        <v>6.8516999999999904</v>
      </c>
      <c r="AD6164">
        <v>-1.1097958769289999</v>
      </c>
      <c r="AE6164">
        <v>-33.995190999999998</v>
      </c>
      <c r="AF6164">
        <v>-5.8588159329325098</v>
      </c>
      <c r="AG6164">
        <v>-1.1097958769289999</v>
      </c>
      <c r="AH6164">
        <v>34.144305016646904</v>
      </c>
      <c r="AI6164">
        <v>91.8348383006918</v>
      </c>
      <c r="AJ6164">
        <v>99.736554687983499</v>
      </c>
      <c r="AK6164">
        <v>34.6610867702421</v>
      </c>
      <c r="AL6164">
        <v>80.238796991303701</v>
      </c>
      <c r="AM6164">
        <v>95.720710334534999</v>
      </c>
      <c r="AN6164">
        <v>0.99999996588766005</v>
      </c>
    </row>
    <row r="6165" spans="1:40" x14ac:dyDescent="0.25">
      <c r="A6165" t="str">
        <f>"20190304155227105"</f>
        <v>20190304155227105</v>
      </c>
      <c r="B6165" t="str">
        <f>"1551685947093451"</f>
        <v>1551685947093451</v>
      </c>
      <c r="C6165" t="s">
        <v>40</v>
      </c>
      <c r="D6165">
        <v>4.8285499999999999</v>
      </c>
      <c r="E6165">
        <v>0.46975850000000002</v>
      </c>
      <c r="F6165" t="s">
        <v>77</v>
      </c>
      <c r="G6165">
        <v>-295.39550000000003</v>
      </c>
      <c r="H6165" s="1">
        <v>-1.493794E-6</v>
      </c>
      <c r="I6165">
        <v>-40.826479999999997</v>
      </c>
      <c r="J6165">
        <v>-302.14839999999998</v>
      </c>
      <c r="K6165">
        <v>1.1098049999999999</v>
      </c>
      <c r="L6165">
        <v>-7.589569</v>
      </c>
      <c r="M6165">
        <v>2.8796390000000002E-2</v>
      </c>
      <c r="N6165">
        <v>-8.5144450000000007E-3</v>
      </c>
      <c r="O6165">
        <v>-0.99954900000000002</v>
      </c>
      <c r="P6165">
        <v>0.12826779999999999</v>
      </c>
      <c r="Q6165">
        <v>0.16154879999999999</v>
      </c>
      <c r="R6165">
        <v>-0.97849359999999996</v>
      </c>
      <c r="S6165">
        <v>0.60705569999999998</v>
      </c>
      <c r="T6165">
        <v>-9.9684599999999998E-2</v>
      </c>
      <c r="U6165">
        <v>-3.0028990000000002</v>
      </c>
      <c r="V6165">
        <v>-9.9998909999999996E-2</v>
      </c>
      <c r="W6165">
        <v>0.1699243</v>
      </c>
      <c r="X6165">
        <v>0.98037030000000003</v>
      </c>
      <c r="Y6165">
        <v>-0.16975270000000001</v>
      </c>
      <c r="Z6165">
        <v>2.4100719999999999E-2</v>
      </c>
      <c r="AA6165">
        <v>0.98519190000000001</v>
      </c>
      <c r="AB6165">
        <v>18</v>
      </c>
      <c r="AC6165">
        <v>6.7528999999999497</v>
      </c>
      <c r="AD6165">
        <v>-1.109806493794</v>
      </c>
      <c r="AE6165">
        <v>-33.236910999999999</v>
      </c>
      <c r="AF6165">
        <v>-5.7867654309863701</v>
      </c>
      <c r="AG6165">
        <v>-1.109806493794</v>
      </c>
      <c r="AH6165">
        <v>33.3818493637215</v>
      </c>
      <c r="AI6165">
        <v>91.876182095038402</v>
      </c>
      <c r="AJ6165">
        <v>99.834527436126393</v>
      </c>
      <c r="AK6165">
        <v>33.897878865042898</v>
      </c>
      <c r="AL6165">
        <v>80.216582146287905</v>
      </c>
      <c r="AM6165">
        <v>95.824093420421093</v>
      </c>
      <c r="AN6165">
        <v>0.99999998742688401</v>
      </c>
    </row>
    <row r="6166" spans="1:40" x14ac:dyDescent="0.25">
      <c r="A6166" t="str">
        <f>"20190304155227129"</f>
        <v>20190304155227129</v>
      </c>
      <c r="B6166" t="str">
        <f>"1551685947123236"</f>
        <v>1551685947123236</v>
      </c>
      <c r="C6166" t="s">
        <v>40</v>
      </c>
      <c r="D6166">
        <v>4.8179860000000003</v>
      </c>
      <c r="E6166">
        <v>0.4693542</v>
      </c>
      <c r="F6166" t="s">
        <v>41</v>
      </c>
      <c r="G6166">
        <v>-295.47669999999999</v>
      </c>
      <c r="H6166" s="1">
        <v>-1.233742E-6</v>
      </c>
      <c r="I6166">
        <v>-40.263159999999999</v>
      </c>
      <c r="J6166">
        <v>-302.14319999999998</v>
      </c>
      <c r="K6166">
        <v>1.10981</v>
      </c>
      <c r="L6166">
        <v>-7.7777710000000004</v>
      </c>
      <c r="M6166">
        <v>2.8628210000000001E-2</v>
      </c>
      <c r="N6166">
        <v>-8.4499399999999995E-3</v>
      </c>
      <c r="O6166">
        <v>-0.99955450000000001</v>
      </c>
      <c r="P6166">
        <v>0.1292867</v>
      </c>
      <c r="Q6166">
        <v>0.1617374</v>
      </c>
      <c r="R6166">
        <v>-0.97832810000000003</v>
      </c>
      <c r="S6166">
        <v>0.61306759999999905</v>
      </c>
      <c r="T6166">
        <v>-0.1019813</v>
      </c>
      <c r="U6166">
        <v>-3.0024109999999999</v>
      </c>
      <c r="V6166">
        <v>-0.1011807</v>
      </c>
      <c r="W6166">
        <v>0.17005300000000001</v>
      </c>
      <c r="X6166">
        <v>0.98022679999999995</v>
      </c>
      <c r="Y6166">
        <v>-0.1718392</v>
      </c>
      <c r="Z6166">
        <v>2.4908159999999999E-2</v>
      </c>
      <c r="AA6166">
        <v>0.98481010000000002</v>
      </c>
      <c r="AB6166">
        <v>18</v>
      </c>
      <c r="AC6166">
        <v>6.6664999999999797</v>
      </c>
      <c r="AD6166">
        <v>-1.1098112337420001</v>
      </c>
      <c r="AE6166">
        <v>-32.485388999999998</v>
      </c>
      <c r="AF6166">
        <v>-5.7273212993356299</v>
      </c>
      <c r="AG6166">
        <v>-1.1098112337420001</v>
      </c>
      <c r="AH6166">
        <v>32.626389344970796</v>
      </c>
      <c r="AI6166">
        <v>91.918889248151004</v>
      </c>
      <c r="AJ6166">
        <v>99.956407760118793</v>
      </c>
      <c r="AK6166">
        <v>33.1438557191222</v>
      </c>
      <c r="AL6166">
        <v>80.209100071923302</v>
      </c>
      <c r="AM6166">
        <v>95.893297778885298</v>
      </c>
      <c r="AN6166">
        <v>1.00000006814986</v>
      </c>
    </row>
    <row r="6167" spans="1:40" x14ac:dyDescent="0.25">
      <c r="A6167" t="str">
        <f>"20190304155227148"</f>
        <v>20190304155227148</v>
      </c>
      <c r="B6167" t="str">
        <f>"1551685947142757"</f>
        <v>1551685947142757</v>
      </c>
      <c r="C6167" t="s">
        <v>40</v>
      </c>
      <c r="D6167">
        <v>4.7887649999999997</v>
      </c>
      <c r="E6167">
        <v>0.469024</v>
      </c>
      <c r="F6167" t="s">
        <v>41</v>
      </c>
      <c r="G6167">
        <v>-295.51940000000002</v>
      </c>
      <c r="H6167" s="1">
        <v>-1.3554209999999999E-6</v>
      </c>
      <c r="I6167">
        <v>-39.872199999999999</v>
      </c>
      <c r="J6167">
        <v>-302.1388</v>
      </c>
      <c r="K6167">
        <v>1.109802</v>
      </c>
      <c r="L6167">
        <v>-7.9365229999999896</v>
      </c>
      <c r="M6167">
        <v>2.8463550000000001E-2</v>
      </c>
      <c r="N6167">
        <v>-8.399152E-3</v>
      </c>
      <c r="O6167">
        <v>-0.99955970000000005</v>
      </c>
      <c r="P6167">
        <v>0.130357</v>
      </c>
      <c r="Q6167">
        <v>0.16227510000000001</v>
      </c>
      <c r="R6167">
        <v>-0.97809710000000005</v>
      </c>
      <c r="S6167">
        <v>0.61950680000000002</v>
      </c>
      <c r="T6167">
        <v>-0.1037989</v>
      </c>
      <c r="U6167">
        <v>-3.0017399999999999</v>
      </c>
      <c r="V6167">
        <v>-0.1024127</v>
      </c>
      <c r="W6167">
        <v>0.1705431</v>
      </c>
      <c r="X6167">
        <v>0.98001360000000004</v>
      </c>
      <c r="Y6167">
        <v>-0.17406749999999999</v>
      </c>
      <c r="Z6167">
        <v>2.554615E-2</v>
      </c>
      <c r="AA6167">
        <v>0.98440229999999995</v>
      </c>
      <c r="AB6167">
        <v>18</v>
      </c>
      <c r="AC6167">
        <v>6.6193999999999802</v>
      </c>
      <c r="AD6167">
        <v>-1.1098033554210001</v>
      </c>
      <c r="AE6167">
        <v>-31.935676999999998</v>
      </c>
      <c r="AF6167">
        <v>-5.7010818883739196</v>
      </c>
      <c r="AG6167">
        <v>-1.1098033554210001</v>
      </c>
      <c r="AH6167">
        <v>32.074016461477598</v>
      </c>
      <c r="AI6167">
        <v>91.951160239606395</v>
      </c>
      <c r="AJ6167">
        <v>100.078926117344</v>
      </c>
      <c r="AK6167">
        <v>32.595652013064303</v>
      </c>
      <c r="AL6167">
        <v>80.180602302920093</v>
      </c>
      <c r="AM6167">
        <v>95.9658299454576</v>
      </c>
      <c r="AN6167">
        <v>0.99999998313192995</v>
      </c>
    </row>
    <row r="6168" spans="1:40" x14ac:dyDescent="0.25">
      <c r="A6168" t="str">
        <f>"20190304155227171"</f>
        <v>20190304155227171</v>
      </c>
      <c r="B6168" t="str">
        <f>"1551685947163252"</f>
        <v>1551685947163252</v>
      </c>
      <c r="C6168" t="s">
        <v>40</v>
      </c>
      <c r="D6168">
        <v>4.8098210000000003</v>
      </c>
      <c r="E6168">
        <v>0.46851759999999898</v>
      </c>
      <c r="F6168" t="s">
        <v>41</v>
      </c>
      <c r="G6168">
        <v>-295.6318</v>
      </c>
      <c r="H6168" s="1">
        <v>-1.5653019999999999E-6</v>
      </c>
      <c r="I6168">
        <v>-39.167569999999998</v>
      </c>
      <c r="J6168">
        <v>-302.13369999999998</v>
      </c>
      <c r="K6168">
        <v>1.109804</v>
      </c>
      <c r="L6168">
        <v>-8.1234439999999992</v>
      </c>
      <c r="M6168">
        <v>2.8243859999999999E-2</v>
      </c>
      <c r="N6168">
        <v>-8.3438790000000002E-3</v>
      </c>
      <c r="O6168">
        <v>-0.99956639999999997</v>
      </c>
      <c r="P6168">
        <v>0.13152259999999999</v>
      </c>
      <c r="Q6168">
        <v>0.16316169999999999</v>
      </c>
      <c r="R6168">
        <v>-0.97779360000000004</v>
      </c>
      <c r="S6168">
        <v>0.62536619999999998</v>
      </c>
      <c r="T6168">
        <v>-0.10666</v>
      </c>
      <c r="U6168">
        <v>-3.0015260000000001</v>
      </c>
      <c r="V6168">
        <v>-0.1037946</v>
      </c>
      <c r="W6168">
        <v>0.17137749999999999</v>
      </c>
      <c r="X6168">
        <v>0.9797226</v>
      </c>
      <c r="Y6168">
        <v>-0.17613389999999901</v>
      </c>
      <c r="Z6168">
        <v>2.6524760000000001E-2</v>
      </c>
      <c r="AA6168">
        <v>0.98400880000000002</v>
      </c>
      <c r="AB6168">
        <v>18</v>
      </c>
      <c r="AC6168">
        <v>6.5018999999999698</v>
      </c>
      <c r="AD6168">
        <v>-1.109805565302</v>
      </c>
      <c r="AE6168">
        <v>-31.044125999999999</v>
      </c>
      <c r="AF6168">
        <v>-5.6155944261198103</v>
      </c>
      <c r="AG6168">
        <v>-1.109805565302</v>
      </c>
      <c r="AH6168">
        <v>31.177215103629599</v>
      </c>
      <c r="AI6168">
        <v>92.0064191235072</v>
      </c>
      <c r="AJ6168">
        <v>100.210552207311</v>
      </c>
      <c r="AK6168">
        <v>31.698348707297502</v>
      </c>
      <c r="AL6168">
        <v>80.132080224416697</v>
      </c>
      <c r="AM6168">
        <v>96.047519679835403</v>
      </c>
      <c r="AN6168">
        <v>0.99999996972308403</v>
      </c>
    </row>
    <row r="6169" spans="1:40" x14ac:dyDescent="0.25">
      <c r="A6169" t="str">
        <f>"20190304155227193"</f>
        <v>20190304155227193</v>
      </c>
      <c r="B6169" t="str">
        <f>"1551685947182774"</f>
        <v>1551685947182774</v>
      </c>
      <c r="C6169" t="s">
        <v>40</v>
      </c>
      <c r="D6169">
        <v>4.8189729999999997</v>
      </c>
      <c r="E6169">
        <v>0.4683522</v>
      </c>
      <c r="F6169" t="s">
        <v>41</v>
      </c>
      <c r="G6169">
        <v>-295.54070000000002</v>
      </c>
      <c r="H6169" s="1">
        <v>-1.5069769999999999E-6</v>
      </c>
      <c r="I6169">
        <v>-39.410179999999997</v>
      </c>
      <c r="J6169">
        <v>-302.12880000000001</v>
      </c>
      <c r="K6169">
        <v>1.109807</v>
      </c>
      <c r="L6169">
        <v>-8.3063959999999994</v>
      </c>
      <c r="M6169">
        <v>2.8001410000000001E-2</v>
      </c>
      <c r="N6169">
        <v>-8.2894609999999997E-3</v>
      </c>
      <c r="O6169">
        <v>-0.99957359999999995</v>
      </c>
      <c r="P6169">
        <v>0.1327972</v>
      </c>
      <c r="Q6169">
        <v>0.1649166</v>
      </c>
      <c r="R6169">
        <v>-0.97732680000000005</v>
      </c>
      <c r="S6169">
        <v>0.63235469999999905</v>
      </c>
      <c r="T6169">
        <v>-0.1064454</v>
      </c>
      <c r="U6169">
        <v>-3.0008240000000002</v>
      </c>
      <c r="V6169">
        <v>-0.1053123</v>
      </c>
      <c r="W6169">
        <v>0.17308019999999999</v>
      </c>
      <c r="X6169">
        <v>0.97926120000000005</v>
      </c>
      <c r="Y6169">
        <v>-0.1786132</v>
      </c>
      <c r="Z6169">
        <v>2.6501299999999998E-2</v>
      </c>
      <c r="AA6169">
        <v>0.98356239999999995</v>
      </c>
      <c r="AB6169">
        <v>18</v>
      </c>
      <c r="AC6169">
        <v>6.5880999999999901</v>
      </c>
      <c r="AD6169">
        <v>-1.1098085069769901</v>
      </c>
      <c r="AE6169">
        <v>-31.103784000000001</v>
      </c>
      <c r="AF6169">
        <v>-5.7075824228407299</v>
      </c>
      <c r="AG6169">
        <v>-1.1098085069769901</v>
      </c>
      <c r="AH6169">
        <v>31.238007117848898</v>
      </c>
      <c r="AI6169">
        <v>92.001611463974001</v>
      </c>
      <c r="AJ6169">
        <v>100.354453890055</v>
      </c>
      <c r="AK6169">
        <v>31.774537931029901</v>
      </c>
      <c r="AL6169">
        <v>80.0330427365719</v>
      </c>
      <c r="AM6169">
        <v>96.138146503921504</v>
      </c>
      <c r="AN6169">
        <v>0.99999996699438398</v>
      </c>
    </row>
    <row r="6170" spans="1:40" x14ac:dyDescent="0.25">
      <c r="A6170" t="str">
        <f>"20190304155227214"</f>
        <v>20190304155227214</v>
      </c>
      <c r="B6170" t="str">
        <f>"1551685947203269"</f>
        <v>1551685947203269</v>
      </c>
      <c r="C6170" t="s">
        <v>40</v>
      </c>
      <c r="D6170">
        <v>4.9762750000000002</v>
      </c>
      <c r="E6170">
        <v>0.46831420000000001</v>
      </c>
      <c r="F6170" t="s">
        <v>77</v>
      </c>
      <c r="G6170">
        <v>-295.303</v>
      </c>
      <c r="H6170" s="1">
        <v>-1.2586290000000001E-6</v>
      </c>
      <c r="I6170">
        <v>-40.417810000000003</v>
      </c>
      <c r="J6170">
        <v>-302.1241</v>
      </c>
      <c r="K6170">
        <v>1.1097969999999999</v>
      </c>
      <c r="L6170">
        <v>-8.4843139999999995</v>
      </c>
      <c r="M6170">
        <v>2.773693E-2</v>
      </c>
      <c r="N6170">
        <v>-8.2355669999999992E-3</v>
      </c>
      <c r="O6170">
        <v>-0.99958150000000001</v>
      </c>
      <c r="P6170">
        <v>0.1336677</v>
      </c>
      <c r="Q6170">
        <v>0.16644349999999999</v>
      </c>
      <c r="R6170">
        <v>-0.97694959999999997</v>
      </c>
      <c r="S6170">
        <v>0.63778690000000005</v>
      </c>
      <c r="T6170">
        <v>-0.10369829999999999</v>
      </c>
      <c r="U6170">
        <v>-3.0004270000000002</v>
      </c>
      <c r="V6170">
        <v>-0.106444899999999</v>
      </c>
      <c r="W6170">
        <v>0.17455560000000001</v>
      </c>
      <c r="X6170">
        <v>0.97887679999999999</v>
      </c>
      <c r="Y6170">
        <v>-0.18060899999999999</v>
      </c>
      <c r="Z6170">
        <v>2.5650929999999999E-2</v>
      </c>
      <c r="AA6170">
        <v>0.98322050000000005</v>
      </c>
      <c r="AB6170">
        <v>18</v>
      </c>
      <c r="AC6170">
        <v>6.8211000000000004</v>
      </c>
      <c r="AD6170">
        <v>-1.1097982586289901</v>
      </c>
      <c r="AE6170">
        <v>-31.933496000000002</v>
      </c>
      <c r="AF6170">
        <v>-5.9258634721853802</v>
      </c>
      <c r="AG6170">
        <v>-1.1097982586289901</v>
      </c>
      <c r="AH6170">
        <v>32.073363890029697</v>
      </c>
      <c r="AI6170">
        <v>91.948793329901406</v>
      </c>
      <c r="AJ6170">
        <v>100.46790222324501</v>
      </c>
      <c r="AK6170">
        <v>32.635075935074802</v>
      </c>
      <c r="AL6170">
        <v>79.947201997146394</v>
      </c>
      <c r="AM6170">
        <v>96.206065416543694</v>
      </c>
      <c r="AN6170">
        <v>0.99999998190280404</v>
      </c>
    </row>
    <row r="6171" spans="1:40" x14ac:dyDescent="0.25">
      <c r="A6171" t="str">
        <f>"20190304155227237"</f>
        <v>20190304155227237</v>
      </c>
      <c r="B6171" t="str">
        <f>"1551685947233525"</f>
        <v>1551685947233525</v>
      </c>
      <c r="C6171" t="s">
        <v>40</v>
      </c>
      <c r="D6171">
        <v>4.7931999999999997</v>
      </c>
      <c r="E6171">
        <v>0.46821570000000001</v>
      </c>
      <c r="F6171" t="s">
        <v>77</v>
      </c>
      <c r="G6171">
        <v>-295.03230000000002</v>
      </c>
      <c r="H6171" s="1">
        <v>-2.1306509999999999E-6</v>
      </c>
      <c r="I6171">
        <v>-41.676360000000003</v>
      </c>
      <c r="J6171">
        <v>-302.11930000000001</v>
      </c>
      <c r="K6171">
        <v>1.1097840000000001</v>
      </c>
      <c r="L6171">
        <v>-8.6678770000000007</v>
      </c>
      <c r="M6171">
        <v>2.7432419999999999E-2</v>
      </c>
      <c r="N6171">
        <v>-8.1793279999999996E-3</v>
      </c>
      <c r="O6171">
        <v>-0.99959030000000004</v>
      </c>
      <c r="P6171">
        <v>0.134481399999999</v>
      </c>
      <c r="Q6171">
        <v>0.1671858</v>
      </c>
      <c r="R6171">
        <v>-0.97671070000000004</v>
      </c>
      <c r="S6171">
        <v>0.64102169999999903</v>
      </c>
      <c r="T6171">
        <v>-0.10031320000000001</v>
      </c>
      <c r="U6171">
        <v>-3.0001829999999998</v>
      </c>
      <c r="V6171">
        <v>-0.107555399999999</v>
      </c>
      <c r="W6171">
        <v>0.17524579999999901</v>
      </c>
      <c r="X6171">
        <v>0.9786321</v>
      </c>
      <c r="Y6171">
        <v>-0.1819452</v>
      </c>
      <c r="Z6171">
        <v>2.4597839999999999E-2</v>
      </c>
      <c r="AA6171">
        <v>0.98300100000000001</v>
      </c>
      <c r="AB6171">
        <v>18</v>
      </c>
      <c r="AC6171">
        <v>7.0869999999999802</v>
      </c>
      <c r="AD6171">
        <v>-1.109786130651</v>
      </c>
      <c r="AE6171">
        <v>-33.008482999999998</v>
      </c>
      <c r="AF6171">
        <v>-6.1721304781225603</v>
      </c>
      <c r="AG6171">
        <v>-1.109786130651</v>
      </c>
      <c r="AH6171">
        <v>33.154653680311696</v>
      </c>
      <c r="AI6171">
        <v>91.884788827447295</v>
      </c>
      <c r="AJ6171">
        <v>100.545568929179</v>
      </c>
      <c r="AK6171">
        <v>33.742523328230199</v>
      </c>
      <c r="AL6171">
        <v>79.907037750715006</v>
      </c>
      <c r="AM6171">
        <v>96.2718532504026</v>
      </c>
      <c r="AN6171">
        <v>1.0000000208186</v>
      </c>
    </row>
    <row r="6172" spans="1:40" x14ac:dyDescent="0.25">
      <c r="A6172" t="str">
        <f>"20190304155227259"</f>
        <v>20190304155227259</v>
      </c>
      <c r="B6172" t="str">
        <f>"1551685947253045"</f>
        <v>1551685947253045</v>
      </c>
      <c r="C6172" t="s">
        <v>40</v>
      </c>
      <c r="D6172">
        <v>4.9700800000000003</v>
      </c>
      <c r="E6172">
        <v>0.46804489999999999</v>
      </c>
      <c r="F6172" t="s">
        <v>77</v>
      </c>
      <c r="G6172">
        <v>-294.95209999999997</v>
      </c>
      <c r="H6172" s="1">
        <v>-2.4025159999999999E-6</v>
      </c>
      <c r="I6172">
        <v>-42.070500000000003</v>
      </c>
      <c r="J6172">
        <v>-302.1146</v>
      </c>
      <c r="K6172">
        <v>1.1097709999999901</v>
      </c>
      <c r="L6172">
        <v>-8.854279</v>
      </c>
      <c r="M6172">
        <v>2.709071E-2</v>
      </c>
      <c r="N6172">
        <v>-8.1226639999999999E-3</v>
      </c>
      <c r="O6172">
        <v>-0.99960009999999999</v>
      </c>
      <c r="P6172">
        <v>0.1348135</v>
      </c>
      <c r="Q6172">
        <v>0.16780120000000001</v>
      </c>
      <c r="R6172">
        <v>-0.97655950000000002</v>
      </c>
      <c r="S6172">
        <v>0.64370729999999998</v>
      </c>
      <c r="T6172">
        <v>-9.9672559999999993E-2</v>
      </c>
      <c r="U6172">
        <v>-2.9999690000000001</v>
      </c>
      <c r="V6172">
        <v>-0.1082177</v>
      </c>
      <c r="W6172">
        <v>0.17580999999999999</v>
      </c>
      <c r="X6172">
        <v>0.97845789999999999</v>
      </c>
      <c r="Y6172">
        <v>-0.18313789999999999</v>
      </c>
      <c r="Z6172">
        <v>2.4441230000000001E-2</v>
      </c>
      <c r="AA6172">
        <v>0.98278339999999997</v>
      </c>
      <c r="AB6172">
        <v>18</v>
      </c>
      <c r="AC6172">
        <v>7.1625000000000201</v>
      </c>
      <c r="AD6172">
        <v>-1.10977340251599</v>
      </c>
      <c r="AE6172">
        <v>-33.216220999999997</v>
      </c>
      <c r="AF6172">
        <v>-6.2533202266393602</v>
      </c>
      <c r="AG6172">
        <v>-1.10977340251599</v>
      </c>
      <c r="AH6172">
        <v>33.362485989934299</v>
      </c>
      <c r="AI6172">
        <v>91.8726041021973</v>
      </c>
      <c r="AJ6172">
        <v>100.61609509460899</v>
      </c>
      <c r="AK6172">
        <v>33.961611891816801</v>
      </c>
      <c r="AL6172">
        <v>79.874201915325301</v>
      </c>
      <c r="AM6172">
        <v>96.311277568692702</v>
      </c>
      <c r="AN6172">
        <v>1.0000000443828401</v>
      </c>
    </row>
    <row r="6173" spans="1:40" x14ac:dyDescent="0.25">
      <c r="A6173" t="str">
        <f>"20190304155227282"</f>
        <v>20190304155227282</v>
      </c>
      <c r="B6173" t="str">
        <f>"1551685947273541"</f>
        <v>1551685947273541</v>
      </c>
      <c r="C6173" t="s">
        <v>40</v>
      </c>
      <c r="D6173">
        <v>4.8010020000000004</v>
      </c>
      <c r="E6173">
        <v>0.49439949999999999</v>
      </c>
      <c r="F6173" t="s">
        <v>77</v>
      </c>
      <c r="G6173">
        <v>-294.89389999999997</v>
      </c>
      <c r="H6173" s="1">
        <v>-2.626676E-6</v>
      </c>
      <c r="I6173">
        <v>-42.398820000000001</v>
      </c>
      <c r="J6173">
        <v>-302.10989999999998</v>
      </c>
      <c r="K6173">
        <v>1.1097509999999999</v>
      </c>
      <c r="L6173">
        <v>-9.0433959999999995</v>
      </c>
      <c r="M6173">
        <v>2.6711080000000002E-2</v>
      </c>
      <c r="N6173">
        <v>-8.0656159999999994E-3</v>
      </c>
      <c r="O6173">
        <v>-0.99961069999999996</v>
      </c>
      <c r="P6173">
        <v>0.134552799999999</v>
      </c>
      <c r="Q6173">
        <v>0.1683664</v>
      </c>
      <c r="R6173">
        <v>-0.97649810000000004</v>
      </c>
      <c r="S6173">
        <v>0.64575199999999999</v>
      </c>
      <c r="T6173">
        <v>-9.924769E-2</v>
      </c>
      <c r="U6173">
        <v>-2.999908</v>
      </c>
      <c r="V6173">
        <v>-0.1083219</v>
      </c>
      <c r="W6173">
        <v>0.1763245</v>
      </c>
      <c r="X6173">
        <v>0.97835369999999999</v>
      </c>
      <c r="Y6173">
        <v>-0.18415619999999999</v>
      </c>
      <c r="Z6173">
        <v>2.435501E-2</v>
      </c>
      <c r="AA6173">
        <v>0.9825952</v>
      </c>
      <c r="AB6173">
        <v>18</v>
      </c>
      <c r="AC6173">
        <v>7.2160000000000002</v>
      </c>
      <c r="AD6173">
        <v>-1.109753626676</v>
      </c>
      <c r="AE6173">
        <v>-33.355423999999999</v>
      </c>
      <c r="AF6173">
        <v>-6.31575825202684</v>
      </c>
      <c r="AG6173">
        <v>-1.109753626676</v>
      </c>
      <c r="AH6173">
        <v>33.500850124713097</v>
      </c>
      <c r="AI6173">
        <v>91.864473555987402</v>
      </c>
      <c r="AJ6173">
        <v>100.67639567091599</v>
      </c>
      <c r="AK6173">
        <v>34.109050331084497</v>
      </c>
      <c r="AL6173">
        <v>79.844254580569597</v>
      </c>
      <c r="AM6173">
        <v>96.317972812157805</v>
      </c>
      <c r="AN6173">
        <v>0.99999996281177395</v>
      </c>
    </row>
    <row r="6174" spans="1:40" x14ac:dyDescent="0.25">
      <c r="A6174" t="str">
        <f>"20190304155227305"</f>
        <v>20190304155227305</v>
      </c>
      <c r="B6174" t="str">
        <f>"1551685947302821"</f>
        <v>1551685947302821</v>
      </c>
      <c r="C6174" t="s">
        <v>40</v>
      </c>
      <c r="D6174">
        <v>6.4130880000000001</v>
      </c>
      <c r="E6174">
        <v>0.58351049999999904</v>
      </c>
      <c r="F6174" t="s">
        <v>101</v>
      </c>
      <c r="G6174">
        <v>-289.98970000000003</v>
      </c>
      <c r="H6174">
        <v>3.3559269999999999</v>
      </c>
      <c r="I6174">
        <v>-91.564989999999995</v>
      </c>
      <c r="J6174">
        <v>-302.10520000000002</v>
      </c>
      <c r="K6174">
        <v>1.1097189999999999</v>
      </c>
      <c r="L6174">
        <v>-9.2340090000000004</v>
      </c>
      <c r="M6174">
        <v>2.6296659999999999E-2</v>
      </c>
      <c r="N6174">
        <v>-8.0109499999999993E-3</v>
      </c>
      <c r="O6174">
        <v>-0.99962209999999996</v>
      </c>
      <c r="P6174">
        <v>0.13412760000000001</v>
      </c>
      <c r="Q6174">
        <v>0.16895289999999999</v>
      </c>
      <c r="R6174">
        <v>-0.97645530000000003</v>
      </c>
      <c r="S6174">
        <v>0.44024659999999899</v>
      </c>
      <c r="T6174">
        <v>8.1589220000000004E-2</v>
      </c>
      <c r="U6174">
        <v>-2.9974669999999999</v>
      </c>
      <c r="V6174">
        <v>-0.1082944</v>
      </c>
      <c r="W6174">
        <v>0.176862299999999</v>
      </c>
      <c r="X6174">
        <v>0.97825969999999995</v>
      </c>
      <c r="Y6174">
        <v>-0.11916549999999999</v>
      </c>
      <c r="Z6174">
        <v>-3.4945560000000001E-2</v>
      </c>
      <c r="AA6174">
        <v>0.99225920000000001</v>
      </c>
      <c r="AB6174">
        <v>19</v>
      </c>
      <c r="AC6174">
        <v>12.1154999999999</v>
      </c>
      <c r="AD6174">
        <v>2.2462080000000002</v>
      </c>
      <c r="AE6174">
        <v>-82.330980999999994</v>
      </c>
      <c r="AF6174">
        <v>-9.9389695328170102</v>
      </c>
      <c r="AG6174">
        <v>2.2462080000000002</v>
      </c>
      <c r="AH6174">
        <v>82.560963982220301</v>
      </c>
      <c r="AI6174">
        <v>88.452723578163202</v>
      </c>
      <c r="AJ6174">
        <v>96.864427781331401</v>
      </c>
      <c r="AK6174">
        <v>83.187386901062197</v>
      </c>
      <c r="AL6174">
        <v>79.812949241142903</v>
      </c>
      <c r="AM6174">
        <v>96.316983843993796</v>
      </c>
      <c r="AN6174">
        <v>0.99999999543836904</v>
      </c>
    </row>
    <row r="6175" spans="1:40" x14ac:dyDescent="0.25">
      <c r="A6175" t="str">
        <f>"20190304155227328"</f>
        <v>20190304155227328</v>
      </c>
      <c r="B6175" t="str">
        <f>"1551685947323316"</f>
        <v>1551685947323316</v>
      </c>
      <c r="C6175" t="s">
        <v>40</v>
      </c>
      <c r="D6175">
        <v>5.026313</v>
      </c>
      <c r="E6175">
        <v>0.59002169999999998</v>
      </c>
      <c r="F6175" t="s">
        <v>101</v>
      </c>
      <c r="G6175">
        <v>-309.1712</v>
      </c>
      <c r="H6175">
        <v>5.1440989999999998</v>
      </c>
      <c r="I6175">
        <v>-91.564989999999995</v>
      </c>
      <c r="J6175">
        <v>-302.10079999999999</v>
      </c>
      <c r="K6175">
        <v>1.109699</v>
      </c>
      <c r="L6175">
        <v>-9.4205020000000008</v>
      </c>
      <c r="M6175">
        <v>2.5859839999999999E-2</v>
      </c>
      <c r="N6175">
        <v>-7.962841E-3</v>
      </c>
      <c r="O6175">
        <v>-0.99963409999999997</v>
      </c>
      <c r="P6175">
        <v>0.13325239999999999</v>
      </c>
      <c r="Q6175">
        <v>0.1691087</v>
      </c>
      <c r="R6175">
        <v>-0.97654859999999999</v>
      </c>
      <c r="S6175">
        <v>-0.26455689999999998</v>
      </c>
      <c r="T6175">
        <v>0.15105150000000001</v>
      </c>
      <c r="U6175">
        <v>-3.0825499999999999</v>
      </c>
      <c r="V6175">
        <v>-0.1078369</v>
      </c>
      <c r="W6175">
        <v>0.17697550000000001</v>
      </c>
      <c r="X6175">
        <v>0.97828979999999999</v>
      </c>
      <c r="Y6175">
        <v>0.1111277</v>
      </c>
      <c r="Z6175">
        <v>-5.6638559999999998E-2</v>
      </c>
      <c r="AA6175">
        <v>0.99219080000000004</v>
      </c>
      <c r="AB6175">
        <v>19</v>
      </c>
      <c r="AC6175">
        <v>-7.0704000000000002</v>
      </c>
      <c r="AD6175">
        <v>4.0343999999999998</v>
      </c>
      <c r="AE6175">
        <v>-82.144487999999996</v>
      </c>
      <c r="AF6175">
        <v>9.1703880078221491</v>
      </c>
      <c r="AG6175">
        <v>4.0343999999999998</v>
      </c>
      <c r="AH6175">
        <v>81.738456224967294</v>
      </c>
      <c r="AI6175">
        <v>87.191909776189405</v>
      </c>
      <c r="AJ6175">
        <v>83.598649322233399</v>
      </c>
      <c r="AK6175">
        <v>82.350152553683301</v>
      </c>
      <c r="AL6175">
        <v>79.806359749695901</v>
      </c>
      <c r="AM6175">
        <v>96.290319533347997</v>
      </c>
      <c r="AN6175">
        <v>1.00000002869294</v>
      </c>
    </row>
    <row r="6176" spans="1:40" x14ac:dyDescent="0.25">
      <c r="A6176" t="str">
        <f>"20190304155227349"</f>
        <v>20190304155227349</v>
      </c>
      <c r="B6176" t="str">
        <f>"1551685947342837"</f>
        <v>1551685947342837</v>
      </c>
      <c r="C6176" t="s">
        <v>40</v>
      </c>
      <c r="D6176">
        <v>4.9936569999999998</v>
      </c>
      <c r="E6176">
        <v>0.59206159999999997</v>
      </c>
      <c r="F6176" t="s">
        <v>101</v>
      </c>
      <c r="G6176">
        <v>-310.57769999999999</v>
      </c>
      <c r="H6176">
        <v>5.9739909999999998</v>
      </c>
      <c r="I6176">
        <v>-91.564989999999995</v>
      </c>
      <c r="J6176">
        <v>-302.09660000000002</v>
      </c>
      <c r="K6176">
        <v>1.1096809999999999</v>
      </c>
      <c r="L6176">
        <v>-9.6057129999999997</v>
      </c>
      <c r="M6176">
        <v>2.5394940000000001E-2</v>
      </c>
      <c r="N6176">
        <v>-7.9208719999999903E-3</v>
      </c>
      <c r="O6176">
        <v>-0.99964600000000003</v>
      </c>
      <c r="P6176">
        <v>0.13196669999999999</v>
      </c>
      <c r="Q6176">
        <v>0.1691416</v>
      </c>
      <c r="R6176">
        <v>-0.97671680000000005</v>
      </c>
      <c r="S6176">
        <v>-0.3182373</v>
      </c>
      <c r="T6176">
        <v>0.18261540000000001</v>
      </c>
      <c r="U6176">
        <v>-3.0838619999999999</v>
      </c>
      <c r="V6176">
        <v>-0.10699589999999901</v>
      </c>
      <c r="W6176">
        <v>0.17697170000000001</v>
      </c>
      <c r="X6176">
        <v>0.9783828</v>
      </c>
      <c r="Y6176">
        <v>0.12767529999999999</v>
      </c>
      <c r="Z6176">
        <v>-6.6602590000000003E-2</v>
      </c>
      <c r="AA6176">
        <v>0.98957720000000005</v>
      </c>
      <c r="AB6176">
        <v>19</v>
      </c>
      <c r="AC6176">
        <v>-8.4810999999999694</v>
      </c>
      <c r="AD6176">
        <v>4.8643099999999997</v>
      </c>
      <c r="AE6176">
        <v>-81.959277</v>
      </c>
      <c r="AF6176">
        <v>10.523106574545</v>
      </c>
      <c r="AG6176">
        <v>4.8643099999999997</v>
      </c>
      <c r="AH6176">
        <v>81.433651487969001</v>
      </c>
      <c r="AI6176">
        <v>86.609712122510402</v>
      </c>
      <c r="AJ6176">
        <v>82.636867134971297</v>
      </c>
      <c r="AK6176">
        <v>82.254707332889694</v>
      </c>
      <c r="AL6176">
        <v>79.806580713865301</v>
      </c>
      <c r="AM6176">
        <v>96.241062580295306</v>
      </c>
      <c r="AN6176">
        <v>1.0000000042767601</v>
      </c>
    </row>
    <row r="6177" spans="1:40" x14ac:dyDescent="0.25">
      <c r="A6177" t="str">
        <f>"20190304155227372"</f>
        <v>20190304155227372</v>
      </c>
      <c r="B6177" t="str">
        <f>"1551685947363333"</f>
        <v>1551685947363333</v>
      </c>
      <c r="C6177" t="s">
        <v>40</v>
      </c>
      <c r="D6177">
        <v>5.0747970000000002</v>
      </c>
      <c r="E6177">
        <v>0.59269510000000003</v>
      </c>
      <c r="F6177" t="s">
        <v>101</v>
      </c>
      <c r="G6177">
        <v>-311.08960000000002</v>
      </c>
      <c r="H6177">
        <v>4.329199</v>
      </c>
      <c r="I6177">
        <v>-91.564989999999995</v>
      </c>
      <c r="J6177">
        <v>-302.0924</v>
      </c>
      <c r="K6177">
        <v>1.1096699999999999</v>
      </c>
      <c r="L6177">
        <v>-9.7926939999999991</v>
      </c>
      <c r="M6177">
        <v>2.4905480000000001E-2</v>
      </c>
      <c r="N6177">
        <v>-7.8817969999999994E-3</v>
      </c>
      <c r="O6177">
        <v>-0.99965890000000002</v>
      </c>
      <c r="P6177">
        <v>0.1301745</v>
      </c>
      <c r="Q6177">
        <v>0.1697892</v>
      </c>
      <c r="R6177">
        <v>-0.97684510000000002</v>
      </c>
      <c r="S6177">
        <v>-0.3397522</v>
      </c>
      <c r="T6177">
        <v>0.12163210000000001</v>
      </c>
      <c r="U6177">
        <v>-3.0963750000000001</v>
      </c>
      <c r="V6177">
        <v>-0.1056749</v>
      </c>
      <c r="W6177">
        <v>0.17758360000000001</v>
      </c>
      <c r="X6177">
        <v>0.97841549999999999</v>
      </c>
      <c r="Y6177">
        <v>0.13369159999999999</v>
      </c>
      <c r="Z6177">
        <v>-4.6825930000000002E-2</v>
      </c>
      <c r="AA6177">
        <v>0.98991609999999997</v>
      </c>
      <c r="AB6177">
        <v>19</v>
      </c>
      <c r="AC6177">
        <v>-8.9972000000000101</v>
      </c>
      <c r="AD6177">
        <v>3.2195290000000001</v>
      </c>
      <c r="AE6177">
        <v>-81.772295999999997</v>
      </c>
      <c r="AF6177">
        <v>11.0141808511575</v>
      </c>
      <c r="AG6177">
        <v>3.2195290000000001</v>
      </c>
      <c r="AH6177">
        <v>81.398173302478796</v>
      </c>
      <c r="AI6177">
        <v>87.755404045792801</v>
      </c>
      <c r="AJ6177">
        <v>82.293975053452002</v>
      </c>
      <c r="AK6177">
        <v>82.2030423024854</v>
      </c>
      <c r="AL6177">
        <v>79.770957188536897</v>
      </c>
      <c r="AM6177">
        <v>96.164401255179598</v>
      </c>
      <c r="AN6177">
        <v>1.0000000050596001</v>
      </c>
    </row>
    <row r="6178" spans="1:40" x14ac:dyDescent="0.25">
      <c r="A6178" t="str">
        <f>"20190304155227394"</f>
        <v>20190304155227394</v>
      </c>
      <c r="B6178" t="str">
        <f>"1551685947382853"</f>
        <v>1551685947382853</v>
      </c>
      <c r="C6178" t="s">
        <v>40</v>
      </c>
      <c r="D6178">
        <v>5.078919</v>
      </c>
      <c r="E6178">
        <v>0.59272849999999999</v>
      </c>
      <c r="F6178" t="s">
        <v>101</v>
      </c>
      <c r="G6178">
        <v>-311.33859999999999</v>
      </c>
      <c r="H6178">
        <v>3.3299840000000001</v>
      </c>
      <c r="I6178">
        <v>-91.564989999999995</v>
      </c>
      <c r="J6178">
        <v>-302.08819999999997</v>
      </c>
      <c r="K6178">
        <v>1.109664</v>
      </c>
      <c r="L6178">
        <v>-9.9833979999999993</v>
      </c>
      <c r="M6178">
        <v>2.4389439999999998E-2</v>
      </c>
      <c r="N6178">
        <v>-7.8403789999999998E-3</v>
      </c>
      <c r="O6178">
        <v>-0.99967209999999995</v>
      </c>
      <c r="P6178">
        <v>0.12867339999999999</v>
      </c>
      <c r="Q6178">
        <v>0.17087579999999999</v>
      </c>
      <c r="R6178">
        <v>-0.97685500000000003</v>
      </c>
      <c r="S6178">
        <v>-0.35089110000000001</v>
      </c>
      <c r="T6178">
        <v>8.4260940000000006E-2</v>
      </c>
      <c r="U6178">
        <v>-3.1032410000000001</v>
      </c>
      <c r="V6178">
        <v>-0.1046754</v>
      </c>
      <c r="W6178">
        <v>0.17862999999999901</v>
      </c>
      <c r="X6178">
        <v>0.97833250000000005</v>
      </c>
      <c r="Y6178">
        <v>0.13650109999999999</v>
      </c>
      <c r="Z6178">
        <v>-3.4765150000000002E-2</v>
      </c>
      <c r="AA6178">
        <v>0.99002970000000001</v>
      </c>
      <c r="AB6178">
        <v>19</v>
      </c>
      <c r="AC6178">
        <v>-9.2504000000000097</v>
      </c>
      <c r="AD6178">
        <v>2.2203200000000001</v>
      </c>
      <c r="AE6178">
        <v>-81.581592000000001</v>
      </c>
      <c r="AF6178">
        <v>11.229226036346001</v>
      </c>
      <c r="AG6178">
        <v>2.2203200000000001</v>
      </c>
      <c r="AH6178">
        <v>81.272268944023594</v>
      </c>
      <c r="AI6178">
        <v>88.449815191798606</v>
      </c>
      <c r="AJ6178">
        <v>82.133364050111695</v>
      </c>
      <c r="AK6178">
        <v>82.074399404366403</v>
      </c>
      <c r="AL6178">
        <v>79.710029157402204</v>
      </c>
      <c r="AM6178">
        <v>96.107053539172099</v>
      </c>
      <c r="AN6178">
        <v>1.0000000484106999</v>
      </c>
    </row>
    <row r="6179" spans="1:40" x14ac:dyDescent="0.25">
      <c r="A6179" t="str">
        <f>"20190304155227416"</f>
        <v>20190304155227416</v>
      </c>
      <c r="B6179" t="str">
        <f>"1551685947413109"</f>
        <v>1551685947413109</v>
      </c>
      <c r="C6179" t="s">
        <v>40</v>
      </c>
      <c r="D6179">
        <v>5.1576870000000001</v>
      </c>
      <c r="E6179">
        <v>0.59210379999999996</v>
      </c>
      <c r="F6179" t="s">
        <v>101</v>
      </c>
      <c r="G6179">
        <v>-311.43669999999997</v>
      </c>
      <c r="H6179">
        <v>2.5815730000000001</v>
      </c>
      <c r="I6179">
        <v>-91.564989999999995</v>
      </c>
      <c r="J6179">
        <v>-302.08420000000001</v>
      </c>
      <c r="K6179">
        <v>1.109661</v>
      </c>
      <c r="L6179">
        <v>-10.1701</v>
      </c>
      <c r="M6179">
        <v>2.3872009999999999E-2</v>
      </c>
      <c r="N6179">
        <v>-7.7978889999999997E-3</v>
      </c>
      <c r="O6179">
        <v>-0.99968489999999999</v>
      </c>
      <c r="P6179">
        <v>0.12731709999999999</v>
      </c>
      <c r="Q6179">
        <v>0.1713374</v>
      </c>
      <c r="R6179">
        <v>-0.97695160000000003</v>
      </c>
      <c r="S6179">
        <v>-0.35617070000000001</v>
      </c>
      <c r="T6179">
        <v>5.6078910000000003E-2</v>
      </c>
      <c r="U6179">
        <v>-3.1081850000000002</v>
      </c>
      <c r="V6179">
        <v>-0.103822</v>
      </c>
      <c r="W6179">
        <v>0.17905079999999901</v>
      </c>
      <c r="X6179">
        <v>0.97834650000000001</v>
      </c>
      <c r="Y6179">
        <v>0.13749900000000001</v>
      </c>
      <c r="Z6179">
        <v>-2.5694209999999999E-2</v>
      </c>
      <c r="AA6179">
        <v>0.99016859999999995</v>
      </c>
      <c r="AB6179">
        <v>19</v>
      </c>
      <c r="AC6179">
        <v>-9.3524999999999601</v>
      </c>
      <c r="AD6179">
        <v>1.4719120000000001</v>
      </c>
      <c r="AE6179">
        <v>-81.394890000000004</v>
      </c>
      <c r="AF6179">
        <v>11.289309053631699</v>
      </c>
      <c r="AG6179">
        <v>1.4719120000000001</v>
      </c>
      <c r="AH6179">
        <v>81.1222406153246</v>
      </c>
      <c r="AI6179">
        <v>88.9704378219989</v>
      </c>
      <c r="AJ6179">
        <v>82.077364085866705</v>
      </c>
      <c r="AK6179">
        <v>81.917232291470697</v>
      </c>
      <c r="AL6179">
        <v>79.685523888991</v>
      </c>
      <c r="AM6179">
        <v>96.057549478816696</v>
      </c>
      <c r="AN6179">
        <v>1.00000003536344</v>
      </c>
    </row>
    <row r="6180" spans="1:40" x14ac:dyDescent="0.25">
      <c r="A6180" t="str">
        <f>"20190304155227439"</f>
        <v>20190304155227439</v>
      </c>
      <c r="B6180" t="str">
        <f>"1551685947433605"</f>
        <v>1551685947433605</v>
      </c>
      <c r="C6180" t="s">
        <v>40</v>
      </c>
      <c r="D6180">
        <v>7.6361109999999996</v>
      </c>
      <c r="E6180">
        <v>0.59175749999999905</v>
      </c>
      <c r="F6180" t="s">
        <v>101</v>
      </c>
      <c r="G6180">
        <v>-311.39350000000002</v>
      </c>
      <c r="H6180">
        <v>1.7583689999999901</v>
      </c>
      <c r="I6180">
        <v>-91.564989999999995</v>
      </c>
      <c r="J6180">
        <v>-302.08010000000002</v>
      </c>
      <c r="K6180">
        <v>1.109653</v>
      </c>
      <c r="L6180">
        <v>-10.371829999999999</v>
      </c>
      <c r="M6180">
        <v>2.3304620000000002E-2</v>
      </c>
      <c r="N6180">
        <v>-7.7504760000000001E-3</v>
      </c>
      <c r="O6180">
        <v>-0.99969830000000004</v>
      </c>
      <c r="P6180">
        <v>0.12596669999999999</v>
      </c>
      <c r="Q6180">
        <v>0.17218329999999901</v>
      </c>
      <c r="R6180">
        <v>-0.9769776</v>
      </c>
      <c r="S6180">
        <v>-0.356018099999999</v>
      </c>
      <c r="T6180">
        <v>2.4809359999999999E-2</v>
      </c>
      <c r="U6180">
        <v>-3.1128230000000001</v>
      </c>
      <c r="V6180">
        <v>-0.1030257</v>
      </c>
      <c r="W6180">
        <v>0.17985019999999999</v>
      </c>
      <c r="X6180">
        <v>0.97828400000000004</v>
      </c>
      <c r="Y6180">
        <v>0.13674029999999901</v>
      </c>
      <c r="Z6180">
        <v>-1.5663659999999999E-2</v>
      </c>
      <c r="AA6180">
        <v>0.99048309999999995</v>
      </c>
      <c r="AB6180">
        <v>19</v>
      </c>
      <c r="AC6180">
        <v>-9.3133999999999997</v>
      </c>
      <c r="AD6180">
        <v>0.64871599999999896</v>
      </c>
      <c r="AE6180">
        <v>-81.193159999999907</v>
      </c>
      <c r="AF6180">
        <v>11.2023972898459</v>
      </c>
      <c r="AG6180">
        <v>0.64871599999999896</v>
      </c>
      <c r="AH6180">
        <v>80.948955273981397</v>
      </c>
      <c r="AI6180">
        <v>89.545182120444693</v>
      </c>
      <c r="AJ6180">
        <v>82.120971804894396</v>
      </c>
      <c r="AK6180">
        <v>81.722994912308806</v>
      </c>
      <c r="AL6180">
        <v>79.638965360090197</v>
      </c>
      <c r="AM6180">
        <v>96.011811685721</v>
      </c>
      <c r="AN6180">
        <v>0.99999998697826498</v>
      </c>
    </row>
    <row r="6181" spans="1:40" x14ac:dyDescent="0.25">
      <c r="A6181" t="str">
        <f>"20190304155227460"</f>
        <v>20190304155227460</v>
      </c>
      <c r="B6181" t="str">
        <f>"1551685947453125"</f>
        <v>1551685947453125</v>
      </c>
      <c r="C6181" t="s">
        <v>40</v>
      </c>
      <c r="D6181">
        <v>5.1755760000000004</v>
      </c>
      <c r="E6181">
        <v>0.59050859999999905</v>
      </c>
      <c r="F6181" t="s">
        <v>101</v>
      </c>
      <c r="G6181">
        <v>-311.40190000000001</v>
      </c>
      <c r="H6181">
        <v>1.528111</v>
      </c>
      <c r="I6181">
        <v>-91.564989999999995</v>
      </c>
      <c r="J6181">
        <v>-302.07639999999998</v>
      </c>
      <c r="K6181">
        <v>1.1096469999999901</v>
      </c>
      <c r="L6181">
        <v>-10.555630000000001</v>
      </c>
      <c r="M6181">
        <v>2.2784909999999998E-2</v>
      </c>
      <c r="N6181">
        <v>-7.7063919999999899E-3</v>
      </c>
      <c r="O6181">
        <v>-0.99971069999999995</v>
      </c>
      <c r="P6181">
        <v>0.1245496</v>
      </c>
      <c r="Q6181">
        <v>0.17299500000000001</v>
      </c>
      <c r="R6181">
        <v>-0.977016</v>
      </c>
      <c r="S6181">
        <v>-0.35751339999999998</v>
      </c>
      <c r="T6181">
        <v>1.604939E-2</v>
      </c>
      <c r="U6181">
        <v>-3.113953</v>
      </c>
      <c r="V6181">
        <v>-0.1021164</v>
      </c>
      <c r="W6181">
        <v>0.18061749999999999</v>
      </c>
      <c r="X6181">
        <v>0.97823800000000005</v>
      </c>
      <c r="Y6181">
        <v>0.13665739999999901</v>
      </c>
      <c r="Z6181">
        <v>-1.2827170000000001E-2</v>
      </c>
      <c r="AA6181">
        <v>0.99053530000000001</v>
      </c>
      <c r="AB6181">
        <v>19</v>
      </c>
      <c r="AC6181">
        <v>-9.3255000000000301</v>
      </c>
      <c r="AD6181">
        <v>0.418464</v>
      </c>
      <c r="AE6181">
        <v>-81.009360000000001</v>
      </c>
      <c r="AF6181">
        <v>11.1686305089922</v>
      </c>
      <c r="AG6181">
        <v>0.418464</v>
      </c>
      <c r="AH6181">
        <v>80.773713793589494</v>
      </c>
      <c r="AI6181">
        <v>89.705968084999498</v>
      </c>
      <c r="AJ6181">
        <v>82.1275946938446</v>
      </c>
      <c r="AK6181">
        <v>81.543278445095595</v>
      </c>
      <c r="AL6181">
        <v>79.594270641174006</v>
      </c>
      <c r="AM6181">
        <v>95.959413418316899</v>
      </c>
      <c r="AN6181">
        <v>1.0000000125496</v>
      </c>
    </row>
    <row r="6182" spans="1:40" x14ac:dyDescent="0.25">
      <c r="A6182" t="str">
        <f>"20190304155227483"</f>
        <v>20190304155227483</v>
      </c>
      <c r="B6182" t="str">
        <f>"1551685947473621"</f>
        <v>1551685947473621</v>
      </c>
      <c r="C6182" t="s">
        <v>40</v>
      </c>
      <c r="D6182">
        <v>5.1773009999999999</v>
      </c>
      <c r="E6182">
        <v>0.58997100000000002</v>
      </c>
      <c r="F6182" t="s">
        <v>101</v>
      </c>
      <c r="G6182">
        <v>-311.22919999999999</v>
      </c>
      <c r="H6182">
        <v>1.5114970000000001</v>
      </c>
      <c r="I6182">
        <v>-91.564989999999995</v>
      </c>
      <c r="J6182">
        <v>-302.07260000000002</v>
      </c>
      <c r="K6182">
        <v>1.109642</v>
      </c>
      <c r="L6182">
        <v>-10.751530000000001</v>
      </c>
      <c r="M6182">
        <v>2.2232120000000001E-2</v>
      </c>
      <c r="N6182">
        <v>-7.6585009999999999E-3</v>
      </c>
      <c r="O6182">
        <v>-0.99972380000000005</v>
      </c>
      <c r="P6182">
        <v>0.1230316</v>
      </c>
      <c r="Q6182">
        <v>0.17336270000000001</v>
      </c>
      <c r="R6182">
        <v>-0.97714330000000005</v>
      </c>
      <c r="S6182">
        <v>-0.35168460000000001</v>
      </c>
      <c r="T6182">
        <v>1.544106E-2</v>
      </c>
      <c r="U6182">
        <v>-3.1126710000000002</v>
      </c>
      <c r="V6182">
        <v>-0.1011382</v>
      </c>
      <c r="W6182">
        <v>0.18093780000000001</v>
      </c>
      <c r="X6182">
        <v>0.97828040000000005</v>
      </c>
      <c r="Y6182">
        <v>0.13432469999999999</v>
      </c>
      <c r="Z6182">
        <v>-1.2588530000000001E-2</v>
      </c>
      <c r="AA6182">
        <v>0.9908574</v>
      </c>
      <c r="AB6182">
        <v>19</v>
      </c>
      <c r="AC6182">
        <v>-9.1565999999999601</v>
      </c>
      <c r="AD6182">
        <v>0.40185499999999902</v>
      </c>
      <c r="AE6182">
        <v>-80.813459999999907</v>
      </c>
      <c r="AF6182">
        <v>10.950776034396499</v>
      </c>
      <c r="AG6182">
        <v>0.40185499999999902</v>
      </c>
      <c r="AH6182">
        <v>80.587940673038005</v>
      </c>
      <c r="AI6182">
        <v>89.716896421773399</v>
      </c>
      <c r="AJ6182">
        <v>82.261700469631904</v>
      </c>
      <c r="AK6182">
        <v>81.329558987600805</v>
      </c>
      <c r="AL6182">
        <v>79.575611050813094</v>
      </c>
      <c r="AM6182">
        <v>95.902477594745505</v>
      </c>
      <c r="AN6182">
        <v>0.99999998199611995</v>
      </c>
    </row>
    <row r="6183" spans="1:40" x14ac:dyDescent="0.25">
      <c r="A6183" t="str">
        <f>"20190304155227506"</f>
        <v>20190304155227506</v>
      </c>
      <c r="B6183" t="str">
        <f>"1551685947502901"</f>
        <v>1551685947502901</v>
      </c>
      <c r="C6183" t="s">
        <v>40</v>
      </c>
      <c r="D6183">
        <v>5.1801130000000004</v>
      </c>
      <c r="E6183">
        <v>0.58829019999999899</v>
      </c>
      <c r="F6183" t="s">
        <v>101</v>
      </c>
      <c r="G6183">
        <v>-311.20620000000002</v>
      </c>
      <c r="H6183">
        <v>1.3651249999999999</v>
      </c>
      <c r="I6183">
        <v>-91.564989999999995</v>
      </c>
      <c r="J6183">
        <v>-302.06889999999999</v>
      </c>
      <c r="K6183">
        <v>1.109639</v>
      </c>
      <c r="L6183">
        <v>-10.94647</v>
      </c>
      <c r="M6183">
        <v>2.168525E-2</v>
      </c>
      <c r="N6183">
        <v>-7.6126319999999898E-3</v>
      </c>
      <c r="O6183">
        <v>-0.99973599999999996</v>
      </c>
      <c r="P6183">
        <v>0.1214211</v>
      </c>
      <c r="Q6183">
        <v>0.17351529999999901</v>
      </c>
      <c r="R6183">
        <v>-0.97731769999999996</v>
      </c>
      <c r="S6183">
        <v>-0.35180660000000002</v>
      </c>
      <c r="T6183">
        <v>9.8410839999999999E-3</v>
      </c>
      <c r="U6183">
        <v>-3.1127319999999998</v>
      </c>
      <c r="V6183">
        <v>-0.10006039999999999</v>
      </c>
      <c r="W6183">
        <v>0.18104519999999999</v>
      </c>
      <c r="X6183">
        <v>0.9783714</v>
      </c>
      <c r="Y6183">
        <v>0.1338203</v>
      </c>
      <c r="Z6183">
        <v>-1.075803E-2</v>
      </c>
      <c r="AA6183">
        <v>0.99094720000000003</v>
      </c>
      <c r="AB6183">
        <v>19</v>
      </c>
      <c r="AC6183">
        <v>-9.13730000000003</v>
      </c>
      <c r="AD6183">
        <v>0.25548599999999899</v>
      </c>
      <c r="AE6183">
        <v>-80.618519999999904</v>
      </c>
      <c r="AF6183">
        <v>10.883326482437599</v>
      </c>
      <c r="AG6183">
        <v>0.25548599999999899</v>
      </c>
      <c r="AH6183">
        <v>80.400613671204795</v>
      </c>
      <c r="AI6183">
        <v>89.819579412889496</v>
      </c>
      <c r="AJ6183">
        <v>82.291086373184399</v>
      </c>
      <c r="AK6183">
        <v>81.134276031316404</v>
      </c>
      <c r="AL6183">
        <v>79.569354573319302</v>
      </c>
      <c r="AM6183">
        <v>95.839474266064499</v>
      </c>
      <c r="AN6183">
        <v>1.00000002221457</v>
      </c>
    </row>
    <row r="6184" spans="1:40" x14ac:dyDescent="0.25">
      <c r="A6184" t="str">
        <f>"20190304155227551"</f>
        <v>20190304155227551</v>
      </c>
      <c r="B6184" t="str">
        <f>"1551685947542920"</f>
        <v>1551685947542920</v>
      </c>
      <c r="C6184" t="s">
        <v>40</v>
      </c>
      <c r="D6184">
        <v>5.0991390000000001</v>
      </c>
      <c r="E6184">
        <v>0.5876344</v>
      </c>
      <c r="F6184" t="s">
        <v>101</v>
      </c>
      <c r="G6184">
        <v>-310.9846</v>
      </c>
      <c r="H6184">
        <v>1.2621230000000001</v>
      </c>
      <c r="I6184">
        <v>-91.564989999999995</v>
      </c>
      <c r="J6184">
        <v>-302.06180000000001</v>
      </c>
      <c r="K6184">
        <v>1.109634</v>
      </c>
      <c r="L6184">
        <v>-11.33371</v>
      </c>
      <c r="M6184">
        <v>2.0610079999999999E-2</v>
      </c>
      <c r="N6184">
        <v>-7.5350690000000001E-3</v>
      </c>
      <c r="O6184">
        <v>-0.99975930000000002</v>
      </c>
      <c r="P6184">
        <v>0.1186111</v>
      </c>
      <c r="Q6184">
        <v>0.1741404</v>
      </c>
      <c r="R6184">
        <v>-0.97755159999999997</v>
      </c>
      <c r="S6184">
        <v>-0.34408569999999999</v>
      </c>
      <c r="T6184">
        <v>5.8853630000000002E-3</v>
      </c>
      <c r="U6184">
        <v>-3.1113279999999999</v>
      </c>
      <c r="V6184">
        <v>-9.8301600000000003E-2</v>
      </c>
      <c r="W6184">
        <v>0.18159239999999999</v>
      </c>
      <c r="X6184">
        <v>0.97844830000000005</v>
      </c>
      <c r="Y6184">
        <v>0.13037589999999999</v>
      </c>
      <c r="Z6184">
        <v>-9.4207600000000002E-3</v>
      </c>
      <c r="AA6184">
        <v>0.99141990000000002</v>
      </c>
      <c r="AB6184">
        <v>19</v>
      </c>
      <c r="AC6184">
        <v>-8.9227999999999899</v>
      </c>
      <c r="AD6184">
        <v>0.15248899999999899</v>
      </c>
      <c r="AE6184">
        <v>-80.231279999999998</v>
      </c>
      <c r="AF6184">
        <v>10.574486736328</v>
      </c>
      <c r="AG6184">
        <v>0.15248899999999899</v>
      </c>
      <c r="AH6184">
        <v>80.030046701225203</v>
      </c>
      <c r="AI6184">
        <v>89.891769625209307</v>
      </c>
      <c r="AJ6184">
        <v>82.473026815121599</v>
      </c>
      <c r="AK6184">
        <v>80.725779015331796</v>
      </c>
      <c r="AL6184">
        <v>79.537474069060096</v>
      </c>
      <c r="AM6184">
        <v>95.737074531564005</v>
      </c>
      <c r="AN6184">
        <v>1.0000000400366</v>
      </c>
    </row>
    <row r="6185" spans="1:40" x14ac:dyDescent="0.25">
      <c r="A6185" t="str">
        <f>"20190304155227573"</f>
        <v>20190304155227573</v>
      </c>
      <c r="B6185" t="str">
        <f>"1551685947563413"</f>
        <v>1551685947563413</v>
      </c>
      <c r="C6185" t="s">
        <v>40</v>
      </c>
      <c r="D6185">
        <v>5.0608459999999997</v>
      </c>
      <c r="E6185">
        <v>0.58808349999999998</v>
      </c>
      <c r="F6185" t="s">
        <v>101</v>
      </c>
      <c r="G6185">
        <v>-311.03859999999997</v>
      </c>
      <c r="H6185">
        <v>0.92245049999999995</v>
      </c>
      <c r="I6185">
        <v>-91.564989999999995</v>
      </c>
      <c r="J6185">
        <v>-302.05840000000001</v>
      </c>
      <c r="K6185">
        <v>1.109621</v>
      </c>
      <c r="L6185">
        <v>-11.52908</v>
      </c>
      <c r="M6185">
        <v>2.0072420000000001E-2</v>
      </c>
      <c r="N6185">
        <v>-7.5017699999999996E-3</v>
      </c>
      <c r="O6185">
        <v>-0.99977050000000001</v>
      </c>
      <c r="P6185">
        <v>0.11701930000000001</v>
      </c>
      <c r="Q6185">
        <v>0.1742986</v>
      </c>
      <c r="R6185">
        <v>-0.97771509999999995</v>
      </c>
      <c r="S6185">
        <v>-0.34823609999999999</v>
      </c>
      <c r="T6185">
        <v>-7.2609190000000002E-3</v>
      </c>
      <c r="U6185">
        <v>-3.1124269999999998</v>
      </c>
      <c r="V6185">
        <v>-9.7234139999999997E-2</v>
      </c>
      <c r="W6185">
        <v>0.1817172</v>
      </c>
      <c r="X6185">
        <v>0.97853179999999995</v>
      </c>
      <c r="Y6185">
        <v>0.1311117</v>
      </c>
      <c r="Z6185">
        <v>-5.1953399999999997E-3</v>
      </c>
      <c r="AA6185">
        <v>0.99135399999999996</v>
      </c>
      <c r="AB6185">
        <v>20</v>
      </c>
      <c r="AC6185">
        <v>-8.9801999999999609</v>
      </c>
      <c r="AD6185">
        <v>-0.18717049999999999</v>
      </c>
      <c r="AE6185">
        <v>-80.035910000000001</v>
      </c>
      <c r="AF6185">
        <v>10.5848928984519</v>
      </c>
      <c r="AG6185">
        <v>-0.18717049999999999</v>
      </c>
      <c r="AH6185">
        <v>79.839093549913798</v>
      </c>
      <c r="AI6185">
        <v>90.133155784735806</v>
      </c>
      <c r="AJ6185">
        <v>82.447892494506505</v>
      </c>
      <c r="AK6185">
        <v>80.5379156009122</v>
      </c>
      <c r="AL6185">
        <v>79.530202693617397</v>
      </c>
      <c r="AM6185">
        <v>95.674703243666102</v>
      </c>
      <c r="AN6185">
        <v>1.0000000511842999</v>
      </c>
    </row>
    <row r="6186" spans="1:40" x14ac:dyDescent="0.25">
      <c r="A6186" t="str">
        <f>"20190304155227594"</f>
        <v>20190304155227594</v>
      </c>
      <c r="B6186" t="str">
        <f>"1551685947582936"</f>
        <v>1551685947582936</v>
      </c>
      <c r="C6186" t="s">
        <v>40</v>
      </c>
      <c r="D6186">
        <v>5.1149399999999998</v>
      </c>
      <c r="E6186">
        <v>0.58803090000000002</v>
      </c>
      <c r="F6186" t="s">
        <v>101</v>
      </c>
      <c r="G6186">
        <v>-311.21319999999997</v>
      </c>
      <c r="H6186">
        <v>0.73804329999999996</v>
      </c>
      <c r="I6186">
        <v>-91.564989999999995</v>
      </c>
      <c r="J6186">
        <v>-302.05520000000001</v>
      </c>
      <c r="K6186">
        <v>1.1096250000000001</v>
      </c>
      <c r="L6186">
        <v>-11.723879999999999</v>
      </c>
      <c r="M6186">
        <v>1.9538750000000001E-2</v>
      </c>
      <c r="N6186">
        <v>-7.47167199999999E-3</v>
      </c>
      <c r="O6186">
        <v>-0.99978129999999998</v>
      </c>
      <c r="P6186">
        <v>0.1155071</v>
      </c>
      <c r="Q6186">
        <v>0.17435059999999999</v>
      </c>
      <c r="R6186">
        <v>-0.97788580000000003</v>
      </c>
      <c r="S6186">
        <v>-0.35614010000000001</v>
      </c>
      <c r="T6186">
        <v>-1.4454720000000001E-2</v>
      </c>
      <c r="U6186">
        <v>-3.1135860000000002</v>
      </c>
      <c r="V6186">
        <v>-9.6242149999999999E-2</v>
      </c>
      <c r="W6186">
        <v>0.1817397</v>
      </c>
      <c r="X6186">
        <v>0.97862570000000004</v>
      </c>
      <c r="Y6186">
        <v>0.13302620000000001</v>
      </c>
      <c r="Z6186">
        <v>-2.8746050000000001E-3</v>
      </c>
      <c r="AA6186">
        <v>0.9911084</v>
      </c>
      <c r="AB6186">
        <v>20</v>
      </c>
      <c r="AC6186">
        <v>-9.1579999999999604</v>
      </c>
      <c r="AD6186">
        <v>-0.37158170000000001</v>
      </c>
      <c r="AE6186">
        <v>-79.84111</v>
      </c>
      <c r="AF6186">
        <v>10.71606139955</v>
      </c>
      <c r="AG6186">
        <v>-0.37158170000000001</v>
      </c>
      <c r="AH6186">
        <v>79.645223968853102</v>
      </c>
      <c r="AI6186">
        <v>90.264922140331905</v>
      </c>
      <c r="AJ6186">
        <v>82.337019135613801</v>
      </c>
      <c r="AK6186">
        <v>80.363758908649103</v>
      </c>
      <c r="AL6186">
        <v>79.528891859088304</v>
      </c>
      <c r="AM6186">
        <v>95.616646108085007</v>
      </c>
      <c r="AN6186">
        <v>1.0000000653465899</v>
      </c>
    </row>
    <row r="6187" spans="1:40" x14ac:dyDescent="0.25">
      <c r="A6187" t="str">
        <f>"20190304155227617"</f>
        <v>20190304155227617</v>
      </c>
      <c r="B6187" t="str">
        <f>"1551685947613189"</f>
        <v>1551685947613189</v>
      </c>
      <c r="C6187" t="s">
        <v>40</v>
      </c>
      <c r="D6187">
        <v>4.776681</v>
      </c>
      <c r="E6187">
        <v>0.58747539999999998</v>
      </c>
      <c r="F6187" t="s">
        <v>101</v>
      </c>
      <c r="G6187">
        <v>-311.30079999999998</v>
      </c>
      <c r="H6187">
        <v>0.5644169</v>
      </c>
      <c r="I6187">
        <v>-91.564989999999995</v>
      </c>
      <c r="J6187">
        <v>-302.05189999999999</v>
      </c>
      <c r="K6187">
        <v>1.109621</v>
      </c>
      <c r="L6187">
        <v>-11.921749999999999</v>
      </c>
      <c r="M6187">
        <v>1.899818E-2</v>
      </c>
      <c r="N6187">
        <v>-7.4443249999999999E-3</v>
      </c>
      <c r="O6187">
        <v>-0.99979200000000001</v>
      </c>
      <c r="P6187">
        <v>0.11390690000000001</v>
      </c>
      <c r="Q6187">
        <v>0.1747194</v>
      </c>
      <c r="R6187">
        <v>-0.97800770000000004</v>
      </c>
      <c r="S6187">
        <v>-0.36062620000000001</v>
      </c>
      <c r="T6187">
        <v>-2.1265510000000001E-2</v>
      </c>
      <c r="U6187">
        <v>-3.1142270000000001</v>
      </c>
      <c r="V6187">
        <v>-9.5169219999999999E-2</v>
      </c>
      <c r="W6187">
        <v>0.18208099999999999</v>
      </c>
      <c r="X6187">
        <v>0.97866710000000001</v>
      </c>
      <c r="Y6187">
        <v>0.13387560000000001</v>
      </c>
      <c r="Z6187">
        <v>-6.7937569999999999E-4</v>
      </c>
      <c r="AA6187">
        <v>0.99099789999999999</v>
      </c>
      <c r="AB6187">
        <v>20</v>
      </c>
      <c r="AC6187">
        <v>-9.2488999999999901</v>
      </c>
      <c r="AD6187">
        <v>-0.54520409999999997</v>
      </c>
      <c r="AE6187">
        <v>-79.643240000000006</v>
      </c>
      <c r="AF6187">
        <v>10.759851372941201</v>
      </c>
      <c r="AG6187">
        <v>-0.54520409999999997</v>
      </c>
      <c r="AH6187">
        <v>79.449474344067795</v>
      </c>
      <c r="AI6187">
        <v>90.389616500383795</v>
      </c>
      <c r="AJ6187">
        <v>82.287350983811095</v>
      </c>
      <c r="AK6187">
        <v>80.176621421877897</v>
      </c>
      <c r="AL6187">
        <v>79.509004114589402</v>
      </c>
      <c r="AM6187">
        <v>95.554190681124098</v>
      </c>
      <c r="AN6187">
        <v>0.99999998180940897</v>
      </c>
    </row>
    <row r="6188" spans="1:40" x14ac:dyDescent="0.25">
      <c r="A6188" t="str">
        <f>"20190304155227639"</f>
        <v>20190304155227639</v>
      </c>
      <c r="B6188" t="str">
        <f>"1551685947633685"</f>
        <v>1551685947633685</v>
      </c>
      <c r="C6188" t="s">
        <v>40</v>
      </c>
      <c r="D6188">
        <v>4.7040369999999996</v>
      </c>
      <c r="E6188">
        <v>0.5852792</v>
      </c>
      <c r="F6188" t="s">
        <v>101</v>
      </c>
      <c r="G6188">
        <v>-311.28449999999998</v>
      </c>
      <c r="H6188">
        <v>0.60836429999999997</v>
      </c>
      <c r="I6188">
        <v>-91.564989999999995</v>
      </c>
      <c r="J6188">
        <v>-302.0487</v>
      </c>
      <c r="K6188">
        <v>1.1096170000000001</v>
      </c>
      <c r="L6188">
        <v>-12.12567</v>
      </c>
      <c r="M6188">
        <v>1.8441900000000001E-2</v>
      </c>
      <c r="N6188">
        <v>-7.4195759999999998E-3</v>
      </c>
      <c r="O6188">
        <v>-0.99980270000000004</v>
      </c>
      <c r="P6188">
        <v>0.1130824</v>
      </c>
      <c r="Q6188">
        <v>0.17476639999999999</v>
      </c>
      <c r="R6188">
        <v>-0.9780951</v>
      </c>
      <c r="S6188">
        <v>-0.36087039999999998</v>
      </c>
      <c r="T6188">
        <v>-1.959205E-2</v>
      </c>
      <c r="U6188">
        <v>-3.1130070000000001</v>
      </c>
      <c r="V6188">
        <v>-9.4888340000000002E-2</v>
      </c>
      <c r="W6188">
        <v>0.18210399999999999</v>
      </c>
      <c r="X6188">
        <v>0.97869010000000001</v>
      </c>
      <c r="Y6188">
        <v>0.1334456</v>
      </c>
      <c r="Z6188">
        <v>-1.1846770000000001E-3</v>
      </c>
      <c r="AA6188">
        <v>0.99105540000000003</v>
      </c>
      <c r="AB6188">
        <v>20</v>
      </c>
      <c r="AC6188">
        <v>-9.2357999999999798</v>
      </c>
      <c r="AD6188">
        <v>-0.5012527</v>
      </c>
      <c r="AE6188">
        <v>-79.439319999999995</v>
      </c>
      <c r="AF6188">
        <v>10.6988608137426</v>
      </c>
      <c r="AG6188">
        <v>-0.5012527</v>
      </c>
      <c r="AH6188">
        <v>79.252365655928699</v>
      </c>
      <c r="AI6188">
        <v>90.3591200965068</v>
      </c>
      <c r="AJ6188">
        <v>82.311700303339705</v>
      </c>
      <c r="AK6188">
        <v>79.9728350069079</v>
      </c>
      <c r="AL6188">
        <v>79.507663969432599</v>
      </c>
      <c r="AM6188">
        <v>95.537770901245494</v>
      </c>
      <c r="AN6188">
        <v>0.99999998786098199</v>
      </c>
    </row>
    <row r="6189" spans="1:40" x14ac:dyDescent="0.25">
      <c r="A6189" t="str">
        <f>"20190304155227661"</f>
        <v>20190304155227661</v>
      </c>
      <c r="B6189" t="str">
        <f>"1551685947653205"</f>
        <v>1551685947653205</v>
      </c>
      <c r="C6189" t="s">
        <v>40</v>
      </c>
      <c r="D6189">
        <v>4.8467469999999997</v>
      </c>
      <c r="E6189">
        <v>0.58237169999999905</v>
      </c>
      <c r="F6189" t="s">
        <v>101</v>
      </c>
      <c r="G6189">
        <v>-310.86880000000002</v>
      </c>
      <c r="H6189">
        <v>0.80804679999999995</v>
      </c>
      <c r="I6189">
        <v>-91.564989999999995</v>
      </c>
      <c r="J6189">
        <v>-302.04570000000001</v>
      </c>
      <c r="K6189">
        <v>1.109618</v>
      </c>
      <c r="L6189">
        <v>-12.32419</v>
      </c>
      <c r="M6189">
        <v>1.7900389999999999E-2</v>
      </c>
      <c r="N6189">
        <v>-7.3984200000000002E-3</v>
      </c>
      <c r="O6189">
        <v>-0.99981249999999999</v>
      </c>
      <c r="P6189">
        <v>0.1121267</v>
      </c>
      <c r="Q6189">
        <v>0.17462659999999999</v>
      </c>
      <c r="R6189">
        <v>-0.97822980000000004</v>
      </c>
      <c r="S6189">
        <v>-0.34521479999999999</v>
      </c>
      <c r="T6189">
        <v>-1.1802790000000001E-2</v>
      </c>
      <c r="U6189">
        <v>-3.1092219999999999</v>
      </c>
      <c r="V6189">
        <v>-9.4460879999999997E-2</v>
      </c>
      <c r="W6189">
        <v>0.18194460000000001</v>
      </c>
      <c r="X6189">
        <v>0.97876110000000005</v>
      </c>
      <c r="Y6189">
        <v>0.12811910000000001</v>
      </c>
      <c r="Z6189">
        <v>-3.6379030000000001E-3</v>
      </c>
      <c r="AA6189">
        <v>0.99175210000000003</v>
      </c>
      <c r="AB6189">
        <v>20</v>
      </c>
      <c r="AC6189">
        <v>-8.8231000000000002</v>
      </c>
      <c r="AD6189">
        <v>-0.30157119999999898</v>
      </c>
      <c r="AE6189">
        <v>-79.240799999999993</v>
      </c>
      <c r="AF6189">
        <v>10.2400196523394</v>
      </c>
      <c r="AG6189">
        <v>-0.30157119999999898</v>
      </c>
      <c r="AH6189">
        <v>79.069030532159601</v>
      </c>
      <c r="AI6189">
        <v>90.216716605860299</v>
      </c>
      <c r="AJ6189">
        <v>82.620847962346303</v>
      </c>
      <c r="AK6189">
        <v>79.729922469324904</v>
      </c>
      <c r="AL6189">
        <v>79.516952139252894</v>
      </c>
      <c r="AM6189">
        <v>95.512580525976006</v>
      </c>
      <c r="AN6189">
        <v>0.999999993096372</v>
      </c>
    </row>
    <row r="6190" spans="1:40" x14ac:dyDescent="0.25">
      <c r="A6190" t="str">
        <f>"20190304155227684"</f>
        <v>20190304155227684</v>
      </c>
      <c r="B6190" t="str">
        <f>"1551685947673701"</f>
        <v>1551685947673701</v>
      </c>
      <c r="C6190" t="s">
        <v>40</v>
      </c>
      <c r="D6190">
        <v>4.7073539999999996</v>
      </c>
      <c r="E6190">
        <v>0.57983649999999998</v>
      </c>
      <c r="F6190" t="s">
        <v>101</v>
      </c>
      <c r="G6190">
        <v>-310.3313</v>
      </c>
      <c r="H6190">
        <v>0.74798769999999903</v>
      </c>
      <c r="I6190">
        <v>-91.564989999999995</v>
      </c>
      <c r="J6190">
        <v>-302.0428</v>
      </c>
      <c r="K6190">
        <v>1.1096109999999999</v>
      </c>
      <c r="L6190">
        <v>-12.52393</v>
      </c>
      <c r="M6190">
        <v>1.735513E-2</v>
      </c>
      <c r="N6190">
        <v>-7.3796169999999998E-3</v>
      </c>
      <c r="O6190">
        <v>-0.99982249999999995</v>
      </c>
      <c r="P6190">
        <v>0.1116766</v>
      </c>
      <c r="Q6190">
        <v>0.17477010000000001</v>
      </c>
      <c r="R6190">
        <v>-0.97825589999999996</v>
      </c>
      <c r="S6190">
        <v>-0.32482909999999998</v>
      </c>
      <c r="T6190">
        <v>-1.417673E-2</v>
      </c>
      <c r="U6190">
        <v>-3.1065369999999999</v>
      </c>
      <c r="V6190">
        <v>-9.454361E-2</v>
      </c>
      <c r="W6190">
        <v>0.1820698</v>
      </c>
      <c r="X6190">
        <v>0.97872979999999998</v>
      </c>
      <c r="Y6190">
        <v>0.1212362</v>
      </c>
      <c r="Z6190">
        <v>-2.8530959999999998E-3</v>
      </c>
      <c r="AA6190">
        <v>0.99261960000000005</v>
      </c>
      <c r="AB6190">
        <v>20</v>
      </c>
      <c r="AC6190">
        <v>-8.2884999999999902</v>
      </c>
      <c r="AD6190">
        <v>-0.36162329999999998</v>
      </c>
      <c r="AE6190">
        <v>-79.041060000000002</v>
      </c>
      <c r="AF6190">
        <v>9.6588563616762109</v>
      </c>
      <c r="AG6190">
        <v>-0.36162329999999998</v>
      </c>
      <c r="AH6190">
        <v>78.883669775551198</v>
      </c>
      <c r="AI6190">
        <v>90.260709882515997</v>
      </c>
      <c r="AJ6190">
        <v>83.019206299323798</v>
      </c>
      <c r="AK6190">
        <v>79.473628549883202</v>
      </c>
      <c r="AL6190">
        <v>79.509656545498302</v>
      </c>
      <c r="AM6190">
        <v>95.517554091561195</v>
      </c>
      <c r="AN6190">
        <v>0.99999996383595502</v>
      </c>
    </row>
    <row r="6191" spans="1:40" x14ac:dyDescent="0.25">
      <c r="A6191" t="str">
        <f>"20190304155227706"</f>
        <v>20190304155227706</v>
      </c>
      <c r="B6191" t="str">
        <f>"1551685947702982"</f>
        <v>1551685947702982</v>
      </c>
      <c r="C6191" t="s">
        <v>40</v>
      </c>
      <c r="D6191">
        <v>4.6671870000000002</v>
      </c>
      <c r="E6191">
        <v>0.57664349999999998</v>
      </c>
      <c r="F6191" t="s">
        <v>101</v>
      </c>
      <c r="G6191">
        <v>-309.83170000000001</v>
      </c>
      <c r="H6191">
        <v>0.76769209999999999</v>
      </c>
      <c r="I6191">
        <v>-91.564989999999995</v>
      </c>
      <c r="J6191">
        <v>-302.03989999999999</v>
      </c>
      <c r="K6191">
        <v>1.109599</v>
      </c>
      <c r="L6191">
        <v>-12.723269999999999</v>
      </c>
      <c r="M6191">
        <v>1.6810410000000001E-2</v>
      </c>
      <c r="N6191">
        <v>-7.3630569999999897E-3</v>
      </c>
      <c r="O6191">
        <v>-0.99983180000000005</v>
      </c>
      <c r="P6191">
        <v>0.1112543</v>
      </c>
      <c r="Q6191">
        <v>0.17458570000000001</v>
      </c>
      <c r="R6191">
        <v>-0.97833669999999995</v>
      </c>
      <c r="S6191">
        <v>-0.30587769999999997</v>
      </c>
      <c r="T6191">
        <v>-1.34269E-2</v>
      </c>
      <c r="U6191">
        <v>-3.1040040000000002</v>
      </c>
      <c r="V6191">
        <v>-9.4653580000000001E-2</v>
      </c>
      <c r="W6191">
        <v>0.18186959999999999</v>
      </c>
      <c r="X6191">
        <v>0.97875639999999997</v>
      </c>
      <c r="Y6191">
        <v>0.11477850000000001</v>
      </c>
      <c r="Z6191">
        <v>-3.0691849999999999E-3</v>
      </c>
      <c r="AA6191">
        <v>0.9933864</v>
      </c>
      <c r="AB6191">
        <v>20</v>
      </c>
      <c r="AC6191">
        <v>-7.7918000000000198</v>
      </c>
      <c r="AD6191">
        <v>-0.34190690000000001</v>
      </c>
      <c r="AE6191">
        <v>-78.841719999999995</v>
      </c>
      <c r="AF6191">
        <v>9.1159264222984699</v>
      </c>
      <c r="AG6191">
        <v>-0.34190690000000001</v>
      </c>
      <c r="AH6191">
        <v>78.698126096728203</v>
      </c>
      <c r="AI6191">
        <v>90.247268732243</v>
      </c>
      <c r="AJ6191">
        <v>83.3926415773835</v>
      </c>
      <c r="AK6191">
        <v>79.225072205720096</v>
      </c>
      <c r="AL6191">
        <v>79.521322001287004</v>
      </c>
      <c r="AM6191">
        <v>95.523783058007396</v>
      </c>
      <c r="AN6191">
        <v>0.99999997107596705</v>
      </c>
    </row>
    <row r="6192" spans="1:40" x14ac:dyDescent="0.25">
      <c r="A6192" t="str">
        <f>"20190304155227730"</f>
        <v>20190304155227730</v>
      </c>
      <c r="B6192" t="str">
        <f>"1551685947723477"</f>
        <v>1551685947723477</v>
      </c>
      <c r="C6192" t="s">
        <v>40</v>
      </c>
      <c r="D6192">
        <v>4.6715989999999996</v>
      </c>
      <c r="E6192">
        <v>0.57473180000000001</v>
      </c>
      <c r="F6192" t="s">
        <v>101</v>
      </c>
      <c r="G6192">
        <v>-309.20549999999997</v>
      </c>
      <c r="H6192">
        <v>0.76788519999999905</v>
      </c>
      <c r="I6192">
        <v>-91.564989999999995</v>
      </c>
      <c r="J6192">
        <v>-302.03699999999998</v>
      </c>
      <c r="K6192">
        <v>1.1095930000000001</v>
      </c>
      <c r="L6192">
        <v>-12.93671</v>
      </c>
      <c r="M6192">
        <v>1.6226480000000001E-2</v>
      </c>
      <c r="N6192">
        <v>-7.3476499999999998E-3</v>
      </c>
      <c r="O6192">
        <v>-0.9998416</v>
      </c>
      <c r="P6192">
        <v>0.1110992</v>
      </c>
      <c r="Q6192">
        <v>0.1743151</v>
      </c>
      <c r="R6192">
        <v>-0.97840269999999996</v>
      </c>
      <c r="S6192">
        <v>-0.28182980000000002</v>
      </c>
      <c r="T6192">
        <v>-1.34393E-2</v>
      </c>
      <c r="U6192">
        <v>-3.1008909999999998</v>
      </c>
      <c r="V6192">
        <v>-9.5068890000000003E-2</v>
      </c>
      <c r="W6192">
        <v>0.18158450000000001</v>
      </c>
      <c r="X6192">
        <v>0.97876909999999895</v>
      </c>
      <c r="Y6192">
        <v>0.1066571</v>
      </c>
      <c r="Z6192">
        <v>-3.0412379999999999E-3</v>
      </c>
      <c r="AA6192">
        <v>0.99429120000000004</v>
      </c>
      <c r="AB6192">
        <v>20</v>
      </c>
      <c r="AC6192">
        <v>-7.1684999999999297</v>
      </c>
      <c r="AD6192">
        <v>-0.34170780000000001</v>
      </c>
      <c r="AE6192">
        <v>-78.628280000000004</v>
      </c>
      <c r="AF6192">
        <v>8.4432923375402993</v>
      </c>
      <c r="AG6192">
        <v>-0.34170780000000001</v>
      </c>
      <c r="AH6192">
        <v>78.500134398809607</v>
      </c>
      <c r="AI6192">
        <v>90.2479743331929</v>
      </c>
      <c r="AJ6192">
        <v>83.860999612924104</v>
      </c>
      <c r="AK6192">
        <v>78.953638613739201</v>
      </c>
      <c r="AL6192">
        <v>79.537933805529093</v>
      </c>
      <c r="AM6192">
        <v>95.547797254949103</v>
      </c>
      <c r="AN6192">
        <v>0.99999998780044497</v>
      </c>
    </row>
    <row r="6193" spans="1:40" x14ac:dyDescent="0.25">
      <c r="A6193" t="str">
        <f>"20190304155227752"</f>
        <v>20190304155227752</v>
      </c>
      <c r="B6193" t="str">
        <f>"1551685947742997"</f>
        <v>1551685947742997</v>
      </c>
      <c r="C6193" t="s">
        <v>40</v>
      </c>
      <c r="D6193">
        <v>4.6514069999999998</v>
      </c>
      <c r="E6193">
        <v>0.57354780000000005</v>
      </c>
      <c r="F6193" t="s">
        <v>101</v>
      </c>
      <c r="G6193">
        <v>-308.81330000000003</v>
      </c>
      <c r="H6193">
        <v>0.73908419999999997</v>
      </c>
      <c r="I6193">
        <v>-91.564989999999995</v>
      </c>
      <c r="J6193">
        <v>-302.03440000000001</v>
      </c>
      <c r="K6193">
        <v>1.109588</v>
      </c>
      <c r="L6193">
        <v>-13.137359999999999</v>
      </c>
      <c r="M6193">
        <v>1.5677380000000001E-2</v>
      </c>
      <c r="N6193">
        <v>-7.335042E-3</v>
      </c>
      <c r="O6193">
        <v>-0.99985040000000003</v>
      </c>
      <c r="P6193">
        <v>0.11120140000000001</v>
      </c>
      <c r="Q6193">
        <v>0.17369370000000001</v>
      </c>
      <c r="R6193">
        <v>-0.97850159999999997</v>
      </c>
      <c r="S6193">
        <v>-0.26708979999999999</v>
      </c>
      <c r="T6193">
        <v>-1.4603140000000001E-2</v>
      </c>
      <c r="U6193">
        <v>-3.0991520000000001</v>
      </c>
      <c r="V6193">
        <v>-9.5706550000000001E-2</v>
      </c>
      <c r="W6193">
        <v>0.18095240000000001</v>
      </c>
      <c r="X6193">
        <v>0.97882400000000003</v>
      </c>
      <c r="Y6193">
        <v>0.1014679</v>
      </c>
      <c r="Z6193">
        <v>-2.6498279999999999E-3</v>
      </c>
      <c r="AA6193">
        <v>0.99483529999999998</v>
      </c>
      <c r="AB6193">
        <v>20</v>
      </c>
      <c r="AC6193">
        <v>-6.7789000000000197</v>
      </c>
      <c r="AD6193">
        <v>-0.37050379999999999</v>
      </c>
      <c r="AE6193">
        <v>-78.427629999999994</v>
      </c>
      <c r="AF6193">
        <v>8.0074620489207593</v>
      </c>
      <c r="AG6193">
        <v>-0.37050379999999999</v>
      </c>
      <c r="AH6193">
        <v>78.309977953979498</v>
      </c>
      <c r="AI6193">
        <v>90.269672299602206</v>
      </c>
      <c r="AJ6193">
        <v>84.161603201232197</v>
      </c>
      <c r="AK6193">
        <v>78.719180437066697</v>
      </c>
      <c r="AL6193">
        <v>79.574760354121594</v>
      </c>
      <c r="AM6193">
        <v>95.584462527789896</v>
      </c>
      <c r="AN6193">
        <v>0.99999996887733</v>
      </c>
    </row>
    <row r="6194" spans="1:40" x14ac:dyDescent="0.25">
      <c r="A6194" t="str">
        <f>"20190304155227773"</f>
        <v>20190304155227773</v>
      </c>
      <c r="B6194" t="str">
        <f>"1551685947763493"</f>
        <v>1551685947763493</v>
      </c>
      <c r="C6194" t="s">
        <v>40</v>
      </c>
      <c r="D6194">
        <v>4.6674889999999998</v>
      </c>
      <c r="E6194">
        <v>0.57224750000000002</v>
      </c>
      <c r="F6194" t="s">
        <v>101</v>
      </c>
      <c r="G6194">
        <v>-308.55020000000002</v>
      </c>
      <c r="H6194">
        <v>0.70299719999999999</v>
      </c>
      <c r="I6194">
        <v>-91.564989999999995</v>
      </c>
      <c r="J6194">
        <v>-302.03190000000001</v>
      </c>
      <c r="K6194">
        <v>1.1095759999999999</v>
      </c>
      <c r="L6194">
        <v>-13.335940000000001</v>
      </c>
      <c r="M6194">
        <v>1.513376E-2</v>
      </c>
      <c r="N6194">
        <v>-7.3241109999999899E-3</v>
      </c>
      <c r="O6194">
        <v>-0.99985869999999999</v>
      </c>
      <c r="P6194">
        <v>0.1112441</v>
      </c>
      <c r="Q6194">
        <v>0.17331529999999901</v>
      </c>
      <c r="R6194">
        <v>-0.97856370000000004</v>
      </c>
      <c r="S6194">
        <v>-0.25738529999999998</v>
      </c>
      <c r="T6194">
        <v>-1.606047E-2</v>
      </c>
      <c r="U6194">
        <v>-3.0980219999999998</v>
      </c>
      <c r="V6194">
        <v>-9.6281069999999996E-2</v>
      </c>
      <c r="W6194">
        <v>0.18056449999999999</v>
      </c>
      <c r="X6194">
        <v>0.97883929999999997</v>
      </c>
      <c r="Y6194">
        <v>9.7863320000000004E-2</v>
      </c>
      <c r="Z6194">
        <v>-2.1669390000000001E-3</v>
      </c>
      <c r="AA6194">
        <v>0.99519749999999996</v>
      </c>
      <c r="AB6194">
        <v>20</v>
      </c>
      <c r="AC6194">
        <v>-6.5183000000000098</v>
      </c>
      <c r="AD6194">
        <v>-0.40657880000000002</v>
      </c>
      <c r="AE6194">
        <v>-78.229050000000001</v>
      </c>
      <c r="AF6194">
        <v>7.7012782484343996</v>
      </c>
      <c r="AG6194">
        <v>-0.40657880000000002</v>
      </c>
      <c r="AH6194">
        <v>78.119345957286995</v>
      </c>
      <c r="AI6194">
        <v>90.296759533048998</v>
      </c>
      <c r="AJ6194">
        <v>84.3697742070175</v>
      </c>
      <c r="AK6194">
        <v>78.499090477372405</v>
      </c>
      <c r="AL6194">
        <v>79.597357729076293</v>
      </c>
      <c r="AM6194">
        <v>95.617684628826396</v>
      </c>
      <c r="AN6194">
        <v>0.99999997916254202</v>
      </c>
    </row>
    <row r="6195" spans="1:40" x14ac:dyDescent="0.25">
      <c r="A6195" t="str">
        <f>"20190304155227796"</f>
        <v>20190304155227796</v>
      </c>
      <c r="B6195" t="str">
        <f>"1551685947793749"</f>
        <v>1551685947793749</v>
      </c>
      <c r="C6195" t="s">
        <v>40</v>
      </c>
      <c r="D6195">
        <v>4.6846459999999999</v>
      </c>
      <c r="E6195">
        <v>0.57070050000000005</v>
      </c>
      <c r="F6195" t="s">
        <v>101</v>
      </c>
      <c r="G6195">
        <v>-308.26949999999999</v>
      </c>
      <c r="H6195">
        <v>0.7474809</v>
      </c>
      <c r="I6195">
        <v>-91.564989999999995</v>
      </c>
      <c r="J6195">
        <v>-302.02940000000001</v>
      </c>
      <c r="K6195">
        <v>1.1095699999999999</v>
      </c>
      <c r="L6195">
        <v>-13.542909999999999</v>
      </c>
      <c r="M6195">
        <v>1.456735E-2</v>
      </c>
      <c r="N6195">
        <v>-7.3141739999999997E-3</v>
      </c>
      <c r="O6195">
        <v>-0.99986730000000001</v>
      </c>
      <c r="P6195">
        <v>0.11148470000000001</v>
      </c>
      <c r="Q6195">
        <v>0.17325929999999901</v>
      </c>
      <c r="R6195">
        <v>-0.97854629999999998</v>
      </c>
      <c r="S6195">
        <v>-0.2468872</v>
      </c>
      <c r="T6195">
        <v>-1.433122E-2</v>
      </c>
      <c r="U6195">
        <v>-3.0963129999999999</v>
      </c>
      <c r="V6195">
        <v>-9.7075690000000006E-2</v>
      </c>
      <c r="W6195">
        <v>0.18049979999999999</v>
      </c>
      <c r="X6195">
        <v>0.9787728</v>
      </c>
      <c r="Y6195">
        <v>9.3992400000000004E-2</v>
      </c>
      <c r="Z6195">
        <v>-2.7083279999999999E-3</v>
      </c>
      <c r="AA6195">
        <v>0.99556920000000004</v>
      </c>
      <c r="AB6195">
        <v>20</v>
      </c>
      <c r="AC6195">
        <v>-6.2400999999999804</v>
      </c>
      <c r="AD6195">
        <v>-0.3620891</v>
      </c>
      <c r="AE6195">
        <v>-78.022080000000003</v>
      </c>
      <c r="AF6195">
        <v>7.3758851492383002</v>
      </c>
      <c r="AG6195">
        <v>-0.3620891</v>
      </c>
      <c r="AH6195">
        <v>77.921228976358805</v>
      </c>
      <c r="AI6195">
        <v>90.265058770354301</v>
      </c>
      <c r="AJ6195">
        <v>84.592595296023703</v>
      </c>
      <c r="AK6195">
        <v>78.270382108670105</v>
      </c>
      <c r="AL6195">
        <v>79.601127235572903</v>
      </c>
      <c r="AM6195">
        <v>95.664130187629496</v>
      </c>
      <c r="AN6195">
        <v>1.0000000307044199</v>
      </c>
    </row>
    <row r="6196" spans="1:40" x14ac:dyDescent="0.25">
      <c r="A6196" t="str">
        <f>"20190304155227819"</f>
        <v>20190304155227819</v>
      </c>
      <c r="B6196" t="str">
        <f>"1551685947813269"</f>
        <v>1551685947813269</v>
      </c>
      <c r="C6196" t="s">
        <v>40</v>
      </c>
      <c r="D6196">
        <v>4.7322170000000003</v>
      </c>
      <c r="E6196">
        <v>0.56939479999999998</v>
      </c>
      <c r="F6196" t="s">
        <v>101</v>
      </c>
      <c r="G6196">
        <v>-307.93560000000002</v>
      </c>
      <c r="H6196">
        <v>0.81497189999999997</v>
      </c>
      <c r="I6196">
        <v>-91.564989999999995</v>
      </c>
      <c r="J6196">
        <v>-302.02699999999999</v>
      </c>
      <c r="K6196">
        <v>1.1095600000000001</v>
      </c>
      <c r="L6196">
        <v>-13.755369999999999</v>
      </c>
      <c r="M6196">
        <v>1.3985930000000001E-2</v>
      </c>
      <c r="N6196">
        <v>-7.305303E-3</v>
      </c>
      <c r="O6196">
        <v>-0.99987570000000003</v>
      </c>
      <c r="P6196">
        <v>0.1117761</v>
      </c>
      <c r="Q6196">
        <v>0.17343910000000001</v>
      </c>
      <c r="R6196">
        <v>-0.97848109999999999</v>
      </c>
      <c r="S6196">
        <v>-0.23425289999999999</v>
      </c>
      <c r="T6196">
        <v>-1.168394E-2</v>
      </c>
      <c r="U6196">
        <v>-3.0945429999999998</v>
      </c>
      <c r="V6196">
        <v>-9.7936860000000001E-2</v>
      </c>
      <c r="W6196">
        <v>0.180671</v>
      </c>
      <c r="X6196">
        <v>0.97865539999999995</v>
      </c>
      <c r="Y6196">
        <v>8.9417679999999999E-2</v>
      </c>
      <c r="Z6196">
        <v>-3.5470789999999999E-3</v>
      </c>
      <c r="AA6196">
        <v>0.99598790000000004</v>
      </c>
      <c r="AB6196">
        <v>20</v>
      </c>
      <c r="AC6196">
        <v>-5.9086000000000301</v>
      </c>
      <c r="AD6196">
        <v>-0.29458810000000002</v>
      </c>
      <c r="AE6196">
        <v>-77.809619999999995</v>
      </c>
      <c r="AF6196">
        <v>6.9961910803349703</v>
      </c>
      <c r="AG6196">
        <v>-0.29458810000000002</v>
      </c>
      <c r="AH6196">
        <v>77.718262128568099</v>
      </c>
      <c r="AI6196">
        <v>90.216301787491005</v>
      </c>
      <c r="AJ6196">
        <v>84.856103764647301</v>
      </c>
      <c r="AK6196">
        <v>78.033081062239503</v>
      </c>
      <c r="AL6196">
        <v>79.591154073988804</v>
      </c>
      <c r="AM6196">
        <v>95.714727224976301</v>
      </c>
      <c r="AN6196">
        <v>1.0000000153684001</v>
      </c>
    </row>
    <row r="6197" spans="1:40" x14ac:dyDescent="0.25">
      <c r="A6197" t="str">
        <f>"20190304155227840"</f>
        <v>20190304155227840</v>
      </c>
      <c r="B6197" t="str">
        <f>"1551685947832789"</f>
        <v>1551685947832789</v>
      </c>
      <c r="C6197" t="s">
        <v>40</v>
      </c>
      <c r="D6197">
        <v>4.664981</v>
      </c>
      <c r="E6197">
        <v>0.56809399999999999</v>
      </c>
      <c r="F6197" t="s">
        <v>101</v>
      </c>
      <c r="G6197">
        <v>-307.64260000000002</v>
      </c>
      <c r="H6197">
        <v>0.81296400000000002</v>
      </c>
      <c r="I6197">
        <v>-91.564989999999995</v>
      </c>
      <c r="J6197">
        <v>-302.02480000000003</v>
      </c>
      <c r="K6197">
        <v>1.1095600000000001</v>
      </c>
      <c r="L6197">
        <v>-13.953799999999999</v>
      </c>
      <c r="M6197">
        <v>1.3443180000000001E-2</v>
      </c>
      <c r="N6197">
        <v>-7.2980939999999998E-3</v>
      </c>
      <c r="O6197">
        <v>-0.99988330000000003</v>
      </c>
      <c r="P6197">
        <v>0.11252379999999999</v>
      </c>
      <c r="Q6197">
        <v>0.173454</v>
      </c>
      <c r="R6197">
        <v>-0.97839310000000002</v>
      </c>
      <c r="S6197">
        <v>-0.22326660000000001</v>
      </c>
      <c r="T6197">
        <v>-1.1791589999999999E-2</v>
      </c>
      <c r="U6197">
        <v>-3.0935670000000002</v>
      </c>
      <c r="V6197">
        <v>-9.9216200000000004E-2</v>
      </c>
      <c r="W6197">
        <v>0.18067939999999999</v>
      </c>
      <c r="X6197">
        <v>0.97852499999999998</v>
      </c>
      <c r="Y6197">
        <v>8.5382280000000005E-2</v>
      </c>
      <c r="Z6197">
        <v>-3.5024740000000002E-3</v>
      </c>
      <c r="AA6197">
        <v>0.99634210000000001</v>
      </c>
      <c r="AB6197">
        <v>21</v>
      </c>
      <c r="AC6197">
        <v>-5.6177999999999804</v>
      </c>
      <c r="AD6197">
        <v>-0.29659600000000003</v>
      </c>
      <c r="AE6197">
        <v>-77.611189999999993</v>
      </c>
      <c r="AF6197">
        <v>6.6605642355882404</v>
      </c>
      <c r="AG6197">
        <v>-0.29659600000000003</v>
      </c>
      <c r="AH6197">
        <v>77.527526979643199</v>
      </c>
      <c r="AI6197">
        <v>90.218390141024798</v>
      </c>
      <c r="AJ6197">
        <v>85.089647975368393</v>
      </c>
      <c r="AK6197">
        <v>77.813678262262599</v>
      </c>
      <c r="AL6197">
        <v>79.590664972176597</v>
      </c>
      <c r="AM6197">
        <v>95.789640607911593</v>
      </c>
      <c r="AN6197">
        <v>1.00000003777589</v>
      </c>
    </row>
    <row r="6198" spans="1:40" x14ac:dyDescent="0.25">
      <c r="A6198" t="str">
        <f>"20190304155227863"</f>
        <v>20190304155227863</v>
      </c>
      <c r="B6198" t="str">
        <f>"1551685947853286"</f>
        <v>1551685947853286</v>
      </c>
      <c r="C6198" t="s">
        <v>40</v>
      </c>
      <c r="D6198">
        <v>4.7330040000000002</v>
      </c>
      <c r="E6198">
        <v>0.56689119999999904</v>
      </c>
      <c r="F6198" t="s">
        <v>101</v>
      </c>
      <c r="G6198">
        <v>-307.30990000000003</v>
      </c>
      <c r="H6198">
        <v>0.80146930000000005</v>
      </c>
      <c r="I6198">
        <v>-91.564989999999995</v>
      </c>
      <c r="J6198">
        <v>-302.02260000000001</v>
      </c>
      <c r="K6198">
        <v>1.109558</v>
      </c>
      <c r="L6198">
        <v>-14.16272</v>
      </c>
      <c r="M6198">
        <v>1.287197E-2</v>
      </c>
      <c r="N6198">
        <v>-7.2914599999999996E-3</v>
      </c>
      <c r="O6198">
        <v>-0.99989070000000002</v>
      </c>
      <c r="P6198">
        <v>0.11329</v>
      </c>
      <c r="Q6198">
        <v>0.17354249999999999</v>
      </c>
      <c r="R6198">
        <v>-0.97828879999999996</v>
      </c>
      <c r="S6198">
        <v>-0.21060180000000001</v>
      </c>
      <c r="T6198">
        <v>-1.227629E-2</v>
      </c>
      <c r="U6198">
        <v>-3.092651</v>
      </c>
      <c r="V6198">
        <v>-0.10054200000000001</v>
      </c>
      <c r="W6198">
        <v>0.1807619</v>
      </c>
      <c r="X6198">
        <v>0.97837439999999998</v>
      </c>
      <c r="Y6198">
        <v>8.0773410000000004E-2</v>
      </c>
      <c r="Z6198">
        <v>-3.3367900000000001E-3</v>
      </c>
      <c r="AA6198">
        <v>0.99672689999999997</v>
      </c>
      <c r="AB6198">
        <v>21</v>
      </c>
      <c r="AC6198">
        <v>-5.2873000000000099</v>
      </c>
      <c r="AD6198">
        <v>-0.30808869999999999</v>
      </c>
      <c r="AE6198">
        <v>-77.402270000000001</v>
      </c>
      <c r="AF6198">
        <v>6.2831089074198401</v>
      </c>
      <c r="AG6198">
        <v>-0.30808869999999999</v>
      </c>
      <c r="AH6198">
        <v>77.326577915336898</v>
      </c>
      <c r="AI6198">
        <v>90.227529850267302</v>
      </c>
      <c r="AJ6198">
        <v>85.354682745537204</v>
      </c>
      <c r="AK6198">
        <v>77.582034185024</v>
      </c>
      <c r="AL6198">
        <v>79.585858669555506</v>
      </c>
      <c r="AM6198">
        <v>95.867366713980601</v>
      </c>
      <c r="AN6198">
        <v>1.00000001241548</v>
      </c>
    </row>
    <row r="6199" spans="1:40" x14ac:dyDescent="0.25">
      <c r="A6199" t="str">
        <f>"20190304155227885"</f>
        <v>20190304155227885</v>
      </c>
      <c r="B6199" t="str">
        <f>"1551685947872806"</f>
        <v>1551685947872806</v>
      </c>
      <c r="C6199" t="s">
        <v>40</v>
      </c>
      <c r="D6199">
        <v>4.7310319999999999</v>
      </c>
      <c r="E6199">
        <v>0.56593990000000005</v>
      </c>
      <c r="F6199" t="s">
        <v>101</v>
      </c>
      <c r="G6199">
        <v>-307.0009</v>
      </c>
      <c r="H6199">
        <v>0.81097030000000003</v>
      </c>
      <c r="I6199">
        <v>-91.564989999999995</v>
      </c>
      <c r="J6199">
        <v>-302.0206</v>
      </c>
      <c r="K6199">
        <v>1.1095569999999999</v>
      </c>
      <c r="L6199">
        <v>-14.36755</v>
      </c>
      <c r="M6199">
        <v>1.231281E-2</v>
      </c>
      <c r="N6199">
        <v>-7.2859079999999998E-3</v>
      </c>
      <c r="O6199">
        <v>-0.99989779999999995</v>
      </c>
      <c r="P6199">
        <v>0.11477229999999999</v>
      </c>
      <c r="Q6199">
        <v>0.17417070000000001</v>
      </c>
      <c r="R6199">
        <v>-0.97800419999999999</v>
      </c>
      <c r="S6199">
        <v>-0.19885249999999999</v>
      </c>
      <c r="T6199">
        <v>-1.192617E-2</v>
      </c>
      <c r="U6199">
        <v>-3.091736</v>
      </c>
      <c r="V6199">
        <v>-0.1025742</v>
      </c>
      <c r="W6199">
        <v>0.1813852</v>
      </c>
      <c r="X6199">
        <v>0.97804800000000003</v>
      </c>
      <c r="Y6199">
        <v>7.6464240000000003E-2</v>
      </c>
      <c r="Z6199">
        <v>-3.4414900000000002E-3</v>
      </c>
      <c r="AA6199">
        <v>0.99706640000000002</v>
      </c>
      <c r="AB6199">
        <v>21</v>
      </c>
      <c r="AC6199">
        <v>-4.9802999999999997</v>
      </c>
      <c r="AD6199">
        <v>-0.29858669999999898</v>
      </c>
      <c r="AE6199">
        <v>-77.19744</v>
      </c>
      <c r="AF6199">
        <v>5.9303765927956098</v>
      </c>
      <c r="AG6199">
        <v>-0.29858669999999898</v>
      </c>
      <c r="AH6199">
        <v>77.129115514577194</v>
      </c>
      <c r="AI6199">
        <v>90.2211528845354</v>
      </c>
      <c r="AJ6199">
        <v>85.603238560657999</v>
      </c>
      <c r="AK6199">
        <v>77.357346002889599</v>
      </c>
      <c r="AL6199">
        <v>79.549545536408502</v>
      </c>
      <c r="AM6199">
        <v>95.987091033766703</v>
      </c>
      <c r="AN6199">
        <v>0.99999997379433903</v>
      </c>
    </row>
    <row r="6200" spans="1:40" x14ac:dyDescent="0.25">
      <c r="A6200" t="str">
        <f>"20190304155227907"</f>
        <v>20190304155227907</v>
      </c>
      <c r="B6200" t="str">
        <f>"1551685947903061"</f>
        <v>1551685947903061</v>
      </c>
      <c r="C6200" t="s">
        <v>40</v>
      </c>
      <c r="D6200">
        <v>4.7039109999999997</v>
      </c>
      <c r="E6200">
        <v>0.56473899999999999</v>
      </c>
      <c r="F6200" t="s">
        <v>101</v>
      </c>
      <c r="G6200">
        <v>-306.6936</v>
      </c>
      <c r="H6200">
        <v>0.896696099999999</v>
      </c>
      <c r="I6200">
        <v>-91.564989999999995</v>
      </c>
      <c r="J6200">
        <v>-302.01859999999999</v>
      </c>
      <c r="K6200">
        <v>1.10955</v>
      </c>
      <c r="L6200">
        <v>-14.579470000000001</v>
      </c>
      <c r="M6200">
        <v>1.1734110000000001E-2</v>
      </c>
      <c r="N6200">
        <v>-7.2810169999999999E-3</v>
      </c>
      <c r="O6200">
        <v>-0.99990480000000004</v>
      </c>
      <c r="P6200">
        <v>0.11590300000000001</v>
      </c>
      <c r="Q6200">
        <v>0.17572950000000001</v>
      </c>
      <c r="R6200">
        <v>-0.97759189999999996</v>
      </c>
      <c r="S6200">
        <v>-0.1871033</v>
      </c>
      <c r="T6200">
        <v>-8.5222719999999991E-3</v>
      </c>
      <c r="U6200">
        <v>-3.0909420000000001</v>
      </c>
      <c r="V6200">
        <v>-0.1042742</v>
      </c>
      <c r="W6200">
        <v>0.18293709999999999</v>
      </c>
      <c r="X6200">
        <v>0.97757910000000003</v>
      </c>
      <c r="Y6200">
        <v>7.2127739999999996E-2</v>
      </c>
      <c r="Z6200">
        <v>-4.5328749999999996E-3</v>
      </c>
      <c r="AA6200">
        <v>0.99738510000000002</v>
      </c>
      <c r="AB6200">
        <v>21</v>
      </c>
      <c r="AC6200">
        <v>-4.6750000000000096</v>
      </c>
      <c r="AD6200">
        <v>-0.21285390000000001</v>
      </c>
      <c r="AE6200">
        <v>-76.985519999999994</v>
      </c>
      <c r="AF6200">
        <v>5.5780160042359004</v>
      </c>
      <c r="AG6200">
        <v>-0.21285390000000001</v>
      </c>
      <c r="AH6200">
        <v>76.924775200169407</v>
      </c>
      <c r="AI6200">
        <v>90.158124119459998</v>
      </c>
      <c r="AJ6200">
        <v>85.852592615096796</v>
      </c>
      <c r="AK6200">
        <v>77.127042008123595</v>
      </c>
      <c r="AL6200">
        <v>79.459115401243295</v>
      </c>
      <c r="AM6200">
        <v>96.0884757669224</v>
      </c>
      <c r="AN6200">
        <v>0.99999999404942996</v>
      </c>
    </row>
    <row r="6201" spans="1:40" x14ac:dyDescent="0.25">
      <c r="A6201" t="str">
        <f>"20190304155227931"</f>
        <v>20190304155227931</v>
      </c>
      <c r="B6201" t="str">
        <f>"1551685947923557"</f>
        <v>1551685947923557</v>
      </c>
      <c r="C6201" t="s">
        <v>40</v>
      </c>
      <c r="D6201">
        <v>4.710909</v>
      </c>
      <c r="E6201">
        <v>0.56390130000000005</v>
      </c>
      <c r="F6201" t="s">
        <v>101</v>
      </c>
      <c r="G6201">
        <v>-306.35210000000001</v>
      </c>
      <c r="H6201">
        <v>1.0604209999999901</v>
      </c>
      <c r="I6201">
        <v>-91.564989999999995</v>
      </c>
      <c r="J6201">
        <v>-302.01679999999999</v>
      </c>
      <c r="K6201">
        <v>1.1095489999999999</v>
      </c>
      <c r="L6201">
        <v>-14.796110000000001</v>
      </c>
      <c r="M6201">
        <v>1.1142839999999999E-2</v>
      </c>
      <c r="N6201">
        <v>-7.2767939999999996E-3</v>
      </c>
      <c r="O6201">
        <v>-0.99991169999999996</v>
      </c>
      <c r="P6201">
        <v>0.1169173</v>
      </c>
      <c r="Q6201">
        <v>0.1766344</v>
      </c>
      <c r="R6201">
        <v>-0.97730819999999996</v>
      </c>
      <c r="S6201">
        <v>-0.17391970000000001</v>
      </c>
      <c r="T6201">
        <v>-1.9712449999999999E-3</v>
      </c>
      <c r="U6201">
        <v>-3.0897519999999998</v>
      </c>
      <c r="V6201">
        <v>-0.1058684</v>
      </c>
      <c r="W6201">
        <v>0.1838381</v>
      </c>
      <c r="X6201">
        <v>0.97723870000000002</v>
      </c>
      <c r="Y6201">
        <v>6.7319100000000007E-2</v>
      </c>
      <c r="Z6201">
        <v>-6.6423810000000002E-3</v>
      </c>
      <c r="AA6201">
        <v>0.99770939999999997</v>
      </c>
      <c r="AB6201">
        <v>21</v>
      </c>
      <c r="AC6201">
        <v>-4.3353000000000099</v>
      </c>
      <c r="AD6201">
        <v>-4.9127999999999998E-2</v>
      </c>
      <c r="AE6201">
        <v>-76.768879999999996</v>
      </c>
      <c r="AF6201">
        <v>5.1904744892842603</v>
      </c>
      <c r="AG6201">
        <v>-4.9127999999999998E-2</v>
      </c>
      <c r="AH6201">
        <v>76.715773541056507</v>
      </c>
      <c r="AI6201">
        <v>90.036607934721403</v>
      </c>
      <c r="AJ6201">
        <v>86.129352253260294</v>
      </c>
      <c r="AK6201">
        <v>76.891178616190899</v>
      </c>
      <c r="AL6201">
        <v>79.406601586673403</v>
      </c>
      <c r="AM6201">
        <v>96.182980824051398</v>
      </c>
      <c r="AN6201">
        <v>1.0000000209539299</v>
      </c>
    </row>
    <row r="6202" spans="1:40" x14ac:dyDescent="0.25">
      <c r="A6202" t="str">
        <f>"20190304155227965"</f>
        <v>20190304155227965</v>
      </c>
      <c r="B6202" t="str">
        <f>"1551685947963573"</f>
        <v>1551685947963573</v>
      </c>
      <c r="C6202" t="s">
        <v>40</v>
      </c>
      <c r="D6202">
        <v>5.0917209999999997</v>
      </c>
      <c r="E6202">
        <v>0.56263459999999998</v>
      </c>
      <c r="F6202" t="s">
        <v>101</v>
      </c>
      <c r="G6202">
        <v>-306.0942</v>
      </c>
      <c r="H6202">
        <v>1.1566479999999999</v>
      </c>
      <c r="I6202">
        <v>-91.564989999999995</v>
      </c>
      <c r="J6202">
        <v>-302.01420000000002</v>
      </c>
      <c r="K6202">
        <v>1.1095379999999999</v>
      </c>
      <c r="L6202">
        <v>-15.126189999999999</v>
      </c>
      <c r="M6202">
        <v>1.024162E-2</v>
      </c>
      <c r="N6202">
        <v>-7.2715389999999996E-3</v>
      </c>
      <c r="O6202">
        <v>-0.99992119999999995</v>
      </c>
      <c r="P6202">
        <v>0.1184273</v>
      </c>
      <c r="Q6202">
        <v>0.1767512</v>
      </c>
      <c r="R6202">
        <v>-0.97710509999999995</v>
      </c>
      <c r="S6202">
        <v>-0.1640625</v>
      </c>
      <c r="T6202">
        <v>1.8956660000000001E-3</v>
      </c>
      <c r="U6202">
        <v>-3.088959</v>
      </c>
      <c r="V6202">
        <v>-0.10826089999999999</v>
      </c>
      <c r="W6202">
        <v>0.18395049999999999</v>
      </c>
      <c r="X6202">
        <v>0.97695540000000003</v>
      </c>
      <c r="Y6202">
        <v>6.3259319999999994E-2</v>
      </c>
      <c r="Z6202">
        <v>-7.8860949999999992E-3</v>
      </c>
      <c r="AA6202">
        <v>0.99796600000000002</v>
      </c>
      <c r="AB6202">
        <v>21</v>
      </c>
      <c r="AC6202">
        <v>-4.0799999999999796</v>
      </c>
      <c r="AD6202">
        <v>4.7109999999999902E-2</v>
      </c>
      <c r="AE6202">
        <v>-76.438800000000001</v>
      </c>
      <c r="AF6202">
        <v>4.86266193727716</v>
      </c>
      <c r="AG6202">
        <v>4.7109999999999902E-2</v>
      </c>
      <c r="AH6202">
        <v>76.392974975596204</v>
      </c>
      <c r="AI6202">
        <v>89.964738221529899</v>
      </c>
      <c r="AJ6202">
        <v>86.357850528240604</v>
      </c>
      <c r="AK6202">
        <v>76.547595168564399</v>
      </c>
      <c r="AL6202">
        <v>79.4000499177492</v>
      </c>
      <c r="AM6202">
        <v>96.323408278914201</v>
      </c>
      <c r="AN6202">
        <v>1.0000000312541</v>
      </c>
    </row>
    <row r="6203" spans="1:40" x14ac:dyDescent="0.25">
      <c r="A6203" t="str">
        <f>"20190304155228020"</f>
        <v>20190304155228020</v>
      </c>
      <c r="B6203" t="str">
        <f>"1551685948013350"</f>
        <v>1551685948013350</v>
      </c>
      <c r="C6203" t="s">
        <v>40</v>
      </c>
      <c r="D6203">
        <v>4.617451</v>
      </c>
      <c r="E6203">
        <v>0.50591830000000004</v>
      </c>
      <c r="F6203" t="s">
        <v>101</v>
      </c>
      <c r="G6203">
        <v>-305.74059999999997</v>
      </c>
      <c r="H6203">
        <v>1.184232</v>
      </c>
      <c r="I6203">
        <v>-91.564989999999995</v>
      </c>
      <c r="J6203">
        <v>-302.01069999999999</v>
      </c>
      <c r="K6203">
        <v>1.109529</v>
      </c>
      <c r="L6203">
        <v>-15.64532</v>
      </c>
      <c r="M6203">
        <v>8.8252450000000007E-3</v>
      </c>
      <c r="N6203">
        <v>-7.2660279999999999E-3</v>
      </c>
      <c r="O6203">
        <v>-0.99993480000000001</v>
      </c>
      <c r="P6203">
        <v>0.1276601</v>
      </c>
      <c r="Q6203">
        <v>0.178373799999999</v>
      </c>
      <c r="R6203">
        <v>-0.97564660000000003</v>
      </c>
      <c r="S6203">
        <v>-0.15054319999999999</v>
      </c>
      <c r="T6203">
        <v>3.018022E-3</v>
      </c>
      <c r="U6203">
        <v>-3.0880130000000001</v>
      </c>
      <c r="V6203">
        <v>-0.1188877</v>
      </c>
      <c r="W6203">
        <v>0.1855668</v>
      </c>
      <c r="X6203">
        <v>0.97541310000000003</v>
      </c>
      <c r="Y6203">
        <v>5.7503159999999998E-2</v>
      </c>
      <c r="Z6203">
        <v>-8.2434510000000006E-3</v>
      </c>
      <c r="AA6203">
        <v>0.99831130000000001</v>
      </c>
      <c r="AB6203">
        <v>21</v>
      </c>
      <c r="AC6203">
        <v>-3.7298999999999798</v>
      </c>
      <c r="AD6203">
        <v>7.4702999999999894E-2</v>
      </c>
      <c r="AE6203">
        <v>-75.919669999999996</v>
      </c>
      <c r="AF6203">
        <v>4.3997777685108597</v>
      </c>
      <c r="AG6203">
        <v>7.4702999999999894E-2</v>
      </c>
      <c r="AH6203">
        <v>75.883721847616101</v>
      </c>
      <c r="AI6203">
        <v>89.943690309063697</v>
      </c>
      <c r="AJ6203">
        <v>86.681675943194094</v>
      </c>
      <c r="AK6203">
        <v>76.011202242806704</v>
      </c>
      <c r="AL6203">
        <v>79.305820347692105</v>
      </c>
      <c r="AM6203">
        <v>96.949188511974597</v>
      </c>
      <c r="AN6203">
        <v>1.00000001906257</v>
      </c>
    </row>
    <row r="6204" spans="1:40" x14ac:dyDescent="0.25">
      <c r="A6204" t="str">
        <f>"20190304155228041"</f>
        <v>20190304155228041</v>
      </c>
      <c r="B6204" t="str">
        <f>"1551685948032869"</f>
        <v>1551685948032869</v>
      </c>
      <c r="C6204" t="s">
        <v>40</v>
      </c>
      <c r="D6204">
        <v>4.7530469999999996</v>
      </c>
      <c r="E6204">
        <v>0.4256334</v>
      </c>
      <c r="F6204" t="s">
        <v>41</v>
      </c>
      <c r="G6204">
        <v>-300.61320000000001</v>
      </c>
      <c r="H6204" s="1">
        <v>-7.7351969999999998E-7</v>
      </c>
      <c r="I6204">
        <v>-28.988099999999999</v>
      </c>
      <c r="J6204">
        <v>-302.00940000000003</v>
      </c>
      <c r="K6204">
        <v>1.1095159999999999</v>
      </c>
      <c r="L6204">
        <v>-15.854609999999999</v>
      </c>
      <c r="M6204">
        <v>8.2549449999999996E-3</v>
      </c>
      <c r="N6204">
        <v>-7.2646480000000003E-3</v>
      </c>
      <c r="O6204">
        <v>-0.99993989999999999</v>
      </c>
      <c r="P6204">
        <v>0.131686</v>
      </c>
      <c r="Q6204">
        <v>0.17810299999999901</v>
      </c>
      <c r="R6204">
        <v>-0.9751609</v>
      </c>
      <c r="S6204">
        <v>0.3225403</v>
      </c>
      <c r="T6204">
        <v>-0.25607809999999998</v>
      </c>
      <c r="U6204">
        <v>-3.0794980000000001</v>
      </c>
      <c r="V6204">
        <v>-0.12347370000000001</v>
      </c>
      <c r="W6204">
        <v>0.18529509999999999</v>
      </c>
      <c r="X6204">
        <v>0.97489490000000001</v>
      </c>
      <c r="Y6204">
        <v>-9.5628119999999997E-2</v>
      </c>
      <c r="Z6204">
        <v>7.5212950000000001E-2</v>
      </c>
      <c r="AA6204">
        <v>0.99257150000000005</v>
      </c>
      <c r="AB6204">
        <v>21</v>
      </c>
      <c r="AC6204">
        <v>1.3962000000000201</v>
      </c>
      <c r="AD6204">
        <v>-1.1095167735197</v>
      </c>
      <c r="AE6204">
        <v>-13.133489999999901</v>
      </c>
      <c r="AF6204">
        <v>-1.27870937481192</v>
      </c>
      <c r="AG6204">
        <v>-1.1095167735197</v>
      </c>
      <c r="AH6204">
        <v>13.0524557386106</v>
      </c>
      <c r="AI6204">
        <v>94.835676559414196</v>
      </c>
      <c r="AJ6204">
        <v>95.5952386252103</v>
      </c>
      <c r="AK6204">
        <v>13.1617903776174</v>
      </c>
      <c r="AL6204">
        <v>79.321662659673905</v>
      </c>
      <c r="AM6204">
        <v>97.218269595018398</v>
      </c>
      <c r="AN6204">
        <v>1.0000000473608499</v>
      </c>
    </row>
    <row r="6205" spans="1:40" x14ac:dyDescent="0.25">
      <c r="A6205" t="str">
        <f>"20190304155228064"</f>
        <v>20190304155228064</v>
      </c>
      <c r="B6205" t="str">
        <f>"1551685948053365"</f>
        <v>1551685948053365</v>
      </c>
      <c r="C6205" t="s">
        <v>40</v>
      </c>
      <c r="D6205">
        <v>4.6968009999999998</v>
      </c>
      <c r="E6205">
        <v>0.43158849999999999</v>
      </c>
      <c r="F6205" t="s">
        <v>77</v>
      </c>
      <c r="G6205">
        <v>-284.04739999999998</v>
      </c>
      <c r="H6205">
        <v>4.5593660000000001E-2</v>
      </c>
      <c r="I6205">
        <v>-70.383759999999995</v>
      </c>
      <c r="J6205">
        <v>-302.00819999999999</v>
      </c>
      <c r="K6205">
        <v>1.1095170000000001</v>
      </c>
      <c r="L6205">
        <v>-16.071809999999999</v>
      </c>
      <c r="M6205">
        <v>7.663759E-3</v>
      </c>
      <c r="N6205">
        <v>-7.2635989999999999E-3</v>
      </c>
      <c r="O6205">
        <v>-0.99994439999999996</v>
      </c>
      <c r="P6205">
        <v>0.1357804</v>
      </c>
      <c r="Q6205">
        <v>0.17767649999999999</v>
      </c>
      <c r="R6205">
        <v>-0.97467700000000002</v>
      </c>
      <c r="S6205">
        <v>0.97354130000000005</v>
      </c>
      <c r="T6205">
        <v>-5.7664510000000002E-2</v>
      </c>
      <c r="U6205">
        <v>-2.9554749999999999</v>
      </c>
      <c r="V6205">
        <v>-0.128147699999999</v>
      </c>
      <c r="W6205">
        <v>0.18486910000000001</v>
      </c>
      <c r="X6205">
        <v>0.97437240000000003</v>
      </c>
      <c r="Y6205">
        <v>-0.30552960000000001</v>
      </c>
      <c r="Z6205">
        <v>1.1296219999999999E-2</v>
      </c>
      <c r="AA6205">
        <v>0.95211559999999995</v>
      </c>
      <c r="AB6205">
        <v>21</v>
      </c>
      <c r="AC6205">
        <v>17.960799999999999</v>
      </c>
      <c r="AD6205">
        <v>-1.0639233400000001</v>
      </c>
      <c r="AE6205">
        <v>-54.311950000000003</v>
      </c>
      <c r="AF6205">
        <v>-17.5379614290649</v>
      </c>
      <c r="AG6205">
        <v>-1.0639233400000001</v>
      </c>
      <c r="AH6205">
        <v>54.429178449536103</v>
      </c>
      <c r="AI6205">
        <v>91.065862829013696</v>
      </c>
      <c r="AJ6205">
        <v>107.85977993280299</v>
      </c>
      <c r="AK6205">
        <v>57.194820487979698</v>
      </c>
      <c r="AL6205">
        <v>79.346499211195507</v>
      </c>
      <c r="AM6205">
        <v>97.492436037168304</v>
      </c>
      <c r="AN6205">
        <v>0.99999999551593</v>
      </c>
    </row>
    <row r="6206" spans="1:40" x14ac:dyDescent="0.25">
      <c r="A6206" t="str">
        <f>"20190304155228086"</f>
        <v>20190304155228086</v>
      </c>
      <c r="B6206" t="str">
        <f>"1551685948083622"</f>
        <v>1551685948083622</v>
      </c>
      <c r="C6206" t="s">
        <v>40</v>
      </c>
      <c r="D6206">
        <v>4.6545480000000001</v>
      </c>
      <c r="E6206">
        <v>0.43073790000000001</v>
      </c>
      <c r="F6206" t="s">
        <v>77</v>
      </c>
      <c r="G6206">
        <v>-286.0292</v>
      </c>
      <c r="H6206" s="1">
        <v>-4.4316029999999999E-6</v>
      </c>
      <c r="I6206">
        <v>-66.446529999999996</v>
      </c>
      <c r="J6206">
        <v>-302.00729999999999</v>
      </c>
      <c r="K6206">
        <v>1.1095109999999999</v>
      </c>
      <c r="L6206">
        <v>-16.284210000000002</v>
      </c>
      <c r="M6206">
        <v>7.0856740000000001E-3</v>
      </c>
      <c r="N6206">
        <v>-7.2628980000000003E-3</v>
      </c>
      <c r="O6206">
        <v>-0.99994870000000002</v>
      </c>
      <c r="P6206">
        <v>0.1398276</v>
      </c>
      <c r="Q6206">
        <v>0.1783267</v>
      </c>
      <c r="R6206">
        <v>-0.97398560000000001</v>
      </c>
      <c r="S6206">
        <v>0.93862920000000005</v>
      </c>
      <c r="T6206">
        <v>-6.5174700000000002E-2</v>
      </c>
      <c r="U6206">
        <v>-2.959076</v>
      </c>
      <c r="V6206">
        <v>-0.13276189999999999</v>
      </c>
      <c r="W6206">
        <v>0.18551809999999999</v>
      </c>
      <c r="X6206">
        <v>0.97363100000000002</v>
      </c>
      <c r="Y6206">
        <v>-0.29553669999999999</v>
      </c>
      <c r="Z6206">
        <v>1.375796E-2</v>
      </c>
      <c r="AA6206">
        <v>0.95523230000000003</v>
      </c>
      <c r="AB6206">
        <v>21</v>
      </c>
      <c r="AC6206">
        <v>15.9780999999999</v>
      </c>
      <c r="AD6206">
        <v>-1.109515431603</v>
      </c>
      <c r="AE6206">
        <v>-50.162320000000001</v>
      </c>
      <c r="AF6206">
        <v>-15.615319959045999</v>
      </c>
      <c r="AG6206">
        <v>-1.109515431603</v>
      </c>
      <c r="AH6206">
        <v>50.2519591691714</v>
      </c>
      <c r="AI6206">
        <v>91.207876418014607</v>
      </c>
      <c r="AJ6206">
        <v>107.262136876128</v>
      </c>
      <c r="AK6206">
        <v>52.6339115234315</v>
      </c>
      <c r="AL6206">
        <v>79.308659815360997</v>
      </c>
      <c r="AM6206">
        <v>97.764821479581499</v>
      </c>
      <c r="AN6206">
        <v>1.00000000584011</v>
      </c>
    </row>
    <row r="6207" spans="1:40" x14ac:dyDescent="0.25">
      <c r="A6207" t="str">
        <f>"20190304155228110"</f>
        <v>20190304155228110</v>
      </c>
      <c r="B6207" t="str">
        <f>"1551685948103142"</f>
        <v>1551685948103142</v>
      </c>
      <c r="C6207" t="s">
        <v>40</v>
      </c>
      <c r="D6207">
        <v>4.7079899999999997</v>
      </c>
      <c r="E6207">
        <v>0.43034260000000002</v>
      </c>
      <c r="F6207" t="s">
        <v>77</v>
      </c>
      <c r="G6207">
        <v>-289.06319999999999</v>
      </c>
      <c r="H6207" s="1">
        <v>-2.3179869999999999E-6</v>
      </c>
      <c r="I6207">
        <v>-56.267620000000001</v>
      </c>
      <c r="J6207">
        <v>-302.00639999999999</v>
      </c>
      <c r="K6207">
        <v>1.1095060000000001</v>
      </c>
      <c r="L6207">
        <v>-16.508209999999998</v>
      </c>
      <c r="M6207">
        <v>6.4768949999999999E-3</v>
      </c>
      <c r="N6207">
        <v>-7.2625440000000001E-3</v>
      </c>
      <c r="O6207">
        <v>-0.99995270000000003</v>
      </c>
      <c r="P6207">
        <v>0.14351179999999999</v>
      </c>
      <c r="Q6207">
        <v>0.17823079999999999</v>
      </c>
      <c r="R6207">
        <v>-0.97346699999999997</v>
      </c>
      <c r="S6207">
        <v>0.95751949999999997</v>
      </c>
      <c r="T6207">
        <v>-8.2074279999999999E-2</v>
      </c>
      <c r="U6207">
        <v>-2.957703</v>
      </c>
      <c r="V6207">
        <v>-0.13704229999999901</v>
      </c>
      <c r="W6207">
        <v>0.185422</v>
      </c>
      <c r="X6207">
        <v>0.97305609999999998</v>
      </c>
      <c r="Y6207">
        <v>-0.30173850000000002</v>
      </c>
      <c r="Z6207">
        <v>1.916381E-2</v>
      </c>
      <c r="AA6207">
        <v>0.95319810000000005</v>
      </c>
      <c r="AB6207">
        <v>22</v>
      </c>
      <c r="AC6207">
        <v>12.9431999999999</v>
      </c>
      <c r="AD6207">
        <v>-1.10950831798699</v>
      </c>
      <c r="AE6207">
        <v>-39.759409999999903</v>
      </c>
      <c r="AF6207">
        <v>-12.676478653606701</v>
      </c>
      <c r="AG6207">
        <v>-1.10950831798699</v>
      </c>
      <c r="AH6207">
        <v>39.814376538477802</v>
      </c>
      <c r="AI6207">
        <v>91.521052644572606</v>
      </c>
      <c r="AJ6207">
        <v>107.66092790591701</v>
      </c>
      <c r="AK6207">
        <v>41.798429383299997</v>
      </c>
      <c r="AL6207">
        <v>79.314263548169194</v>
      </c>
      <c r="AM6207">
        <v>98.016639553464799</v>
      </c>
      <c r="AN6207">
        <v>1.0000000419102399</v>
      </c>
    </row>
    <row r="6208" spans="1:40" x14ac:dyDescent="0.25">
      <c r="A6208" t="str">
        <f>"20190304155228132"</f>
        <v>20190304155228132</v>
      </c>
      <c r="B6208" t="str">
        <f>"1551685948122757"</f>
        <v>1551685948122757</v>
      </c>
      <c r="C6208" t="s">
        <v>40</v>
      </c>
      <c r="D6208">
        <v>4.6718979999999997</v>
      </c>
      <c r="E6208">
        <v>0.43006260000000002</v>
      </c>
      <c r="F6208" t="s">
        <v>77</v>
      </c>
      <c r="G6208">
        <v>-289.24220000000003</v>
      </c>
      <c r="H6208" s="1">
        <v>-2.4255260000000002E-6</v>
      </c>
      <c r="I6208">
        <v>-55.30744</v>
      </c>
      <c r="J6208">
        <v>-302.00560000000002</v>
      </c>
      <c r="K6208">
        <v>1.10951</v>
      </c>
      <c r="L6208">
        <v>-16.7287</v>
      </c>
      <c r="M6208">
        <v>5.8799539999999997E-3</v>
      </c>
      <c r="N6208">
        <v>-7.2625340000000002E-3</v>
      </c>
      <c r="O6208">
        <v>-0.99995630000000002</v>
      </c>
      <c r="P6208">
        <v>0.14688180000000001</v>
      </c>
      <c r="Q6208">
        <v>0.178951799999999</v>
      </c>
      <c r="R6208">
        <v>-0.97283180000000002</v>
      </c>
      <c r="S6208">
        <v>0.97180180000000005</v>
      </c>
      <c r="T6208">
        <v>-8.4472420000000006E-2</v>
      </c>
      <c r="U6208">
        <v>-2.9539789999999999</v>
      </c>
      <c r="V6208">
        <v>-0.14099610000000001</v>
      </c>
      <c r="W6208">
        <v>0.18614220000000001</v>
      </c>
      <c r="X6208">
        <v>0.97235340000000003</v>
      </c>
      <c r="Y6208">
        <v>-0.30681360000000002</v>
      </c>
      <c r="Z6208">
        <v>1.992493E-2</v>
      </c>
      <c r="AA6208">
        <v>0.95156099999999999</v>
      </c>
      <c r="AB6208">
        <v>22</v>
      </c>
      <c r="AC6208">
        <v>12.763399999999899</v>
      </c>
      <c r="AD6208">
        <v>-1.109512425526</v>
      </c>
      <c r="AE6208">
        <v>-38.578740000000003</v>
      </c>
      <c r="AF6208">
        <v>-12.5269930323708</v>
      </c>
      <c r="AG6208">
        <v>-1.109512425526</v>
      </c>
      <c r="AH6208">
        <v>38.6243280844525</v>
      </c>
      <c r="AI6208">
        <v>91.565191452462201</v>
      </c>
      <c r="AJ6208">
        <v>107.969386607575</v>
      </c>
      <c r="AK6208">
        <v>40.620134074506602</v>
      </c>
      <c r="AL6208">
        <v>79.272267318941402</v>
      </c>
      <c r="AM6208">
        <v>98.250667533305204</v>
      </c>
      <c r="AN6208">
        <v>0.99999997666380402</v>
      </c>
    </row>
    <row r="6209" spans="1:40" x14ac:dyDescent="0.25">
      <c r="A6209" t="str">
        <f>"20190304155228155"</f>
        <v>20190304155228155</v>
      </c>
      <c r="B6209" t="str">
        <f>"1551685948153013"</f>
        <v>1551685948153013</v>
      </c>
      <c r="C6209" t="s">
        <v>40</v>
      </c>
      <c r="D6209">
        <v>4.7078899999999999</v>
      </c>
      <c r="E6209">
        <v>0.43042219999999998</v>
      </c>
      <c r="F6209" t="s">
        <v>77</v>
      </c>
      <c r="G6209">
        <v>-289.09859999999998</v>
      </c>
      <c r="H6209" s="1">
        <v>-2.4797889999999999E-6</v>
      </c>
      <c r="I6209">
        <v>-55.445529999999998</v>
      </c>
      <c r="J6209">
        <v>-302.00490000000002</v>
      </c>
      <c r="K6209">
        <v>1.1095109999999999</v>
      </c>
      <c r="L6209">
        <v>-16.96594</v>
      </c>
      <c r="M6209">
        <v>5.2410260000000002E-3</v>
      </c>
      <c r="N6209">
        <v>-7.2628390000000001E-3</v>
      </c>
      <c r="O6209">
        <v>-0.99996010000000002</v>
      </c>
      <c r="P6209">
        <v>0.14988879999999999</v>
      </c>
      <c r="Q6209">
        <v>0.1798014</v>
      </c>
      <c r="R6209">
        <v>-0.97221670000000004</v>
      </c>
      <c r="S6209">
        <v>0.98370360000000001</v>
      </c>
      <c r="T6209">
        <v>-8.4561590000000006E-2</v>
      </c>
      <c r="U6209">
        <v>-2.950806</v>
      </c>
      <c r="V6209">
        <v>-0.14462729999999999</v>
      </c>
      <c r="W6209">
        <v>0.18698960000000001</v>
      </c>
      <c r="X6209">
        <v>0.97165729999999995</v>
      </c>
      <c r="Y6209">
        <v>-0.31117990000000001</v>
      </c>
      <c r="Z6209">
        <v>1.994398E-2</v>
      </c>
      <c r="AA6209">
        <v>0.95014169999999998</v>
      </c>
      <c r="AB6209">
        <v>22</v>
      </c>
      <c r="AC6209">
        <v>12.9063</v>
      </c>
      <c r="AD6209">
        <v>-1.1095134797890001</v>
      </c>
      <c r="AE6209">
        <v>-38.479590000000002</v>
      </c>
      <c r="AF6209">
        <v>-12.694957756721699</v>
      </c>
      <c r="AG6209">
        <v>-1.1095134797890001</v>
      </c>
      <c r="AH6209">
        <v>38.517920383005197</v>
      </c>
      <c r="AI6209">
        <v>91.567080808682405</v>
      </c>
      <c r="AJ6209">
        <v>108.241483517297</v>
      </c>
      <c r="AK6209">
        <v>40.571211015180602</v>
      </c>
      <c r="AL6209">
        <v>79.222847839634895</v>
      </c>
      <c r="AM6209">
        <v>98.466090164657004</v>
      </c>
      <c r="AN6209">
        <v>1.00000003752836</v>
      </c>
    </row>
    <row r="6210" spans="1:40" x14ac:dyDescent="0.25">
      <c r="A6210" t="str">
        <f>"20190304155228179"</f>
        <v>20190304155228179</v>
      </c>
      <c r="B6210" t="str">
        <f>"1551685948173511"</f>
        <v>1551685948173511</v>
      </c>
      <c r="C6210" t="s">
        <v>40</v>
      </c>
      <c r="D6210">
        <v>4.7096179999999999</v>
      </c>
      <c r="E6210">
        <v>0.43045489999999997</v>
      </c>
      <c r="F6210" t="s">
        <v>77</v>
      </c>
      <c r="G6210">
        <v>-289.42930000000001</v>
      </c>
      <c r="H6210" s="1">
        <v>-2.5078369999999999E-6</v>
      </c>
      <c r="I6210">
        <v>-54.4392</v>
      </c>
      <c r="J6210">
        <v>-302.00450000000001</v>
      </c>
      <c r="K6210">
        <v>1.109513</v>
      </c>
      <c r="L6210">
        <v>-17.187379999999902</v>
      </c>
      <c r="M6210">
        <v>4.6496189999999998E-3</v>
      </c>
      <c r="N6210">
        <v>-7.2633890000000003E-3</v>
      </c>
      <c r="O6210">
        <v>-0.99996300000000005</v>
      </c>
      <c r="P6210">
        <v>0.15246189999999901</v>
      </c>
      <c r="Q6210">
        <v>0.17981949999999999</v>
      </c>
      <c r="R6210">
        <v>-0.97181309999999999</v>
      </c>
      <c r="S6210">
        <v>0.98974609999999996</v>
      </c>
      <c r="T6210">
        <v>-8.7322709999999998E-2</v>
      </c>
      <c r="U6210">
        <v>-2.9492799999999999</v>
      </c>
      <c r="V6210">
        <v>-0.14777799999999999</v>
      </c>
      <c r="W6210">
        <v>0.1870079</v>
      </c>
      <c r="X6210">
        <v>0.97117949999999997</v>
      </c>
      <c r="Y6210">
        <v>-0.31363210000000002</v>
      </c>
      <c r="Z6210">
        <v>2.0823700000000001E-2</v>
      </c>
      <c r="AA6210">
        <v>0.94931620000000005</v>
      </c>
      <c r="AB6210">
        <v>22</v>
      </c>
      <c r="AC6210">
        <v>12.575199999999899</v>
      </c>
      <c r="AD6210">
        <v>-1.109515507837</v>
      </c>
      <c r="AE6210">
        <v>-37.251820000000002</v>
      </c>
      <c r="AF6210">
        <v>-12.391984397872299</v>
      </c>
      <c r="AG6210">
        <v>-1.109515507837</v>
      </c>
      <c r="AH6210">
        <v>37.28020063748</v>
      </c>
      <c r="AI6210">
        <v>91.617725765153196</v>
      </c>
      <c r="AJ6210">
        <v>108.38687015585199</v>
      </c>
      <c r="AK6210">
        <v>39.301471493444197</v>
      </c>
      <c r="AL6210">
        <v>79.221779616304502</v>
      </c>
      <c r="AM6210">
        <v>98.651954527181601</v>
      </c>
      <c r="AN6210">
        <v>0.99999995658332896</v>
      </c>
    </row>
    <row r="6211" spans="1:40" x14ac:dyDescent="0.25">
      <c r="A6211" t="str">
        <f>"20190304155228197"</f>
        <v>20190304155228197</v>
      </c>
      <c r="B6211" t="str">
        <f>"1551685948193029"</f>
        <v>1551685948193029</v>
      </c>
      <c r="C6211" t="s">
        <v>40</v>
      </c>
      <c r="D6211">
        <v>4.7494649999999998</v>
      </c>
      <c r="E6211">
        <v>0.43073489999999998</v>
      </c>
      <c r="F6211" t="s">
        <v>77</v>
      </c>
      <c r="G6211">
        <v>-289.57470000000001</v>
      </c>
      <c r="H6211" s="1">
        <v>-2.5345219999999998E-6</v>
      </c>
      <c r="I6211">
        <v>-53.932009999999998</v>
      </c>
      <c r="J6211">
        <v>-302.00409999999999</v>
      </c>
      <c r="K6211">
        <v>1.109515</v>
      </c>
      <c r="L6211">
        <v>-17.380099999999999</v>
      </c>
      <c r="M6211">
        <v>4.1393840000000003E-3</v>
      </c>
      <c r="N6211">
        <v>-7.2640859999999899E-3</v>
      </c>
      <c r="O6211">
        <v>-0.9999654</v>
      </c>
      <c r="P6211">
        <v>0.1543889</v>
      </c>
      <c r="Q6211">
        <v>0.18016509999999999</v>
      </c>
      <c r="R6211">
        <v>-0.971445</v>
      </c>
      <c r="S6211">
        <v>0.99691770000000002</v>
      </c>
      <c r="T6211">
        <v>-8.8988070000000002E-2</v>
      </c>
      <c r="U6211">
        <v>-2.9470830000000001</v>
      </c>
      <c r="V6211">
        <v>-0.1502029</v>
      </c>
      <c r="W6211">
        <v>0.18735309999999999</v>
      </c>
      <c r="X6211">
        <v>0.97074090000000002</v>
      </c>
      <c r="Y6211">
        <v>-0.31639869999999998</v>
      </c>
      <c r="Z6211">
        <v>2.13536E-2</v>
      </c>
      <c r="AA6211">
        <v>0.94838599999999995</v>
      </c>
      <c r="AB6211">
        <v>22</v>
      </c>
      <c r="AC6211">
        <v>12.4293999999999</v>
      </c>
      <c r="AD6211">
        <v>-1.1095175345219901</v>
      </c>
      <c r="AE6211">
        <v>-36.551909999999999</v>
      </c>
      <c r="AF6211">
        <v>-12.267855167113501</v>
      </c>
      <c r="AG6211">
        <v>-1.1095175345219901</v>
      </c>
      <c r="AH6211">
        <v>36.572842753201201</v>
      </c>
      <c r="AI6211">
        <v>91.647498220135404</v>
      </c>
      <c r="AJ6211">
        <v>108.54331685197</v>
      </c>
      <c r="AK6211">
        <v>38.591503295557999</v>
      </c>
      <c r="AL6211">
        <v>79.201645668872402</v>
      </c>
      <c r="AM6211">
        <v>98.7956347062551</v>
      </c>
      <c r="AN6211">
        <v>0.99999999509041504</v>
      </c>
    </row>
    <row r="6212" spans="1:40" x14ac:dyDescent="0.25">
      <c r="A6212" t="str">
        <f>"20190304155228220"</f>
        <v>20190304155228220</v>
      </c>
      <c r="B6212" t="str">
        <f>"1551685948213707"</f>
        <v>1551685948213707</v>
      </c>
      <c r="C6212" t="s">
        <v>40</v>
      </c>
      <c r="D6212">
        <v>4.6071210000000002</v>
      </c>
      <c r="E6212">
        <v>0.43110900000000002</v>
      </c>
      <c r="F6212" t="s">
        <v>77</v>
      </c>
      <c r="G6212">
        <v>-289.75310000000002</v>
      </c>
      <c r="H6212" s="1">
        <v>-2.5337599999999999E-6</v>
      </c>
      <c r="I6212">
        <v>-53.460619999999999</v>
      </c>
      <c r="J6212">
        <v>-302.00380000000001</v>
      </c>
      <c r="K6212">
        <v>1.1095159999999999</v>
      </c>
      <c r="L6212">
        <v>-17.60303</v>
      </c>
      <c r="M6212">
        <v>3.5562749999999998E-3</v>
      </c>
      <c r="N6212">
        <v>-7.2651039999999997E-3</v>
      </c>
      <c r="O6212">
        <v>-0.99996750000000001</v>
      </c>
      <c r="P6212">
        <v>0.15626010000000001</v>
      </c>
      <c r="Q6212">
        <v>0.18105640000000001</v>
      </c>
      <c r="R6212">
        <v>-0.97097990000000001</v>
      </c>
      <c r="S6212">
        <v>1.000305</v>
      </c>
      <c r="T6212">
        <v>-9.0593339999999994E-2</v>
      </c>
      <c r="U6212">
        <v>-2.9460139999999999</v>
      </c>
      <c r="V6212">
        <v>-0.15264269999999999</v>
      </c>
      <c r="W6212">
        <v>0.1882421</v>
      </c>
      <c r="X6212">
        <v>0.97018819999999995</v>
      </c>
      <c r="Y6212">
        <v>-0.31802940000000002</v>
      </c>
      <c r="Z6212">
        <v>2.1864370000000001E-2</v>
      </c>
      <c r="AA6212">
        <v>0.94782869999999997</v>
      </c>
      <c r="AB6212">
        <v>22</v>
      </c>
      <c r="AC6212">
        <v>12.250699999999901</v>
      </c>
      <c r="AD6212">
        <v>-1.10951853376</v>
      </c>
      <c r="AE6212">
        <v>-35.857590000000002</v>
      </c>
      <c r="AF6212">
        <v>-12.1127148314902</v>
      </c>
      <c r="AG6212">
        <v>-1.10951853376</v>
      </c>
      <c r="AH6212">
        <v>35.870177730754797</v>
      </c>
      <c r="AI6212">
        <v>91.6786150165279</v>
      </c>
      <c r="AJ6212">
        <v>108.65890185132599</v>
      </c>
      <c r="AK6212">
        <v>37.876358621199202</v>
      </c>
      <c r="AL6212">
        <v>79.149787230786004</v>
      </c>
      <c r="AM6212">
        <v>98.941226238421095</v>
      </c>
      <c r="AN6212">
        <v>1.00000001274747</v>
      </c>
    </row>
    <row r="6213" spans="1:40" x14ac:dyDescent="0.25">
      <c r="A6213" t="str">
        <f>"20190304155228242"</f>
        <v>20190304155228242</v>
      </c>
      <c r="B6213" t="str">
        <f>"1551685948233227"</f>
        <v>1551685948233227</v>
      </c>
      <c r="C6213" t="s">
        <v>40</v>
      </c>
      <c r="D6213">
        <v>4.6268589999999996</v>
      </c>
      <c r="E6213">
        <v>0.4312434</v>
      </c>
      <c r="F6213" t="s">
        <v>77</v>
      </c>
      <c r="G6213">
        <v>-289.91899999999998</v>
      </c>
      <c r="H6213" s="1">
        <v>-2.5145720000000001E-6</v>
      </c>
      <c r="I6213">
        <v>-53.105359999999997</v>
      </c>
      <c r="J6213">
        <v>-302.00369999999998</v>
      </c>
      <c r="K6213">
        <v>1.1095170000000001</v>
      </c>
      <c r="L6213">
        <v>-17.825779999999899</v>
      </c>
      <c r="M6213">
        <v>2.9826050000000002E-3</v>
      </c>
      <c r="N6213">
        <v>-7.2664069999999999E-3</v>
      </c>
      <c r="O6213">
        <v>-0.99996940000000001</v>
      </c>
      <c r="P6213">
        <v>0.15721940000000001</v>
      </c>
      <c r="Q6213">
        <v>0.1816777</v>
      </c>
      <c r="R6213">
        <v>-0.97070889999999999</v>
      </c>
      <c r="S6213">
        <v>1.0026250000000001</v>
      </c>
      <c r="T6213">
        <v>-9.2051629999999995E-2</v>
      </c>
      <c r="U6213">
        <v>-2.945465</v>
      </c>
      <c r="V6213">
        <v>-0.1541611</v>
      </c>
      <c r="W6213">
        <v>0.18886249999999999</v>
      </c>
      <c r="X6213">
        <v>0.96982749999999995</v>
      </c>
      <c r="Y6213">
        <v>-0.31929190000000002</v>
      </c>
      <c r="Z6213">
        <v>2.232605E-2</v>
      </c>
      <c r="AA6213">
        <v>0.94739340000000005</v>
      </c>
      <c r="AB6213">
        <v>22</v>
      </c>
      <c r="AC6213">
        <v>12.0846999999999</v>
      </c>
      <c r="AD6213">
        <v>-1.109519514572</v>
      </c>
      <c r="AE6213">
        <v>-35.279580000000003</v>
      </c>
      <c r="AF6213">
        <v>-11.968823673847099</v>
      </c>
      <c r="AG6213">
        <v>-1.109519514572</v>
      </c>
      <c r="AH6213">
        <v>35.284234398551497</v>
      </c>
      <c r="AI6213">
        <v>91.705683905726701</v>
      </c>
      <c r="AJ6213">
        <v>108.737535301454</v>
      </c>
      <c r="AK6213">
        <v>37.275474118792701</v>
      </c>
      <c r="AL6213">
        <v>79.113591931566205</v>
      </c>
      <c r="AM6213">
        <v>99.032012874953693</v>
      </c>
      <c r="AN6213">
        <v>1.0000000342078501</v>
      </c>
    </row>
    <row r="6214" spans="1:40" x14ac:dyDescent="0.25">
      <c r="A6214" t="str">
        <f>"20190304155228265"</f>
        <v>20190304155228265</v>
      </c>
      <c r="B6214" t="str">
        <f>"1551685948253722"</f>
        <v>1551685948253722</v>
      </c>
      <c r="C6214" t="s">
        <v>40</v>
      </c>
      <c r="D6214">
        <v>4.7526820000000001</v>
      </c>
      <c r="E6214">
        <v>0.43159009999999998</v>
      </c>
      <c r="F6214" t="s">
        <v>77</v>
      </c>
      <c r="G6214">
        <v>-289.8014</v>
      </c>
      <c r="H6214" s="1">
        <v>-2.4724319999999999E-6</v>
      </c>
      <c r="I6214">
        <v>-53.607860000000002</v>
      </c>
      <c r="J6214">
        <v>-302.00369999999998</v>
      </c>
      <c r="K6214">
        <v>1.109521</v>
      </c>
      <c r="L6214">
        <v>-18.04654</v>
      </c>
      <c r="M6214">
        <v>2.4255100000000001E-3</v>
      </c>
      <c r="N6214">
        <v>-7.2679369999999899E-3</v>
      </c>
      <c r="O6214">
        <v>-0.99997080000000005</v>
      </c>
      <c r="P6214">
        <v>0.15809400000000001</v>
      </c>
      <c r="Q6214">
        <v>0.18220980000000001</v>
      </c>
      <c r="R6214">
        <v>-0.97046719999999997</v>
      </c>
      <c r="S6214">
        <v>1.0042719999999901</v>
      </c>
      <c r="T6214">
        <v>-9.1315980000000005E-2</v>
      </c>
      <c r="U6214">
        <v>-2.9449459999999998</v>
      </c>
      <c r="V6214">
        <v>-0.155579299999999</v>
      </c>
      <c r="W6214">
        <v>0.18939300000000001</v>
      </c>
      <c r="X6214">
        <v>0.96949750000000001</v>
      </c>
      <c r="Y6214">
        <v>-0.3203473</v>
      </c>
      <c r="Z6214">
        <v>2.2084599999999999E-2</v>
      </c>
      <c r="AA6214">
        <v>0.94704270000000002</v>
      </c>
      <c r="AB6214">
        <v>22</v>
      </c>
      <c r="AC6214">
        <v>12.2022999999999</v>
      </c>
      <c r="AD6214">
        <v>-1.109523472432</v>
      </c>
      <c r="AE6214">
        <v>-35.561319999999903</v>
      </c>
      <c r="AF6214">
        <v>-12.105464664182501</v>
      </c>
      <c r="AG6214">
        <v>-1.109523472432</v>
      </c>
      <c r="AH6214">
        <v>35.559843344647703</v>
      </c>
      <c r="AI6214">
        <v>91.691852454453993</v>
      </c>
      <c r="AJ6214">
        <v>108.79986505758001</v>
      </c>
      <c r="AK6214">
        <v>37.580257792723302</v>
      </c>
      <c r="AL6214">
        <v>79.082637662833207</v>
      </c>
      <c r="AM6214">
        <v>99.116764378445694</v>
      </c>
      <c r="AN6214">
        <v>1.0000000147718699</v>
      </c>
    </row>
    <row r="6215" spans="1:40" x14ac:dyDescent="0.25">
      <c r="A6215" t="str">
        <f>"20190304155228287"</f>
        <v>20190304155228287</v>
      </c>
      <c r="B6215" t="str">
        <f>"1551685948283006"</f>
        <v>1551685948283006</v>
      </c>
      <c r="C6215" t="s">
        <v>40</v>
      </c>
      <c r="D6215">
        <v>4.7809080000000002</v>
      </c>
      <c r="E6215">
        <v>0.43225629999999998</v>
      </c>
      <c r="F6215" t="s">
        <v>77</v>
      </c>
      <c r="G6215">
        <v>-289.90519999999998</v>
      </c>
      <c r="H6215" s="1">
        <v>-2.4246980000000002E-6</v>
      </c>
      <c r="I6215">
        <v>-53.54636</v>
      </c>
      <c r="J6215">
        <v>-302.00369999999998</v>
      </c>
      <c r="K6215">
        <v>1.1095299999999999</v>
      </c>
      <c r="L6215">
        <v>-18.274480000000001</v>
      </c>
      <c r="M6215">
        <v>1.8653439999999999E-3</v>
      </c>
      <c r="N6215">
        <v>-7.2696599999999998E-3</v>
      </c>
      <c r="O6215">
        <v>-0.99997170000000002</v>
      </c>
      <c r="P6215">
        <v>0.15856919999999999</v>
      </c>
      <c r="Q6215">
        <v>0.1823398</v>
      </c>
      <c r="R6215">
        <v>-0.97036489999999997</v>
      </c>
      <c r="S6215">
        <v>1.0036929999999999</v>
      </c>
      <c r="T6215">
        <v>-9.2046139999999999E-2</v>
      </c>
      <c r="U6215">
        <v>-2.945068</v>
      </c>
      <c r="V6215">
        <v>-0.15660199999999999</v>
      </c>
      <c r="W6215">
        <v>0.1895213</v>
      </c>
      <c r="X6215">
        <v>0.96930769999999999</v>
      </c>
      <c r="Y6215">
        <v>-0.32069690000000001</v>
      </c>
      <c r="Z6215">
        <v>2.23147E-2</v>
      </c>
      <c r="AA6215">
        <v>0.94691899999999996</v>
      </c>
      <c r="AB6215">
        <v>22</v>
      </c>
      <c r="AC6215">
        <v>12.0985</v>
      </c>
      <c r="AD6215">
        <v>-1.1095324246979901</v>
      </c>
      <c r="AE6215">
        <v>-35.271880000000003</v>
      </c>
      <c r="AF6215">
        <v>-12.022039288379901</v>
      </c>
      <c r="AG6215">
        <v>-1.1095324246979901</v>
      </c>
      <c r="AH6215">
        <v>35.263166815263297</v>
      </c>
      <c r="AI6215">
        <v>91.7058324306239</v>
      </c>
      <c r="AJ6215">
        <v>108.825445323417</v>
      </c>
      <c r="AK6215">
        <v>37.272663235860797</v>
      </c>
      <c r="AL6215">
        <v>79.075150455905998</v>
      </c>
      <c r="AM6215">
        <v>99.177443343952802</v>
      </c>
      <c r="AN6215">
        <v>0.99999996341848896</v>
      </c>
    </row>
    <row r="6216" spans="1:40" x14ac:dyDescent="0.25">
      <c r="A6216" t="str">
        <f>"20190304155228310"</f>
        <v>20190304155228310</v>
      </c>
      <c r="B6216" t="str">
        <f>"1551685948303499"</f>
        <v>1551685948303499</v>
      </c>
      <c r="C6216" t="s">
        <v>40</v>
      </c>
      <c r="D6216">
        <v>4.7691650000000001</v>
      </c>
      <c r="E6216">
        <v>0.4323883</v>
      </c>
      <c r="F6216" t="s">
        <v>77</v>
      </c>
      <c r="G6216">
        <v>-290.77879999999999</v>
      </c>
      <c r="H6216" s="1">
        <v>-1.040188E-5</v>
      </c>
      <c r="I6216">
        <v>-51.350909999999999</v>
      </c>
      <c r="J6216">
        <v>-302.00389999999999</v>
      </c>
      <c r="K6216">
        <v>1.109542</v>
      </c>
      <c r="L6216">
        <v>-18.49756</v>
      </c>
      <c r="M6216">
        <v>1.3419739999999999E-3</v>
      </c>
      <c r="N6216">
        <v>-7.271525E-3</v>
      </c>
      <c r="O6216">
        <v>-0.99997290000000005</v>
      </c>
      <c r="P6216">
        <v>0.1587065</v>
      </c>
      <c r="Q6216">
        <v>0.18275</v>
      </c>
      <c r="R6216">
        <v>-0.97026559999999995</v>
      </c>
      <c r="S6216">
        <v>1.0000309999999999</v>
      </c>
      <c r="T6216">
        <v>-9.8848820000000004E-2</v>
      </c>
      <c r="U6216">
        <v>-2.946777</v>
      </c>
      <c r="V6216">
        <v>-0.15725220000000001</v>
      </c>
      <c r="W6216">
        <v>0.18992819999999999</v>
      </c>
      <c r="X6216">
        <v>0.96912279999999995</v>
      </c>
      <c r="Y6216">
        <v>-0.31995129999999999</v>
      </c>
      <c r="Z6216">
        <v>2.4489400000000001E-2</v>
      </c>
      <c r="AA6216">
        <v>0.9471174</v>
      </c>
      <c r="AB6216">
        <v>22</v>
      </c>
      <c r="AC6216">
        <v>11.2250999999999</v>
      </c>
      <c r="AD6216">
        <v>-1.10955240188</v>
      </c>
      <c r="AE6216">
        <v>-32.853349999999999</v>
      </c>
      <c r="AF6216">
        <v>-11.169592082790199</v>
      </c>
      <c r="AG6216">
        <v>-1.10955240188</v>
      </c>
      <c r="AH6216">
        <v>32.834847997141701</v>
      </c>
      <c r="AI6216">
        <v>91.832356334324601</v>
      </c>
      <c r="AJ6216">
        <v>108.78701686636199</v>
      </c>
      <c r="AK6216">
        <v>34.700405427370001</v>
      </c>
      <c r="AL6216">
        <v>79.051405808848102</v>
      </c>
      <c r="AM6216">
        <v>99.2166229944593</v>
      </c>
      <c r="AN6216">
        <v>0.99999998851995897</v>
      </c>
    </row>
    <row r="6217" spans="1:40" x14ac:dyDescent="0.25">
      <c r="A6217" t="str">
        <f>"20190304155228332"</f>
        <v>20190304155228332</v>
      </c>
      <c r="B6217" t="str">
        <f>"1551685948323020"</f>
        <v>1551685948323020</v>
      </c>
      <c r="C6217" t="s">
        <v>40</v>
      </c>
      <c r="D6217">
        <v>4.7918139999999996</v>
      </c>
      <c r="E6217">
        <v>0.43250260000000001</v>
      </c>
      <c r="F6217" t="s">
        <v>77</v>
      </c>
      <c r="G6217">
        <v>-290.64679999999998</v>
      </c>
      <c r="H6217" s="1">
        <v>-1.038827E-5</v>
      </c>
      <c r="I6217">
        <v>-51.967640000000003</v>
      </c>
      <c r="J6217">
        <v>-302.00420000000003</v>
      </c>
      <c r="K6217">
        <v>1.109553</v>
      </c>
      <c r="L6217">
        <v>-18.726230000000001</v>
      </c>
      <c r="M6217">
        <v>8.2999899999999999E-4</v>
      </c>
      <c r="N6217">
        <v>-7.2736659999999998E-3</v>
      </c>
      <c r="O6217">
        <v>-0.99997340000000001</v>
      </c>
      <c r="P6217">
        <v>0.15854699999999999</v>
      </c>
      <c r="Q6217">
        <v>0.1832927</v>
      </c>
      <c r="R6217">
        <v>-0.97018919999999997</v>
      </c>
      <c r="S6217">
        <v>0.99990840000000003</v>
      </c>
      <c r="T6217">
        <v>-9.7687360000000001E-2</v>
      </c>
      <c r="U6217">
        <v>-2.946777</v>
      </c>
      <c r="V6217">
        <v>-0.15759589999999901</v>
      </c>
      <c r="W6217">
        <v>0.19046650000000001</v>
      </c>
      <c r="X6217">
        <v>0.96896130000000003</v>
      </c>
      <c r="Y6217">
        <v>-0.32040449999999998</v>
      </c>
      <c r="Z6217">
        <v>2.4111589999999999E-2</v>
      </c>
      <c r="AA6217">
        <v>0.94697390000000004</v>
      </c>
      <c r="AB6217">
        <v>22</v>
      </c>
      <c r="AC6217">
        <v>11.3574</v>
      </c>
      <c r="AD6217">
        <v>-1.10956338827</v>
      </c>
      <c r="AE6217">
        <v>-33.241409999999902</v>
      </c>
      <c r="AF6217">
        <v>-11.3185126636159</v>
      </c>
      <c r="AG6217">
        <v>-1.10956338827</v>
      </c>
      <c r="AH6217">
        <v>33.217684488392798</v>
      </c>
      <c r="AI6217">
        <v>91.810959673090196</v>
      </c>
      <c r="AJ6217">
        <v>108.81590468468301</v>
      </c>
      <c r="AK6217">
        <v>35.110602709145198</v>
      </c>
      <c r="AL6217">
        <v>79.019989906584797</v>
      </c>
      <c r="AM6217">
        <v>99.237933511057193</v>
      </c>
      <c r="AN6217">
        <v>0.99999997810837404</v>
      </c>
    </row>
    <row r="6218" spans="1:40" x14ac:dyDescent="0.25">
      <c r="A6218" t="str">
        <f>"20190304155228356"</f>
        <v>20190304155228356</v>
      </c>
      <c r="B6218" t="str">
        <f>"1551685948353275"</f>
        <v>1551685948353275</v>
      </c>
      <c r="C6218" t="s">
        <v>40</v>
      </c>
      <c r="D6218">
        <v>4.6754689999999997</v>
      </c>
      <c r="E6218">
        <v>0.4331044</v>
      </c>
      <c r="F6218" t="s">
        <v>77</v>
      </c>
      <c r="G6218">
        <v>-290.50760000000002</v>
      </c>
      <c r="H6218" s="1">
        <v>-1.0369929999999999E-5</v>
      </c>
      <c r="I6218">
        <v>-52.657829999999997</v>
      </c>
      <c r="J6218">
        <v>-302.00459999999998</v>
      </c>
      <c r="K6218">
        <v>1.1095729999999999</v>
      </c>
      <c r="L6218">
        <v>-18.96246</v>
      </c>
      <c r="M6218">
        <v>3.434205E-4</v>
      </c>
      <c r="N6218">
        <v>-7.276055E-3</v>
      </c>
      <c r="O6218">
        <v>-0.99997349999999996</v>
      </c>
      <c r="P6218">
        <v>0.158253</v>
      </c>
      <c r="Q6218">
        <v>0.1837328</v>
      </c>
      <c r="R6218">
        <v>-0.97015390000000001</v>
      </c>
      <c r="S6218">
        <v>0.9985657</v>
      </c>
      <c r="T6218">
        <v>-9.6373559999999997E-2</v>
      </c>
      <c r="U6218">
        <v>-2.9472049999999999</v>
      </c>
      <c r="V6218">
        <v>-0.15778420000000001</v>
      </c>
      <c r="W6218">
        <v>0.1908995</v>
      </c>
      <c r="X6218">
        <v>0.96884550000000003</v>
      </c>
      <c r="Y6218">
        <v>-0.32044030000000001</v>
      </c>
      <c r="Z6218">
        <v>2.3684670000000001E-2</v>
      </c>
      <c r="AA6218">
        <v>0.94697260000000005</v>
      </c>
      <c r="AB6218">
        <v>23</v>
      </c>
      <c r="AC6218">
        <v>11.4969999999999</v>
      </c>
      <c r="AD6218">
        <v>-1.10958336993</v>
      </c>
      <c r="AE6218">
        <v>-33.695369999999997</v>
      </c>
      <c r="AF6218">
        <v>-11.4742824078987</v>
      </c>
      <c r="AG6218">
        <v>-1.10958336993</v>
      </c>
      <c r="AH6218">
        <v>33.666616165250304</v>
      </c>
      <c r="AI6218">
        <v>91.786813749468195</v>
      </c>
      <c r="AJ6218">
        <v>108.82017691702499</v>
      </c>
      <c r="AK6218">
        <v>35.585550101822697</v>
      </c>
      <c r="AL6218">
        <v>78.994717785639693</v>
      </c>
      <c r="AM6218">
        <v>99.249866962377595</v>
      </c>
      <c r="AN6218">
        <v>1.00000003787006</v>
      </c>
    </row>
    <row r="6219" spans="1:40" x14ac:dyDescent="0.25">
      <c r="A6219" t="str">
        <f>"20190304155228379"</f>
        <v>20190304155228379</v>
      </c>
      <c r="B6219" t="str">
        <f>"1551685948373771"</f>
        <v>1551685948373771</v>
      </c>
      <c r="C6219" t="s">
        <v>40</v>
      </c>
      <c r="D6219">
        <v>4.6650879999999999</v>
      </c>
      <c r="E6219">
        <v>0.43328680000000003</v>
      </c>
      <c r="F6219" t="s">
        <v>77</v>
      </c>
      <c r="G6219">
        <v>-291.15899999999999</v>
      </c>
      <c r="H6219" s="1">
        <v>-1.02861E-5</v>
      </c>
      <c r="I6219">
        <v>-51.177390000000003</v>
      </c>
      <c r="J6219">
        <v>-302.005</v>
      </c>
      <c r="K6219">
        <v>1.109607</v>
      </c>
      <c r="L6219">
        <v>-19.201750000000001</v>
      </c>
      <c r="M6219" s="1">
        <v>-7.9638800000000001E-5</v>
      </c>
      <c r="N6219">
        <v>-7.2785030000000004E-3</v>
      </c>
      <c r="O6219">
        <v>-0.99997369999999997</v>
      </c>
      <c r="P6219">
        <v>0.15761459999999999</v>
      </c>
      <c r="Q6219">
        <v>0.18334639999999999</v>
      </c>
      <c r="R6219">
        <v>-0.9703311</v>
      </c>
      <c r="S6219">
        <v>0.99301150000000005</v>
      </c>
      <c r="T6219">
        <v>-0.1015919</v>
      </c>
      <c r="U6219">
        <v>-2.949554</v>
      </c>
      <c r="V6219">
        <v>-0.1575744</v>
      </c>
      <c r="W6219">
        <v>0.19050110000000001</v>
      </c>
      <c r="X6219">
        <v>0.96895799999999999</v>
      </c>
      <c r="Y6219">
        <v>-0.3189959</v>
      </c>
      <c r="Z6219">
        <v>2.534964E-2</v>
      </c>
      <c r="AA6219">
        <v>0.94741699999999995</v>
      </c>
      <c r="AB6219">
        <v>23</v>
      </c>
      <c r="AC6219">
        <v>10.846</v>
      </c>
      <c r="AD6219">
        <v>-1.1096172861</v>
      </c>
      <c r="AE6219">
        <v>-31.975639999999999</v>
      </c>
      <c r="AF6219">
        <v>-10.836843056673199</v>
      </c>
      <c r="AG6219">
        <v>-1.1096172861</v>
      </c>
      <c r="AH6219">
        <v>31.940281531945502</v>
      </c>
      <c r="AI6219">
        <v>91.884260173734603</v>
      </c>
      <c r="AJ6219">
        <v>108.74127903073899</v>
      </c>
      <c r="AK6219">
        <v>33.7468517390366</v>
      </c>
      <c r="AL6219">
        <v>79.017970554494397</v>
      </c>
      <c r="AM6219">
        <v>99.236725866401201</v>
      </c>
      <c r="AN6219">
        <v>0.99999998320028405</v>
      </c>
    </row>
    <row r="6220" spans="1:40" x14ac:dyDescent="0.25">
      <c r="A6220" t="str">
        <f>"20190304155228401"</f>
        <v>20190304155228401</v>
      </c>
      <c r="B6220" t="str">
        <f>"1551685948393292"</f>
        <v>1551685948393292</v>
      </c>
      <c r="C6220" t="s">
        <v>40</v>
      </c>
      <c r="D6220">
        <v>4.7961910000000003</v>
      </c>
      <c r="E6220">
        <v>0.43325960000000002</v>
      </c>
      <c r="F6220" t="s">
        <v>77</v>
      </c>
      <c r="G6220">
        <v>-291.53320000000002</v>
      </c>
      <c r="H6220" s="1">
        <v>-1.023939E-5</v>
      </c>
      <c r="I6220">
        <v>-50.424810000000001</v>
      </c>
      <c r="J6220">
        <v>-302.00540000000001</v>
      </c>
      <c r="K6220">
        <v>1.1096539999999999</v>
      </c>
      <c r="L6220">
        <v>-19.42276</v>
      </c>
      <c r="M6220">
        <v>-3.818316E-4</v>
      </c>
      <c r="N6220">
        <v>-7.2809119999999996E-3</v>
      </c>
      <c r="O6220">
        <v>-0.99997340000000001</v>
      </c>
      <c r="P6220">
        <v>0.15671640000000001</v>
      </c>
      <c r="Q6220">
        <v>0.18182200000000001</v>
      </c>
      <c r="R6220">
        <v>-0.97076300000000004</v>
      </c>
      <c r="S6220">
        <v>0.98965449999999999</v>
      </c>
      <c r="T6220">
        <v>-0.1048658</v>
      </c>
      <c r="U6220">
        <v>-2.9507750000000001</v>
      </c>
      <c r="V6220">
        <v>-0.15699589999999999</v>
      </c>
      <c r="W6220">
        <v>0.18896089999999999</v>
      </c>
      <c r="X6220">
        <v>0.96935340000000003</v>
      </c>
      <c r="Y6220">
        <v>-0.31818540000000001</v>
      </c>
      <c r="Z6220">
        <v>2.6394669999999999E-2</v>
      </c>
      <c r="AA6220">
        <v>0.94766099999999998</v>
      </c>
      <c r="AB6220">
        <v>23</v>
      </c>
      <c r="AC6220">
        <v>10.4721999999999</v>
      </c>
      <c r="AD6220">
        <v>-1.10966423939</v>
      </c>
      <c r="AE6220">
        <v>-31.002050000000001</v>
      </c>
      <c r="AF6220">
        <v>-10.4719948905772</v>
      </c>
      <c r="AG6220">
        <v>-1.10966423939</v>
      </c>
      <c r="AH6220">
        <v>30.962443896987001</v>
      </c>
      <c r="AI6220">
        <v>91.944435758790306</v>
      </c>
      <c r="AJ6220">
        <v>108.68636111737599</v>
      </c>
      <c r="AK6220">
        <v>32.7042346460901</v>
      </c>
      <c r="AL6220">
        <v>79.1078499885936</v>
      </c>
      <c r="AM6220">
        <v>99.199706717593401</v>
      </c>
      <c r="AN6220">
        <v>0.99999997421858899</v>
      </c>
    </row>
    <row r="6221" spans="1:40" x14ac:dyDescent="0.25">
      <c r="A6221" t="str">
        <f>"20190304155228422"</f>
        <v>20190304155228422</v>
      </c>
      <c r="B6221" t="str">
        <f>"1551685948413788"</f>
        <v>1551685948413788</v>
      </c>
      <c r="C6221" t="s">
        <v>40</v>
      </c>
      <c r="D6221">
        <v>4.6875619999999998</v>
      </c>
      <c r="E6221">
        <v>0.43340869999999998</v>
      </c>
      <c r="F6221" t="s">
        <v>77</v>
      </c>
      <c r="G6221">
        <v>-291.96409999999997</v>
      </c>
      <c r="H6221" s="1">
        <v>-6.6169869999999998E-6</v>
      </c>
      <c r="I6221">
        <v>-49.44361</v>
      </c>
      <c r="J6221">
        <v>-302.00580000000002</v>
      </c>
      <c r="K6221">
        <v>1.1097170000000001</v>
      </c>
      <c r="L6221">
        <v>-19.638549999999999</v>
      </c>
      <c r="M6221">
        <v>-5.8261999999999995E-4</v>
      </c>
      <c r="N6221">
        <v>-7.2836910000000001E-3</v>
      </c>
      <c r="O6221">
        <v>-0.99997340000000001</v>
      </c>
      <c r="P6221">
        <v>0.15585479999999999</v>
      </c>
      <c r="Q6221">
        <v>0.1807656</v>
      </c>
      <c r="R6221">
        <v>-0.97109909999999999</v>
      </c>
      <c r="S6221">
        <v>0.98718260000000002</v>
      </c>
      <c r="T6221">
        <v>-0.1090932</v>
      </c>
      <c r="U6221">
        <v>-2.951416</v>
      </c>
      <c r="V6221">
        <v>-0.1563609</v>
      </c>
      <c r="W6221">
        <v>0.1878833</v>
      </c>
      <c r="X6221">
        <v>0.96966549999999996</v>
      </c>
      <c r="Y6221">
        <v>-0.31758700000000001</v>
      </c>
      <c r="Z6221">
        <v>2.774861E-2</v>
      </c>
      <c r="AA6221">
        <v>0.94782299999999997</v>
      </c>
      <c r="AB6221">
        <v>23</v>
      </c>
      <c r="AC6221">
        <v>10.041700000000001</v>
      </c>
      <c r="AD6221">
        <v>-1.109723616987</v>
      </c>
      <c r="AE6221">
        <v>-29.805059999999902</v>
      </c>
      <c r="AF6221">
        <v>-10.0465562151208</v>
      </c>
      <c r="AG6221">
        <v>-1.109723616987</v>
      </c>
      <c r="AH6221">
        <v>29.7621515944364</v>
      </c>
      <c r="AI6221">
        <v>92.023299372192298</v>
      </c>
      <c r="AJ6221">
        <v>108.65270150507899</v>
      </c>
      <c r="AK6221">
        <v>31.431679016875499</v>
      </c>
      <c r="AL6221">
        <v>79.170718551036501</v>
      </c>
      <c r="AM6221">
        <v>99.160229949992996</v>
      </c>
      <c r="AN6221">
        <v>1.0000000236789699</v>
      </c>
    </row>
    <row r="6222" spans="1:40" x14ac:dyDescent="0.25">
      <c r="A6222" t="str">
        <f>"20190304155228445"</f>
        <v>20190304155228445</v>
      </c>
      <c r="B6222" t="str">
        <f>"1551685948443067"</f>
        <v>1551685948443067</v>
      </c>
      <c r="C6222" t="s">
        <v>40</v>
      </c>
      <c r="D6222">
        <v>4.7589370000000004</v>
      </c>
      <c r="E6222">
        <v>0.43362509999999999</v>
      </c>
      <c r="F6222" t="s">
        <v>77</v>
      </c>
      <c r="G6222">
        <v>-292.34199999999998</v>
      </c>
      <c r="H6222" s="1">
        <v>-6.2560400000000002E-6</v>
      </c>
      <c r="I6222">
        <v>-48.645829999999997</v>
      </c>
      <c r="J6222">
        <v>-302.0061</v>
      </c>
      <c r="K6222">
        <v>1.1097999999999999</v>
      </c>
      <c r="L6222">
        <v>-19.887080000000001</v>
      </c>
      <c r="M6222">
        <v>-6.9202130000000001E-4</v>
      </c>
      <c r="N6222">
        <v>-7.2873649999999996E-3</v>
      </c>
      <c r="O6222">
        <v>-0.99997349999999996</v>
      </c>
      <c r="P6222">
        <v>0.15515429999999999</v>
      </c>
      <c r="Q6222">
        <v>0.1800457</v>
      </c>
      <c r="R6222">
        <v>-0.97134529999999997</v>
      </c>
      <c r="S6222">
        <v>0.98361209999999999</v>
      </c>
      <c r="T6222">
        <v>-0.1129512</v>
      </c>
      <c r="U6222">
        <v>-2.9524539999999999</v>
      </c>
      <c r="V6222">
        <v>-0.155807</v>
      </c>
      <c r="W6222">
        <v>0.18713479999999999</v>
      </c>
      <c r="X6222">
        <v>0.96989939999999997</v>
      </c>
      <c r="Y6222">
        <v>-0.31654660000000001</v>
      </c>
      <c r="Z6222">
        <v>2.8983350000000001E-2</v>
      </c>
      <c r="AA6222">
        <v>0.94813409999999998</v>
      </c>
      <c r="AB6222">
        <v>23</v>
      </c>
      <c r="AC6222">
        <v>9.6641000000000101</v>
      </c>
      <c r="AD6222">
        <v>-1.1098062560399999</v>
      </c>
      <c r="AE6222">
        <v>-28.758749999999999</v>
      </c>
      <c r="AF6222">
        <v>-9.6710590142187094</v>
      </c>
      <c r="AG6222">
        <v>-1.1098062560399999</v>
      </c>
      <c r="AH6222">
        <v>28.713633409182201</v>
      </c>
      <c r="AI6222">
        <v>92.097750539893497</v>
      </c>
      <c r="AJ6222">
        <v>108.61407604459001</v>
      </c>
      <c r="AK6222">
        <v>30.3188686454384</v>
      </c>
      <c r="AL6222">
        <v>79.214379141603999</v>
      </c>
      <c r="AM6222">
        <v>99.126163272736505</v>
      </c>
      <c r="AN6222">
        <v>1.00000005037019</v>
      </c>
    </row>
    <row r="6223" spans="1:40" x14ac:dyDescent="0.25">
      <c r="A6223" t="str">
        <f>"20190304155228471"</f>
        <v>20190304155228471</v>
      </c>
      <c r="B6223" t="str">
        <f>"1551685948463563"</f>
        <v>1551685948463563</v>
      </c>
      <c r="C6223" t="s">
        <v>40</v>
      </c>
      <c r="D6223">
        <v>4.7674529999999997</v>
      </c>
      <c r="E6223">
        <v>0.43363760000000001</v>
      </c>
      <c r="F6223" t="s">
        <v>77</v>
      </c>
      <c r="G6223">
        <v>-292.82459999999998</v>
      </c>
      <c r="H6223" s="1">
        <v>-5.7772999999999997E-6</v>
      </c>
      <c r="I6223">
        <v>-47.58</v>
      </c>
      <c r="J6223">
        <v>-302.00630000000001</v>
      </c>
      <c r="K6223">
        <v>1.1098889999999999</v>
      </c>
      <c r="L6223">
        <v>-20.135560000000002</v>
      </c>
      <c r="M6223">
        <v>-6.3702339999999896E-4</v>
      </c>
      <c r="N6223">
        <v>-7.2914499999999997E-3</v>
      </c>
      <c r="O6223">
        <v>-0.99997329999999995</v>
      </c>
      <c r="P6223">
        <v>0.15474309999999999</v>
      </c>
      <c r="Q6223">
        <v>0.17955160000000001</v>
      </c>
      <c r="R6223">
        <v>-0.97150199999999998</v>
      </c>
      <c r="S6223">
        <v>0.97940059999999995</v>
      </c>
      <c r="T6223">
        <v>-0.1183833</v>
      </c>
      <c r="U6223">
        <v>-2.9540099999999998</v>
      </c>
      <c r="V6223">
        <v>-0.1553862</v>
      </c>
      <c r="W6223">
        <v>0.18660969999999999</v>
      </c>
      <c r="X6223">
        <v>0.97006800000000004</v>
      </c>
      <c r="Y6223">
        <v>-0.31510890000000003</v>
      </c>
      <c r="Z6223">
        <v>3.0720069999999999E-2</v>
      </c>
      <c r="AA6223">
        <v>0.94855820000000002</v>
      </c>
      <c r="AB6223">
        <v>23</v>
      </c>
      <c r="AC6223">
        <v>9.1817000000000295</v>
      </c>
      <c r="AD6223">
        <v>-1.1098947773000001</v>
      </c>
      <c r="AE6223">
        <v>-27.44444</v>
      </c>
      <c r="AF6223">
        <v>-9.1856702980523792</v>
      </c>
      <c r="AG6223">
        <v>-1.1098947773000001</v>
      </c>
      <c r="AH6223">
        <v>27.3982856270494</v>
      </c>
      <c r="AI6223">
        <v>92.199564507239302</v>
      </c>
      <c r="AJ6223">
        <v>108.53446979354899</v>
      </c>
      <c r="AK6223">
        <v>28.9184104082949</v>
      </c>
      <c r="AL6223">
        <v>79.245003967025298</v>
      </c>
      <c r="AM6223">
        <v>99.100373207053806</v>
      </c>
      <c r="AN6223">
        <v>0.99999998795426503</v>
      </c>
    </row>
    <row r="6224" spans="1:40" x14ac:dyDescent="0.25">
      <c r="A6224" t="str">
        <f>"20190304155228488"</f>
        <v>20190304155228488</v>
      </c>
      <c r="B6224" t="str">
        <f>"1551685948483083"</f>
        <v>1551685948483083</v>
      </c>
      <c r="C6224" t="s">
        <v>40</v>
      </c>
      <c r="D6224">
        <v>4.763096</v>
      </c>
      <c r="E6224">
        <v>0.43346859999999998</v>
      </c>
      <c r="F6224" t="s">
        <v>77</v>
      </c>
      <c r="G6224">
        <v>-293.0532</v>
      </c>
      <c r="H6224" s="1">
        <v>-5.5892669999999997E-6</v>
      </c>
      <c r="I6224">
        <v>-47.177520000000001</v>
      </c>
      <c r="J6224">
        <v>-302.00630000000001</v>
      </c>
      <c r="K6224">
        <v>1.109969</v>
      </c>
      <c r="L6224">
        <v>-20.329989999999999</v>
      </c>
      <c r="M6224">
        <v>-4.7793219999999999E-4</v>
      </c>
      <c r="N6224">
        <v>-7.29489099999999E-3</v>
      </c>
      <c r="O6224">
        <v>-0.99997309999999995</v>
      </c>
      <c r="P6224">
        <v>0.15452829999999901</v>
      </c>
      <c r="Q6224">
        <v>0.1797221</v>
      </c>
      <c r="R6224">
        <v>-0.97150460000000005</v>
      </c>
      <c r="S6224">
        <v>0.97821040000000004</v>
      </c>
      <c r="T6224">
        <v>-0.1212665</v>
      </c>
      <c r="U6224">
        <v>-2.95459</v>
      </c>
      <c r="V6224">
        <v>-0.15505289999999999</v>
      </c>
      <c r="W6224">
        <v>0.18675449999999999</v>
      </c>
      <c r="X6224">
        <v>0.97009350000000005</v>
      </c>
      <c r="Y6224">
        <v>-0.31454789999999999</v>
      </c>
      <c r="Z6224">
        <v>3.1640149999999999E-2</v>
      </c>
      <c r="AA6224">
        <v>0.9487141</v>
      </c>
      <c r="AB6224">
        <v>23</v>
      </c>
      <c r="AC6224">
        <v>8.9530999999999992</v>
      </c>
      <c r="AD6224">
        <v>-1.1099745892670001</v>
      </c>
      <c r="AE6224">
        <v>-26.847529999999999</v>
      </c>
      <c r="AF6224">
        <v>-8.9521601215900404</v>
      </c>
      <c r="AG6224">
        <v>-1.1099745892670001</v>
      </c>
      <c r="AH6224">
        <v>26.802020120853001</v>
      </c>
      <c r="AI6224">
        <v>92.249457843426597</v>
      </c>
      <c r="AJ6224">
        <v>108.469868293391</v>
      </c>
      <c r="AK6224">
        <v>28.279347534729499</v>
      </c>
      <c r="AL6224">
        <v>79.236559449887807</v>
      </c>
      <c r="AM6224">
        <v>99.080943987245206</v>
      </c>
      <c r="AN6224">
        <v>1.0000000219054499</v>
      </c>
    </row>
    <row r="6225" spans="1:40" x14ac:dyDescent="0.25">
      <c r="A6225" t="str">
        <f>"20190304155228522"</f>
        <v>20190304155228522</v>
      </c>
      <c r="B6225" t="str">
        <f>"1551685948513339"</f>
        <v>1551685948513339</v>
      </c>
      <c r="C6225" t="s">
        <v>40</v>
      </c>
      <c r="D6225">
        <v>4.7596600000000002</v>
      </c>
      <c r="E6225">
        <v>0.43347059999999998</v>
      </c>
      <c r="F6225" t="s">
        <v>77</v>
      </c>
      <c r="G6225">
        <v>-292.94200000000001</v>
      </c>
      <c r="H6225" s="1">
        <v>-5.8004149999999998E-6</v>
      </c>
      <c r="I6225">
        <v>-47.68956</v>
      </c>
      <c r="J6225">
        <v>-302.00599999999997</v>
      </c>
      <c r="K6225">
        <v>1.1100969999999999</v>
      </c>
      <c r="L6225">
        <v>-20.67426</v>
      </c>
      <c r="M6225" s="1">
        <v>3.7859469999999997E-5</v>
      </c>
      <c r="N6225">
        <v>-7.3014200000000003E-3</v>
      </c>
      <c r="O6225">
        <v>-0.99997320000000001</v>
      </c>
      <c r="P6225">
        <v>0.15379949999999901</v>
      </c>
      <c r="Q6225">
        <v>0.18003769999999999</v>
      </c>
      <c r="R6225">
        <v>-0.97156160000000003</v>
      </c>
      <c r="S6225">
        <v>0.97882080000000005</v>
      </c>
      <c r="T6225">
        <v>-0.11986239999999999</v>
      </c>
      <c r="U6225">
        <v>-2.9544679999999999</v>
      </c>
      <c r="V6225">
        <v>-0.15387979999999901</v>
      </c>
      <c r="W6225">
        <v>0.18703040000000001</v>
      </c>
      <c r="X6225">
        <v>0.97022710000000001</v>
      </c>
      <c r="Y6225">
        <v>-0.31425160000000002</v>
      </c>
      <c r="Z6225">
        <v>3.11863E-2</v>
      </c>
      <c r="AA6225">
        <v>0.94882730000000004</v>
      </c>
      <c r="AB6225">
        <v>23</v>
      </c>
      <c r="AC6225">
        <v>9.0639999999999592</v>
      </c>
      <c r="AD6225">
        <v>-1.110102800415</v>
      </c>
      <c r="AE6225">
        <v>-27.0153</v>
      </c>
      <c r="AF6225">
        <v>-9.0492433413306692</v>
      </c>
      <c r="AG6225">
        <v>-1.110102800415</v>
      </c>
      <c r="AH6225">
        <v>26.974704226093699</v>
      </c>
      <c r="AI6225">
        <v>92.234348326663394</v>
      </c>
      <c r="AJ6225">
        <v>108.54513295058</v>
      </c>
      <c r="AK6225">
        <v>28.473773922038198</v>
      </c>
      <c r="AL6225">
        <v>79.220467720501503</v>
      </c>
      <c r="AM6225">
        <v>99.012150664650804</v>
      </c>
      <c r="AN6225">
        <v>0.99999999447330501</v>
      </c>
    </row>
    <row r="6226" spans="1:40" x14ac:dyDescent="0.25">
      <c r="A6226" t="str">
        <f>"20190304155228544"</f>
        <v>20190304155228544</v>
      </c>
      <c r="B6226" t="str">
        <f>"1551685948533835"</f>
        <v>1551685948533835</v>
      </c>
      <c r="C6226" t="s">
        <v>40</v>
      </c>
      <c r="D6226">
        <v>5.0140260000000003</v>
      </c>
      <c r="E6226">
        <v>0.43443280000000001</v>
      </c>
      <c r="F6226" t="s">
        <v>77</v>
      </c>
      <c r="G6226">
        <v>-292.92090000000002</v>
      </c>
      <c r="H6226" s="1">
        <v>-5.9777199999999899E-6</v>
      </c>
      <c r="I6226">
        <v>-48.149329999999999</v>
      </c>
      <c r="J6226">
        <v>-302.00549999999998</v>
      </c>
      <c r="K6226">
        <v>1.110179</v>
      </c>
      <c r="L6226">
        <v>-20.911190000000001</v>
      </c>
      <c r="M6226">
        <v>5.4079029999999997E-4</v>
      </c>
      <c r="N6226">
        <v>-7.3061189999999998E-3</v>
      </c>
      <c r="O6226">
        <v>-0.99997320000000001</v>
      </c>
      <c r="P6226">
        <v>0.15333910000000001</v>
      </c>
      <c r="Q6226">
        <v>0.18060300000000001</v>
      </c>
      <c r="R6226">
        <v>-0.9715298</v>
      </c>
      <c r="S6226">
        <v>0.97720340000000006</v>
      </c>
      <c r="T6226">
        <v>-0.1194043</v>
      </c>
      <c r="U6226">
        <v>-2.9552610000000001</v>
      </c>
      <c r="V6226">
        <v>-0.15296709999999999</v>
      </c>
      <c r="W6226">
        <v>0.1875723</v>
      </c>
      <c r="X6226">
        <v>0.97026679999999998</v>
      </c>
      <c r="Y6226">
        <v>-0.3132317</v>
      </c>
      <c r="Z6226">
        <v>3.1035360000000001E-2</v>
      </c>
      <c r="AA6226">
        <v>0.9491695</v>
      </c>
      <c r="AB6226">
        <v>23</v>
      </c>
      <c r="AC6226">
        <v>9.0845999999999592</v>
      </c>
      <c r="AD6226">
        <v>-1.1101849777199999</v>
      </c>
      <c r="AE6226">
        <v>-27.238140000000001</v>
      </c>
      <c r="AF6226">
        <v>-9.0563293447468105</v>
      </c>
      <c r="AG6226">
        <v>-1.1101849777199999</v>
      </c>
      <c r="AH6226">
        <v>27.202382651140201</v>
      </c>
      <c r="AI6226">
        <v>92.217525659264197</v>
      </c>
      <c r="AJ6226">
        <v>108.41384472921899</v>
      </c>
      <c r="AK6226">
        <v>28.691797325792098</v>
      </c>
      <c r="AL6226">
        <v>79.188859621809002</v>
      </c>
      <c r="AM6226">
        <v>98.9592063299648</v>
      </c>
      <c r="AN6226">
        <v>0.99999998229596898</v>
      </c>
    </row>
    <row r="6227" spans="1:40" x14ac:dyDescent="0.25">
      <c r="A6227" t="str">
        <f>"20190304155228567"</f>
        <v>20190304155228567</v>
      </c>
      <c r="B6227" t="str">
        <f>"1551685948563115"</f>
        <v>1551685948563115</v>
      </c>
      <c r="C6227" t="s">
        <v>40</v>
      </c>
      <c r="D6227">
        <v>4.7791360000000003</v>
      </c>
      <c r="E6227">
        <v>0.53509010000000001</v>
      </c>
      <c r="F6227" t="s">
        <v>77</v>
      </c>
      <c r="G6227">
        <v>-293.14170000000001</v>
      </c>
      <c r="H6227" s="1">
        <v>-5.8805090000000003E-6</v>
      </c>
      <c r="I6227">
        <v>-47.983600000000003</v>
      </c>
      <c r="J6227">
        <v>-302.00479999999999</v>
      </c>
      <c r="K6227">
        <v>1.110257</v>
      </c>
      <c r="L6227">
        <v>-21.151520000000001</v>
      </c>
      <c r="M6227">
        <v>1.1764589999999999E-3</v>
      </c>
      <c r="N6227">
        <v>-7.3111449999999998E-3</v>
      </c>
      <c r="O6227">
        <v>-0.99997259999999999</v>
      </c>
      <c r="P6227">
        <v>0.15252349999999901</v>
      </c>
      <c r="Q6227">
        <v>0.18125240000000001</v>
      </c>
      <c r="R6227">
        <v>-0.97153710000000004</v>
      </c>
      <c r="S6227">
        <v>0.96835329999999997</v>
      </c>
      <c r="T6227">
        <v>-0.1212857</v>
      </c>
      <c r="U6227">
        <v>-2.957611</v>
      </c>
      <c r="V6227">
        <v>-0.15156919999999999</v>
      </c>
      <c r="W6227">
        <v>0.1881999</v>
      </c>
      <c r="X6227">
        <v>0.97036460000000002</v>
      </c>
      <c r="Y6227">
        <v>-0.3098322</v>
      </c>
      <c r="Z6227">
        <v>3.1644899999999997E-2</v>
      </c>
      <c r="AA6227">
        <v>0.95026449999999996</v>
      </c>
      <c r="AB6227">
        <v>23</v>
      </c>
      <c r="AC6227">
        <v>8.8630999999999691</v>
      </c>
      <c r="AD6227">
        <v>-1.110262880509</v>
      </c>
      <c r="AE6227">
        <v>-26.832079999999898</v>
      </c>
      <c r="AF6227">
        <v>-8.8179137911962098</v>
      </c>
      <c r="AG6227">
        <v>-1.110262880509</v>
      </c>
      <c r="AH6227">
        <v>26.8011153649873</v>
      </c>
      <c r="AI6227">
        <v>92.253475251684605</v>
      </c>
      <c r="AJ6227">
        <v>108.21187460183501</v>
      </c>
      <c r="AK6227">
        <v>28.236289984701699</v>
      </c>
      <c r="AL6227">
        <v>79.1522483251577</v>
      </c>
      <c r="AM6227">
        <v>98.877761715709795</v>
      </c>
      <c r="AN6227">
        <v>0.99999994084090305</v>
      </c>
    </row>
    <row r="6228" spans="1:40" x14ac:dyDescent="0.25">
      <c r="A6228" t="str">
        <f>"20190304155228589"</f>
        <v>20190304155228589</v>
      </c>
      <c r="B6228" t="str">
        <f>"1551685948583611"</f>
        <v>1551685948583611</v>
      </c>
      <c r="C6228" t="s">
        <v>40</v>
      </c>
      <c r="D6228">
        <v>4.8612440000000001</v>
      </c>
      <c r="E6228">
        <v>0.54119240000000002</v>
      </c>
      <c r="F6228" t="s">
        <v>42</v>
      </c>
      <c r="G6228">
        <v>-297.73430000000002</v>
      </c>
      <c r="H6228">
        <v>-0.05</v>
      </c>
      <c r="I6228">
        <v>-96.452709999999996</v>
      </c>
      <c r="J6228">
        <v>-302.00380000000001</v>
      </c>
      <c r="K6228">
        <v>1.110325</v>
      </c>
      <c r="L6228">
        <v>-21.37726</v>
      </c>
      <c r="M6228">
        <v>1.8887120000000001E-3</v>
      </c>
      <c r="N6228">
        <v>-7.3162139999999997E-3</v>
      </c>
      <c r="O6228">
        <v>-0.99997130000000001</v>
      </c>
      <c r="P6228">
        <v>0.1516535</v>
      </c>
      <c r="Q6228">
        <v>0.181949</v>
      </c>
      <c r="R6228">
        <v>-0.97154280000000004</v>
      </c>
      <c r="S6228">
        <v>0.17407230000000001</v>
      </c>
      <c r="T6228">
        <v>-4.72939E-2</v>
      </c>
      <c r="U6228">
        <v>-3.0693969999999999</v>
      </c>
      <c r="V6228">
        <v>-0.1500397</v>
      </c>
      <c r="W6228">
        <v>0.18887889999999999</v>
      </c>
      <c r="X6228">
        <v>0.97047039999999996</v>
      </c>
      <c r="Y6228">
        <v>-5.4729010000000002E-2</v>
      </c>
      <c r="Z6228">
        <v>8.0670669999999903E-3</v>
      </c>
      <c r="AA6228">
        <v>0.99846860000000004</v>
      </c>
      <c r="AB6228">
        <v>23</v>
      </c>
      <c r="AC6228">
        <v>4.2694999999999901</v>
      </c>
      <c r="AD6228">
        <v>-1.1603250000000001</v>
      </c>
      <c r="AE6228">
        <v>-75.075449999999904</v>
      </c>
      <c r="AF6228">
        <v>-4.1267100908308603</v>
      </c>
      <c r="AG6228">
        <v>-1.1603250000000001</v>
      </c>
      <c r="AH6228">
        <v>75.065506992005297</v>
      </c>
      <c r="AI6228">
        <v>90.884243955425902</v>
      </c>
      <c r="AJ6228">
        <v>93.146655728653698</v>
      </c>
      <c r="AK6228">
        <v>75.187807723368195</v>
      </c>
      <c r="AL6228">
        <v>79.112634393922093</v>
      </c>
      <c r="AM6228">
        <v>98.788637944755394</v>
      </c>
      <c r="AN6228">
        <v>0.99999997385872896</v>
      </c>
    </row>
    <row r="6229" spans="1:40" x14ac:dyDescent="0.25">
      <c r="A6229" t="str">
        <f>"20190304155228611"</f>
        <v>20190304155228611</v>
      </c>
      <c r="B6229" t="str">
        <f>"1551685948603132"</f>
        <v>1551685948603132</v>
      </c>
      <c r="C6229" t="s">
        <v>40</v>
      </c>
      <c r="D6229">
        <v>4.8142870000000002</v>
      </c>
      <c r="E6229">
        <v>0.54383719999999902</v>
      </c>
      <c r="F6229" t="s">
        <v>101</v>
      </c>
      <c r="G6229">
        <v>-299.21510000000001</v>
      </c>
      <c r="H6229">
        <v>0.1967525</v>
      </c>
      <c r="I6229">
        <v>-90.976820000000004</v>
      </c>
      <c r="J6229">
        <v>-302.00259999999997</v>
      </c>
      <c r="K6229">
        <v>1.110384</v>
      </c>
      <c r="L6229">
        <v>-21.612760000000002</v>
      </c>
      <c r="M6229">
        <v>2.7146459999999998E-3</v>
      </c>
      <c r="N6229">
        <v>-7.3216169999999999E-3</v>
      </c>
      <c r="O6229">
        <v>-0.99996969999999996</v>
      </c>
      <c r="P6229">
        <v>0.151308</v>
      </c>
      <c r="Q6229">
        <v>0.18176639999999999</v>
      </c>
      <c r="R6229">
        <v>-0.97163129999999998</v>
      </c>
      <c r="S6229">
        <v>0.1232605</v>
      </c>
      <c r="T6229">
        <v>-4.0377969999999999E-2</v>
      </c>
      <c r="U6229">
        <v>-3.0762019999999999</v>
      </c>
      <c r="V6229">
        <v>-0.14892</v>
      </c>
      <c r="W6229">
        <v>0.1886813</v>
      </c>
      <c r="X6229">
        <v>0.97068129999999997</v>
      </c>
      <c r="Y6229">
        <v>-3.7320770000000003E-2</v>
      </c>
      <c r="Z6229">
        <v>5.7939410000000004E-3</v>
      </c>
      <c r="AA6229">
        <v>0.99928649999999997</v>
      </c>
      <c r="AB6229">
        <v>24</v>
      </c>
      <c r="AC6229">
        <v>2.7874999999999601</v>
      </c>
      <c r="AD6229">
        <v>-0.91363150000000004</v>
      </c>
      <c r="AE6229">
        <v>-69.364059999999995</v>
      </c>
      <c r="AF6229">
        <v>-2.5987357223445802</v>
      </c>
      <c r="AG6229">
        <v>-0.91363150000000004</v>
      </c>
      <c r="AH6229">
        <v>69.359357964080701</v>
      </c>
      <c r="AI6229">
        <v>90.754152070075406</v>
      </c>
      <c r="AJ6229">
        <v>92.1457374586154</v>
      </c>
      <c r="AK6229">
        <v>69.414038112343505</v>
      </c>
      <c r="AL6229">
        <v>79.124163545953905</v>
      </c>
      <c r="AM6229">
        <v>98.722197454621494</v>
      </c>
      <c r="AN6229">
        <v>0.99999999276968898</v>
      </c>
    </row>
    <row r="6230" spans="1:40" x14ac:dyDescent="0.25">
      <c r="A6230" t="str">
        <f>"20190304155228633"</f>
        <v>20190304155228633</v>
      </c>
      <c r="B6230" t="str">
        <f>"1551685948623628"</f>
        <v>1551685948623628</v>
      </c>
      <c r="C6230" t="s">
        <v>40</v>
      </c>
      <c r="D6230">
        <v>4.8176940000000004</v>
      </c>
      <c r="E6230">
        <v>0.54449599999999998</v>
      </c>
      <c r="F6230" t="s">
        <v>101</v>
      </c>
      <c r="G6230">
        <v>-299.70670000000001</v>
      </c>
      <c r="H6230">
        <v>5.7262420000000001E-2</v>
      </c>
      <c r="I6230">
        <v>-90.976820000000004</v>
      </c>
      <c r="J6230">
        <v>-302.00099999999998</v>
      </c>
      <c r="K6230">
        <v>1.1104350000000001</v>
      </c>
      <c r="L6230">
        <v>-21.847529999999999</v>
      </c>
      <c r="M6230">
        <v>3.592933E-3</v>
      </c>
      <c r="N6230">
        <v>-7.3267779999999999E-3</v>
      </c>
      <c r="O6230">
        <v>-0.99996689999999999</v>
      </c>
      <c r="P6230">
        <v>0.1509818</v>
      </c>
      <c r="Q6230">
        <v>0.18209040000000001</v>
      </c>
      <c r="R6230">
        <v>-0.97162119999999996</v>
      </c>
      <c r="S6230">
        <v>0.1019592</v>
      </c>
      <c r="T6230">
        <v>-4.676831E-2</v>
      </c>
      <c r="U6230">
        <v>-3.080444</v>
      </c>
      <c r="V6230">
        <v>-0.14776199999999901</v>
      </c>
      <c r="W6230">
        <v>0.188996</v>
      </c>
      <c r="X6230">
        <v>0.97079709999999997</v>
      </c>
      <c r="Y6230">
        <v>-2.948603E-2</v>
      </c>
      <c r="Z6230">
        <v>7.8470699999999994E-3</v>
      </c>
      <c r="AA6230">
        <v>0.99953440000000005</v>
      </c>
      <c r="AB6230">
        <v>24</v>
      </c>
      <c r="AC6230">
        <v>2.2942999999999598</v>
      </c>
      <c r="AD6230">
        <v>-1.05317258</v>
      </c>
      <c r="AE6230">
        <v>-69.129289999999997</v>
      </c>
      <c r="AF6230">
        <v>-2.0454274437735598</v>
      </c>
      <c r="AG6230">
        <v>-1.05317258</v>
      </c>
      <c r="AH6230">
        <v>69.121061922022193</v>
      </c>
      <c r="AI6230">
        <v>90.872545594168201</v>
      </c>
      <c r="AJ6230">
        <v>91.694999557718404</v>
      </c>
      <c r="AK6230">
        <v>69.159338828093397</v>
      </c>
      <c r="AL6230">
        <v>79.105802873446393</v>
      </c>
      <c r="AM6230">
        <v>98.654388031622403</v>
      </c>
      <c r="AN6230">
        <v>1.0000000530141999</v>
      </c>
    </row>
    <row r="6231" spans="1:40" x14ac:dyDescent="0.25">
      <c r="A6231" t="str">
        <f>"20190304155228655"</f>
        <v>20190304155228655</v>
      </c>
      <c r="B6231" t="str">
        <f>"1551685948652908"</f>
        <v>1551685948652908</v>
      </c>
      <c r="C6231" t="s">
        <v>40</v>
      </c>
      <c r="D6231">
        <v>4.819502</v>
      </c>
      <c r="E6231">
        <v>0.54562529999999998</v>
      </c>
      <c r="F6231" t="s">
        <v>42</v>
      </c>
      <c r="G6231">
        <v>-299.9581</v>
      </c>
      <c r="H6231">
        <v>-0.05</v>
      </c>
      <c r="I6231">
        <v>-87.197299999999998</v>
      </c>
      <c r="J6231">
        <v>-301.99919999999997</v>
      </c>
      <c r="K6231">
        <v>1.110465</v>
      </c>
      <c r="L6231">
        <v>-22.082609999999999</v>
      </c>
      <c r="M6231">
        <v>4.5077440000000002E-3</v>
      </c>
      <c r="N6231">
        <v>-7.3318150000000002E-3</v>
      </c>
      <c r="O6231">
        <v>-0.99996320000000005</v>
      </c>
      <c r="P6231">
        <v>0.15066170000000001</v>
      </c>
      <c r="Q6231">
        <v>0.1831786</v>
      </c>
      <c r="R6231">
        <v>-0.9714663</v>
      </c>
      <c r="S6231">
        <v>9.6374509999999997E-2</v>
      </c>
      <c r="T6231">
        <v>-5.474424E-2</v>
      </c>
      <c r="U6231">
        <v>-3.082916</v>
      </c>
      <c r="V6231">
        <v>-0.1465668</v>
      </c>
      <c r="W6231">
        <v>0.19008130000000001</v>
      </c>
      <c r="X6231">
        <v>0.97076640000000003</v>
      </c>
      <c r="Y6231">
        <v>-2.6735430000000001E-2</v>
      </c>
      <c r="Z6231">
        <v>1.0416099999999999E-2</v>
      </c>
      <c r="AA6231">
        <v>0.99958829999999999</v>
      </c>
      <c r="AB6231">
        <v>24</v>
      </c>
      <c r="AC6231">
        <v>2.0410999999999699</v>
      </c>
      <c r="AD6231">
        <v>-1.1604649999999901</v>
      </c>
      <c r="AE6231">
        <v>-65.114689999999996</v>
      </c>
      <c r="AF6231">
        <v>-1.7469967545193801</v>
      </c>
      <c r="AG6231">
        <v>-1.1604649999999901</v>
      </c>
      <c r="AH6231">
        <v>65.102571905441096</v>
      </c>
      <c r="AI6231">
        <v>91.020831976998394</v>
      </c>
      <c r="AJ6231">
        <v>91.537136280617105</v>
      </c>
      <c r="AK6231">
        <v>65.136345809230505</v>
      </c>
      <c r="AL6231">
        <v>79.042471915202697</v>
      </c>
      <c r="AM6231">
        <v>98.585700205821396</v>
      </c>
      <c r="AN6231">
        <v>1.00000006542044</v>
      </c>
    </row>
    <row r="6232" spans="1:40" x14ac:dyDescent="0.25">
      <c r="A6232" t="str">
        <f>"20190304155228678"</f>
        <v>20190304155228678</v>
      </c>
      <c r="B6232" t="str">
        <f>"1551685948673403"</f>
        <v>1551685948673403</v>
      </c>
      <c r="C6232" t="s">
        <v>40</v>
      </c>
      <c r="D6232">
        <v>4.8078419999999999</v>
      </c>
      <c r="E6232">
        <v>0.54597220000000002</v>
      </c>
      <c r="F6232" t="s">
        <v>77</v>
      </c>
      <c r="G6232">
        <v>-300.49880000000002</v>
      </c>
      <c r="H6232">
        <v>7.998653E-2</v>
      </c>
      <c r="I6232">
        <v>-75.038550000000001</v>
      </c>
      <c r="J6232">
        <v>-301.99709999999999</v>
      </c>
      <c r="K6232">
        <v>1.110479</v>
      </c>
      <c r="L6232">
        <v>-22.325710000000001</v>
      </c>
      <c r="M6232">
        <v>5.4728060000000002E-3</v>
      </c>
      <c r="N6232">
        <v>-7.3370789999999998E-3</v>
      </c>
      <c r="O6232">
        <v>-0.99995820000000002</v>
      </c>
      <c r="P6232">
        <v>0.15013570000000001</v>
      </c>
      <c r="Q6232">
        <v>0.18417700000000001</v>
      </c>
      <c r="R6232">
        <v>-0.97135910000000003</v>
      </c>
      <c r="S6232">
        <v>8.7432860000000001E-2</v>
      </c>
      <c r="T6232">
        <v>-6.0048579999999997E-2</v>
      </c>
      <c r="U6232">
        <v>-3.0858759999999998</v>
      </c>
      <c r="V6232">
        <v>-0.14510899999999999</v>
      </c>
      <c r="W6232">
        <v>0.19108349999999999</v>
      </c>
      <c r="X6232">
        <v>0.9707886</v>
      </c>
      <c r="Y6232">
        <v>-2.2846370000000001E-2</v>
      </c>
      <c r="Z6232">
        <v>1.2112960000000001E-2</v>
      </c>
      <c r="AA6232">
        <v>0.99966560000000004</v>
      </c>
      <c r="AB6232">
        <v>24</v>
      </c>
      <c r="AC6232">
        <v>1.49829999999997</v>
      </c>
      <c r="AD6232">
        <v>-1.03049247</v>
      </c>
      <c r="AE6232">
        <v>-52.71284</v>
      </c>
      <c r="AF6232">
        <v>-1.20932088154922</v>
      </c>
      <c r="AG6232">
        <v>-1.03049247</v>
      </c>
      <c r="AH6232">
        <v>52.700126500741398</v>
      </c>
      <c r="AI6232">
        <v>91.119917858497502</v>
      </c>
      <c r="AJ6232">
        <v>91.314547593994106</v>
      </c>
      <c r="AK6232">
        <v>52.724071399308897</v>
      </c>
      <c r="AL6232">
        <v>78.983977409590693</v>
      </c>
      <c r="AM6232">
        <v>98.501366567620707</v>
      </c>
      <c r="AN6232">
        <v>1.0000000158716</v>
      </c>
    </row>
    <row r="6233" spans="1:40" x14ac:dyDescent="0.25">
      <c r="A6233" t="str">
        <f>"20190304155228700"</f>
        <v>20190304155228700</v>
      </c>
      <c r="B6233" t="str">
        <f>"1551685948692924"</f>
        <v>1551685948692924</v>
      </c>
      <c r="C6233" t="s">
        <v>40</v>
      </c>
      <c r="D6233">
        <v>4.7969089999999897</v>
      </c>
      <c r="E6233">
        <v>0.54605409999999999</v>
      </c>
      <c r="F6233" t="s">
        <v>42</v>
      </c>
      <c r="G6233">
        <v>-300.37990000000002</v>
      </c>
      <c r="H6233">
        <v>-0.05</v>
      </c>
      <c r="I6233">
        <v>-82.289509999999893</v>
      </c>
      <c r="J6233">
        <v>-301.9948</v>
      </c>
      <c r="K6233">
        <v>1.1104780000000001</v>
      </c>
      <c r="L6233">
        <v>-22.561859999999999</v>
      </c>
      <c r="M6233">
        <v>6.4144769999999896E-3</v>
      </c>
      <c r="N6233">
        <v>-7.3422950000000004E-3</v>
      </c>
      <c r="O6233">
        <v>-0.99995250000000002</v>
      </c>
      <c r="P6233">
        <v>0.14963119999999999</v>
      </c>
      <c r="Q6233">
        <v>0.18466920000000001</v>
      </c>
      <c r="R6233">
        <v>-0.97134350000000003</v>
      </c>
      <c r="S6233">
        <v>8.3251950000000005E-2</v>
      </c>
      <c r="T6233">
        <v>-5.9741019999999999E-2</v>
      </c>
      <c r="U6233">
        <v>-3.0869140000000002</v>
      </c>
      <c r="V6233">
        <v>-0.14368909999999999</v>
      </c>
      <c r="W6233">
        <v>0.19158420000000001</v>
      </c>
      <c r="X6233">
        <v>0.97090109999999996</v>
      </c>
      <c r="Y6233">
        <v>-2.0542689999999999E-2</v>
      </c>
      <c r="Z6233">
        <v>1.200241E-2</v>
      </c>
      <c r="AA6233">
        <v>0.99971690000000002</v>
      </c>
      <c r="AB6233">
        <v>24</v>
      </c>
      <c r="AC6233">
        <v>1.61489999999997</v>
      </c>
      <c r="AD6233">
        <v>-1.1604779999999999</v>
      </c>
      <c r="AE6233">
        <v>-59.727649999999997</v>
      </c>
      <c r="AF6233">
        <v>-1.2312703498951501</v>
      </c>
      <c r="AG6233">
        <v>-1.1604779999999999</v>
      </c>
      <c r="AH6233">
        <v>59.714254200901799</v>
      </c>
      <c r="AI6233">
        <v>91.113101036843105</v>
      </c>
      <c r="AJ6233">
        <v>91.181235538401197</v>
      </c>
      <c r="AK6233">
        <v>59.738219680811902</v>
      </c>
      <c r="AL6233">
        <v>78.954749299948404</v>
      </c>
      <c r="AM6233">
        <v>98.418416709132899</v>
      </c>
      <c r="AN6233">
        <v>1.0000000045648201</v>
      </c>
    </row>
    <row r="6234" spans="1:40" x14ac:dyDescent="0.25">
      <c r="A6234" t="str">
        <f>"20190304155228723"</f>
        <v>20190304155228723</v>
      </c>
      <c r="B6234" t="str">
        <f>"1551685948713420"</f>
        <v>1551685948713420</v>
      </c>
      <c r="C6234" t="s">
        <v>40</v>
      </c>
      <c r="D6234">
        <v>4.8409009999999997</v>
      </c>
      <c r="E6234">
        <v>0.54613999999999996</v>
      </c>
      <c r="F6234" t="s">
        <v>77</v>
      </c>
      <c r="G6234">
        <v>-300.66149999999999</v>
      </c>
      <c r="H6234">
        <v>7.9986479999999999E-2</v>
      </c>
      <c r="I6234">
        <v>-73.338459999999998</v>
      </c>
      <c r="J6234">
        <v>-301.99220000000003</v>
      </c>
      <c r="K6234">
        <v>1.110466</v>
      </c>
      <c r="L6234">
        <v>-22.801120000000001</v>
      </c>
      <c r="M6234">
        <v>7.361561E-3</v>
      </c>
      <c r="N6234">
        <v>-7.3476699999999997E-3</v>
      </c>
      <c r="O6234">
        <v>-0.9999458</v>
      </c>
      <c r="P6234">
        <v>0.1486035</v>
      </c>
      <c r="Q6234">
        <v>0.18496840000000001</v>
      </c>
      <c r="R6234">
        <v>-0.97144419999999998</v>
      </c>
      <c r="S6234">
        <v>8.1085210000000005E-2</v>
      </c>
      <c r="T6234">
        <v>-6.2668199999999993E-2</v>
      </c>
      <c r="U6234">
        <v>-3.0879210000000001</v>
      </c>
      <c r="V6234">
        <v>-0.141737</v>
      </c>
      <c r="W6234">
        <v>0.19189639999999999</v>
      </c>
      <c r="X6234">
        <v>0.97112639999999995</v>
      </c>
      <c r="Y6234">
        <v>-1.8885740000000002E-2</v>
      </c>
      <c r="Z6234">
        <v>1.293832E-2</v>
      </c>
      <c r="AA6234">
        <v>0.99973789999999996</v>
      </c>
      <c r="AB6234">
        <v>24</v>
      </c>
      <c r="AC6234">
        <v>1.33070000000003</v>
      </c>
      <c r="AD6234">
        <v>-1.0304795200000001</v>
      </c>
      <c r="AE6234">
        <v>-50.53734</v>
      </c>
      <c r="AF6234">
        <v>-0.95822202128407796</v>
      </c>
      <c r="AG6234">
        <v>-1.0304795200000001</v>
      </c>
      <c r="AH6234">
        <v>50.524774656566102</v>
      </c>
      <c r="AI6234">
        <v>91.168205737557699</v>
      </c>
      <c r="AJ6234">
        <v>91.086506509859305</v>
      </c>
      <c r="AK6234">
        <v>50.544365972677902</v>
      </c>
      <c r="AL6234">
        <v>78.936523843073005</v>
      </c>
      <c r="AM6234">
        <v>98.303753823513802</v>
      </c>
      <c r="AN6234">
        <v>1.00000004513945</v>
      </c>
    </row>
    <row r="6235" spans="1:40" x14ac:dyDescent="0.25">
      <c r="A6235" t="str">
        <f>"20190304155228745"</f>
        <v>20190304155228745</v>
      </c>
      <c r="B6235" t="str">
        <f>"1551685948732940"</f>
        <v>1551685948732940</v>
      </c>
      <c r="C6235" t="s">
        <v>40</v>
      </c>
      <c r="D6235">
        <v>4.8559869999999998</v>
      </c>
      <c r="E6235">
        <v>0.54606169999999998</v>
      </c>
      <c r="F6235" t="s">
        <v>77</v>
      </c>
      <c r="G6235">
        <v>-300.75040000000001</v>
      </c>
      <c r="H6235">
        <v>7.9986479999999999E-2</v>
      </c>
      <c r="I6235">
        <v>-71.974869999999996</v>
      </c>
      <c r="J6235">
        <v>-301.98950000000002</v>
      </c>
      <c r="K6235">
        <v>1.1104430000000001</v>
      </c>
      <c r="L6235">
        <v>-23.04288</v>
      </c>
      <c r="M6235">
        <v>8.3038820000000003E-3</v>
      </c>
      <c r="N6235">
        <v>-7.3531780000000001E-3</v>
      </c>
      <c r="O6235">
        <v>-0.99993880000000002</v>
      </c>
      <c r="P6235">
        <v>0.1477357</v>
      </c>
      <c r="Q6235">
        <v>0.18354190000000001</v>
      </c>
      <c r="R6235">
        <v>-0.97184729999999997</v>
      </c>
      <c r="S6235">
        <v>7.8002929999999998E-2</v>
      </c>
      <c r="T6235">
        <v>-6.4724210000000004E-2</v>
      </c>
      <c r="U6235">
        <v>-3.0885929999999999</v>
      </c>
      <c r="V6235">
        <v>-0.13994309999999999</v>
      </c>
      <c r="W6235">
        <v>0.1904843</v>
      </c>
      <c r="X6235">
        <v>0.97166439999999998</v>
      </c>
      <c r="Y6235">
        <v>-1.69407E-2</v>
      </c>
      <c r="Z6235">
        <v>1.359401E-2</v>
      </c>
      <c r="AA6235">
        <v>0.99976410000000004</v>
      </c>
      <c r="AB6235">
        <v>24</v>
      </c>
      <c r="AC6235">
        <v>1.2391000000000001</v>
      </c>
      <c r="AD6235">
        <v>-1.03045652</v>
      </c>
      <c r="AE6235">
        <v>-48.931989999999999</v>
      </c>
      <c r="AF6235">
        <v>-0.83235205289414704</v>
      </c>
      <c r="AG6235">
        <v>-1.03045652</v>
      </c>
      <c r="AH6235">
        <v>48.918911822786598</v>
      </c>
      <c r="AI6235">
        <v>91.206558700510499</v>
      </c>
      <c r="AJ6235">
        <v>90.974789840686299</v>
      </c>
      <c r="AK6235">
        <v>48.936842813008901</v>
      </c>
      <c r="AL6235">
        <v>79.018951520897105</v>
      </c>
      <c r="AM6235">
        <v>98.195616643681007</v>
      </c>
      <c r="AN6235">
        <v>1.00000002300572</v>
      </c>
    </row>
    <row r="6236" spans="1:40" x14ac:dyDescent="0.25">
      <c r="A6236" t="str">
        <f>"20190304155228771"</f>
        <v>20190304155228771</v>
      </c>
      <c r="B6236" t="str">
        <f>"1551685948763195"</f>
        <v>1551685948763195</v>
      </c>
      <c r="C6236" t="s">
        <v>40</v>
      </c>
      <c r="D6236">
        <v>4.8352180000000002</v>
      </c>
      <c r="E6236">
        <v>0.54627539999999997</v>
      </c>
      <c r="F6236" t="s">
        <v>77</v>
      </c>
      <c r="G6236">
        <v>-300.82010000000002</v>
      </c>
      <c r="H6236" s="1">
        <v>-9.936038E-6</v>
      </c>
      <c r="I6236">
        <v>-70.239639999999994</v>
      </c>
      <c r="J6236">
        <v>-301.98610000000002</v>
      </c>
      <c r="K6236">
        <v>1.1104339999999999</v>
      </c>
      <c r="L6236">
        <v>-23.310210000000001</v>
      </c>
      <c r="M6236">
        <v>9.3218889999999999E-3</v>
      </c>
      <c r="N6236">
        <v>-7.3593449999999998E-3</v>
      </c>
      <c r="O6236">
        <v>-0.99992950000000003</v>
      </c>
      <c r="P6236">
        <v>0.14699289999999901</v>
      </c>
      <c r="Q6236">
        <v>0.1826189</v>
      </c>
      <c r="R6236">
        <v>-0.97213360000000004</v>
      </c>
      <c r="S6236">
        <v>7.6538090000000003E-2</v>
      </c>
      <c r="T6236">
        <v>-7.2678209999999993E-2</v>
      </c>
      <c r="U6236">
        <v>-3.0889890000000002</v>
      </c>
      <c r="V6236">
        <v>-0.1382014</v>
      </c>
      <c r="W6236">
        <v>0.18957660000000001</v>
      </c>
      <c r="X6236">
        <v>0.97209109999999999</v>
      </c>
      <c r="Y6236">
        <v>-1.544476E-2</v>
      </c>
      <c r="Z6236">
        <v>1.6157999999999999E-2</v>
      </c>
      <c r="AA6236">
        <v>0.99975009999999997</v>
      </c>
      <c r="AB6236">
        <v>24</v>
      </c>
      <c r="AC6236">
        <v>1.1659999999999899</v>
      </c>
      <c r="AD6236">
        <v>-1.1104439360379901</v>
      </c>
      <c r="AE6236">
        <v>-46.929430000000004</v>
      </c>
      <c r="AF6236">
        <v>-0.72805918247530599</v>
      </c>
      <c r="AG6236">
        <v>-1.1104439360379901</v>
      </c>
      <c r="AH6236">
        <v>46.912011072194602</v>
      </c>
      <c r="AI6236">
        <v>91.355819415855606</v>
      </c>
      <c r="AJ6236">
        <v>90.889140516084893</v>
      </c>
      <c r="AK6236">
        <v>46.930799468429903</v>
      </c>
      <c r="AL6236">
        <v>79.071924018994494</v>
      </c>
      <c r="AM6236">
        <v>98.091469931868104</v>
      </c>
      <c r="AN6236">
        <v>1.00000001046436</v>
      </c>
    </row>
    <row r="6237" spans="1:40" x14ac:dyDescent="0.25">
      <c r="A6237" t="str">
        <f>"20190304155228793"</f>
        <v>20190304155228793</v>
      </c>
      <c r="B6237" t="str">
        <f>"1551685948783692"</f>
        <v>1551685948783692</v>
      </c>
      <c r="C6237" t="s">
        <v>40</v>
      </c>
      <c r="D6237">
        <v>4.7729569999999999</v>
      </c>
      <c r="E6237">
        <v>0.54602969999999995</v>
      </c>
      <c r="F6237" t="s">
        <v>77</v>
      </c>
      <c r="G6237">
        <v>-300.98320000000001</v>
      </c>
      <c r="H6237" s="1">
        <v>-1.033928E-5</v>
      </c>
      <c r="I6237">
        <v>-65.609359999999995</v>
      </c>
      <c r="J6237">
        <v>-301.98270000000002</v>
      </c>
      <c r="K6237">
        <v>1.1104229999999999</v>
      </c>
      <c r="L6237">
        <v>-23.561920000000001</v>
      </c>
      <c r="M6237">
        <v>1.025504E-2</v>
      </c>
      <c r="N6237">
        <v>-7.3651589999999996E-3</v>
      </c>
      <c r="O6237">
        <v>-0.99992040000000004</v>
      </c>
      <c r="P6237">
        <v>0.14619070000000001</v>
      </c>
      <c r="Q6237">
        <v>0.18245140000000001</v>
      </c>
      <c r="R6237">
        <v>-0.97228619999999999</v>
      </c>
      <c r="S6237">
        <v>7.3272710000000005E-2</v>
      </c>
      <c r="T6237">
        <v>-8.1123109999999998E-2</v>
      </c>
      <c r="U6237">
        <v>-3.0901489999999998</v>
      </c>
      <c r="V6237">
        <v>-0.136484299999999</v>
      </c>
      <c r="W6237">
        <v>0.18942210000000001</v>
      </c>
      <c r="X6237">
        <v>0.9723638</v>
      </c>
      <c r="Y6237">
        <v>-1.3445479999999999E-2</v>
      </c>
      <c r="Z6237">
        <v>1.8873750000000002E-2</v>
      </c>
      <c r="AA6237">
        <v>0.9997315</v>
      </c>
      <c r="AB6237">
        <v>24</v>
      </c>
      <c r="AC6237">
        <v>0.99950000000001105</v>
      </c>
      <c r="AD6237">
        <v>-1.1104333392800001</v>
      </c>
      <c r="AE6237">
        <v>-42.047440000000002</v>
      </c>
      <c r="AF6237">
        <v>-0.56784180019571595</v>
      </c>
      <c r="AG6237">
        <v>-1.1104333392800001</v>
      </c>
      <c r="AH6237">
        <v>42.026184911256202</v>
      </c>
      <c r="AI6237">
        <v>91.513402686145</v>
      </c>
      <c r="AJ6237">
        <v>90.774111639366296</v>
      </c>
      <c r="AK6237">
        <v>42.044687235204002</v>
      </c>
      <c r="AL6237">
        <v>79.080939762991306</v>
      </c>
      <c r="AM6237">
        <v>97.9900310439061</v>
      </c>
      <c r="AN6237">
        <v>1.00000002783266</v>
      </c>
    </row>
    <row r="6238" spans="1:40" x14ac:dyDescent="0.25">
      <c r="A6238" t="str">
        <f>"20190304155228813"</f>
        <v>20190304155228813</v>
      </c>
      <c r="B6238" t="str">
        <f>"1551685948803212"</f>
        <v>1551685948803212</v>
      </c>
      <c r="C6238" t="s">
        <v>40</v>
      </c>
      <c r="D6238">
        <v>4.809723</v>
      </c>
      <c r="E6238">
        <v>0.54578859999999996</v>
      </c>
      <c r="F6238" t="s">
        <v>77</v>
      </c>
      <c r="G6238">
        <v>-301.02850000000001</v>
      </c>
      <c r="H6238" s="1">
        <v>-1.0482369999999999E-5</v>
      </c>
      <c r="I6238">
        <v>-64.012069999999994</v>
      </c>
      <c r="J6238">
        <v>-301.97969999999998</v>
      </c>
      <c r="K6238">
        <v>1.110414</v>
      </c>
      <c r="L6238">
        <v>-23.775539999999999</v>
      </c>
      <c r="M6238">
        <v>1.103034E-2</v>
      </c>
      <c r="N6238">
        <v>-7.3700969999999999E-3</v>
      </c>
      <c r="O6238">
        <v>-0.99991229999999998</v>
      </c>
      <c r="P6238">
        <v>0.14556040000000001</v>
      </c>
      <c r="Q6238">
        <v>0.18276239999999999</v>
      </c>
      <c r="R6238">
        <v>-0.97232240000000003</v>
      </c>
      <c r="S6238">
        <v>7.2906490000000004E-2</v>
      </c>
      <c r="T6238">
        <v>-8.4839699999999907E-2</v>
      </c>
      <c r="U6238">
        <v>-3.0904850000000001</v>
      </c>
      <c r="V6238">
        <v>-0.1350943</v>
      </c>
      <c r="W6238">
        <v>0.18974469999999999</v>
      </c>
      <c r="X6238">
        <v>0.972495</v>
      </c>
      <c r="Y6238">
        <v>-1.2548709999999999E-2</v>
      </c>
      <c r="Z6238">
        <v>2.0067069999999999E-2</v>
      </c>
      <c r="AA6238">
        <v>0.99971989999999999</v>
      </c>
      <c r="AB6238">
        <v>24</v>
      </c>
      <c r="AC6238">
        <v>0.95119999999997096</v>
      </c>
      <c r="AD6238">
        <v>-1.11042448237</v>
      </c>
      <c r="AE6238">
        <v>-40.236530000000002</v>
      </c>
      <c r="AF6238">
        <v>-0.50692173598442103</v>
      </c>
      <c r="AG6238">
        <v>-1.11042448237</v>
      </c>
      <c r="AH6238">
        <v>40.213963819358902</v>
      </c>
      <c r="AI6238">
        <v>91.581575579040702</v>
      </c>
      <c r="AJ6238">
        <v>90.722210272248702</v>
      </c>
      <c r="AK6238">
        <v>40.232485608549801</v>
      </c>
      <c r="AL6238">
        <v>79.062114693169406</v>
      </c>
      <c r="AM6238">
        <v>97.908639520318403</v>
      </c>
      <c r="AN6238">
        <v>1.0000000230477799</v>
      </c>
    </row>
    <row r="6239" spans="1:40" x14ac:dyDescent="0.25">
      <c r="A6239" t="str">
        <f>"20190304155228845"</f>
        <v>20190304155228845</v>
      </c>
      <c r="B6239" t="str">
        <f>"1551685948842759"</f>
        <v>1551685948842759</v>
      </c>
      <c r="C6239" t="s">
        <v>40</v>
      </c>
      <c r="D6239">
        <v>4.8401870000000002</v>
      </c>
      <c r="E6239">
        <v>0.54580709999999999</v>
      </c>
      <c r="F6239" t="s">
        <v>77</v>
      </c>
      <c r="G6239">
        <v>-301.0172</v>
      </c>
      <c r="H6239" s="1">
        <v>-1.047415E-5</v>
      </c>
      <c r="I6239">
        <v>-64.135559999999998</v>
      </c>
      <c r="J6239">
        <v>-301.9742</v>
      </c>
      <c r="K6239">
        <v>1.1103780000000001</v>
      </c>
      <c r="L6239">
        <v>-24.135860000000001</v>
      </c>
      <c r="M6239">
        <v>1.228508E-2</v>
      </c>
      <c r="N6239">
        <v>-7.3784380000000002E-3</v>
      </c>
      <c r="O6239">
        <v>-0.99989760000000005</v>
      </c>
      <c r="P6239">
        <v>0.14548539999999999</v>
      </c>
      <c r="Q6239">
        <v>0.18230199999999999</v>
      </c>
      <c r="R6239">
        <v>-0.97242019999999996</v>
      </c>
      <c r="S6239">
        <v>7.369995E-2</v>
      </c>
      <c r="T6239">
        <v>-8.5025069999999994E-2</v>
      </c>
      <c r="U6239">
        <v>-3.090363</v>
      </c>
      <c r="V6239">
        <v>-0.13378229999999999</v>
      </c>
      <c r="W6239">
        <v>0.189305</v>
      </c>
      <c r="X6239">
        <v>0.97276200000000002</v>
      </c>
      <c r="Y6239">
        <v>-1.1551519999999999E-2</v>
      </c>
      <c r="Z6239">
        <v>2.011932E-2</v>
      </c>
      <c r="AA6239">
        <v>0.99973080000000003</v>
      </c>
      <c r="AB6239">
        <v>24</v>
      </c>
      <c r="AC6239">
        <v>0.95699999999999297</v>
      </c>
      <c r="AD6239">
        <v>-1.1103884741500001</v>
      </c>
      <c r="AE6239">
        <v>-39.999699999999997</v>
      </c>
      <c r="AF6239">
        <v>-0.465156775818727</v>
      </c>
      <c r="AG6239">
        <v>-1.1103884741500001</v>
      </c>
      <c r="AH6239">
        <v>39.977648742705199</v>
      </c>
      <c r="AI6239">
        <v>91.590886898660301</v>
      </c>
      <c r="AJ6239">
        <v>90.666630436782697</v>
      </c>
      <c r="AK6239">
        <v>39.995771431299303</v>
      </c>
      <c r="AL6239">
        <v>79.087772394587105</v>
      </c>
      <c r="AM6239">
        <v>97.830667646706203</v>
      </c>
      <c r="AN6239">
        <v>0.99999999773114501</v>
      </c>
    </row>
    <row r="6240" spans="1:40" x14ac:dyDescent="0.25">
      <c r="A6240" t="str">
        <f>"20190304155228869"</f>
        <v>20190304155228869</v>
      </c>
      <c r="B6240" t="str">
        <f>"1551685948863254"</f>
        <v>1551685948863254</v>
      </c>
      <c r="C6240" t="s">
        <v>40</v>
      </c>
      <c r="D6240">
        <v>4.7960649999999996</v>
      </c>
      <c r="E6240">
        <v>0.54563660000000003</v>
      </c>
      <c r="F6240" t="s">
        <v>77</v>
      </c>
      <c r="G6240">
        <v>-301.07929999999999</v>
      </c>
      <c r="H6240" s="1">
        <v>-1.0705540000000001E-5</v>
      </c>
      <c r="I6240">
        <v>-61.592869999999998</v>
      </c>
      <c r="J6240">
        <v>-301.97019999999998</v>
      </c>
      <c r="K6240">
        <v>1.1103479999999999</v>
      </c>
      <c r="L6240">
        <v>-24.388210000000001</v>
      </c>
      <c r="M6240">
        <v>1.30972E-2</v>
      </c>
      <c r="N6240">
        <v>-7.3841449999999999E-3</v>
      </c>
      <c r="O6240">
        <v>-0.99988719999999998</v>
      </c>
      <c r="P6240">
        <v>0.14637620000000001</v>
      </c>
      <c r="Q6240">
        <v>0.18161820000000001</v>
      </c>
      <c r="R6240">
        <v>-0.97241440000000001</v>
      </c>
      <c r="S6240">
        <v>7.3852539999999994E-2</v>
      </c>
      <c r="T6240">
        <v>-9.1637129999999997E-2</v>
      </c>
      <c r="U6240">
        <v>-3.0912169999999999</v>
      </c>
      <c r="V6240">
        <v>-0.13386419999999999</v>
      </c>
      <c r="W6240">
        <v>0.18863920000000001</v>
      </c>
      <c r="X6240">
        <v>0.97288010000000003</v>
      </c>
      <c r="Y6240">
        <v>-1.078103E-2</v>
      </c>
      <c r="Z6240">
        <v>2.224189E-2</v>
      </c>
      <c r="AA6240">
        <v>0.99969450000000004</v>
      </c>
      <c r="AB6240">
        <v>24</v>
      </c>
      <c r="AC6240">
        <v>0.89089999999998704</v>
      </c>
      <c r="AD6240">
        <v>-1.1103587055399999</v>
      </c>
      <c r="AE6240">
        <v>-37.204659999999997</v>
      </c>
      <c r="AF6240">
        <v>-0.40317463705414902</v>
      </c>
      <c r="AG6240">
        <v>-1.1103587055399999</v>
      </c>
      <c r="AH6240">
        <v>37.180040000816099</v>
      </c>
      <c r="AI6240">
        <v>91.710493787080296</v>
      </c>
      <c r="AJ6240">
        <v>90.621282272152996</v>
      </c>
      <c r="AK6240">
        <v>37.198801334252998</v>
      </c>
      <c r="AL6240">
        <v>79.126620220917104</v>
      </c>
      <c r="AM6240">
        <v>97.834462621146898</v>
      </c>
      <c r="AN6240">
        <v>1.0000000303971399</v>
      </c>
    </row>
    <row r="6241" spans="1:40" x14ac:dyDescent="0.25">
      <c r="A6241" t="str">
        <f>"20190304155228890"</f>
        <v>20190304155228890</v>
      </c>
      <c r="B6241" t="str">
        <f>"1551685948882775"</f>
        <v>1551685948882775</v>
      </c>
      <c r="C6241" t="s">
        <v>40</v>
      </c>
      <c r="D6241">
        <v>4.8057689999999997</v>
      </c>
      <c r="E6241">
        <v>0.54557060000000002</v>
      </c>
      <c r="F6241" t="s">
        <v>77</v>
      </c>
      <c r="G6241">
        <v>-301.05869999999999</v>
      </c>
      <c r="H6241" s="1">
        <v>-1.0828850000000001E-5</v>
      </c>
      <c r="I6241">
        <v>-60.551020000000001</v>
      </c>
      <c r="J6241">
        <v>-301.96620000000001</v>
      </c>
      <c r="K6241">
        <v>1.1102970000000001</v>
      </c>
      <c r="L6241">
        <v>-24.63278</v>
      </c>
      <c r="M6241">
        <v>1.3798E-2</v>
      </c>
      <c r="N6241">
        <v>-7.3896219999999898E-3</v>
      </c>
      <c r="O6241">
        <v>-0.99987760000000003</v>
      </c>
      <c r="P6241">
        <v>0.14748429999999901</v>
      </c>
      <c r="Q6241">
        <v>0.18177189999999999</v>
      </c>
      <c r="R6241">
        <v>-0.97221809999999997</v>
      </c>
      <c r="S6241">
        <v>7.7911380000000002E-2</v>
      </c>
      <c r="T6241">
        <v>-9.4910380000000003E-2</v>
      </c>
      <c r="U6241">
        <v>-3.0910950000000001</v>
      </c>
      <c r="V6241">
        <v>-0.13426779999999999</v>
      </c>
      <c r="W6241">
        <v>0.18881519999999999</v>
      </c>
      <c r="X6241">
        <v>0.9727903</v>
      </c>
      <c r="Y6241">
        <v>-1.1392269999999999E-2</v>
      </c>
      <c r="Z6241">
        <v>2.329405E-2</v>
      </c>
      <c r="AA6241">
        <v>0.99966379999999999</v>
      </c>
      <c r="AB6241">
        <v>25</v>
      </c>
      <c r="AC6241">
        <v>0.90750000000002695</v>
      </c>
      <c r="AD6241">
        <v>-1.1103078288499999</v>
      </c>
      <c r="AE6241">
        <v>-35.918239999999997</v>
      </c>
      <c r="AF6241">
        <v>-0.41140737513929998</v>
      </c>
      <c r="AG6241">
        <v>-1.1103078288499999</v>
      </c>
      <c r="AH6241">
        <v>35.893066533931503</v>
      </c>
      <c r="AI6241">
        <v>91.771693102405195</v>
      </c>
      <c r="AJ6241">
        <v>90.656697137805196</v>
      </c>
      <c r="AK6241">
        <v>35.912592007711702</v>
      </c>
      <c r="AL6241">
        <v>79.116351240990795</v>
      </c>
      <c r="AM6241">
        <v>97.858505160808704</v>
      </c>
      <c r="AN6241">
        <v>0.99999999482098501</v>
      </c>
    </row>
    <row r="6242" spans="1:40" x14ac:dyDescent="0.25">
      <c r="A6242" t="str">
        <f>"20190304155228913"</f>
        <v>20190304155228913</v>
      </c>
      <c r="B6242" t="str">
        <f>"1551685948903271"</f>
        <v>1551685948903271</v>
      </c>
      <c r="C6242" t="s">
        <v>40</v>
      </c>
      <c r="D6242">
        <v>4.8306430000000002</v>
      </c>
      <c r="E6242">
        <v>0.54549340000000002</v>
      </c>
      <c r="F6242" t="s">
        <v>77</v>
      </c>
      <c r="G6242">
        <v>-301.012</v>
      </c>
      <c r="H6242" s="1">
        <v>-1.0800010000000001E-5</v>
      </c>
      <c r="I6242">
        <v>-60.953299999999999</v>
      </c>
      <c r="J6242">
        <v>-301.96210000000002</v>
      </c>
      <c r="K6242">
        <v>1.1102339999999999</v>
      </c>
      <c r="L6242">
        <v>-24.877559999999999</v>
      </c>
      <c r="M6242">
        <v>1.442068E-2</v>
      </c>
      <c r="N6242">
        <v>-7.3952030000000004E-3</v>
      </c>
      <c r="O6242">
        <v>-0.9998688</v>
      </c>
      <c r="P6242">
        <v>0.14858959999999999</v>
      </c>
      <c r="Q6242">
        <v>0.18135570000000001</v>
      </c>
      <c r="R6242">
        <v>-0.97212739999999997</v>
      </c>
      <c r="S6242">
        <v>8.1207280000000007E-2</v>
      </c>
      <c r="T6242">
        <v>-9.4493869999999994E-2</v>
      </c>
      <c r="U6242">
        <v>-3.0910950000000001</v>
      </c>
      <c r="V6242">
        <v>-0.1347392</v>
      </c>
      <c r="W6242">
        <v>0.1884238</v>
      </c>
      <c r="X6242">
        <v>0.97280100000000003</v>
      </c>
      <c r="Y6242">
        <v>-1.183477E-2</v>
      </c>
      <c r="Z6242">
        <v>2.3153150000000001E-2</v>
      </c>
      <c r="AA6242">
        <v>0.99966189999999999</v>
      </c>
      <c r="AB6242">
        <v>25</v>
      </c>
      <c r="AC6242">
        <v>0.95010000000002004</v>
      </c>
      <c r="AD6242">
        <v>-1.11024480001</v>
      </c>
      <c r="AE6242">
        <v>-36.075740000000003</v>
      </c>
      <c r="AF6242">
        <v>-0.42934397941492303</v>
      </c>
      <c r="AG6242">
        <v>-1.11024480001</v>
      </c>
      <c r="AH6242">
        <v>36.051568326966098</v>
      </c>
      <c r="AI6242">
        <v>91.7637994551893</v>
      </c>
      <c r="AJ6242">
        <v>90.682312483159805</v>
      </c>
      <c r="AK6242">
        <v>36.071215097394699</v>
      </c>
      <c r="AL6242">
        <v>79.139186570457596</v>
      </c>
      <c r="AM6242">
        <v>97.885663382680903</v>
      </c>
      <c r="AN6242">
        <v>0.99999998301203896</v>
      </c>
    </row>
    <row r="6243" spans="1:40" x14ac:dyDescent="0.25">
      <c r="A6243" t="str">
        <f>"20190304155228935"</f>
        <v>20190304155228935</v>
      </c>
      <c r="B6243" t="str">
        <f>"1551685948933527"</f>
        <v>1551685948933527</v>
      </c>
      <c r="C6243" t="s">
        <v>40</v>
      </c>
      <c r="D6243">
        <v>4.7949970000000004</v>
      </c>
      <c r="E6243">
        <v>0.54541059999999997</v>
      </c>
      <c r="F6243" t="s">
        <v>77</v>
      </c>
      <c r="G6243">
        <v>-300.96850000000001</v>
      </c>
      <c r="H6243" s="1">
        <v>-1.0841930000000001E-5</v>
      </c>
      <c r="I6243">
        <v>-60.716450000000002</v>
      </c>
      <c r="J6243">
        <v>-301.9579</v>
      </c>
      <c r="K6243">
        <v>1.1101749999999999</v>
      </c>
      <c r="L6243">
        <v>-25.127109999999998</v>
      </c>
      <c r="M6243">
        <v>1.4958809999999999E-2</v>
      </c>
      <c r="N6243">
        <v>-7.4009749999999997E-3</v>
      </c>
      <c r="O6243">
        <v>-0.99986079999999999</v>
      </c>
      <c r="P6243">
        <v>0.1492425</v>
      </c>
      <c r="Q6243">
        <v>0.1809624</v>
      </c>
      <c r="R6243">
        <v>-0.97210079999999999</v>
      </c>
      <c r="S6243">
        <v>8.5693359999999996E-2</v>
      </c>
      <c r="T6243">
        <v>-9.5748899999999998E-2</v>
      </c>
      <c r="U6243">
        <v>-3.0907900000000001</v>
      </c>
      <c r="V6243">
        <v>-0.13483599999999901</v>
      </c>
      <c r="W6243">
        <v>0.18805849999999999</v>
      </c>
      <c r="X6243">
        <v>0.97285829999999995</v>
      </c>
      <c r="Y6243">
        <v>-1.274867E-2</v>
      </c>
      <c r="Z6243">
        <v>2.3554800000000001E-2</v>
      </c>
      <c r="AA6243">
        <v>0.99964120000000001</v>
      </c>
      <c r="AB6243">
        <v>25</v>
      </c>
      <c r="AC6243">
        <v>0.98939999999998895</v>
      </c>
      <c r="AD6243">
        <v>-1.1101858419299999</v>
      </c>
      <c r="AE6243">
        <v>-35.58934</v>
      </c>
      <c r="AF6243">
        <v>-0.45645674839806499</v>
      </c>
      <c r="AG6243">
        <v>-1.1101858419299999</v>
      </c>
      <c r="AH6243">
        <v>35.565576708606002</v>
      </c>
      <c r="AI6243">
        <v>91.787770317291603</v>
      </c>
      <c r="AJ6243">
        <v>90.735306771924897</v>
      </c>
      <c r="AK6243">
        <v>35.585827403371098</v>
      </c>
      <c r="AL6243">
        <v>79.160497987944694</v>
      </c>
      <c r="AM6243">
        <v>97.890798363808599</v>
      </c>
      <c r="AN6243">
        <v>1.0000000090985699</v>
      </c>
    </row>
    <row r="6244" spans="1:40" x14ac:dyDescent="0.25">
      <c r="A6244" t="str">
        <f>"20190304155228958"</f>
        <v>20190304155228958</v>
      </c>
      <c r="B6244" t="str">
        <f>"1551685948953046"</f>
        <v>1551685948953046</v>
      </c>
      <c r="C6244" t="s">
        <v>40</v>
      </c>
      <c r="D6244">
        <v>4.7877599999999996</v>
      </c>
      <c r="E6244">
        <v>0.54540619999999995</v>
      </c>
      <c r="F6244" t="s">
        <v>77</v>
      </c>
      <c r="G6244">
        <v>-300.94119999999998</v>
      </c>
      <c r="H6244" s="1">
        <v>-1.08775E-5</v>
      </c>
      <c r="I6244">
        <v>-60.48545</v>
      </c>
      <c r="J6244">
        <v>-301.95359999999999</v>
      </c>
      <c r="K6244">
        <v>1.1101000000000001</v>
      </c>
      <c r="L6244">
        <v>-25.379090000000001</v>
      </c>
      <c r="M6244">
        <v>1.538631E-2</v>
      </c>
      <c r="N6244">
        <v>-7.40690599999999E-3</v>
      </c>
      <c r="O6244">
        <v>-0.99985429999999997</v>
      </c>
      <c r="P6244">
        <v>0.1492076</v>
      </c>
      <c r="Q6244">
        <v>0.18025360000000001</v>
      </c>
      <c r="R6244">
        <v>-0.97223760000000004</v>
      </c>
      <c r="S6244">
        <v>8.8867189999999999E-2</v>
      </c>
      <c r="T6244">
        <v>-9.7036360000000002E-2</v>
      </c>
      <c r="U6244">
        <v>-3.0905149999999999</v>
      </c>
      <c r="V6244">
        <v>-0.134348</v>
      </c>
      <c r="W6244">
        <v>0.18738170000000001</v>
      </c>
      <c r="X6244">
        <v>0.97305640000000004</v>
      </c>
      <c r="Y6244">
        <v>-1.334898E-2</v>
      </c>
      <c r="Z6244">
        <v>2.396674E-2</v>
      </c>
      <c r="AA6244">
        <v>0.9996237</v>
      </c>
      <c r="AB6244">
        <v>25</v>
      </c>
      <c r="AC6244">
        <v>1.01240000000001</v>
      </c>
      <c r="AD6244">
        <v>-1.1101108774999999</v>
      </c>
      <c r="AE6244">
        <v>-35.106359999999903</v>
      </c>
      <c r="AF6244">
        <v>-0.47163685085970097</v>
      </c>
      <c r="AG6244">
        <v>-1.1101108774999999</v>
      </c>
      <c r="AH6244">
        <v>35.082731097953904</v>
      </c>
      <c r="AI6244">
        <v>91.812222410118594</v>
      </c>
      <c r="AJ6244">
        <v>90.770212934120195</v>
      </c>
      <c r="AK6244">
        <v>35.103458643996497</v>
      </c>
      <c r="AL6244">
        <v>79.199977760628798</v>
      </c>
      <c r="AM6244">
        <v>97.861017022521807</v>
      </c>
      <c r="AN6244">
        <v>1.0000000220899199</v>
      </c>
    </row>
    <row r="6245" spans="1:40" x14ac:dyDescent="0.25">
      <c r="A6245" t="str">
        <f>"20190304155228984"</f>
        <v>20190304155228984</v>
      </c>
      <c r="B6245" t="str">
        <f>"1551685948973542"</f>
        <v>1551685948973542</v>
      </c>
      <c r="C6245" t="s">
        <v>40</v>
      </c>
      <c r="D6245">
        <v>4.8140710000000002</v>
      </c>
      <c r="E6245">
        <v>0.54521660000000005</v>
      </c>
      <c r="F6245" t="s">
        <v>77</v>
      </c>
      <c r="G6245">
        <v>-300.95310000000001</v>
      </c>
      <c r="H6245" s="1">
        <v>-9.7708389999999997E-6</v>
      </c>
      <c r="I6245">
        <v>-60.12323</v>
      </c>
      <c r="J6245">
        <v>-301.94880000000001</v>
      </c>
      <c r="K6245">
        <v>1.110007</v>
      </c>
      <c r="L6245">
        <v>-25.662690000000001</v>
      </c>
      <c r="M6245">
        <v>1.5719529999999999E-2</v>
      </c>
      <c r="N6245">
        <v>-7.4136389999999996E-3</v>
      </c>
      <c r="O6245">
        <v>-0.99984910000000005</v>
      </c>
      <c r="P6245">
        <v>0.1487636</v>
      </c>
      <c r="Q6245">
        <v>0.1795244</v>
      </c>
      <c r="R6245">
        <v>-0.97244059999999999</v>
      </c>
      <c r="S6245">
        <v>8.8989260000000001E-2</v>
      </c>
      <c r="T6245">
        <v>-9.8739149999999998E-2</v>
      </c>
      <c r="U6245">
        <v>-3.0903320000000001</v>
      </c>
      <c r="V6245">
        <v>-0.1335353</v>
      </c>
      <c r="W6245">
        <v>0.1866903</v>
      </c>
      <c r="X6245">
        <v>0.97330110000000003</v>
      </c>
      <c r="Y6245">
        <v>-1.305653E-2</v>
      </c>
      <c r="Z6245">
        <v>2.4511740000000001E-2</v>
      </c>
      <c r="AA6245">
        <v>0.99961429999999996</v>
      </c>
      <c r="AB6245">
        <v>25</v>
      </c>
      <c r="AC6245">
        <v>0.99569999999999903</v>
      </c>
      <c r="AD6245">
        <v>-1.1100167708390001</v>
      </c>
      <c r="AE6245">
        <v>-34.460540000000002</v>
      </c>
      <c r="AF6245">
        <v>-0.45338863638611399</v>
      </c>
      <c r="AG6245">
        <v>-1.1100167708390001</v>
      </c>
      <c r="AH6245">
        <v>34.436234211039398</v>
      </c>
      <c r="AI6245">
        <v>91.846071683289196</v>
      </c>
      <c r="AJ6245">
        <v>90.754314607590999</v>
      </c>
      <c r="AK6245">
        <v>34.4571026803576</v>
      </c>
      <c r="AL6245">
        <v>79.240303319181095</v>
      </c>
      <c r="AM6245">
        <v>97.812112959437599</v>
      </c>
      <c r="AN6245">
        <v>0.999999987860694</v>
      </c>
    </row>
    <row r="6246" spans="1:40" x14ac:dyDescent="0.25">
      <c r="A6246" t="str">
        <f>"20190304155229004"</f>
        <v>20190304155229004</v>
      </c>
      <c r="B6246" t="str">
        <f>"1551685948993063"</f>
        <v>1551685948993063</v>
      </c>
      <c r="C6246" t="s">
        <v>40</v>
      </c>
      <c r="D6246">
        <v>5.168361</v>
      </c>
      <c r="E6246">
        <v>0.54501650000000001</v>
      </c>
      <c r="F6246" t="s">
        <v>77</v>
      </c>
      <c r="G6246">
        <v>-300.97179999999997</v>
      </c>
      <c r="H6246" s="1">
        <v>-9.5744219999999995E-6</v>
      </c>
      <c r="I6246">
        <v>-59.670099999999998</v>
      </c>
      <c r="J6246">
        <v>-301.94490000000002</v>
      </c>
      <c r="K6246">
        <v>1.109926</v>
      </c>
      <c r="L6246">
        <v>-25.900089999999999</v>
      </c>
      <c r="M6246">
        <v>1.5879420000000002E-2</v>
      </c>
      <c r="N6246">
        <v>-7.4193050000000002E-3</v>
      </c>
      <c r="O6246">
        <v>-0.99984669999999998</v>
      </c>
      <c r="P6246">
        <v>0.14697589999999999</v>
      </c>
      <c r="Q6246">
        <v>0.1785129</v>
      </c>
      <c r="R6246">
        <v>-0.97289870000000001</v>
      </c>
      <c r="S6246">
        <v>8.8775629999999994E-2</v>
      </c>
      <c r="T6246">
        <v>-0.1008608</v>
      </c>
      <c r="U6246">
        <v>-3.0900569999999998</v>
      </c>
      <c r="V6246">
        <v>-0.13154979999999999</v>
      </c>
      <c r="W6246">
        <v>0.18571299999999999</v>
      </c>
      <c r="X6246">
        <v>0.97375829999999997</v>
      </c>
      <c r="Y6246">
        <v>-1.282966E-2</v>
      </c>
      <c r="Z6246">
        <v>2.5194279999999999E-2</v>
      </c>
      <c r="AA6246">
        <v>0.99960020000000005</v>
      </c>
      <c r="AB6246">
        <v>25</v>
      </c>
      <c r="AC6246">
        <v>0.97310000000004404</v>
      </c>
      <c r="AD6246">
        <v>-1.1099355744220001</v>
      </c>
      <c r="AE6246">
        <v>-33.770009999999999</v>
      </c>
      <c r="AF6246">
        <v>-0.43624366396999098</v>
      </c>
      <c r="AG6246">
        <v>-1.1099355744220001</v>
      </c>
      <c r="AH6246">
        <v>33.744781226398104</v>
      </c>
      <c r="AI6246">
        <v>91.883740082533294</v>
      </c>
      <c r="AJ6246">
        <v>90.740663521264906</v>
      </c>
      <c r="AK6246">
        <v>33.765848508977101</v>
      </c>
      <c r="AL6246">
        <v>79.297294750508698</v>
      </c>
      <c r="AM6246">
        <v>97.693788896120296</v>
      </c>
      <c r="AN6246">
        <v>0.99999994753396304</v>
      </c>
    </row>
    <row r="6247" spans="1:40" x14ac:dyDescent="0.25">
      <c r="A6247" t="str">
        <f>"20190304155229025"</f>
        <v>20190304155229025</v>
      </c>
      <c r="B6247" t="str">
        <f>"1551685949023319"</f>
        <v>1551685949023319</v>
      </c>
      <c r="C6247" t="s">
        <v>40</v>
      </c>
      <c r="D6247">
        <v>4.7146689999999998</v>
      </c>
      <c r="E6247">
        <v>0.5282751</v>
      </c>
      <c r="F6247" t="s">
        <v>77</v>
      </c>
      <c r="G6247">
        <v>-301.02370000000002</v>
      </c>
      <c r="H6247" s="1">
        <v>-9.3453380000000007E-6</v>
      </c>
      <c r="I6247">
        <v>-59.122250000000001</v>
      </c>
      <c r="J6247">
        <v>-301.94110000000001</v>
      </c>
      <c r="K6247">
        <v>1.1098619999999999</v>
      </c>
      <c r="L6247">
        <v>-26.132349999999999</v>
      </c>
      <c r="M6247">
        <v>1.5953149999999999E-2</v>
      </c>
      <c r="N6247">
        <v>-7.4249619999999898E-3</v>
      </c>
      <c r="O6247">
        <v>-0.99984550000000005</v>
      </c>
      <c r="P6247">
        <v>0.1455533</v>
      </c>
      <c r="Q6247">
        <v>0.1781566</v>
      </c>
      <c r="R6247">
        <v>-0.97317790000000004</v>
      </c>
      <c r="S6247">
        <v>8.5662840000000004E-2</v>
      </c>
      <c r="T6247">
        <v>-0.10322089999999901</v>
      </c>
      <c r="U6247">
        <v>-3.089569</v>
      </c>
      <c r="V6247">
        <v>-0.13002139999999901</v>
      </c>
      <c r="W6247">
        <v>0.18538460000000001</v>
      </c>
      <c r="X6247">
        <v>0.97402619999999895</v>
      </c>
      <c r="Y6247">
        <v>-1.1753710000000001E-2</v>
      </c>
      <c r="Z6247">
        <v>2.5956839999999998E-2</v>
      </c>
      <c r="AA6247">
        <v>0.99959399999999998</v>
      </c>
      <c r="AB6247">
        <v>25</v>
      </c>
      <c r="AC6247">
        <v>0.917399999999986</v>
      </c>
      <c r="AD6247">
        <v>-1.109871345338</v>
      </c>
      <c r="AE6247">
        <v>-32.989899999999999</v>
      </c>
      <c r="AF6247">
        <v>-0.390534408387892</v>
      </c>
      <c r="AG6247">
        <v>-1.109871345338</v>
      </c>
      <c r="AH6247">
        <v>32.963057381674297</v>
      </c>
      <c r="AI6247">
        <v>91.928294193259504</v>
      </c>
      <c r="AJ6247">
        <v>90.678787960663698</v>
      </c>
      <c r="AK6247">
        <v>32.984048924819596</v>
      </c>
      <c r="AL6247">
        <v>79.316444049154796</v>
      </c>
      <c r="AM6247">
        <v>97.603384282855302</v>
      </c>
      <c r="AN6247">
        <v>1.00000002633077</v>
      </c>
    </row>
    <row r="6248" spans="1:40" x14ac:dyDescent="0.25">
      <c r="A6248" t="str">
        <f>"20190304155229046"</f>
        <v>20190304155229046</v>
      </c>
      <c r="B6248" t="str">
        <f>"1551685949042839"</f>
        <v>1551685949042839</v>
      </c>
      <c r="C6248" t="s">
        <v>40</v>
      </c>
      <c r="D6248">
        <v>5.1914999999999996</v>
      </c>
      <c r="E6248">
        <v>0.52795619999999999</v>
      </c>
      <c r="F6248" t="s">
        <v>101</v>
      </c>
      <c r="G6248">
        <v>-297.3691</v>
      </c>
      <c r="H6248">
        <v>0.13572879999999901</v>
      </c>
      <c r="I6248">
        <v>-91.564989999999995</v>
      </c>
      <c r="J6248">
        <v>-301.93709999999999</v>
      </c>
      <c r="K6248">
        <v>1.109807</v>
      </c>
      <c r="L6248">
        <v>-26.375889999999998</v>
      </c>
      <c r="M6248">
        <v>1.596173E-2</v>
      </c>
      <c r="N6248">
        <v>-7.4309129999999999E-3</v>
      </c>
      <c r="O6248">
        <v>-0.99984530000000005</v>
      </c>
      <c r="P6248">
        <v>0.1434107</v>
      </c>
      <c r="Q6248">
        <v>0.17773429999999901</v>
      </c>
      <c r="R6248">
        <v>-0.97357309999999997</v>
      </c>
      <c r="S6248">
        <v>0.21374509999999999</v>
      </c>
      <c r="T6248">
        <v>-4.5541169999999999E-2</v>
      </c>
      <c r="U6248">
        <v>-3.0590519999999999</v>
      </c>
      <c r="V6248">
        <v>-0.12784039999999999</v>
      </c>
      <c r="W6248">
        <v>0.18498809999999999</v>
      </c>
      <c r="X6248">
        <v>0.97439010000000004</v>
      </c>
      <c r="Y6248">
        <v>-5.3764470000000002E-2</v>
      </c>
      <c r="Z6248">
        <v>7.4276250000000002E-3</v>
      </c>
      <c r="AA6248">
        <v>0.99852600000000002</v>
      </c>
      <c r="AB6248">
        <v>25</v>
      </c>
      <c r="AC6248">
        <v>4.5679999999999801</v>
      </c>
      <c r="AD6248">
        <v>-0.97407819999999901</v>
      </c>
      <c r="AE6248">
        <v>-65.189099999999996</v>
      </c>
      <c r="AF6248">
        <v>-3.5260753672335801</v>
      </c>
      <c r="AG6248">
        <v>-0.97407819999999901</v>
      </c>
      <c r="AH6248">
        <v>65.239214824274399</v>
      </c>
      <c r="AI6248">
        <v>90.854165729886304</v>
      </c>
      <c r="AJ6248">
        <v>93.093735214430495</v>
      </c>
      <c r="AK6248">
        <v>65.341695621731105</v>
      </c>
      <c r="AL6248">
        <v>79.339560491225001</v>
      </c>
      <c r="AM6248">
        <v>97.474538228284203</v>
      </c>
      <c r="AN6248">
        <v>0.999999915995886</v>
      </c>
    </row>
    <row r="6249" spans="1:40" x14ac:dyDescent="0.25">
      <c r="A6249" t="str">
        <f>"20190304155229069"</f>
        <v>20190304155229069</v>
      </c>
      <c r="B6249" t="str">
        <f>"1551685949063335"</f>
        <v>1551685949063335</v>
      </c>
      <c r="C6249" t="s">
        <v>40</v>
      </c>
      <c r="D6249">
        <v>5.015879</v>
      </c>
      <c r="E6249">
        <v>0.52740500000000001</v>
      </c>
      <c r="F6249" t="s">
        <v>101</v>
      </c>
      <c r="G6249">
        <v>-297.45659999999998</v>
      </c>
      <c r="H6249">
        <v>0.1332779</v>
      </c>
      <c r="I6249">
        <v>-91.564989999999995</v>
      </c>
      <c r="J6249">
        <v>-301.93299999999999</v>
      </c>
      <c r="K6249">
        <v>1.109758</v>
      </c>
      <c r="L6249">
        <v>-26.632169999999999</v>
      </c>
      <c r="M6249">
        <v>1.5906989999999999E-2</v>
      </c>
      <c r="N6249">
        <v>-7.4371079999999996E-3</v>
      </c>
      <c r="O6249">
        <v>-0.99984600000000001</v>
      </c>
      <c r="P6249">
        <v>0.14173350000000001</v>
      </c>
      <c r="Q6249">
        <v>0.17759720000000001</v>
      </c>
      <c r="R6249">
        <v>-0.97384349999999997</v>
      </c>
      <c r="S6249">
        <v>0.21023559999999999</v>
      </c>
      <c r="T6249">
        <v>-4.5820590000000001E-2</v>
      </c>
      <c r="U6249">
        <v>-3.0588380000000002</v>
      </c>
      <c r="V6249">
        <v>-0.12619549999999999</v>
      </c>
      <c r="W6249">
        <v>0.18487100000000001</v>
      </c>
      <c r="X6249">
        <v>0.97462680000000002</v>
      </c>
      <c r="Y6249">
        <v>-5.2683819999999999E-2</v>
      </c>
      <c r="Z6249">
        <v>7.5145619999999998E-3</v>
      </c>
      <c r="AA6249">
        <v>0.998583</v>
      </c>
      <c r="AB6249">
        <v>25</v>
      </c>
      <c r="AC6249">
        <v>4.4764000000000097</v>
      </c>
      <c r="AD6249">
        <v>-0.97648009999999996</v>
      </c>
      <c r="AE6249">
        <v>-64.932819999999893</v>
      </c>
      <c r="AF6249">
        <v>-3.4421447391759199</v>
      </c>
      <c r="AG6249">
        <v>-0.97648009999999996</v>
      </c>
      <c r="AH6249">
        <v>64.981185943287301</v>
      </c>
      <c r="AI6249">
        <v>90.859720624784202</v>
      </c>
      <c r="AJ6249">
        <v>93.032203988159907</v>
      </c>
      <c r="AK6249">
        <v>65.079615859247397</v>
      </c>
      <c r="AL6249">
        <v>79.346388435036303</v>
      </c>
      <c r="AM6249">
        <v>97.377659047976394</v>
      </c>
      <c r="AN6249">
        <v>0.99999999506974402</v>
      </c>
    </row>
    <row r="6250" spans="1:40" x14ac:dyDescent="0.25">
      <c r="A6250" t="str">
        <f>"20190304155229091"</f>
        <v>20190304155229091</v>
      </c>
      <c r="B6250" t="str">
        <f>"1551685949082854"</f>
        <v>1551685949082854</v>
      </c>
      <c r="C6250" t="s">
        <v>40</v>
      </c>
      <c r="D6250">
        <v>4.7051610000000004</v>
      </c>
      <c r="E6250">
        <v>0.52772569999999996</v>
      </c>
      <c r="F6250" t="s">
        <v>42</v>
      </c>
      <c r="G6250">
        <v>-297.37130000000002</v>
      </c>
      <c r="H6250">
        <v>-0.05</v>
      </c>
      <c r="I6250">
        <v>-93.158140000000003</v>
      </c>
      <c r="J6250">
        <v>-301.92899999999997</v>
      </c>
      <c r="K6250">
        <v>1.1097300000000001</v>
      </c>
      <c r="L6250">
        <v>-26.88626</v>
      </c>
      <c r="M6250">
        <v>1.580637E-2</v>
      </c>
      <c r="N6250">
        <v>-7.44333199999999E-3</v>
      </c>
      <c r="O6250">
        <v>-0.99984770000000001</v>
      </c>
      <c r="P6250">
        <v>0.13986370000000001</v>
      </c>
      <c r="Q6250">
        <v>0.17796600000000001</v>
      </c>
      <c r="R6250">
        <v>-0.97404679999999999</v>
      </c>
      <c r="S6250">
        <v>0.2098083</v>
      </c>
      <c r="T6250">
        <v>-5.3341149999999997E-2</v>
      </c>
      <c r="U6250">
        <v>-3.0597530000000002</v>
      </c>
      <c r="V6250">
        <v>-0.12440900000000001</v>
      </c>
      <c r="W6250">
        <v>0.1852538</v>
      </c>
      <c r="X6250">
        <v>0.97478379999999998</v>
      </c>
      <c r="Y6250">
        <v>-5.262315E-2</v>
      </c>
      <c r="Z6250">
        <v>9.9560940000000004E-3</v>
      </c>
      <c r="AA6250">
        <v>0.99856480000000003</v>
      </c>
      <c r="AB6250">
        <v>25</v>
      </c>
      <c r="AC6250">
        <v>4.5577000000000103</v>
      </c>
      <c r="AD6250">
        <v>-1.1597299999999999</v>
      </c>
      <c r="AE6250">
        <v>-66.271879999999996</v>
      </c>
      <c r="AF6250">
        <v>-3.50851468397929</v>
      </c>
      <c r="AG6250">
        <v>-1.1597299999999999</v>
      </c>
      <c r="AH6250">
        <v>66.315430442015099</v>
      </c>
      <c r="AI6250">
        <v>91.000492460781601</v>
      </c>
      <c r="AJ6250">
        <v>93.028493308119195</v>
      </c>
      <c r="AK6250">
        <v>66.418302926756098</v>
      </c>
      <c r="AL6250">
        <v>79.324070296725694</v>
      </c>
      <c r="AM6250">
        <v>97.273183996963098</v>
      </c>
      <c r="AN6250">
        <v>1.0000000132189399</v>
      </c>
    </row>
    <row r="6251" spans="1:40" x14ac:dyDescent="0.25">
      <c r="A6251" t="str">
        <f>"20190304155229114"</f>
        <v>20190304155229114</v>
      </c>
      <c r="B6251" t="str">
        <f>"1551685949103351"</f>
        <v>1551685949103351</v>
      </c>
      <c r="C6251" t="s">
        <v>40</v>
      </c>
      <c r="D6251">
        <v>4.7150040000000004</v>
      </c>
      <c r="E6251">
        <v>0.52844849999999999</v>
      </c>
      <c r="F6251" t="s">
        <v>42</v>
      </c>
      <c r="G6251">
        <v>-297.84269999999998</v>
      </c>
      <c r="H6251">
        <v>-0.05</v>
      </c>
      <c r="I6251">
        <v>-88.978619999999907</v>
      </c>
      <c r="J6251">
        <v>-301.92509999999999</v>
      </c>
      <c r="K6251">
        <v>1.1097049999999999</v>
      </c>
      <c r="L6251">
        <v>-27.139250000000001</v>
      </c>
      <c r="M6251">
        <v>1.5682689999999999E-2</v>
      </c>
      <c r="N6251">
        <v>-7.4496060000000001E-3</v>
      </c>
      <c r="O6251">
        <v>-0.99984910000000005</v>
      </c>
      <c r="P6251">
        <v>0.13853360000000001</v>
      </c>
      <c r="Q6251">
        <v>0.17783829999999901</v>
      </c>
      <c r="R6251">
        <v>-0.9742596</v>
      </c>
      <c r="S6251">
        <v>0.20147709999999999</v>
      </c>
      <c r="T6251">
        <v>-5.7180399999999999E-2</v>
      </c>
      <c r="U6251">
        <v>-3.0614620000000001</v>
      </c>
      <c r="V6251">
        <v>-0.1231901</v>
      </c>
      <c r="W6251">
        <v>0.18513760000000001</v>
      </c>
      <c r="X6251">
        <v>0.97496059999999996</v>
      </c>
      <c r="Y6251">
        <v>-5.0002350000000001E-2</v>
      </c>
      <c r="Z6251">
        <v>1.1193959999999999E-2</v>
      </c>
      <c r="AA6251">
        <v>0.99868639999999997</v>
      </c>
      <c r="AB6251">
        <v>25</v>
      </c>
      <c r="AC6251">
        <v>4.0823999999999998</v>
      </c>
      <c r="AD6251">
        <v>-1.159705</v>
      </c>
      <c r="AE6251">
        <v>-61.839369999999903</v>
      </c>
      <c r="AF6251">
        <v>-3.1109738083174499</v>
      </c>
      <c r="AG6251">
        <v>-1.159705</v>
      </c>
      <c r="AH6251">
        <v>61.874122979856402</v>
      </c>
      <c r="AI6251">
        <v>91.072413157238003</v>
      </c>
      <c r="AJ6251">
        <v>92.878355076387805</v>
      </c>
      <c r="AK6251">
        <v>61.963135558567899</v>
      </c>
      <c r="AL6251">
        <v>79.330844596871003</v>
      </c>
      <c r="AM6251">
        <v>97.201384402183805</v>
      </c>
      <c r="AN6251">
        <v>0.99999995161206301</v>
      </c>
    </row>
    <row r="6252" spans="1:40" x14ac:dyDescent="0.25">
      <c r="A6252" t="str">
        <f>"20190304155229136"</f>
        <v>20190304155229136</v>
      </c>
      <c r="B6252" t="str">
        <f>"1551685949133607"</f>
        <v>1551685949133607</v>
      </c>
      <c r="C6252" t="s">
        <v>40</v>
      </c>
      <c r="D6252">
        <v>4.7044499999999996</v>
      </c>
      <c r="E6252">
        <v>0.52848519999999999</v>
      </c>
      <c r="F6252" t="s">
        <v>42</v>
      </c>
      <c r="G6252">
        <v>-298.15660000000003</v>
      </c>
      <c r="H6252">
        <v>-0.05</v>
      </c>
      <c r="I6252">
        <v>-87.325879999999998</v>
      </c>
      <c r="J6252">
        <v>-301.92129999999997</v>
      </c>
      <c r="K6252">
        <v>1.1096969999999999</v>
      </c>
      <c r="L6252">
        <v>-27.39368</v>
      </c>
      <c r="M6252">
        <v>1.554869E-2</v>
      </c>
      <c r="N6252">
        <v>-7.4559830000000002E-3</v>
      </c>
      <c r="O6252">
        <v>-0.9998515</v>
      </c>
      <c r="P6252">
        <v>0.13693559999999999</v>
      </c>
      <c r="Q6252">
        <v>0.17742339999999901</v>
      </c>
      <c r="R6252">
        <v>-0.97456160000000003</v>
      </c>
      <c r="S6252">
        <v>0.19177250000000001</v>
      </c>
      <c r="T6252">
        <v>-5.9015039999999998E-2</v>
      </c>
      <c r="U6252">
        <v>-3.0627749999999998</v>
      </c>
      <c r="V6252">
        <v>-0.12171410000000001</v>
      </c>
      <c r="W6252">
        <v>0.1847337</v>
      </c>
      <c r="X6252">
        <v>0.97522260000000005</v>
      </c>
      <c r="Y6252">
        <v>-4.6956310000000001E-2</v>
      </c>
      <c r="Z6252">
        <v>1.178046E-2</v>
      </c>
      <c r="AA6252">
        <v>0.99882749999999998</v>
      </c>
      <c r="AB6252">
        <v>26</v>
      </c>
      <c r="AC6252">
        <v>3.76469999999994</v>
      </c>
      <c r="AD6252">
        <v>-1.159697</v>
      </c>
      <c r="AE6252">
        <v>-59.932200000000002</v>
      </c>
      <c r="AF6252">
        <v>-2.8312959895199001</v>
      </c>
      <c r="AG6252">
        <v>-1.159697</v>
      </c>
      <c r="AH6252">
        <v>59.961129373145603</v>
      </c>
      <c r="AI6252">
        <v>91.106775972666696</v>
      </c>
      <c r="AJ6252">
        <v>92.703433199027899</v>
      </c>
      <c r="AK6252">
        <v>60.039138649843899</v>
      </c>
      <c r="AL6252">
        <v>79.354392972947693</v>
      </c>
      <c r="AM6252">
        <v>97.114098796994</v>
      </c>
      <c r="AN6252">
        <v>0.99999999080263002</v>
      </c>
    </row>
    <row r="6253" spans="1:40" x14ac:dyDescent="0.25">
      <c r="A6253" t="str">
        <f>"20190304155229158"</f>
        <v>20190304155229158</v>
      </c>
      <c r="B6253" t="str">
        <f>"1551685949153127"</f>
        <v>1551685949153127</v>
      </c>
      <c r="C6253" t="s">
        <v>40</v>
      </c>
      <c r="D6253">
        <v>4.6901570000000001</v>
      </c>
      <c r="E6253">
        <v>0.52801009999999904</v>
      </c>
      <c r="F6253" t="s">
        <v>42</v>
      </c>
      <c r="G6253">
        <v>-298.51920000000001</v>
      </c>
      <c r="H6253">
        <v>-0.05</v>
      </c>
      <c r="I6253">
        <v>-83.577939999999998</v>
      </c>
      <c r="J6253">
        <v>-301.91739999999999</v>
      </c>
      <c r="K6253">
        <v>1.1096900000000001</v>
      </c>
      <c r="L6253">
        <v>-27.655329999999999</v>
      </c>
      <c r="M6253">
        <v>1.540882E-2</v>
      </c>
      <c r="N6253">
        <v>-7.462598E-3</v>
      </c>
      <c r="O6253">
        <v>-0.99985369999999996</v>
      </c>
      <c r="P6253">
        <v>0.13593820000000001</v>
      </c>
      <c r="Q6253">
        <v>0.1769694</v>
      </c>
      <c r="R6253">
        <v>-0.97478370000000003</v>
      </c>
      <c r="S6253">
        <v>0.1855164</v>
      </c>
      <c r="T6253">
        <v>-6.3238740000000002E-2</v>
      </c>
      <c r="U6253">
        <v>-3.0637509999999999</v>
      </c>
      <c r="V6253">
        <v>-0.1208482</v>
      </c>
      <c r="W6253">
        <v>0.18428849999999999</v>
      </c>
      <c r="X6253">
        <v>0.97541449999999996</v>
      </c>
      <c r="Y6253">
        <v>-4.5043149999999997E-2</v>
      </c>
      <c r="Z6253">
        <v>1.314544E-2</v>
      </c>
      <c r="AA6253">
        <v>0.99889859999999997</v>
      </c>
      <c r="AB6253">
        <v>26</v>
      </c>
      <c r="AC6253">
        <v>3.3981999999999699</v>
      </c>
      <c r="AD6253">
        <v>-1.1596899999999899</v>
      </c>
      <c r="AE6253">
        <v>-55.922609999999999</v>
      </c>
      <c r="AF6253">
        <v>-2.5349852063429501</v>
      </c>
      <c r="AG6253">
        <v>-1.1596899999999899</v>
      </c>
      <c r="AH6253">
        <v>55.944364223320001</v>
      </c>
      <c r="AI6253">
        <v>91.186316956447897</v>
      </c>
      <c r="AJ6253">
        <v>92.594446665094296</v>
      </c>
      <c r="AK6253">
        <v>56.013774370631097</v>
      </c>
      <c r="AL6253">
        <v>79.380346689105394</v>
      </c>
      <c r="AM6253">
        <v>97.062624992041194</v>
      </c>
      <c r="AN6253">
        <v>0.99999999274286999</v>
      </c>
    </row>
    <row r="6254" spans="1:40" x14ac:dyDescent="0.25">
      <c r="A6254" t="str">
        <f>"20190304155229184"</f>
        <v>20190304155229184</v>
      </c>
      <c r="B6254" t="str">
        <f>"1551685949173625"</f>
        <v>1551685949173625</v>
      </c>
      <c r="C6254" t="s">
        <v>40</v>
      </c>
      <c r="D6254">
        <v>4.7369260000000004</v>
      </c>
      <c r="E6254">
        <v>0.5272</v>
      </c>
      <c r="F6254" t="s">
        <v>77</v>
      </c>
      <c r="G6254">
        <v>-299.08749999999998</v>
      </c>
      <c r="H6254">
        <v>7.9986570000000007E-2</v>
      </c>
      <c r="I6254">
        <v>-74.263019999999997</v>
      </c>
      <c r="J6254">
        <v>-301.91309999999999</v>
      </c>
      <c r="K6254">
        <v>1.1096900000000001</v>
      </c>
      <c r="L6254">
        <v>-27.93994</v>
      </c>
      <c r="M6254">
        <v>1.52572E-2</v>
      </c>
      <c r="N6254">
        <v>-7.4698840000000004E-3</v>
      </c>
      <c r="O6254">
        <v>-0.99985579999999996</v>
      </c>
      <c r="P6254">
        <v>0.13491529999999999</v>
      </c>
      <c r="Q6254">
        <v>0.17649139999999999</v>
      </c>
      <c r="R6254">
        <v>-0.97501210000000005</v>
      </c>
      <c r="S6254">
        <v>0.18603520000000001</v>
      </c>
      <c r="T6254">
        <v>-6.7692160000000001E-2</v>
      </c>
      <c r="U6254">
        <v>-3.063965</v>
      </c>
      <c r="V6254">
        <v>-0.11996809999999999</v>
      </c>
      <c r="W6254">
        <v>0.18382019999999999</v>
      </c>
      <c r="X6254">
        <v>0.97561149999999996</v>
      </c>
      <c r="Y6254">
        <v>-4.5357439999999999E-2</v>
      </c>
      <c r="Z6254">
        <v>1.458687E-2</v>
      </c>
      <c r="AA6254">
        <v>0.99886430000000004</v>
      </c>
      <c r="AB6254">
        <v>26</v>
      </c>
      <c r="AC6254">
        <v>2.8256000000000001</v>
      </c>
      <c r="AD6254">
        <v>-1.0297034300000001</v>
      </c>
      <c r="AE6254">
        <v>-46.323079999999898</v>
      </c>
      <c r="AF6254">
        <v>-2.1174485559538998</v>
      </c>
      <c r="AG6254">
        <v>-1.0297034300000001</v>
      </c>
      <c r="AH6254">
        <v>46.337988240943602</v>
      </c>
      <c r="AI6254">
        <v>91.271666831273805</v>
      </c>
      <c r="AJ6254">
        <v>92.616352855364397</v>
      </c>
      <c r="AK6254">
        <v>46.397769685176598</v>
      </c>
      <c r="AL6254">
        <v>79.407644790492895</v>
      </c>
      <c r="AM6254">
        <v>97.010302181256293</v>
      </c>
      <c r="AN6254">
        <v>1.0000000049389499</v>
      </c>
    </row>
    <row r="6255" spans="1:40" x14ac:dyDescent="0.25">
      <c r="A6255" t="str">
        <f>"20190304155229205"</f>
        <v>20190304155229205</v>
      </c>
      <c r="B6255" t="str">
        <f>"1551685949202903"</f>
        <v>1551685949202903</v>
      </c>
      <c r="C6255" t="s">
        <v>40</v>
      </c>
      <c r="D6255">
        <v>4.7204490000000003</v>
      </c>
      <c r="E6255">
        <v>0.52667439999999999</v>
      </c>
      <c r="F6255" t="s">
        <v>77</v>
      </c>
      <c r="G6255">
        <v>-299.2869</v>
      </c>
      <c r="H6255">
        <v>6.3379199999999997E-2</v>
      </c>
      <c r="I6255">
        <v>-70.397090000000006</v>
      </c>
      <c r="J6255">
        <v>-301.90929999999997</v>
      </c>
      <c r="K6255">
        <v>1.109688</v>
      </c>
      <c r="L6255">
        <v>-28.197330000000001</v>
      </c>
      <c r="M6255">
        <v>1.511931E-2</v>
      </c>
      <c r="N6255">
        <v>-7.4765179999999997E-3</v>
      </c>
      <c r="O6255">
        <v>-0.99985800000000002</v>
      </c>
      <c r="P6255">
        <v>0.1342458</v>
      </c>
      <c r="Q6255">
        <v>0.1767339</v>
      </c>
      <c r="R6255">
        <v>-0.97506090000000001</v>
      </c>
      <c r="S6255">
        <v>0.18954470000000001</v>
      </c>
      <c r="T6255">
        <v>-7.5517180000000003E-2</v>
      </c>
      <c r="U6255">
        <v>-3.0643310000000001</v>
      </c>
      <c r="V6255">
        <v>-0.1194316</v>
      </c>
      <c r="W6255">
        <v>0.18407000000000001</v>
      </c>
      <c r="X6255">
        <v>0.9756302</v>
      </c>
      <c r="Y6255">
        <v>-4.662459E-2</v>
      </c>
      <c r="Z6255">
        <v>1.7123900000000001E-2</v>
      </c>
      <c r="AA6255">
        <v>0.99876569999999998</v>
      </c>
      <c r="AB6255">
        <v>26</v>
      </c>
      <c r="AC6255">
        <v>2.6223999999999701</v>
      </c>
      <c r="AD6255">
        <v>-1.0463088</v>
      </c>
      <c r="AE6255">
        <v>-42.199759999999998</v>
      </c>
      <c r="AF6255">
        <v>-1.9828370477397601</v>
      </c>
      <c r="AG6255">
        <v>-1.0463088</v>
      </c>
      <c r="AH6255">
        <v>42.208738058165501</v>
      </c>
      <c r="AI6255">
        <v>91.418445734886006</v>
      </c>
      <c r="AJ6255">
        <v>92.689602641437503</v>
      </c>
      <c r="AK6255">
        <v>42.268238351339903</v>
      </c>
      <c r="AL6255">
        <v>79.393083572118698</v>
      </c>
      <c r="AM6255">
        <v>96.979129381527002</v>
      </c>
      <c r="AN6255">
        <v>0.99999997956529896</v>
      </c>
    </row>
    <row r="6256" spans="1:40" x14ac:dyDescent="0.25">
      <c r="A6256" t="str">
        <f>"20190304155229225"</f>
        <v>20190304155229225</v>
      </c>
      <c r="B6256" t="str">
        <f>"1551685949223399"</f>
        <v>1551685949223399</v>
      </c>
      <c r="C6256" t="s">
        <v>40</v>
      </c>
      <c r="D6256">
        <v>4.7293349999999998</v>
      </c>
      <c r="E6256">
        <v>0.52655209999999997</v>
      </c>
      <c r="F6256" t="s">
        <v>77</v>
      </c>
      <c r="G6256">
        <v>-299.27140000000003</v>
      </c>
      <c r="H6256">
        <v>4.3784289999999997E-2</v>
      </c>
      <c r="I6256">
        <v>-70.383709999999994</v>
      </c>
      <c r="J6256">
        <v>-301.90600000000001</v>
      </c>
      <c r="K6256">
        <v>1.109686</v>
      </c>
      <c r="L6256">
        <v>-28.426390000000001</v>
      </c>
      <c r="M6256">
        <v>1.4992510000000001E-2</v>
      </c>
      <c r="N6256">
        <v>-7.4824640000000003E-3</v>
      </c>
      <c r="O6256">
        <v>-0.99985959999999996</v>
      </c>
      <c r="P6256">
        <v>0.1342769</v>
      </c>
      <c r="Q6256">
        <v>0.17677590000000001</v>
      </c>
      <c r="R6256">
        <v>-0.9750489</v>
      </c>
      <c r="S6256">
        <v>0.19161990000000001</v>
      </c>
      <c r="T6256">
        <v>-7.7426549999999997E-2</v>
      </c>
      <c r="U6256">
        <v>-3.0643919999999998</v>
      </c>
      <c r="V6256">
        <v>-0.1195855</v>
      </c>
      <c r="W6256">
        <v>0.18411830000000001</v>
      </c>
      <c r="X6256">
        <v>0.97560230000000003</v>
      </c>
      <c r="Y6256">
        <v>-4.7422899999999997E-2</v>
      </c>
      <c r="Z6256">
        <v>1.7738110000000001E-2</v>
      </c>
      <c r="AA6256">
        <v>0.99871739999999998</v>
      </c>
      <c r="AB6256">
        <v>26</v>
      </c>
      <c r="AC6256">
        <v>2.6345999999999701</v>
      </c>
      <c r="AD6256">
        <v>-1.0659017099999999</v>
      </c>
      <c r="AE6256">
        <v>-41.957320000000003</v>
      </c>
      <c r="AF6256">
        <v>-2.0039524735639702</v>
      </c>
      <c r="AG6256">
        <v>-1.0659017099999999</v>
      </c>
      <c r="AH6256">
        <v>41.965127064682399</v>
      </c>
      <c r="AI6256">
        <v>91.453327493292093</v>
      </c>
      <c r="AJ6256">
        <v>92.733957263688296</v>
      </c>
      <c r="AK6256">
        <v>42.026466203175097</v>
      </c>
      <c r="AL6256">
        <v>79.390268756389702</v>
      </c>
      <c r="AM6256">
        <v>96.988231715007302</v>
      </c>
      <c r="AN6256">
        <v>1.0000000439852099</v>
      </c>
    </row>
    <row r="6257" spans="1:40" x14ac:dyDescent="0.25">
      <c r="A6257" t="str">
        <f>"20190304155229248"</f>
        <v>20190304155229248</v>
      </c>
      <c r="B6257" t="str">
        <f>"1551685949242919"</f>
        <v>1551685949242919</v>
      </c>
      <c r="C6257" t="s">
        <v>40</v>
      </c>
      <c r="D6257">
        <v>4.7368249999999996</v>
      </c>
      <c r="E6257">
        <v>0.52648499999999998</v>
      </c>
      <c r="F6257" t="s">
        <v>77</v>
      </c>
      <c r="G6257">
        <v>-299.26310000000001</v>
      </c>
      <c r="H6257">
        <v>4.3060500000000002E-2</v>
      </c>
      <c r="I6257">
        <v>-70.383700000000005</v>
      </c>
      <c r="J6257">
        <v>-301.90219999999999</v>
      </c>
      <c r="K6257">
        <v>1.1096779999999999</v>
      </c>
      <c r="L6257">
        <v>-28.68854</v>
      </c>
      <c r="M6257">
        <v>1.484101E-2</v>
      </c>
      <c r="N6257">
        <v>-7.4893390000000002E-3</v>
      </c>
      <c r="O6257">
        <v>-0.99986200000000003</v>
      </c>
      <c r="P6257">
        <v>0.13427539999999999</v>
      </c>
      <c r="Q6257">
        <v>0.17711250000000001</v>
      </c>
      <c r="R6257">
        <v>-0.97498819999999997</v>
      </c>
      <c r="S6257">
        <v>0.19302369999999999</v>
      </c>
      <c r="T6257">
        <v>-7.7899689999999994E-2</v>
      </c>
      <c r="U6257">
        <v>-3.0643009999999999</v>
      </c>
      <c r="V6257">
        <v>-0.11973019999999999</v>
      </c>
      <c r="W6257">
        <v>0.18446280000000001</v>
      </c>
      <c r="X6257">
        <v>0.97551940000000004</v>
      </c>
      <c r="Y6257">
        <v>-4.8031560000000001E-2</v>
      </c>
      <c r="Z6257">
        <v>1.7885350000000001E-2</v>
      </c>
      <c r="AA6257">
        <v>0.99868570000000001</v>
      </c>
      <c r="AB6257">
        <v>26</v>
      </c>
      <c r="AC6257">
        <v>2.63909999999998</v>
      </c>
      <c r="AD6257">
        <v>-1.0666175</v>
      </c>
      <c r="AE6257">
        <v>-41.695159999999902</v>
      </c>
      <c r="AF6257">
        <v>-2.01867804070777</v>
      </c>
      <c r="AG6257">
        <v>-1.0666175</v>
      </c>
      <c r="AH6257">
        <v>41.702554263149501</v>
      </c>
      <c r="AI6257">
        <v>91.463409953352993</v>
      </c>
      <c r="AJ6257">
        <v>92.771329511097704</v>
      </c>
      <c r="AK6257">
        <v>41.765006476645802</v>
      </c>
      <c r="AL6257">
        <v>79.370185618573402</v>
      </c>
      <c r="AM6257">
        <v>96.997192484779106</v>
      </c>
      <c r="AN6257">
        <v>0.99999997257611895</v>
      </c>
    </row>
    <row r="6258" spans="1:40" x14ac:dyDescent="0.25">
      <c r="A6258" t="str">
        <f>"20190304155229270"</f>
        <v>20190304155229270</v>
      </c>
      <c r="B6258" t="str">
        <f>"1551685949263415"</f>
        <v>1551685949263415</v>
      </c>
      <c r="C6258" t="s">
        <v>40</v>
      </c>
      <c r="D6258">
        <v>4.7761100000000001</v>
      </c>
      <c r="E6258">
        <v>0.52642299999999997</v>
      </c>
      <c r="F6258" t="s">
        <v>77</v>
      </c>
      <c r="G6258">
        <v>-299.27620000000002</v>
      </c>
      <c r="H6258">
        <v>2.9782010000000001E-2</v>
      </c>
      <c r="I6258">
        <v>-70.383709999999994</v>
      </c>
      <c r="J6258">
        <v>-301.89850000000001</v>
      </c>
      <c r="K6258">
        <v>1.109672</v>
      </c>
      <c r="L6258">
        <v>-28.947299999999998</v>
      </c>
      <c r="M6258">
        <v>1.468276E-2</v>
      </c>
      <c r="N6258">
        <v>-7.4960969999999898E-3</v>
      </c>
      <c r="O6258">
        <v>-0.99986419999999998</v>
      </c>
      <c r="P6258">
        <v>0.1349784</v>
      </c>
      <c r="Q6258">
        <v>0.17732059999999999</v>
      </c>
      <c r="R6258">
        <v>-0.97485330000000003</v>
      </c>
      <c r="S6258">
        <v>0.19302369999999999</v>
      </c>
      <c r="T6258">
        <v>-7.9377409999999995E-2</v>
      </c>
      <c r="U6258">
        <v>-3.0647890000000002</v>
      </c>
      <c r="V6258">
        <v>-0.1205871</v>
      </c>
      <c r="W6258">
        <v>0.18467890000000001</v>
      </c>
      <c r="X6258">
        <v>0.97537300000000005</v>
      </c>
      <c r="Y6258">
        <v>-4.8179010000000001E-2</v>
      </c>
      <c r="Z6258">
        <v>1.8355460000000001E-2</v>
      </c>
      <c r="AA6258">
        <v>0.99866999999999995</v>
      </c>
      <c r="AB6258">
        <v>26</v>
      </c>
      <c r="AC6258">
        <v>2.6222999999999899</v>
      </c>
      <c r="AD6258">
        <v>-1.0798899900000001</v>
      </c>
      <c r="AE6258">
        <v>-41.436410000000002</v>
      </c>
      <c r="AF6258">
        <v>-2.0122381567684502</v>
      </c>
      <c r="AG6258">
        <v>-1.0798899900000001</v>
      </c>
      <c r="AH6258">
        <v>41.442411468721502</v>
      </c>
      <c r="AI6258">
        <v>91.490897382290299</v>
      </c>
      <c r="AJ6258">
        <v>92.779815970758506</v>
      </c>
      <c r="AK6258">
        <v>41.505285604762101</v>
      </c>
      <c r="AL6258">
        <v>79.357588033441402</v>
      </c>
      <c r="AM6258">
        <v>97.047816204756998</v>
      </c>
      <c r="AN6258">
        <v>1.0000000169603001</v>
      </c>
    </row>
    <row r="6259" spans="1:40" x14ac:dyDescent="0.25">
      <c r="A6259" t="str">
        <f>"20190304155229292"</f>
        <v>20190304155229292</v>
      </c>
      <c r="B6259" t="str">
        <f>"1551685949282936"</f>
        <v>1551685949282936</v>
      </c>
      <c r="C6259" t="s">
        <v>40</v>
      </c>
      <c r="D6259">
        <v>4.7734249999999996</v>
      </c>
      <c r="E6259">
        <v>0.52641870000000002</v>
      </c>
      <c r="F6259" t="s">
        <v>77</v>
      </c>
      <c r="G6259">
        <v>-299.26229999999998</v>
      </c>
      <c r="H6259">
        <v>1.377745E-2</v>
      </c>
      <c r="I6259">
        <v>-70.383709999999994</v>
      </c>
      <c r="J6259">
        <v>-301.89479999999998</v>
      </c>
      <c r="K6259">
        <v>1.1096680000000001</v>
      </c>
      <c r="L6259">
        <v>-29.20721</v>
      </c>
      <c r="M6259">
        <v>1.4515810000000001E-2</v>
      </c>
      <c r="N6259">
        <v>-7.5028509999999996E-3</v>
      </c>
      <c r="O6259">
        <v>-0.99986649999999999</v>
      </c>
      <c r="P6259">
        <v>0.1357826</v>
      </c>
      <c r="Q6259">
        <v>0.17705299999999999</v>
      </c>
      <c r="R6259">
        <v>-0.97479000000000005</v>
      </c>
      <c r="S6259">
        <v>0.19500729999999999</v>
      </c>
      <c r="T6259">
        <v>-8.1065300000000007E-2</v>
      </c>
      <c r="U6259">
        <v>-3.0651250000000001</v>
      </c>
      <c r="V6259">
        <v>-0.12155349999999999</v>
      </c>
      <c r="W6259">
        <v>0.1844182</v>
      </c>
      <c r="X6259">
        <v>0.97530229999999996</v>
      </c>
      <c r="Y6259">
        <v>-4.8981799999999999E-2</v>
      </c>
      <c r="Z6259">
        <v>1.8894169999999998E-2</v>
      </c>
      <c r="AA6259">
        <v>0.99862090000000003</v>
      </c>
      <c r="AB6259">
        <v>26</v>
      </c>
      <c r="AC6259">
        <v>2.6324999999999901</v>
      </c>
      <c r="AD6259">
        <v>-1.09589055</v>
      </c>
      <c r="AE6259">
        <v>-41.176499999999997</v>
      </c>
      <c r="AF6259">
        <v>-2.0330613398000801</v>
      </c>
      <c r="AG6259">
        <v>-1.09589055</v>
      </c>
      <c r="AH6259">
        <v>41.181324130941803</v>
      </c>
      <c r="AI6259">
        <v>91.522504806982994</v>
      </c>
      <c r="AJ6259">
        <v>92.826313620915997</v>
      </c>
      <c r="AK6259">
        <v>41.246039466676798</v>
      </c>
      <c r="AL6259">
        <v>79.372785386133998</v>
      </c>
      <c r="AM6259">
        <v>97.104233179310796</v>
      </c>
      <c r="AN6259">
        <v>0.999999951119388</v>
      </c>
    </row>
    <row r="6260" spans="1:40" x14ac:dyDescent="0.25">
      <c r="A6260" t="str">
        <f>"20190304155229315"</f>
        <v>20190304155229315</v>
      </c>
      <c r="B6260" t="str">
        <f>"1551685949303431"</f>
        <v>1551685949303431</v>
      </c>
      <c r="C6260" t="s">
        <v>40</v>
      </c>
      <c r="D6260">
        <v>4.7874309999999998</v>
      </c>
      <c r="E6260">
        <v>0.52586849999999996</v>
      </c>
      <c r="F6260" t="s">
        <v>77</v>
      </c>
      <c r="G6260">
        <v>-299.29840000000002</v>
      </c>
      <c r="H6260" s="1">
        <v>-1.4689189999999999E-5</v>
      </c>
      <c r="I6260">
        <v>-69.511030000000005</v>
      </c>
      <c r="J6260">
        <v>-301.89120000000003</v>
      </c>
      <c r="K6260">
        <v>1.1096629999999901</v>
      </c>
      <c r="L6260">
        <v>-29.471129999999999</v>
      </c>
      <c r="M6260">
        <v>1.434013E-2</v>
      </c>
      <c r="N6260">
        <v>-7.5096140000000004E-3</v>
      </c>
      <c r="O6260">
        <v>-0.99986920000000001</v>
      </c>
      <c r="P6260">
        <v>0.13638549999999999</v>
      </c>
      <c r="Q6260">
        <v>0.17633409999999999</v>
      </c>
      <c r="R6260">
        <v>-0.97483629999999999</v>
      </c>
      <c r="S6260">
        <v>0.19747919999999999</v>
      </c>
      <c r="T6260">
        <v>-8.4400299999999998E-2</v>
      </c>
      <c r="U6260">
        <v>-3.0654300000000001</v>
      </c>
      <c r="V6260">
        <v>-0.1223258</v>
      </c>
      <c r="W6260">
        <v>0.1837078</v>
      </c>
      <c r="X6260">
        <v>0.97533990000000004</v>
      </c>
      <c r="Y6260">
        <v>-4.9951290000000002E-2</v>
      </c>
      <c r="Z6260">
        <v>1.996856E-2</v>
      </c>
      <c r="AA6260">
        <v>0.998552</v>
      </c>
      <c r="AB6260">
        <v>26</v>
      </c>
      <c r="AC6260">
        <v>2.5928000000000102</v>
      </c>
      <c r="AD6260">
        <v>-1.10967768918999</v>
      </c>
      <c r="AE6260">
        <v>-40.039900000000003</v>
      </c>
      <c r="AF6260">
        <v>-2.0167973501567702</v>
      </c>
      <c r="AG6260">
        <v>-1.10967768918999</v>
      </c>
      <c r="AH6260">
        <v>40.042337417256398</v>
      </c>
      <c r="AI6260">
        <v>91.585400698897701</v>
      </c>
      <c r="AJ6260">
        <v>92.883358462107694</v>
      </c>
      <c r="AK6260">
        <v>40.1084485110418</v>
      </c>
      <c r="AL6260">
        <v>79.414196770443397</v>
      </c>
      <c r="AM6260">
        <v>97.148632196279394</v>
      </c>
      <c r="AN6260">
        <v>1.00000003882924</v>
      </c>
    </row>
    <row r="6261" spans="1:40" x14ac:dyDescent="0.25">
      <c r="A6261" t="str">
        <f>"20190304155229349"</f>
        <v>20190304155229349</v>
      </c>
      <c r="B6261" t="str">
        <f>"1551685949343463"</f>
        <v>1551685949343463</v>
      </c>
      <c r="C6261" t="s">
        <v>40</v>
      </c>
      <c r="D6261">
        <v>4.8352700000000004</v>
      </c>
      <c r="E6261">
        <v>0.52538750000000001</v>
      </c>
      <c r="F6261" t="s">
        <v>77</v>
      </c>
      <c r="G6261">
        <v>-299.38459999999998</v>
      </c>
      <c r="H6261" s="1">
        <v>-1.420989E-5</v>
      </c>
      <c r="I6261">
        <v>-67.223339999999993</v>
      </c>
      <c r="J6261">
        <v>-301.88580000000002</v>
      </c>
      <c r="K6261">
        <v>1.1096509999999999</v>
      </c>
      <c r="L6261">
        <v>-29.866879999999998</v>
      </c>
      <c r="M6261">
        <v>1.406876E-2</v>
      </c>
      <c r="N6261">
        <v>-7.5200939999999997E-3</v>
      </c>
      <c r="O6261">
        <v>-0.99987300000000001</v>
      </c>
      <c r="P6261">
        <v>0.13735449999999999</v>
      </c>
      <c r="Q6261">
        <v>0.1756742</v>
      </c>
      <c r="R6261">
        <v>-0.9748194</v>
      </c>
      <c r="S6261">
        <v>0.2035217</v>
      </c>
      <c r="T6261">
        <v>-9.0099810000000002E-2</v>
      </c>
      <c r="U6261">
        <v>-3.065277</v>
      </c>
      <c r="V6261">
        <v>-0.1235594</v>
      </c>
      <c r="W6261">
        <v>0.183059</v>
      </c>
      <c r="X6261">
        <v>0.97530629999999996</v>
      </c>
      <c r="Y6261">
        <v>-5.2182220000000001E-2</v>
      </c>
      <c r="Z6261">
        <v>2.1810199999999998E-2</v>
      </c>
      <c r="AA6261">
        <v>0.99839940000000005</v>
      </c>
      <c r="AB6261">
        <v>26</v>
      </c>
      <c r="AC6261">
        <v>2.5012000000000398</v>
      </c>
      <c r="AD6261">
        <v>-1.1096652098899999</v>
      </c>
      <c r="AE6261">
        <v>-37.356459999999998</v>
      </c>
      <c r="AF6261">
        <v>-1.9736449219980501</v>
      </c>
      <c r="AG6261">
        <v>-1.1096652098899999</v>
      </c>
      <c r="AH6261">
        <v>37.355138312473997</v>
      </c>
      <c r="AI6261">
        <v>91.699149494926203</v>
      </c>
      <c r="AJ6261">
        <v>93.024389226992795</v>
      </c>
      <c r="AK6261">
        <v>37.423695561772497</v>
      </c>
      <c r="AL6261">
        <v>79.452010615645193</v>
      </c>
      <c r="AM6261">
        <v>97.220212004165901</v>
      </c>
      <c r="AN6261">
        <v>0.99999995081452298</v>
      </c>
    </row>
    <row r="6262" spans="1:40" x14ac:dyDescent="0.25">
      <c r="A6262" t="str">
        <f>"20190304155229372"</f>
        <v>20190304155229372</v>
      </c>
      <c r="B6262" t="str">
        <f>"1551685949362967"</f>
        <v>1551685949362967</v>
      </c>
      <c r="C6262" t="s">
        <v>40</v>
      </c>
      <c r="D6262">
        <v>4.826187</v>
      </c>
      <c r="E6262">
        <v>0.52502749999999998</v>
      </c>
      <c r="F6262" t="s">
        <v>77</v>
      </c>
      <c r="G6262">
        <v>-299.53620000000001</v>
      </c>
      <c r="H6262" s="1">
        <v>-1.3593660000000001E-5</v>
      </c>
      <c r="I6262">
        <v>-64.225399999999993</v>
      </c>
      <c r="J6262">
        <v>-301.88200000000001</v>
      </c>
      <c r="K6262">
        <v>1.1096539999999999</v>
      </c>
      <c r="L6262">
        <v>-30.15155</v>
      </c>
      <c r="M6262">
        <v>1.3870789999999999E-2</v>
      </c>
      <c r="N6262">
        <v>-7.5278080000000004E-3</v>
      </c>
      <c r="O6262">
        <v>-0.99987559999999998</v>
      </c>
      <c r="P6262">
        <v>0.13811590000000001</v>
      </c>
      <c r="Q6262">
        <v>0.17580599999999999</v>
      </c>
      <c r="R6262">
        <v>-0.974688</v>
      </c>
      <c r="S6262">
        <v>0.2096558</v>
      </c>
      <c r="T6262">
        <v>-9.901488E-2</v>
      </c>
      <c r="U6262">
        <v>-3.0657960000000002</v>
      </c>
      <c r="V6262">
        <v>-0.1245164</v>
      </c>
      <c r="W6262">
        <v>0.18319679999999999</v>
      </c>
      <c r="X6262">
        <v>0.97515879999999999</v>
      </c>
      <c r="Y6262">
        <v>-5.4351740000000003E-2</v>
      </c>
      <c r="Z6262">
        <v>2.4692479999999999E-2</v>
      </c>
      <c r="AA6262">
        <v>0.99821649999999995</v>
      </c>
      <c r="AB6262">
        <v>26</v>
      </c>
      <c r="AC6262">
        <v>2.3457999999999899</v>
      </c>
      <c r="AD6262">
        <v>-1.10966759366</v>
      </c>
      <c r="AE6262">
        <v>-34.073849999999901</v>
      </c>
      <c r="AF6262">
        <v>-1.8709548318956699</v>
      </c>
      <c r="AG6262">
        <v>-1.10966759366</v>
      </c>
      <c r="AH6262">
        <v>34.067150292535203</v>
      </c>
      <c r="AI6262">
        <v>91.862827755371299</v>
      </c>
      <c r="AJ6262">
        <v>93.143504338399197</v>
      </c>
      <c r="AK6262">
        <v>34.136528282846697</v>
      </c>
      <c r="AL6262">
        <v>79.443980429991896</v>
      </c>
      <c r="AM6262">
        <v>97.276626180462699</v>
      </c>
      <c r="AN6262">
        <v>1.00000004330831</v>
      </c>
    </row>
    <row r="6263" spans="1:40" x14ac:dyDescent="0.25">
      <c r="A6263" t="str">
        <f>"20190304155229396"</f>
        <v>20190304155229396</v>
      </c>
      <c r="B6263" t="str">
        <f>"1551685949393223"</f>
        <v>1551685949393223</v>
      </c>
      <c r="C6263" t="s">
        <v>40</v>
      </c>
      <c r="D6263">
        <v>4.8595790000000001</v>
      </c>
      <c r="E6263">
        <v>0.52472369999999902</v>
      </c>
      <c r="F6263" t="s">
        <v>77</v>
      </c>
      <c r="G6263">
        <v>-299.5222</v>
      </c>
      <c r="H6263" s="1">
        <v>-1.3519759999999999E-5</v>
      </c>
      <c r="I6263">
        <v>-63.910519999999998</v>
      </c>
      <c r="J6263">
        <v>-301.8784</v>
      </c>
      <c r="K6263">
        <v>1.1096569999999999</v>
      </c>
      <c r="L6263">
        <v>-30.428989999999999</v>
      </c>
      <c r="M6263">
        <v>1.367786E-2</v>
      </c>
      <c r="N6263">
        <v>-7.53528599999999E-3</v>
      </c>
      <c r="O6263">
        <v>-0.99987800000000004</v>
      </c>
      <c r="P6263">
        <v>0.1390005</v>
      </c>
      <c r="Q6263">
        <v>0.17658689999999999</v>
      </c>
      <c r="R6263">
        <v>-0.97442099999999998</v>
      </c>
      <c r="S6263">
        <v>0.2142944</v>
      </c>
      <c r="T6263">
        <v>-0.1007706</v>
      </c>
      <c r="U6263">
        <v>-3.0657040000000002</v>
      </c>
      <c r="V6263">
        <v>-0.1255926</v>
      </c>
      <c r="W6263">
        <v>0.18398339999999999</v>
      </c>
      <c r="X6263">
        <v>0.97487259999999998</v>
      </c>
      <c r="Y6263">
        <v>-5.6048180000000003E-2</v>
      </c>
      <c r="Z6263">
        <v>2.5253609999999999E-2</v>
      </c>
      <c r="AA6263">
        <v>0.99810860000000001</v>
      </c>
      <c r="AB6263">
        <v>26</v>
      </c>
      <c r="AC6263">
        <v>2.3561999999999999</v>
      </c>
      <c r="AD6263">
        <v>-1.1096705197600001</v>
      </c>
      <c r="AE6263">
        <v>-33.4815299999999</v>
      </c>
      <c r="AF6263">
        <v>-1.89593854661759</v>
      </c>
      <c r="AG6263">
        <v>-1.1096705197600001</v>
      </c>
      <c r="AH6263">
        <v>33.474038315911599</v>
      </c>
      <c r="AI6263">
        <v>91.895634389054905</v>
      </c>
      <c r="AJ6263">
        <v>93.241716420111402</v>
      </c>
      <c r="AK6263">
        <v>33.546045859536001</v>
      </c>
      <c r="AL6263">
        <v>79.398131706683898</v>
      </c>
      <c r="AM6263">
        <v>97.340966610419301</v>
      </c>
      <c r="AN6263">
        <v>0.99999998944053903</v>
      </c>
    </row>
    <row r="6264" spans="1:40" x14ac:dyDescent="0.25">
      <c r="A6264" t="str">
        <f>"20190304155229419"</f>
        <v>20190304155229419</v>
      </c>
      <c r="B6264" t="str">
        <f>"1551685949413718"</f>
        <v>1551685949413718</v>
      </c>
      <c r="C6264" t="s">
        <v>40</v>
      </c>
      <c r="D6264">
        <v>4.7632450000000004</v>
      </c>
      <c r="E6264">
        <v>0.52424519999999997</v>
      </c>
      <c r="F6264" t="s">
        <v>77</v>
      </c>
      <c r="G6264">
        <v>-299.48660000000001</v>
      </c>
      <c r="H6264" s="1">
        <v>-1.3516779999999999E-5</v>
      </c>
      <c r="I6264">
        <v>-63.946539999999999</v>
      </c>
      <c r="J6264">
        <v>-301.87479999999999</v>
      </c>
      <c r="K6264">
        <v>1.109666</v>
      </c>
      <c r="L6264">
        <v>-30.709900000000001</v>
      </c>
      <c r="M6264">
        <v>1.3486079999999999E-2</v>
      </c>
      <c r="N6264">
        <v>-7.5428619999999896E-3</v>
      </c>
      <c r="O6264">
        <v>-0.99988089999999996</v>
      </c>
      <c r="P6264">
        <v>0.1396395</v>
      </c>
      <c r="Q6264">
        <v>0.17697009999999999</v>
      </c>
      <c r="R6264">
        <v>-0.97426020000000002</v>
      </c>
      <c r="S6264">
        <v>0.21878049999999999</v>
      </c>
      <c r="T6264">
        <v>-0.10150480000000001</v>
      </c>
      <c r="U6264">
        <v>-3.0659480000000001</v>
      </c>
      <c r="V6264">
        <v>-0.12642129999999999</v>
      </c>
      <c r="W6264">
        <v>0.1843728</v>
      </c>
      <c r="X6264">
        <v>0.97469190000000006</v>
      </c>
      <c r="Y6264">
        <v>-5.7686559999999998E-2</v>
      </c>
      <c r="Z6264">
        <v>2.5478979999999998E-2</v>
      </c>
      <c r="AA6264">
        <v>0.99800960000000005</v>
      </c>
      <c r="AB6264">
        <v>27</v>
      </c>
      <c r="AC6264">
        <v>2.3881999999999799</v>
      </c>
      <c r="AD6264">
        <v>-1.10967951678</v>
      </c>
      <c r="AE6264">
        <v>-33.236639999999902</v>
      </c>
      <c r="AF6264">
        <v>-1.93758944362125</v>
      </c>
      <c r="AG6264">
        <v>-1.10967951678</v>
      </c>
      <c r="AH6264">
        <v>33.2289752825885</v>
      </c>
      <c r="AI6264">
        <v>91.909437143515206</v>
      </c>
      <c r="AJ6264">
        <v>93.337151740999502</v>
      </c>
      <c r="AK6264">
        <v>33.303910278117101</v>
      </c>
      <c r="AL6264">
        <v>79.375432386224105</v>
      </c>
      <c r="AM6264">
        <v>97.390225810874199</v>
      </c>
      <c r="AN6264">
        <v>0.99999998719956995</v>
      </c>
    </row>
    <row r="6265" spans="1:40" x14ac:dyDescent="0.25">
      <c r="A6265" t="str">
        <f>"20190304155229441"</f>
        <v>20190304155229441</v>
      </c>
      <c r="B6265" t="str">
        <f>"1551685949433240"</f>
        <v>1551685949433240</v>
      </c>
      <c r="C6265" t="s">
        <v>40</v>
      </c>
      <c r="D6265">
        <v>4.8589549999999999</v>
      </c>
      <c r="E6265">
        <v>0.52397499999999997</v>
      </c>
      <c r="F6265" t="s">
        <v>77</v>
      </c>
      <c r="G6265">
        <v>-299.49310000000003</v>
      </c>
      <c r="H6265" s="1">
        <v>-1.33602799999999E-5</v>
      </c>
      <c r="I6265">
        <v>-63.229669999999999</v>
      </c>
      <c r="J6265">
        <v>-301.8716</v>
      </c>
      <c r="K6265">
        <v>1.1096710000000001</v>
      </c>
      <c r="L6265">
        <v>-30.959109999999999</v>
      </c>
      <c r="M6265">
        <v>1.332933E-2</v>
      </c>
      <c r="N6265">
        <v>-7.5495719999999896E-3</v>
      </c>
      <c r="O6265">
        <v>-0.99988279999999996</v>
      </c>
      <c r="P6265">
        <v>0.14043900000000001</v>
      </c>
      <c r="Q6265">
        <v>0.17719360000000001</v>
      </c>
      <c r="R6265">
        <v>-0.97410439999999998</v>
      </c>
      <c r="S6265">
        <v>0.22454830000000001</v>
      </c>
      <c r="T6265">
        <v>-0.1046252</v>
      </c>
      <c r="U6265">
        <v>-3.0661010000000002</v>
      </c>
      <c r="V6265">
        <v>-0.1273783</v>
      </c>
      <c r="W6265">
        <v>0.18460009999999999</v>
      </c>
      <c r="X6265">
        <v>0.97452430000000001</v>
      </c>
      <c r="Y6265">
        <v>-5.9704609999999998E-2</v>
      </c>
      <c r="Z6265">
        <v>2.6480420000000001E-2</v>
      </c>
      <c r="AA6265">
        <v>0.9978648</v>
      </c>
      <c r="AB6265">
        <v>27</v>
      </c>
      <c r="AC6265">
        <v>2.3784999999999701</v>
      </c>
      <c r="AD6265">
        <v>-1.1096843602799999</v>
      </c>
      <c r="AE6265">
        <v>-32.270559999999897</v>
      </c>
      <c r="AF6265">
        <v>-1.94584309441537</v>
      </c>
      <c r="AG6265">
        <v>-1.1096843602799999</v>
      </c>
      <c r="AH6265">
        <v>32.261455929454399</v>
      </c>
      <c r="AI6265">
        <v>91.966432515148696</v>
      </c>
      <c r="AJ6265">
        <v>93.451601739062099</v>
      </c>
      <c r="AK6265">
        <v>32.339128674342199</v>
      </c>
      <c r="AL6265">
        <v>79.362181956875204</v>
      </c>
      <c r="AM6265">
        <v>97.446810039231707</v>
      </c>
      <c r="AN6265">
        <v>1.00000001976069</v>
      </c>
    </row>
    <row r="6266" spans="1:40" x14ac:dyDescent="0.25">
      <c r="A6266" t="str">
        <f>"20190304155229462"</f>
        <v>20190304155229462</v>
      </c>
      <c r="B6266" t="str">
        <f>"1551685949453736"</f>
        <v>1551685949453736</v>
      </c>
      <c r="C6266" t="s">
        <v>40</v>
      </c>
      <c r="D6266">
        <v>4.6437080000000002</v>
      </c>
      <c r="E6266">
        <v>0.52342100000000003</v>
      </c>
      <c r="F6266" t="s">
        <v>77</v>
      </c>
      <c r="G6266">
        <v>-299.47059999999999</v>
      </c>
      <c r="H6266" s="1">
        <v>-1.3335979999999999E-5</v>
      </c>
      <c r="I6266">
        <v>-63.15108</v>
      </c>
      <c r="J6266">
        <v>-301.86829999999998</v>
      </c>
      <c r="K6266">
        <v>1.109686</v>
      </c>
      <c r="L6266">
        <v>-31.215730000000001</v>
      </c>
      <c r="M6266">
        <v>1.319758E-2</v>
      </c>
      <c r="N6266">
        <v>-7.5564439999999998E-3</v>
      </c>
      <c r="O6266">
        <v>-0.99988469999999996</v>
      </c>
      <c r="P6266">
        <v>0.14146010000000001</v>
      </c>
      <c r="Q6266">
        <v>0.1769617</v>
      </c>
      <c r="R6266">
        <v>-0.97399910000000001</v>
      </c>
      <c r="S6266">
        <v>0.22866819999999999</v>
      </c>
      <c r="T6266">
        <v>-0.1056879</v>
      </c>
      <c r="U6266">
        <v>-3.0660099999999999</v>
      </c>
      <c r="V6266">
        <v>-0.12853680000000001</v>
      </c>
      <c r="W6266">
        <v>0.18436910000000001</v>
      </c>
      <c r="X6266">
        <v>0.9744159</v>
      </c>
      <c r="Y6266">
        <v>-6.1170839999999997E-2</v>
      </c>
      <c r="Z6266">
        <v>2.6816699999999999E-2</v>
      </c>
      <c r="AA6266">
        <v>0.99776699999999996</v>
      </c>
      <c r="AB6266">
        <v>27</v>
      </c>
      <c r="AC6266">
        <v>2.39769999999998</v>
      </c>
      <c r="AD6266">
        <v>-1.10969933597999</v>
      </c>
      <c r="AE6266">
        <v>-31.93535</v>
      </c>
      <c r="AF6266">
        <v>-1.9736402397523001</v>
      </c>
      <c r="AG6266">
        <v>-1.10969933597999</v>
      </c>
      <c r="AH6266">
        <v>31.925880605719598</v>
      </c>
      <c r="AI6266">
        <v>91.986930393463894</v>
      </c>
      <c r="AJ6266">
        <v>93.537491564429999</v>
      </c>
      <c r="AK6266">
        <v>32.006070375210101</v>
      </c>
      <c r="AL6266">
        <v>79.375648324202899</v>
      </c>
      <c r="AM6266">
        <v>97.514594348140307</v>
      </c>
      <c r="AN6266">
        <v>1.0000000100809201</v>
      </c>
    </row>
    <row r="6267" spans="1:40" x14ac:dyDescent="0.25">
      <c r="A6267" t="str">
        <f>"20190304155229483"</f>
        <v>20190304155229483</v>
      </c>
      <c r="B6267" t="str">
        <f>"1551685949473255"</f>
        <v>1551685949473255</v>
      </c>
      <c r="C6267" t="s">
        <v>40</v>
      </c>
      <c r="D6267">
        <v>4.8793759999999997</v>
      </c>
      <c r="E6267">
        <v>0.52316090000000004</v>
      </c>
      <c r="F6267" t="s">
        <v>77</v>
      </c>
      <c r="G6267">
        <v>-299.48689999999999</v>
      </c>
      <c r="H6267" s="1">
        <v>-1.313523E-5</v>
      </c>
      <c r="I6267">
        <v>-62.220390000000002</v>
      </c>
      <c r="J6267">
        <v>-301.86489999999998</v>
      </c>
      <c r="K6267">
        <v>1.109707</v>
      </c>
      <c r="L6267">
        <v>-31.481349999999999</v>
      </c>
      <c r="M6267">
        <v>1.310064E-2</v>
      </c>
      <c r="N6267">
        <v>-7.5635839999999999E-3</v>
      </c>
      <c r="O6267">
        <v>-0.99988589999999999</v>
      </c>
      <c r="P6267">
        <v>0.14282239999999999</v>
      </c>
      <c r="Q6267">
        <v>0.17647379999999999</v>
      </c>
      <c r="R6267">
        <v>-0.97388869999999905</v>
      </c>
      <c r="S6267">
        <v>0.23547360000000001</v>
      </c>
      <c r="T6267">
        <v>-0.1097301</v>
      </c>
      <c r="U6267">
        <v>-3.0658259999999999</v>
      </c>
      <c r="V6267">
        <v>-0.1300077</v>
      </c>
      <c r="W6267">
        <v>0.1838793</v>
      </c>
      <c r="X6267">
        <v>0.97431330000000005</v>
      </c>
      <c r="Y6267">
        <v>-6.3470620000000005E-2</v>
      </c>
      <c r="Z6267">
        <v>2.8119359999999999E-2</v>
      </c>
      <c r="AA6267">
        <v>0.99758749999999996</v>
      </c>
      <c r="AB6267">
        <v>27</v>
      </c>
      <c r="AC6267">
        <v>2.3779999999999801</v>
      </c>
      <c r="AD6267">
        <v>-1.1097201352299999</v>
      </c>
      <c r="AE6267">
        <v>-30.739039999999999</v>
      </c>
      <c r="AF6267">
        <v>-1.97252791647948</v>
      </c>
      <c r="AG6267">
        <v>-1.1097201352299999</v>
      </c>
      <c r="AH6267">
        <v>30.727746716350602</v>
      </c>
      <c r="AI6267">
        <v>92.064070204270806</v>
      </c>
      <c r="AJ6267">
        <v>93.672988659659495</v>
      </c>
      <c r="AK6267">
        <v>30.810984460481301</v>
      </c>
      <c r="AL6267">
        <v>79.404199866380594</v>
      </c>
      <c r="AM6267">
        <v>97.600378448988295</v>
      </c>
      <c r="AN6267">
        <v>1.0000000027923299</v>
      </c>
    </row>
    <row r="6268" spans="1:40" x14ac:dyDescent="0.25">
      <c r="A6268" t="str">
        <f>"20190304155229517"</f>
        <v>20190304155229517</v>
      </c>
      <c r="B6268" t="str">
        <f>"1551685949513272"</f>
        <v>1551685949513272</v>
      </c>
      <c r="C6268" t="s">
        <v>40</v>
      </c>
      <c r="D6268">
        <v>4.8430419999999996</v>
      </c>
      <c r="E6268">
        <v>0.52290159999999997</v>
      </c>
      <c r="F6268" t="s">
        <v>77</v>
      </c>
      <c r="G6268">
        <v>-299.4862</v>
      </c>
      <c r="H6268" s="1">
        <v>-1.301394E-5</v>
      </c>
      <c r="I6268">
        <v>-61.672919999999998</v>
      </c>
      <c r="J6268">
        <v>-301.85969999999998</v>
      </c>
      <c r="K6268">
        <v>1.1097709999999901</v>
      </c>
      <c r="L6268">
        <v>-31.876650000000001</v>
      </c>
      <c r="M6268">
        <v>1.3073639999999999E-2</v>
      </c>
      <c r="N6268">
        <v>-7.5761279999999997E-3</v>
      </c>
      <c r="O6268">
        <v>-0.99988580000000005</v>
      </c>
      <c r="P6268">
        <v>0.14510529999999999</v>
      </c>
      <c r="Q6268">
        <v>0.1755092</v>
      </c>
      <c r="R6268">
        <v>-0.97372550000000002</v>
      </c>
      <c r="S6268">
        <v>0.24151610000000001</v>
      </c>
      <c r="T6268">
        <v>-0.1126728</v>
      </c>
      <c r="U6268">
        <v>-3.0654300000000001</v>
      </c>
      <c r="V6268">
        <v>-0.1323483</v>
      </c>
      <c r="W6268">
        <v>0.18290480000000001</v>
      </c>
      <c r="X6268">
        <v>0.97418159999999998</v>
      </c>
      <c r="Y6268">
        <v>-6.5459160000000002E-2</v>
      </c>
      <c r="Z6268">
        <v>2.90622E-2</v>
      </c>
      <c r="AA6268">
        <v>0.99743190000000004</v>
      </c>
      <c r="AB6268">
        <v>27</v>
      </c>
      <c r="AC6268">
        <v>2.3734999999999702</v>
      </c>
      <c r="AD6268">
        <v>-1.1097840139399999</v>
      </c>
      <c r="AE6268">
        <v>-29.79627</v>
      </c>
      <c r="AF6268">
        <v>-1.9810094222896399</v>
      </c>
      <c r="AG6268">
        <v>-1.1097840139399999</v>
      </c>
      <c r="AH6268">
        <v>29.783697767903998</v>
      </c>
      <c r="AI6268">
        <v>92.129236732531098</v>
      </c>
      <c r="AJ6268">
        <v>93.805321379910097</v>
      </c>
      <c r="AK6268">
        <v>29.870130090420599</v>
      </c>
      <c r="AL6268">
        <v>79.460998029223603</v>
      </c>
      <c r="AM6268">
        <v>97.736602963095805</v>
      </c>
      <c r="AN6268">
        <v>1.00000001407724</v>
      </c>
    </row>
    <row r="6269" spans="1:40" x14ac:dyDescent="0.25">
      <c r="A6269" t="str">
        <f>"20190304155229538"</f>
        <v>20190304155229538</v>
      </c>
      <c r="B6269" t="str">
        <f>"1551685949533767"</f>
        <v>1551685949533767</v>
      </c>
      <c r="C6269" t="s">
        <v>40</v>
      </c>
      <c r="D6269">
        <v>4.8897940000000002</v>
      </c>
      <c r="E6269">
        <v>0.52274949999999998</v>
      </c>
      <c r="F6269" t="s">
        <v>77</v>
      </c>
      <c r="G6269">
        <v>-299.54070000000002</v>
      </c>
      <c r="H6269" s="1">
        <v>-6.3350329999999998E-6</v>
      </c>
      <c r="I6269">
        <v>-60.170969999999997</v>
      </c>
      <c r="J6269">
        <v>-301.8562</v>
      </c>
      <c r="K6269">
        <v>1.1098220000000001</v>
      </c>
      <c r="L6269">
        <v>-32.143920000000001</v>
      </c>
      <c r="M6269">
        <v>1.3159179999999999E-2</v>
      </c>
      <c r="N6269">
        <v>-7.5903050000000003E-3</v>
      </c>
      <c r="O6269">
        <v>-0.99988460000000001</v>
      </c>
      <c r="P6269">
        <v>0.146785</v>
      </c>
      <c r="Q6269">
        <v>0.17507779999999901</v>
      </c>
      <c r="R6269">
        <v>-0.97355130000000001</v>
      </c>
      <c r="S6269">
        <v>0.25122070000000002</v>
      </c>
      <c r="T6269">
        <v>-0.1202246</v>
      </c>
      <c r="U6269">
        <v>-3.0651860000000002</v>
      </c>
      <c r="V6269">
        <v>-0.13397429999999999</v>
      </c>
      <c r="W6269">
        <v>0.1824664</v>
      </c>
      <c r="X6269">
        <v>0.9740415</v>
      </c>
      <c r="Y6269">
        <v>-6.8510199999999993E-2</v>
      </c>
      <c r="Z6269">
        <v>3.149441E-2</v>
      </c>
      <c r="AA6269">
        <v>0.99715319999999996</v>
      </c>
      <c r="AB6269">
        <v>27</v>
      </c>
      <c r="AC6269">
        <v>2.3154999999999801</v>
      </c>
      <c r="AD6269">
        <v>-1.1098283350329901</v>
      </c>
      <c r="AE6269">
        <v>-28.027049999999999</v>
      </c>
      <c r="AF6269">
        <v>-1.94344913201836</v>
      </c>
      <c r="AG6269">
        <v>-1.1098283350329901</v>
      </c>
      <c r="AH6269">
        <v>28.011468767275701</v>
      </c>
      <c r="AI6269">
        <v>92.263465026302995</v>
      </c>
      <c r="AJ6269">
        <v>93.968848587449301</v>
      </c>
      <c r="AK6269">
        <v>28.100731235362002</v>
      </c>
      <c r="AL6269">
        <v>79.4865459953797</v>
      </c>
      <c r="AM6269">
        <v>97.831593216447104</v>
      </c>
      <c r="AN6269">
        <v>0.999999971955849</v>
      </c>
    </row>
    <row r="6270" spans="1:40" x14ac:dyDescent="0.25">
      <c r="A6270" t="str">
        <f>"20190304155229562"</f>
        <v>20190304155229562</v>
      </c>
      <c r="B6270" t="str">
        <f>"1551685949553288"</f>
        <v>1551685949553288</v>
      </c>
      <c r="C6270" t="s">
        <v>40</v>
      </c>
      <c r="D6270">
        <v>4.878997</v>
      </c>
      <c r="E6270">
        <v>0.5225689</v>
      </c>
      <c r="F6270" t="s">
        <v>77</v>
      </c>
      <c r="G6270">
        <v>-299.5206</v>
      </c>
      <c r="H6270" s="1">
        <v>-6.3714249999999997E-6</v>
      </c>
      <c r="I6270">
        <v>-59.887250000000002</v>
      </c>
      <c r="J6270">
        <v>-301.85239999999999</v>
      </c>
      <c r="K6270">
        <v>1.109899</v>
      </c>
      <c r="L6270">
        <v>-32.422269999999997</v>
      </c>
      <c r="M6270">
        <v>1.336234E-2</v>
      </c>
      <c r="N6270">
        <v>-7.6140340000000004E-3</v>
      </c>
      <c r="O6270">
        <v>-0.99988169999999998</v>
      </c>
      <c r="P6270">
        <v>0.14841399999999999</v>
      </c>
      <c r="Q6270">
        <v>0.1759897</v>
      </c>
      <c r="R6270">
        <v>-0.9731398</v>
      </c>
      <c r="S6270">
        <v>0.25799559999999999</v>
      </c>
      <c r="T6270">
        <v>-0.12259589999999899</v>
      </c>
      <c r="U6270">
        <v>-3.0646360000000001</v>
      </c>
      <c r="V6270">
        <v>-0.13544610000000001</v>
      </c>
      <c r="W6270">
        <v>0.1833726</v>
      </c>
      <c r="X6270">
        <v>0.97366770000000002</v>
      </c>
      <c r="Y6270">
        <v>-7.0508570000000007E-2</v>
      </c>
      <c r="Z6270">
        <v>3.2241150000000003E-2</v>
      </c>
      <c r="AA6270">
        <v>0.99699000000000004</v>
      </c>
      <c r="AB6270">
        <v>27</v>
      </c>
      <c r="AC6270">
        <v>2.3317999999999799</v>
      </c>
      <c r="AD6270">
        <v>-1.109905371425</v>
      </c>
      <c r="AE6270">
        <v>-27.464980000000001</v>
      </c>
      <c r="AF6270">
        <v>-1.96140450421988</v>
      </c>
      <c r="AG6270">
        <v>-1.109905371425</v>
      </c>
      <c r="AH6270">
        <v>27.449180487387199</v>
      </c>
      <c r="AI6270">
        <v>92.309606342566497</v>
      </c>
      <c r="AJ6270">
        <v>94.087171750131404</v>
      </c>
      <c r="AK6270">
        <v>27.541541478135301</v>
      </c>
      <c r="AL6270">
        <v>79.433733512031395</v>
      </c>
      <c r="AM6270">
        <v>97.919544329137494</v>
      </c>
      <c r="AN6270">
        <v>0.99999997322962897</v>
      </c>
    </row>
    <row r="6271" spans="1:40" x14ac:dyDescent="0.25">
      <c r="A6271" t="str">
        <f>"20190304155229587"</f>
        <v>20190304155229587</v>
      </c>
      <c r="B6271" t="str">
        <f>"1551685949583543"</f>
        <v>1551685949583543</v>
      </c>
      <c r="C6271" t="s">
        <v>40</v>
      </c>
      <c r="D6271">
        <v>4.8530739999999897</v>
      </c>
      <c r="E6271">
        <v>0.5222675</v>
      </c>
      <c r="F6271" t="s">
        <v>77</v>
      </c>
      <c r="G6271">
        <v>-299.45030000000003</v>
      </c>
      <c r="H6271" s="1">
        <v>-6.3609590000000001E-6</v>
      </c>
      <c r="I6271">
        <v>-60.240589999999997</v>
      </c>
      <c r="J6271">
        <v>-301.84789999999998</v>
      </c>
      <c r="K6271">
        <v>1.110028</v>
      </c>
      <c r="L6271">
        <v>-32.730130000000003</v>
      </c>
      <c r="M6271">
        <v>1.3772609999999999E-2</v>
      </c>
      <c r="N6271">
        <v>-7.6562309999999899E-3</v>
      </c>
      <c r="O6271">
        <v>-0.99987610000000005</v>
      </c>
      <c r="P6271">
        <v>0.15046779999999901</v>
      </c>
      <c r="Q6271">
        <v>0.17749379999999901</v>
      </c>
      <c r="R6271">
        <v>-0.97255150000000001</v>
      </c>
      <c r="S6271">
        <v>0.26461790000000002</v>
      </c>
      <c r="T6271">
        <v>-0.1222703</v>
      </c>
      <c r="U6271">
        <v>-3.0645449999999999</v>
      </c>
      <c r="V6271">
        <v>-0.13716159999999999</v>
      </c>
      <c r="W6271">
        <v>0.18487329999999999</v>
      </c>
      <c r="X6271">
        <v>0.9731436</v>
      </c>
      <c r="Y6271">
        <v>-7.2240609999999997E-2</v>
      </c>
      <c r="Z6271">
        <v>3.2088319999999997E-2</v>
      </c>
      <c r="AA6271">
        <v>0.9968709</v>
      </c>
      <c r="AB6271">
        <v>27</v>
      </c>
      <c r="AC6271">
        <v>2.39759999999995</v>
      </c>
      <c r="AD6271">
        <v>-1.110034360959</v>
      </c>
      <c r="AE6271">
        <v>-27.510459999999998</v>
      </c>
      <c r="AF6271">
        <v>-2.0152145297150499</v>
      </c>
      <c r="AG6271">
        <v>-1.110034360959</v>
      </c>
      <c r="AH6271">
        <v>27.4964436438684</v>
      </c>
      <c r="AI6271">
        <v>92.305604203338206</v>
      </c>
      <c r="AJ6271">
        <v>94.191713606917205</v>
      </c>
      <c r="AK6271">
        <v>27.5925294046</v>
      </c>
      <c r="AL6271">
        <v>79.346253899547605</v>
      </c>
      <c r="AM6271">
        <v>98.0228154302104</v>
      </c>
      <c r="AN6271">
        <v>0.99999995389420304</v>
      </c>
    </row>
    <row r="6272" spans="1:40" x14ac:dyDescent="0.25">
      <c r="A6272" t="str">
        <f>"20190304155229609"</f>
        <v>20190304155229609</v>
      </c>
      <c r="B6272" t="str">
        <f>"1551685949603063"</f>
        <v>1551685949603063</v>
      </c>
      <c r="C6272" t="s">
        <v>40</v>
      </c>
      <c r="D6272">
        <v>4.8749570000000002</v>
      </c>
      <c r="E6272">
        <v>0.52216370000000001</v>
      </c>
      <c r="F6272" t="s">
        <v>77</v>
      </c>
      <c r="G6272">
        <v>-299.3143</v>
      </c>
      <c r="H6272" s="1">
        <v>-1.282974E-5</v>
      </c>
      <c r="I6272">
        <v>-61.078800000000001</v>
      </c>
      <c r="J6272">
        <v>-301.84359999999998</v>
      </c>
      <c r="K6272">
        <v>1.1101909999999999</v>
      </c>
      <c r="L6272">
        <v>-33.004640000000002</v>
      </c>
      <c r="M6272">
        <v>1.4361199999999999E-2</v>
      </c>
      <c r="N6272">
        <v>-7.70881E-3</v>
      </c>
      <c r="O6272">
        <v>-0.99986710000000001</v>
      </c>
      <c r="P6272">
        <v>0.15207950000000001</v>
      </c>
      <c r="Q6272">
        <v>0.178784</v>
      </c>
      <c r="R6272">
        <v>-0.97206380000000003</v>
      </c>
      <c r="S6272">
        <v>0.27386470000000002</v>
      </c>
      <c r="T6272">
        <v>-0.1199844</v>
      </c>
      <c r="U6272">
        <v>-3.064209</v>
      </c>
      <c r="V6272">
        <v>-0.13827010000000001</v>
      </c>
      <c r="W6272">
        <v>0.18616469999999999</v>
      </c>
      <c r="X6272">
        <v>0.97274050000000001</v>
      </c>
      <c r="Y6272">
        <v>-7.4649750000000001E-2</v>
      </c>
      <c r="Z6272">
        <v>3.1289379999999999E-2</v>
      </c>
      <c r="AA6272">
        <v>0.99671880000000002</v>
      </c>
      <c r="AB6272">
        <v>27</v>
      </c>
      <c r="AC6272">
        <v>2.5292999999999699</v>
      </c>
      <c r="AD6272">
        <v>-1.1102038297400001</v>
      </c>
      <c r="AE6272">
        <v>-28.074159999999999</v>
      </c>
      <c r="AF6272">
        <v>-2.1225559059997998</v>
      </c>
      <c r="AG6272">
        <v>-1.1102038297400001</v>
      </c>
      <c r="AH6272">
        <v>28.0640551894185</v>
      </c>
      <c r="AI6272">
        <v>92.258973894282406</v>
      </c>
      <c r="AJ6272">
        <v>94.325191038664201</v>
      </c>
      <c r="AK6272">
        <v>28.166096459971001</v>
      </c>
      <c r="AL6272">
        <v>79.270955463355705</v>
      </c>
      <c r="AM6272">
        <v>98.090105969531393</v>
      </c>
      <c r="AN6272">
        <v>0.99999999821017405</v>
      </c>
    </row>
    <row r="6273" spans="1:40" x14ac:dyDescent="0.25">
      <c r="A6273" t="str">
        <f>"20190304155229627"</f>
        <v>20190304155229627</v>
      </c>
      <c r="B6273" t="str">
        <f>"1551685949623559"</f>
        <v>1551685949623559</v>
      </c>
      <c r="C6273" t="s">
        <v>40</v>
      </c>
      <c r="D6273">
        <v>4.9534539999999998</v>
      </c>
      <c r="E6273">
        <v>0.52211379999999996</v>
      </c>
      <c r="F6273" t="s">
        <v>77</v>
      </c>
      <c r="G6273">
        <v>-299.1857</v>
      </c>
      <c r="H6273" s="1">
        <v>-1.3011409999999999E-5</v>
      </c>
      <c r="I6273">
        <v>-62.07929</v>
      </c>
      <c r="J6273">
        <v>-301.83980000000003</v>
      </c>
      <c r="K6273">
        <v>1.110336</v>
      </c>
      <c r="L6273">
        <v>-33.225430000000003</v>
      </c>
      <c r="M6273">
        <v>1.4992409999999999E-2</v>
      </c>
      <c r="N6273">
        <v>-7.765699E-3</v>
      </c>
      <c r="O6273">
        <v>-0.99985740000000001</v>
      </c>
      <c r="P6273">
        <v>0.15386729999999901</v>
      </c>
      <c r="Q6273">
        <v>0.18028140000000001</v>
      </c>
      <c r="R6273">
        <v>-0.97150570000000003</v>
      </c>
      <c r="S6273">
        <v>0.28009030000000001</v>
      </c>
      <c r="T6273">
        <v>-0.116993899999999</v>
      </c>
      <c r="U6273">
        <v>-3.063904</v>
      </c>
      <c r="V6273">
        <v>-0.13951179999999999</v>
      </c>
      <c r="W6273">
        <v>0.18766830000000001</v>
      </c>
      <c r="X6273">
        <v>0.97227419999999998</v>
      </c>
      <c r="Y6273">
        <v>-7.6040549999999998E-2</v>
      </c>
      <c r="Z6273">
        <v>3.026007E-2</v>
      </c>
      <c r="AA6273">
        <v>0.99664549999999996</v>
      </c>
      <c r="AB6273">
        <v>27</v>
      </c>
      <c r="AC6273">
        <v>2.6541000000000201</v>
      </c>
      <c r="AD6273">
        <v>-1.1103490114100001</v>
      </c>
      <c r="AE6273">
        <v>-28.853860000000001</v>
      </c>
      <c r="AF6273">
        <v>-2.2179428308429001</v>
      </c>
      <c r="AG6273">
        <v>-1.1103490114100001</v>
      </c>
      <c r="AH6273">
        <v>28.848048183483801</v>
      </c>
      <c r="AI6273">
        <v>92.197722446054797</v>
      </c>
      <c r="AJ6273">
        <v>94.396458832835407</v>
      </c>
      <c r="AK6273">
        <v>28.9544820248028</v>
      </c>
      <c r="AL6273">
        <v>79.183260267595998</v>
      </c>
      <c r="AM6273">
        <v>98.165644151012401</v>
      </c>
      <c r="AN6273">
        <v>1.0000000265748801</v>
      </c>
    </row>
    <row r="6274" spans="1:40" x14ac:dyDescent="0.25">
      <c r="A6274" t="str">
        <f>"20190304155229650"</f>
        <v>20190304155229650</v>
      </c>
      <c r="B6274" t="str">
        <f>"1551685949643080"</f>
        <v>1551685949643080</v>
      </c>
      <c r="C6274" t="s">
        <v>40</v>
      </c>
      <c r="D6274">
        <v>4.9162330000000001</v>
      </c>
      <c r="E6274">
        <v>0.52208849999999996</v>
      </c>
      <c r="F6274" t="s">
        <v>77</v>
      </c>
      <c r="G6274">
        <v>-299.03129999999999</v>
      </c>
      <c r="H6274" s="1">
        <v>-1.324889E-5</v>
      </c>
      <c r="I6274">
        <v>-63.368029999999997</v>
      </c>
      <c r="J6274">
        <v>-301.83460000000002</v>
      </c>
      <c r="K6274">
        <v>1.1105240000000001</v>
      </c>
      <c r="L6274">
        <v>-33.508479999999999</v>
      </c>
      <c r="M6274">
        <v>1.6006119999999999E-2</v>
      </c>
      <c r="N6274">
        <v>-7.8520359999999997E-3</v>
      </c>
      <c r="O6274">
        <v>-0.99984150000000005</v>
      </c>
      <c r="P6274">
        <v>0.1557211</v>
      </c>
      <c r="Q6274">
        <v>0.18216579999999999</v>
      </c>
      <c r="R6274">
        <v>-0.97085929999999998</v>
      </c>
      <c r="S6274">
        <v>0.28546139999999998</v>
      </c>
      <c r="T6274">
        <v>-0.1128569</v>
      </c>
      <c r="U6274">
        <v>-3.0637210000000001</v>
      </c>
      <c r="V6274">
        <v>-0.14046819999999999</v>
      </c>
      <c r="W6274">
        <v>0.1895752</v>
      </c>
      <c r="X6274">
        <v>0.97176640000000003</v>
      </c>
      <c r="Y6274">
        <v>-7.6771530000000004E-2</v>
      </c>
      <c r="Z6274">
        <v>2.882885E-2</v>
      </c>
      <c r="AA6274">
        <v>0.99663190000000002</v>
      </c>
      <c r="AB6274">
        <v>27</v>
      </c>
      <c r="AC6274">
        <v>2.8033000000000299</v>
      </c>
      <c r="AD6274">
        <v>-1.1105372488900001</v>
      </c>
      <c r="AE6274">
        <v>-29.859549999999999</v>
      </c>
      <c r="AF6274">
        <v>-2.32180721995412</v>
      </c>
      <c r="AG6274">
        <v>-1.1105372488900001</v>
      </c>
      <c r="AH6274">
        <v>29.859653484871401</v>
      </c>
      <c r="AI6274">
        <v>92.123553042227897</v>
      </c>
      <c r="AJ6274">
        <v>94.446220875136405</v>
      </c>
      <c r="AK6274">
        <v>29.970368499309401</v>
      </c>
      <c r="AL6274">
        <v>79.072005642123301</v>
      </c>
      <c r="AM6274">
        <v>98.225096877811595</v>
      </c>
      <c r="AN6274">
        <v>1.00000000391762</v>
      </c>
    </row>
    <row r="6275" spans="1:40" x14ac:dyDescent="0.25">
      <c r="A6275" t="str">
        <f>"20190304155229673"</f>
        <v>20190304155229673</v>
      </c>
      <c r="B6275" t="str">
        <f>"1551685949663576"</f>
        <v>1551685949663576</v>
      </c>
      <c r="C6275" t="s">
        <v>40</v>
      </c>
      <c r="D6275">
        <v>5.2644390000000003</v>
      </c>
      <c r="E6275">
        <v>0.52217060000000004</v>
      </c>
      <c r="F6275" t="s">
        <v>77</v>
      </c>
      <c r="G6275">
        <v>-298.8349</v>
      </c>
      <c r="H6275" s="1">
        <v>-1.356782E-5</v>
      </c>
      <c r="I6275">
        <v>-65.083659999999995</v>
      </c>
      <c r="J6275">
        <v>-301.82889999999998</v>
      </c>
      <c r="K6275">
        <v>1.110725</v>
      </c>
      <c r="L6275">
        <v>-33.785029999999999</v>
      </c>
      <c r="M6275">
        <v>1.724241E-2</v>
      </c>
      <c r="N6275">
        <v>-7.9519029999999997E-3</v>
      </c>
      <c r="O6275">
        <v>-0.99982009999999999</v>
      </c>
      <c r="P6275">
        <v>0.1572614</v>
      </c>
      <c r="Q6275">
        <v>0.1838313</v>
      </c>
      <c r="R6275">
        <v>-0.97029679999999996</v>
      </c>
      <c r="S6275">
        <v>0.29104609999999997</v>
      </c>
      <c r="T6275">
        <v>-0.107749499999999</v>
      </c>
      <c r="U6275">
        <v>-3.0635680000000001</v>
      </c>
      <c r="V6275">
        <v>-0.14089760000000001</v>
      </c>
      <c r="W6275">
        <v>0.1912749</v>
      </c>
      <c r="X6275">
        <v>0.97137110000000004</v>
      </c>
      <c r="Y6275">
        <v>-7.7348959999999994E-2</v>
      </c>
      <c r="Z6275">
        <v>2.7068680000000001E-2</v>
      </c>
      <c r="AA6275">
        <v>0.99663659999999998</v>
      </c>
      <c r="AB6275">
        <v>27</v>
      </c>
      <c r="AC6275">
        <v>2.99399999999997</v>
      </c>
      <c r="AD6275">
        <v>-1.1107385678199999</v>
      </c>
      <c r="AE6275">
        <v>-31.298629999999999</v>
      </c>
      <c r="AF6275">
        <v>-2.4508155776069001</v>
      </c>
      <c r="AG6275">
        <v>-1.1107385678199999</v>
      </c>
      <c r="AH6275">
        <v>31.306531427551398</v>
      </c>
      <c r="AI6275">
        <v>92.0257777356682</v>
      </c>
      <c r="AJ6275">
        <v>94.476241127427699</v>
      </c>
      <c r="AK6275">
        <v>31.421953268149199</v>
      </c>
      <c r="AL6275">
        <v>78.972804940733894</v>
      </c>
      <c r="AM6275">
        <v>98.253205827614096</v>
      </c>
      <c r="AN6275">
        <v>1.0000000174854899</v>
      </c>
    </row>
    <row r="6276" spans="1:40" x14ac:dyDescent="0.25">
      <c r="A6276" t="str">
        <f>"20190304155229694"</f>
        <v>20190304155229694</v>
      </c>
      <c r="B6276" t="str">
        <f>"1551685949683096"</f>
        <v>1551685949683096</v>
      </c>
      <c r="C6276" t="s">
        <v>40</v>
      </c>
      <c r="D6276">
        <v>4.9176000000000002</v>
      </c>
      <c r="E6276">
        <v>0.52208209999999999</v>
      </c>
      <c r="F6276" t="s">
        <v>77</v>
      </c>
      <c r="G6276">
        <v>-298.59350000000001</v>
      </c>
      <c r="H6276" s="1">
        <v>-1.3989579999999999E-5</v>
      </c>
      <c r="I6276">
        <v>-67.326920000000001</v>
      </c>
      <c r="J6276">
        <v>-301.82299999999998</v>
      </c>
      <c r="K6276">
        <v>1.110903</v>
      </c>
      <c r="L6276">
        <v>-34.049770000000002</v>
      </c>
      <c r="M6276">
        <v>1.863457E-2</v>
      </c>
      <c r="N6276">
        <v>-8.0575639999999997E-3</v>
      </c>
      <c r="O6276">
        <v>-0.99979390000000001</v>
      </c>
      <c r="P6276">
        <v>0.1590424</v>
      </c>
      <c r="Q6276">
        <v>0.18538569999999999</v>
      </c>
      <c r="R6276">
        <v>-0.96971010000000002</v>
      </c>
      <c r="S6276">
        <v>0.29547119999999999</v>
      </c>
      <c r="T6276">
        <v>-0.1014369</v>
      </c>
      <c r="U6276">
        <v>-3.0631710000000001</v>
      </c>
      <c r="V6276">
        <v>-0.1414125</v>
      </c>
      <c r="W6276">
        <v>0.1928734</v>
      </c>
      <c r="X6276">
        <v>0.97098010000000001</v>
      </c>
      <c r="Y6276">
        <v>-7.7405280000000007E-2</v>
      </c>
      <c r="Z6276">
        <v>2.491515E-2</v>
      </c>
      <c r="AA6276">
        <v>0.99668840000000003</v>
      </c>
      <c r="AB6276">
        <v>27</v>
      </c>
      <c r="AC6276">
        <v>3.2294999999999701</v>
      </c>
      <c r="AD6276">
        <v>-1.11091698958</v>
      </c>
      <c r="AE6276">
        <v>-33.277149999999999</v>
      </c>
      <c r="AF6276">
        <v>-2.60593653272801</v>
      </c>
      <c r="AG6276">
        <v>-1.11091698958</v>
      </c>
      <c r="AH6276">
        <v>33.294793673846897</v>
      </c>
      <c r="AI6276">
        <v>91.905204615975606</v>
      </c>
      <c r="AJ6276">
        <v>94.475336123101101</v>
      </c>
      <c r="AK6276">
        <v>33.415091314470203</v>
      </c>
      <c r="AL6276">
        <v>78.879479747971899</v>
      </c>
      <c r="AM6276">
        <v>98.286237967261698</v>
      </c>
      <c r="AN6276">
        <v>0.99999999908991</v>
      </c>
    </row>
    <row r="6277" spans="1:40" x14ac:dyDescent="0.25">
      <c r="A6277" t="str">
        <f>"20190304155229717"</f>
        <v>20190304155229717</v>
      </c>
      <c r="B6277" t="str">
        <f>"1551685949713352"</f>
        <v>1551685949713352</v>
      </c>
      <c r="C6277" t="s">
        <v>40</v>
      </c>
      <c r="D6277">
        <v>4.9063530000000002</v>
      </c>
      <c r="E6277">
        <v>0.5219686</v>
      </c>
      <c r="F6277" t="s">
        <v>77</v>
      </c>
      <c r="G6277">
        <v>-298.37270000000001</v>
      </c>
      <c r="H6277" s="1">
        <v>-1.428108E-5</v>
      </c>
      <c r="I6277">
        <v>-68.98</v>
      </c>
      <c r="J6277">
        <v>-301.81619999999998</v>
      </c>
      <c r="K6277">
        <v>1.1110869999999999</v>
      </c>
      <c r="L6277">
        <v>-34.324100000000001</v>
      </c>
      <c r="M6277">
        <v>2.030059E-2</v>
      </c>
      <c r="N6277">
        <v>-8.1829650000000004E-3</v>
      </c>
      <c r="O6277">
        <v>-0.9997606</v>
      </c>
      <c r="P6277">
        <v>0.161497</v>
      </c>
      <c r="Q6277">
        <v>0.18486459999999999</v>
      </c>
      <c r="R6277">
        <v>-0.96940400000000004</v>
      </c>
      <c r="S6277">
        <v>0.30252079999999998</v>
      </c>
      <c r="T6277">
        <v>-9.7406270000000003E-2</v>
      </c>
      <c r="U6277">
        <v>-3.0627140000000002</v>
      </c>
      <c r="V6277">
        <v>-0.14232790000000001</v>
      </c>
      <c r="W6277">
        <v>0.1924149</v>
      </c>
      <c r="X6277">
        <v>0.9709373</v>
      </c>
      <c r="Y6277">
        <v>-7.8034060000000002E-2</v>
      </c>
      <c r="Z6277">
        <v>2.3480890000000001E-2</v>
      </c>
      <c r="AA6277">
        <v>0.99667410000000001</v>
      </c>
      <c r="AB6277">
        <v>28</v>
      </c>
      <c r="AC6277">
        <v>3.44349999999997</v>
      </c>
      <c r="AD6277">
        <v>-1.1111012810800001</v>
      </c>
      <c r="AE6277">
        <v>-34.655900000000003</v>
      </c>
      <c r="AF6277">
        <v>-2.73644635893731</v>
      </c>
      <c r="AG6277">
        <v>-1.1111012810800001</v>
      </c>
      <c r="AH6277">
        <v>34.683362451333402</v>
      </c>
      <c r="AI6277">
        <v>91.829194868523004</v>
      </c>
      <c r="AJ6277">
        <v>94.511174785125604</v>
      </c>
      <c r="AK6277">
        <v>34.808882712071103</v>
      </c>
      <c r="AL6277">
        <v>78.906251145938796</v>
      </c>
      <c r="AM6277">
        <v>98.339487445774594</v>
      </c>
      <c r="AN6277">
        <v>0.999999982695854</v>
      </c>
    </row>
    <row r="6278" spans="1:40" x14ac:dyDescent="0.25">
      <c r="A6278" t="str">
        <f>"20190304155229741"</f>
        <v>20190304155229741</v>
      </c>
      <c r="B6278" t="str">
        <f>"1551685949733848"</f>
        <v>1551685949733848</v>
      </c>
      <c r="C6278" t="s">
        <v>40</v>
      </c>
      <c r="D6278">
        <v>4.9557890000000002</v>
      </c>
      <c r="E6278">
        <v>0.52189859999999999</v>
      </c>
      <c r="F6278" t="s">
        <v>77</v>
      </c>
      <c r="G6278">
        <v>-298.3981</v>
      </c>
      <c r="H6278" s="1">
        <v>-1.4082619999999999E-5</v>
      </c>
      <c r="I6278">
        <v>-68.019490000000005</v>
      </c>
      <c r="J6278">
        <v>-301.80799999999999</v>
      </c>
      <c r="K6278">
        <v>1.111291</v>
      </c>
      <c r="L6278">
        <v>-34.62433</v>
      </c>
      <c r="M6278">
        <v>2.2387649999999999E-2</v>
      </c>
      <c r="N6278">
        <v>-8.3465069999999995E-3</v>
      </c>
      <c r="O6278">
        <v>-0.9997144</v>
      </c>
      <c r="P6278">
        <v>0.16521659999999999</v>
      </c>
      <c r="Q6278">
        <v>0.18364</v>
      </c>
      <c r="R6278">
        <v>-0.96900980000000003</v>
      </c>
      <c r="S6278">
        <v>0.31063839999999998</v>
      </c>
      <c r="T6278">
        <v>-0.1009755</v>
      </c>
      <c r="U6278">
        <v>-3.062195</v>
      </c>
      <c r="V6278">
        <v>-0.1441085</v>
      </c>
      <c r="W6278">
        <v>0.19127910000000001</v>
      </c>
      <c r="X6278">
        <v>0.97089910000000001</v>
      </c>
      <c r="Y6278">
        <v>-7.8582009999999994E-2</v>
      </c>
      <c r="Z6278">
        <v>2.447585E-2</v>
      </c>
      <c r="AA6278">
        <v>0.99660709999999997</v>
      </c>
      <c r="AB6278">
        <v>28</v>
      </c>
      <c r="AC6278">
        <v>3.4098999999999902</v>
      </c>
      <c r="AD6278">
        <v>-1.1113050826199999</v>
      </c>
      <c r="AE6278">
        <v>-33.395159999999997</v>
      </c>
      <c r="AF6278">
        <v>-2.6584664358502601</v>
      </c>
      <c r="AG6278">
        <v>-1.1113050826199999</v>
      </c>
      <c r="AH6278">
        <v>33.4264976071074</v>
      </c>
      <c r="AI6278">
        <v>91.8981780016464</v>
      </c>
      <c r="AJ6278">
        <v>94.547259722296204</v>
      </c>
      <c r="AK6278">
        <v>33.550457300238897</v>
      </c>
      <c r="AL6278">
        <v>78.972559667170103</v>
      </c>
      <c r="AM6278">
        <v>98.4426519083828</v>
      </c>
      <c r="AN6278">
        <v>1.0000000081249301</v>
      </c>
    </row>
    <row r="6279" spans="1:40" x14ac:dyDescent="0.25">
      <c r="A6279" t="str">
        <f>"20190304155229762"</f>
        <v>20190304155229762</v>
      </c>
      <c r="B6279" t="str">
        <f>"1551685949753368"</f>
        <v>1551685949753368</v>
      </c>
      <c r="C6279" t="s">
        <v>40</v>
      </c>
      <c r="D6279">
        <v>4.8807900000000002</v>
      </c>
      <c r="E6279">
        <v>0.52184030000000003</v>
      </c>
      <c r="F6279" t="s">
        <v>77</v>
      </c>
      <c r="G6279">
        <v>-298.41800000000001</v>
      </c>
      <c r="H6279" s="1">
        <v>-1.382795E-5</v>
      </c>
      <c r="I6279">
        <v>-66.839950000000002</v>
      </c>
      <c r="J6279">
        <v>-301.8005</v>
      </c>
      <c r="K6279">
        <v>1.111478</v>
      </c>
      <c r="L6279">
        <v>-34.87491</v>
      </c>
      <c r="M6279">
        <v>2.4344930000000001E-2</v>
      </c>
      <c r="N6279">
        <v>-8.5129390000000006E-3</v>
      </c>
      <c r="O6279">
        <v>-0.99966759999999999</v>
      </c>
      <c r="P6279">
        <v>0.16895579999999999</v>
      </c>
      <c r="Q6279">
        <v>0.18276020000000001</v>
      </c>
      <c r="R6279">
        <v>-0.96853149999999999</v>
      </c>
      <c r="S6279">
        <v>0.32211299999999998</v>
      </c>
      <c r="T6279">
        <v>-0.10559300000000001</v>
      </c>
      <c r="U6279">
        <v>-3.061035</v>
      </c>
      <c r="V6279">
        <v>-0.14602709999999999</v>
      </c>
      <c r="W6279">
        <v>0.1904961</v>
      </c>
      <c r="X6279">
        <v>0.97076640000000003</v>
      </c>
      <c r="Y6279">
        <v>-8.0359669999999994E-2</v>
      </c>
      <c r="Z6279">
        <v>2.581139E-2</v>
      </c>
      <c r="AA6279">
        <v>0.99643170000000003</v>
      </c>
      <c r="AB6279">
        <v>28</v>
      </c>
      <c r="AC6279">
        <v>3.3824999999999901</v>
      </c>
      <c r="AD6279">
        <v>-1.1114918279499999</v>
      </c>
      <c r="AE6279">
        <v>-31.965039999999998</v>
      </c>
      <c r="AF6279">
        <v>-2.6001736789582601</v>
      </c>
      <c r="AG6279">
        <v>-1.1114918279499999</v>
      </c>
      <c r="AH6279">
        <v>31.999652836576999</v>
      </c>
      <c r="AI6279">
        <v>91.982810442524496</v>
      </c>
      <c r="AJ6279">
        <v>94.645437534419301</v>
      </c>
      <c r="AK6279">
        <v>32.124353672965803</v>
      </c>
      <c r="AL6279">
        <v>79.018263016811503</v>
      </c>
      <c r="AM6279">
        <v>98.554553847882303</v>
      </c>
      <c r="AN6279">
        <v>1.0000000407092799</v>
      </c>
    </row>
    <row r="6280" spans="1:40" x14ac:dyDescent="0.25">
      <c r="A6280" t="str">
        <f>"20190304155229787"</f>
        <v>20190304155229787</v>
      </c>
      <c r="B6280" t="str">
        <f>"1551685949783624"</f>
        <v>1551685949783624</v>
      </c>
      <c r="C6280" t="s">
        <v>40</v>
      </c>
      <c r="D6280">
        <v>4.9585710000000001</v>
      </c>
      <c r="E6280">
        <v>0.52181339999999998</v>
      </c>
      <c r="F6280" t="s">
        <v>77</v>
      </c>
      <c r="G6280">
        <v>-298.41269999999997</v>
      </c>
      <c r="H6280" s="1">
        <v>-1.3626570000000001E-5</v>
      </c>
      <c r="I6280">
        <v>-65.936490000000006</v>
      </c>
      <c r="J6280">
        <v>-301.7901</v>
      </c>
      <c r="K6280">
        <v>1.111731</v>
      </c>
      <c r="L6280">
        <v>-35.187130000000003</v>
      </c>
      <c r="M6280">
        <v>2.703645E-2</v>
      </c>
      <c r="N6280">
        <v>-8.7722189999999995E-3</v>
      </c>
      <c r="O6280">
        <v>-0.99959629999999999</v>
      </c>
      <c r="P6280">
        <v>0.17339289999999999</v>
      </c>
      <c r="Q6280">
        <v>0.18208299999999999</v>
      </c>
      <c r="R6280">
        <v>-0.96787460000000003</v>
      </c>
      <c r="S6280">
        <v>0.33374019999999999</v>
      </c>
      <c r="T6280">
        <v>-0.1094941</v>
      </c>
      <c r="U6280">
        <v>-3.0599059999999998</v>
      </c>
      <c r="V6280">
        <v>-0.14795759999999999</v>
      </c>
      <c r="W6280">
        <v>0.18998670000000001</v>
      </c>
      <c r="X6280">
        <v>0.97057380000000004</v>
      </c>
      <c r="Y6280">
        <v>-8.145326E-2</v>
      </c>
      <c r="Z6280">
        <v>2.682112E-2</v>
      </c>
      <c r="AA6280">
        <v>0.99631619999999999</v>
      </c>
      <c r="AB6280">
        <v>28</v>
      </c>
      <c r="AC6280">
        <v>3.3774000000000202</v>
      </c>
      <c r="AD6280">
        <v>-1.1117446265699999</v>
      </c>
      <c r="AE6280">
        <v>-30.749359999999999</v>
      </c>
      <c r="AF6280">
        <v>-2.5414974408339601</v>
      </c>
      <c r="AG6280">
        <v>-1.1117446265699999</v>
      </c>
      <c r="AH6280">
        <v>30.789666945991801</v>
      </c>
      <c r="AI6280">
        <v>92.060918467753098</v>
      </c>
      <c r="AJ6280">
        <v>94.718716274257702</v>
      </c>
      <c r="AK6280">
        <v>30.914378143536599</v>
      </c>
      <c r="AL6280">
        <v>79.047991411743894</v>
      </c>
      <c r="AM6280">
        <v>98.667633919740993</v>
      </c>
      <c r="AN6280">
        <v>0.99999994941054304</v>
      </c>
    </row>
    <row r="6281" spans="1:40" x14ac:dyDescent="0.25">
      <c r="A6281" t="str">
        <f>"20190304155229809"</f>
        <v>20190304155229809</v>
      </c>
      <c r="B6281" t="str">
        <f>"1551685949803144"</f>
        <v>1551685949803144</v>
      </c>
      <c r="C6281" t="s">
        <v>40</v>
      </c>
      <c r="D6281">
        <v>4.9818920000000002</v>
      </c>
      <c r="E6281">
        <v>0.52189830000000004</v>
      </c>
      <c r="F6281" t="s">
        <v>77</v>
      </c>
      <c r="G6281">
        <v>-298.36590000000001</v>
      </c>
      <c r="H6281" s="1">
        <v>-1.3471780000000001E-5</v>
      </c>
      <c r="I6281">
        <v>-65.301410000000004</v>
      </c>
      <c r="J6281">
        <v>-301.7801</v>
      </c>
      <c r="K6281">
        <v>1.111964</v>
      </c>
      <c r="L6281">
        <v>-35.458100000000002</v>
      </c>
      <c r="M6281">
        <v>2.962789E-2</v>
      </c>
      <c r="N6281">
        <v>-9.0567789999999992E-3</v>
      </c>
      <c r="O6281">
        <v>-0.99952019999999997</v>
      </c>
      <c r="P6281">
        <v>0.17823699999999901</v>
      </c>
      <c r="Q6281">
        <v>0.1819924</v>
      </c>
      <c r="R6281">
        <v>-0.96701139999999997</v>
      </c>
      <c r="S6281">
        <v>0.34777829999999998</v>
      </c>
      <c r="T6281">
        <v>-0.11291229999999999</v>
      </c>
      <c r="U6281">
        <v>-3.0585019999999998</v>
      </c>
      <c r="V6281">
        <v>-0.150389299999999</v>
      </c>
      <c r="W6281">
        <v>0.19009200000000001</v>
      </c>
      <c r="X6281">
        <v>0.97017940000000003</v>
      </c>
      <c r="Y6281">
        <v>-8.3431240000000004E-2</v>
      </c>
      <c r="Z6281">
        <v>2.7648800000000001E-2</v>
      </c>
      <c r="AA6281">
        <v>0.99612990000000001</v>
      </c>
      <c r="AB6281">
        <v>28</v>
      </c>
      <c r="AC6281">
        <v>3.4141999999999899</v>
      </c>
      <c r="AD6281">
        <v>-1.1119774717799999</v>
      </c>
      <c r="AE6281">
        <v>-29.843309999999999</v>
      </c>
      <c r="AF6281">
        <v>-2.5250103706287499</v>
      </c>
      <c r="AG6281">
        <v>-1.1119774717799999</v>
      </c>
      <c r="AH6281">
        <v>29.890405190776999</v>
      </c>
      <c r="AI6281">
        <v>92.122970296631607</v>
      </c>
      <c r="AJ6281">
        <v>94.828632090786996</v>
      </c>
      <c r="AK6281">
        <v>30.0174698090688</v>
      </c>
      <c r="AL6281">
        <v>79.041846618337104</v>
      </c>
      <c r="AM6281">
        <v>98.811395801478994</v>
      </c>
      <c r="AN6281">
        <v>0.99999998910142396</v>
      </c>
    </row>
    <row r="6282" spans="1:40" x14ac:dyDescent="0.25">
      <c r="A6282" t="str">
        <f>"20190304155229832"</f>
        <v>20190304155229832</v>
      </c>
      <c r="B6282" t="str">
        <f>"1551685949823639"</f>
        <v>1551685949823639</v>
      </c>
      <c r="C6282" t="s">
        <v>40</v>
      </c>
      <c r="D6282">
        <v>4.9394960000000001</v>
      </c>
      <c r="E6282">
        <v>0.52206629999999998</v>
      </c>
      <c r="F6282" t="s">
        <v>77</v>
      </c>
      <c r="G6282">
        <v>-298.24209999999999</v>
      </c>
      <c r="H6282" s="1">
        <v>-1.3425069999999999E-5</v>
      </c>
      <c r="I6282">
        <v>-65.262309999999999</v>
      </c>
      <c r="J6282">
        <v>-301.76859999999999</v>
      </c>
      <c r="K6282">
        <v>1.1122080000000001</v>
      </c>
      <c r="L6282">
        <v>-35.74051</v>
      </c>
      <c r="M6282">
        <v>3.2574100000000002E-2</v>
      </c>
      <c r="N6282">
        <v>-9.4124800000000008E-3</v>
      </c>
      <c r="O6282">
        <v>-0.99942509999999996</v>
      </c>
      <c r="P6282">
        <v>0.1837242</v>
      </c>
      <c r="Q6282">
        <v>0.18163579999999999</v>
      </c>
      <c r="R6282">
        <v>-0.96605079999999999</v>
      </c>
      <c r="S6282">
        <v>0.3628845</v>
      </c>
      <c r="T6282">
        <v>-0.11405170000000001</v>
      </c>
      <c r="U6282">
        <v>-3.056915</v>
      </c>
      <c r="V6282">
        <v>-0.15312379999999901</v>
      </c>
      <c r="W6282">
        <v>0.18999750000000001</v>
      </c>
      <c r="X6282">
        <v>0.96977009999999997</v>
      </c>
      <c r="Y6282">
        <v>-8.5406999999999997E-2</v>
      </c>
      <c r="Z6282">
        <v>2.7666300000000001E-2</v>
      </c>
      <c r="AA6282">
        <v>0.99596200000000001</v>
      </c>
      <c r="AB6282">
        <v>28</v>
      </c>
      <c r="AC6282">
        <v>3.5264999999999902</v>
      </c>
      <c r="AD6282">
        <v>-1.11222142507</v>
      </c>
      <c r="AE6282">
        <v>-29.521799999999999</v>
      </c>
      <c r="AF6282">
        <v>-2.55935825102017</v>
      </c>
      <c r="AG6282">
        <v>-1.11222142507</v>
      </c>
      <c r="AH6282">
        <v>29.579615844529801</v>
      </c>
      <c r="AI6282">
        <v>92.145352791665005</v>
      </c>
      <c r="AJ6282">
        <v>94.945166364016799</v>
      </c>
      <c r="AK6282">
        <v>29.710957989694801</v>
      </c>
      <c r="AL6282">
        <v>79.047361670376205</v>
      </c>
      <c r="AM6282">
        <v>98.972753736566602</v>
      </c>
      <c r="AN6282">
        <v>0.99999999749335</v>
      </c>
    </row>
    <row r="6283" spans="1:40" x14ac:dyDescent="0.25">
      <c r="A6283" t="str">
        <f>"20190304155229850"</f>
        <v>20190304155229850</v>
      </c>
      <c r="B6283" t="str">
        <f>"1551685949843160"</f>
        <v>1551685949843160</v>
      </c>
      <c r="C6283" t="s">
        <v>40</v>
      </c>
      <c r="D6283">
        <v>4.9577010000000001</v>
      </c>
      <c r="E6283">
        <v>0.52213500000000002</v>
      </c>
      <c r="F6283" t="s">
        <v>77</v>
      </c>
      <c r="G6283">
        <v>-298.17599999999999</v>
      </c>
      <c r="H6283" s="1">
        <v>-1.328964E-5</v>
      </c>
      <c r="I6283">
        <v>-64.741669999999999</v>
      </c>
      <c r="J6283">
        <v>-301.75819999999999</v>
      </c>
      <c r="K6283">
        <v>1.1123909999999999</v>
      </c>
      <c r="L6283">
        <v>-35.975279999999998</v>
      </c>
      <c r="M6283">
        <v>3.5173259999999998E-2</v>
      </c>
      <c r="N6283">
        <v>-9.7247810000000001E-3</v>
      </c>
      <c r="O6283">
        <v>-0.9993339</v>
      </c>
      <c r="P6283">
        <v>0.18894559999999999</v>
      </c>
      <c r="Q6283">
        <v>0.18143319999999999</v>
      </c>
      <c r="R6283">
        <v>-0.96508099999999997</v>
      </c>
      <c r="S6283">
        <v>0.3785095</v>
      </c>
      <c r="T6283">
        <v>-0.1171806</v>
      </c>
      <c r="U6283">
        <v>-3.0554809999999999</v>
      </c>
      <c r="V6283">
        <v>-0.1559111</v>
      </c>
      <c r="W6283">
        <v>0.19002930000000001</v>
      </c>
      <c r="X6283">
        <v>0.96931959999999995</v>
      </c>
      <c r="Y6283">
        <v>-8.7885179999999993E-2</v>
      </c>
      <c r="Z6283">
        <v>2.8369430000000001E-2</v>
      </c>
      <c r="AA6283">
        <v>0.99572649999999996</v>
      </c>
      <c r="AB6283">
        <v>28</v>
      </c>
      <c r="AC6283">
        <v>3.5821999999999998</v>
      </c>
      <c r="AD6283">
        <v>-1.1124042896399999</v>
      </c>
      <c r="AE6283">
        <v>-28.766390000000001</v>
      </c>
      <c r="AF6283">
        <v>-2.5643515050518801</v>
      </c>
      <c r="AG6283">
        <v>-1.1124042896399999</v>
      </c>
      <c r="AH6283">
        <v>28.832135216133601</v>
      </c>
      <c r="AI6283">
        <v>92.200816534854198</v>
      </c>
      <c r="AJ6283">
        <v>95.082555531502194</v>
      </c>
      <c r="AK6283">
        <v>28.967315427330899</v>
      </c>
      <c r="AL6283">
        <v>79.045505288357901</v>
      </c>
      <c r="AM6283">
        <v>99.137528355938002</v>
      </c>
      <c r="AN6283">
        <v>0.999999946452928</v>
      </c>
    </row>
    <row r="6284" spans="1:40" x14ac:dyDescent="0.25">
      <c r="A6284" t="str">
        <f>"20190304155229874"</f>
        <v>20190304155229874</v>
      </c>
      <c r="B6284" t="str">
        <f>"1551685949863656"</f>
        <v>1551685949863656</v>
      </c>
      <c r="C6284" t="s">
        <v>40</v>
      </c>
      <c r="D6284">
        <v>4.9214140000000004</v>
      </c>
      <c r="E6284">
        <v>0.5221635</v>
      </c>
      <c r="F6284" t="s">
        <v>77</v>
      </c>
      <c r="G6284">
        <v>-298.06139999999999</v>
      </c>
      <c r="H6284" s="1">
        <v>-1.3231070000000001E-5</v>
      </c>
      <c r="I6284">
        <v>-64.636119999999906</v>
      </c>
      <c r="J6284">
        <v>-301.74459999999999</v>
      </c>
      <c r="K6284">
        <v>1.112584</v>
      </c>
      <c r="L6284">
        <v>-36.260800000000003</v>
      </c>
      <c r="M6284">
        <v>3.8522830000000001E-2</v>
      </c>
      <c r="N6284">
        <v>-1.012764E-2</v>
      </c>
      <c r="O6284">
        <v>-0.99920629999999999</v>
      </c>
      <c r="P6284">
        <v>0.19486539999999999</v>
      </c>
      <c r="Q6284">
        <v>0.18143049999999999</v>
      </c>
      <c r="R6284">
        <v>-0.96390370000000003</v>
      </c>
      <c r="S6284">
        <v>0.39389039999999997</v>
      </c>
      <c r="T6284">
        <v>-0.1185228</v>
      </c>
      <c r="U6284">
        <v>-3.0537109999999998</v>
      </c>
      <c r="V6284">
        <v>-0.15868309999999999</v>
      </c>
      <c r="W6284">
        <v>0.19034300000000001</v>
      </c>
      <c r="X6284">
        <v>0.96880820000000001</v>
      </c>
      <c r="Y6284">
        <v>-8.9550809999999995E-2</v>
      </c>
      <c r="Z6284">
        <v>2.8406190000000001E-2</v>
      </c>
      <c r="AA6284">
        <v>0.99557709999999999</v>
      </c>
      <c r="AB6284">
        <v>28</v>
      </c>
      <c r="AC6284">
        <v>3.6831999999999998</v>
      </c>
      <c r="AD6284">
        <v>-1.1125972310700001</v>
      </c>
      <c r="AE6284">
        <v>-28.375319999999899</v>
      </c>
      <c r="AF6284">
        <v>-2.5834059711144399</v>
      </c>
      <c r="AG6284">
        <v>-1.1125972310700001</v>
      </c>
      <c r="AH6284">
        <v>28.453130218801999</v>
      </c>
      <c r="AI6284">
        <v>92.230120803962507</v>
      </c>
      <c r="AJ6284">
        <v>95.187953509531894</v>
      </c>
      <c r="AK6284">
        <v>28.5918253747164</v>
      </c>
      <c r="AL6284">
        <v>79.027198665800597</v>
      </c>
      <c r="AM6284">
        <v>99.301997016686698</v>
      </c>
      <c r="AN6284">
        <v>1.0000000561309199</v>
      </c>
    </row>
    <row r="6285" spans="1:40" x14ac:dyDescent="0.25">
      <c r="A6285" t="str">
        <f>"20190304155229895"</f>
        <v>20190304155229895</v>
      </c>
      <c r="B6285" t="str">
        <f>"1551685949892936"</f>
        <v>1551685949892936</v>
      </c>
      <c r="C6285" t="s">
        <v>40</v>
      </c>
      <c r="D6285">
        <v>5.1841730000000004</v>
      </c>
      <c r="E6285">
        <v>0.47037869999999998</v>
      </c>
      <c r="F6285" t="s">
        <v>77</v>
      </c>
      <c r="G6285">
        <v>-297.90559999999999</v>
      </c>
      <c r="H6285" s="1">
        <v>-1.3188740000000001E-5</v>
      </c>
      <c r="I6285">
        <v>-64.661319999999904</v>
      </c>
      <c r="J6285">
        <v>-301.73099999999999</v>
      </c>
      <c r="K6285">
        <v>1.1127629999999999</v>
      </c>
      <c r="L6285">
        <v>-36.523249999999997</v>
      </c>
      <c r="M6285">
        <v>4.1769140000000003E-2</v>
      </c>
      <c r="N6285">
        <v>-1.0521000000000001E-2</v>
      </c>
      <c r="O6285">
        <v>-0.99907199999999996</v>
      </c>
      <c r="P6285">
        <v>0.20040620000000001</v>
      </c>
      <c r="Q6285">
        <v>0.1810813</v>
      </c>
      <c r="R6285">
        <v>-0.96283300000000005</v>
      </c>
      <c r="S6285">
        <v>0.4124756</v>
      </c>
      <c r="T6285">
        <v>-0.11954140000000001</v>
      </c>
      <c r="U6285">
        <v>-3.051453</v>
      </c>
      <c r="V6285">
        <v>-0.16116440000000001</v>
      </c>
      <c r="W6285">
        <v>0.19031110000000001</v>
      </c>
      <c r="X6285">
        <v>0.96840470000000001</v>
      </c>
      <c r="Y6285">
        <v>-9.2365649999999994E-2</v>
      </c>
      <c r="Z6285">
        <v>2.8348439999999999E-2</v>
      </c>
      <c r="AA6285">
        <v>0.99532149999999997</v>
      </c>
      <c r="AB6285">
        <v>28</v>
      </c>
      <c r="AC6285">
        <v>3.8254000000000001</v>
      </c>
      <c r="AD6285">
        <v>-1.1127761887399901</v>
      </c>
      <c r="AE6285">
        <v>-28.1380699999999</v>
      </c>
      <c r="AF6285">
        <v>-2.64263526142105</v>
      </c>
      <c r="AG6285">
        <v>-1.1127761887399901</v>
      </c>
      <c r="AH6285">
        <v>28.229953921581899</v>
      </c>
      <c r="AI6285">
        <v>92.247516435160605</v>
      </c>
      <c r="AJ6285">
        <v>95.347932317062401</v>
      </c>
      <c r="AK6285">
        <v>28.375202032510099</v>
      </c>
      <c r="AL6285">
        <v>79.029059484968101</v>
      </c>
      <c r="AM6285">
        <v>99.448714012021796</v>
      </c>
      <c r="AN6285">
        <v>0.99999997079632896</v>
      </c>
    </row>
    <row r="6286" spans="1:40" x14ac:dyDescent="0.25">
      <c r="A6286" t="str">
        <f>"20190304155229918"</f>
        <v>20190304155229918</v>
      </c>
      <c r="B6286" t="str">
        <f>"1551685949913431"</f>
        <v>1551685949913431</v>
      </c>
      <c r="C6286" t="s">
        <v>40</v>
      </c>
      <c r="D6286">
        <v>4.9931229999999998</v>
      </c>
      <c r="E6286">
        <v>0.45872259999999998</v>
      </c>
      <c r="F6286" t="s">
        <v>101</v>
      </c>
      <c r="G6286">
        <v>-286.00659999999999</v>
      </c>
      <c r="H6286">
        <v>3.4125209999999999</v>
      </c>
      <c r="I6286">
        <v>-91.564989999999995</v>
      </c>
      <c r="J6286">
        <v>-301.71589999999998</v>
      </c>
      <c r="K6286">
        <v>1.112938</v>
      </c>
      <c r="L6286">
        <v>-36.795169999999999</v>
      </c>
      <c r="M6286">
        <v>4.5306810000000003E-2</v>
      </c>
      <c r="N6286">
        <v>-1.092834E-2</v>
      </c>
      <c r="O6286">
        <v>-0.9989133</v>
      </c>
      <c r="P6286">
        <v>0.20625579999999999</v>
      </c>
      <c r="Q6286">
        <v>0.18120420000000001</v>
      </c>
      <c r="R6286">
        <v>-0.96157380000000003</v>
      </c>
      <c r="S6286">
        <v>0.83398439999999996</v>
      </c>
      <c r="T6286">
        <v>0.12197429999999999</v>
      </c>
      <c r="U6286">
        <v>-2.9192809999999998</v>
      </c>
      <c r="V6286">
        <v>-0.16368759999999999</v>
      </c>
      <c r="W6286">
        <v>0.19076000000000001</v>
      </c>
      <c r="X6286">
        <v>0.96789309999999995</v>
      </c>
      <c r="Y6286">
        <v>-0.2305198</v>
      </c>
      <c r="Z6286">
        <v>-5.1162159999999998E-2</v>
      </c>
      <c r="AA6286">
        <v>0.97172170000000002</v>
      </c>
      <c r="AB6286">
        <v>28</v>
      </c>
      <c r="AC6286">
        <v>15.709299999999899</v>
      </c>
      <c r="AD6286">
        <v>2.2995830000000002</v>
      </c>
      <c r="AE6286">
        <v>-54.769820000000003</v>
      </c>
      <c r="AF6286">
        <v>-13.1900877135868</v>
      </c>
      <c r="AG6286">
        <v>2.2995830000000002</v>
      </c>
      <c r="AH6286">
        <v>55.335219308605701</v>
      </c>
      <c r="AI6286">
        <v>87.685093690695993</v>
      </c>
      <c r="AJ6286">
        <v>103.40722986084999</v>
      </c>
      <c r="AK6286">
        <v>56.932003230147203</v>
      </c>
      <c r="AL6286">
        <v>79.002860096168007</v>
      </c>
      <c r="AM6286">
        <v>99.598891346877807</v>
      </c>
      <c r="AN6286">
        <v>1.00000003051068</v>
      </c>
    </row>
    <row r="6287" spans="1:40" x14ac:dyDescent="0.25">
      <c r="A6287" t="str">
        <f>"20190304155229940"</f>
        <v>20190304155229940</v>
      </c>
      <c r="B6287" t="str">
        <f>"1551685949932952"</f>
        <v>1551685949932952</v>
      </c>
      <c r="C6287" t="s">
        <v>40</v>
      </c>
      <c r="D6287">
        <v>4.8775180000000002</v>
      </c>
      <c r="E6287">
        <v>0.44609019999999999</v>
      </c>
      <c r="F6287" t="s">
        <v>101</v>
      </c>
      <c r="G6287">
        <v>-287.4271</v>
      </c>
      <c r="H6287">
        <v>4.0904959999999999</v>
      </c>
      <c r="I6287">
        <v>-80.464519999999993</v>
      </c>
      <c r="J6287">
        <v>-301.69940000000003</v>
      </c>
      <c r="K6287">
        <v>1.113113</v>
      </c>
      <c r="L6287">
        <v>-37.06982</v>
      </c>
      <c r="M6287">
        <v>4.905549E-2</v>
      </c>
      <c r="N6287">
        <v>-1.1314279999999999E-2</v>
      </c>
      <c r="O6287">
        <v>-0.99873210000000001</v>
      </c>
      <c r="P6287">
        <v>0.21149499999999999</v>
      </c>
      <c r="Q6287">
        <v>0.18056759999999999</v>
      </c>
      <c r="R6287">
        <v>-0.96055469999999998</v>
      </c>
      <c r="S6287">
        <v>0.94256589999999996</v>
      </c>
      <c r="T6287">
        <v>0.19641749999999999</v>
      </c>
      <c r="U6287">
        <v>-2.8806759999999998</v>
      </c>
      <c r="V6287">
        <v>-0.1653868</v>
      </c>
      <c r="W6287">
        <v>0.1904333</v>
      </c>
      <c r="X6287">
        <v>0.96766850000000004</v>
      </c>
      <c r="Y6287">
        <v>-0.26315260000000001</v>
      </c>
      <c r="Z6287">
        <v>-7.6214219999999999E-2</v>
      </c>
      <c r="AA6287">
        <v>0.96173909999999996</v>
      </c>
      <c r="AB6287">
        <v>28</v>
      </c>
      <c r="AC6287">
        <v>14.2723</v>
      </c>
      <c r="AD6287">
        <v>2.9773830000000001</v>
      </c>
      <c r="AE6287">
        <v>-43.394699999999901</v>
      </c>
      <c r="AF6287">
        <v>-12.0749356311317</v>
      </c>
      <c r="AG6287">
        <v>2.9773830000000001</v>
      </c>
      <c r="AH6287">
        <v>43.856324328263902</v>
      </c>
      <c r="AI6287">
        <v>86.255110440675296</v>
      </c>
      <c r="AJ6287">
        <v>105.393796265761</v>
      </c>
      <c r="AK6287">
        <v>45.585590526070199</v>
      </c>
      <c r="AL6287">
        <v>79.021927620129205</v>
      </c>
      <c r="AM6287">
        <v>99.698860581135406</v>
      </c>
      <c r="AN6287">
        <v>0.99999998062768902</v>
      </c>
    </row>
    <row r="6288" spans="1:40" x14ac:dyDescent="0.25">
      <c r="A6288" t="str">
        <f>"20190304155229963"</f>
        <v>20190304155229963</v>
      </c>
      <c r="B6288" t="str">
        <f>"1551685949953448"</f>
        <v>1551685949953448</v>
      </c>
      <c r="C6288" t="s">
        <v>40</v>
      </c>
      <c r="D6288">
        <v>4.9169510000000001</v>
      </c>
      <c r="E6288">
        <v>0.44592179999999998</v>
      </c>
      <c r="F6288" t="s">
        <v>77</v>
      </c>
      <c r="G6288">
        <v>-295.93709999999999</v>
      </c>
      <c r="H6288" s="1">
        <v>-8.4026449999999996E-6</v>
      </c>
      <c r="I6288">
        <v>-53.011339999999997</v>
      </c>
      <c r="J6288">
        <v>-301.68200000000002</v>
      </c>
      <c r="K6288">
        <v>1.11327</v>
      </c>
      <c r="L6288">
        <v>-37.339660000000002</v>
      </c>
      <c r="M6288">
        <v>5.2905260000000003E-2</v>
      </c>
      <c r="N6288">
        <v>-1.1661120000000001E-2</v>
      </c>
      <c r="O6288">
        <v>-0.99853159999999996</v>
      </c>
      <c r="P6288">
        <v>0.21665989999999999</v>
      </c>
      <c r="Q6288">
        <v>0.17985139999999999</v>
      </c>
      <c r="R6288">
        <v>-0.9595378</v>
      </c>
      <c r="S6288">
        <v>1.0585629999999999</v>
      </c>
      <c r="T6288">
        <v>-0.20448740000000001</v>
      </c>
      <c r="U6288">
        <v>-2.9285580000000002</v>
      </c>
      <c r="V6288">
        <v>-0.1669165</v>
      </c>
      <c r="W6288">
        <v>0.18998760000000001</v>
      </c>
      <c r="X6288">
        <v>0.96749350000000001</v>
      </c>
      <c r="Y6288">
        <v>-0.28907369999999999</v>
      </c>
      <c r="Z6288">
        <v>5.4414369999999997E-2</v>
      </c>
      <c r="AA6288">
        <v>0.95575909999999997</v>
      </c>
      <c r="AB6288">
        <v>27</v>
      </c>
      <c r="AC6288">
        <v>5.7449000000000296</v>
      </c>
      <c r="AD6288">
        <v>-1.113278402645</v>
      </c>
      <c r="AE6288">
        <v>-15.67168</v>
      </c>
      <c r="AF6288">
        <v>-4.8859474682513904</v>
      </c>
      <c r="AG6288">
        <v>-1.113278402645</v>
      </c>
      <c r="AH6288">
        <v>15.883029076087301</v>
      </c>
      <c r="AI6288">
        <v>93.832753130205603</v>
      </c>
      <c r="AJ6288">
        <v>107.09897743912801</v>
      </c>
      <c r="AK6288">
        <v>16.654803634271499</v>
      </c>
      <c r="AL6288">
        <v>79.047939885940593</v>
      </c>
      <c r="AM6288">
        <v>99.788576484366402</v>
      </c>
      <c r="AN6288">
        <v>1.00000003933412</v>
      </c>
    </row>
    <row r="6289" spans="1:40" x14ac:dyDescent="0.25">
      <c r="A6289" t="str">
        <f>"20190304155229987"</f>
        <v>20190304155229987</v>
      </c>
      <c r="B6289" t="str">
        <f>"1551685949983705"</f>
        <v>1551685949983705</v>
      </c>
      <c r="C6289" t="s">
        <v>40</v>
      </c>
      <c r="D6289">
        <v>4.8384970000000003</v>
      </c>
      <c r="E6289">
        <v>0.44712750000000001</v>
      </c>
      <c r="F6289" t="s">
        <v>77</v>
      </c>
      <c r="G6289">
        <v>-295.56060000000002</v>
      </c>
      <c r="H6289" s="1">
        <v>-8.4276420000000003E-6</v>
      </c>
      <c r="I6289">
        <v>-53.964239999999997</v>
      </c>
      <c r="J6289">
        <v>-301.66149999999999</v>
      </c>
      <c r="K6289">
        <v>1.113443</v>
      </c>
      <c r="L6289">
        <v>-37.637079999999997</v>
      </c>
      <c r="M6289">
        <v>5.7341389999999999E-2</v>
      </c>
      <c r="N6289">
        <v>-1.200878E-2</v>
      </c>
      <c r="O6289">
        <v>-0.99828229999999996</v>
      </c>
      <c r="P6289">
        <v>0.22186800000000001</v>
      </c>
      <c r="Q6289">
        <v>0.17971129999999999</v>
      </c>
      <c r="R6289">
        <v>-0.95837309999999998</v>
      </c>
      <c r="S6289">
        <v>1.0753170000000001</v>
      </c>
      <c r="T6289">
        <v>-0.1955634</v>
      </c>
      <c r="U6289">
        <v>-2.9203489999999999</v>
      </c>
      <c r="V6289">
        <v>-0.16794139999999999</v>
      </c>
      <c r="W6289">
        <v>0.1901168</v>
      </c>
      <c r="X6289">
        <v>0.96729069999999995</v>
      </c>
      <c r="Y6289">
        <v>-0.29057359999999999</v>
      </c>
      <c r="Z6289">
        <v>5.1281720000000003E-2</v>
      </c>
      <c r="AA6289">
        <v>0.95547749999999998</v>
      </c>
      <c r="AB6289">
        <v>27</v>
      </c>
      <c r="AC6289">
        <v>6.1008999999999602</v>
      </c>
      <c r="AD6289">
        <v>-1.113451427642</v>
      </c>
      <c r="AE6289">
        <v>-16.327159999999999</v>
      </c>
      <c r="AF6289">
        <v>-5.1336207117686197</v>
      </c>
      <c r="AG6289">
        <v>-1.113451427642</v>
      </c>
      <c r="AH6289">
        <v>16.582479332564098</v>
      </c>
      <c r="AI6289">
        <v>93.6700860149801</v>
      </c>
      <c r="AJ6289">
        <v>107.201532019833</v>
      </c>
      <c r="AK6289">
        <v>17.3946099843869</v>
      </c>
      <c r="AL6289">
        <v>79.040399464517407</v>
      </c>
      <c r="AM6289">
        <v>99.849531253030904</v>
      </c>
      <c r="AN6289">
        <v>1.00000000489134</v>
      </c>
    </row>
    <row r="6290" spans="1:40" x14ac:dyDescent="0.25">
      <c r="A6290" t="str">
        <f>"20190304155230019"</f>
        <v>20190304155230019</v>
      </c>
      <c r="B6290" t="str">
        <f>"1551685950012984"</f>
        <v>1551685950012984</v>
      </c>
      <c r="C6290" t="s">
        <v>40</v>
      </c>
      <c r="D6290">
        <v>4.8499749999999997</v>
      </c>
      <c r="E6290">
        <v>0.44810169999999999</v>
      </c>
      <c r="F6290" t="s">
        <v>77</v>
      </c>
      <c r="G6290">
        <v>-295.52480000000003</v>
      </c>
      <c r="H6290" s="1">
        <v>-8.4168200000000002E-6</v>
      </c>
      <c r="I6290">
        <v>-54.172199999999997</v>
      </c>
      <c r="J6290">
        <v>-301.63170000000002</v>
      </c>
      <c r="K6290">
        <v>1.1136539999999999</v>
      </c>
      <c r="L6290">
        <v>-38.027979999999999</v>
      </c>
      <c r="M6290">
        <v>6.3540659999999999E-2</v>
      </c>
      <c r="N6290">
        <v>-1.24054E-2</v>
      </c>
      <c r="O6290">
        <v>-0.99790219999999996</v>
      </c>
      <c r="P6290">
        <v>0.22866819999999999</v>
      </c>
      <c r="Q6290">
        <v>0.18067820000000001</v>
      </c>
      <c r="R6290">
        <v>-0.95659110000000003</v>
      </c>
      <c r="S6290">
        <v>1.0824279999999999</v>
      </c>
      <c r="T6290">
        <v>-0.1963974</v>
      </c>
      <c r="U6290">
        <v>-2.9165649999999999</v>
      </c>
      <c r="V6290">
        <v>-0.16891010000000001</v>
      </c>
      <c r="W6290">
        <v>0.1913821</v>
      </c>
      <c r="X6290">
        <v>0.96687250000000002</v>
      </c>
      <c r="Y6290">
        <v>-0.28707759999999999</v>
      </c>
      <c r="Z6290">
        <v>5.1221629999999997E-2</v>
      </c>
      <c r="AA6290">
        <v>0.95653690000000002</v>
      </c>
      <c r="AB6290">
        <v>27</v>
      </c>
      <c r="AC6290">
        <v>6.1068999999999898</v>
      </c>
      <c r="AD6290">
        <v>-1.11366241682</v>
      </c>
      <c r="AE6290">
        <v>-16.144219999999901</v>
      </c>
      <c r="AF6290">
        <v>-5.04765159063661</v>
      </c>
      <c r="AG6290">
        <v>-1.11366241682</v>
      </c>
      <c r="AH6290">
        <v>16.4312566736699</v>
      </c>
      <c r="AI6290">
        <v>93.706949119134293</v>
      </c>
      <c r="AJ6290">
        <v>107.076860735916</v>
      </c>
      <c r="AK6290">
        <v>17.2251335679905</v>
      </c>
      <c r="AL6290">
        <v>78.966547934559799</v>
      </c>
      <c r="AM6290">
        <v>99.909421446085503</v>
      </c>
      <c r="AN6290">
        <v>1.0000000806693301</v>
      </c>
    </row>
    <row r="6291" spans="1:40" x14ac:dyDescent="0.25">
      <c r="A6291" t="str">
        <f>"20190304155230041"</f>
        <v>20190304155230041</v>
      </c>
      <c r="B6291" t="str">
        <f>"1551685950033699"</f>
        <v>1551685950033699</v>
      </c>
      <c r="C6291" t="s">
        <v>40</v>
      </c>
      <c r="D6291">
        <v>4.7961780000000003</v>
      </c>
      <c r="E6291">
        <v>0.44854260000000001</v>
      </c>
      <c r="F6291" t="s">
        <v>77</v>
      </c>
      <c r="G6291">
        <v>-295.19040000000001</v>
      </c>
      <c r="H6291" s="1">
        <v>-8.4264029999999994E-6</v>
      </c>
      <c r="I6291">
        <v>-55.130450000000003</v>
      </c>
      <c r="J6291">
        <v>-301.60980000000001</v>
      </c>
      <c r="K6291">
        <v>1.113783</v>
      </c>
      <c r="L6291">
        <v>-38.296050000000001</v>
      </c>
      <c r="M6291">
        <v>6.7987580000000006E-2</v>
      </c>
      <c r="N6291">
        <v>-1.26437999999999E-2</v>
      </c>
      <c r="O6291">
        <v>-0.99760610000000005</v>
      </c>
      <c r="P6291">
        <v>0.23461560000000001</v>
      </c>
      <c r="Q6291">
        <v>0.1801006</v>
      </c>
      <c r="R6291">
        <v>-0.95525870000000002</v>
      </c>
      <c r="S6291">
        <v>1.0959779999999999</v>
      </c>
      <c r="T6291">
        <v>-0.18948699999999999</v>
      </c>
      <c r="U6291">
        <v>-2.9099430000000002</v>
      </c>
      <c r="V6291">
        <v>-0.1706618</v>
      </c>
      <c r="W6291">
        <v>0.190973</v>
      </c>
      <c r="X6291">
        <v>0.96664570000000005</v>
      </c>
      <c r="Y6291">
        <v>-0.28746840000000001</v>
      </c>
      <c r="Z6291">
        <v>4.8823369999999998E-2</v>
      </c>
      <c r="AA6291">
        <v>0.95654490000000003</v>
      </c>
      <c r="AB6291">
        <v>27</v>
      </c>
      <c r="AC6291">
        <v>6.4193999999999898</v>
      </c>
      <c r="AD6291">
        <v>-1.113791426403</v>
      </c>
      <c r="AE6291">
        <v>-16.834399999999999</v>
      </c>
      <c r="AF6291">
        <v>-5.2398975711740698</v>
      </c>
      <c r="AG6291">
        <v>-1.113791426403</v>
      </c>
      <c r="AH6291">
        <v>17.166312388063101</v>
      </c>
      <c r="AI6291">
        <v>93.550981662760904</v>
      </c>
      <c r="AJ6291">
        <v>106.97444563475</v>
      </c>
      <c r="AK6291">
        <v>17.982751149434598</v>
      </c>
      <c r="AL6291">
        <v>78.990427451824502</v>
      </c>
      <c r="AM6291">
        <v>100.012421121811</v>
      </c>
      <c r="AN6291">
        <v>1.0000000230183601</v>
      </c>
    </row>
    <row r="6292" spans="1:40" x14ac:dyDescent="0.25">
      <c r="A6292" t="str">
        <f>"20190304155230063"</f>
        <v>20190304155230063</v>
      </c>
      <c r="B6292" t="str">
        <f>"1551685950053219"</f>
        <v>1551685950053219</v>
      </c>
      <c r="C6292" t="s">
        <v>40</v>
      </c>
      <c r="D6292">
        <v>4.779776</v>
      </c>
      <c r="E6292">
        <v>0.4487737</v>
      </c>
      <c r="F6292" t="s">
        <v>77</v>
      </c>
      <c r="G6292">
        <v>-295.1241</v>
      </c>
      <c r="H6292" s="1">
        <v>-8.4334119999999906E-6</v>
      </c>
      <c r="I6292">
        <v>-55.274990000000003</v>
      </c>
      <c r="J6292">
        <v>-301.58679999999998</v>
      </c>
      <c r="K6292">
        <v>1.113888</v>
      </c>
      <c r="L6292">
        <v>-38.561219999999999</v>
      </c>
      <c r="M6292">
        <v>7.2539300000000001E-2</v>
      </c>
      <c r="N6292">
        <v>-1.2852550000000001E-2</v>
      </c>
      <c r="O6292">
        <v>-0.99728269999999997</v>
      </c>
      <c r="P6292">
        <v>0.2399597</v>
      </c>
      <c r="Q6292">
        <v>0.179376799999999</v>
      </c>
      <c r="R6292">
        <v>-0.95406679999999999</v>
      </c>
      <c r="S6292">
        <v>1.109283</v>
      </c>
      <c r="T6292">
        <v>-0.19049730000000001</v>
      </c>
      <c r="U6292">
        <v>-2.9039920000000001</v>
      </c>
      <c r="V6292">
        <v>-0.1716965</v>
      </c>
      <c r="W6292">
        <v>0.19040099999999999</v>
      </c>
      <c r="X6292">
        <v>0.96657530000000003</v>
      </c>
      <c r="Y6292">
        <v>-0.28756890000000002</v>
      </c>
      <c r="Z6292">
        <v>4.8994269999999999E-2</v>
      </c>
      <c r="AA6292">
        <v>0.95650599999999997</v>
      </c>
      <c r="AB6292">
        <v>27</v>
      </c>
      <c r="AC6292">
        <v>6.4626999999999803</v>
      </c>
      <c r="AD6292">
        <v>-1.1138964334119901</v>
      </c>
      <c r="AE6292">
        <v>-16.71377</v>
      </c>
      <c r="AF6292">
        <v>-5.2130235321402001</v>
      </c>
      <c r="AG6292">
        <v>-1.1138964334119901</v>
      </c>
      <c r="AH6292">
        <v>17.072602698413899</v>
      </c>
      <c r="AI6292">
        <v>93.570657287934395</v>
      </c>
      <c r="AJ6292">
        <v>106.979757120548</v>
      </c>
      <c r="AK6292">
        <v>17.885472946190301</v>
      </c>
      <c r="AL6292">
        <v>79.023813200500896</v>
      </c>
      <c r="AM6292">
        <v>100.072604447084</v>
      </c>
      <c r="AN6292">
        <v>1.0000000197416601</v>
      </c>
    </row>
    <row r="6293" spans="1:40" x14ac:dyDescent="0.25">
      <c r="A6293" t="str">
        <f>"20190304155230085"</f>
        <v>20190304155230085</v>
      </c>
      <c r="B6293" t="str">
        <f>"1551685950083476"</f>
        <v>1551685950083476</v>
      </c>
      <c r="C6293" t="s">
        <v>40</v>
      </c>
      <c r="D6293">
        <v>4.7543369999999996</v>
      </c>
      <c r="E6293">
        <v>0.4493839</v>
      </c>
      <c r="F6293" t="s">
        <v>77</v>
      </c>
      <c r="G6293">
        <v>-294.96199999999999</v>
      </c>
      <c r="H6293" s="1">
        <v>-8.4512550000000001E-6</v>
      </c>
      <c r="I6293">
        <v>-55.651960000000003</v>
      </c>
      <c r="J6293">
        <v>-301.56270000000001</v>
      </c>
      <c r="K6293">
        <v>1.113991</v>
      </c>
      <c r="L6293">
        <v>-38.82376</v>
      </c>
      <c r="M6293">
        <v>7.7203010000000002E-2</v>
      </c>
      <c r="N6293">
        <v>-1.303521E-2</v>
      </c>
      <c r="O6293">
        <v>-0.99693019999999999</v>
      </c>
      <c r="P6293">
        <v>0.24542610000000001</v>
      </c>
      <c r="Q6293">
        <v>0.1785041</v>
      </c>
      <c r="R6293">
        <v>-0.95283910000000005</v>
      </c>
      <c r="S6293">
        <v>1.123138</v>
      </c>
      <c r="T6293">
        <v>-0.18884329999999999</v>
      </c>
      <c r="U6293">
        <v>-2.8974609999999998</v>
      </c>
      <c r="V6293">
        <v>-0.17274639999999999</v>
      </c>
      <c r="W6293">
        <v>0.18965570000000001</v>
      </c>
      <c r="X6293">
        <v>0.96653469999999997</v>
      </c>
      <c r="Y6293">
        <v>-0.28780109999999998</v>
      </c>
      <c r="Z6293">
        <v>4.8336980000000002E-2</v>
      </c>
      <c r="AA6293">
        <v>0.95646960000000003</v>
      </c>
      <c r="AB6293">
        <v>27</v>
      </c>
      <c r="AC6293">
        <v>6.6007000000000096</v>
      </c>
      <c r="AD6293">
        <v>-1.113999451255</v>
      </c>
      <c r="AE6293">
        <v>-16.828199999999899</v>
      </c>
      <c r="AF6293">
        <v>-5.2617146002821196</v>
      </c>
      <c r="AG6293">
        <v>-1.113999451255</v>
      </c>
      <c r="AH6293">
        <v>17.222194805707801</v>
      </c>
      <c r="AI6293">
        <v>93.539875638038396</v>
      </c>
      <c r="AJ6293">
        <v>106.988928534813</v>
      </c>
      <c r="AK6293">
        <v>18.042467382205999</v>
      </c>
      <c r="AL6293">
        <v>79.067307678164994</v>
      </c>
      <c r="AM6293">
        <v>100.133341306392</v>
      </c>
      <c r="AN6293">
        <v>0.99999996477976905</v>
      </c>
    </row>
    <row r="6294" spans="1:40" x14ac:dyDescent="0.25">
      <c r="A6294" t="str">
        <f>"20190304155230108"</f>
        <v>20190304155230108</v>
      </c>
      <c r="B6294" t="str">
        <f>"1551685950102995"</f>
        <v>1551685950102995</v>
      </c>
      <c r="C6294" t="s">
        <v>40</v>
      </c>
      <c r="D6294">
        <v>4.7215889999999998</v>
      </c>
      <c r="E6294">
        <v>0.44983919999999999</v>
      </c>
      <c r="F6294" t="s">
        <v>77</v>
      </c>
      <c r="G6294">
        <v>-294.7756</v>
      </c>
      <c r="H6294" s="1">
        <v>-8.4733260000000001E-6</v>
      </c>
      <c r="I6294">
        <v>-56.109349999999999</v>
      </c>
      <c r="J6294">
        <v>-301.53590000000003</v>
      </c>
      <c r="K6294">
        <v>1.114098</v>
      </c>
      <c r="L6294">
        <v>-39.09796</v>
      </c>
      <c r="M6294">
        <v>8.2240720000000003E-2</v>
      </c>
      <c r="N6294">
        <v>-1.320405E-2</v>
      </c>
      <c r="O6294">
        <v>-0.99652490000000005</v>
      </c>
      <c r="P6294">
        <v>0.25152269999999999</v>
      </c>
      <c r="Q6294">
        <v>0.17787749999999999</v>
      </c>
      <c r="R6294">
        <v>-0.95136540000000003</v>
      </c>
      <c r="S6294">
        <v>1.135132</v>
      </c>
      <c r="T6294">
        <v>-0.18631490000000001</v>
      </c>
      <c r="U6294">
        <v>-2.8909910000000001</v>
      </c>
      <c r="V6294">
        <v>-0.17408860000000001</v>
      </c>
      <c r="W6294">
        <v>0.189135</v>
      </c>
      <c r="X6294">
        <v>0.96639589999999997</v>
      </c>
      <c r="Y6294">
        <v>-0.28714089999999998</v>
      </c>
      <c r="Z6294">
        <v>4.7419749999999997E-2</v>
      </c>
      <c r="AA6294">
        <v>0.95671390000000001</v>
      </c>
      <c r="AB6294">
        <v>27</v>
      </c>
      <c r="AC6294">
        <v>6.7603000000000204</v>
      </c>
      <c r="AD6294">
        <v>-1.114106473326</v>
      </c>
      <c r="AE6294">
        <v>-17.011389999999999</v>
      </c>
      <c r="AF6294">
        <v>-5.31854344445264</v>
      </c>
      <c r="AG6294">
        <v>-1.114106473326</v>
      </c>
      <c r="AH6294">
        <v>17.4451540681697</v>
      </c>
      <c r="AI6294">
        <v>93.495711688597495</v>
      </c>
      <c r="AJ6294">
        <v>106.955009278552</v>
      </c>
      <c r="AK6294">
        <v>18.2718783398592</v>
      </c>
      <c r="AL6294">
        <v>79.097691483301702</v>
      </c>
      <c r="AM6294">
        <v>100.211860497855</v>
      </c>
      <c r="AN6294">
        <v>0.99999996220588405</v>
      </c>
    </row>
    <row r="6295" spans="1:40" x14ac:dyDescent="0.25">
      <c r="A6295" t="str">
        <f>"20190304155230130"</f>
        <v>20190304155230130</v>
      </c>
      <c r="B6295" t="str">
        <f>"1551685950123491"</f>
        <v>1551685950123491</v>
      </c>
      <c r="C6295" t="s">
        <v>40</v>
      </c>
      <c r="D6295">
        <v>4.717009</v>
      </c>
      <c r="E6295">
        <v>0.45021949999999999</v>
      </c>
      <c r="F6295" t="s">
        <v>77</v>
      </c>
      <c r="G6295">
        <v>-294.72719999999998</v>
      </c>
      <c r="H6295" s="1">
        <v>-8.4838429999999993E-6</v>
      </c>
      <c r="I6295">
        <v>-56.180219999999998</v>
      </c>
      <c r="J6295">
        <v>-301.50810000000001</v>
      </c>
      <c r="K6295">
        <v>1.11422</v>
      </c>
      <c r="L6295">
        <v>-39.366700000000002</v>
      </c>
      <c r="M6295">
        <v>8.7354710000000002E-2</v>
      </c>
      <c r="N6295">
        <v>-1.3349079999999999E-2</v>
      </c>
      <c r="O6295">
        <v>-0.99608790000000003</v>
      </c>
      <c r="P6295">
        <v>0.2577759</v>
      </c>
      <c r="Q6295">
        <v>0.17782229999999999</v>
      </c>
      <c r="R6295">
        <v>-0.94970060000000001</v>
      </c>
      <c r="S6295">
        <v>1.14975</v>
      </c>
      <c r="T6295">
        <v>-0.18813279999999999</v>
      </c>
      <c r="U6295">
        <v>-2.8845830000000001</v>
      </c>
      <c r="V6295">
        <v>-0.17553869999999999</v>
      </c>
      <c r="W6295">
        <v>0.18915750000000001</v>
      </c>
      <c r="X6295">
        <v>0.96612920000000002</v>
      </c>
      <c r="Y6295">
        <v>-0.28712700000000002</v>
      </c>
      <c r="Z6295">
        <v>4.7910990000000001E-2</v>
      </c>
      <c r="AA6295">
        <v>0.95669360000000003</v>
      </c>
      <c r="AB6295">
        <v>27</v>
      </c>
      <c r="AC6295">
        <v>6.7809000000000301</v>
      </c>
      <c r="AD6295">
        <v>-1.1142284838430001</v>
      </c>
      <c r="AE6295">
        <v>-16.813519999999901</v>
      </c>
      <c r="AF6295">
        <v>-5.2662108228479196</v>
      </c>
      <c r="AG6295">
        <v>-1.1142284838430001</v>
      </c>
      <c r="AH6295">
        <v>17.2763732027326</v>
      </c>
      <c r="AI6295">
        <v>93.530212366834903</v>
      </c>
      <c r="AJ6295">
        <v>106.952351061507</v>
      </c>
      <c r="AK6295">
        <v>18.095511945921402</v>
      </c>
      <c r="AL6295">
        <v>79.096379190955204</v>
      </c>
      <c r="AM6295">
        <v>100.29789122946001</v>
      </c>
      <c r="AN6295">
        <v>1.00000001304829</v>
      </c>
    </row>
    <row r="6296" spans="1:40" x14ac:dyDescent="0.25">
      <c r="A6296" t="str">
        <f>"20190304155230152"</f>
        <v>20190304155230152</v>
      </c>
      <c r="B6296" t="str">
        <f>"1551685950143012"</f>
        <v>1551685950143012</v>
      </c>
      <c r="C6296" t="s">
        <v>40</v>
      </c>
      <c r="D6296">
        <v>4.676507</v>
      </c>
      <c r="E6296">
        <v>0.45061250000000003</v>
      </c>
      <c r="F6296" t="s">
        <v>77</v>
      </c>
      <c r="G6296">
        <v>-294.5308</v>
      </c>
      <c r="H6296" s="1">
        <v>-8.5143340000000005E-6</v>
      </c>
      <c r="I6296">
        <v>-56.590009999999999</v>
      </c>
      <c r="J6296">
        <v>-301.47890000000001</v>
      </c>
      <c r="K6296">
        <v>1.114331</v>
      </c>
      <c r="L6296">
        <v>-39.633760000000002</v>
      </c>
      <c r="M6296">
        <v>9.256818E-2</v>
      </c>
      <c r="N6296">
        <v>-1.3475880000000001E-2</v>
      </c>
      <c r="O6296">
        <v>-0.99561529999999998</v>
      </c>
      <c r="P6296">
        <v>0.26414700000000002</v>
      </c>
      <c r="Q6296">
        <v>0.1784714</v>
      </c>
      <c r="R6296">
        <v>-0.94782639999999996</v>
      </c>
      <c r="S6296">
        <v>1.1656489999999999</v>
      </c>
      <c r="T6296">
        <v>-0.18614449999999999</v>
      </c>
      <c r="U6296">
        <v>-2.8773499999999999</v>
      </c>
      <c r="V6296">
        <v>-0.17703540000000001</v>
      </c>
      <c r="W6296">
        <v>0.18986829999999999</v>
      </c>
      <c r="X6296">
        <v>0.96571660000000004</v>
      </c>
      <c r="Y6296">
        <v>-0.28750179999999997</v>
      </c>
      <c r="Z6296">
        <v>4.7194199999999902E-2</v>
      </c>
      <c r="AA6296">
        <v>0.95661660000000004</v>
      </c>
      <c r="AB6296">
        <v>27</v>
      </c>
      <c r="AC6296">
        <v>6.9481000000000099</v>
      </c>
      <c r="AD6296">
        <v>-1.114339514334</v>
      </c>
      <c r="AE6296">
        <v>-16.956250000000001</v>
      </c>
      <c r="AF6296">
        <v>-5.3288044385114901</v>
      </c>
      <c r="AG6296">
        <v>-1.114339514334</v>
      </c>
      <c r="AH6296">
        <v>17.4620890561397</v>
      </c>
      <c r="AI6296">
        <v>93.492774723114195</v>
      </c>
      <c r="AJ6296">
        <v>106.97031277143</v>
      </c>
      <c r="AK6296">
        <v>18.291048726130001</v>
      </c>
      <c r="AL6296">
        <v>79.054901869107198</v>
      </c>
      <c r="AM6296">
        <v>100.388132079977</v>
      </c>
      <c r="AN6296">
        <v>1.0000000278568</v>
      </c>
    </row>
    <row r="6297" spans="1:40" x14ac:dyDescent="0.25">
      <c r="A6297" t="str">
        <f>"20190304155230186"</f>
        <v>20190304155230186</v>
      </c>
      <c r="B6297" t="str">
        <f>"1551685950183029"</f>
        <v>1551685950183029</v>
      </c>
      <c r="C6297" t="s">
        <v>40</v>
      </c>
      <c r="D6297">
        <v>4.6915300000000002</v>
      </c>
      <c r="E6297">
        <v>0.45151190000000002</v>
      </c>
      <c r="F6297" t="s">
        <v>77</v>
      </c>
      <c r="G6297">
        <v>-294.30329999999998</v>
      </c>
      <c r="H6297" s="1">
        <v>-8.5494009999999992E-6</v>
      </c>
      <c r="I6297">
        <v>-57.066830000000003</v>
      </c>
      <c r="J6297">
        <v>-301.43209999999999</v>
      </c>
      <c r="K6297">
        <v>1.1144799999999999</v>
      </c>
      <c r="L6297">
        <v>-40.036099999999998</v>
      </c>
      <c r="M6297">
        <v>0.10068100000000001</v>
      </c>
      <c r="N6297">
        <v>-1.3638229999999999E-2</v>
      </c>
      <c r="O6297">
        <v>-0.99482519999999997</v>
      </c>
      <c r="P6297">
        <v>0.27373019999999998</v>
      </c>
      <c r="Q6297">
        <v>0.1789626</v>
      </c>
      <c r="R6297">
        <v>-0.94501020000000002</v>
      </c>
      <c r="S6297">
        <v>1.1814880000000001</v>
      </c>
      <c r="T6297">
        <v>-0.18348039999999999</v>
      </c>
      <c r="U6297">
        <v>-2.870422</v>
      </c>
      <c r="V6297">
        <v>-0.17902570000000001</v>
      </c>
      <c r="W6297">
        <v>0.1904314</v>
      </c>
      <c r="X6297">
        <v>0.96523870000000001</v>
      </c>
      <c r="Y6297">
        <v>-0.28503800000000001</v>
      </c>
      <c r="Z6297">
        <v>4.6222140000000002E-2</v>
      </c>
      <c r="AA6297">
        <v>0.9574011</v>
      </c>
      <c r="AB6297">
        <v>27</v>
      </c>
      <c r="AC6297">
        <v>7.1288000000000098</v>
      </c>
      <c r="AD6297">
        <v>-1.114488549401</v>
      </c>
      <c r="AE6297">
        <v>-17.030729999999998</v>
      </c>
      <c r="AF6297">
        <v>-5.3582146628490701</v>
      </c>
      <c r="AG6297">
        <v>-1.114488549401</v>
      </c>
      <c r="AH6297">
        <v>17.597853062934799</v>
      </c>
      <c r="AI6297">
        <v>93.467015808985593</v>
      </c>
      <c r="AJ6297">
        <v>106.934504485416</v>
      </c>
      <c r="AK6297">
        <v>18.429242565134398</v>
      </c>
      <c r="AL6297">
        <v>79.022039100938102</v>
      </c>
      <c r="AM6297">
        <v>100.507418996024</v>
      </c>
      <c r="AN6297">
        <v>1.00000003367206</v>
      </c>
    </row>
    <row r="6298" spans="1:40" x14ac:dyDescent="0.25">
      <c r="A6298" t="str">
        <f>"20190304155230211"</f>
        <v>20190304155230211</v>
      </c>
      <c r="B6298" t="str">
        <f>"1551685950203523"</f>
        <v>1551685950203523</v>
      </c>
      <c r="C6298" t="s">
        <v>40</v>
      </c>
      <c r="D6298">
        <v>4.7995380000000001</v>
      </c>
      <c r="E6298">
        <v>0.45172240000000002</v>
      </c>
      <c r="F6298" t="s">
        <v>77</v>
      </c>
      <c r="G6298">
        <v>-294.06560000000002</v>
      </c>
      <c r="H6298" s="1">
        <v>-8.5855219999999996E-6</v>
      </c>
      <c r="I6298">
        <v>-57.570329999999998</v>
      </c>
      <c r="J6298">
        <v>-301.3965</v>
      </c>
      <c r="K6298">
        <v>1.1145940000000001</v>
      </c>
      <c r="L6298">
        <v>-40.320650000000001</v>
      </c>
      <c r="M6298">
        <v>0.106657</v>
      </c>
      <c r="N6298">
        <v>-1.3735519999999999E-2</v>
      </c>
      <c r="O6298">
        <v>-0.99420120000000001</v>
      </c>
      <c r="P6298">
        <v>0.2814353</v>
      </c>
      <c r="Q6298">
        <v>0.17891209999999999</v>
      </c>
      <c r="R6298">
        <v>-0.94275390000000003</v>
      </c>
      <c r="S6298">
        <v>1.2019040000000001</v>
      </c>
      <c r="T6298">
        <v>-0.181839</v>
      </c>
      <c r="U6298">
        <v>-2.8608699999999998</v>
      </c>
      <c r="V6298">
        <v>-0.1811586</v>
      </c>
      <c r="W6298">
        <v>0.19040290000000001</v>
      </c>
      <c r="X6298">
        <v>0.96484630000000005</v>
      </c>
      <c r="Y6298">
        <v>-0.28623490000000001</v>
      </c>
      <c r="Z6298">
        <v>4.5653890000000003E-2</v>
      </c>
      <c r="AA6298">
        <v>0.95707120000000001</v>
      </c>
      <c r="AB6298">
        <v>27</v>
      </c>
      <c r="AC6298">
        <v>7.3308999999999802</v>
      </c>
      <c r="AD6298">
        <v>-1.1146025855220001</v>
      </c>
      <c r="AE6298">
        <v>-17.249680000000001</v>
      </c>
      <c r="AF6298">
        <v>-5.4299007228478899</v>
      </c>
      <c r="AG6298">
        <v>-1.1146025855220001</v>
      </c>
      <c r="AH6298">
        <v>17.870035640977299</v>
      </c>
      <c r="AI6298">
        <v>93.415277189442307</v>
      </c>
      <c r="AJ6298">
        <v>106.90166950672101</v>
      </c>
      <c r="AK6298">
        <v>18.7100062691982</v>
      </c>
      <c r="AL6298">
        <v>79.023702564517905</v>
      </c>
      <c r="AM6298">
        <v>100.63399157493301</v>
      </c>
      <c r="AN6298">
        <v>1.00000004265302</v>
      </c>
    </row>
    <row r="6299" spans="1:40" x14ac:dyDescent="0.25">
      <c r="A6299" t="str">
        <f>"20190304155230230"</f>
        <v>20190304155230230</v>
      </c>
      <c r="B6299" t="str">
        <f>"1551685950223043"</f>
        <v>1551685950223043</v>
      </c>
      <c r="C6299" t="s">
        <v>40</v>
      </c>
      <c r="D6299">
        <v>4.6369800000000003</v>
      </c>
      <c r="E6299">
        <v>0.46071260000000003</v>
      </c>
      <c r="F6299" t="s">
        <v>77</v>
      </c>
      <c r="G6299">
        <v>-293.9008</v>
      </c>
      <c r="H6299" s="1">
        <v>-8.6227999999999998E-6</v>
      </c>
      <c r="I6299">
        <v>-57.797130000000003</v>
      </c>
      <c r="J6299">
        <v>-301.36509999999998</v>
      </c>
      <c r="K6299">
        <v>1.1147039999999999</v>
      </c>
      <c r="L6299">
        <v>-40.561039999999998</v>
      </c>
      <c r="M6299">
        <v>0.1118685</v>
      </c>
      <c r="N6299">
        <v>-1.380989E-2</v>
      </c>
      <c r="O6299">
        <v>-0.99362720000000004</v>
      </c>
      <c r="P6299">
        <v>0.28788150000000001</v>
      </c>
      <c r="Q6299">
        <v>0.17978450000000001</v>
      </c>
      <c r="R6299">
        <v>-0.94063940000000001</v>
      </c>
      <c r="S6299">
        <v>1.2230529999999999</v>
      </c>
      <c r="T6299">
        <v>-0.1818649</v>
      </c>
      <c r="U6299">
        <v>-2.8515630000000001</v>
      </c>
      <c r="V6299">
        <v>-0.1827838</v>
      </c>
      <c r="W6299">
        <v>0.19127859999999999</v>
      </c>
      <c r="X6299">
        <v>0.96436639999999996</v>
      </c>
      <c r="Y6299">
        <v>-0.28833550000000002</v>
      </c>
      <c r="Z6299">
        <v>4.563395E-2</v>
      </c>
      <c r="AA6299">
        <v>0.9564414</v>
      </c>
      <c r="AB6299">
        <v>27</v>
      </c>
      <c r="AC6299">
        <v>7.4642999999999802</v>
      </c>
      <c r="AD6299">
        <v>-1.1147126227999999</v>
      </c>
      <c r="AE6299">
        <v>-17.236089999999901</v>
      </c>
      <c r="AF6299">
        <v>-5.4698135196543802</v>
      </c>
      <c r="AG6299">
        <v>-1.1147126227999999</v>
      </c>
      <c r="AH6299">
        <v>17.899933313444699</v>
      </c>
      <c r="AI6299">
        <v>93.408288818717594</v>
      </c>
      <c r="AJ6299">
        <v>106.991963429633</v>
      </c>
      <c r="AK6299">
        <v>18.7501748471045</v>
      </c>
      <c r="AL6299">
        <v>78.9725886170351</v>
      </c>
      <c r="AM6299">
        <v>100.73240058539299</v>
      </c>
      <c r="AN6299">
        <v>0.99999998690467895</v>
      </c>
    </row>
    <row r="6300" spans="1:40" x14ac:dyDescent="0.25">
      <c r="A6300" t="str">
        <f>"20190304155230253"</f>
        <v>20190304155230253</v>
      </c>
      <c r="B6300" t="str">
        <f>"1551685950243540"</f>
        <v>1551685950243540</v>
      </c>
      <c r="C6300" t="s">
        <v>40</v>
      </c>
      <c r="D6300">
        <v>4.8809389999999997</v>
      </c>
      <c r="E6300">
        <v>0.45801170000000002</v>
      </c>
      <c r="F6300" t="s">
        <v>77</v>
      </c>
      <c r="G6300">
        <v>-289.10059999999999</v>
      </c>
      <c r="H6300">
        <v>1.56188E-2</v>
      </c>
      <c r="I6300">
        <v>-70.383740000000003</v>
      </c>
      <c r="J6300">
        <v>-301.32900000000001</v>
      </c>
      <c r="K6300">
        <v>1.114825</v>
      </c>
      <c r="L6300">
        <v>-40.823520000000002</v>
      </c>
      <c r="M6300">
        <v>0.117714</v>
      </c>
      <c r="N6300">
        <v>-1.3883309999999999E-2</v>
      </c>
      <c r="O6300">
        <v>-0.99295040000000001</v>
      </c>
      <c r="P6300">
        <v>0.29491869999999998</v>
      </c>
      <c r="Q6300">
        <v>0.1802694</v>
      </c>
      <c r="R6300">
        <v>-0.93836339999999996</v>
      </c>
      <c r="S6300">
        <v>1.172302</v>
      </c>
      <c r="T6300">
        <v>-0.1050565</v>
      </c>
      <c r="U6300">
        <v>-2.850616</v>
      </c>
      <c r="V6300">
        <v>-0.18440570000000001</v>
      </c>
      <c r="W6300">
        <v>0.19176119999999999</v>
      </c>
      <c r="X6300">
        <v>0.96396170000000003</v>
      </c>
      <c r="Y6300">
        <v>-0.26864779999999999</v>
      </c>
      <c r="Z6300">
        <v>2.0818440000000001E-2</v>
      </c>
      <c r="AA6300">
        <v>0.96301349999999997</v>
      </c>
      <c r="AB6300">
        <v>27</v>
      </c>
      <c r="AC6300">
        <v>12.228400000000001</v>
      </c>
      <c r="AD6300">
        <v>-1.0992062</v>
      </c>
      <c r="AE6300">
        <v>-29.560220000000001</v>
      </c>
      <c r="AF6300">
        <v>-8.6531618757143001</v>
      </c>
      <c r="AG6300">
        <v>-1.0992062</v>
      </c>
      <c r="AH6300">
        <v>30.7579408777254</v>
      </c>
      <c r="AI6300">
        <v>91.970302805180793</v>
      </c>
      <c r="AJ6300">
        <v>105.71293782732501</v>
      </c>
      <c r="AK6300">
        <v>31.970867860523999</v>
      </c>
      <c r="AL6300">
        <v>78.944416194835696</v>
      </c>
      <c r="AM6300">
        <v>100.829829294334</v>
      </c>
      <c r="AN6300">
        <v>0.99999998954240998</v>
      </c>
    </row>
    <row r="6301" spans="1:40" x14ac:dyDescent="0.25">
      <c r="A6301" t="str">
        <f>"20190304155230275"</f>
        <v>20190304155230275</v>
      </c>
      <c r="B6301" t="str">
        <f>"1551685950263060"</f>
        <v>1551685950263060</v>
      </c>
      <c r="C6301" t="s">
        <v>40</v>
      </c>
      <c r="D6301">
        <v>4.6060619999999997</v>
      </c>
      <c r="E6301">
        <v>0.45905279999999998</v>
      </c>
      <c r="F6301" t="s">
        <v>77</v>
      </c>
      <c r="G6301">
        <v>-293.84739999999999</v>
      </c>
      <c r="H6301" s="1">
        <v>-8.5846909999999997E-6</v>
      </c>
      <c r="I6301">
        <v>-58.373049999999999</v>
      </c>
      <c r="J6301">
        <v>-301.29160000000002</v>
      </c>
      <c r="K6301">
        <v>1.1149469999999999</v>
      </c>
      <c r="L6301">
        <v>-41.08334</v>
      </c>
      <c r="M6301">
        <v>0.12366290000000001</v>
      </c>
      <c r="N6301">
        <v>-1.394782E-2</v>
      </c>
      <c r="O6301">
        <v>-0.99222619999999895</v>
      </c>
      <c r="P6301">
        <v>0.30212630000000001</v>
      </c>
      <c r="Q6301">
        <v>0.1808949</v>
      </c>
      <c r="R6301">
        <v>-0.93594699999999997</v>
      </c>
      <c r="S6301">
        <v>1.214996</v>
      </c>
      <c r="T6301">
        <v>-0.1810446</v>
      </c>
      <c r="U6301">
        <v>-2.8499759999999998</v>
      </c>
      <c r="V6301">
        <v>-0.1861206</v>
      </c>
      <c r="W6301">
        <v>0.1923742</v>
      </c>
      <c r="X6301">
        <v>0.96350990000000003</v>
      </c>
      <c r="Y6301">
        <v>-0.27485279999999901</v>
      </c>
      <c r="Z6301">
        <v>4.5320439999999997E-2</v>
      </c>
      <c r="AA6301">
        <v>0.96041759999999998</v>
      </c>
      <c r="AB6301">
        <v>27</v>
      </c>
      <c r="AC6301">
        <v>7.4442000000000199</v>
      </c>
      <c r="AD6301">
        <v>-1.114955584691</v>
      </c>
      <c r="AE6301">
        <v>-17.289709999999999</v>
      </c>
      <c r="AF6301">
        <v>-5.2303962749144599</v>
      </c>
      <c r="AG6301">
        <v>-1.114955584691</v>
      </c>
      <c r="AH6301">
        <v>18.014436178676402</v>
      </c>
      <c r="AI6301">
        <v>93.401528674032093</v>
      </c>
      <c r="AJ6301">
        <v>106.190375685541</v>
      </c>
      <c r="AK6301">
        <v>18.7914896158894</v>
      </c>
      <c r="AL6301">
        <v>78.908627887287096</v>
      </c>
      <c r="AM6301">
        <v>100.933129194095</v>
      </c>
      <c r="AN6301">
        <v>1.0000000189839999</v>
      </c>
    </row>
    <row r="6302" spans="1:40" x14ac:dyDescent="0.25">
      <c r="A6302" t="str">
        <f>"20190304155230298"</f>
        <v>20190304155230298</v>
      </c>
      <c r="B6302" t="str">
        <f>"1551685950293315"</f>
        <v>1551685950293315</v>
      </c>
      <c r="C6302" t="s">
        <v>40</v>
      </c>
      <c r="D6302">
        <v>4.7248169999999998</v>
      </c>
      <c r="E6302">
        <v>0.46088449999999997</v>
      </c>
      <c r="F6302" t="s">
        <v>77</v>
      </c>
      <c r="G6302">
        <v>-294.69369999999998</v>
      </c>
      <c r="H6302" s="1">
        <v>-8.4768589999999996E-6</v>
      </c>
      <c r="I6302">
        <v>-56.37218</v>
      </c>
      <c r="J6302">
        <v>-301.25110000000001</v>
      </c>
      <c r="K6302">
        <v>1.1150789999999999</v>
      </c>
      <c r="L6302">
        <v>-41.351680000000002</v>
      </c>
      <c r="M6302">
        <v>0.1299892</v>
      </c>
      <c r="N6302">
        <v>-1.400708E-2</v>
      </c>
      <c r="O6302">
        <v>-0.99141650000000003</v>
      </c>
      <c r="P6302">
        <v>0.31001889999999999</v>
      </c>
      <c r="Q6302">
        <v>0.18074609999999999</v>
      </c>
      <c r="R6302">
        <v>-0.93339130000000003</v>
      </c>
      <c r="S6302">
        <v>1.2293400000000001</v>
      </c>
      <c r="T6302">
        <v>-0.2077397</v>
      </c>
      <c r="U6302">
        <v>-2.848633</v>
      </c>
      <c r="V6302">
        <v>-0.18816559999999999</v>
      </c>
      <c r="W6302">
        <v>0.19220290000000001</v>
      </c>
      <c r="X6302">
        <v>0.96314679999999997</v>
      </c>
      <c r="Y6302">
        <v>-0.27278439999999998</v>
      </c>
      <c r="Z6302">
        <v>5.3840180000000001E-2</v>
      </c>
      <c r="AA6302">
        <v>0.96056750000000002</v>
      </c>
      <c r="AB6302">
        <v>27</v>
      </c>
      <c r="AC6302">
        <v>6.5574000000000296</v>
      </c>
      <c r="AD6302">
        <v>-1.115087476859</v>
      </c>
      <c r="AE6302">
        <v>-15.0205</v>
      </c>
      <c r="AF6302">
        <v>-4.5280973168328602</v>
      </c>
      <c r="AG6302">
        <v>-1.115087476859</v>
      </c>
      <c r="AH6302">
        <v>15.6729566761786</v>
      </c>
      <c r="AI6302">
        <v>93.910184519716495</v>
      </c>
      <c r="AJ6302">
        <v>106.114613597999</v>
      </c>
      <c r="AK6302">
        <v>16.352023005277601</v>
      </c>
      <c r="AL6302">
        <v>78.918629117562801</v>
      </c>
      <c r="AM6302">
        <v>101.054378872608</v>
      </c>
      <c r="AN6302">
        <v>1.0000000030709999</v>
      </c>
    </row>
    <row r="6303" spans="1:40" x14ac:dyDescent="0.25">
      <c r="A6303" t="str">
        <f>"20190304155230320"</f>
        <v>20190304155230320</v>
      </c>
      <c r="B6303" t="str">
        <f>"1551685950313811"</f>
        <v>1551685950313811</v>
      </c>
      <c r="C6303" t="s">
        <v>40</v>
      </c>
      <c r="D6303">
        <v>4.945621</v>
      </c>
      <c r="E6303">
        <v>0.46107619999999999</v>
      </c>
      <c r="F6303" t="s">
        <v>77</v>
      </c>
      <c r="G6303">
        <v>-294.44439999999997</v>
      </c>
      <c r="H6303" s="1">
        <v>-8.5072789999999999E-6</v>
      </c>
      <c r="I6303">
        <v>-56.974800000000002</v>
      </c>
      <c r="J6303">
        <v>-301.20960000000002</v>
      </c>
      <c r="K6303">
        <v>1.115208</v>
      </c>
      <c r="L6303">
        <v>-41.614559999999997</v>
      </c>
      <c r="M6303">
        <v>0.1363779</v>
      </c>
      <c r="N6303">
        <v>-1.405992E-2</v>
      </c>
      <c r="O6303">
        <v>-0.99055709999999997</v>
      </c>
      <c r="P6303">
        <v>0.317745</v>
      </c>
      <c r="Q6303">
        <v>0.18110029999999999</v>
      </c>
      <c r="R6303">
        <v>-0.93072060000000001</v>
      </c>
      <c r="S6303">
        <v>1.238251</v>
      </c>
      <c r="T6303">
        <v>-0.2028527</v>
      </c>
      <c r="U6303">
        <v>-2.8421020000000001</v>
      </c>
      <c r="V6303">
        <v>-0.1900134</v>
      </c>
      <c r="W6303">
        <v>0.1925277</v>
      </c>
      <c r="X6303">
        <v>0.96271910000000005</v>
      </c>
      <c r="Y6303">
        <v>-0.26995560000000002</v>
      </c>
      <c r="Z6303">
        <v>5.2269679999999999E-2</v>
      </c>
      <c r="AA6303">
        <v>0.961453</v>
      </c>
      <c r="AB6303">
        <v>27</v>
      </c>
      <c r="AC6303">
        <v>6.7652000000000498</v>
      </c>
      <c r="AD6303">
        <v>-1.1152165072789999</v>
      </c>
      <c r="AE6303">
        <v>-15.360239999999999</v>
      </c>
      <c r="AF6303">
        <v>-4.5867249636967404</v>
      </c>
      <c r="AG6303">
        <v>-1.1152165072789999</v>
      </c>
      <c r="AH6303">
        <v>16.068472811957701</v>
      </c>
      <c r="AI6303">
        <v>93.818160994399506</v>
      </c>
      <c r="AJ6303">
        <v>105.93132737331101</v>
      </c>
      <c r="AK6303">
        <v>16.747464651681799</v>
      </c>
      <c r="AL6303">
        <v>78.899665643389</v>
      </c>
      <c r="AM6303">
        <v>101.165054966306</v>
      </c>
      <c r="AN6303">
        <v>1.0000000364758199</v>
      </c>
    </row>
    <row r="6304" spans="1:40" x14ac:dyDescent="0.25">
      <c r="A6304" t="str">
        <f>"20190304155230343"</f>
        <v>20190304155230343</v>
      </c>
      <c r="B6304" t="str">
        <f>"1551685950333332"</f>
        <v>1551685950333332</v>
      </c>
      <c r="C6304" t="s">
        <v>40</v>
      </c>
      <c r="D6304">
        <v>4.7622369999999998</v>
      </c>
      <c r="E6304">
        <v>0.46153179999999999</v>
      </c>
      <c r="F6304" t="s">
        <v>77</v>
      </c>
      <c r="G6304">
        <v>-294.09859999999998</v>
      </c>
      <c r="H6304" s="1">
        <v>-8.5710699999999996E-6</v>
      </c>
      <c r="I6304">
        <v>-57.595100000000002</v>
      </c>
      <c r="J6304">
        <v>-301.16640000000001</v>
      </c>
      <c r="K6304">
        <v>1.1153280000000001</v>
      </c>
      <c r="L6304">
        <v>-41.875579999999999</v>
      </c>
      <c r="M6304">
        <v>0.1429134</v>
      </c>
      <c r="N6304">
        <v>-1.410844E-2</v>
      </c>
      <c r="O6304">
        <v>-0.98963469999999998</v>
      </c>
      <c r="P6304">
        <v>0.32544830000000002</v>
      </c>
      <c r="Q6304">
        <v>0.18187999999999999</v>
      </c>
      <c r="R6304">
        <v>-0.92790260000000002</v>
      </c>
      <c r="S6304">
        <v>1.2600100000000001</v>
      </c>
      <c r="T6304">
        <v>-0.19760610000000001</v>
      </c>
      <c r="U6304">
        <v>-2.831604</v>
      </c>
      <c r="V6304">
        <v>-0.19173019999999999</v>
      </c>
      <c r="W6304">
        <v>0.19327250000000001</v>
      </c>
      <c r="X6304">
        <v>0.96222929999999995</v>
      </c>
      <c r="Y6304">
        <v>-0.27112709999999901</v>
      </c>
      <c r="Z6304">
        <v>5.0571919999999999E-2</v>
      </c>
      <c r="AA6304">
        <v>0.96121409999999996</v>
      </c>
      <c r="AB6304">
        <v>27</v>
      </c>
      <c r="AC6304">
        <v>7.0678000000000303</v>
      </c>
      <c r="AD6304">
        <v>-1.1153365710700001</v>
      </c>
      <c r="AE6304">
        <v>-15.719519999999999</v>
      </c>
      <c r="AF6304">
        <v>-4.7286802630221896</v>
      </c>
      <c r="AG6304">
        <v>-1.1153365710700001</v>
      </c>
      <c r="AH6304">
        <v>16.499220550126001</v>
      </c>
      <c r="AI6304">
        <v>93.718033391604394</v>
      </c>
      <c r="AJ6304">
        <v>105.99231431588601</v>
      </c>
      <c r="AK6304">
        <v>17.1996706787764</v>
      </c>
      <c r="AL6304">
        <v>78.856174254276098</v>
      </c>
      <c r="AM6304">
        <v>101.268951761289</v>
      </c>
      <c r="AN6304">
        <v>0.99999997731338897</v>
      </c>
    </row>
    <row r="6305" spans="1:40" x14ac:dyDescent="0.25">
      <c r="A6305" t="str">
        <f>"20190304155230376"</f>
        <v>20190304155230376</v>
      </c>
      <c r="B6305" t="str">
        <f>"1551685950373347"</f>
        <v>1551685950373347</v>
      </c>
      <c r="C6305" t="s">
        <v>40</v>
      </c>
      <c r="D6305">
        <v>4.7334319999999996</v>
      </c>
      <c r="E6305">
        <v>0.43437439999999999</v>
      </c>
      <c r="F6305" t="s">
        <v>77</v>
      </c>
      <c r="G6305">
        <v>-293.84050000000002</v>
      </c>
      <c r="H6305" s="1">
        <v>-8.6208939999999993E-6</v>
      </c>
      <c r="I6305">
        <v>-58.035429999999998</v>
      </c>
      <c r="J6305">
        <v>-301.09820000000002</v>
      </c>
      <c r="K6305">
        <v>1.115529</v>
      </c>
      <c r="L6305">
        <v>-42.264740000000003</v>
      </c>
      <c r="M6305">
        <v>0.15303929999999999</v>
      </c>
      <c r="N6305">
        <v>-1.417467E-2</v>
      </c>
      <c r="O6305">
        <v>-0.98811850000000001</v>
      </c>
      <c r="P6305">
        <v>0.33813169999999998</v>
      </c>
      <c r="Q6305">
        <v>0.1834017</v>
      </c>
      <c r="R6305">
        <v>-0.92305519999999996</v>
      </c>
      <c r="S6305">
        <v>1.279541</v>
      </c>
      <c r="T6305">
        <v>-0.1948047</v>
      </c>
      <c r="U6305">
        <v>-2.822479</v>
      </c>
      <c r="V6305">
        <v>-0.19522539999999999</v>
      </c>
      <c r="W6305">
        <v>0.1947132</v>
      </c>
      <c r="X6305">
        <v>0.96123550000000002</v>
      </c>
      <c r="Y6305">
        <v>-0.2679782</v>
      </c>
      <c r="Z6305">
        <v>4.9621020000000002E-2</v>
      </c>
      <c r="AA6305">
        <v>0.96214630000000001</v>
      </c>
      <c r="AB6305">
        <v>27</v>
      </c>
      <c r="AC6305">
        <v>7.2576999999999998</v>
      </c>
      <c r="AD6305">
        <v>-1.115537620894</v>
      </c>
      <c r="AE6305">
        <v>-15.77069</v>
      </c>
      <c r="AF6305">
        <v>-4.7388435335848298</v>
      </c>
      <c r="AG6305">
        <v>-1.115537620894</v>
      </c>
      <c r="AH6305">
        <v>16.627047726219999</v>
      </c>
      <c r="AI6305">
        <v>93.691740373832701</v>
      </c>
      <c r="AJ6305">
        <v>105.90798196590799</v>
      </c>
      <c r="AK6305">
        <v>17.325119864215299</v>
      </c>
      <c r="AL6305">
        <v>78.772029254650803</v>
      </c>
      <c r="AM6305">
        <v>101.480528124149</v>
      </c>
      <c r="AN6305">
        <v>0.99999993675982302</v>
      </c>
    </row>
    <row r="6306" spans="1:40" x14ac:dyDescent="0.25">
      <c r="A6306" t="str">
        <f>"20190304155230402"</f>
        <v>20190304155230402</v>
      </c>
      <c r="B6306" t="str">
        <f>"1551685950393843"</f>
        <v>1551685950393843</v>
      </c>
      <c r="C6306" t="s">
        <v>40</v>
      </c>
      <c r="D6306">
        <v>4.7560729999999998</v>
      </c>
      <c r="E6306">
        <v>0.43038729999999997</v>
      </c>
      <c r="F6306" t="s">
        <v>77</v>
      </c>
      <c r="G6306">
        <v>-290.57330000000002</v>
      </c>
      <c r="H6306" s="1">
        <v>-1.014906E-5</v>
      </c>
      <c r="I6306">
        <v>-61.12809</v>
      </c>
      <c r="J6306">
        <v>-301.04250000000002</v>
      </c>
      <c r="K6306">
        <v>1.1156820000000001</v>
      </c>
      <c r="L6306">
        <v>-42.56512</v>
      </c>
      <c r="M6306">
        <v>0.1611388</v>
      </c>
      <c r="N6306">
        <v>-1.4221080000000001E-2</v>
      </c>
      <c r="O6306">
        <v>-0.98682939999999997</v>
      </c>
      <c r="P6306">
        <v>0.34799780000000002</v>
      </c>
      <c r="Q6306">
        <v>0.1838909</v>
      </c>
      <c r="R6306">
        <v>-0.91928330000000003</v>
      </c>
      <c r="S6306">
        <v>1.520508</v>
      </c>
      <c r="T6306">
        <v>-0.16115839999999901</v>
      </c>
      <c r="U6306">
        <v>-2.7251280000000002</v>
      </c>
      <c r="V6306">
        <v>-0.19773270000000001</v>
      </c>
      <c r="W6306">
        <v>0.19513929999999999</v>
      </c>
      <c r="X6306">
        <v>0.96063639999999995</v>
      </c>
      <c r="Y6306">
        <v>-0.33963100000000002</v>
      </c>
      <c r="Z6306">
        <v>3.8736359999999997E-2</v>
      </c>
      <c r="AA6306">
        <v>0.9397607</v>
      </c>
      <c r="AB6306">
        <v>27</v>
      </c>
      <c r="AC6306">
        <v>10.469200000000001</v>
      </c>
      <c r="AD6306">
        <v>-1.11569214906</v>
      </c>
      <c r="AE6306">
        <v>-18.56297</v>
      </c>
      <c r="AF6306">
        <v>-7.3207775223342697</v>
      </c>
      <c r="AG6306">
        <v>-1.11569214906</v>
      </c>
      <c r="AH6306">
        <v>19.9528163308456</v>
      </c>
      <c r="AI6306">
        <v>93.0049645171149</v>
      </c>
      <c r="AJ6306">
        <v>110.148312955615</v>
      </c>
      <c r="AK6306">
        <v>21.282702648757901</v>
      </c>
      <c r="AL6306">
        <v>78.747137979040602</v>
      </c>
      <c r="AM6306">
        <v>101.63103727703199</v>
      </c>
      <c r="AN6306">
        <v>0.99999993002936705</v>
      </c>
    </row>
    <row r="6307" spans="1:40" x14ac:dyDescent="0.25">
      <c r="A6307" t="str">
        <f>"20190304155230425"</f>
        <v>20190304155230425</v>
      </c>
      <c r="B6307" t="str">
        <f>"1551685950413363"</f>
        <v>1551685950413363</v>
      </c>
      <c r="C6307" t="s">
        <v>40</v>
      </c>
      <c r="D6307">
        <v>4.6756440000000001</v>
      </c>
      <c r="E6307">
        <v>0.42747970000000002</v>
      </c>
      <c r="F6307" t="s">
        <v>77</v>
      </c>
      <c r="G6307">
        <v>-288.66359999999997</v>
      </c>
      <c r="H6307" s="1">
        <v>-3.5633810000000002E-6</v>
      </c>
      <c r="I6307">
        <v>-63.696190000000001</v>
      </c>
      <c r="J6307">
        <v>-300.99040000000002</v>
      </c>
      <c r="K6307">
        <v>1.1158090000000001</v>
      </c>
      <c r="L6307">
        <v>-42.833620000000003</v>
      </c>
      <c r="M6307">
        <v>0.16857510000000001</v>
      </c>
      <c r="N6307">
        <v>-1.425834E-2</v>
      </c>
      <c r="O6307">
        <v>-0.98558570000000001</v>
      </c>
      <c r="P6307">
        <v>0.35694799999999999</v>
      </c>
      <c r="Q6307">
        <v>0.1840379</v>
      </c>
      <c r="R6307">
        <v>-0.91581590000000002</v>
      </c>
      <c r="S6307">
        <v>1.5784</v>
      </c>
      <c r="T6307">
        <v>-0.142258</v>
      </c>
      <c r="U6307">
        <v>-2.694366</v>
      </c>
      <c r="V6307">
        <v>-0.19992950000000001</v>
      </c>
      <c r="W6307">
        <v>0.1952305</v>
      </c>
      <c r="X6307">
        <v>0.96016310000000005</v>
      </c>
      <c r="Y6307">
        <v>-0.352354</v>
      </c>
      <c r="Z6307">
        <v>3.2649570000000003E-2</v>
      </c>
      <c r="AA6307">
        <v>0.93529709999999999</v>
      </c>
      <c r="AB6307">
        <v>27</v>
      </c>
      <c r="AC6307">
        <v>12.3268</v>
      </c>
      <c r="AD6307">
        <v>-1.1158125633810001</v>
      </c>
      <c r="AE6307">
        <v>-20.862570000000002</v>
      </c>
      <c r="AF6307">
        <v>-8.6148193596098395</v>
      </c>
      <c r="AG6307">
        <v>-1.1158125633810001</v>
      </c>
      <c r="AH6307">
        <v>22.594236755201202</v>
      </c>
      <c r="AI6307">
        <v>92.642006781247602</v>
      </c>
      <c r="AJ6307">
        <v>110.871045054063</v>
      </c>
      <c r="AK6307">
        <v>24.206604157241699</v>
      </c>
      <c r="AL6307">
        <v>78.741810538747401</v>
      </c>
      <c r="AM6307">
        <v>101.762313562514</v>
      </c>
      <c r="AN6307">
        <v>0.999999965851054</v>
      </c>
    </row>
    <row r="6308" spans="1:40" x14ac:dyDescent="0.25">
      <c r="A6308" t="str">
        <f>"20190304155230446"</f>
        <v>20190304155230446</v>
      </c>
      <c r="B6308" t="str">
        <f>"1551685950443619"</f>
        <v>1551685950443619</v>
      </c>
      <c r="C6308" t="s">
        <v>40</v>
      </c>
      <c r="D6308">
        <v>4.6971860000000003</v>
      </c>
      <c r="E6308">
        <v>0.42513309999999999</v>
      </c>
      <c r="F6308" t="s">
        <v>77</v>
      </c>
      <c r="G6308">
        <v>-287.04270000000002</v>
      </c>
      <c r="H6308" s="1">
        <v>-4.0497189999999998E-6</v>
      </c>
      <c r="I6308">
        <v>-65.726709999999997</v>
      </c>
      <c r="J6308">
        <v>-300.94170000000003</v>
      </c>
      <c r="K6308">
        <v>1.1159239999999999</v>
      </c>
      <c r="L6308">
        <v>-43.074069999999999</v>
      </c>
      <c r="M6308">
        <v>0.17541689999999999</v>
      </c>
      <c r="N6308">
        <v>-1.428901E-2</v>
      </c>
      <c r="O6308">
        <v>-0.98439069999999995</v>
      </c>
      <c r="P6308">
        <v>0.36515920000000002</v>
      </c>
      <c r="Q6308">
        <v>0.18433649999999999</v>
      </c>
      <c r="R6308">
        <v>-0.9125124</v>
      </c>
      <c r="S6308">
        <v>1.6256710000000001</v>
      </c>
      <c r="T6308">
        <v>-0.13005359999999999</v>
      </c>
      <c r="U6308">
        <v>-2.668304</v>
      </c>
      <c r="V6308">
        <v>-0.20195460000000001</v>
      </c>
      <c r="W6308">
        <v>0.19547419999999999</v>
      </c>
      <c r="X6308">
        <v>0.95968960000000003</v>
      </c>
      <c r="Y6308">
        <v>-0.36205710000000002</v>
      </c>
      <c r="Z6308">
        <v>2.8721340000000001E-2</v>
      </c>
      <c r="AA6308">
        <v>0.93171329999999997</v>
      </c>
      <c r="AB6308">
        <v>27</v>
      </c>
      <c r="AC6308">
        <v>13.898999999999999</v>
      </c>
      <c r="AD6308">
        <v>-1.1159280497189901</v>
      </c>
      <c r="AE6308">
        <v>-22.652640000000002</v>
      </c>
      <c r="AF6308">
        <v>-9.6922920482627806</v>
      </c>
      <c r="AG6308">
        <v>-1.1159280497189901</v>
      </c>
      <c r="AH6308">
        <v>24.696148589527901</v>
      </c>
      <c r="AI6308">
        <v>92.408606385057396</v>
      </c>
      <c r="AJ6308">
        <v>111.428104959772</v>
      </c>
      <c r="AK6308">
        <v>26.5534475297843</v>
      </c>
      <c r="AL6308">
        <v>78.727573362678996</v>
      </c>
      <c r="AM6308">
        <v>101.883780566428</v>
      </c>
      <c r="AN6308">
        <v>0.99999997583747902</v>
      </c>
    </row>
    <row r="6309" spans="1:40" x14ac:dyDescent="0.25">
      <c r="A6309" t="str">
        <f>"20190304155230468"</f>
        <v>20190304155230468</v>
      </c>
      <c r="B6309" t="str">
        <f>"1551685950463139"</f>
        <v>1551685950463139</v>
      </c>
      <c r="C6309" t="s">
        <v>40</v>
      </c>
      <c r="D6309">
        <v>4.7374869999999998</v>
      </c>
      <c r="E6309">
        <v>0.42464990000000002</v>
      </c>
      <c r="F6309" t="s">
        <v>77</v>
      </c>
      <c r="G6309">
        <v>-285.52839999999998</v>
      </c>
      <c r="H6309" s="1">
        <v>-4.4894559999999996E-6</v>
      </c>
      <c r="I6309">
        <v>-67.537120000000002</v>
      </c>
      <c r="J6309">
        <v>-300.8886</v>
      </c>
      <c r="K6309">
        <v>1.116052</v>
      </c>
      <c r="L6309">
        <v>-43.325710000000001</v>
      </c>
      <c r="M6309">
        <v>0.18276490000000001</v>
      </c>
      <c r="N6309">
        <v>-1.432052E-2</v>
      </c>
      <c r="O6309">
        <v>-0.9830525</v>
      </c>
      <c r="P6309">
        <v>0.37394270000000002</v>
      </c>
      <c r="Q6309">
        <v>0.18520249999999999</v>
      </c>
      <c r="R6309">
        <v>-0.90877220000000003</v>
      </c>
      <c r="S6309">
        <v>1.6665650000000001</v>
      </c>
      <c r="T6309">
        <v>-0.1206603</v>
      </c>
      <c r="U6309">
        <v>-2.6450809999999998</v>
      </c>
      <c r="V6309">
        <v>-0.20414660000000001</v>
      </c>
      <c r="W6309">
        <v>0.19627610000000001</v>
      </c>
      <c r="X6309">
        <v>0.95906199999999997</v>
      </c>
      <c r="Y6309">
        <v>-0.36914229999999998</v>
      </c>
      <c r="Z6309">
        <v>2.569461E-2</v>
      </c>
      <c r="AA6309">
        <v>0.9290176</v>
      </c>
      <c r="AB6309">
        <v>27</v>
      </c>
      <c r="AC6309">
        <v>15.360200000000001</v>
      </c>
      <c r="AD6309">
        <v>-1.1160564894559999</v>
      </c>
      <c r="AE6309">
        <v>-24.211410000000001</v>
      </c>
      <c r="AF6309">
        <v>-10.659829824184399</v>
      </c>
      <c r="AG6309">
        <v>-1.1160564894559999</v>
      </c>
      <c r="AH6309">
        <v>26.570860584319799</v>
      </c>
      <c r="AI6309">
        <v>92.232424077913393</v>
      </c>
      <c r="AJ6309">
        <v>111.859914528045</v>
      </c>
      <c r="AK6309">
        <v>28.6511463323824</v>
      </c>
      <c r="AL6309">
        <v>78.680720906117998</v>
      </c>
      <c r="AM6309">
        <v>102.016671044297</v>
      </c>
      <c r="AN6309">
        <v>1.0000000307833801</v>
      </c>
    </row>
    <row r="6310" spans="1:40" x14ac:dyDescent="0.25">
      <c r="A6310" t="str">
        <f>"20190304155230488"</f>
        <v>20190304155230488</v>
      </c>
      <c r="B6310" t="str">
        <f>"1551685950483635"</f>
        <v>1551685950483635</v>
      </c>
      <c r="C6310" t="s">
        <v>40</v>
      </c>
      <c r="D6310">
        <v>4.7738589999999999</v>
      </c>
      <c r="E6310">
        <v>0.42444799999999999</v>
      </c>
      <c r="F6310" t="s">
        <v>77</v>
      </c>
      <c r="G6310">
        <v>-284.75650000000002</v>
      </c>
      <c r="H6310" s="1">
        <v>-4.7298040000000001E-6</v>
      </c>
      <c r="I6310">
        <v>-68.326769999999996</v>
      </c>
      <c r="J6310">
        <v>-300.83890000000002</v>
      </c>
      <c r="K6310">
        <v>1.1161650000000001</v>
      </c>
      <c r="L6310">
        <v>-43.552489999999999</v>
      </c>
      <c r="M6310">
        <v>0.189551</v>
      </c>
      <c r="N6310">
        <v>-1.4349020000000001E-2</v>
      </c>
      <c r="O6310">
        <v>-0.98176609999999997</v>
      </c>
      <c r="P6310">
        <v>0.38197680000000001</v>
      </c>
      <c r="Q6310">
        <v>0.1857367</v>
      </c>
      <c r="R6310">
        <v>-0.90531539999999999</v>
      </c>
      <c r="S6310">
        <v>1.6953739999999999</v>
      </c>
      <c r="T6310">
        <v>-0.11729000000000001</v>
      </c>
      <c r="U6310">
        <v>-2.6274410000000001</v>
      </c>
      <c r="V6310">
        <v>-0.20610129999999999</v>
      </c>
      <c r="W6310">
        <v>0.1967497</v>
      </c>
      <c r="X6310">
        <v>0.95854669999999997</v>
      </c>
      <c r="Y6310">
        <v>-0.37277149999999998</v>
      </c>
      <c r="Z6310">
        <v>2.4621839999999999E-2</v>
      </c>
      <c r="AA6310">
        <v>0.92759639999999999</v>
      </c>
      <c r="AB6310">
        <v>27</v>
      </c>
      <c r="AC6310">
        <v>16.0824</v>
      </c>
      <c r="AD6310">
        <v>-1.1161697298039901</v>
      </c>
      <c r="AE6310">
        <v>-24.774280000000001</v>
      </c>
      <c r="AF6310">
        <v>-11.078486397650799</v>
      </c>
      <c r="AG6310">
        <v>-1.1161697298039901</v>
      </c>
      <c r="AH6310">
        <v>27.334764236190399</v>
      </c>
      <c r="AI6310">
        <v>92.167232347714204</v>
      </c>
      <c r="AJ6310">
        <v>112.062184071788</v>
      </c>
      <c r="AK6310">
        <v>29.515555755851501</v>
      </c>
      <c r="AL6310">
        <v>78.653045451983203</v>
      </c>
      <c r="AM6310">
        <v>102.13466628482</v>
      </c>
      <c r="AN6310">
        <v>0.99999998319633399</v>
      </c>
    </row>
    <row r="6311" spans="1:40" x14ac:dyDescent="0.25">
      <c r="A6311" t="str">
        <f>"20190304155230521"</f>
        <v>20190304155230521</v>
      </c>
      <c r="B6311" t="str">
        <f>"1551685950513891"</f>
        <v>1551685950513891</v>
      </c>
      <c r="C6311" t="s">
        <v>40</v>
      </c>
      <c r="D6311">
        <v>4.704205</v>
      </c>
      <c r="E6311">
        <v>0.42461409999999999</v>
      </c>
      <c r="F6311" t="s">
        <v>77</v>
      </c>
      <c r="G6311">
        <v>-284.25490000000002</v>
      </c>
      <c r="H6311" s="1">
        <v>-4.8911740000000004E-6</v>
      </c>
      <c r="I6311">
        <v>-68.732819999999904</v>
      </c>
      <c r="J6311">
        <v>-300.75170000000003</v>
      </c>
      <c r="K6311">
        <v>1.1163289999999999</v>
      </c>
      <c r="L6311">
        <v>-43.931179999999998</v>
      </c>
      <c r="M6311">
        <v>0.20117470000000001</v>
      </c>
      <c r="N6311">
        <v>-1.4392769999999999E-2</v>
      </c>
      <c r="O6311">
        <v>-0.97944969999999998</v>
      </c>
      <c r="P6311">
        <v>0.3952773</v>
      </c>
      <c r="Q6311">
        <v>0.18548139999999999</v>
      </c>
      <c r="R6311">
        <v>-0.89964040000000001</v>
      </c>
      <c r="S6311">
        <v>1.7201229999999901</v>
      </c>
      <c r="T6311">
        <v>-0.1157714</v>
      </c>
      <c r="U6311">
        <v>-2.611755</v>
      </c>
      <c r="V6311">
        <v>-0.20893690000000001</v>
      </c>
      <c r="W6311">
        <v>0.1964099</v>
      </c>
      <c r="X6311">
        <v>0.95800240000000003</v>
      </c>
      <c r="Y6311">
        <v>-0.37047140000000001</v>
      </c>
      <c r="Z6311">
        <v>2.4132009999999999E-2</v>
      </c>
      <c r="AA6311">
        <v>0.92853030000000003</v>
      </c>
      <c r="AB6311">
        <v>27</v>
      </c>
      <c r="AC6311">
        <v>16.4968</v>
      </c>
      <c r="AD6311">
        <v>-1.1163338911739999</v>
      </c>
      <c r="AE6311">
        <v>-24.8016399999999</v>
      </c>
      <c r="AF6311">
        <v>-11.1538135751697</v>
      </c>
      <c r="AG6311">
        <v>-1.1163338911739999</v>
      </c>
      <c r="AH6311">
        <v>27.574826167248201</v>
      </c>
      <c r="AI6311">
        <v>92.149293191991404</v>
      </c>
      <c r="AJ6311">
        <v>112.022968544227</v>
      </c>
      <c r="AK6311">
        <v>29.7661686614213</v>
      </c>
      <c r="AL6311">
        <v>78.672902628300804</v>
      </c>
      <c r="AM6311">
        <v>102.303345470312</v>
      </c>
      <c r="AN6311">
        <v>1.0000000377026801</v>
      </c>
    </row>
    <row r="6312" spans="1:40" x14ac:dyDescent="0.25">
      <c r="A6312" t="str">
        <f>"20190304155230544"</f>
        <v>20190304155230544</v>
      </c>
      <c r="B6312" t="str">
        <f>"1551685950533417"</f>
        <v>1551685950533417</v>
      </c>
      <c r="C6312" t="s">
        <v>40</v>
      </c>
      <c r="D6312">
        <v>4.8652540000000002</v>
      </c>
      <c r="E6312">
        <v>0.42454500000000001</v>
      </c>
      <c r="F6312" t="s">
        <v>77</v>
      </c>
      <c r="G6312">
        <v>-284.22239999999999</v>
      </c>
      <c r="H6312" s="1">
        <v>-4.9888990000000004E-6</v>
      </c>
      <c r="I6312">
        <v>-68.26885</v>
      </c>
      <c r="J6312">
        <v>-300.6893</v>
      </c>
      <c r="K6312">
        <v>1.116431</v>
      </c>
      <c r="L6312">
        <v>-44.18994</v>
      </c>
      <c r="M6312">
        <v>0.20930209999999999</v>
      </c>
      <c r="N6312">
        <v>-1.441855E-2</v>
      </c>
      <c r="O6312">
        <v>-0.97774499999999998</v>
      </c>
      <c r="P6312">
        <v>0.40432829999999997</v>
      </c>
      <c r="Q6312">
        <v>0.1850697</v>
      </c>
      <c r="R6312">
        <v>-0.8956944</v>
      </c>
      <c r="S6312">
        <v>1.75708</v>
      </c>
      <c r="T6312">
        <v>-0.1186678</v>
      </c>
      <c r="U6312">
        <v>-2.5871279999999999</v>
      </c>
      <c r="V6312">
        <v>-0.2106673</v>
      </c>
      <c r="W6312">
        <v>0.19594510000000001</v>
      </c>
      <c r="X6312">
        <v>0.95771859999999998</v>
      </c>
      <c r="Y6312">
        <v>-0.37591920000000001</v>
      </c>
      <c r="Z6312">
        <v>2.512342E-2</v>
      </c>
      <c r="AA6312">
        <v>0.92631189999999997</v>
      </c>
      <c r="AB6312">
        <v>26</v>
      </c>
      <c r="AC6312">
        <v>16.466899999999999</v>
      </c>
      <c r="AD6312">
        <v>-1.1164359888990001</v>
      </c>
      <c r="AE6312">
        <v>-24.07891</v>
      </c>
      <c r="AF6312">
        <v>-11.045630541819801</v>
      </c>
      <c r="AG6312">
        <v>-1.1164359888990001</v>
      </c>
      <c r="AH6312">
        <v>26.9529099751004</v>
      </c>
      <c r="AI6312">
        <v>92.194961387362895</v>
      </c>
      <c r="AJ6312">
        <v>112.28441544567001</v>
      </c>
      <c r="AK6312">
        <v>29.149815428396099</v>
      </c>
      <c r="AL6312">
        <v>78.700061644786899</v>
      </c>
      <c r="AM6312">
        <v>102.405661419117</v>
      </c>
      <c r="AN6312">
        <v>1.00000005514462</v>
      </c>
    </row>
    <row r="6313" spans="1:40" x14ac:dyDescent="0.25">
      <c r="A6313" t="str">
        <f>"20190304155230565"</f>
        <v>20190304155230565</v>
      </c>
      <c r="B6313" t="str">
        <f>"1551685950563673"</f>
        <v>1551685950563673</v>
      </c>
      <c r="C6313" t="s">
        <v>40</v>
      </c>
      <c r="D6313">
        <v>4.9803750000000004</v>
      </c>
      <c r="E6313">
        <v>0.42436629999999997</v>
      </c>
      <c r="F6313" t="s">
        <v>77</v>
      </c>
      <c r="G6313">
        <v>-284.11090000000002</v>
      </c>
      <c r="H6313" s="1">
        <v>-5.0765399999999998E-6</v>
      </c>
      <c r="I6313">
        <v>-68.068370000000002</v>
      </c>
      <c r="J6313">
        <v>-300.62689999999998</v>
      </c>
      <c r="K6313">
        <v>1.116528</v>
      </c>
      <c r="L6313">
        <v>-44.439210000000003</v>
      </c>
      <c r="M6313">
        <v>0.21729879999999999</v>
      </c>
      <c r="N6313">
        <v>-1.4442160000000001E-2</v>
      </c>
      <c r="O6313">
        <v>-0.97599840000000004</v>
      </c>
      <c r="P6313">
        <v>0.41294209999999898</v>
      </c>
      <c r="Q6313">
        <v>0.18494530000000001</v>
      </c>
      <c r="R6313">
        <v>-0.89178159999999895</v>
      </c>
      <c r="S6313">
        <v>1.7836299999999901</v>
      </c>
      <c r="T6313">
        <v>-0.120115</v>
      </c>
      <c r="U6313">
        <v>-2.5690309999999998</v>
      </c>
      <c r="V6313">
        <v>-0.21209890000000001</v>
      </c>
      <c r="W6313">
        <v>0.19577159999999999</v>
      </c>
      <c r="X6313">
        <v>0.95743800000000001</v>
      </c>
      <c r="Y6313">
        <v>-0.37784079999999998</v>
      </c>
      <c r="Z6313">
        <v>2.5623549999999998E-2</v>
      </c>
      <c r="AA6313">
        <v>0.92551589999999995</v>
      </c>
      <c r="AB6313">
        <v>26</v>
      </c>
      <c r="AC6313">
        <v>16.515999999999899</v>
      </c>
      <c r="AD6313">
        <v>-1.1165330765399999</v>
      </c>
      <c r="AE6313">
        <v>-23.629159999999999</v>
      </c>
      <c r="AF6313">
        <v>-10.969691848285001</v>
      </c>
      <c r="AG6313">
        <v>-1.1165330765399999</v>
      </c>
      <c r="AH6313">
        <v>26.613786378953598</v>
      </c>
      <c r="AI6313">
        <v>92.221246889252001</v>
      </c>
      <c r="AJ6313">
        <v>112.400516505333</v>
      </c>
      <c r="AK6313">
        <v>28.807540866618901</v>
      </c>
      <c r="AL6313">
        <v>78.7101980888865</v>
      </c>
      <c r="AM6313">
        <v>102.49087369153099</v>
      </c>
      <c r="AN6313">
        <v>0.99999999329588496</v>
      </c>
    </row>
    <row r="6314" spans="1:40" x14ac:dyDescent="0.25">
      <c r="A6314" t="str">
        <f>"20190304155230589"</f>
        <v>20190304155230589</v>
      </c>
      <c r="B6314" t="str">
        <f>"1551685950583193"</f>
        <v>1551685950583193</v>
      </c>
      <c r="C6314" t="s">
        <v>40</v>
      </c>
      <c r="D6314">
        <v>4.7930390000000003</v>
      </c>
      <c r="E6314">
        <v>0.4242012</v>
      </c>
      <c r="F6314" t="s">
        <v>77</v>
      </c>
      <c r="G6314">
        <v>-283.81099999999998</v>
      </c>
      <c r="H6314" s="1">
        <v>-5.2018679999999899E-6</v>
      </c>
      <c r="I6314">
        <v>-68.149249999999995</v>
      </c>
      <c r="J6314">
        <v>-300.55959999999999</v>
      </c>
      <c r="K6314">
        <v>1.1166290000000001</v>
      </c>
      <c r="L6314">
        <v>-44.697809999999997</v>
      </c>
      <c r="M6314">
        <v>0.22578100000000001</v>
      </c>
      <c r="N6314">
        <v>-1.446775E-2</v>
      </c>
      <c r="O6314">
        <v>-0.97407069999999996</v>
      </c>
      <c r="P6314">
        <v>0.42112379999999999</v>
      </c>
      <c r="Q6314">
        <v>0.18495149999999999</v>
      </c>
      <c r="R6314">
        <v>-0.88794599999999901</v>
      </c>
      <c r="S6314">
        <v>1.8093570000000001</v>
      </c>
      <c r="T6314">
        <v>-0.12013649999999999</v>
      </c>
      <c r="U6314">
        <v>-2.5511469999999998</v>
      </c>
      <c r="V6314">
        <v>-0.2126239</v>
      </c>
      <c r="W6314">
        <v>0.19574069999999999</v>
      </c>
      <c r="X6314">
        <v>0.95732779999999995</v>
      </c>
      <c r="Y6314">
        <v>-0.37905719999999998</v>
      </c>
      <c r="Z6314">
        <v>2.5654949999999999E-2</v>
      </c>
      <c r="AA6314">
        <v>0.9250176</v>
      </c>
      <c r="AB6314">
        <v>26</v>
      </c>
      <c r="AC6314">
        <v>16.7486</v>
      </c>
      <c r="AD6314">
        <v>-1.116634201868</v>
      </c>
      <c r="AE6314">
        <v>-23.451440000000002</v>
      </c>
      <c r="AF6314">
        <v>-11.004062582621099</v>
      </c>
      <c r="AG6314">
        <v>-1.116634201868</v>
      </c>
      <c r="AH6314">
        <v>26.58774356132</v>
      </c>
      <c r="AI6314">
        <v>92.222292331974501</v>
      </c>
      <c r="AJ6314">
        <v>112.48355141008</v>
      </c>
      <c r="AK6314">
        <v>28.796603496689301</v>
      </c>
      <c r="AL6314">
        <v>78.712002740318795</v>
      </c>
      <c r="AM6314">
        <v>102.52221386414099</v>
      </c>
      <c r="AN6314">
        <v>0.99999993057026704</v>
      </c>
    </row>
    <row r="6315" spans="1:40" x14ac:dyDescent="0.25">
      <c r="A6315" t="str">
        <f>"20190304155230612"</f>
        <v>20190304155230612</v>
      </c>
      <c r="B6315" t="str">
        <f>"1551685950603688"</f>
        <v>1551685950603688</v>
      </c>
      <c r="C6315" t="s">
        <v>40</v>
      </c>
      <c r="D6315">
        <v>4.9607010000000002</v>
      </c>
      <c r="E6315">
        <v>0.42405680000000001</v>
      </c>
      <c r="F6315" t="s">
        <v>77</v>
      </c>
      <c r="G6315">
        <v>-283.435</v>
      </c>
      <c r="H6315" s="1">
        <v>-5.3398400000000004E-6</v>
      </c>
      <c r="I6315">
        <v>-68.357990000000001</v>
      </c>
      <c r="J6315">
        <v>-300.48860000000002</v>
      </c>
      <c r="K6315">
        <v>1.116743</v>
      </c>
      <c r="L6315">
        <v>-44.95975</v>
      </c>
      <c r="M6315">
        <v>0.2345603</v>
      </c>
      <c r="N6315">
        <v>-1.4494470000000001E-2</v>
      </c>
      <c r="O6315">
        <v>-0.97199340000000001</v>
      </c>
      <c r="P6315">
        <v>0.42968879999999998</v>
      </c>
      <c r="Q6315">
        <v>0.1851893</v>
      </c>
      <c r="R6315">
        <v>-0.88378319999999999</v>
      </c>
      <c r="S6315">
        <v>1.8338620000000001</v>
      </c>
      <c r="T6315">
        <v>-0.1195797</v>
      </c>
      <c r="U6315">
        <v>-2.5337519999999998</v>
      </c>
      <c r="V6315">
        <v>-0.213311</v>
      </c>
      <c r="W6315">
        <v>0.1959362</v>
      </c>
      <c r="X6315">
        <v>0.95713499999999996</v>
      </c>
      <c r="Y6315">
        <v>-0.37959860000000001</v>
      </c>
      <c r="Z6315">
        <v>2.5493060000000001E-2</v>
      </c>
      <c r="AA6315">
        <v>0.92479999999999996</v>
      </c>
      <c r="AB6315">
        <v>26</v>
      </c>
      <c r="AC6315">
        <v>17.053599999999999</v>
      </c>
      <c r="AD6315">
        <v>-1.11674833984</v>
      </c>
      <c r="AE6315">
        <v>-23.398239999999898</v>
      </c>
      <c r="AF6315">
        <v>-11.072382317856199</v>
      </c>
      <c r="AG6315">
        <v>-1.11674833984</v>
      </c>
      <c r="AH6315">
        <v>26.706114639057201</v>
      </c>
      <c r="AI6315">
        <v>92.212112487313604</v>
      </c>
      <c r="AJ6315">
        <v>112.51894592714601</v>
      </c>
      <c r="AK6315">
        <v>28.932012307507701</v>
      </c>
      <c r="AL6315">
        <v>78.700580942457705</v>
      </c>
      <c r="AM6315">
        <v>102.56384742122999</v>
      </c>
      <c r="AN6315">
        <v>0.99999999270821904</v>
      </c>
    </row>
    <row r="6316" spans="1:40" x14ac:dyDescent="0.25">
      <c r="A6316" t="str">
        <f>"20190304155230633"</f>
        <v>20190304155230633</v>
      </c>
      <c r="B6316" t="str">
        <f>"1551685950623716"</f>
        <v>1551685950623716</v>
      </c>
      <c r="C6316" t="s">
        <v>40</v>
      </c>
      <c r="D6316">
        <v>4.7618179999999999</v>
      </c>
      <c r="E6316">
        <v>0.4240874</v>
      </c>
      <c r="F6316" t="s">
        <v>77</v>
      </c>
      <c r="G6316">
        <v>-282.99720000000002</v>
      </c>
      <c r="H6316" s="1">
        <v>-5.495786E-6</v>
      </c>
      <c r="I6316">
        <v>-68.627600000000001</v>
      </c>
      <c r="J6316">
        <v>-300.42149999999998</v>
      </c>
      <c r="K6316">
        <v>1.1168359999999999</v>
      </c>
      <c r="L6316">
        <v>-45.198610000000002</v>
      </c>
      <c r="M6316">
        <v>0.24269009999999999</v>
      </c>
      <c r="N6316">
        <v>-1.4517230000000001E-2</v>
      </c>
      <c r="O6316">
        <v>-0.9699953</v>
      </c>
      <c r="P6316">
        <v>0.43695020000000001</v>
      </c>
      <c r="Q6316">
        <v>0.18505450000000001</v>
      </c>
      <c r="R6316">
        <v>-0.88024409999999897</v>
      </c>
      <c r="S6316">
        <v>1.85907</v>
      </c>
      <c r="T6316">
        <v>-0.11869349999999999</v>
      </c>
      <c r="U6316">
        <v>-2.515533</v>
      </c>
      <c r="V6316">
        <v>-0.21321010000000001</v>
      </c>
      <c r="W6316">
        <v>0.19578000000000001</v>
      </c>
      <c r="X6316">
        <v>0.95718939999999997</v>
      </c>
      <c r="Y6316">
        <v>-0.38105260000000002</v>
      </c>
      <c r="Z6316">
        <v>2.5229519999999998E-2</v>
      </c>
      <c r="AA6316">
        <v>0.92420910000000001</v>
      </c>
      <c r="AB6316">
        <v>26</v>
      </c>
      <c r="AC6316">
        <v>17.424299999999899</v>
      </c>
      <c r="AD6316">
        <v>-1.116841495786</v>
      </c>
      <c r="AE6316">
        <v>-23.428989999999999</v>
      </c>
      <c r="AF6316">
        <v>-11.2002992916126</v>
      </c>
      <c r="AG6316">
        <v>-1.116841495786</v>
      </c>
      <c r="AH6316">
        <v>26.918170315482499</v>
      </c>
      <c r="AI6316">
        <v>92.193732053227905</v>
      </c>
      <c r="AJ6316">
        <v>112.59155714294801</v>
      </c>
      <c r="AK6316">
        <v>29.176736148543601</v>
      </c>
      <c r="AL6316">
        <v>78.709706826762101</v>
      </c>
      <c r="AM6316">
        <v>102.557401968272</v>
      </c>
      <c r="AN6316">
        <v>0.999999951307183</v>
      </c>
    </row>
    <row r="6317" spans="1:40" x14ac:dyDescent="0.25">
      <c r="A6317" t="str">
        <f>"20190304155230655"</f>
        <v>20190304155230655</v>
      </c>
      <c r="B6317" t="str">
        <f>"1551685950643236"</f>
        <v>1551685950643236</v>
      </c>
      <c r="C6317" t="s">
        <v>40</v>
      </c>
      <c r="D6317">
        <v>4.7734519999999998</v>
      </c>
      <c r="E6317">
        <v>0.4245466</v>
      </c>
      <c r="F6317" t="s">
        <v>77</v>
      </c>
      <c r="G6317">
        <v>-282.8116</v>
      </c>
      <c r="H6317" s="1">
        <v>-5.5834870000000003E-6</v>
      </c>
      <c r="I6317">
        <v>-68.620570000000001</v>
      </c>
      <c r="J6317">
        <v>-300.35210000000001</v>
      </c>
      <c r="K6317">
        <v>1.116916</v>
      </c>
      <c r="L6317">
        <v>-45.438020000000002</v>
      </c>
      <c r="M6317">
        <v>0.25096659999999998</v>
      </c>
      <c r="N6317">
        <v>-1.453746E-2</v>
      </c>
      <c r="O6317">
        <v>-0.96788649999999998</v>
      </c>
      <c r="P6317">
        <v>0.44443359999999899</v>
      </c>
      <c r="Q6317">
        <v>0.1851351</v>
      </c>
      <c r="R6317">
        <v>-0.87647240000000004</v>
      </c>
      <c r="S6317">
        <v>1.8797299999999999</v>
      </c>
      <c r="T6317">
        <v>-0.1192145</v>
      </c>
      <c r="U6317">
        <v>-2.5001220000000002</v>
      </c>
      <c r="V6317">
        <v>-0.21323310000000001</v>
      </c>
      <c r="W6317">
        <v>0.1958385</v>
      </c>
      <c r="X6317">
        <v>0.95717229999999998</v>
      </c>
      <c r="Y6317">
        <v>-0.3807682</v>
      </c>
      <c r="Z6317">
        <v>2.5414820000000001E-2</v>
      </c>
      <c r="AA6317">
        <v>0.92432119999999995</v>
      </c>
      <c r="AB6317">
        <v>26</v>
      </c>
      <c r="AC6317">
        <v>17.540500000000002</v>
      </c>
      <c r="AD6317">
        <v>-1.1169215834870001</v>
      </c>
      <c r="AE6317">
        <v>-23.182549999999999</v>
      </c>
      <c r="AF6317">
        <v>-11.1438972819538</v>
      </c>
      <c r="AG6317">
        <v>-1.1169215834870001</v>
      </c>
      <c r="AH6317">
        <v>26.803428964611999</v>
      </c>
      <c r="AI6317">
        <v>92.203523845681303</v>
      </c>
      <c r="AJ6317">
        <v>112.575776092517</v>
      </c>
      <c r="AK6317">
        <v>29.049230019320699</v>
      </c>
      <c r="AL6317">
        <v>78.706288757152606</v>
      </c>
      <c r="AM6317">
        <v>102.558930869707</v>
      </c>
      <c r="AN6317">
        <v>0.99999994245257295</v>
      </c>
    </row>
    <row r="6318" spans="1:40" x14ac:dyDescent="0.25">
      <c r="A6318" t="str">
        <f>"20190304155230677"</f>
        <v>20190304155230677</v>
      </c>
      <c r="B6318" t="str">
        <f>"1551685950673491"</f>
        <v>1551685950673491</v>
      </c>
      <c r="C6318" t="s">
        <v>40</v>
      </c>
      <c r="D6318">
        <v>4.7519600000000004</v>
      </c>
      <c r="E6318">
        <v>0.42501699999999998</v>
      </c>
      <c r="F6318" t="s">
        <v>77</v>
      </c>
      <c r="G6318">
        <v>-282.91899999999998</v>
      </c>
      <c r="H6318" s="1">
        <v>-5.5946429999999999E-6</v>
      </c>
      <c r="I6318">
        <v>-68.276899999999998</v>
      </c>
      <c r="J6318">
        <v>-300.27870000000001</v>
      </c>
      <c r="K6318">
        <v>1.1169960000000001</v>
      </c>
      <c r="L6318">
        <v>-45.682459999999999</v>
      </c>
      <c r="M6318">
        <v>0.25955270000000003</v>
      </c>
      <c r="N6318">
        <v>-1.455679E-2</v>
      </c>
      <c r="O6318">
        <v>-0.96561929999999996</v>
      </c>
      <c r="P6318">
        <v>0.45160210000000001</v>
      </c>
      <c r="Q6318">
        <v>0.18514040000000001</v>
      </c>
      <c r="R6318">
        <v>-0.87279949999999995</v>
      </c>
      <c r="S6318">
        <v>1.8977360000000001</v>
      </c>
      <c r="T6318">
        <v>-0.12158629999999999</v>
      </c>
      <c r="U6318">
        <v>-2.4862060000000001</v>
      </c>
      <c r="V6318">
        <v>-0.21261160000000001</v>
      </c>
      <c r="W6318">
        <v>0.19583519999999999</v>
      </c>
      <c r="X6318">
        <v>0.95731129999999998</v>
      </c>
      <c r="Y6318">
        <v>-0.37926680000000002</v>
      </c>
      <c r="Z6318">
        <v>2.6194180000000001E-2</v>
      </c>
      <c r="AA6318">
        <v>0.92491650000000003</v>
      </c>
      <c r="AB6318">
        <v>26</v>
      </c>
      <c r="AC6318">
        <v>17.359699999999901</v>
      </c>
      <c r="AD6318">
        <v>-1.1170015946430001</v>
      </c>
      <c r="AE6318">
        <v>-22.594439999999999</v>
      </c>
      <c r="AF6318">
        <v>-10.8828426411945</v>
      </c>
      <c r="AG6318">
        <v>-1.1170015946430001</v>
      </c>
      <c r="AH6318">
        <v>26.285775518087402</v>
      </c>
      <c r="AI6318">
        <v>92.248421067457301</v>
      </c>
      <c r="AJ6318">
        <v>112.49054408936</v>
      </c>
      <c r="AK6318">
        <v>28.471493657739799</v>
      </c>
      <c r="AL6318">
        <v>78.706482471867105</v>
      </c>
      <c r="AM6318">
        <v>102.521721328897</v>
      </c>
      <c r="AN6318">
        <v>1.0000000215606399</v>
      </c>
    </row>
    <row r="6319" spans="1:40" x14ac:dyDescent="0.25">
      <c r="A6319" t="str">
        <f>"20190304155230699"</f>
        <v>20190304155230699</v>
      </c>
      <c r="B6319" t="str">
        <f>"1551685950693012"</f>
        <v>1551685950693012</v>
      </c>
      <c r="C6319" t="s">
        <v>40</v>
      </c>
      <c r="D6319">
        <v>4.6874479999999998</v>
      </c>
      <c r="E6319">
        <v>0.42508030000000002</v>
      </c>
      <c r="F6319" t="s">
        <v>77</v>
      </c>
      <c r="G6319">
        <v>-283.0478</v>
      </c>
      <c r="H6319" s="1">
        <v>-5.5971960000000003E-6</v>
      </c>
      <c r="I6319">
        <v>-67.925629999999998</v>
      </c>
      <c r="J6319">
        <v>-300.20060000000001</v>
      </c>
      <c r="K6319">
        <v>1.117073</v>
      </c>
      <c r="L6319">
        <v>-45.933529999999998</v>
      </c>
      <c r="M6319">
        <v>0.26851439999999999</v>
      </c>
      <c r="N6319">
        <v>-1.45769E-2</v>
      </c>
      <c r="O6319">
        <v>-0.96316570000000001</v>
      </c>
      <c r="P6319">
        <v>0.4595031</v>
      </c>
      <c r="Q6319">
        <v>0.18532309999999999</v>
      </c>
      <c r="R6319">
        <v>-0.86862709999999999</v>
      </c>
      <c r="S6319">
        <v>1.915375</v>
      </c>
      <c r="T6319">
        <v>-0.1241651</v>
      </c>
      <c r="U6319">
        <v>-2.472534</v>
      </c>
      <c r="V6319">
        <v>-0.21245149999999999</v>
      </c>
      <c r="W6319">
        <v>0.1960007</v>
      </c>
      <c r="X6319">
        <v>0.95731290000000002</v>
      </c>
      <c r="Y6319">
        <v>-0.37725259999999999</v>
      </c>
      <c r="Z6319">
        <v>2.7031579999999999E-2</v>
      </c>
      <c r="AA6319">
        <v>0.92571579999999998</v>
      </c>
      <c r="AB6319">
        <v>26</v>
      </c>
      <c r="AC6319">
        <v>17.152799999999999</v>
      </c>
      <c r="AD6319">
        <v>-1.117078597196</v>
      </c>
      <c r="AE6319">
        <v>-21.992100000000001</v>
      </c>
      <c r="AF6319">
        <v>-10.599913312072999</v>
      </c>
      <c r="AG6319">
        <v>-1.117078597196</v>
      </c>
      <c r="AH6319">
        <v>25.749235163674701</v>
      </c>
      <c r="AI6319">
        <v>92.297290377421305</v>
      </c>
      <c r="AJ6319">
        <v>112.374973332162</v>
      </c>
      <c r="AK6319">
        <v>27.868066641408699</v>
      </c>
      <c r="AL6319">
        <v>78.696811817960196</v>
      </c>
      <c r="AM6319">
        <v>102.51256907035599</v>
      </c>
      <c r="AN6319">
        <v>0.99999995137957298</v>
      </c>
    </row>
    <row r="6320" spans="1:40" x14ac:dyDescent="0.25">
      <c r="A6320" t="str">
        <f>"20190304155230722"</f>
        <v>20190304155230722</v>
      </c>
      <c r="B6320" t="str">
        <f>"1551685950713508"</f>
        <v>1551685950713508</v>
      </c>
      <c r="C6320" t="s">
        <v>40</v>
      </c>
      <c r="D6320">
        <v>4.766235</v>
      </c>
      <c r="E6320">
        <v>0.4251202</v>
      </c>
      <c r="F6320" t="s">
        <v>77</v>
      </c>
      <c r="G6320">
        <v>-282.75740000000002</v>
      </c>
      <c r="H6320" s="1">
        <v>-5.7119509999999998E-6</v>
      </c>
      <c r="I6320">
        <v>-68.040629999999993</v>
      </c>
      <c r="J6320">
        <v>-300.12119999999999</v>
      </c>
      <c r="K6320">
        <v>1.1171519999999999</v>
      </c>
      <c r="L6320">
        <v>-46.180790000000002</v>
      </c>
      <c r="M6320">
        <v>0.27747949999999999</v>
      </c>
      <c r="N6320">
        <v>-1.459709E-2</v>
      </c>
      <c r="O6320">
        <v>-0.96062060000000005</v>
      </c>
      <c r="P6320">
        <v>0.46749279999999999</v>
      </c>
      <c r="Q6320">
        <v>0.1856109</v>
      </c>
      <c r="R6320">
        <v>-0.86429129999999998</v>
      </c>
      <c r="S6320">
        <v>1.9373469999999999</v>
      </c>
      <c r="T6320">
        <v>-0.12406979999999999</v>
      </c>
      <c r="U6320">
        <v>-2.4553530000000001</v>
      </c>
      <c r="V6320">
        <v>-0.2124143</v>
      </c>
      <c r="W6320">
        <v>0.19626859999999999</v>
      </c>
      <c r="X6320">
        <v>0.95726630000000001</v>
      </c>
      <c r="Y6320">
        <v>-0.37687749999999998</v>
      </c>
      <c r="Z6320">
        <v>2.7010739999999998E-2</v>
      </c>
      <c r="AA6320">
        <v>0.92586919999999995</v>
      </c>
      <c r="AB6320">
        <v>26</v>
      </c>
      <c r="AC6320">
        <v>17.363799999999902</v>
      </c>
      <c r="AD6320">
        <v>-1.1171577119509899</v>
      </c>
      <c r="AE6320">
        <v>-21.859839999999998</v>
      </c>
      <c r="AF6320">
        <v>-10.5985258635781</v>
      </c>
      <c r="AG6320">
        <v>-1.1171577119509899</v>
      </c>
      <c r="AH6320">
        <v>25.7785822935056</v>
      </c>
      <c r="AI6320">
        <v>92.295261657212606</v>
      </c>
      <c r="AJ6320">
        <v>112.34937126478</v>
      </c>
      <c r="AK6320">
        <v>27.894660723825702</v>
      </c>
      <c r="AL6320">
        <v>78.681158608009298</v>
      </c>
      <c r="AM6320">
        <v>102.511036953922</v>
      </c>
      <c r="AN6320">
        <v>0.99999998365306897</v>
      </c>
    </row>
    <row r="6321" spans="1:40" x14ac:dyDescent="0.25">
      <c r="A6321" t="str">
        <f>"20190304155230744"</f>
        <v>20190304155230744</v>
      </c>
      <c r="B6321" t="str">
        <f>"1551685950733534"</f>
        <v>1551685950733534</v>
      </c>
      <c r="C6321" t="s">
        <v>40</v>
      </c>
      <c r="D6321">
        <v>4.7743609999999999</v>
      </c>
      <c r="E6321">
        <v>0.42513719999999999</v>
      </c>
      <c r="F6321" t="s">
        <v>77</v>
      </c>
      <c r="G6321">
        <v>-282.42250000000001</v>
      </c>
      <c r="H6321" s="1">
        <v>-5.8393719999999996E-6</v>
      </c>
      <c r="I6321">
        <v>-68.201229999999995</v>
      </c>
      <c r="J6321">
        <v>-300.04349999999999</v>
      </c>
      <c r="K6321">
        <v>1.117232</v>
      </c>
      <c r="L6321">
        <v>-46.414549999999998</v>
      </c>
      <c r="M6321">
        <v>0.28608630000000002</v>
      </c>
      <c r="N6321">
        <v>-1.4616209999999999E-2</v>
      </c>
      <c r="O6321">
        <v>-0.95809250000000001</v>
      </c>
      <c r="P6321">
        <v>0.47539910000000002</v>
      </c>
      <c r="Q6321">
        <v>0.18559529999999999</v>
      </c>
      <c r="R6321">
        <v>-0.85997119999999905</v>
      </c>
      <c r="S6321">
        <v>1.9593510000000001</v>
      </c>
      <c r="T6321">
        <v>-0.1236767</v>
      </c>
      <c r="U6321">
        <v>-2.437805</v>
      </c>
      <c r="V6321">
        <v>-0.2126411</v>
      </c>
      <c r="W6321">
        <v>0.19622890000000001</v>
      </c>
      <c r="X6321">
        <v>0.95722410000000002</v>
      </c>
      <c r="Y6321">
        <v>-0.37690190000000001</v>
      </c>
      <c r="Z6321">
        <v>2.689478E-2</v>
      </c>
      <c r="AA6321">
        <v>0.92586270000000004</v>
      </c>
      <c r="AB6321">
        <v>26</v>
      </c>
      <c r="AC6321">
        <v>17.620999999999899</v>
      </c>
      <c r="AD6321">
        <v>-1.1172378393719999</v>
      </c>
      <c r="AE6321">
        <v>-21.78668</v>
      </c>
      <c r="AF6321">
        <v>-10.633908281222499</v>
      </c>
      <c r="AG6321">
        <v>-1.1172378393719999</v>
      </c>
      <c r="AH6321">
        <v>25.8764093501484</v>
      </c>
      <c r="AI6321">
        <v>92.286907545287207</v>
      </c>
      <c r="AJ6321">
        <v>112.340207446462</v>
      </c>
      <c r="AK6321">
        <v>27.998514006632998</v>
      </c>
      <c r="AL6321">
        <v>78.6834785258539</v>
      </c>
      <c r="AM6321">
        <v>102.524508766523</v>
      </c>
      <c r="AN6321">
        <v>0.99999999811261497</v>
      </c>
    </row>
    <row r="6322" spans="1:40" x14ac:dyDescent="0.25">
      <c r="A6322" t="str">
        <f>"20190304155230766"</f>
        <v>20190304155230766</v>
      </c>
      <c r="B6322" t="str">
        <f>"1551685950763789"</f>
        <v>1551685950763789</v>
      </c>
      <c r="C6322" t="s">
        <v>40</v>
      </c>
      <c r="D6322">
        <v>4.7564060000000001</v>
      </c>
      <c r="E6322">
        <v>0.43460539999999998</v>
      </c>
      <c r="F6322" t="s">
        <v>77</v>
      </c>
      <c r="G6322">
        <v>-282.15750000000003</v>
      </c>
      <c r="H6322" s="1">
        <v>-5.9531730000000003E-6</v>
      </c>
      <c r="I6322">
        <v>-68.255480000000006</v>
      </c>
      <c r="J6322">
        <v>-299.95979999999997</v>
      </c>
      <c r="K6322">
        <v>1.11731</v>
      </c>
      <c r="L6322">
        <v>-46.658540000000002</v>
      </c>
      <c r="M6322">
        <v>0.2952014</v>
      </c>
      <c r="N6322">
        <v>-1.4636120000000001E-2</v>
      </c>
      <c r="O6322">
        <v>-0.95532289999999997</v>
      </c>
      <c r="P6322">
        <v>0.48369790000000001</v>
      </c>
      <c r="Q6322">
        <v>0.1853157</v>
      </c>
      <c r="R6322">
        <v>-0.85539149999999997</v>
      </c>
      <c r="S6322">
        <v>1.981598</v>
      </c>
      <c r="T6322">
        <v>-0.123779399999999</v>
      </c>
      <c r="U6322">
        <v>-2.4197690000000001</v>
      </c>
      <c r="V6322">
        <v>-0.21280080000000001</v>
      </c>
      <c r="W6322">
        <v>0.1959245</v>
      </c>
      <c r="X6322">
        <v>0.95725099999999996</v>
      </c>
      <c r="Y6322">
        <v>-0.37655490000000003</v>
      </c>
      <c r="Z6322">
        <v>2.6934530000000002E-2</v>
      </c>
      <c r="AA6322">
        <v>0.92600269999999996</v>
      </c>
      <c r="AB6322">
        <v>26</v>
      </c>
      <c r="AC6322">
        <v>17.802299999999899</v>
      </c>
      <c r="AD6322">
        <v>-1.1173159531729999</v>
      </c>
      <c r="AE6322">
        <v>-21.59694</v>
      </c>
      <c r="AF6322">
        <v>-10.615719362413801</v>
      </c>
      <c r="AG6322">
        <v>-1.1173159531729999</v>
      </c>
      <c r="AH6322">
        <v>25.8488949685756</v>
      </c>
      <c r="AI6322">
        <v>92.289713140507601</v>
      </c>
      <c r="AJ6322">
        <v>112.327155992307</v>
      </c>
      <c r="AK6322">
        <v>27.966180712017099</v>
      </c>
      <c r="AL6322">
        <v>78.701265020953898</v>
      </c>
      <c r="AM6322">
        <v>102.533276861527</v>
      </c>
      <c r="AN6322">
        <v>1.00000003359094</v>
      </c>
    </row>
    <row r="6323" spans="1:40" x14ac:dyDescent="0.25">
      <c r="A6323" t="str">
        <f>"20190304155230791"</f>
        <v>20190304155230791</v>
      </c>
      <c r="B6323" t="str">
        <f>"1551685950783309"</f>
        <v>1551685950783309</v>
      </c>
      <c r="C6323" t="s">
        <v>40</v>
      </c>
      <c r="D6323">
        <v>4.7351289999999997</v>
      </c>
      <c r="E6323">
        <v>0.43182920000000002</v>
      </c>
      <c r="F6323" t="s">
        <v>77</v>
      </c>
      <c r="G6323">
        <v>-287.7552</v>
      </c>
      <c r="H6323" s="1">
        <v>-4.3466400000000003E-6</v>
      </c>
      <c r="I6323">
        <v>-62.044589999999999</v>
      </c>
      <c r="J6323">
        <v>-299.87169999999998</v>
      </c>
      <c r="K6323">
        <v>1.1173949999999999</v>
      </c>
      <c r="L6323">
        <v>-46.906799999999997</v>
      </c>
      <c r="M6323">
        <v>0.30463370000000001</v>
      </c>
      <c r="N6323">
        <v>-1.4656509999999999E-2</v>
      </c>
      <c r="O6323">
        <v>-0.9523568</v>
      </c>
      <c r="P6323">
        <v>0.4918382</v>
      </c>
      <c r="Q6323">
        <v>0.18420590000000001</v>
      </c>
      <c r="R6323">
        <v>-0.85097809999999896</v>
      </c>
      <c r="S6323">
        <v>1.9416199999999999</v>
      </c>
      <c r="T6323">
        <v>-0.17775260000000001</v>
      </c>
      <c r="U6323">
        <v>-2.4477540000000002</v>
      </c>
      <c r="V6323">
        <v>-0.21241689999999999</v>
      </c>
      <c r="W6323">
        <v>0.19480210000000001</v>
      </c>
      <c r="X6323">
        <v>0.95756520000000001</v>
      </c>
      <c r="Y6323">
        <v>-0.35242839999999998</v>
      </c>
      <c r="Z6323">
        <v>4.4127270000000003E-2</v>
      </c>
      <c r="AA6323">
        <v>0.93479780000000001</v>
      </c>
      <c r="AB6323">
        <v>26</v>
      </c>
      <c r="AC6323">
        <v>12.116499999999901</v>
      </c>
      <c r="AD6323">
        <v>-1.1173993466399901</v>
      </c>
      <c r="AE6323">
        <v>-15.137790000000001</v>
      </c>
      <c r="AF6323">
        <v>-6.9055609056466096</v>
      </c>
      <c r="AG6323">
        <v>-1.1173993466399901</v>
      </c>
      <c r="AH6323">
        <v>18.0496733814898</v>
      </c>
      <c r="AI6323">
        <v>93.309143253421297</v>
      </c>
      <c r="AJ6323">
        <v>110.936174669715</v>
      </c>
      <c r="AK6323">
        <v>19.357842387516399</v>
      </c>
      <c r="AL6323">
        <v>78.7668364266883</v>
      </c>
      <c r="AM6323">
        <v>102.507402863141</v>
      </c>
      <c r="AN6323">
        <v>0.99999995491052895</v>
      </c>
    </row>
    <row r="6324" spans="1:40" x14ac:dyDescent="0.25">
      <c r="A6324" t="str">
        <f>"20190304155230814"</f>
        <v>20190304155230814</v>
      </c>
      <c r="B6324" t="str">
        <f>"1551685950803805"</f>
        <v>1551685950803805</v>
      </c>
      <c r="C6324" t="s">
        <v>40</v>
      </c>
      <c r="D6324">
        <v>4.7905499999999996</v>
      </c>
      <c r="E6324">
        <v>0.43081510000000001</v>
      </c>
      <c r="F6324" t="s">
        <v>77</v>
      </c>
      <c r="G6324">
        <v>-286.5675</v>
      </c>
      <c r="H6324" s="1">
        <v>-4.7541820000000001E-6</v>
      </c>
      <c r="I6324">
        <v>-63.112830000000002</v>
      </c>
      <c r="J6324">
        <v>-299.77550000000002</v>
      </c>
      <c r="K6324">
        <v>1.1174770000000001</v>
      </c>
      <c r="L6324">
        <v>-47.16827</v>
      </c>
      <c r="M6324">
        <v>0.31473600000000002</v>
      </c>
      <c r="N6324">
        <v>-1.467806E-2</v>
      </c>
      <c r="O6324">
        <v>-0.94906599999999997</v>
      </c>
      <c r="P6324">
        <v>0.50089150000000005</v>
      </c>
      <c r="Q6324">
        <v>0.1830281</v>
      </c>
      <c r="R6324">
        <v>-0.84593669999999999</v>
      </c>
      <c r="S6324">
        <v>1.98288</v>
      </c>
      <c r="T6324">
        <v>-0.1665392</v>
      </c>
      <c r="U6324">
        <v>-2.415375</v>
      </c>
      <c r="V6324">
        <v>-0.21240210000000001</v>
      </c>
      <c r="W6324">
        <v>0.19360369999999999</v>
      </c>
      <c r="X6324">
        <v>0.95781150000000004</v>
      </c>
      <c r="Y6324">
        <v>-0.35827330000000002</v>
      </c>
      <c r="Z6324">
        <v>4.0558539999999997E-2</v>
      </c>
      <c r="AA6324">
        <v>0.93273539999999999</v>
      </c>
      <c r="AB6324">
        <v>26</v>
      </c>
      <c r="AC6324">
        <v>13.208</v>
      </c>
      <c r="AD6324">
        <v>-1.1174817541819999</v>
      </c>
      <c r="AE6324">
        <v>-15.944559999999999</v>
      </c>
      <c r="AF6324">
        <v>-7.4959088797522098</v>
      </c>
      <c r="AG6324">
        <v>-1.1174817541819999</v>
      </c>
      <c r="AH6324">
        <v>19.2355126684967</v>
      </c>
      <c r="AI6324">
        <v>93.098389292187605</v>
      </c>
      <c r="AJ6324">
        <v>111.29042195964099</v>
      </c>
      <c r="AK6324">
        <v>20.674679272587898</v>
      </c>
      <c r="AL6324">
        <v>78.836832347086997</v>
      </c>
      <c r="AM6324">
        <v>102.503443940872</v>
      </c>
      <c r="AN6324">
        <v>0.99999995713517398</v>
      </c>
    </row>
    <row r="6325" spans="1:40" x14ac:dyDescent="0.25">
      <c r="A6325" t="str">
        <f>"20190304155230838"</f>
        <v>20190304155230838</v>
      </c>
      <c r="B6325" t="str">
        <f>"1551685950833593"</f>
        <v>1551685950833593</v>
      </c>
      <c r="C6325" t="s">
        <v>40</v>
      </c>
      <c r="D6325">
        <v>4.7940509999999996</v>
      </c>
      <c r="E6325">
        <v>0.41319650000000002</v>
      </c>
      <c r="F6325" t="s">
        <v>77</v>
      </c>
      <c r="G6325">
        <v>-286.08390000000003</v>
      </c>
      <c r="H6325" s="1">
        <v>-4.9467740000000004E-6</v>
      </c>
      <c r="I6325">
        <v>-63.39808</v>
      </c>
      <c r="J6325">
        <v>-299.68110000000001</v>
      </c>
      <c r="K6325">
        <v>1.1175440000000001</v>
      </c>
      <c r="L6325">
        <v>-47.416809999999998</v>
      </c>
      <c r="M6325">
        <v>0.32446819999999998</v>
      </c>
      <c r="N6325">
        <v>-1.469761E-2</v>
      </c>
      <c r="O6325">
        <v>-0.94578240000000002</v>
      </c>
      <c r="P6325">
        <v>0.5098357</v>
      </c>
      <c r="Q6325">
        <v>0.18242320000000001</v>
      </c>
      <c r="R6325">
        <v>-0.84070769999999995</v>
      </c>
      <c r="S6325">
        <v>2.0151669999999999</v>
      </c>
      <c r="T6325">
        <v>-0.16447310000000001</v>
      </c>
      <c r="U6325">
        <v>-2.3887330000000002</v>
      </c>
      <c r="V6325">
        <v>-0.21270520000000001</v>
      </c>
      <c r="W6325">
        <v>0.19297729999999999</v>
      </c>
      <c r="X6325">
        <v>0.95787069999999996</v>
      </c>
      <c r="Y6325">
        <v>-0.36119380000000001</v>
      </c>
      <c r="Z6325">
        <v>3.9906749999999998E-2</v>
      </c>
      <c r="AA6325">
        <v>0.93163649999999998</v>
      </c>
      <c r="AB6325">
        <v>26</v>
      </c>
      <c r="AC6325">
        <v>13.5971999999999</v>
      </c>
      <c r="AD6325">
        <v>-1.1175489467739901</v>
      </c>
      <c r="AE6325">
        <v>-15.98127</v>
      </c>
      <c r="AF6325">
        <v>-7.6536971361165698</v>
      </c>
      <c r="AG6325">
        <v>-1.1175489467739901</v>
      </c>
      <c r="AH6325">
        <v>19.473533718960699</v>
      </c>
      <c r="AI6325">
        <v>93.057313933813901</v>
      </c>
      <c r="AJ6325">
        <v>111.456351762734</v>
      </c>
      <c r="AK6325">
        <v>20.953436734897</v>
      </c>
      <c r="AL6325">
        <v>78.8734128518049</v>
      </c>
      <c r="AM6325">
        <v>102.51997479798599</v>
      </c>
      <c r="AN6325">
        <v>1.00000000917041</v>
      </c>
    </row>
    <row r="6326" spans="1:40" x14ac:dyDescent="0.25">
      <c r="A6326" t="str">
        <f>"20190304155230856"</f>
        <v>20190304155230856</v>
      </c>
      <c r="B6326" t="str">
        <f>"1551685950853113"</f>
        <v>1551685950853113</v>
      </c>
      <c r="C6326" t="s">
        <v>40</v>
      </c>
      <c r="D6326">
        <v>4.7709449999999904</v>
      </c>
      <c r="E6326">
        <v>0.41527069999999999</v>
      </c>
      <c r="F6326" t="s">
        <v>78</v>
      </c>
      <c r="G6326">
        <v>-258.38659999999999</v>
      </c>
      <c r="H6326">
        <v>0.25434879999999999</v>
      </c>
      <c r="I6326">
        <v>-90.976820000000004</v>
      </c>
      <c r="J6326">
        <v>-299.60289999999998</v>
      </c>
      <c r="K6326">
        <v>1.11759599999999</v>
      </c>
      <c r="L6326">
        <v>-47.616880000000002</v>
      </c>
      <c r="M6326">
        <v>0.33239849999999999</v>
      </c>
      <c r="N6326">
        <v>-1.4712309999999999E-2</v>
      </c>
      <c r="O6326">
        <v>-0.94302439999999998</v>
      </c>
      <c r="P6326">
        <v>0.51662439999999998</v>
      </c>
      <c r="Q6326">
        <v>0.18160019999999999</v>
      </c>
      <c r="R6326">
        <v>-0.83673240000000004</v>
      </c>
      <c r="S6326">
        <v>2.1538390000000001</v>
      </c>
      <c r="T6326">
        <v>-4.5021890000000002E-2</v>
      </c>
      <c r="U6326">
        <v>-2.2720030000000002</v>
      </c>
      <c r="V6326">
        <v>-0.2123662</v>
      </c>
      <c r="W6326">
        <v>0.1921505</v>
      </c>
      <c r="X6326">
        <v>0.95811210000000002</v>
      </c>
      <c r="Y6326">
        <v>-0.40751979999999999</v>
      </c>
      <c r="Z6326">
        <v>1.7465239999999999E-3</v>
      </c>
      <c r="AA6326">
        <v>0.91319470000000003</v>
      </c>
      <c r="AB6326">
        <v>26</v>
      </c>
      <c r="AC6326">
        <v>41.216299999999897</v>
      </c>
      <c r="AD6326">
        <v>-0.86324719999999899</v>
      </c>
      <c r="AE6326">
        <v>-43.359939999999902</v>
      </c>
      <c r="AF6326">
        <v>-24.4527502417119</v>
      </c>
      <c r="AG6326">
        <v>-0.86324719999999899</v>
      </c>
      <c r="AH6326">
        <v>54.584254707934001</v>
      </c>
      <c r="AI6326">
        <v>90.826885260648694</v>
      </c>
      <c r="AJ6326">
        <v>114.13150898432001</v>
      </c>
      <c r="AK6326">
        <v>59.817414288252799</v>
      </c>
      <c r="AL6326">
        <v>78.921688483654805</v>
      </c>
      <c r="AM6326">
        <v>102.497598097552</v>
      </c>
      <c r="AN6326">
        <v>1.00000000685955</v>
      </c>
    </row>
    <row r="6327" spans="1:40" x14ac:dyDescent="0.25">
      <c r="A6327" t="str">
        <f>"20190304155230879"</f>
        <v>20190304155230879</v>
      </c>
      <c r="B6327" t="str">
        <f>"1551685950873608"</f>
        <v>1551685950873608</v>
      </c>
      <c r="C6327" t="s">
        <v>40</v>
      </c>
      <c r="D6327">
        <v>4.7777659999999997</v>
      </c>
      <c r="E6327">
        <v>0.417408</v>
      </c>
      <c r="F6327" t="s">
        <v>42</v>
      </c>
      <c r="G6327">
        <v>-261.2029</v>
      </c>
      <c r="H6327">
        <v>-0.05</v>
      </c>
      <c r="I6327">
        <v>-87.945849999999993</v>
      </c>
      <c r="J6327">
        <v>-299.505</v>
      </c>
      <c r="K6327">
        <v>1.1176549999999901</v>
      </c>
      <c r="L6327">
        <v>-47.860349999999997</v>
      </c>
      <c r="M6327">
        <v>0.34217750000000002</v>
      </c>
      <c r="N6327">
        <v>-1.4729880000000001E-2</v>
      </c>
      <c r="O6327">
        <v>-0.93951980000000002</v>
      </c>
      <c r="P6327">
        <v>0.52478769999999997</v>
      </c>
      <c r="Q6327">
        <v>0.18128050000000001</v>
      </c>
      <c r="R6327">
        <v>-0.83170630000000001</v>
      </c>
      <c r="S6327">
        <v>2.1584780000000001</v>
      </c>
      <c r="T6327">
        <v>-6.5631030000000007E-2</v>
      </c>
      <c r="U6327">
        <v>-2.2669069999999998</v>
      </c>
      <c r="V6327">
        <v>-0.21178810000000001</v>
      </c>
      <c r="W6327">
        <v>0.19182759999999999</v>
      </c>
      <c r="X6327">
        <v>0.95830470000000001</v>
      </c>
      <c r="Y6327">
        <v>-0.39998519999999999</v>
      </c>
      <c r="Z6327">
        <v>8.4072519999999901E-3</v>
      </c>
      <c r="AA6327">
        <v>0.91648300000000005</v>
      </c>
      <c r="AB6327">
        <v>26</v>
      </c>
      <c r="AC6327">
        <v>38.302100000000003</v>
      </c>
      <c r="AD6327">
        <v>-1.1676550000000001</v>
      </c>
      <c r="AE6327">
        <v>-40.085500000000003</v>
      </c>
      <c r="AF6327">
        <v>-22.2617687769254</v>
      </c>
      <c r="AG6327">
        <v>-1.1676550000000001</v>
      </c>
      <c r="AH6327">
        <v>50.750239431280797</v>
      </c>
      <c r="AI6327">
        <v>91.207037519545494</v>
      </c>
      <c r="AJ6327">
        <v>113.684825758277</v>
      </c>
      <c r="AK6327">
        <v>55.430466077858703</v>
      </c>
      <c r="AL6327">
        <v>78.940539489832304</v>
      </c>
      <c r="AM6327">
        <v>102.462215137953</v>
      </c>
      <c r="AN6327">
        <v>0.99999996273272895</v>
      </c>
    </row>
    <row r="6328" spans="1:40" x14ac:dyDescent="0.25">
      <c r="A6328" t="str">
        <f>"20190304155230900"</f>
        <v>20190304155230900</v>
      </c>
      <c r="B6328" t="str">
        <f>"1551685950893129"</f>
        <v>1551685950893129</v>
      </c>
      <c r="C6328" t="s">
        <v>40</v>
      </c>
      <c r="D6328">
        <v>4.7931910000000002</v>
      </c>
      <c r="E6328">
        <v>0.41861999999999999</v>
      </c>
      <c r="F6328" t="s">
        <v>42</v>
      </c>
      <c r="G6328">
        <v>-268.65210000000002</v>
      </c>
      <c r="H6328">
        <v>-0.05</v>
      </c>
      <c r="I6328">
        <v>-79.985860000000002</v>
      </c>
      <c r="J6328">
        <v>-299.41230000000002</v>
      </c>
      <c r="K6328">
        <v>1.1177239999999999</v>
      </c>
      <c r="L6328">
        <v>-48.084049999999998</v>
      </c>
      <c r="M6328">
        <v>0.35128690000000001</v>
      </c>
      <c r="N6328">
        <v>-1.4747059999999999E-2</v>
      </c>
      <c r="O6328">
        <v>-0.93615190000000004</v>
      </c>
      <c r="P6328">
        <v>0.53212539999999997</v>
      </c>
      <c r="Q6328">
        <v>0.1803196</v>
      </c>
      <c r="R6328">
        <v>-0.82724109999999995</v>
      </c>
      <c r="S6328">
        <v>2.1677249999999999</v>
      </c>
      <c r="T6328">
        <v>-8.2039589999999996E-2</v>
      </c>
      <c r="U6328">
        <v>-2.2571409999999998</v>
      </c>
      <c r="V6328">
        <v>-0.21089540000000001</v>
      </c>
      <c r="W6328">
        <v>0.1908714</v>
      </c>
      <c r="X6328">
        <v>0.9586924</v>
      </c>
      <c r="Y6328">
        <v>-0.39495659999999999</v>
      </c>
      <c r="Z6328">
        <v>1.369313E-2</v>
      </c>
      <c r="AA6328">
        <v>0.91859769999999996</v>
      </c>
      <c r="AB6328">
        <v>26</v>
      </c>
      <c r="AC6328">
        <v>30.760200000000001</v>
      </c>
      <c r="AD6328">
        <v>-1.167724</v>
      </c>
      <c r="AE6328">
        <v>-31.901810000000001</v>
      </c>
      <c r="AF6328">
        <v>-17.579236130923999</v>
      </c>
      <c r="AG6328">
        <v>-1.167724</v>
      </c>
      <c r="AH6328">
        <v>40.646789803498102</v>
      </c>
      <c r="AI6328">
        <v>91.510435776322495</v>
      </c>
      <c r="AJ6328">
        <v>113.387888142842</v>
      </c>
      <c r="AK6328">
        <v>44.300729605918697</v>
      </c>
      <c r="AL6328">
        <v>78.996356859397693</v>
      </c>
      <c r="AM6328">
        <v>102.406453535662</v>
      </c>
      <c r="AN6328">
        <v>0.99999993944843801</v>
      </c>
    </row>
    <row r="6329" spans="1:40" x14ac:dyDescent="0.25">
      <c r="A6329" t="str">
        <f>"20190304155230934"</f>
        <v>20190304155230934</v>
      </c>
      <c r="B6329" t="str">
        <f>"1551685950923384"</f>
        <v>1551685950923384</v>
      </c>
      <c r="C6329" t="s">
        <v>40</v>
      </c>
      <c r="D6329">
        <v>4.8091269999999904</v>
      </c>
      <c r="E6329">
        <v>0.41945110000000002</v>
      </c>
      <c r="F6329" t="s">
        <v>41</v>
      </c>
      <c r="G6329">
        <v>-274.6782</v>
      </c>
      <c r="H6329">
        <v>7.9987030000000001E-2</v>
      </c>
      <c r="I6329">
        <v>-73.539199999999994</v>
      </c>
      <c r="J6329">
        <v>-299.2629</v>
      </c>
      <c r="K6329">
        <v>1.1178239999999999</v>
      </c>
      <c r="L6329">
        <v>-48.431339999999999</v>
      </c>
      <c r="M6329">
        <v>0.36567810000000001</v>
      </c>
      <c r="N6329">
        <v>-1.477581E-2</v>
      </c>
      <c r="O6329">
        <v>-0.93062429999999996</v>
      </c>
      <c r="P6329">
        <v>0.54407700000000003</v>
      </c>
      <c r="Q6329">
        <v>0.17854879999999901</v>
      </c>
      <c r="R6329">
        <v>-0.81981769999999998</v>
      </c>
      <c r="S6329">
        <v>2.1803590000000002</v>
      </c>
      <c r="T6329">
        <v>-9.1478710000000005E-2</v>
      </c>
      <c r="U6329">
        <v>-2.2439269999999998</v>
      </c>
      <c r="V6329">
        <v>-0.2099077</v>
      </c>
      <c r="W6329">
        <v>0.18909709999999999</v>
      </c>
      <c r="X6329">
        <v>0.95926069999999997</v>
      </c>
      <c r="Y6329">
        <v>-0.38609880000000002</v>
      </c>
      <c r="Z6329">
        <v>1.6684620000000001E-2</v>
      </c>
      <c r="AA6329">
        <v>0.92230650000000003</v>
      </c>
      <c r="AB6329">
        <v>26</v>
      </c>
      <c r="AC6329">
        <v>24.584700000000002</v>
      </c>
      <c r="AD6329">
        <v>-1.0378369700000001</v>
      </c>
      <c r="AE6329">
        <v>-25.107859999999899</v>
      </c>
      <c r="AF6329">
        <v>-13.6872783896382</v>
      </c>
      <c r="AG6329">
        <v>-1.0378369700000001</v>
      </c>
      <c r="AH6329">
        <v>32.331395304711101</v>
      </c>
      <c r="AI6329">
        <v>91.693181614644402</v>
      </c>
      <c r="AJ6329">
        <v>112.945042573778</v>
      </c>
      <c r="AK6329">
        <v>35.124604163481301</v>
      </c>
      <c r="AL6329">
        <v>79.099903571488198</v>
      </c>
      <c r="AM6329">
        <v>102.34304436891099</v>
      </c>
      <c r="AN6329">
        <v>1.0000000231560899</v>
      </c>
    </row>
    <row r="6330" spans="1:40" x14ac:dyDescent="0.25">
      <c r="A6330" t="str">
        <f>"20190304155230956"</f>
        <v>20190304155230956</v>
      </c>
      <c r="B6330" t="str">
        <f>"1551685950953641"</f>
        <v>1551685950953641</v>
      </c>
      <c r="C6330" t="s">
        <v>40</v>
      </c>
      <c r="D6330">
        <v>4.7153769999999904</v>
      </c>
      <c r="E6330">
        <v>0.43218479999999998</v>
      </c>
      <c r="F6330" t="s">
        <v>41</v>
      </c>
      <c r="G6330">
        <v>-276.78809999999999</v>
      </c>
      <c r="H6330">
        <v>7.9987649999999993E-2</v>
      </c>
      <c r="I6330">
        <v>-71.006460000000004</v>
      </c>
      <c r="J6330">
        <v>-299.1601</v>
      </c>
      <c r="K6330">
        <v>1.1178900000000001</v>
      </c>
      <c r="L6330">
        <v>-48.661499999999997</v>
      </c>
      <c r="M6330">
        <v>0.37537910000000002</v>
      </c>
      <c r="N6330">
        <v>-1.479513E-2</v>
      </c>
      <c r="O6330">
        <v>-0.9267533</v>
      </c>
      <c r="P6330">
        <v>0.55193899999999996</v>
      </c>
      <c r="Q6330">
        <v>0.17787030000000001</v>
      </c>
      <c r="R6330">
        <v>-0.81469360000000002</v>
      </c>
      <c r="S6330">
        <v>2.207001</v>
      </c>
      <c r="T6330">
        <v>-0.10191459999999999</v>
      </c>
      <c r="U6330">
        <v>-2.2168580000000002</v>
      </c>
      <c r="V6330">
        <v>-0.2090814</v>
      </c>
      <c r="W6330">
        <v>0.18841910000000001</v>
      </c>
      <c r="X6330">
        <v>0.9595745</v>
      </c>
      <c r="Y6330">
        <v>-0.3876038</v>
      </c>
      <c r="Z6330">
        <v>2.0059190000000001E-2</v>
      </c>
      <c r="AA6330">
        <v>0.92160779999999998</v>
      </c>
      <c r="AB6330">
        <v>26</v>
      </c>
      <c r="AC6330">
        <v>22.372</v>
      </c>
      <c r="AD6330">
        <v>-1.03790235</v>
      </c>
      <c r="AE6330">
        <v>-22.34496</v>
      </c>
      <c r="AF6330">
        <v>-12.333556168850199</v>
      </c>
      <c r="AG6330">
        <v>-1.03790235</v>
      </c>
      <c r="AH6330">
        <v>29.078101865316899</v>
      </c>
      <c r="AI6330">
        <v>91.8820589156702</v>
      </c>
      <c r="AJ6330">
        <v>112.98436122175499</v>
      </c>
      <c r="AK6330">
        <v>31.6026874988199</v>
      </c>
      <c r="AL6330">
        <v>79.139461014420803</v>
      </c>
      <c r="AM6330">
        <v>102.292038249662</v>
      </c>
      <c r="AN6330">
        <v>1.00000000506051</v>
      </c>
    </row>
    <row r="6331" spans="1:40" x14ac:dyDescent="0.25">
      <c r="A6331" t="str">
        <f>"20190304155230979"</f>
        <v>20190304155230979</v>
      </c>
      <c r="B6331" t="str">
        <f>"1551685950973160"</f>
        <v>1551685950973160</v>
      </c>
      <c r="C6331" t="s">
        <v>40</v>
      </c>
      <c r="D6331">
        <v>4.8203969999999998</v>
      </c>
      <c r="E6331">
        <v>0.42878509999999997</v>
      </c>
      <c r="F6331" t="s">
        <v>77</v>
      </c>
      <c r="G6331">
        <v>-286.29230000000001</v>
      </c>
      <c r="H6331" s="1">
        <v>-5.0500839999999997E-6</v>
      </c>
      <c r="I6331">
        <v>-62.228529999999999</v>
      </c>
      <c r="J6331">
        <v>-299.05399999999997</v>
      </c>
      <c r="K6331">
        <v>1.117961</v>
      </c>
      <c r="L6331">
        <v>-48.892180000000003</v>
      </c>
      <c r="M6331">
        <v>0.38522289999999998</v>
      </c>
      <c r="N6331">
        <v>-1.481351E-2</v>
      </c>
      <c r="O6331">
        <v>-0.92270490000000005</v>
      </c>
      <c r="P6331">
        <v>0.56005559999999999</v>
      </c>
      <c r="Q6331">
        <v>0.17702660000000001</v>
      </c>
      <c r="R6331">
        <v>-0.80932040000000005</v>
      </c>
      <c r="S6331">
        <v>2.1498409999999999</v>
      </c>
      <c r="T6331">
        <v>-0.1867682</v>
      </c>
      <c r="U6331">
        <v>-2.2666629999999999</v>
      </c>
      <c r="V6331">
        <v>-0.20840320000000001</v>
      </c>
      <c r="W6331">
        <v>0.18757470000000001</v>
      </c>
      <c r="X6331">
        <v>0.95988739999999995</v>
      </c>
      <c r="Y6331">
        <v>-0.35454229999999998</v>
      </c>
      <c r="Z6331">
        <v>4.6687239999999998E-2</v>
      </c>
      <c r="AA6331">
        <v>0.93387370000000003</v>
      </c>
      <c r="AB6331">
        <v>26</v>
      </c>
      <c r="AC6331">
        <v>12.761699999999999</v>
      </c>
      <c r="AD6331">
        <v>-1.1179660500839901</v>
      </c>
      <c r="AE6331">
        <v>-13.336349999999999</v>
      </c>
      <c r="AF6331">
        <v>-6.6142796848169301</v>
      </c>
      <c r="AG6331">
        <v>-1.1179660500839901</v>
      </c>
      <c r="AH6331">
        <v>17.160551087843501</v>
      </c>
      <c r="AI6331">
        <v>93.478636426472093</v>
      </c>
      <c r="AJ6331">
        <v>111.078416458459</v>
      </c>
      <c r="AK6331">
        <v>18.425066010101801</v>
      </c>
      <c r="AL6331">
        <v>79.188719725238698</v>
      </c>
      <c r="AM6331">
        <v>102.2494992658</v>
      </c>
      <c r="AN6331">
        <v>0.99999999126454497</v>
      </c>
    </row>
    <row r="6332" spans="1:40" x14ac:dyDescent="0.25">
      <c r="A6332" t="str">
        <f>"20190304155231003"</f>
        <v>20190304155231003</v>
      </c>
      <c r="B6332" t="str">
        <f>"1551685950993656"</f>
        <v>1551685950993656</v>
      </c>
      <c r="C6332" t="s">
        <v>40</v>
      </c>
      <c r="D6332">
        <v>4.8358879999999997</v>
      </c>
      <c r="E6332">
        <v>0.42958039999999997</v>
      </c>
      <c r="F6332" t="s">
        <v>77</v>
      </c>
      <c r="G6332">
        <v>-284.00560000000002</v>
      </c>
      <c r="H6332" s="1">
        <v>-5.8221929999999999E-6</v>
      </c>
      <c r="I6332">
        <v>-64.155150000000006</v>
      </c>
      <c r="J6332">
        <v>-298.93939999999998</v>
      </c>
      <c r="K6332">
        <v>1.118025</v>
      </c>
      <c r="L6332">
        <v>-49.134160000000001</v>
      </c>
      <c r="M6332">
        <v>0.39568910000000002</v>
      </c>
      <c r="N6332">
        <v>-1.483203E-2</v>
      </c>
      <c r="O6332">
        <v>-0.91826470000000004</v>
      </c>
      <c r="P6332">
        <v>0.5690191</v>
      </c>
      <c r="Q6332">
        <v>0.17575109999999999</v>
      </c>
      <c r="R6332">
        <v>-0.80332360000000003</v>
      </c>
      <c r="S6332">
        <v>2.1933590000000001</v>
      </c>
      <c r="T6332">
        <v>-0.16294810000000001</v>
      </c>
      <c r="U6332">
        <v>-2.22464</v>
      </c>
      <c r="V6332">
        <v>-0.20805889999999999</v>
      </c>
      <c r="W6332">
        <v>0.1862926</v>
      </c>
      <c r="X6332">
        <v>0.96021179999999995</v>
      </c>
      <c r="Y6332">
        <v>-0.36223949999999999</v>
      </c>
      <c r="Z6332">
        <v>3.9199539999999998E-2</v>
      </c>
      <c r="AA6332">
        <v>0.93126039999999999</v>
      </c>
      <c r="AB6332">
        <v>26</v>
      </c>
      <c r="AC6332">
        <v>14.9337999999999</v>
      </c>
      <c r="AD6332">
        <v>-1.118030822193</v>
      </c>
      <c r="AE6332">
        <v>-15.020989999999999</v>
      </c>
      <c r="AF6332">
        <v>-7.7488052762030701</v>
      </c>
      <c r="AG6332">
        <v>-1.118030822193</v>
      </c>
      <c r="AH6332">
        <v>19.649808223540401</v>
      </c>
      <c r="AI6332">
        <v>93.029887568980797</v>
      </c>
      <c r="AJ6332">
        <v>111.52155322416201</v>
      </c>
      <c r="AK6332">
        <v>21.152043384737102</v>
      </c>
      <c r="AL6332">
        <v>79.263497632916796</v>
      </c>
      <c r="AM6332">
        <v>102.225864170409</v>
      </c>
      <c r="AN6332">
        <v>1.0000000697716001</v>
      </c>
    </row>
    <row r="6333" spans="1:40" x14ac:dyDescent="0.25">
      <c r="A6333" t="str">
        <f>"20190304155231025"</f>
        <v>20190304155231025</v>
      </c>
      <c r="B6333" t="str">
        <f>"1551685951022936"</f>
        <v>1551685951022936</v>
      </c>
      <c r="C6333" t="s">
        <v>40</v>
      </c>
      <c r="D6333">
        <v>4.6999320000000004</v>
      </c>
      <c r="E6333">
        <v>0.4302088</v>
      </c>
      <c r="F6333" t="s">
        <v>77</v>
      </c>
      <c r="G6333">
        <v>-284.5299</v>
      </c>
      <c r="H6333" s="1">
        <v>-5.6966389999999998E-6</v>
      </c>
      <c r="I6333">
        <v>-63.488579999999999</v>
      </c>
      <c r="J6333">
        <v>-298.82830000000001</v>
      </c>
      <c r="K6333">
        <v>1.118082</v>
      </c>
      <c r="L6333">
        <v>-49.361849999999997</v>
      </c>
      <c r="M6333">
        <v>0.40567370000000003</v>
      </c>
      <c r="N6333">
        <v>-1.4850189999999999E-2</v>
      </c>
      <c r="O6333">
        <v>-0.91389750000000003</v>
      </c>
      <c r="P6333">
        <v>0.57744300000000004</v>
      </c>
      <c r="Q6333">
        <v>0.17398250000000001</v>
      </c>
      <c r="R6333">
        <v>-0.79767790000000005</v>
      </c>
      <c r="S6333">
        <v>2.2129819999999998</v>
      </c>
      <c r="T6333">
        <v>-0.1717052</v>
      </c>
      <c r="U6333">
        <v>-2.204529</v>
      </c>
      <c r="V6333">
        <v>-0.20754</v>
      </c>
      <c r="W6333">
        <v>0.1845251</v>
      </c>
      <c r="X6333">
        <v>0.9606652</v>
      </c>
      <c r="Y6333">
        <v>-0.3603673</v>
      </c>
      <c r="Z6333">
        <v>4.1891249999999998E-2</v>
      </c>
      <c r="AA6333">
        <v>0.93186939999999996</v>
      </c>
      <c r="AB6333">
        <v>26</v>
      </c>
      <c r="AC6333">
        <v>14.298400000000001</v>
      </c>
      <c r="AD6333">
        <v>-1.1180876966390001</v>
      </c>
      <c r="AE6333">
        <v>-14.12673</v>
      </c>
      <c r="AF6333">
        <v>-7.31460358927621</v>
      </c>
      <c r="AG6333">
        <v>-1.1180876966390001</v>
      </c>
      <c r="AH6333">
        <v>18.655203944152401</v>
      </c>
      <c r="AI6333">
        <v>93.193704744293001</v>
      </c>
      <c r="AJ6333">
        <v>111.40987447836299</v>
      </c>
      <c r="AK6333">
        <v>20.069135007855898</v>
      </c>
      <c r="AL6333">
        <v>79.366553989958902</v>
      </c>
      <c r="AM6333">
        <v>102.19070263217699</v>
      </c>
      <c r="AN6333">
        <v>0.99999999531052397</v>
      </c>
    </row>
    <row r="6334" spans="1:40" x14ac:dyDescent="0.25">
      <c r="A6334" t="str">
        <f>"20190304155231047"</f>
        <v>20190304155231047</v>
      </c>
      <c r="B6334" t="str">
        <f>"1551685951043432"</f>
        <v>1551685951043432</v>
      </c>
      <c r="C6334" t="s">
        <v>40</v>
      </c>
      <c r="D6334">
        <v>4.7609579999999996</v>
      </c>
      <c r="E6334">
        <v>0.43033280000000002</v>
      </c>
      <c r="F6334" t="s">
        <v>77</v>
      </c>
      <c r="G6334">
        <v>-284.90480000000002</v>
      </c>
      <c r="H6334" s="1">
        <v>-5.6102120000000004E-6</v>
      </c>
      <c r="I6334">
        <v>-62.993079999999999</v>
      </c>
      <c r="J6334">
        <v>-298.71980000000002</v>
      </c>
      <c r="K6334">
        <v>1.1181369999999999</v>
      </c>
      <c r="L6334">
        <v>-49.578090000000003</v>
      </c>
      <c r="M6334">
        <v>0.41528389999999998</v>
      </c>
      <c r="N6334">
        <v>-1.486845E-2</v>
      </c>
      <c r="O6334">
        <v>-0.90957049999999995</v>
      </c>
      <c r="P6334">
        <v>0.58592230000000001</v>
      </c>
      <c r="Q6334">
        <v>0.17236379999999901</v>
      </c>
      <c r="R6334">
        <v>-0.79182430000000004</v>
      </c>
      <c r="S6334">
        <v>2.2314759999999998</v>
      </c>
      <c r="T6334">
        <v>-0.1791922</v>
      </c>
      <c r="U6334">
        <v>-2.184631</v>
      </c>
      <c r="V6334">
        <v>-0.20751910000000001</v>
      </c>
      <c r="W6334">
        <v>0.18289630000000001</v>
      </c>
      <c r="X6334">
        <v>0.96098110000000003</v>
      </c>
      <c r="Y6334">
        <v>-0.35855559999999997</v>
      </c>
      <c r="Z6334">
        <v>4.4170319999999999E-2</v>
      </c>
      <c r="AA6334">
        <v>0.93246280000000004</v>
      </c>
      <c r="AB6334">
        <v>26</v>
      </c>
      <c r="AC6334">
        <v>13.8149999999999</v>
      </c>
      <c r="AD6334">
        <v>-1.118142610212</v>
      </c>
      <c r="AE6334">
        <v>-13.41499</v>
      </c>
      <c r="AF6334">
        <v>-6.9719527727033102</v>
      </c>
      <c r="AG6334">
        <v>-1.118142610212</v>
      </c>
      <c r="AH6334">
        <v>17.880720337232301</v>
      </c>
      <c r="AI6334">
        <v>93.334353420772104</v>
      </c>
      <c r="AJ6334">
        <v>111.301533230575</v>
      </c>
      <c r="AK6334">
        <v>19.2244253006401</v>
      </c>
      <c r="AL6334">
        <v>79.461492759044503</v>
      </c>
      <c r="AM6334">
        <v>102.185624442895</v>
      </c>
      <c r="AN6334">
        <v>0.99999995398785302</v>
      </c>
    </row>
    <row r="6335" spans="1:40" x14ac:dyDescent="0.25">
      <c r="A6335" t="str">
        <f>"20190304155231069"</f>
        <v>20190304155231069</v>
      </c>
      <c r="B6335" t="str">
        <f>"1551685951062953"</f>
        <v>1551685951062953</v>
      </c>
      <c r="C6335" t="s">
        <v>40</v>
      </c>
      <c r="D6335">
        <v>4.9125069999999997</v>
      </c>
      <c r="E6335">
        <v>0.42977959999999898</v>
      </c>
      <c r="F6335" t="s">
        <v>77</v>
      </c>
      <c r="G6335">
        <v>-285.03620000000001</v>
      </c>
      <c r="H6335" s="1">
        <v>-5.5973739999999997E-6</v>
      </c>
      <c r="I6335">
        <v>-62.704940000000001</v>
      </c>
      <c r="J6335">
        <v>-298.60520000000002</v>
      </c>
      <c r="K6335">
        <v>1.118204</v>
      </c>
      <c r="L6335">
        <v>-49.799770000000002</v>
      </c>
      <c r="M6335">
        <v>0.42527409999999999</v>
      </c>
      <c r="N6335">
        <v>-1.488798E-2</v>
      </c>
      <c r="O6335">
        <v>-0.90494229999999998</v>
      </c>
      <c r="P6335">
        <v>0.59468719999999997</v>
      </c>
      <c r="Q6335">
        <v>0.17205290000000001</v>
      </c>
      <c r="R6335">
        <v>-0.78533120000000001</v>
      </c>
      <c r="S6335">
        <v>2.253174</v>
      </c>
      <c r="T6335">
        <v>-0.1841161</v>
      </c>
      <c r="U6335">
        <v>-2.1614990000000001</v>
      </c>
      <c r="V6335">
        <v>-0.2076153</v>
      </c>
      <c r="W6335">
        <v>0.1825686</v>
      </c>
      <c r="X6335">
        <v>0.96102270000000001</v>
      </c>
      <c r="Y6335">
        <v>-0.3576917</v>
      </c>
      <c r="Z6335">
        <v>4.5631869999999998E-2</v>
      </c>
      <c r="AA6335">
        <v>0.9327242</v>
      </c>
      <c r="AB6335">
        <v>26</v>
      </c>
      <c r="AC6335">
        <v>13.569000000000001</v>
      </c>
      <c r="AD6335">
        <v>-1.1182095973740001</v>
      </c>
      <c r="AE6335">
        <v>-12.905169999999901</v>
      </c>
      <c r="AF6335">
        <v>-6.7675474831996798</v>
      </c>
      <c r="AG6335">
        <v>-1.1182095973740001</v>
      </c>
      <c r="AH6335">
        <v>17.3889045680484</v>
      </c>
      <c r="AI6335">
        <v>93.429483996999807</v>
      </c>
      <c r="AJ6335">
        <v>111.26537469930901</v>
      </c>
      <c r="AK6335">
        <v>18.692888854259898</v>
      </c>
      <c r="AL6335">
        <v>79.480590818905995</v>
      </c>
      <c r="AM6335">
        <v>102.19059249703</v>
      </c>
      <c r="AN6335">
        <v>1.00000001820766</v>
      </c>
    </row>
    <row r="6336" spans="1:40" x14ac:dyDescent="0.25">
      <c r="A6336" t="str">
        <f>"20190304155231091"</f>
        <v>20190304155231091</v>
      </c>
      <c r="B6336" t="str">
        <f>"1551685951083449"</f>
        <v>1551685951083449</v>
      </c>
      <c r="C6336" t="s">
        <v>40</v>
      </c>
      <c r="D6336">
        <v>4.7742199999999997</v>
      </c>
      <c r="E6336">
        <v>0.42990970000000001</v>
      </c>
      <c r="F6336" t="s">
        <v>77</v>
      </c>
      <c r="G6336">
        <v>-284.43299999999999</v>
      </c>
      <c r="H6336" s="1">
        <v>-5.8185819999999996E-6</v>
      </c>
      <c r="I6336">
        <v>-63.057110000000002</v>
      </c>
      <c r="J6336">
        <v>-298.4923</v>
      </c>
      <c r="K6336">
        <v>1.1182749999999999</v>
      </c>
      <c r="L6336">
        <v>-50.012239999999998</v>
      </c>
      <c r="M6336">
        <v>0.43496950000000001</v>
      </c>
      <c r="N6336">
        <v>-1.4906849999999999E-2</v>
      </c>
      <c r="O6336">
        <v>-0.90032199999999996</v>
      </c>
      <c r="P6336">
        <v>0.60330680000000003</v>
      </c>
      <c r="Q6336">
        <v>0.17301859999999999</v>
      </c>
      <c r="R6336">
        <v>-0.77851539999999997</v>
      </c>
      <c r="S6336">
        <v>2.28009</v>
      </c>
      <c r="T6336">
        <v>-0.1799029</v>
      </c>
      <c r="U6336">
        <v>-2.1329039999999999</v>
      </c>
      <c r="V6336">
        <v>-0.2080265</v>
      </c>
      <c r="W6336">
        <v>0.18350810000000001</v>
      </c>
      <c r="X6336">
        <v>0.96075480000000002</v>
      </c>
      <c r="Y6336">
        <v>-0.35944350000000003</v>
      </c>
      <c r="Z6336">
        <v>4.4260050000000002E-2</v>
      </c>
      <c r="AA6336">
        <v>0.93211659999999996</v>
      </c>
      <c r="AB6336">
        <v>25</v>
      </c>
      <c r="AC6336">
        <v>14.0593</v>
      </c>
      <c r="AD6336">
        <v>-1.1182808185819999</v>
      </c>
      <c r="AE6336">
        <v>-13.0448699999999</v>
      </c>
      <c r="AF6336">
        <v>-6.9608857264291402</v>
      </c>
      <c r="AG6336">
        <v>-1.1182808185819999</v>
      </c>
      <c r="AH6336">
        <v>17.801410421265601</v>
      </c>
      <c r="AI6336">
        <v>93.348325305706098</v>
      </c>
      <c r="AJ6336">
        <v>111.356989885839</v>
      </c>
      <c r="AK6336">
        <v>19.1466627659224</v>
      </c>
      <c r="AL6336">
        <v>79.425836382009606</v>
      </c>
      <c r="AM6336">
        <v>102.21731635123901</v>
      </c>
      <c r="AN6336">
        <v>1.0000000165954499</v>
      </c>
    </row>
    <row r="6337" spans="1:40" x14ac:dyDescent="0.25">
      <c r="A6337" t="str">
        <f>"20190304155231112"</f>
        <v>20190304155231112</v>
      </c>
      <c r="B6337" t="str">
        <f>"1551685951102968"</f>
        <v>1551685951102968</v>
      </c>
      <c r="C6337" t="s">
        <v>40</v>
      </c>
      <c r="D6337">
        <v>4.8868029999999996</v>
      </c>
      <c r="E6337">
        <v>0.43016019999999999</v>
      </c>
      <c r="F6337" t="s">
        <v>77</v>
      </c>
      <c r="G6337">
        <v>-283.96480000000003</v>
      </c>
      <c r="H6337" s="1">
        <v>-5.9912350000000002E-6</v>
      </c>
      <c r="I6337">
        <v>-63.312460000000002</v>
      </c>
      <c r="J6337">
        <v>-298.37349999999998</v>
      </c>
      <c r="K6337">
        <v>1.1183449999999999</v>
      </c>
      <c r="L6337">
        <v>-50.22974</v>
      </c>
      <c r="M6337">
        <v>0.44500059999999902</v>
      </c>
      <c r="N6337">
        <v>-1.492538E-2</v>
      </c>
      <c r="O6337">
        <v>-0.89540589999999998</v>
      </c>
      <c r="P6337">
        <v>0.61233909999999903</v>
      </c>
      <c r="Q6337">
        <v>0.17365820000000001</v>
      </c>
      <c r="R6337">
        <v>-0.7712869</v>
      </c>
      <c r="S6337">
        <v>2.3028559999999998</v>
      </c>
      <c r="T6337">
        <v>-0.17726610000000001</v>
      </c>
      <c r="U6337">
        <v>-2.1083069999999999</v>
      </c>
      <c r="V6337">
        <v>-0.20859349999999999</v>
      </c>
      <c r="W6337">
        <v>0.18412210000000001</v>
      </c>
      <c r="X6337">
        <v>0.96051439999999999</v>
      </c>
      <c r="Y6337">
        <v>-0.3590584</v>
      </c>
      <c r="Z6337">
        <v>4.3340820000000002E-2</v>
      </c>
      <c r="AA6337">
        <v>0.93230820000000003</v>
      </c>
      <c r="AB6337">
        <v>25</v>
      </c>
      <c r="AC6337">
        <v>14.4086999999999</v>
      </c>
      <c r="AD6337">
        <v>-1.118350991235</v>
      </c>
      <c r="AE6337">
        <v>-13.082719999999901</v>
      </c>
      <c r="AF6337">
        <v>-7.0573018382137596</v>
      </c>
      <c r="AG6337">
        <v>-1.118350991235</v>
      </c>
      <c r="AH6337">
        <v>18.068580645257001</v>
      </c>
      <c r="AI6337">
        <v>93.299629759627393</v>
      </c>
      <c r="AJ6337">
        <v>111.33483030772101</v>
      </c>
      <c r="AK6337">
        <v>19.4301267291134</v>
      </c>
      <c r="AL6337">
        <v>79.390047355909701</v>
      </c>
      <c r="AM6337">
        <v>102.25258511202</v>
      </c>
      <c r="AN6337">
        <v>1.000000054279</v>
      </c>
    </row>
    <row r="6338" spans="1:40" x14ac:dyDescent="0.25">
      <c r="A6338" t="str">
        <f>"20190304155231135"</f>
        <v>20190304155231135</v>
      </c>
      <c r="B6338" t="str">
        <f>"1551685951123465"</f>
        <v>1551685951123465</v>
      </c>
      <c r="C6338" t="s">
        <v>40</v>
      </c>
      <c r="D6338">
        <v>4.835172</v>
      </c>
      <c r="E6338">
        <v>0.43031199999999997</v>
      </c>
      <c r="F6338" t="s">
        <v>77</v>
      </c>
      <c r="G6338">
        <v>-283.56790000000001</v>
      </c>
      <c r="H6338" s="1">
        <v>-6.14526399999999E-6</v>
      </c>
      <c r="I6338">
        <v>-63.485729999999997</v>
      </c>
      <c r="J6338">
        <v>-298.25299999999999</v>
      </c>
      <c r="K6338">
        <v>1.118398</v>
      </c>
      <c r="L6338">
        <v>-50.444400000000002</v>
      </c>
      <c r="M6338">
        <v>0.45500030000000002</v>
      </c>
      <c r="N6338">
        <v>-1.4941960000000001E-2</v>
      </c>
      <c r="O6338">
        <v>-0.89036599999999999</v>
      </c>
      <c r="P6338">
        <v>0.62100339999999998</v>
      </c>
      <c r="Q6338">
        <v>0.17447869999999999</v>
      </c>
      <c r="R6338">
        <v>-0.76414139999999997</v>
      </c>
      <c r="S6338">
        <v>2.325958</v>
      </c>
      <c r="T6338">
        <v>-0.17569319999999999</v>
      </c>
      <c r="U6338">
        <v>-2.0825200000000001</v>
      </c>
      <c r="V6338">
        <v>-0.2087986</v>
      </c>
      <c r="W6338">
        <v>0.1849277</v>
      </c>
      <c r="X6338">
        <v>0.96031500000000003</v>
      </c>
      <c r="Y6338">
        <v>-0.35896609999999901</v>
      </c>
      <c r="Z6338">
        <v>4.2762309999999998E-2</v>
      </c>
      <c r="AA6338">
        <v>0.93237049999999999</v>
      </c>
      <c r="AB6338">
        <v>25</v>
      </c>
      <c r="AC6338">
        <v>14.685099999999901</v>
      </c>
      <c r="AD6338">
        <v>-1.1184041452639999</v>
      </c>
      <c r="AE6338">
        <v>-13.04133</v>
      </c>
      <c r="AF6338">
        <v>-7.1190161596430199</v>
      </c>
      <c r="AG6338">
        <v>-1.1184041452639999</v>
      </c>
      <c r="AH6338">
        <v>18.2361870868402</v>
      </c>
      <c r="AI6338">
        <v>93.269751748759205</v>
      </c>
      <c r="AJ6338">
        <v>111.324606795591</v>
      </c>
      <c r="AK6338">
        <v>19.6084098891174</v>
      </c>
      <c r="AL6338">
        <v>79.3430828668738</v>
      </c>
      <c r="AM6338">
        <v>102.266737483311</v>
      </c>
      <c r="AN6338">
        <v>1.00000000440712</v>
      </c>
    </row>
    <row r="6339" spans="1:40" x14ac:dyDescent="0.25">
      <c r="A6339" t="str">
        <f>"20190304155231157"</f>
        <v>20190304155231157</v>
      </c>
      <c r="B6339" t="str">
        <f>"1551685951153721"</f>
        <v>1551685951153721</v>
      </c>
      <c r="C6339" t="s">
        <v>40</v>
      </c>
      <c r="D6339">
        <v>4.7443179999999998</v>
      </c>
      <c r="E6339">
        <v>0.43094490000000002</v>
      </c>
      <c r="F6339" t="s">
        <v>77</v>
      </c>
      <c r="G6339">
        <v>-283.06920000000002</v>
      </c>
      <c r="H6339" s="1">
        <v>-6.3058279999999998E-6</v>
      </c>
      <c r="I6339">
        <v>-63.730289999999997</v>
      </c>
      <c r="J6339">
        <v>-298.1284</v>
      </c>
      <c r="K6339">
        <v>1.1184419999999999</v>
      </c>
      <c r="L6339">
        <v>-50.66037</v>
      </c>
      <c r="M6339">
        <v>0.4651631</v>
      </c>
      <c r="N6339">
        <v>-1.49575E-2</v>
      </c>
      <c r="O6339">
        <v>-0.88509889999999902</v>
      </c>
      <c r="P6339">
        <v>0.62962379999999996</v>
      </c>
      <c r="Q6339">
        <v>0.1748876</v>
      </c>
      <c r="R6339">
        <v>-0.75696019999999997</v>
      </c>
      <c r="S6339">
        <v>2.3496700000000001</v>
      </c>
      <c r="T6339">
        <v>-0.17307110000000001</v>
      </c>
      <c r="U6339">
        <v>-2.0559690000000002</v>
      </c>
      <c r="V6339">
        <v>-0.20875859999999999</v>
      </c>
      <c r="W6339">
        <v>0.1853302</v>
      </c>
      <c r="X6339">
        <v>0.96024609999999999</v>
      </c>
      <c r="Y6339">
        <v>-0.35894549999999997</v>
      </c>
      <c r="Z6339">
        <v>4.1850810000000002E-2</v>
      </c>
      <c r="AA6339">
        <v>0.93241980000000002</v>
      </c>
      <c r="AB6339">
        <v>25</v>
      </c>
      <c r="AC6339">
        <v>15.059199999999899</v>
      </c>
      <c r="AD6339">
        <v>-1.1184483058279999</v>
      </c>
      <c r="AE6339">
        <v>-13.06992</v>
      </c>
      <c r="AF6339">
        <v>-7.2273077236677796</v>
      </c>
      <c r="AG6339">
        <v>-1.1184483058279999</v>
      </c>
      <c r="AH6339">
        <v>18.5169716977971</v>
      </c>
      <c r="AI6339">
        <v>93.220480103765496</v>
      </c>
      <c r="AJ6339">
        <v>111.321060511225</v>
      </c>
      <c r="AK6339">
        <v>19.908870997683799</v>
      </c>
      <c r="AL6339">
        <v>79.319615666323401</v>
      </c>
      <c r="AM6339">
        <v>102.26531201873399</v>
      </c>
      <c r="AN6339">
        <v>1.0000000043356001</v>
      </c>
    </row>
    <row r="6340" spans="1:40" x14ac:dyDescent="0.25">
      <c r="A6340" t="str">
        <f>"20190304155231181"</f>
        <v>20190304155231181</v>
      </c>
      <c r="B6340" t="str">
        <f>"1551685951173241"</f>
        <v>1551685951173241</v>
      </c>
      <c r="C6340" t="s">
        <v>40</v>
      </c>
      <c r="D6340">
        <v>4.8923100000000002</v>
      </c>
      <c r="E6340">
        <v>0.43097629999999998</v>
      </c>
      <c r="F6340" t="s">
        <v>77</v>
      </c>
      <c r="G6340">
        <v>-283.07900000000001</v>
      </c>
      <c r="H6340" s="1">
        <v>-6.320458E-6</v>
      </c>
      <c r="I6340">
        <v>-63.570819999999998</v>
      </c>
      <c r="J6340">
        <v>-297.99990000000003</v>
      </c>
      <c r="K6340">
        <v>1.1184879999999999</v>
      </c>
      <c r="L6340">
        <v>-50.87726</v>
      </c>
      <c r="M6340">
        <v>0.47546620000000001</v>
      </c>
      <c r="N6340">
        <v>-1.4972879999999999E-2</v>
      </c>
      <c r="O6340">
        <v>-0.87960669999999996</v>
      </c>
      <c r="P6340">
        <v>0.63866099999999904</v>
      </c>
      <c r="Q6340">
        <v>0.1751868</v>
      </c>
      <c r="R6340">
        <v>-0.74928109999999903</v>
      </c>
      <c r="S6340">
        <v>2.369659</v>
      </c>
      <c r="T6340">
        <v>-0.17610979999999901</v>
      </c>
      <c r="U6340">
        <v>-2.032867</v>
      </c>
      <c r="V6340">
        <v>-0.20912629999999999</v>
      </c>
      <c r="W6340">
        <v>0.18561549999999999</v>
      </c>
      <c r="X6340">
        <v>0.96011100000000005</v>
      </c>
      <c r="Y6340">
        <v>-0.35713909999999999</v>
      </c>
      <c r="Z6340">
        <v>4.2656850000000003E-2</v>
      </c>
      <c r="AA6340">
        <v>0.93307669999999998</v>
      </c>
      <c r="AB6340">
        <v>25</v>
      </c>
      <c r="AC6340">
        <v>14.9209</v>
      </c>
      <c r="AD6340">
        <v>-1.118494320458</v>
      </c>
      <c r="AE6340">
        <v>-12.6935599999999</v>
      </c>
      <c r="AF6340">
        <v>-7.0669211377223</v>
      </c>
      <c r="AG6340">
        <v>-1.118494320458</v>
      </c>
      <c r="AH6340">
        <v>18.202430350556199</v>
      </c>
      <c r="AI6340">
        <v>93.278429550744804</v>
      </c>
      <c r="AJ6340">
        <v>111.21823008753</v>
      </c>
      <c r="AK6340">
        <v>19.558140877356699</v>
      </c>
      <c r="AL6340">
        <v>79.302980804510995</v>
      </c>
      <c r="AM6340">
        <v>102.28793636651901</v>
      </c>
      <c r="AN6340">
        <v>1.00000002775646</v>
      </c>
    </row>
    <row r="6341" spans="1:40" x14ac:dyDescent="0.25">
      <c r="A6341" t="str">
        <f>"20190304155231203"</f>
        <v>20190304155231203</v>
      </c>
      <c r="B6341" t="str">
        <f>"1551685951192761"</f>
        <v>1551685951192761</v>
      </c>
      <c r="C6341" t="s">
        <v>40</v>
      </c>
      <c r="D6341">
        <v>4.872598</v>
      </c>
      <c r="E6341">
        <v>0.43114380000000002</v>
      </c>
      <c r="F6341" t="s">
        <v>77</v>
      </c>
      <c r="G6341">
        <v>-282.70609999999999</v>
      </c>
      <c r="H6341" s="1">
        <v>-6.4323490000000001E-6</v>
      </c>
      <c r="I6341">
        <v>-63.685780000000001</v>
      </c>
      <c r="J6341">
        <v>-297.86759999999998</v>
      </c>
      <c r="K6341">
        <v>1.118527</v>
      </c>
      <c r="L6341">
        <v>-51.09442</v>
      </c>
      <c r="M6341">
        <v>0.48587959999999902</v>
      </c>
      <c r="N6341">
        <v>-1.498855E-2</v>
      </c>
      <c r="O6341">
        <v>-0.87389729999999999</v>
      </c>
      <c r="P6341">
        <v>0.64787609999999995</v>
      </c>
      <c r="Q6341">
        <v>0.17494989999999999</v>
      </c>
      <c r="R6341">
        <v>-0.74138369999999998</v>
      </c>
      <c r="S6341">
        <v>2.3935240000000002</v>
      </c>
      <c r="T6341">
        <v>-0.17504810000000001</v>
      </c>
      <c r="U6341">
        <v>-2.004578</v>
      </c>
      <c r="V6341">
        <v>-0.20958189999999999</v>
      </c>
      <c r="W6341">
        <v>0.1853639</v>
      </c>
      <c r="X6341">
        <v>0.96006020000000003</v>
      </c>
      <c r="Y6341">
        <v>-0.35712260000000001</v>
      </c>
      <c r="Z6341">
        <v>4.2220460000000001E-2</v>
      </c>
      <c r="AA6341">
        <v>0.93310280000000001</v>
      </c>
      <c r="AB6341">
        <v>25</v>
      </c>
      <c r="AC6341">
        <v>15.161499999999901</v>
      </c>
      <c r="AD6341">
        <v>-1.1185334323489999</v>
      </c>
      <c r="AE6341">
        <v>-12.59136</v>
      </c>
      <c r="AF6341">
        <v>-7.1096089713566597</v>
      </c>
      <c r="AG6341">
        <v>-1.1185334323489999</v>
      </c>
      <c r="AH6341">
        <v>18.313292802913502</v>
      </c>
      <c r="AI6341">
        <v>93.258760829134204</v>
      </c>
      <c r="AJ6341">
        <v>111.217269073933</v>
      </c>
      <c r="AK6341">
        <v>19.6767464294817</v>
      </c>
      <c r="AL6341">
        <v>79.317650359256106</v>
      </c>
      <c r="AM6341">
        <v>102.31452248620199</v>
      </c>
      <c r="AN6341">
        <v>0.99999996792742896</v>
      </c>
    </row>
    <row r="6342" spans="1:40" x14ac:dyDescent="0.25">
      <c r="A6342" t="str">
        <f>"20190304155231225"</f>
        <v>20190304155231225</v>
      </c>
      <c r="B6342" t="str">
        <f>"1551685951213259"</f>
        <v>1551685951213259</v>
      </c>
      <c r="C6342" t="s">
        <v>40</v>
      </c>
      <c r="D6342">
        <v>4.8459770000000004</v>
      </c>
      <c r="E6342">
        <v>0.43139060000000001</v>
      </c>
      <c r="F6342" t="s">
        <v>77</v>
      </c>
      <c r="G6342">
        <v>-282.50819999999999</v>
      </c>
      <c r="H6342" s="1">
        <v>-6.5023880000000003E-6</v>
      </c>
      <c r="I6342">
        <v>-63.65211</v>
      </c>
      <c r="J6342">
        <v>-297.73939999999999</v>
      </c>
      <c r="K6342">
        <v>1.1185659999999999</v>
      </c>
      <c r="L6342">
        <v>-51.299500000000002</v>
      </c>
      <c r="M6342">
        <v>0.49580380000000002</v>
      </c>
      <c r="N6342">
        <v>-1.5003259999999999E-2</v>
      </c>
      <c r="O6342">
        <v>-0.86830499999999899</v>
      </c>
      <c r="P6342">
        <v>0.65626790000000002</v>
      </c>
      <c r="Q6342">
        <v>0.17475650000000001</v>
      </c>
      <c r="R6342">
        <v>-0.73401110000000003</v>
      </c>
      <c r="S6342">
        <v>2.4168400000000001</v>
      </c>
      <c r="T6342">
        <v>-0.1760041</v>
      </c>
      <c r="U6342">
        <v>-1.975983</v>
      </c>
      <c r="V6342">
        <v>-0.20955689999999999</v>
      </c>
      <c r="W6342">
        <v>0.1851662</v>
      </c>
      <c r="X6342">
        <v>0.96010390000000001</v>
      </c>
      <c r="Y6342">
        <v>-0.35749989999999998</v>
      </c>
      <c r="Z6342">
        <v>4.2415059999999997E-2</v>
      </c>
      <c r="AA6342">
        <v>0.93294949999999999</v>
      </c>
      <c r="AB6342">
        <v>25</v>
      </c>
      <c r="AC6342">
        <v>15.231199999999999</v>
      </c>
      <c r="AD6342">
        <v>-1.118572502388</v>
      </c>
      <c r="AE6342">
        <v>-12.35261</v>
      </c>
      <c r="AF6342">
        <v>-7.0786251547565202</v>
      </c>
      <c r="AG6342">
        <v>-1.118572502388</v>
      </c>
      <c r="AH6342">
        <v>18.220297575995801</v>
      </c>
      <c r="AI6342">
        <v>93.275161519597205</v>
      </c>
      <c r="AJ6342">
        <v>111.231256408532</v>
      </c>
      <c r="AK6342">
        <v>19.579003608010499</v>
      </c>
      <c r="AL6342">
        <v>79.329178248278794</v>
      </c>
      <c r="AM6342">
        <v>102.312555014986</v>
      </c>
      <c r="AN6342">
        <v>1.00000005737762</v>
      </c>
    </row>
    <row r="6343" spans="1:40" x14ac:dyDescent="0.25">
      <c r="A6343" t="str">
        <f>"20190304155231247"</f>
        <v>20190304155231247</v>
      </c>
      <c r="B6343" t="str">
        <f>"1551685951243513"</f>
        <v>1551685951243513</v>
      </c>
      <c r="C6343" t="s">
        <v>40</v>
      </c>
      <c r="D6343">
        <v>4.84131</v>
      </c>
      <c r="E6343">
        <v>0.43203710000000001</v>
      </c>
      <c r="F6343" t="s">
        <v>77</v>
      </c>
      <c r="G6343">
        <v>-282.31990000000002</v>
      </c>
      <c r="H6343" s="1">
        <v>-6.5680609999999998E-6</v>
      </c>
      <c r="I6343">
        <v>-63.628909999999998</v>
      </c>
      <c r="J6343">
        <v>-297.60890000000001</v>
      </c>
      <c r="K6343">
        <v>1.1185989999999999</v>
      </c>
      <c r="L6343">
        <v>-51.502839999999999</v>
      </c>
      <c r="M6343">
        <v>0.5057239</v>
      </c>
      <c r="N6343">
        <v>-1.501749E-2</v>
      </c>
      <c r="O6343">
        <v>-0.86256489999999997</v>
      </c>
      <c r="P6343">
        <v>0.66477830000000004</v>
      </c>
      <c r="Q6343">
        <v>0.17439399999999999</v>
      </c>
      <c r="R6343">
        <v>-0.72640000000000005</v>
      </c>
      <c r="S6343">
        <v>2.4380190000000002</v>
      </c>
      <c r="T6343">
        <v>-0.1768602</v>
      </c>
      <c r="U6343">
        <v>-1.9494320000000001</v>
      </c>
      <c r="V6343">
        <v>-0.20970910000000001</v>
      </c>
      <c r="W6343">
        <v>0.1847955</v>
      </c>
      <c r="X6343">
        <v>0.96014200000000005</v>
      </c>
      <c r="Y6343">
        <v>-0.3569387</v>
      </c>
      <c r="Z6343">
        <v>4.2552069999999997E-2</v>
      </c>
      <c r="AA6343">
        <v>0.93315820000000005</v>
      </c>
      <c r="AB6343">
        <v>25</v>
      </c>
      <c r="AC6343">
        <v>15.2889999999999</v>
      </c>
      <c r="AD6343">
        <v>-1.1186055680610001</v>
      </c>
      <c r="AE6343">
        <v>-12.12607</v>
      </c>
      <c r="AF6343">
        <v>-7.0329955004080604</v>
      </c>
      <c r="AG6343">
        <v>-1.1186055680610001</v>
      </c>
      <c r="AH6343">
        <v>18.1339955123659</v>
      </c>
      <c r="AI6343">
        <v>93.291550588194198</v>
      </c>
      <c r="AJ6343">
        <v>111.198028583</v>
      </c>
      <c r="AK6343">
        <v>19.482199500265999</v>
      </c>
      <c r="AL6343">
        <v>79.350789857027806</v>
      </c>
      <c r="AM6343">
        <v>102.32075049815001</v>
      </c>
      <c r="AN6343">
        <v>0.99999997180352895</v>
      </c>
    </row>
    <row r="6344" spans="1:40" x14ac:dyDescent="0.25">
      <c r="A6344" t="str">
        <f>"20190304155231269"</f>
        <v>20190304155231269</v>
      </c>
      <c r="B6344" t="str">
        <f>"1551685951263033"</f>
        <v>1551685951263033</v>
      </c>
      <c r="C6344" t="s">
        <v>40</v>
      </c>
      <c r="D6344">
        <v>4.874606</v>
      </c>
      <c r="E6344">
        <v>0.432502</v>
      </c>
      <c r="F6344" t="s">
        <v>77</v>
      </c>
      <c r="G6344">
        <v>-282.36419999999998</v>
      </c>
      <c r="H6344" s="1">
        <v>-6.57448499999999E-6</v>
      </c>
      <c r="I6344">
        <v>-63.439810000000001</v>
      </c>
      <c r="J6344">
        <v>-297.47190000000001</v>
      </c>
      <c r="K6344">
        <v>1.11863</v>
      </c>
      <c r="L6344">
        <v>-51.710270000000001</v>
      </c>
      <c r="M6344">
        <v>0.51593610000000001</v>
      </c>
      <c r="N6344">
        <v>-1.503117E-2</v>
      </c>
      <c r="O6344">
        <v>-0.85649529999999996</v>
      </c>
      <c r="P6344">
        <v>0.67308129999999999</v>
      </c>
      <c r="Q6344">
        <v>0.17298659999999999</v>
      </c>
      <c r="R6344">
        <v>-0.71905319999999995</v>
      </c>
      <c r="S6344">
        <v>2.4574579999999999</v>
      </c>
      <c r="T6344">
        <v>-0.1803207</v>
      </c>
      <c r="U6344">
        <v>-1.924255</v>
      </c>
      <c r="V6344">
        <v>-0.20914659999999999</v>
      </c>
      <c r="W6344">
        <v>0.18340029999999999</v>
      </c>
      <c r="X6344">
        <v>0.96053219999999995</v>
      </c>
      <c r="Y6344">
        <v>-0.35531089999999999</v>
      </c>
      <c r="Z6344">
        <v>4.3448979999999998E-2</v>
      </c>
      <c r="AA6344">
        <v>0.93373779999999995</v>
      </c>
      <c r="AB6344">
        <v>25</v>
      </c>
      <c r="AC6344">
        <v>15.107699999999999</v>
      </c>
      <c r="AD6344">
        <v>-1.118636574485</v>
      </c>
      <c r="AE6344">
        <v>-11.729539999999901</v>
      </c>
      <c r="AF6344">
        <v>-6.8652749998014402</v>
      </c>
      <c r="AG6344">
        <v>-1.118636574485</v>
      </c>
      <c r="AH6344">
        <v>17.782091956540398</v>
      </c>
      <c r="AI6344">
        <v>93.358615711467493</v>
      </c>
      <c r="AJ6344">
        <v>111.110479136428</v>
      </c>
      <c r="AK6344">
        <v>19.0941389687918</v>
      </c>
      <c r="AL6344">
        <v>79.432119739620106</v>
      </c>
      <c r="AM6344">
        <v>102.283867719784</v>
      </c>
      <c r="AN6344">
        <v>1.00000003878424</v>
      </c>
    </row>
    <row r="6345" spans="1:40" x14ac:dyDescent="0.25">
      <c r="A6345" t="str">
        <f>"20190304155231292"</f>
        <v>20190304155231292</v>
      </c>
      <c r="B6345" t="str">
        <f>"1551685951283532"</f>
        <v>1551685951283532</v>
      </c>
      <c r="C6345" t="s">
        <v>40</v>
      </c>
      <c r="D6345">
        <v>4.8261059999999896</v>
      </c>
      <c r="E6345">
        <v>0.43309690000000001</v>
      </c>
      <c r="F6345" t="s">
        <v>77</v>
      </c>
      <c r="G6345">
        <v>-282.57549999999998</v>
      </c>
      <c r="H6345" s="1">
        <v>-6.5390460000000004E-6</v>
      </c>
      <c r="I6345">
        <v>-63.126100000000001</v>
      </c>
      <c r="J6345">
        <v>-297.3331</v>
      </c>
      <c r="K6345">
        <v>1.1186560000000001</v>
      </c>
      <c r="L6345">
        <v>-51.914949999999997</v>
      </c>
      <c r="M6345">
        <v>0.52609159999999999</v>
      </c>
      <c r="N6345">
        <v>-1.504344E-2</v>
      </c>
      <c r="O6345">
        <v>-0.85029509999999897</v>
      </c>
      <c r="P6345">
        <v>0.68106679999999997</v>
      </c>
      <c r="Q6345">
        <v>0.1721181</v>
      </c>
      <c r="R6345">
        <v>-0.71170489999999997</v>
      </c>
      <c r="S6345">
        <v>2.47702</v>
      </c>
      <c r="T6345">
        <v>-0.1860098</v>
      </c>
      <c r="U6345">
        <v>-1.8982540000000001</v>
      </c>
      <c r="V6345">
        <v>-0.20832310000000001</v>
      </c>
      <c r="W6345">
        <v>0.18254989999999999</v>
      </c>
      <c r="X6345">
        <v>0.96087310000000004</v>
      </c>
      <c r="Y6345">
        <v>-0.35385349999999999</v>
      </c>
      <c r="Z6345">
        <v>4.5007739999999997E-2</v>
      </c>
      <c r="AA6345">
        <v>0.93421730000000003</v>
      </c>
      <c r="AB6345">
        <v>25</v>
      </c>
      <c r="AC6345">
        <v>14.7576</v>
      </c>
      <c r="AD6345">
        <v>-1.1186625390460001</v>
      </c>
      <c r="AE6345">
        <v>-11.21115</v>
      </c>
      <c r="AF6345">
        <v>-6.6268304335017296</v>
      </c>
      <c r="AG6345">
        <v>-1.1186625390460001</v>
      </c>
      <c r="AH6345">
        <v>17.235793005363998</v>
      </c>
      <c r="AI6345">
        <v>93.466746602411803</v>
      </c>
      <c r="AJ6345">
        <v>111.030790254018</v>
      </c>
      <c r="AK6345">
        <v>18.4996985919881</v>
      </c>
      <c r="AL6345">
        <v>79.481680871099599</v>
      </c>
      <c r="AM6345">
        <v>102.232750363287</v>
      </c>
      <c r="AN6345">
        <v>1.0000000471436099</v>
      </c>
    </row>
    <row r="6346" spans="1:40" x14ac:dyDescent="0.25">
      <c r="A6346" t="str">
        <f>"20190304155231313"</f>
        <v>20190304155231313</v>
      </c>
      <c r="B6346" t="str">
        <f>"1551685951303049"</f>
        <v>1551685951303049</v>
      </c>
      <c r="C6346" t="s">
        <v>40</v>
      </c>
      <c r="D6346">
        <v>4.8440310000000002</v>
      </c>
      <c r="E6346">
        <v>0.43346289999999998</v>
      </c>
      <c r="F6346" t="s">
        <v>77</v>
      </c>
      <c r="G6346">
        <v>-282.70499999999998</v>
      </c>
      <c r="H6346" s="1">
        <v>-6.5217669999999997E-6</v>
      </c>
      <c r="I6346">
        <v>-62.894370000000002</v>
      </c>
      <c r="J6346">
        <v>-297.19510000000002</v>
      </c>
      <c r="K6346">
        <v>1.118673</v>
      </c>
      <c r="L6346">
        <v>-52.113280000000003</v>
      </c>
      <c r="M6346">
        <v>0.53599069999999904</v>
      </c>
      <c r="N6346">
        <v>-1.5054059999999999E-2</v>
      </c>
      <c r="O6346">
        <v>-0.84408969999999905</v>
      </c>
      <c r="P6346">
        <v>0.68870959999999903</v>
      </c>
      <c r="Q6346">
        <v>0.17127409999999901</v>
      </c>
      <c r="R6346">
        <v>-0.70451719999999995</v>
      </c>
      <c r="S6346">
        <v>2.4956670000000001</v>
      </c>
      <c r="T6346">
        <v>-0.19085199999999999</v>
      </c>
      <c r="U6346">
        <v>-1.8731690000000001</v>
      </c>
      <c r="V6346">
        <v>-0.20734739999999999</v>
      </c>
      <c r="W6346">
        <v>0.1817317</v>
      </c>
      <c r="X6346">
        <v>0.96123910000000001</v>
      </c>
      <c r="Y6346">
        <v>-0.35222300000000001</v>
      </c>
      <c r="Z6346">
        <v>4.6284329999999999E-2</v>
      </c>
      <c r="AA6346">
        <v>0.93477089999999996</v>
      </c>
      <c r="AB6346">
        <v>25</v>
      </c>
      <c r="AC6346">
        <v>14.4901</v>
      </c>
      <c r="AD6346">
        <v>-1.118679521767</v>
      </c>
      <c r="AE6346">
        <v>-10.781090000000001</v>
      </c>
      <c r="AF6346">
        <v>-6.4284485104520801</v>
      </c>
      <c r="AG6346">
        <v>-1.118679521767</v>
      </c>
      <c r="AH6346">
        <v>16.804207560472399</v>
      </c>
      <c r="AI6346">
        <v>93.557902094878798</v>
      </c>
      <c r="AJ6346">
        <v>110.934348399803</v>
      </c>
      <c r="AK6346">
        <v>18.0265855296946</v>
      </c>
      <c r="AL6346">
        <v>79.529357096742103</v>
      </c>
      <c r="AM6346">
        <v>102.172672493677</v>
      </c>
      <c r="AN6346">
        <v>0.99999998122022904</v>
      </c>
    </row>
    <row r="6347" spans="1:40" x14ac:dyDescent="0.25">
      <c r="A6347" t="str">
        <f>"20190304155231336"</f>
        <v>20190304155231336</v>
      </c>
      <c r="B6347" t="str">
        <f>"1551685951333305"</f>
        <v>1551685951333305</v>
      </c>
      <c r="C6347" t="s">
        <v>40</v>
      </c>
      <c r="D6347">
        <v>4.7773750000000001</v>
      </c>
      <c r="E6347">
        <v>0.4328495</v>
      </c>
      <c r="F6347" t="s">
        <v>77</v>
      </c>
      <c r="G6347">
        <v>-282.63099999999997</v>
      </c>
      <c r="H6347" s="1">
        <v>-6.5558680000000002E-6</v>
      </c>
      <c r="I6347">
        <v>-62.811210000000003</v>
      </c>
      <c r="J6347">
        <v>-297.05380000000002</v>
      </c>
      <c r="K6347">
        <v>1.1186769999999999</v>
      </c>
      <c r="L6347">
        <v>-52.311340000000001</v>
      </c>
      <c r="M6347">
        <v>0.54592940000000001</v>
      </c>
      <c r="N6347">
        <v>-1.5062870000000001E-2</v>
      </c>
      <c r="O6347">
        <v>-0.837695999999999</v>
      </c>
      <c r="P6347">
        <v>0.69728029999999996</v>
      </c>
      <c r="Q6347">
        <v>0.17099839999999999</v>
      </c>
      <c r="R6347">
        <v>-0.69610360000000004</v>
      </c>
      <c r="S6347">
        <v>2.5145569999999999</v>
      </c>
      <c r="T6347">
        <v>-0.19314490000000001</v>
      </c>
      <c r="U6347">
        <v>-1.847046</v>
      </c>
      <c r="V6347">
        <v>-0.2077135</v>
      </c>
      <c r="W6347">
        <v>0.18145269999999999</v>
      </c>
      <c r="X6347">
        <v>0.96121279999999998</v>
      </c>
      <c r="Y6347">
        <v>-0.35079349999999998</v>
      </c>
      <c r="Z6347">
        <v>4.6781980000000001E-2</v>
      </c>
      <c r="AA6347">
        <v>0.93528359999999999</v>
      </c>
      <c r="AB6347">
        <v>25</v>
      </c>
      <c r="AC6347">
        <v>14.422800000000001</v>
      </c>
      <c r="AD6347">
        <v>-1.1186835558679999</v>
      </c>
      <c r="AE6347">
        <v>-10.4998699999999</v>
      </c>
      <c r="AF6347">
        <v>-6.3255804540020097</v>
      </c>
      <c r="AG6347">
        <v>-1.1186835558679999</v>
      </c>
      <c r="AH6347">
        <v>16.606120604714199</v>
      </c>
      <c r="AI6347">
        <v>93.602196900465401</v>
      </c>
      <c r="AJ6347">
        <v>110.852768535067</v>
      </c>
      <c r="AK6347">
        <v>17.805270638677101</v>
      </c>
      <c r="AL6347">
        <v>79.545613232521205</v>
      </c>
      <c r="AM6347">
        <v>102.193846093822</v>
      </c>
      <c r="AN6347">
        <v>1.00000001365168</v>
      </c>
    </row>
    <row r="6348" spans="1:40" x14ac:dyDescent="0.25">
      <c r="A6348" t="str">
        <f>"20190304155231359"</f>
        <v>20190304155231359</v>
      </c>
      <c r="B6348" t="str">
        <f>"1551685951353801"</f>
        <v>1551685951353801</v>
      </c>
      <c r="C6348" t="s">
        <v>40</v>
      </c>
      <c r="D6348">
        <v>4.7556849999999997</v>
      </c>
      <c r="E6348">
        <v>0.43260389999999999</v>
      </c>
      <c r="F6348" t="s">
        <v>77</v>
      </c>
      <c r="G6348">
        <v>-282.16699999999997</v>
      </c>
      <c r="H6348" s="1">
        <v>-6.6977880000000002E-6</v>
      </c>
      <c r="I6348">
        <v>-62.930390000000003</v>
      </c>
      <c r="J6348">
        <v>-296.90469999999999</v>
      </c>
      <c r="K6348">
        <v>1.118684</v>
      </c>
      <c r="L6348">
        <v>-52.515140000000002</v>
      </c>
      <c r="M6348">
        <v>0.55620069999999999</v>
      </c>
      <c r="N6348">
        <v>-1.507034E-2</v>
      </c>
      <c r="O6348">
        <v>-0.83091139999999997</v>
      </c>
      <c r="P6348">
        <v>0.70663799999999999</v>
      </c>
      <c r="Q6348">
        <v>0.1711742</v>
      </c>
      <c r="R6348">
        <v>-0.68655819999999901</v>
      </c>
      <c r="S6348">
        <v>2.5402529999999999</v>
      </c>
      <c r="T6348">
        <v>-0.1908897</v>
      </c>
      <c r="U6348">
        <v>-1.812012</v>
      </c>
      <c r="V6348">
        <v>-0.20892140000000001</v>
      </c>
      <c r="W6348">
        <v>0.18160699999999999</v>
      </c>
      <c r="X6348">
        <v>0.96092180000000005</v>
      </c>
      <c r="Y6348">
        <v>-0.35232289999999999</v>
      </c>
      <c r="Z6348">
        <v>4.5962839999999998E-2</v>
      </c>
      <c r="AA6348">
        <v>0.9347491</v>
      </c>
      <c r="AB6348">
        <v>25</v>
      </c>
      <c r="AC6348">
        <v>14.737699999999901</v>
      </c>
      <c r="AD6348">
        <v>-1.118690697788</v>
      </c>
      <c r="AE6348">
        <v>-10.41525</v>
      </c>
      <c r="AF6348">
        <v>-6.4287825325023498</v>
      </c>
      <c r="AG6348">
        <v>-1.118690697788</v>
      </c>
      <c r="AH6348">
        <v>16.788668935181299</v>
      </c>
      <c r="AI6348">
        <v>93.560778683702694</v>
      </c>
      <c r="AJ6348">
        <v>110.953037165501</v>
      </c>
      <c r="AK6348">
        <v>18.012221360583101</v>
      </c>
      <c r="AL6348">
        <v>79.536622768666703</v>
      </c>
      <c r="AM6348">
        <v>102.266217397434</v>
      </c>
      <c r="AN6348">
        <v>0.999999979771099</v>
      </c>
    </row>
    <row r="6349" spans="1:40" x14ac:dyDescent="0.25">
      <c r="A6349" t="str">
        <f>"20190304155231381"</f>
        <v>20190304155231381</v>
      </c>
      <c r="B6349" t="str">
        <f>"1551685951373321"</f>
        <v>1551685951373321</v>
      </c>
      <c r="C6349" t="s">
        <v>40</v>
      </c>
      <c r="D6349">
        <v>4.7317280000000004</v>
      </c>
      <c r="E6349">
        <v>0.43232730000000003</v>
      </c>
      <c r="F6349" t="s">
        <v>77</v>
      </c>
      <c r="G6349">
        <v>-281.79669999999999</v>
      </c>
      <c r="H6349" s="1">
        <v>-6.8166190000000004E-6</v>
      </c>
      <c r="I6349">
        <v>-62.976109999999998</v>
      </c>
      <c r="J6349">
        <v>-296.76170000000002</v>
      </c>
      <c r="K6349">
        <v>1.1186799999999999</v>
      </c>
      <c r="L6349">
        <v>-52.705570000000002</v>
      </c>
      <c r="M6349">
        <v>0.56583289999999997</v>
      </c>
      <c r="N6349">
        <v>-1.507588E-2</v>
      </c>
      <c r="O6349">
        <v>-0.82438239999999996</v>
      </c>
      <c r="P6349">
        <v>0.71502980000000005</v>
      </c>
      <c r="Q6349">
        <v>0.17113129999999999</v>
      </c>
      <c r="R6349">
        <v>-0.67782519999999902</v>
      </c>
      <c r="S6349">
        <v>2.5655209999999999</v>
      </c>
      <c r="T6349">
        <v>-0.18996689999999999</v>
      </c>
      <c r="U6349">
        <v>-1.7763979999999999</v>
      </c>
      <c r="V6349">
        <v>-0.2095506</v>
      </c>
      <c r="W6349">
        <v>0.1815582</v>
      </c>
      <c r="X6349">
        <v>0.96079400000000004</v>
      </c>
      <c r="Y6349">
        <v>-0.35452719999999999</v>
      </c>
      <c r="Z6349">
        <v>4.556789E-2</v>
      </c>
      <c r="AA6349">
        <v>0.93393470000000001</v>
      </c>
      <c r="AB6349">
        <v>25</v>
      </c>
      <c r="AC6349">
        <v>14.965</v>
      </c>
      <c r="AD6349">
        <v>-1.1186868166189901</v>
      </c>
      <c r="AE6349">
        <v>-10.27054</v>
      </c>
      <c r="AF6349">
        <v>-6.5015152685366804</v>
      </c>
      <c r="AG6349">
        <v>-1.1186868166189901</v>
      </c>
      <c r="AH6349">
        <v>16.8723675274112</v>
      </c>
      <c r="AI6349">
        <v>93.540296310430193</v>
      </c>
      <c r="AJ6349">
        <v>111.07342453982299</v>
      </c>
      <c r="AK6349">
        <v>18.1162343482506</v>
      </c>
      <c r="AL6349">
        <v>79.539465990506699</v>
      </c>
      <c r="AM6349">
        <v>102.303622245303</v>
      </c>
      <c r="AN6349">
        <v>0.99999997219179904</v>
      </c>
    </row>
    <row r="6350" spans="1:40" x14ac:dyDescent="0.25">
      <c r="A6350" t="str">
        <f>"20190304155231403"</f>
        <v>20190304155231403</v>
      </c>
      <c r="B6350" t="str">
        <f>"1551685951392841"</f>
        <v>1551685951392841</v>
      </c>
      <c r="C6350" t="s">
        <v>40</v>
      </c>
      <c r="D6350">
        <v>4.7536440000000004</v>
      </c>
      <c r="E6350">
        <v>0.43209940000000002</v>
      </c>
      <c r="F6350" t="s">
        <v>77</v>
      </c>
      <c r="G6350">
        <v>-281.41890000000001</v>
      </c>
      <c r="H6350" s="1">
        <v>-6.9367869999999997E-6</v>
      </c>
      <c r="I6350">
        <v>-63.031889999999997</v>
      </c>
      <c r="J6350">
        <v>-296.61169999999998</v>
      </c>
      <c r="K6350">
        <v>1.1186640000000001</v>
      </c>
      <c r="L6350">
        <v>-52.90063</v>
      </c>
      <c r="M6350">
        <v>0.5757234</v>
      </c>
      <c r="N6350">
        <v>-1.507989E-2</v>
      </c>
      <c r="O6350">
        <v>-0.81750540000000005</v>
      </c>
      <c r="P6350">
        <v>0.72360389999999997</v>
      </c>
      <c r="Q6350">
        <v>0.1703596</v>
      </c>
      <c r="R6350">
        <v>-0.66886140000000005</v>
      </c>
      <c r="S6350">
        <v>2.5889890000000002</v>
      </c>
      <c r="T6350">
        <v>-0.18877050000000001</v>
      </c>
      <c r="U6350">
        <v>-1.7424930000000001</v>
      </c>
      <c r="V6350">
        <v>-0.2100784</v>
      </c>
      <c r="W6350">
        <v>0.1807868</v>
      </c>
      <c r="X6350">
        <v>0.96082429999999996</v>
      </c>
      <c r="Y6350">
        <v>-0.35562339999999998</v>
      </c>
      <c r="Z6350">
        <v>4.5057630000000001E-2</v>
      </c>
      <c r="AA6350">
        <v>0.9335426</v>
      </c>
      <c r="AB6350">
        <v>25</v>
      </c>
      <c r="AC6350">
        <v>15.192799999999901</v>
      </c>
      <c r="AD6350">
        <v>-1.11867093678699</v>
      </c>
      <c r="AE6350">
        <v>-10.1312599999999</v>
      </c>
      <c r="AF6350">
        <v>-6.5635104004645699</v>
      </c>
      <c r="AG6350">
        <v>-1.11867093678699</v>
      </c>
      <c r="AH6350">
        <v>16.967471874716399</v>
      </c>
      <c r="AI6350">
        <v>93.518690574570499</v>
      </c>
      <c r="AJ6350">
        <v>111.147916299551</v>
      </c>
      <c r="AK6350">
        <v>18.227073140279799</v>
      </c>
      <c r="AL6350">
        <v>79.584408694989904</v>
      </c>
      <c r="AM6350">
        <v>102.33328726119299</v>
      </c>
      <c r="AN6350">
        <v>1.00000006833564</v>
      </c>
    </row>
    <row r="6351" spans="1:40" x14ac:dyDescent="0.25">
      <c r="A6351" t="str">
        <f>"20190304155231427"</f>
        <v>20190304155231427</v>
      </c>
      <c r="B6351" t="str">
        <f>"1551685951423097"</f>
        <v>1551685951423097</v>
      </c>
      <c r="C6351" t="s">
        <v>40</v>
      </c>
      <c r="D6351">
        <v>4.7410620000000003</v>
      </c>
      <c r="E6351">
        <v>0.43189169999999999</v>
      </c>
      <c r="F6351" t="s">
        <v>77</v>
      </c>
      <c r="G6351">
        <v>-281.21789999999999</v>
      </c>
      <c r="H6351" s="1">
        <v>-7.0117619999999997E-6</v>
      </c>
      <c r="I6351">
        <v>-62.963740000000001</v>
      </c>
      <c r="J6351">
        <v>-296.45940000000002</v>
      </c>
      <c r="K6351">
        <v>1.118644</v>
      </c>
      <c r="L6351">
        <v>-53.09384</v>
      </c>
      <c r="M6351">
        <v>0.58553459999999902</v>
      </c>
      <c r="N6351">
        <v>-1.508194E-2</v>
      </c>
      <c r="O6351">
        <v>-0.81050730000000004</v>
      </c>
      <c r="P6351">
        <v>0.73212189999999999</v>
      </c>
      <c r="Q6351">
        <v>0.16973009999999999</v>
      </c>
      <c r="R6351">
        <v>-0.65968890000000002</v>
      </c>
      <c r="S6351">
        <v>2.6121829999999999</v>
      </c>
      <c r="T6351">
        <v>-0.18982760000000001</v>
      </c>
      <c r="U6351">
        <v>-1.707611</v>
      </c>
      <c r="V6351">
        <v>-0.21070659999999999</v>
      </c>
      <c r="W6351">
        <v>0.1801555</v>
      </c>
      <c r="X6351">
        <v>0.96080520000000003</v>
      </c>
      <c r="Y6351">
        <v>-0.35687829999999998</v>
      </c>
      <c r="Z6351">
        <v>4.5215470000000001E-2</v>
      </c>
      <c r="AA6351">
        <v>0.933056</v>
      </c>
      <c r="AB6351">
        <v>25</v>
      </c>
      <c r="AC6351">
        <v>15.2415</v>
      </c>
      <c r="AD6351">
        <v>-1.1186510117620001</v>
      </c>
      <c r="AE6351">
        <v>-9.8698999999999995</v>
      </c>
      <c r="AF6351">
        <v>-6.5500663750149304</v>
      </c>
      <c r="AG6351">
        <v>-1.1186510117620001</v>
      </c>
      <c r="AH6351">
        <v>16.861977787418201</v>
      </c>
      <c r="AI6351">
        <v>93.538655049845005</v>
      </c>
      <c r="AJ6351">
        <v>111.22875104412999</v>
      </c>
      <c r="AK6351">
        <v>18.124046030249499</v>
      </c>
      <c r="AL6351">
        <v>79.621182147481704</v>
      </c>
      <c r="AM6351">
        <v>102.36927234344699</v>
      </c>
      <c r="AN6351">
        <v>0.99999995390542396</v>
      </c>
    </row>
    <row r="6352" spans="1:40" x14ac:dyDescent="0.25">
      <c r="A6352" t="str">
        <f>"20190304155231450"</f>
        <v>20190304155231450</v>
      </c>
      <c r="B6352" t="str">
        <f>"1551685951443593"</f>
        <v>1551685951443593</v>
      </c>
      <c r="C6352" t="s">
        <v>40</v>
      </c>
      <c r="D6352">
        <v>4.7120540000000002</v>
      </c>
      <c r="E6352">
        <v>0.43180370000000001</v>
      </c>
      <c r="F6352" t="s">
        <v>77</v>
      </c>
      <c r="G6352">
        <v>-281.03050000000002</v>
      </c>
      <c r="H6352" s="1">
        <v>-7.0831489999999999E-6</v>
      </c>
      <c r="I6352">
        <v>-62.886740000000003</v>
      </c>
      <c r="J6352">
        <v>-296.3021</v>
      </c>
      <c r="K6352">
        <v>1.1186259999999999</v>
      </c>
      <c r="L6352">
        <v>-53.288020000000003</v>
      </c>
      <c r="M6352">
        <v>0.59541330000000003</v>
      </c>
      <c r="N6352">
        <v>-1.5082409999999999E-2</v>
      </c>
      <c r="O6352">
        <v>-0.80327799999999905</v>
      </c>
      <c r="P6352">
        <v>0.74035589999999996</v>
      </c>
      <c r="Q6352">
        <v>0.17001540000000001</v>
      </c>
      <c r="R6352">
        <v>-0.65035989999999999</v>
      </c>
      <c r="S6352">
        <v>2.634979</v>
      </c>
      <c r="T6352">
        <v>-0.19104589999999999</v>
      </c>
      <c r="U6352">
        <v>-1.672455</v>
      </c>
      <c r="V6352">
        <v>-0.21106169999999999</v>
      </c>
      <c r="W6352">
        <v>0.18044399999999999</v>
      </c>
      <c r="X6352">
        <v>0.9606732</v>
      </c>
      <c r="Y6352">
        <v>-0.357956099999999</v>
      </c>
      <c r="Z6352">
        <v>4.5403789999999999E-2</v>
      </c>
      <c r="AA6352">
        <v>0.93263390000000002</v>
      </c>
      <c r="AB6352">
        <v>25</v>
      </c>
      <c r="AC6352">
        <v>15.2715999999999</v>
      </c>
      <c r="AD6352">
        <v>-1.1186330831489999</v>
      </c>
      <c r="AE6352">
        <v>-9.5987200000000001</v>
      </c>
      <c r="AF6352">
        <v>-6.5277739013713001</v>
      </c>
      <c r="AG6352">
        <v>-1.1186330831489999</v>
      </c>
      <c r="AH6352">
        <v>16.740879445351101</v>
      </c>
      <c r="AI6352">
        <v>93.562354020001706</v>
      </c>
      <c r="AJ6352">
        <v>111.30231057975701</v>
      </c>
      <c r="AK6352">
        <v>18.003339042686498</v>
      </c>
      <c r="AL6352">
        <v>79.604377786613398</v>
      </c>
      <c r="AM6352">
        <v>102.391124584775</v>
      </c>
      <c r="AN6352">
        <v>1.00000003777056</v>
      </c>
    </row>
    <row r="6353" spans="1:40" x14ac:dyDescent="0.25">
      <c r="A6353" t="str">
        <f>"20190304155231470"</f>
        <v>20190304155231470</v>
      </c>
      <c r="B6353" t="str">
        <f>"1551685951463113"</f>
        <v>1551685951463113</v>
      </c>
      <c r="C6353" t="s">
        <v>40</v>
      </c>
      <c r="D6353">
        <v>4.7420479999999996</v>
      </c>
      <c r="E6353">
        <v>0.43171949999999998</v>
      </c>
      <c r="F6353" t="s">
        <v>77</v>
      </c>
      <c r="G6353">
        <v>-280.70600000000002</v>
      </c>
      <c r="H6353" s="1">
        <v>-7.1889300000000003E-6</v>
      </c>
      <c r="I6353">
        <v>-62.911990000000003</v>
      </c>
      <c r="J6353">
        <v>-296.15280000000001</v>
      </c>
      <c r="K6353">
        <v>1.118606</v>
      </c>
      <c r="L6353">
        <v>-53.46808</v>
      </c>
      <c r="M6353">
        <v>0.60458239999999996</v>
      </c>
      <c r="N6353">
        <v>-1.5081600000000001E-2</v>
      </c>
      <c r="O6353">
        <v>-0.79639979999999999</v>
      </c>
      <c r="P6353">
        <v>0.7473438</v>
      </c>
      <c r="Q6353">
        <v>0.17063390000000001</v>
      </c>
      <c r="R6353">
        <v>-0.64215369999999905</v>
      </c>
      <c r="S6353">
        <v>2.6560969999999999</v>
      </c>
      <c r="T6353">
        <v>-0.1905086</v>
      </c>
      <c r="U6353">
        <v>-1.639008</v>
      </c>
      <c r="V6353">
        <v>-0.2105341</v>
      </c>
      <c r="W6353">
        <v>0.18108360000000001</v>
      </c>
      <c r="X6353">
        <v>0.96066859999999998</v>
      </c>
      <c r="Y6353">
        <v>-0.35908469999999998</v>
      </c>
      <c r="Z6353">
        <v>4.5087599999999999E-2</v>
      </c>
      <c r="AA6353">
        <v>0.93221529999999997</v>
      </c>
      <c r="AB6353">
        <v>25</v>
      </c>
      <c r="AC6353">
        <v>15.4468</v>
      </c>
      <c r="AD6353">
        <v>-1.1186131889299999</v>
      </c>
      <c r="AE6353">
        <v>-9.44390999999999</v>
      </c>
      <c r="AF6353">
        <v>-6.5678846243086397</v>
      </c>
      <c r="AG6353">
        <v>-1.1186131889299999</v>
      </c>
      <c r="AH6353">
        <v>16.7977862913758</v>
      </c>
      <c r="AI6353">
        <v>93.548973789964805</v>
      </c>
      <c r="AJ6353">
        <v>111.35535099444</v>
      </c>
      <c r="AK6353">
        <v>18.0708059641902</v>
      </c>
      <c r="AL6353">
        <v>79.567117396430604</v>
      </c>
      <c r="AM6353">
        <v>102.36116068912</v>
      </c>
      <c r="AN6353">
        <v>1.00000001823886</v>
      </c>
    </row>
    <row r="6354" spans="1:40" x14ac:dyDescent="0.25">
      <c r="A6354" t="str">
        <f>"20190304155231493"</f>
        <v>20190304155231493</v>
      </c>
      <c r="B6354" t="str">
        <f>"1551685951483609"</f>
        <v>1551685951483609</v>
      </c>
      <c r="C6354" t="s">
        <v>40</v>
      </c>
      <c r="D6354">
        <v>4.714734</v>
      </c>
      <c r="E6354">
        <v>0.4315988</v>
      </c>
      <c r="F6354" t="s">
        <v>77</v>
      </c>
      <c r="G6354">
        <v>-280.31810000000002</v>
      </c>
      <c r="H6354" s="1">
        <v>-7.3088299999999998E-6</v>
      </c>
      <c r="I6354">
        <v>-63.000259999999997</v>
      </c>
      <c r="J6354">
        <v>-295.99680000000001</v>
      </c>
      <c r="K6354">
        <v>1.118582</v>
      </c>
      <c r="L6354">
        <v>-53.651699999999998</v>
      </c>
      <c r="M6354">
        <v>0.61394320000000002</v>
      </c>
      <c r="N6354">
        <v>-1.508002E-2</v>
      </c>
      <c r="O6354">
        <v>-0.78920619999999997</v>
      </c>
      <c r="P6354">
        <v>0.7541658</v>
      </c>
      <c r="Q6354">
        <v>0.17072000000000001</v>
      </c>
      <c r="R6354">
        <v>-0.63410500000000003</v>
      </c>
      <c r="S6354">
        <v>2.6741640000000002</v>
      </c>
      <c r="T6354">
        <v>-0.18891230000000001</v>
      </c>
      <c r="U6354">
        <v>-1.609802</v>
      </c>
      <c r="V6354">
        <v>-0.20946319999999999</v>
      </c>
      <c r="W6354">
        <v>0.18120510000000001</v>
      </c>
      <c r="X6354">
        <v>0.9608797</v>
      </c>
      <c r="Y6354">
        <v>-0.358352</v>
      </c>
      <c r="Z6354">
        <v>4.4408139999999999E-2</v>
      </c>
      <c r="AA6354">
        <v>0.93252979999999996</v>
      </c>
      <c r="AB6354">
        <v>25</v>
      </c>
      <c r="AC6354">
        <v>15.6786999999999</v>
      </c>
      <c r="AD6354">
        <v>-1.1185893088299901</v>
      </c>
      <c r="AE6354">
        <v>-9.3485600000000009</v>
      </c>
      <c r="AF6354">
        <v>-6.6101751518525198</v>
      </c>
      <c r="AG6354">
        <v>-1.1185893088299901</v>
      </c>
      <c r="AH6354">
        <v>16.942087630229999</v>
      </c>
      <c r="AI6354">
        <v>93.5197395761259</v>
      </c>
      <c r="AJ6354">
        <v>111.313887707036</v>
      </c>
      <c r="AK6354">
        <v>18.2203180776404</v>
      </c>
      <c r="AL6354">
        <v>79.560038231795104</v>
      </c>
      <c r="AM6354">
        <v>102.29758330097999</v>
      </c>
      <c r="AN6354">
        <v>0.99999995914616902</v>
      </c>
    </row>
    <row r="6355" spans="1:40" x14ac:dyDescent="0.25">
      <c r="A6355" t="str">
        <f>"20190304155231514"</f>
        <v>20190304155231514</v>
      </c>
      <c r="B6355" t="str">
        <f>"1551685951503129"</f>
        <v>1551685951503129</v>
      </c>
      <c r="C6355" t="s">
        <v>40</v>
      </c>
      <c r="D6355">
        <v>4.7359879999999999</v>
      </c>
      <c r="E6355">
        <v>0.43151040000000002</v>
      </c>
      <c r="F6355" t="s">
        <v>77</v>
      </c>
      <c r="G6355">
        <v>-279.99340000000001</v>
      </c>
      <c r="H6355" s="1">
        <v>-7.4125519999999902E-6</v>
      </c>
      <c r="I6355">
        <v>-63.044499999999999</v>
      </c>
      <c r="J6355">
        <v>-295.83929999999998</v>
      </c>
      <c r="K6355">
        <v>1.1185560000000001</v>
      </c>
      <c r="L6355">
        <v>-53.83276</v>
      </c>
      <c r="M6355">
        <v>0.62318090000000004</v>
      </c>
      <c r="N6355">
        <v>-1.5077760000000001E-2</v>
      </c>
      <c r="O6355">
        <v>-0.78193250000000003</v>
      </c>
      <c r="P6355">
        <v>0.76069909999999996</v>
      </c>
      <c r="Q6355">
        <v>0.17091339999999999</v>
      </c>
      <c r="R6355">
        <v>-0.62619950000000002</v>
      </c>
      <c r="S6355">
        <v>2.6920169999999999</v>
      </c>
      <c r="T6355">
        <v>-0.18816450000000001</v>
      </c>
      <c r="U6355">
        <v>-1.580017</v>
      </c>
      <c r="V6355">
        <v>-0.20814759999999999</v>
      </c>
      <c r="W6355">
        <v>0.18143770000000001</v>
      </c>
      <c r="X6355">
        <v>0.96112169999999997</v>
      </c>
      <c r="Y6355">
        <v>-0.35776629999999998</v>
      </c>
      <c r="Z6355">
        <v>4.3977710000000003E-2</v>
      </c>
      <c r="AA6355">
        <v>0.93277500000000002</v>
      </c>
      <c r="AB6355">
        <v>25</v>
      </c>
      <c r="AC6355">
        <v>15.845899999999901</v>
      </c>
      <c r="AD6355">
        <v>-1.1185634125520001</v>
      </c>
      <c r="AE6355">
        <v>-9.2117400000000007</v>
      </c>
      <c r="AF6355">
        <v>-6.6259219749649496</v>
      </c>
      <c r="AG6355">
        <v>-1.1185634125520001</v>
      </c>
      <c r="AH6355">
        <v>17.016386243177699</v>
      </c>
      <c r="AI6355">
        <v>93.505249344100903</v>
      </c>
      <c r="AJ6355">
        <v>111.275181842412</v>
      </c>
      <c r="AK6355">
        <v>18.295120303054301</v>
      </c>
      <c r="AL6355">
        <v>79.546486949908299</v>
      </c>
      <c r="AM6355">
        <v>102.219688455766</v>
      </c>
      <c r="AN6355">
        <v>0.99999999228896996</v>
      </c>
    </row>
    <row r="6356" spans="1:40" x14ac:dyDescent="0.25">
      <c r="A6356" t="str">
        <f>"20190304155231537"</f>
        <v>20190304155231537</v>
      </c>
      <c r="B6356" t="str">
        <f>"1551685951533385"</f>
        <v>1551685951533385</v>
      </c>
      <c r="C6356" t="s">
        <v>40</v>
      </c>
      <c r="D6356">
        <v>4.7239449999999996</v>
      </c>
      <c r="E6356">
        <v>0.43135449999999997</v>
      </c>
      <c r="F6356" t="s">
        <v>41</v>
      </c>
      <c r="G6356">
        <v>-279.64120000000003</v>
      </c>
      <c r="H6356" s="1">
        <v>-3.6823220000000001E-6</v>
      </c>
      <c r="I6356">
        <v>-63.106059999999999</v>
      </c>
      <c r="J6356">
        <v>-295.68009999999998</v>
      </c>
      <c r="K6356">
        <v>1.118536</v>
      </c>
      <c r="L6356">
        <v>-54.011409999999998</v>
      </c>
      <c r="M6356">
        <v>0.63230439999999999</v>
      </c>
      <c r="N6356">
        <v>-1.5074840000000001E-2</v>
      </c>
      <c r="O6356">
        <v>-0.77457369999999903</v>
      </c>
      <c r="P6356">
        <v>0.76754199999999995</v>
      </c>
      <c r="Q6356">
        <v>0.1713983</v>
      </c>
      <c r="R6356">
        <v>-0.61765890000000001</v>
      </c>
      <c r="S6356">
        <v>2.709076</v>
      </c>
      <c r="T6356">
        <v>-0.1870761</v>
      </c>
      <c r="U6356">
        <v>-1.550934</v>
      </c>
      <c r="V6356">
        <v>-0.20753569999999999</v>
      </c>
      <c r="W6356">
        <v>0.1819451</v>
      </c>
      <c r="X6356">
        <v>0.96115810000000002</v>
      </c>
      <c r="Y6356">
        <v>-0.35691780000000001</v>
      </c>
      <c r="Z6356">
        <v>4.3439980000000003E-2</v>
      </c>
      <c r="AA6356">
        <v>0.93312519999999999</v>
      </c>
      <c r="AB6356">
        <v>25</v>
      </c>
      <c r="AC6356">
        <v>16.038899999999899</v>
      </c>
      <c r="AD6356">
        <v>-1.118539682322</v>
      </c>
      <c r="AE6356">
        <v>-9.0946499999999997</v>
      </c>
      <c r="AF6356">
        <v>-6.6490095251314596</v>
      </c>
      <c r="AG6356">
        <v>-1.118539682322</v>
      </c>
      <c r="AH6356">
        <v>17.124868701555201</v>
      </c>
      <c r="AI6356">
        <v>93.484338275570295</v>
      </c>
      <c r="AJ6356">
        <v>111.219513711555</v>
      </c>
      <c r="AK6356">
        <v>18.4043904199983</v>
      </c>
      <c r="AL6356">
        <v>79.516922968985298</v>
      </c>
      <c r="AM6356">
        <v>102.18439293550701</v>
      </c>
      <c r="AN6356">
        <v>0.99999998969205495</v>
      </c>
    </row>
    <row r="6357" spans="1:40" x14ac:dyDescent="0.25">
      <c r="A6357" t="str">
        <f>"20190304155231560"</f>
        <v>20190304155231560</v>
      </c>
      <c r="B6357" t="str">
        <f>"1551685951552909"</f>
        <v>1551685951552909</v>
      </c>
      <c r="C6357" t="s">
        <v>40</v>
      </c>
      <c r="D6357">
        <v>4.8207550000000001</v>
      </c>
      <c r="E6357">
        <v>0.43119970000000002</v>
      </c>
      <c r="F6357" t="s">
        <v>41</v>
      </c>
      <c r="G6357">
        <v>-279.20940000000002</v>
      </c>
      <c r="H6357" s="1">
        <v>-3.5466189999999999E-6</v>
      </c>
      <c r="I6357">
        <v>-63.190330000000003</v>
      </c>
      <c r="J6357">
        <v>-295.51330000000002</v>
      </c>
      <c r="K6357">
        <v>1.118517</v>
      </c>
      <c r="L6357">
        <v>-54.194310000000002</v>
      </c>
      <c r="M6357">
        <v>0.64164919999999903</v>
      </c>
      <c r="N6357">
        <v>-1.507139E-2</v>
      </c>
      <c r="O6357">
        <v>-0.76685029999999998</v>
      </c>
      <c r="P6357">
        <v>0.77474009999999904</v>
      </c>
      <c r="Q6357">
        <v>0.17195439999999901</v>
      </c>
      <c r="R6357">
        <v>-0.60844860000000001</v>
      </c>
      <c r="S6357">
        <v>2.7269899999999998</v>
      </c>
      <c r="T6357">
        <v>-0.18519179999999999</v>
      </c>
      <c r="U6357">
        <v>-1.519714</v>
      </c>
      <c r="V6357">
        <v>-0.207265</v>
      </c>
      <c r="W6357">
        <v>0.1825147</v>
      </c>
      <c r="X6357">
        <v>0.96110850000000003</v>
      </c>
      <c r="Y6357">
        <v>-0.35638439999999999</v>
      </c>
      <c r="Z6357">
        <v>4.267522E-2</v>
      </c>
      <c r="AA6357">
        <v>0.93336430000000004</v>
      </c>
      <c r="AB6357">
        <v>25</v>
      </c>
      <c r="AC6357">
        <v>16.303899999999999</v>
      </c>
      <c r="AD6357">
        <v>-1.118520546619</v>
      </c>
      <c r="AE6357">
        <v>-8.9960199999999997</v>
      </c>
      <c r="AF6357">
        <v>-6.7069261555777002</v>
      </c>
      <c r="AG6357">
        <v>-1.118520546619</v>
      </c>
      <c r="AH6357">
        <v>17.2995367978227</v>
      </c>
      <c r="AI6357">
        <v>93.449848641972096</v>
      </c>
      <c r="AJ6357">
        <v>111.191011769227</v>
      </c>
      <c r="AK6357">
        <v>18.587843341517601</v>
      </c>
      <c r="AL6357">
        <v>79.483731348687698</v>
      </c>
      <c r="AM6357">
        <v>102.169583401097</v>
      </c>
      <c r="AN6357">
        <v>0.99999997235666904</v>
      </c>
    </row>
    <row r="6358" spans="1:40" x14ac:dyDescent="0.25">
      <c r="A6358" t="str">
        <f>"20190304155231582"</f>
        <v>20190304155231582</v>
      </c>
      <c r="B6358" t="str">
        <f>"1551685951573401"</f>
        <v>1551685951573401</v>
      </c>
      <c r="C6358" t="s">
        <v>40</v>
      </c>
      <c r="D6358">
        <v>4.7599900000000002</v>
      </c>
      <c r="E6358">
        <v>0.43085380000000001</v>
      </c>
      <c r="F6358" t="s">
        <v>41</v>
      </c>
      <c r="G6358">
        <v>-278.7038</v>
      </c>
      <c r="H6358" s="1">
        <v>-3.3882579999999999E-6</v>
      </c>
      <c r="I6358">
        <v>-63.292810000000003</v>
      </c>
      <c r="J6358">
        <v>-295.35140000000001</v>
      </c>
      <c r="K6358">
        <v>1.1184860000000001</v>
      </c>
      <c r="L6358">
        <v>-54.36768</v>
      </c>
      <c r="M6358">
        <v>0.65051789999999998</v>
      </c>
      <c r="N6358">
        <v>-1.506766E-2</v>
      </c>
      <c r="O6358">
        <v>-0.7593415</v>
      </c>
      <c r="P6358">
        <v>0.78173789999999999</v>
      </c>
      <c r="Q6358">
        <v>0.17210339999999999</v>
      </c>
      <c r="R6358">
        <v>-0.59938849999999999</v>
      </c>
      <c r="S6358">
        <v>2.7456670000000001</v>
      </c>
      <c r="T6358">
        <v>-0.18269859999999999</v>
      </c>
      <c r="U6358">
        <v>-1.486145</v>
      </c>
      <c r="V6358">
        <v>-0.20725109999999999</v>
      </c>
      <c r="W6358">
        <v>0.18267220000000001</v>
      </c>
      <c r="X6358">
        <v>0.96108159999999998</v>
      </c>
      <c r="Y6358">
        <v>-0.35705049999999999</v>
      </c>
      <c r="Z6358">
        <v>4.1782E-2</v>
      </c>
      <c r="AA6358">
        <v>0.93315009999999998</v>
      </c>
      <c r="AB6358">
        <v>25</v>
      </c>
      <c r="AC6358">
        <v>16.647600000000001</v>
      </c>
      <c r="AD6358">
        <v>-1.118489388258</v>
      </c>
      <c r="AE6358">
        <v>-8.9251299999999798</v>
      </c>
      <c r="AF6358">
        <v>-6.8121476492867803</v>
      </c>
      <c r="AG6358">
        <v>-1.118489388258</v>
      </c>
      <c r="AH6358">
        <v>17.547257233517399</v>
      </c>
      <c r="AI6358">
        <v>93.400567957725499</v>
      </c>
      <c r="AJ6358">
        <v>111.217070289147</v>
      </c>
      <c r="AK6358">
        <v>18.856367903882099</v>
      </c>
      <c r="AL6358">
        <v>79.474553217519698</v>
      </c>
      <c r="AM6358">
        <v>102.16912202960199</v>
      </c>
      <c r="AN6358">
        <v>0.999999996481304</v>
      </c>
    </row>
    <row r="6359" spans="1:40" x14ac:dyDescent="0.25">
      <c r="A6359" t="str">
        <f>"20190304155231604"</f>
        <v>20190304155231604</v>
      </c>
      <c r="B6359" t="str">
        <f>"1551685951592921"</f>
        <v>1551685951592921</v>
      </c>
      <c r="C6359" t="s">
        <v>40</v>
      </c>
      <c r="D6359">
        <v>4.6839930000000001</v>
      </c>
      <c r="E6359">
        <v>0.43066169999999998</v>
      </c>
      <c r="F6359" t="s">
        <v>41</v>
      </c>
      <c r="G6359">
        <v>-278.20429999999999</v>
      </c>
      <c r="H6359" s="1">
        <v>-3.2288209999999998E-6</v>
      </c>
      <c r="I6359">
        <v>-63.371510000000001</v>
      </c>
      <c r="J6359">
        <v>-295.18849999999998</v>
      </c>
      <c r="K6359">
        <v>1.118465</v>
      </c>
      <c r="L6359">
        <v>-54.538060000000002</v>
      </c>
      <c r="M6359">
        <v>0.65924320000000003</v>
      </c>
      <c r="N6359">
        <v>-1.506355E-2</v>
      </c>
      <c r="O6359">
        <v>-0.75177899999999998</v>
      </c>
      <c r="P6359">
        <v>0.78858600000000001</v>
      </c>
      <c r="Q6359">
        <v>0.1711309</v>
      </c>
      <c r="R6359">
        <v>-0.59063209999999999</v>
      </c>
      <c r="S6359">
        <v>2.7643430000000002</v>
      </c>
      <c r="T6359">
        <v>-0.18031559999999999</v>
      </c>
      <c r="U6359">
        <v>-1.451538</v>
      </c>
      <c r="V6359">
        <v>-0.20700099999999999</v>
      </c>
      <c r="W6359">
        <v>0.1817153</v>
      </c>
      <c r="X6359">
        <v>0.96131690000000003</v>
      </c>
      <c r="Y6359">
        <v>-0.3580547</v>
      </c>
      <c r="Z6359">
        <v>4.0934110000000003E-2</v>
      </c>
      <c r="AA6359">
        <v>0.93280289999999999</v>
      </c>
      <c r="AB6359">
        <v>25</v>
      </c>
      <c r="AC6359">
        <v>16.984199999999898</v>
      </c>
      <c r="AD6359">
        <v>-1.1184682288209999</v>
      </c>
      <c r="AE6359">
        <v>-8.8334499999999991</v>
      </c>
      <c r="AF6359">
        <v>-6.9221328141415102</v>
      </c>
      <c r="AG6359">
        <v>-1.1184682288209999</v>
      </c>
      <c r="AH6359">
        <v>17.778857541203099</v>
      </c>
      <c r="AI6359">
        <v>93.355031582014306</v>
      </c>
      <c r="AJ6359">
        <v>111.273268030788</v>
      </c>
      <c r="AK6359">
        <v>19.111637013764401</v>
      </c>
      <c r="AL6359">
        <v>79.530313102856198</v>
      </c>
      <c r="AM6359">
        <v>102.15198715796301</v>
      </c>
      <c r="AN6359">
        <v>1.0000000232403401</v>
      </c>
    </row>
    <row r="6360" spans="1:40" x14ac:dyDescent="0.25">
      <c r="A6360" t="str">
        <f>"20190304155231628"</f>
        <v>20190304155231628</v>
      </c>
      <c r="B6360" t="str">
        <f>"1551685951623177"</f>
        <v>1551685951623177</v>
      </c>
      <c r="C6360" t="s">
        <v>40</v>
      </c>
      <c r="D6360">
        <v>4.7563500000000003</v>
      </c>
      <c r="E6360">
        <v>0.43056850000000002</v>
      </c>
      <c r="F6360" t="s">
        <v>41</v>
      </c>
      <c r="G6360">
        <v>-278.13240000000002</v>
      </c>
      <c r="H6360" s="1">
        <v>-3.1865080000000001E-6</v>
      </c>
      <c r="I6360">
        <v>-63.238230000000001</v>
      </c>
      <c r="J6360">
        <v>-295.01389999999998</v>
      </c>
      <c r="K6360">
        <v>1.1184369999999999</v>
      </c>
      <c r="L6360">
        <v>-54.716669999999901</v>
      </c>
      <c r="M6360">
        <v>0.66839720000000002</v>
      </c>
      <c r="N6360">
        <v>-1.5059019999999999E-2</v>
      </c>
      <c r="O6360">
        <v>-0.74365219999999999</v>
      </c>
      <c r="P6360">
        <v>0.79563159999999999</v>
      </c>
      <c r="Q6360">
        <v>0.17165920000000001</v>
      </c>
      <c r="R6360">
        <v>-0.58095050000000004</v>
      </c>
      <c r="S6360">
        <v>2.7812809999999999</v>
      </c>
      <c r="T6360">
        <v>-0.18238399999999999</v>
      </c>
      <c r="U6360">
        <v>-1.418701</v>
      </c>
      <c r="V6360">
        <v>-0.20689479999999999</v>
      </c>
      <c r="W6360">
        <v>0.1822531</v>
      </c>
      <c r="X6360">
        <v>0.96123789999999998</v>
      </c>
      <c r="Y6360">
        <v>-0.35764119999999999</v>
      </c>
      <c r="Z6360">
        <v>4.1276720000000003E-2</v>
      </c>
      <c r="AA6360">
        <v>0.93294639999999995</v>
      </c>
      <c r="AB6360">
        <v>25</v>
      </c>
      <c r="AC6360">
        <v>16.8814999999999</v>
      </c>
      <c r="AD6360">
        <v>-1.118440186508</v>
      </c>
      <c r="AE6360">
        <v>-8.5215599999999991</v>
      </c>
      <c r="AF6360">
        <v>-6.83504558873984</v>
      </c>
      <c r="AG6360">
        <v>-1.118440186508</v>
      </c>
      <c r="AH6360">
        <v>17.5611909684227</v>
      </c>
      <c r="AI6360">
        <v>93.396587247166494</v>
      </c>
      <c r="AJ6360">
        <v>111.266639433317</v>
      </c>
      <c r="AK6360">
        <v>18.877610677211202</v>
      </c>
      <c r="AL6360">
        <v>79.498975645091903</v>
      </c>
      <c r="AM6360">
        <v>102.146906422502</v>
      </c>
      <c r="AN6360">
        <v>0.99999997556152898</v>
      </c>
    </row>
    <row r="6361" spans="1:40" x14ac:dyDescent="0.25">
      <c r="A6361" t="str">
        <f>"20190304155231649"</f>
        <v>20190304155231649</v>
      </c>
      <c r="B6361" t="str">
        <f>"1551685951643673"</f>
        <v>1551685951643673</v>
      </c>
      <c r="C6361" t="s">
        <v>40</v>
      </c>
      <c r="D6361">
        <v>4.6046149999999999</v>
      </c>
      <c r="E6361">
        <v>0.43068400000000001</v>
      </c>
      <c r="F6361" t="s">
        <v>41</v>
      </c>
      <c r="G6361">
        <v>-277.56720000000001</v>
      </c>
      <c r="H6361" s="1">
        <v>-3.0071800000000001E-6</v>
      </c>
      <c r="I6361">
        <v>-63.335500000000003</v>
      </c>
      <c r="J6361">
        <v>-294.84690000000001</v>
      </c>
      <c r="K6361">
        <v>1.1184160000000001</v>
      </c>
      <c r="L6361">
        <v>-54.883000000000003</v>
      </c>
      <c r="M6361">
        <v>0.67693729999999996</v>
      </c>
      <c r="N6361">
        <v>-1.5054110000000001E-2</v>
      </c>
      <c r="O6361">
        <v>-0.73588690000000001</v>
      </c>
      <c r="P6361">
        <v>0.80214949999999996</v>
      </c>
      <c r="Q6361">
        <v>0.17077779999999901</v>
      </c>
      <c r="R6361">
        <v>-0.57218179999999996</v>
      </c>
      <c r="S6361">
        <v>2.7995299999999999</v>
      </c>
      <c r="T6361">
        <v>-0.17946719999999999</v>
      </c>
      <c r="U6361">
        <v>-1.3829959999999999</v>
      </c>
      <c r="V6361">
        <v>-0.2064598</v>
      </c>
      <c r="W6361">
        <v>0.18139130000000001</v>
      </c>
      <c r="X6361">
        <v>0.96149439999999997</v>
      </c>
      <c r="Y6361">
        <v>-0.3588867</v>
      </c>
      <c r="Z6361">
        <v>4.0287129999999997E-2</v>
      </c>
      <c r="AA6361">
        <v>0.93251130000000004</v>
      </c>
      <c r="AB6361">
        <v>25</v>
      </c>
      <c r="AC6361">
        <v>17.279699999999899</v>
      </c>
      <c r="AD6361">
        <v>-1.11841900718</v>
      </c>
      <c r="AE6361">
        <v>-8.4525000000000006</v>
      </c>
      <c r="AF6361">
        <v>-6.9713181852751598</v>
      </c>
      <c r="AG6361">
        <v>-1.11841900718</v>
      </c>
      <c r="AH6361">
        <v>17.859015013963599</v>
      </c>
      <c r="AI6361">
        <v>93.338725625115202</v>
      </c>
      <c r="AJ6361">
        <v>111.32333147903201</v>
      </c>
      <c r="AK6361">
        <v>19.204024463245901</v>
      </c>
      <c r="AL6361">
        <v>79.549190064617505</v>
      </c>
      <c r="AM6361">
        <v>102.11898518484</v>
      </c>
      <c r="AN6361">
        <v>0.99999996698154403</v>
      </c>
    </row>
    <row r="6362" spans="1:40" x14ac:dyDescent="0.25">
      <c r="A6362" t="str">
        <f>"20190304155231672"</f>
        <v>20190304155231672</v>
      </c>
      <c r="B6362" t="str">
        <f>"1551685951663193"</f>
        <v>1551685951663193</v>
      </c>
      <c r="C6362" t="s">
        <v>40</v>
      </c>
      <c r="D6362">
        <v>4.7688949999999997</v>
      </c>
      <c r="E6362">
        <v>0.43064839999999999</v>
      </c>
      <c r="F6362" t="s">
        <v>41</v>
      </c>
      <c r="G6362">
        <v>-277.63749999999999</v>
      </c>
      <c r="H6362" s="1">
        <v>-3.0065470000000002E-6</v>
      </c>
      <c r="I6362">
        <v>-63.151820000000001</v>
      </c>
      <c r="J6362">
        <v>-294.67200000000003</v>
      </c>
      <c r="K6362">
        <v>1.118385</v>
      </c>
      <c r="L6362">
        <v>-55.053159999999998</v>
      </c>
      <c r="M6362">
        <v>0.68568450000000003</v>
      </c>
      <c r="N6362">
        <v>-1.5048529999999999E-2</v>
      </c>
      <c r="O6362">
        <v>-0.72774329999999998</v>
      </c>
      <c r="P6362">
        <v>0.80868680000000004</v>
      </c>
      <c r="Q6362">
        <v>0.1703336</v>
      </c>
      <c r="R6362">
        <v>-0.56303840000000005</v>
      </c>
      <c r="S6362">
        <v>2.8143310000000001</v>
      </c>
      <c r="T6362">
        <v>-0.1828996</v>
      </c>
      <c r="U6362">
        <v>-1.3522339999999999</v>
      </c>
      <c r="V6362">
        <v>-0.20592869999999999</v>
      </c>
      <c r="W6362">
        <v>0.18096780000000001</v>
      </c>
      <c r="X6362">
        <v>0.96168810000000005</v>
      </c>
      <c r="Y6362">
        <v>-0.35788550000000002</v>
      </c>
      <c r="Z6362">
        <v>4.0975339999999999E-2</v>
      </c>
      <c r="AA6362">
        <v>0.93286599999999997</v>
      </c>
      <c r="AB6362">
        <v>24</v>
      </c>
      <c r="AC6362">
        <v>17.034500000000001</v>
      </c>
      <c r="AD6362">
        <v>-1.118388006547</v>
      </c>
      <c r="AE6362">
        <v>-8.09865999999999</v>
      </c>
      <c r="AF6362">
        <v>-6.8204133834849898</v>
      </c>
      <c r="AG6362">
        <v>-1.118388006547</v>
      </c>
      <c r="AH6362">
        <v>17.514450973593</v>
      </c>
      <c r="AI6362">
        <v>93.405238310521298</v>
      </c>
      <c r="AJ6362">
        <v>111.27675150360599</v>
      </c>
      <c r="AK6362">
        <v>18.828829580226198</v>
      </c>
      <c r="AL6362">
        <v>79.573863387819799</v>
      </c>
      <c r="AM6362">
        <v>102.08636498668299</v>
      </c>
      <c r="AN6362">
        <v>0.99999998790106903</v>
      </c>
    </row>
    <row r="6363" spans="1:40" x14ac:dyDescent="0.25">
      <c r="A6363" t="str">
        <f>"20190304155231693"</f>
        <v>20190304155231693</v>
      </c>
      <c r="B6363" t="str">
        <f>"1551685951683690"</f>
        <v>1551685951683690</v>
      </c>
      <c r="C6363" t="s">
        <v>40</v>
      </c>
      <c r="D6363">
        <v>4.6454649999999997</v>
      </c>
      <c r="E6363">
        <v>0.43074760000000001</v>
      </c>
      <c r="F6363" t="s">
        <v>41</v>
      </c>
      <c r="G6363">
        <v>-277.5224</v>
      </c>
      <c r="H6363" s="1">
        <v>-2.9543860000000001E-6</v>
      </c>
      <c r="I6363">
        <v>-63.054560000000002</v>
      </c>
      <c r="J6363">
        <v>-294.50389999999999</v>
      </c>
      <c r="K6363">
        <v>1.1183510000000001</v>
      </c>
      <c r="L6363">
        <v>-55.212980000000002</v>
      </c>
      <c r="M6363">
        <v>0.69390369999999901</v>
      </c>
      <c r="N6363">
        <v>-1.5042710000000001E-2</v>
      </c>
      <c r="O6363">
        <v>-0.71991070000000001</v>
      </c>
      <c r="P6363">
        <v>0.81496380000000002</v>
      </c>
      <c r="Q6363">
        <v>0.1690152</v>
      </c>
      <c r="R6363">
        <v>-0.55431790000000003</v>
      </c>
      <c r="S6363">
        <v>2.8294679999999999</v>
      </c>
      <c r="T6363">
        <v>-0.18451989999999999</v>
      </c>
      <c r="U6363">
        <v>-1.3201290000000001</v>
      </c>
      <c r="V6363">
        <v>-0.20550009999999999</v>
      </c>
      <c r="W6363">
        <v>0.17967049999999901</v>
      </c>
      <c r="X6363">
        <v>0.96202299999999996</v>
      </c>
      <c r="Y6363">
        <v>-0.35787140000000001</v>
      </c>
      <c r="Z6363">
        <v>4.1190070000000002E-2</v>
      </c>
      <c r="AA6363">
        <v>0.93286199999999997</v>
      </c>
      <c r="AB6363">
        <v>24</v>
      </c>
      <c r="AC6363">
        <v>16.981499999999901</v>
      </c>
      <c r="AD6363">
        <v>-1.1183539543859999</v>
      </c>
      <c r="AE6363">
        <v>-7.8415799999999898</v>
      </c>
      <c r="AF6363">
        <v>-6.76046181750272</v>
      </c>
      <c r="AG6363">
        <v>-1.1183539543859999</v>
      </c>
      <c r="AH6363">
        <v>17.368643984761899</v>
      </c>
      <c r="AI6363">
        <v>93.433863826228702</v>
      </c>
      <c r="AJ6363">
        <v>111.26766513954399</v>
      </c>
      <c r="AK6363">
        <v>18.671485035278</v>
      </c>
      <c r="AL6363">
        <v>79.649432212087703</v>
      </c>
      <c r="AM6363">
        <v>102.05787090781</v>
      </c>
      <c r="AN6363">
        <v>1.0000000160996201</v>
      </c>
    </row>
    <row r="6364" spans="1:40" x14ac:dyDescent="0.25">
      <c r="A6364" t="str">
        <f>"20190304155231715"</f>
        <v>20190304155231715</v>
      </c>
      <c r="B6364" t="str">
        <f>"1551685951712969"</f>
        <v>1551685951712969</v>
      </c>
      <c r="C6364" t="s">
        <v>40</v>
      </c>
      <c r="D6364">
        <v>4.8071460000000004</v>
      </c>
      <c r="E6364">
        <v>0.43054520000000002</v>
      </c>
      <c r="F6364" t="s">
        <v>41</v>
      </c>
      <c r="G6364">
        <v>-277.7353</v>
      </c>
      <c r="H6364" s="1">
        <v>-2.9956830000000001E-6</v>
      </c>
      <c r="I6364">
        <v>-62.82161</v>
      </c>
      <c r="J6364">
        <v>-294.33109999999999</v>
      </c>
      <c r="K6364">
        <v>1.1183149999999999</v>
      </c>
      <c r="L6364">
        <v>-55.373570000000001</v>
      </c>
      <c r="M6364">
        <v>0.70216599999999996</v>
      </c>
      <c r="N6364">
        <v>-1.503646E-2</v>
      </c>
      <c r="O6364">
        <v>-0.7118544</v>
      </c>
      <c r="P6364">
        <v>0.82157340000000001</v>
      </c>
      <c r="Q6364">
        <v>0.16689029999999999</v>
      </c>
      <c r="R6364">
        <v>-0.54512850000000002</v>
      </c>
      <c r="S6364">
        <v>2.843048</v>
      </c>
      <c r="T6364">
        <v>-0.18961169999999999</v>
      </c>
      <c r="U6364">
        <v>-1.290009</v>
      </c>
      <c r="V6364">
        <v>-0.205459</v>
      </c>
      <c r="W6364">
        <v>0.17756069999999999</v>
      </c>
      <c r="X6364">
        <v>0.96242340000000004</v>
      </c>
      <c r="Y6364">
        <v>-0.35690139999999998</v>
      </c>
      <c r="Z6364">
        <v>4.2297080000000001E-2</v>
      </c>
      <c r="AA6364">
        <v>0.93318400000000001</v>
      </c>
      <c r="AB6364">
        <v>24</v>
      </c>
      <c r="AC6364">
        <v>16.595799999999901</v>
      </c>
      <c r="AD6364">
        <v>-1.1183179956829901</v>
      </c>
      <c r="AE6364">
        <v>-7.4480399999999998</v>
      </c>
      <c r="AF6364">
        <v>-6.5599837592157497</v>
      </c>
      <c r="AG6364">
        <v>-1.1183179956829901</v>
      </c>
      <c r="AH6364">
        <v>16.892996469798302</v>
      </c>
      <c r="AI6364">
        <v>93.531275051876804</v>
      </c>
      <c r="AJ6364">
        <v>111.222468123252</v>
      </c>
      <c r="AK6364">
        <v>18.156468593569102</v>
      </c>
      <c r="AL6364">
        <v>79.772290417355904</v>
      </c>
      <c r="AM6364">
        <v>102.050661027483</v>
      </c>
      <c r="AN6364">
        <v>1.00000000186652</v>
      </c>
    </row>
    <row r="6365" spans="1:40" x14ac:dyDescent="0.25">
      <c r="A6365" t="str">
        <f>"20190304155231738"</f>
        <v>20190304155231738</v>
      </c>
      <c r="B6365" t="str">
        <f>"1551685951733469"</f>
        <v>1551685951733469</v>
      </c>
      <c r="C6365" t="s">
        <v>40</v>
      </c>
      <c r="D6365">
        <v>4.7464389999999996</v>
      </c>
      <c r="E6365">
        <v>0.43052269999999998</v>
      </c>
      <c r="F6365" t="s">
        <v>41</v>
      </c>
      <c r="G6365">
        <v>-277.91550000000001</v>
      </c>
      <c r="H6365" s="1">
        <v>-3.025038E-6</v>
      </c>
      <c r="I6365">
        <v>-62.582340000000002</v>
      </c>
      <c r="J6365">
        <v>-294.15339999999998</v>
      </c>
      <c r="K6365">
        <v>1.1182730000000001</v>
      </c>
      <c r="L6365">
        <v>-55.534939999999999</v>
      </c>
      <c r="M6365">
        <v>0.71046889999999996</v>
      </c>
      <c r="N6365">
        <v>-1.502962E-2</v>
      </c>
      <c r="O6365">
        <v>-0.70356830000000004</v>
      </c>
      <c r="P6365">
        <v>0.82814349999999903</v>
      </c>
      <c r="Q6365">
        <v>0.165232399999999</v>
      </c>
      <c r="R6365">
        <v>-0.535609</v>
      </c>
      <c r="S6365">
        <v>2.858276</v>
      </c>
      <c r="T6365">
        <v>-0.1947207</v>
      </c>
      <c r="U6365">
        <v>-1.255188</v>
      </c>
      <c r="V6365">
        <v>-0.20546600000000001</v>
      </c>
      <c r="W6365">
        <v>0.17591560000000001</v>
      </c>
      <c r="X6365">
        <v>0.96272400000000002</v>
      </c>
      <c r="Y6365">
        <v>-0.35723359999999998</v>
      </c>
      <c r="Z6365">
        <v>4.3415719999999998E-2</v>
      </c>
      <c r="AA6365">
        <v>0.93300550000000004</v>
      </c>
      <c r="AB6365">
        <v>24</v>
      </c>
      <c r="AC6365">
        <v>16.2378999999999</v>
      </c>
      <c r="AD6365">
        <v>-1.1182760250379999</v>
      </c>
      <c r="AE6365">
        <v>-7.0473999999999997</v>
      </c>
      <c r="AF6365">
        <v>-6.3927233831294501</v>
      </c>
      <c r="AG6365">
        <v>-1.1182760250379999</v>
      </c>
      <c r="AH6365">
        <v>16.431133316736599</v>
      </c>
      <c r="AI6365">
        <v>93.629238398407097</v>
      </c>
      <c r="AJ6365">
        <v>111.259101768601</v>
      </c>
      <c r="AK6365">
        <v>17.666340752791999</v>
      </c>
      <c r="AL6365">
        <v>79.868055623325205</v>
      </c>
      <c r="AM6365">
        <v>102.04740672915101</v>
      </c>
      <c r="AN6365">
        <v>1.0000000378276701</v>
      </c>
    </row>
    <row r="6366" spans="1:40" x14ac:dyDescent="0.25">
      <c r="A6366" t="str">
        <f>"20190304155231760"</f>
        <v>20190304155231760</v>
      </c>
      <c r="B6366" t="str">
        <f>"1551685951753965"</f>
        <v>1551685951753965</v>
      </c>
      <c r="C6366" t="s">
        <v>40</v>
      </c>
      <c r="D6366">
        <v>4.7854700000000001</v>
      </c>
      <c r="E6366">
        <v>0.43053049999999998</v>
      </c>
      <c r="F6366" t="s">
        <v>41</v>
      </c>
      <c r="G6366">
        <v>-278.03219999999999</v>
      </c>
      <c r="H6366" s="1">
        <v>-3.0384200000000001E-6</v>
      </c>
      <c r="I6366">
        <v>-62.385300000000001</v>
      </c>
      <c r="J6366">
        <v>-293.97699999999998</v>
      </c>
      <c r="K6366">
        <v>1.118233</v>
      </c>
      <c r="L6366">
        <v>-55.691499999999998</v>
      </c>
      <c r="M6366">
        <v>0.71852369999999899</v>
      </c>
      <c r="N6366">
        <v>-1.502234E-2</v>
      </c>
      <c r="O6366">
        <v>-0.69534030000000002</v>
      </c>
      <c r="P6366">
        <v>0.83427569999999995</v>
      </c>
      <c r="Q6366">
        <v>0.16383529999999999</v>
      </c>
      <c r="R6366">
        <v>-0.52644349999999995</v>
      </c>
      <c r="S6366">
        <v>2.8728030000000002</v>
      </c>
      <c r="T6366">
        <v>-0.19927690000000001</v>
      </c>
      <c r="U6366">
        <v>-1.220734</v>
      </c>
      <c r="V6366">
        <v>-0.205147</v>
      </c>
      <c r="W6366">
        <v>0.17453829999999901</v>
      </c>
      <c r="X6366">
        <v>0.96304259999999997</v>
      </c>
      <c r="Y6366">
        <v>-0.35759089999999999</v>
      </c>
      <c r="Z6366">
        <v>4.43676E-2</v>
      </c>
      <c r="AA6366">
        <v>0.93282379999999998</v>
      </c>
      <c r="AB6366">
        <v>24</v>
      </c>
      <c r="AC6366">
        <v>15.944800000000001</v>
      </c>
      <c r="AD6366">
        <v>-1.1182360384200001</v>
      </c>
      <c r="AE6366">
        <v>-6.6938000000000004</v>
      </c>
      <c r="AF6366">
        <v>-6.2519735092542597</v>
      </c>
      <c r="AG6366">
        <v>-1.1182360384200001</v>
      </c>
      <c r="AH6366">
        <v>16.045906903268701</v>
      </c>
      <c r="AI6366">
        <v>93.7152819638452</v>
      </c>
      <c r="AJ6366">
        <v>111.287401709073</v>
      </c>
      <c r="AK6366">
        <v>17.257136290428001</v>
      </c>
      <c r="AL6366">
        <v>79.948208644263602</v>
      </c>
      <c r="AM6366">
        <v>102.025383802459</v>
      </c>
      <c r="AN6366">
        <v>0.99999997959532405</v>
      </c>
    </row>
    <row r="6367" spans="1:40" x14ac:dyDescent="0.25">
      <c r="A6367" t="str">
        <f>"20190304155231783"</f>
        <v>20190304155231783</v>
      </c>
      <c r="B6367" t="str">
        <f>"1551685951773482"</f>
        <v>1551685951773482</v>
      </c>
      <c r="C6367" t="s">
        <v>40</v>
      </c>
      <c r="D6367">
        <v>4.6757339999999896</v>
      </c>
      <c r="E6367">
        <v>0.4305718</v>
      </c>
      <c r="F6367" t="s">
        <v>41</v>
      </c>
      <c r="G6367">
        <v>-278.10599999999999</v>
      </c>
      <c r="H6367" s="1">
        <v>-3.0409930000000002E-6</v>
      </c>
      <c r="I6367">
        <v>-62.224069999999998</v>
      </c>
      <c r="J6367">
        <v>-293.79489999999998</v>
      </c>
      <c r="K6367">
        <v>1.1181989999999999</v>
      </c>
      <c r="L6367">
        <v>-55.849369999999901</v>
      </c>
      <c r="M6367">
        <v>0.72664479999999998</v>
      </c>
      <c r="N6367">
        <v>-1.501452E-2</v>
      </c>
      <c r="O6367">
        <v>-0.68684919999999905</v>
      </c>
      <c r="P6367">
        <v>0.84055059999999904</v>
      </c>
      <c r="Q6367">
        <v>0.16217679999999901</v>
      </c>
      <c r="R6367">
        <v>-0.51688840000000003</v>
      </c>
      <c r="S6367">
        <v>2.8862299999999999</v>
      </c>
      <c r="T6367">
        <v>-0.20335810000000001</v>
      </c>
      <c r="U6367">
        <v>-1.1879879999999901</v>
      </c>
      <c r="V6367">
        <v>-0.2049956</v>
      </c>
      <c r="W6367">
        <v>0.1728961</v>
      </c>
      <c r="X6367">
        <v>0.96337099999999998</v>
      </c>
      <c r="Y6367">
        <v>-0.35714000000000001</v>
      </c>
      <c r="Z6367">
        <v>4.513648E-2</v>
      </c>
      <c r="AA6367">
        <v>0.93295969999999995</v>
      </c>
      <c r="AB6367">
        <v>24</v>
      </c>
      <c r="AC6367">
        <v>15.688899999999901</v>
      </c>
      <c r="AD6367">
        <v>-1.118202040993</v>
      </c>
      <c r="AE6367">
        <v>-6.3746999999999998</v>
      </c>
      <c r="AF6367">
        <v>-6.11778465661589</v>
      </c>
      <c r="AG6367">
        <v>-1.118202040993</v>
      </c>
      <c r="AH6367">
        <v>15.711989155605499</v>
      </c>
      <c r="AI6367">
        <v>93.794230026866302</v>
      </c>
      <c r="AJ6367">
        <v>111.274469584363</v>
      </c>
      <c r="AK6367">
        <v>16.898055158362698</v>
      </c>
      <c r="AL6367">
        <v>80.043752384622294</v>
      </c>
      <c r="AM6367">
        <v>102.012789708901</v>
      </c>
      <c r="AN6367">
        <v>0.999999970527784</v>
      </c>
    </row>
    <row r="6368" spans="1:40" x14ac:dyDescent="0.25">
      <c r="A6368" t="str">
        <f>"20190304155231804"</f>
        <v>20190304155231804</v>
      </c>
      <c r="B6368" t="str">
        <f>"1551685951793981"</f>
        <v>1551685951793981</v>
      </c>
      <c r="C6368" t="s">
        <v>40</v>
      </c>
      <c r="D6368">
        <v>4.7795050000000003</v>
      </c>
      <c r="E6368">
        <v>0.4306005</v>
      </c>
      <c r="F6368" t="s">
        <v>41</v>
      </c>
      <c r="G6368">
        <v>-278.20679999999999</v>
      </c>
      <c r="H6368" s="1">
        <v>-3.0459150000000001E-6</v>
      </c>
      <c r="I6368">
        <v>-62.051960000000001</v>
      </c>
      <c r="J6368">
        <v>-293.61790000000002</v>
      </c>
      <c r="K6368">
        <v>1.1181760000000001</v>
      </c>
      <c r="L6368">
        <v>-55.999419999999901</v>
      </c>
      <c r="M6368">
        <v>0.73436569999999901</v>
      </c>
      <c r="N6368">
        <v>-1.500698E-2</v>
      </c>
      <c r="O6368">
        <v>-0.67858819999999997</v>
      </c>
      <c r="P6368">
        <v>0.84614990000000001</v>
      </c>
      <c r="Q6368">
        <v>0.1618955</v>
      </c>
      <c r="R6368">
        <v>-0.50776009999999905</v>
      </c>
      <c r="S6368">
        <v>2.8997190000000002</v>
      </c>
      <c r="T6368">
        <v>-0.20800840000000001</v>
      </c>
      <c r="U6368">
        <v>-1.1538090000000001</v>
      </c>
      <c r="V6368">
        <v>-0.2045458</v>
      </c>
      <c r="W6368">
        <v>0.17263310000000001</v>
      </c>
      <c r="X6368">
        <v>0.96351379999999998</v>
      </c>
      <c r="Y6368">
        <v>-0.3574946</v>
      </c>
      <c r="Z6368">
        <v>4.6067749999999998E-2</v>
      </c>
      <c r="AA6368">
        <v>0.93277829999999995</v>
      </c>
      <c r="AB6368">
        <v>24</v>
      </c>
      <c r="AC6368">
        <v>15.411099999999999</v>
      </c>
      <c r="AD6368">
        <v>-1.1181790459150001</v>
      </c>
      <c r="AE6368">
        <v>-6.0525399999999996</v>
      </c>
      <c r="AF6368">
        <v>-5.9863858695507597</v>
      </c>
      <c r="AG6368">
        <v>-1.1181790459150001</v>
      </c>
      <c r="AH6368">
        <v>15.356262037858601</v>
      </c>
      <c r="AI6368">
        <v>93.881171809060206</v>
      </c>
      <c r="AJ6368">
        <v>111.29750443418401</v>
      </c>
      <c r="AK6368">
        <v>16.5197434584577</v>
      </c>
      <c r="AL6368">
        <v>80.059051589340598</v>
      </c>
      <c r="AM6368">
        <v>101.985469367148</v>
      </c>
      <c r="AN6368">
        <v>1.00000000715184</v>
      </c>
    </row>
    <row r="6369" spans="1:40" x14ac:dyDescent="0.25">
      <c r="A6369" t="str">
        <f>"20190304155231829"</f>
        <v>20190304155231829</v>
      </c>
      <c r="B6369" t="str">
        <f>"1551685951823258"</f>
        <v>1551685951823258</v>
      </c>
      <c r="C6369" t="s">
        <v>40</v>
      </c>
      <c r="D6369">
        <v>4.8561059999999996</v>
      </c>
      <c r="E6369">
        <v>0.43069619999999997</v>
      </c>
      <c r="F6369" t="s">
        <v>41</v>
      </c>
      <c r="G6369">
        <v>-278.01760000000002</v>
      </c>
      <c r="H6369" s="1">
        <v>-2.9556039999999998E-6</v>
      </c>
      <c r="I6369">
        <v>-62.010669999999998</v>
      </c>
      <c r="J6369">
        <v>-293.43040000000002</v>
      </c>
      <c r="K6369">
        <v>1.11815</v>
      </c>
      <c r="L6369">
        <v>-56.154510000000002</v>
      </c>
      <c r="M6369">
        <v>0.742349699999999</v>
      </c>
      <c r="N6369">
        <v>-1.4999190000000001E-2</v>
      </c>
      <c r="O6369">
        <v>-0.66984460000000001</v>
      </c>
      <c r="P6369">
        <v>0.85140130000000003</v>
      </c>
      <c r="Q6369">
        <v>0.16207189999999999</v>
      </c>
      <c r="R6369">
        <v>-0.49884699999999998</v>
      </c>
      <c r="S6369">
        <v>2.912048</v>
      </c>
      <c r="T6369">
        <v>-0.2087272</v>
      </c>
      <c r="U6369">
        <v>-1.122101</v>
      </c>
      <c r="V6369">
        <v>-0.20321800000000001</v>
      </c>
      <c r="W6369">
        <v>0.1728449</v>
      </c>
      <c r="X6369">
        <v>0.96375670000000002</v>
      </c>
      <c r="Y6369">
        <v>-0.35660510000000001</v>
      </c>
      <c r="Z6369">
        <v>4.5898750000000002E-2</v>
      </c>
      <c r="AA6369">
        <v>0.93312700000000004</v>
      </c>
      <c r="AB6369">
        <v>24</v>
      </c>
      <c r="AC6369">
        <v>15.412800000000001</v>
      </c>
      <c r="AD6369">
        <v>-1.118152955604</v>
      </c>
      <c r="AE6369">
        <v>-5.85616</v>
      </c>
      <c r="AF6369">
        <v>-5.9501696055089797</v>
      </c>
      <c r="AG6369">
        <v>-1.118152955604</v>
      </c>
      <c r="AH6369">
        <v>15.295787282044101</v>
      </c>
      <c r="AI6369">
        <v>93.897464601495003</v>
      </c>
      <c r="AJ6369">
        <v>111.256387714995</v>
      </c>
      <c r="AK6369">
        <v>16.4504070753277</v>
      </c>
      <c r="AL6369">
        <v>80.046730521762697</v>
      </c>
      <c r="AM6369">
        <v>101.906979027471</v>
      </c>
      <c r="AN6369">
        <v>0.99999994588744801</v>
      </c>
    </row>
    <row r="6370" spans="1:40" x14ac:dyDescent="0.25">
      <c r="A6370" t="str">
        <f>"20190304155231851"</f>
        <v>20190304155231851</v>
      </c>
      <c r="B6370" t="str">
        <f>"1551685951843754"</f>
        <v>1551685951843754</v>
      </c>
      <c r="C6370" t="s">
        <v>40</v>
      </c>
      <c r="D6370">
        <v>4.8631970000000004</v>
      </c>
      <c r="E6370">
        <v>0.4307877</v>
      </c>
      <c r="F6370" t="s">
        <v>41</v>
      </c>
      <c r="G6370">
        <v>-277.7346</v>
      </c>
      <c r="H6370" s="1">
        <v>-2.8355409999999999E-6</v>
      </c>
      <c r="I6370">
        <v>-62.016689999999997</v>
      </c>
      <c r="J6370">
        <v>-293.2423</v>
      </c>
      <c r="K6370">
        <v>1.1181239999999999</v>
      </c>
      <c r="L6370">
        <v>-56.306240000000003</v>
      </c>
      <c r="M6370">
        <v>0.75017400000000001</v>
      </c>
      <c r="N6370">
        <v>-1.4991819999999999E-2</v>
      </c>
      <c r="O6370">
        <v>-0.66107059999999995</v>
      </c>
      <c r="P6370">
        <v>0.85657099999999897</v>
      </c>
      <c r="Q6370">
        <v>0.16159270000000001</v>
      </c>
      <c r="R6370">
        <v>-0.49007580000000001</v>
      </c>
      <c r="S6370">
        <v>2.923492</v>
      </c>
      <c r="T6370">
        <v>-0.2082669</v>
      </c>
      <c r="U6370">
        <v>-1.091888</v>
      </c>
      <c r="V6370">
        <v>-0.20182230000000001</v>
      </c>
      <c r="W6370">
        <v>0.1724029</v>
      </c>
      <c r="X6370">
        <v>0.96412909999999996</v>
      </c>
      <c r="Y6370">
        <v>-0.35530230000000002</v>
      </c>
      <c r="Z6370">
        <v>4.5405290000000001E-2</v>
      </c>
      <c r="AA6370">
        <v>0.93364800000000003</v>
      </c>
      <c r="AB6370">
        <v>24</v>
      </c>
      <c r="AC6370">
        <v>15.5077</v>
      </c>
      <c r="AD6370">
        <v>-1.1181268355409999</v>
      </c>
      <c r="AE6370">
        <v>-5.7104499999999998</v>
      </c>
      <c r="AF6370">
        <v>-5.9413251973636996</v>
      </c>
      <c r="AG6370">
        <v>-1.1181268355409999</v>
      </c>
      <c r="AH6370">
        <v>15.33999034602</v>
      </c>
      <c r="AI6370">
        <v>93.888396924579894</v>
      </c>
      <c r="AJ6370">
        <v>111.171862928539</v>
      </c>
      <c r="AK6370">
        <v>16.488324855399199</v>
      </c>
      <c r="AL6370">
        <v>80.072441384391098</v>
      </c>
      <c r="AM6370">
        <v>101.823073198122</v>
      </c>
      <c r="AN6370">
        <v>0.999999961086254</v>
      </c>
    </row>
    <row r="6371" spans="1:40" x14ac:dyDescent="0.25">
      <c r="A6371" t="str">
        <f>"20190304155231883"</f>
        <v>20190304155231883</v>
      </c>
      <c r="B6371" t="str">
        <f>"1551685951873034"</f>
        <v>1551685951873034</v>
      </c>
      <c r="C6371" t="s">
        <v>40</v>
      </c>
      <c r="D6371">
        <v>4.905583</v>
      </c>
      <c r="E6371">
        <v>0.43101620000000002</v>
      </c>
      <c r="F6371" t="s">
        <v>41</v>
      </c>
      <c r="G6371">
        <v>-277.5917</v>
      </c>
      <c r="H6371" s="1">
        <v>-2.763833E-6</v>
      </c>
      <c r="I6371">
        <v>-61.969880000000003</v>
      </c>
      <c r="J6371">
        <v>-292.97030000000001</v>
      </c>
      <c r="K6371">
        <v>1.1180870000000001</v>
      </c>
      <c r="L6371">
        <v>-56.519440000000003</v>
      </c>
      <c r="M6371">
        <v>0.76118180000000002</v>
      </c>
      <c r="N6371">
        <v>-1.498177E-2</v>
      </c>
      <c r="O6371">
        <v>-0.64836559999999999</v>
      </c>
      <c r="P6371">
        <v>0.86404939999999997</v>
      </c>
      <c r="Q6371">
        <v>0.16169040000000001</v>
      </c>
      <c r="R6371">
        <v>-0.47673389999999999</v>
      </c>
      <c r="S6371">
        <v>2.9343569999999999</v>
      </c>
      <c r="T6371">
        <v>-0.2096403</v>
      </c>
      <c r="U6371">
        <v>-1.06189</v>
      </c>
      <c r="V6371">
        <v>-0.20053670000000001</v>
      </c>
      <c r="W6371">
        <v>0.17253450000000001</v>
      </c>
      <c r="X6371">
        <v>0.96437379999999995</v>
      </c>
      <c r="Y6371">
        <v>-0.3491322</v>
      </c>
      <c r="Z6371">
        <v>4.5055110000000002E-2</v>
      </c>
      <c r="AA6371">
        <v>0.93598970000000004</v>
      </c>
      <c r="AB6371">
        <v>24</v>
      </c>
      <c r="AC6371">
        <v>15.3786</v>
      </c>
      <c r="AD6371">
        <v>-1.1180897638330001</v>
      </c>
      <c r="AE6371">
        <v>-5.4504400000000004</v>
      </c>
      <c r="AF6371">
        <v>-5.7956161912965296</v>
      </c>
      <c r="AG6371">
        <v>-1.1180897638330001</v>
      </c>
      <c r="AH6371">
        <v>15.170257741031</v>
      </c>
      <c r="AI6371">
        <v>93.938565824669297</v>
      </c>
      <c r="AJ6371">
        <v>110.90876102147701</v>
      </c>
      <c r="AK6371">
        <v>16.2780837842209</v>
      </c>
      <c r="AL6371">
        <v>80.064786680739999</v>
      </c>
      <c r="AM6371">
        <v>101.746962392941</v>
      </c>
      <c r="AN6371">
        <v>0.99999997393178897</v>
      </c>
    </row>
    <row r="6372" spans="1:40" x14ac:dyDescent="0.25">
      <c r="A6372" t="str">
        <f>"20190304155231906"</f>
        <v>20190304155231906</v>
      </c>
      <c r="B6372" t="str">
        <f>"1551685951903290"</f>
        <v>1551685951903290</v>
      </c>
      <c r="C6372" t="s">
        <v>40</v>
      </c>
      <c r="D6372">
        <v>4.8676430000000002</v>
      </c>
      <c r="E6372">
        <v>0.43138149999999997</v>
      </c>
      <c r="F6372" t="s">
        <v>41</v>
      </c>
      <c r="G6372">
        <v>-277.25229999999999</v>
      </c>
      <c r="H6372" s="1">
        <v>-2.611794E-6</v>
      </c>
      <c r="I6372">
        <v>-61.940930000000002</v>
      </c>
      <c r="J6372">
        <v>-292.78300000000002</v>
      </c>
      <c r="K6372">
        <v>1.118069</v>
      </c>
      <c r="L6372">
        <v>-56.662140000000001</v>
      </c>
      <c r="M6372">
        <v>0.76855859999999998</v>
      </c>
      <c r="N6372">
        <v>-1.497504E-2</v>
      </c>
      <c r="O6372">
        <v>-0.63960419999999996</v>
      </c>
      <c r="P6372">
        <v>0.86893589999999998</v>
      </c>
      <c r="Q6372">
        <v>0.1614128</v>
      </c>
      <c r="R6372">
        <v>-0.46786369999999999</v>
      </c>
      <c r="S6372">
        <v>2.9498899999999999</v>
      </c>
      <c r="T6372">
        <v>-0.20983950000000001</v>
      </c>
      <c r="U6372">
        <v>-1.017487</v>
      </c>
      <c r="V6372">
        <v>-0.19937820000000001</v>
      </c>
      <c r="W6372">
        <v>0.17228650000000001</v>
      </c>
      <c r="X6372">
        <v>0.96465829999999997</v>
      </c>
      <c r="Y6372">
        <v>-0.35250710000000002</v>
      </c>
      <c r="Z6372">
        <v>4.4881190000000001E-2</v>
      </c>
      <c r="AA6372">
        <v>0.93473229999999996</v>
      </c>
      <c r="AB6372">
        <v>24</v>
      </c>
      <c r="AC6372">
        <v>15.5307</v>
      </c>
      <c r="AD6372">
        <v>-1.1180716117939999</v>
      </c>
      <c r="AE6372">
        <v>-5.2787899999999999</v>
      </c>
      <c r="AF6372">
        <v>-5.8499216143135104</v>
      </c>
      <c r="AG6372">
        <v>-1.1180716117939999</v>
      </c>
      <c r="AH6372">
        <v>15.243484885928099</v>
      </c>
      <c r="AI6372">
        <v>93.917388091983497</v>
      </c>
      <c r="AJ6372">
        <v>110.995072750066</v>
      </c>
      <c r="AK6372">
        <v>16.365680508009099</v>
      </c>
      <c r="AL6372">
        <v>80.079212014697205</v>
      </c>
      <c r="AM6372">
        <v>101.67761986551901</v>
      </c>
      <c r="AN6372">
        <v>0.99999997023818898</v>
      </c>
    </row>
    <row r="6373" spans="1:40" x14ac:dyDescent="0.25">
      <c r="A6373" t="str">
        <f>"20190304155231918"</f>
        <v>20190304155231918</v>
      </c>
      <c r="B6373" t="str">
        <f>"1551685951913050"</f>
        <v>1551685951913050</v>
      </c>
      <c r="C6373" t="s">
        <v>40</v>
      </c>
      <c r="D6373">
        <v>4.939025</v>
      </c>
      <c r="E6373">
        <v>0.43148170000000002</v>
      </c>
      <c r="F6373" t="s">
        <v>41</v>
      </c>
      <c r="G6373">
        <v>-277.22820000000002</v>
      </c>
      <c r="H6373" s="1">
        <v>-2.5846420000000001E-6</v>
      </c>
      <c r="I6373">
        <v>-61.865400000000001</v>
      </c>
      <c r="J6373">
        <v>-292.6764</v>
      </c>
      <c r="K6373">
        <v>1.1180570000000001</v>
      </c>
      <c r="L6373">
        <v>-56.741549999999997</v>
      </c>
      <c r="M6373">
        <v>0.772679</v>
      </c>
      <c r="N6373">
        <v>-1.4971379999999999E-2</v>
      </c>
      <c r="O6373">
        <v>-0.63462030000000003</v>
      </c>
      <c r="P6373">
        <v>0.87179669999999898</v>
      </c>
      <c r="Q6373">
        <v>0.16112070000000001</v>
      </c>
      <c r="R6373">
        <v>-0.46261289999999999</v>
      </c>
      <c r="S6373">
        <v>2.9590450000000001</v>
      </c>
      <c r="T6373">
        <v>-0.21269550000000001</v>
      </c>
      <c r="U6373">
        <v>-0.98983759999999998</v>
      </c>
      <c r="V6373">
        <v>-0.19898150000000001</v>
      </c>
      <c r="W6373">
        <v>0.17200509999999999</v>
      </c>
      <c r="X6373">
        <v>0.9647905</v>
      </c>
      <c r="Y6373">
        <v>-0.35513149999999999</v>
      </c>
      <c r="Z6373">
        <v>4.5488840000000003E-2</v>
      </c>
      <c r="AA6373">
        <v>0.93370889999999995</v>
      </c>
      <c r="AB6373">
        <v>24</v>
      </c>
      <c r="AC6373">
        <v>15.4481999999999</v>
      </c>
      <c r="AD6373">
        <v>-1.1180595846420001</v>
      </c>
      <c r="AE6373">
        <v>-5.12385</v>
      </c>
      <c r="AF6373">
        <v>-5.8178511940940103</v>
      </c>
      <c r="AG6373">
        <v>-1.1180595846420001</v>
      </c>
      <c r="AH6373">
        <v>15.118558175637</v>
      </c>
      <c r="AI6373">
        <v>93.948229844061999</v>
      </c>
      <c r="AJ6373">
        <v>111.047484283724</v>
      </c>
      <c r="AK6373">
        <v>16.237864732209999</v>
      </c>
      <c r="AL6373">
        <v>80.095580189498904</v>
      </c>
      <c r="AM6373">
        <v>101.653468007917</v>
      </c>
      <c r="AN6373">
        <v>1.0000000503292501</v>
      </c>
    </row>
    <row r="6374" spans="1:40" x14ac:dyDescent="0.25">
      <c r="A6374" t="str">
        <f>"20190304155231933"</f>
        <v>20190304155231933</v>
      </c>
      <c r="B6374" t="str">
        <f>"1551685951923786"</f>
        <v>1551685951923786</v>
      </c>
      <c r="C6374" t="s">
        <v>40</v>
      </c>
      <c r="D6374">
        <v>4.7785820000000001</v>
      </c>
      <c r="E6374">
        <v>0.43148170000000002</v>
      </c>
      <c r="F6374" t="s">
        <v>41</v>
      </c>
      <c r="G6374">
        <v>-277.17700000000002</v>
      </c>
      <c r="H6374" s="1">
        <v>-2.553885E-6</v>
      </c>
      <c r="I6374">
        <v>-61.825899999999997</v>
      </c>
      <c r="J6374">
        <v>-292.56</v>
      </c>
      <c r="K6374">
        <v>1.1180410000000001</v>
      </c>
      <c r="L6374">
        <v>-56.827359999999999</v>
      </c>
      <c r="M6374">
        <v>0.77712639999999999</v>
      </c>
      <c r="N6374">
        <v>-1.496749E-2</v>
      </c>
      <c r="O6374">
        <v>-0.62916680000000003</v>
      </c>
      <c r="P6374">
        <v>0.87497409999999998</v>
      </c>
      <c r="Q6374">
        <v>0.16064030000000001</v>
      </c>
      <c r="R6374">
        <v>-0.45674409999999999</v>
      </c>
      <c r="S6374">
        <v>2.9646300000000001</v>
      </c>
      <c r="T6374">
        <v>-0.2138555</v>
      </c>
      <c r="U6374">
        <v>-0.97250369999999997</v>
      </c>
      <c r="V6374">
        <v>-0.198716</v>
      </c>
      <c r="W6374">
        <v>0.17153389999999999</v>
      </c>
      <c r="X6374">
        <v>0.96492900000000004</v>
      </c>
      <c r="Y6374">
        <v>-0.35399259999999999</v>
      </c>
      <c r="Z6374">
        <v>4.5516769999999998E-2</v>
      </c>
      <c r="AA6374">
        <v>0.93413999999999997</v>
      </c>
      <c r="AB6374">
        <v>24</v>
      </c>
      <c r="AC6374">
        <v>15.3829999999999</v>
      </c>
      <c r="AD6374">
        <v>-1.118043553885</v>
      </c>
      <c r="AE6374">
        <v>-4.9985399999999904</v>
      </c>
      <c r="AF6374">
        <v>-5.7670687857589504</v>
      </c>
      <c r="AG6374">
        <v>-1.118043553885</v>
      </c>
      <c r="AH6374">
        <v>15.029330330536199</v>
      </c>
      <c r="AI6374">
        <v>93.972989335268196</v>
      </c>
      <c r="AJ6374">
        <v>110.992853939859</v>
      </c>
      <c r="AK6374">
        <v>16.136600445956201</v>
      </c>
      <c r="AL6374">
        <v>80.122984288721696</v>
      </c>
      <c r="AM6374">
        <v>101.636718380644</v>
      </c>
      <c r="AN6374">
        <v>0.99999995127310304</v>
      </c>
    </row>
    <row r="6375" spans="1:40" x14ac:dyDescent="0.25">
      <c r="A6375" t="str">
        <f>"20190304155231951"</f>
        <v>20190304155231951</v>
      </c>
      <c r="B6375" t="str">
        <f>"1551685951943305"</f>
        <v>1551685951943305</v>
      </c>
      <c r="C6375" t="s">
        <v>40</v>
      </c>
      <c r="D6375">
        <v>4.7856899999999998</v>
      </c>
      <c r="E6375">
        <v>0.445465</v>
      </c>
      <c r="F6375" t="s">
        <v>41</v>
      </c>
      <c r="G6375">
        <v>-277.12819999999999</v>
      </c>
      <c r="H6375" s="1">
        <v>-2.521318E-6</v>
      </c>
      <c r="I6375">
        <v>-61.773580000000003</v>
      </c>
      <c r="J6375">
        <v>-292.40750000000003</v>
      </c>
      <c r="K6375">
        <v>1.1180209999999999</v>
      </c>
      <c r="L6375">
        <v>-56.937869999999997</v>
      </c>
      <c r="M6375">
        <v>0.78286160000000005</v>
      </c>
      <c r="N6375">
        <v>-1.496249E-2</v>
      </c>
      <c r="O6375">
        <v>-0.62201629999999997</v>
      </c>
      <c r="P6375">
        <v>0.87876980000000005</v>
      </c>
      <c r="Q6375">
        <v>0.16024169999999999</v>
      </c>
      <c r="R6375">
        <v>-0.4495403</v>
      </c>
      <c r="S6375">
        <v>2.9710999999999999</v>
      </c>
      <c r="T6375">
        <v>-0.21525820000000001</v>
      </c>
      <c r="U6375">
        <v>-0.95230099999999995</v>
      </c>
      <c r="V6375">
        <v>-0.1978259</v>
      </c>
      <c r="W6375">
        <v>0.17115810000000001</v>
      </c>
      <c r="X6375">
        <v>0.96517869999999995</v>
      </c>
      <c r="Y6375">
        <v>-0.35176109999999999</v>
      </c>
      <c r="Z6375">
        <v>4.5487729999999997E-2</v>
      </c>
      <c r="AA6375">
        <v>0.93498400000000004</v>
      </c>
      <c r="AB6375">
        <v>24</v>
      </c>
      <c r="AC6375">
        <v>15.279299999999999</v>
      </c>
      <c r="AD6375">
        <v>-1.1180235213180001</v>
      </c>
      <c r="AE6375">
        <v>-4.8357099999999997</v>
      </c>
      <c r="AF6375">
        <v>-5.6912232781313303</v>
      </c>
      <c r="AG6375">
        <v>-1.1180235213180001</v>
      </c>
      <c r="AH6375">
        <v>14.898632698925301</v>
      </c>
      <c r="AI6375">
        <v>94.009958565865006</v>
      </c>
      <c r="AJ6375">
        <v>110.906674283043</v>
      </c>
      <c r="AK6375">
        <v>15.9877845648874</v>
      </c>
      <c r="AL6375">
        <v>80.144840265651297</v>
      </c>
      <c r="AM6375">
        <v>101.583090516852</v>
      </c>
      <c r="AN6375">
        <v>1.0000000524200501</v>
      </c>
    </row>
    <row r="6376" spans="1:40" x14ac:dyDescent="0.25">
      <c r="A6376" t="str">
        <f>"20190304155231961"</f>
        <v>20190304155231961</v>
      </c>
      <c r="B6376" t="str">
        <f>"1551685951953066"</f>
        <v>1551685951953066</v>
      </c>
      <c r="C6376" t="s">
        <v>40</v>
      </c>
      <c r="D6376">
        <v>4.9133040000000001</v>
      </c>
      <c r="E6376">
        <v>0.44453959999999998</v>
      </c>
      <c r="F6376" t="s">
        <v>77</v>
      </c>
      <c r="G6376">
        <v>-281.21809999999999</v>
      </c>
      <c r="H6376" s="1">
        <v>-7.2464919999999998E-6</v>
      </c>
      <c r="I6376">
        <v>-60.876139999999999</v>
      </c>
      <c r="J6376">
        <v>-292.30329999999998</v>
      </c>
      <c r="K6376">
        <v>1.1180110000000001</v>
      </c>
      <c r="L6376">
        <v>-57.011989999999997</v>
      </c>
      <c r="M6376">
        <v>0.78671740000000001</v>
      </c>
      <c r="N6376">
        <v>-1.4959170000000001E-2</v>
      </c>
      <c r="O6376">
        <v>-0.61713209999999996</v>
      </c>
      <c r="P6376">
        <v>0.88138179999999999</v>
      </c>
      <c r="Q6376">
        <v>0.16003889999999901</v>
      </c>
      <c r="R6376">
        <v>-0.44447009999999998</v>
      </c>
      <c r="S6376">
        <v>2.9382929999999998</v>
      </c>
      <c r="T6376">
        <v>-0.29359069999999998</v>
      </c>
      <c r="U6376">
        <v>-1.0341800000000001</v>
      </c>
      <c r="V6376">
        <v>-0.19739300000000001</v>
      </c>
      <c r="W6376">
        <v>0.17096739999999999</v>
      </c>
      <c r="X6376">
        <v>0.96530110000000002</v>
      </c>
      <c r="Y6376">
        <v>-0.31789129999999999</v>
      </c>
      <c r="Z6376">
        <v>6.2787700000000002E-2</v>
      </c>
      <c r="AA6376">
        <v>0.9460459</v>
      </c>
      <c r="AB6376">
        <v>24</v>
      </c>
      <c r="AC6376">
        <v>11.085199999999899</v>
      </c>
      <c r="AD6376">
        <v>-1.1180182464920001</v>
      </c>
      <c r="AE6376">
        <v>-3.8641499999999902</v>
      </c>
      <c r="AF6376">
        <v>-3.7672946295543199</v>
      </c>
      <c r="AG6376">
        <v>-1.1180182464920001</v>
      </c>
      <c r="AH6376">
        <v>11.007019606954399</v>
      </c>
      <c r="AI6376">
        <v>95.489282768449698</v>
      </c>
      <c r="AJ6376">
        <v>108.894173428491</v>
      </c>
      <c r="AK6376">
        <v>11.6874699680143</v>
      </c>
      <c r="AL6376">
        <v>80.155929818784699</v>
      </c>
      <c r="AM6376">
        <v>101.557000034059</v>
      </c>
      <c r="AN6376">
        <v>1.00000003098648</v>
      </c>
    </row>
    <row r="6377" spans="1:40" x14ac:dyDescent="0.25">
      <c r="A6377" t="str">
        <f>"20190304155231985"</f>
        <v>20190304155231985</v>
      </c>
      <c r="B6377" t="str">
        <f>"1551685951973562"</f>
        <v>1551685951973562</v>
      </c>
      <c r="C6377" t="s">
        <v>40</v>
      </c>
      <c r="D6377">
        <v>4.8218990000000002</v>
      </c>
      <c r="E6377">
        <v>0.4445749</v>
      </c>
      <c r="F6377" t="s">
        <v>77</v>
      </c>
      <c r="G6377">
        <v>-280.68650000000002</v>
      </c>
      <c r="H6377" s="1">
        <v>-7.4115339999999998E-6</v>
      </c>
      <c r="I6377">
        <v>-60.991059999999997</v>
      </c>
      <c r="J6377">
        <v>-292.11349999999999</v>
      </c>
      <c r="K6377">
        <v>1.1179889999999999</v>
      </c>
      <c r="L6377">
        <v>-57.144779999999997</v>
      </c>
      <c r="M6377">
        <v>0.79363019999999995</v>
      </c>
      <c r="N6377">
        <v>-1.495315E-2</v>
      </c>
      <c r="O6377">
        <v>-0.6082168</v>
      </c>
      <c r="P6377">
        <v>0.88620949999999998</v>
      </c>
      <c r="Q6377">
        <v>0.15875649999999999</v>
      </c>
      <c r="R6377">
        <v>-0.43523479999999998</v>
      </c>
      <c r="S6377">
        <v>2.9463200000000001</v>
      </c>
      <c r="T6377">
        <v>-0.28355590000000003</v>
      </c>
      <c r="U6377">
        <v>-1.0091859999999999</v>
      </c>
      <c r="V6377">
        <v>-0.19669629999999999</v>
      </c>
      <c r="W6377">
        <v>0.16970669999999999</v>
      </c>
      <c r="X6377">
        <v>0.96566569999999996</v>
      </c>
      <c r="Y6377">
        <v>-0.31542100000000001</v>
      </c>
      <c r="Z6377">
        <v>5.975126E-2</v>
      </c>
      <c r="AA6377">
        <v>0.94706880000000004</v>
      </c>
      <c r="AB6377">
        <v>24</v>
      </c>
      <c r="AC6377">
        <v>11.4269999999999</v>
      </c>
      <c r="AD6377">
        <v>-1.117996411534</v>
      </c>
      <c r="AE6377">
        <v>-3.8462799999999899</v>
      </c>
      <c r="AF6377">
        <v>-3.8647749509118601</v>
      </c>
      <c r="AG6377">
        <v>-1.117996411534</v>
      </c>
      <c r="AH6377">
        <v>11.312195043672901</v>
      </c>
      <c r="AI6377">
        <v>95.342962017128599</v>
      </c>
      <c r="AJ6377">
        <v>108.862566960536</v>
      </c>
      <c r="AK6377">
        <v>12.0063382470883</v>
      </c>
      <c r="AL6377">
        <v>80.229233791636204</v>
      </c>
      <c r="AM6377">
        <v>101.51306895837401</v>
      </c>
      <c r="AN6377">
        <v>1.00000002130753</v>
      </c>
    </row>
    <row r="6378" spans="1:40" x14ac:dyDescent="0.25">
      <c r="A6378" t="str">
        <f>"20190304155231997"</f>
        <v>20190304155231997</v>
      </c>
      <c r="B6378" t="str">
        <f>"1551685951993082"</f>
        <v>1551685951993082</v>
      </c>
      <c r="C6378" t="s">
        <v>40</v>
      </c>
      <c r="D6378">
        <v>4.8960030000000003</v>
      </c>
      <c r="E6378">
        <v>0.44453910000000002</v>
      </c>
      <c r="F6378" t="s">
        <v>77</v>
      </c>
      <c r="G6378">
        <v>-280.52159999999998</v>
      </c>
      <c r="H6378" s="1">
        <v>-7.4683780000000002E-6</v>
      </c>
      <c r="I6378">
        <v>-60.976289999999999</v>
      </c>
      <c r="J6378">
        <v>-292.00409999999999</v>
      </c>
      <c r="K6378">
        <v>1.1179790000000001</v>
      </c>
      <c r="L6378">
        <v>-57.219700000000003</v>
      </c>
      <c r="M6378">
        <v>0.79754499999999995</v>
      </c>
      <c r="N6378">
        <v>-1.49497E-2</v>
      </c>
      <c r="O6378">
        <v>-0.60307449999999996</v>
      </c>
      <c r="P6378">
        <v>0.88892389999999999</v>
      </c>
      <c r="Q6378">
        <v>0.15814619999999999</v>
      </c>
      <c r="R6378">
        <v>-0.42988880000000002</v>
      </c>
      <c r="S6378">
        <v>2.9563600000000001</v>
      </c>
      <c r="T6378">
        <v>-0.28512949999999998</v>
      </c>
      <c r="U6378">
        <v>-0.97717290000000001</v>
      </c>
      <c r="V6378">
        <v>-0.1963203</v>
      </c>
      <c r="W6378">
        <v>0.16910799999999901</v>
      </c>
      <c r="X6378">
        <v>0.96584720000000002</v>
      </c>
      <c r="Y6378">
        <v>-0.31945000000000001</v>
      </c>
      <c r="Z6378">
        <v>5.9998000000000003E-2</v>
      </c>
      <c r="AA6378">
        <v>0.94570180000000004</v>
      </c>
      <c r="AB6378">
        <v>24</v>
      </c>
      <c r="AC6378">
        <v>11.4825</v>
      </c>
      <c r="AD6378">
        <v>-1.1179864683779901</v>
      </c>
      <c r="AE6378">
        <v>-3.7565900000000001</v>
      </c>
      <c r="AF6378">
        <v>-3.8958306697990701</v>
      </c>
      <c r="AG6378">
        <v>-1.1179864683779901</v>
      </c>
      <c r="AH6378">
        <v>11.3275874485013</v>
      </c>
      <c r="AI6378">
        <v>95.331991997013404</v>
      </c>
      <c r="AJ6378">
        <v>108.979329968324</v>
      </c>
      <c r="AK6378">
        <v>12.0308614718427</v>
      </c>
      <c r="AL6378">
        <v>80.264039596866994</v>
      </c>
      <c r="AM6378">
        <v>101.489544817104</v>
      </c>
      <c r="AN6378">
        <v>0.999999994801965</v>
      </c>
    </row>
    <row r="6379" spans="1:40" x14ac:dyDescent="0.25">
      <c r="A6379" t="str">
        <f>"20190304155232009"</f>
        <v>20190304155232009</v>
      </c>
      <c r="B6379" t="str">
        <f>"1551685952003818"</f>
        <v>1551685952003818</v>
      </c>
      <c r="C6379" t="s">
        <v>40</v>
      </c>
      <c r="D6379">
        <v>4.8302740000000002</v>
      </c>
      <c r="E6379">
        <v>0.4450153</v>
      </c>
      <c r="F6379" t="s">
        <v>77</v>
      </c>
      <c r="G6379">
        <v>-280.24720000000002</v>
      </c>
      <c r="H6379" s="1">
        <v>-7.5549779999999902E-6</v>
      </c>
      <c r="I6379">
        <v>-61.023090000000003</v>
      </c>
      <c r="J6379">
        <v>-291.90100000000001</v>
      </c>
      <c r="K6379">
        <v>1.1179680000000001</v>
      </c>
      <c r="L6379">
        <v>-57.289670000000001</v>
      </c>
      <c r="M6379">
        <v>0.80118940000000005</v>
      </c>
      <c r="N6379">
        <v>-1.4946579999999999E-2</v>
      </c>
      <c r="O6379">
        <v>-0.59822430000000004</v>
      </c>
      <c r="P6379">
        <v>0.89158079999999995</v>
      </c>
      <c r="Q6379">
        <v>0.15793879999999999</v>
      </c>
      <c r="R6379">
        <v>-0.42442809999999997</v>
      </c>
      <c r="S6379">
        <v>2.9616389999999999</v>
      </c>
      <c r="T6379">
        <v>-0.2816284</v>
      </c>
      <c r="U6379">
        <v>-0.95809940000000005</v>
      </c>
      <c r="V6379">
        <v>-0.1963983</v>
      </c>
      <c r="W6379">
        <v>0.16890169999999999</v>
      </c>
      <c r="X6379">
        <v>0.96586749999999999</v>
      </c>
      <c r="Y6379">
        <v>-0.31979289999999999</v>
      </c>
      <c r="Z6379">
        <v>5.8913090000000001E-2</v>
      </c>
      <c r="AA6379">
        <v>0.9456542</v>
      </c>
      <c r="AB6379">
        <v>24</v>
      </c>
      <c r="AC6379">
        <v>11.653799999999899</v>
      </c>
      <c r="AD6379">
        <v>-1.1179755549779999</v>
      </c>
      <c r="AE6379">
        <v>-3.7334200000000002</v>
      </c>
      <c r="AF6379">
        <v>-3.94790338148835</v>
      </c>
      <c r="AG6379">
        <v>-1.1179755549779999</v>
      </c>
      <c r="AH6379">
        <v>11.475833329269999</v>
      </c>
      <c r="AI6379">
        <v>95.263298582642605</v>
      </c>
      <c r="AJ6379">
        <v>108.984184568169</v>
      </c>
      <c r="AK6379">
        <v>12.1873114776098</v>
      </c>
      <c r="AL6379">
        <v>80.276032789528401</v>
      </c>
      <c r="AM6379">
        <v>101.493753115601</v>
      </c>
      <c r="AN6379">
        <v>1.0000000520310099</v>
      </c>
    </row>
    <row r="6380" spans="1:40" x14ac:dyDescent="0.25">
      <c r="A6380" t="str">
        <f>"20190304155232022"</f>
        <v>20190304155232022</v>
      </c>
      <c r="B6380" t="str">
        <f>"1551685952013577"</f>
        <v>1551685952013577</v>
      </c>
      <c r="C6380" t="s">
        <v>40</v>
      </c>
      <c r="D6380">
        <v>4.9183579999999996</v>
      </c>
      <c r="E6380">
        <v>0.44510929999999999</v>
      </c>
      <c r="F6380" t="s">
        <v>77</v>
      </c>
      <c r="G6380">
        <v>-280.34980000000002</v>
      </c>
      <c r="H6380" s="1">
        <v>-7.5273869999999902E-6</v>
      </c>
      <c r="I6380">
        <v>-60.962899999999998</v>
      </c>
      <c r="J6380">
        <v>-291.78640000000001</v>
      </c>
      <c r="K6380">
        <v>1.1179559999999999</v>
      </c>
      <c r="L6380">
        <v>-57.366</v>
      </c>
      <c r="M6380">
        <v>0.80518579999999995</v>
      </c>
      <c r="N6380">
        <v>-1.494321E-2</v>
      </c>
      <c r="O6380">
        <v>-0.59283459999999999</v>
      </c>
      <c r="P6380">
        <v>0.89435100000000001</v>
      </c>
      <c r="Q6380">
        <v>0.1579101</v>
      </c>
      <c r="R6380">
        <v>-0.41857030000000001</v>
      </c>
      <c r="S6380">
        <v>2.966583</v>
      </c>
      <c r="T6380">
        <v>-0.28711940000000002</v>
      </c>
      <c r="U6380">
        <v>-0.94335939999999996</v>
      </c>
      <c r="V6380">
        <v>-0.1962498</v>
      </c>
      <c r="W6380">
        <v>0.16887859999999999</v>
      </c>
      <c r="X6380">
        <v>0.96590169999999997</v>
      </c>
      <c r="Y6380">
        <v>-0.31806079999999998</v>
      </c>
      <c r="Z6380">
        <v>5.9763429999999999E-2</v>
      </c>
      <c r="AA6380">
        <v>0.94618480000000005</v>
      </c>
      <c r="AB6380">
        <v>24</v>
      </c>
      <c r="AC6380">
        <v>11.4366</v>
      </c>
      <c r="AD6380">
        <v>-1.1179635273869999</v>
      </c>
      <c r="AE6380">
        <v>-3.59689999999999</v>
      </c>
      <c r="AF6380">
        <v>-3.85078770266681</v>
      </c>
      <c r="AG6380">
        <v>-1.1179635273869999</v>
      </c>
      <c r="AH6380">
        <v>11.244442565508599</v>
      </c>
      <c r="AI6380">
        <v>95.373477641443799</v>
      </c>
      <c r="AJ6380">
        <v>108.90435332003101</v>
      </c>
      <c r="AK6380">
        <v>11.9380022193246</v>
      </c>
      <c r="AL6380">
        <v>80.277375393528303</v>
      </c>
      <c r="AM6380">
        <v>101.484897669539</v>
      </c>
      <c r="AN6380">
        <v>1.0000000298004399</v>
      </c>
    </row>
    <row r="6381" spans="1:40" x14ac:dyDescent="0.25">
      <c r="A6381" t="str">
        <f>"20190304155232041"</f>
        <v>20190304155232041</v>
      </c>
      <c r="B6381" t="str">
        <f>"1551685952033098"</f>
        <v>1551685952033098</v>
      </c>
      <c r="C6381" t="s">
        <v>40</v>
      </c>
      <c r="D6381">
        <v>4.9147100000000004</v>
      </c>
      <c r="E6381">
        <v>0.44543850000000001</v>
      </c>
      <c r="F6381" t="s">
        <v>77</v>
      </c>
      <c r="G6381">
        <v>-280.15890000000002</v>
      </c>
      <c r="H6381" s="1">
        <v>-7.5890880000000004E-6</v>
      </c>
      <c r="I6381">
        <v>-60.982480000000002</v>
      </c>
      <c r="J6381">
        <v>-291.62540000000001</v>
      </c>
      <c r="K6381">
        <v>1.1179410000000001</v>
      </c>
      <c r="L6381">
        <v>-57.471589999999999</v>
      </c>
      <c r="M6381">
        <v>0.81071599999999999</v>
      </c>
      <c r="N6381">
        <v>-1.4938420000000001E-2</v>
      </c>
      <c r="O6381">
        <v>-0.58524909999999997</v>
      </c>
      <c r="P6381">
        <v>0.89811810000000003</v>
      </c>
      <c r="Q6381">
        <v>0.15796979999999999</v>
      </c>
      <c r="R6381">
        <v>-0.41040159999999998</v>
      </c>
      <c r="S6381">
        <v>2.9721980000000001</v>
      </c>
      <c r="T6381">
        <v>-0.28577180000000002</v>
      </c>
      <c r="U6381">
        <v>-0.92443850000000005</v>
      </c>
      <c r="V6381">
        <v>-0.19597200000000001</v>
      </c>
      <c r="W6381">
        <v>0.16894770000000001</v>
      </c>
      <c r="X6381">
        <v>0.96594599999999997</v>
      </c>
      <c r="Y6381">
        <v>-0.3152199</v>
      </c>
      <c r="Z6381">
        <v>5.8843779999999998E-2</v>
      </c>
      <c r="AA6381">
        <v>0.94719260000000005</v>
      </c>
      <c r="AB6381">
        <v>24</v>
      </c>
      <c r="AC6381">
        <v>11.4664999999999</v>
      </c>
      <c r="AD6381">
        <v>-1.1179485890880001</v>
      </c>
      <c r="AE6381">
        <v>-3.5108899999999998</v>
      </c>
      <c r="AF6381">
        <v>-3.8315555882210002</v>
      </c>
      <c r="AG6381">
        <v>-1.1179485890880001</v>
      </c>
      <c r="AH6381">
        <v>11.254276822639399</v>
      </c>
      <c r="AI6381">
        <v>95.372016906114098</v>
      </c>
      <c r="AJ6381">
        <v>108.80131047548601</v>
      </c>
      <c r="AK6381">
        <v>11.941079267556599</v>
      </c>
      <c r="AL6381">
        <v>80.273358367087894</v>
      </c>
      <c r="AM6381">
        <v>101.46855935625101</v>
      </c>
      <c r="AN6381">
        <v>1.00000001251764</v>
      </c>
    </row>
    <row r="6382" spans="1:40" x14ac:dyDescent="0.25">
      <c r="A6382" t="str">
        <f>"20190304155232063"</f>
        <v>20190304155232063</v>
      </c>
      <c r="B6382" t="str">
        <f>"1551685952053595"</f>
        <v>1551685952053595</v>
      </c>
      <c r="C6382" t="s">
        <v>40</v>
      </c>
      <c r="D6382">
        <v>4.9154920000000004</v>
      </c>
      <c r="E6382">
        <v>0.44579289999999999</v>
      </c>
      <c r="F6382" t="s">
        <v>41</v>
      </c>
      <c r="G6382">
        <v>-279.85399999999998</v>
      </c>
      <c r="H6382" s="1">
        <v>-3.4767239999999999E-6</v>
      </c>
      <c r="I6382">
        <v>-61.026429999999998</v>
      </c>
      <c r="J6382">
        <v>-291.4314</v>
      </c>
      <c r="K6382">
        <v>1.117923</v>
      </c>
      <c r="L6382">
        <v>-57.596040000000002</v>
      </c>
      <c r="M6382">
        <v>0.817241</v>
      </c>
      <c r="N6382">
        <v>-1.4932630000000001E-2</v>
      </c>
      <c r="O6382">
        <v>-0.57610269999999997</v>
      </c>
      <c r="P6382">
        <v>0.90253490000000003</v>
      </c>
      <c r="Q6382">
        <v>0.15861639999999999</v>
      </c>
      <c r="R6382">
        <v>-0.40033950000000001</v>
      </c>
      <c r="S6382">
        <v>2.9790040000000002</v>
      </c>
      <c r="T6382">
        <v>-0.2829198</v>
      </c>
      <c r="U6382">
        <v>-0.89962770000000003</v>
      </c>
      <c r="V6382">
        <v>-0.1958503</v>
      </c>
      <c r="W6382">
        <v>0.16959959999999999</v>
      </c>
      <c r="X6382">
        <v>0.96585639999999995</v>
      </c>
      <c r="Y6382">
        <v>-0.31247909999999901</v>
      </c>
      <c r="Z6382">
        <v>5.750181E-2</v>
      </c>
      <c r="AA6382">
        <v>0.94818259999999999</v>
      </c>
      <c r="AB6382">
        <v>24</v>
      </c>
      <c r="AC6382">
        <v>11.5773999999999</v>
      </c>
      <c r="AD6382">
        <v>-1.117926476724</v>
      </c>
      <c r="AE6382">
        <v>-3.4303900000000001</v>
      </c>
      <c r="AF6382">
        <v>-3.8338846653226102</v>
      </c>
      <c r="AG6382">
        <v>-1.117926476724</v>
      </c>
      <c r="AH6382">
        <v>11.341840639529501</v>
      </c>
      <c r="AI6382">
        <v>95.334586098062701</v>
      </c>
      <c r="AJ6382">
        <v>108.67680619137499</v>
      </c>
      <c r="AK6382">
        <v>12.0243827420305</v>
      </c>
      <c r="AL6382">
        <v>80.235459974068206</v>
      </c>
      <c r="AM6382">
        <v>101.462660966038</v>
      </c>
      <c r="AN6382">
        <v>0.99999997487560399</v>
      </c>
    </row>
    <row r="6383" spans="1:40" x14ac:dyDescent="0.25">
      <c r="A6383" t="str">
        <f>"20190304155232076"</f>
        <v>20190304155232076</v>
      </c>
      <c r="B6383" t="str">
        <f>"1551685952073114"</f>
        <v>1551685952073114</v>
      </c>
      <c r="C6383" t="s">
        <v>40</v>
      </c>
      <c r="D6383">
        <v>4.9274269999999998</v>
      </c>
      <c r="E6383">
        <v>0.44625480000000001</v>
      </c>
      <c r="F6383" t="s">
        <v>41</v>
      </c>
      <c r="G6383">
        <v>-279.48669999999998</v>
      </c>
      <c r="H6383" s="1">
        <v>-3.3577099999999902E-6</v>
      </c>
      <c r="I6383">
        <v>-61.071080000000002</v>
      </c>
      <c r="J6383">
        <v>-291.31720000000001</v>
      </c>
      <c r="K6383">
        <v>1.1179129999999999</v>
      </c>
      <c r="L6383">
        <v>-57.66769</v>
      </c>
      <c r="M6383">
        <v>0.82100869999999904</v>
      </c>
      <c r="N6383">
        <v>-1.4929120000000001E-2</v>
      </c>
      <c r="O6383">
        <v>-0.57072040000000002</v>
      </c>
      <c r="P6383">
        <v>0.90500020000000003</v>
      </c>
      <c r="Q6383">
        <v>0.1584779</v>
      </c>
      <c r="R6383">
        <v>-0.39479049999999999</v>
      </c>
      <c r="S6383">
        <v>2.9875790000000002</v>
      </c>
      <c r="T6383">
        <v>-0.27961390000000003</v>
      </c>
      <c r="U6383">
        <v>-0.86917109999999997</v>
      </c>
      <c r="V6383">
        <v>-0.19543920000000001</v>
      </c>
      <c r="W6383">
        <v>0.16947219999999999</v>
      </c>
      <c r="X6383">
        <v>0.96596210000000005</v>
      </c>
      <c r="Y6383">
        <v>-0.31594709999999998</v>
      </c>
      <c r="Z6383">
        <v>5.6588769999999997E-2</v>
      </c>
      <c r="AA6383">
        <v>0.94708769999999998</v>
      </c>
      <c r="AB6383">
        <v>24</v>
      </c>
      <c r="AC6383">
        <v>11.830500000000001</v>
      </c>
      <c r="AD6383">
        <v>-1.11791635771</v>
      </c>
      <c r="AE6383">
        <v>-3.4033899999999999</v>
      </c>
      <c r="AF6383">
        <v>-3.9257615320349499</v>
      </c>
      <c r="AG6383">
        <v>-1.11791635771</v>
      </c>
      <c r="AH6383">
        <v>11.561284457543</v>
      </c>
      <c r="AI6383">
        <v>95.2314304873765</v>
      </c>
      <c r="AJ6383">
        <v>108.755484711017</v>
      </c>
      <c r="AK6383">
        <v>12.260694878246801</v>
      </c>
      <c r="AL6383">
        <v>80.242867347619196</v>
      </c>
      <c r="AM6383">
        <v>101.438016454657</v>
      </c>
      <c r="AN6383">
        <v>1.0000000430529401</v>
      </c>
    </row>
    <row r="6384" spans="1:40" x14ac:dyDescent="0.25">
      <c r="A6384" t="str">
        <f>"20190304155232089"</f>
        <v>20190304155232089</v>
      </c>
      <c r="B6384" t="str">
        <f>"1551685952083850"</f>
        <v>1551685952083850</v>
      </c>
      <c r="C6384" t="s">
        <v>40</v>
      </c>
      <c r="D6384">
        <v>4.8963789999999996</v>
      </c>
      <c r="E6384">
        <v>0.44655590000000001</v>
      </c>
      <c r="F6384" t="s">
        <v>41</v>
      </c>
      <c r="G6384">
        <v>-279.36290000000002</v>
      </c>
      <c r="H6384" s="1">
        <v>-3.3170140000000001E-6</v>
      </c>
      <c r="I6384">
        <v>-61.081670000000003</v>
      </c>
      <c r="J6384">
        <v>-291.2002</v>
      </c>
      <c r="K6384">
        <v>1.117899</v>
      </c>
      <c r="L6384">
        <v>-57.740389999999998</v>
      </c>
      <c r="M6384">
        <v>0.824824</v>
      </c>
      <c r="N6384">
        <v>-1.4925559999999999E-2</v>
      </c>
      <c r="O6384">
        <v>-0.56519259999999905</v>
      </c>
      <c r="P6384">
        <v>0.90756769999999998</v>
      </c>
      <c r="Q6384">
        <v>0.15844559999999999</v>
      </c>
      <c r="R6384">
        <v>-0.3888646</v>
      </c>
      <c r="S6384">
        <v>2.9912109999999998</v>
      </c>
      <c r="T6384">
        <v>-0.27972599999999997</v>
      </c>
      <c r="U6384">
        <v>-0.85424800000000001</v>
      </c>
      <c r="V6384">
        <v>-0.1952632</v>
      </c>
      <c r="W6384">
        <v>0.16944679999999901</v>
      </c>
      <c r="X6384">
        <v>0.96600209999999997</v>
      </c>
      <c r="Y6384">
        <v>-0.31426359999999998</v>
      </c>
      <c r="Z6384">
        <v>5.6201769999999998E-2</v>
      </c>
      <c r="AA6384">
        <v>0.94767069999999998</v>
      </c>
      <c r="AB6384">
        <v>24</v>
      </c>
      <c r="AC6384">
        <v>11.8372999999999</v>
      </c>
      <c r="AD6384">
        <v>-1.1179023170139999</v>
      </c>
      <c r="AE6384">
        <v>-3.34127999999999</v>
      </c>
      <c r="AF6384">
        <v>-3.9025870308882702</v>
      </c>
      <c r="AG6384">
        <v>-1.1179023170139999</v>
      </c>
      <c r="AH6384">
        <v>11.557978145027199</v>
      </c>
      <c r="AI6384">
        <v>95.235870250263503</v>
      </c>
      <c r="AJ6384">
        <v>108.657412831873</v>
      </c>
      <c r="AK6384">
        <v>12.250173465097101</v>
      </c>
      <c r="AL6384">
        <v>80.244343556188298</v>
      </c>
      <c r="AM6384">
        <v>101.427526488962</v>
      </c>
      <c r="AN6384">
        <v>0.99999999625444502</v>
      </c>
    </row>
    <row r="6385" spans="1:40" x14ac:dyDescent="0.25">
      <c r="A6385" t="str">
        <f>"20190304155232104"</f>
        <v>20190304155232104</v>
      </c>
      <c r="B6385" t="str">
        <f>"1551685952093610"</f>
        <v>1551685952093610</v>
      </c>
      <c r="C6385" t="s">
        <v>40</v>
      </c>
      <c r="D6385">
        <v>4.9259360000000001</v>
      </c>
      <c r="E6385">
        <v>0.4467776</v>
      </c>
      <c r="F6385" t="s">
        <v>41</v>
      </c>
      <c r="G6385">
        <v>-279.21609999999998</v>
      </c>
      <c r="H6385" s="1">
        <v>-3.2645080000000001E-6</v>
      </c>
      <c r="I6385">
        <v>-61.087649999999996</v>
      </c>
      <c r="J6385">
        <v>-291.06810000000002</v>
      </c>
      <c r="K6385">
        <v>1.117877</v>
      </c>
      <c r="L6385">
        <v>-57.820889999999999</v>
      </c>
      <c r="M6385">
        <v>0.82906279999999999</v>
      </c>
      <c r="N6385">
        <v>-1.4921510000000001E-2</v>
      </c>
      <c r="O6385">
        <v>-0.55895669999999897</v>
      </c>
      <c r="P6385">
        <v>0.91023889999999996</v>
      </c>
      <c r="Q6385">
        <v>0.15861810000000001</v>
      </c>
      <c r="R6385">
        <v>-0.38249949999999999</v>
      </c>
      <c r="S6385">
        <v>2.995819</v>
      </c>
      <c r="T6385">
        <v>-0.27945690000000001</v>
      </c>
      <c r="U6385">
        <v>-0.83676149999999905</v>
      </c>
      <c r="V6385">
        <v>-0.19472200000000001</v>
      </c>
      <c r="W6385">
        <v>0.1696329</v>
      </c>
      <c r="X6385">
        <v>0.96607869999999996</v>
      </c>
      <c r="Y6385">
        <v>-0.31264199999999998</v>
      </c>
      <c r="Z6385">
        <v>5.5679979999999997E-2</v>
      </c>
      <c r="AA6385">
        <v>0.94823769999999996</v>
      </c>
      <c r="AB6385">
        <v>24</v>
      </c>
      <c r="AC6385">
        <v>11.852</v>
      </c>
      <c r="AD6385">
        <v>-1.1178802645079999</v>
      </c>
      <c r="AE6385">
        <v>-3.2667599999999899</v>
      </c>
      <c r="AF6385">
        <v>-3.8847216361420198</v>
      </c>
      <c r="AG6385">
        <v>-1.1178802645079999</v>
      </c>
      <c r="AH6385">
        <v>11.557764006177299</v>
      </c>
      <c r="AI6385">
        <v>95.238289709076</v>
      </c>
      <c r="AJ6385">
        <v>108.578196693032</v>
      </c>
      <c r="AK6385">
        <v>12.244289579170101</v>
      </c>
      <c r="AL6385">
        <v>80.2335243809883</v>
      </c>
      <c r="AM6385">
        <v>101.395803411944</v>
      </c>
      <c r="AN6385">
        <v>1.00000001632004</v>
      </c>
    </row>
    <row r="6386" spans="1:40" x14ac:dyDescent="0.25">
      <c r="A6386" t="str">
        <f>"20190304155232118"</f>
        <v>20190304155232118</v>
      </c>
      <c r="B6386" t="str">
        <f>"1551685952113129"</f>
        <v>1551685952113129</v>
      </c>
      <c r="C6386" t="s">
        <v>40</v>
      </c>
      <c r="D6386">
        <v>4.8816199999999998</v>
      </c>
      <c r="E6386">
        <v>0.44730890000000001</v>
      </c>
      <c r="F6386" t="s">
        <v>41</v>
      </c>
      <c r="G6386">
        <v>-279.0204</v>
      </c>
      <c r="H6386" s="1">
        <v>-3.1837519999999999E-6</v>
      </c>
      <c r="I6386">
        <v>-61.102040000000002</v>
      </c>
      <c r="J6386">
        <v>-290.93849999999998</v>
      </c>
      <c r="K6386">
        <v>1.117861</v>
      </c>
      <c r="L6386">
        <v>-57.898409999999998</v>
      </c>
      <c r="M6386">
        <v>0.83315459999999997</v>
      </c>
      <c r="N6386">
        <v>-1.4917390000000001E-2</v>
      </c>
      <c r="O6386">
        <v>-0.55283899999999997</v>
      </c>
      <c r="P6386">
        <v>0.91271190000000002</v>
      </c>
      <c r="Q6386">
        <v>0.15879740000000001</v>
      </c>
      <c r="R6386">
        <v>-0.37648419999999999</v>
      </c>
      <c r="S6386">
        <v>3.0009160000000001</v>
      </c>
      <c r="T6386">
        <v>-0.27844930000000001</v>
      </c>
      <c r="U6386">
        <v>-0.81729130000000005</v>
      </c>
      <c r="V6386">
        <v>-0.19396350000000001</v>
      </c>
      <c r="W6386">
        <v>0.16983119999999999</v>
      </c>
      <c r="X6386">
        <v>0.96619639999999996</v>
      </c>
      <c r="Y6386">
        <v>-0.31182650000000001</v>
      </c>
      <c r="Z6386">
        <v>5.5039789999999998E-2</v>
      </c>
      <c r="AA6386">
        <v>0.94854349999999998</v>
      </c>
      <c r="AB6386">
        <v>24</v>
      </c>
      <c r="AC6386">
        <v>11.9180999999999</v>
      </c>
      <c r="AD6386">
        <v>-1.117864183752</v>
      </c>
      <c r="AE6386">
        <v>-3.20363</v>
      </c>
      <c r="AF6386">
        <v>-3.8882056719687599</v>
      </c>
      <c r="AG6386">
        <v>-1.117864183752</v>
      </c>
      <c r="AH6386">
        <v>11.606782249993399</v>
      </c>
      <c r="AI6386">
        <v>95.217966290607194</v>
      </c>
      <c r="AJ6386">
        <v>108.520554853703</v>
      </c>
      <c r="AK6386">
        <v>12.291670264028699</v>
      </c>
      <c r="AL6386">
        <v>80.221994982053801</v>
      </c>
      <c r="AM6386">
        <v>101.351221222581</v>
      </c>
      <c r="AN6386">
        <v>0.99999997959932396</v>
      </c>
    </row>
    <row r="6387" spans="1:40" x14ac:dyDescent="0.25">
      <c r="A6387" t="str">
        <f>"20190304155232141"</f>
        <v>20190304155232141</v>
      </c>
      <c r="B6387" t="str">
        <f>"1551685952133581"</f>
        <v>1551685952133581</v>
      </c>
      <c r="C6387" t="s">
        <v>40</v>
      </c>
      <c r="D6387">
        <v>4.9001939999999999</v>
      </c>
      <c r="E6387">
        <v>0.44805669999999997</v>
      </c>
      <c r="F6387" t="s">
        <v>41</v>
      </c>
      <c r="G6387">
        <v>-278.82740000000001</v>
      </c>
      <c r="H6387" s="1">
        <v>-3.1069240000000001E-6</v>
      </c>
      <c r="I6387">
        <v>-61.129010000000001</v>
      </c>
      <c r="J6387">
        <v>-290.74009999999998</v>
      </c>
      <c r="K6387">
        <v>1.1178360000000001</v>
      </c>
      <c r="L6387">
        <v>-58.014859999999999</v>
      </c>
      <c r="M6387">
        <v>0.8392944</v>
      </c>
      <c r="N6387">
        <v>-1.491055E-2</v>
      </c>
      <c r="O6387">
        <v>-0.54347259999999997</v>
      </c>
      <c r="P6387">
        <v>0.91666049999999999</v>
      </c>
      <c r="Q6387">
        <v>0.1591815</v>
      </c>
      <c r="R6387">
        <v>-0.36659890000000001</v>
      </c>
      <c r="S6387">
        <v>3.0045470000000001</v>
      </c>
      <c r="T6387">
        <v>-0.2773215</v>
      </c>
      <c r="U6387">
        <v>-0.80145259999999996</v>
      </c>
      <c r="V6387">
        <v>-0.19354080000000001</v>
      </c>
      <c r="W6387">
        <v>0.17022970000000001</v>
      </c>
      <c r="X6387">
        <v>0.96621109999999999</v>
      </c>
      <c r="Y6387">
        <v>-0.30620249999999999</v>
      </c>
      <c r="Z6387">
        <v>5.3951810000000003E-2</v>
      </c>
      <c r="AA6387">
        <v>0.95043639999999996</v>
      </c>
      <c r="AB6387">
        <v>24</v>
      </c>
      <c r="AC6387">
        <v>11.9126999999999</v>
      </c>
      <c r="AD6387">
        <v>-1.1178391069239999</v>
      </c>
      <c r="AE6387">
        <v>-3.11415</v>
      </c>
      <c r="AF6387">
        <v>-3.8294050846362699</v>
      </c>
      <c r="AG6387">
        <v>-1.1178391069239999</v>
      </c>
      <c r="AH6387">
        <v>11.596440838820801</v>
      </c>
      <c r="AI6387">
        <v>95.229904445044696</v>
      </c>
      <c r="AJ6387">
        <v>108.27438286429999</v>
      </c>
      <c r="AK6387">
        <v>12.263415009673199</v>
      </c>
      <c r="AL6387">
        <v>80.1988258408402</v>
      </c>
      <c r="AM6387">
        <v>101.326956103703</v>
      </c>
      <c r="AN6387">
        <v>1.0000000408949601</v>
      </c>
    </row>
    <row r="6388" spans="1:40" x14ac:dyDescent="0.25">
      <c r="A6388" t="str">
        <f>"20190304155232152"</f>
        <v>20190304155232152</v>
      </c>
      <c r="B6388" t="str">
        <f>"1551685952143341"</f>
        <v>1551685952143341</v>
      </c>
      <c r="C6388" t="s">
        <v>40</v>
      </c>
      <c r="D6388">
        <v>4.9207789999999996</v>
      </c>
      <c r="E6388">
        <v>0.4483895</v>
      </c>
      <c r="F6388" t="s">
        <v>41</v>
      </c>
      <c r="G6388">
        <v>-278.60829999999999</v>
      </c>
      <c r="H6388" s="1">
        <v>-3.0148290000000001E-6</v>
      </c>
      <c r="I6388">
        <v>-61.137450000000001</v>
      </c>
      <c r="J6388">
        <v>-290.63810000000001</v>
      </c>
      <c r="K6388">
        <v>1.1178239999999999</v>
      </c>
      <c r="L6388">
        <v>-58.073610000000002</v>
      </c>
      <c r="M6388">
        <v>0.84239299999999995</v>
      </c>
      <c r="N6388">
        <v>-1.49067E-2</v>
      </c>
      <c r="O6388">
        <v>-0.5386571</v>
      </c>
      <c r="P6388">
        <v>0.91884489999999996</v>
      </c>
      <c r="Q6388">
        <v>0.15900120000000001</v>
      </c>
      <c r="R6388">
        <v>-0.3611683</v>
      </c>
      <c r="S6388">
        <v>3.0109859999999999</v>
      </c>
      <c r="T6388">
        <v>-0.27743579999999901</v>
      </c>
      <c r="U6388">
        <v>-0.77499390000000001</v>
      </c>
      <c r="V6388">
        <v>-0.1937326</v>
      </c>
      <c r="W6388">
        <v>0.17004929999999999</v>
      </c>
      <c r="X6388">
        <v>0.96620439999999996</v>
      </c>
      <c r="Y6388">
        <v>-0.30907069999999998</v>
      </c>
      <c r="Z6388">
        <v>5.3816830000000003E-2</v>
      </c>
      <c r="AA6388">
        <v>0.9495152</v>
      </c>
      <c r="AB6388">
        <v>24</v>
      </c>
      <c r="AC6388">
        <v>12.0298</v>
      </c>
      <c r="AD6388">
        <v>-1.1178270148289999</v>
      </c>
      <c r="AE6388">
        <v>-3.0638399999999999</v>
      </c>
      <c r="AF6388">
        <v>-3.8680499006259401</v>
      </c>
      <c r="AG6388">
        <v>-1.1178270148289999</v>
      </c>
      <c r="AH6388">
        <v>11.6906966933823</v>
      </c>
      <c r="AI6388">
        <v>95.186924906142707</v>
      </c>
      <c r="AJ6388">
        <v>108.307605439459</v>
      </c>
      <c r="AK6388">
        <v>12.364616308057199</v>
      </c>
      <c r="AL6388">
        <v>80.209314660792302</v>
      </c>
      <c r="AM6388">
        <v>101.337967155011</v>
      </c>
      <c r="AN6388">
        <v>1.0000000136563001</v>
      </c>
    </row>
    <row r="6389" spans="1:40" x14ac:dyDescent="0.25">
      <c r="A6389" t="str">
        <f>"20190304155232163"</f>
        <v>20190304155232163</v>
      </c>
      <c r="B6389" t="str">
        <f>"1551685952153102"</f>
        <v>1551685952153102</v>
      </c>
      <c r="C6389" t="s">
        <v>40</v>
      </c>
      <c r="D6389">
        <v>4.8653060000000004</v>
      </c>
      <c r="E6389">
        <v>0.44872909999999999</v>
      </c>
      <c r="F6389" t="s">
        <v>41</v>
      </c>
      <c r="G6389">
        <v>-278.65030000000002</v>
      </c>
      <c r="H6389" s="1">
        <v>-3.0235719999999998E-6</v>
      </c>
      <c r="I6389">
        <v>-61.095829999999999</v>
      </c>
      <c r="J6389">
        <v>-290.5317</v>
      </c>
      <c r="K6389">
        <v>1.117804</v>
      </c>
      <c r="L6389">
        <v>-58.134030000000003</v>
      </c>
      <c r="M6389">
        <v>0.84558060000000002</v>
      </c>
      <c r="N6389">
        <v>-1.4902510000000001E-2</v>
      </c>
      <c r="O6389">
        <v>-0.5336398</v>
      </c>
      <c r="P6389">
        <v>0.92093780000000003</v>
      </c>
      <c r="Q6389">
        <v>0.15897410000000001</v>
      </c>
      <c r="R6389">
        <v>-0.35581020000000002</v>
      </c>
      <c r="S6389">
        <v>3.0148619999999999</v>
      </c>
      <c r="T6389">
        <v>-0.28112690000000001</v>
      </c>
      <c r="U6389">
        <v>-0.76007080000000005</v>
      </c>
      <c r="V6389">
        <v>-0.1936107</v>
      </c>
      <c r="W6389">
        <v>0.1700295</v>
      </c>
      <c r="X6389">
        <v>0.96623230000000004</v>
      </c>
      <c r="Y6389">
        <v>-0.30806840000000002</v>
      </c>
      <c r="Z6389">
        <v>5.4237689999999998E-2</v>
      </c>
      <c r="AA6389">
        <v>0.94981689999999996</v>
      </c>
      <c r="AB6389">
        <v>24</v>
      </c>
      <c r="AC6389">
        <v>11.8813999999999</v>
      </c>
      <c r="AD6389">
        <v>-1.1178070235719999</v>
      </c>
      <c r="AE6389">
        <v>-2.9618000000000002</v>
      </c>
      <c r="AF6389">
        <v>-3.8046677926675199</v>
      </c>
      <c r="AG6389">
        <v>-1.1178070235719999</v>
      </c>
      <c r="AH6389">
        <v>11.532403771474799</v>
      </c>
      <c r="AI6389">
        <v>95.259117204285999</v>
      </c>
      <c r="AJ6389">
        <v>108.258295453331</v>
      </c>
      <c r="AK6389">
        <v>12.1951353540186</v>
      </c>
      <c r="AL6389">
        <v>80.210465705557397</v>
      </c>
      <c r="AM6389">
        <v>101.330699001322</v>
      </c>
      <c r="AN6389">
        <v>0.999999995794015</v>
      </c>
    </row>
    <row r="6390" spans="1:40" x14ac:dyDescent="0.25">
      <c r="A6390" t="str">
        <f>"20190304155232175"</f>
        <v>20190304155232175</v>
      </c>
      <c r="B6390" t="str">
        <f>"1551685952173597"</f>
        <v>1551685952173597</v>
      </c>
      <c r="C6390" t="s">
        <v>40</v>
      </c>
      <c r="D6390">
        <v>4.8848250000000002</v>
      </c>
      <c r="E6390">
        <v>0.4494127</v>
      </c>
      <c r="F6390" t="s">
        <v>41</v>
      </c>
      <c r="G6390">
        <v>-278.54509999999999</v>
      </c>
      <c r="H6390" s="1">
        <v>-2.9782909999999999E-6</v>
      </c>
      <c r="I6390">
        <v>-61.09498</v>
      </c>
      <c r="J6390">
        <v>-290.4264</v>
      </c>
      <c r="K6390">
        <v>1.117785</v>
      </c>
      <c r="L6390">
        <v>-58.192900000000002</v>
      </c>
      <c r="M6390">
        <v>0.84869150000000004</v>
      </c>
      <c r="N6390">
        <v>-1.489793E-2</v>
      </c>
      <c r="O6390">
        <v>-0.52867839999999999</v>
      </c>
      <c r="P6390">
        <v>0.92302099999999998</v>
      </c>
      <c r="Q6390">
        <v>0.15918840000000001</v>
      </c>
      <c r="R6390">
        <v>-0.35027320000000001</v>
      </c>
      <c r="S6390">
        <v>3.0181269999999998</v>
      </c>
      <c r="T6390">
        <v>-0.28145550000000003</v>
      </c>
      <c r="U6390">
        <v>-0.7455444</v>
      </c>
      <c r="V6390">
        <v>-0.19373099999999999</v>
      </c>
      <c r="W6390">
        <v>0.17024520000000001</v>
      </c>
      <c r="X6390">
        <v>0.96617019999999998</v>
      </c>
      <c r="Y6390">
        <v>-0.30705500000000002</v>
      </c>
      <c r="Z6390">
        <v>5.3945409999999999E-2</v>
      </c>
      <c r="AA6390">
        <v>0.95016160000000005</v>
      </c>
      <c r="AB6390">
        <v>24</v>
      </c>
      <c r="AC6390">
        <v>11.8813</v>
      </c>
      <c r="AD6390">
        <v>-1.1177879782910001</v>
      </c>
      <c r="AE6390">
        <v>-2.9020800000000002</v>
      </c>
      <c r="AF6390">
        <v>-3.7872065564108102</v>
      </c>
      <c r="AG6390">
        <v>-1.1177879782910001</v>
      </c>
      <c r="AH6390">
        <v>11.5228680520017</v>
      </c>
      <c r="AI6390">
        <v>95.265287752099397</v>
      </c>
      <c r="AJ6390">
        <v>108.19407795651</v>
      </c>
      <c r="AK6390">
        <v>12.1806761556645</v>
      </c>
      <c r="AL6390">
        <v>80.197924116224399</v>
      </c>
      <c r="AM6390">
        <v>101.338266879017</v>
      </c>
      <c r="AN6390">
        <v>0.99999999192603894</v>
      </c>
    </row>
    <row r="6391" spans="1:40" x14ac:dyDescent="0.25">
      <c r="A6391" t="str">
        <f>"20190304155232189"</f>
        <v>20190304155232189</v>
      </c>
      <c r="B6391" t="str">
        <f>"1551685952183358"</f>
        <v>1551685952183358</v>
      </c>
      <c r="C6391" t="s">
        <v>40</v>
      </c>
      <c r="D6391">
        <v>4.87113</v>
      </c>
      <c r="E6391">
        <v>0.44974730000000002</v>
      </c>
      <c r="F6391" t="s">
        <v>41</v>
      </c>
      <c r="G6391">
        <v>-278.38319999999999</v>
      </c>
      <c r="H6391" s="1">
        <v>-2.9130019999999999E-6</v>
      </c>
      <c r="I6391">
        <v>-61.11374</v>
      </c>
      <c r="J6391">
        <v>-290.31439999999998</v>
      </c>
      <c r="K6391">
        <v>1.117764</v>
      </c>
      <c r="L6391">
        <v>-58.254969999999901</v>
      </c>
      <c r="M6391">
        <v>0.85195739999999998</v>
      </c>
      <c r="N6391">
        <v>-1.489303E-2</v>
      </c>
      <c r="O6391">
        <v>-0.52339939999999996</v>
      </c>
      <c r="P6391">
        <v>0.925064</v>
      </c>
      <c r="Q6391">
        <v>0.15937479999999901</v>
      </c>
      <c r="R6391">
        <v>-0.34475600000000001</v>
      </c>
      <c r="S6391">
        <v>3.0205380000000002</v>
      </c>
      <c r="T6391">
        <v>-0.28035179999999998</v>
      </c>
      <c r="U6391">
        <v>-0.73257450000000002</v>
      </c>
      <c r="V6391">
        <v>-0.19347829999999999</v>
      </c>
      <c r="W6391">
        <v>0.17044119999999999</v>
      </c>
      <c r="X6391">
        <v>0.96618630000000005</v>
      </c>
      <c r="Y6391">
        <v>-0.3052165</v>
      </c>
      <c r="Z6391">
        <v>5.3297209999999998E-2</v>
      </c>
      <c r="AA6391">
        <v>0.95079029999999998</v>
      </c>
      <c r="AB6391">
        <v>24</v>
      </c>
      <c r="AC6391">
        <v>11.931199999999899</v>
      </c>
      <c r="AD6391">
        <v>-1.117766913002</v>
      </c>
      <c r="AE6391">
        <v>-2.8587699999999998</v>
      </c>
      <c r="AF6391">
        <v>-3.7782941546725501</v>
      </c>
      <c r="AG6391">
        <v>-1.117766913002</v>
      </c>
      <c r="AH6391">
        <v>11.5664409891613</v>
      </c>
      <c r="AI6391">
        <v>95.248566219825193</v>
      </c>
      <c r="AJ6391">
        <v>108.090146648778</v>
      </c>
      <c r="AK6391">
        <v>12.2191434538917</v>
      </c>
      <c r="AL6391">
        <v>80.186527767356907</v>
      </c>
      <c r="AM6391">
        <v>101.323675953332</v>
      </c>
      <c r="AN6391">
        <v>1.00000001076801</v>
      </c>
    </row>
    <row r="6392" spans="1:40" x14ac:dyDescent="0.25">
      <c r="A6392" t="str">
        <f>"20190304155232199"</f>
        <v>20190304155232199</v>
      </c>
      <c r="B6392" t="str">
        <f>"1551685952193117"</f>
        <v>1551685952193117</v>
      </c>
      <c r="C6392" t="s">
        <v>40</v>
      </c>
      <c r="D6392">
        <v>4.9031779999999996</v>
      </c>
      <c r="E6392">
        <v>0.45018599999999998</v>
      </c>
      <c r="F6392" t="s">
        <v>41</v>
      </c>
      <c r="G6392">
        <v>-278.23930000000001</v>
      </c>
      <c r="H6392" s="1">
        <v>-2.852462E-6</v>
      </c>
      <c r="I6392">
        <v>-61.119199999999999</v>
      </c>
      <c r="J6392">
        <v>-290.20479999999998</v>
      </c>
      <c r="K6392">
        <v>1.1177440000000001</v>
      </c>
      <c r="L6392">
        <v>-58.314390000000003</v>
      </c>
      <c r="M6392">
        <v>0.85509969999999902</v>
      </c>
      <c r="N6392">
        <v>-1.4887829999999999E-2</v>
      </c>
      <c r="O6392">
        <v>-0.51824959999999998</v>
      </c>
      <c r="P6392">
        <v>0.92719879999999999</v>
      </c>
      <c r="Q6392">
        <v>0.1591292</v>
      </c>
      <c r="R6392">
        <v>-0.33908700000000003</v>
      </c>
      <c r="S6392">
        <v>3.0239560000000001</v>
      </c>
      <c r="T6392">
        <v>-0.27992109999999998</v>
      </c>
      <c r="U6392">
        <v>-0.71728519999999996</v>
      </c>
      <c r="V6392">
        <v>-0.19357089999999999</v>
      </c>
      <c r="W6392">
        <v>0.17020009999999999</v>
      </c>
      <c r="X6392">
        <v>0.96621020000000002</v>
      </c>
      <c r="Y6392">
        <v>-0.30429010000000001</v>
      </c>
      <c r="Z6392">
        <v>5.2834510000000001E-2</v>
      </c>
      <c r="AA6392">
        <v>0.95111299999999999</v>
      </c>
      <c r="AB6392">
        <v>24</v>
      </c>
      <c r="AC6392">
        <v>11.965499999999899</v>
      </c>
      <c r="AD6392">
        <v>-1.117746852462</v>
      </c>
      <c r="AE6392">
        <v>-2.80480999999999</v>
      </c>
      <c r="AF6392">
        <v>-3.7719449189779302</v>
      </c>
      <c r="AG6392">
        <v>-1.117746852462</v>
      </c>
      <c r="AH6392">
        <v>11.590708751351499</v>
      </c>
      <c r="AI6392">
        <v>95.239435894935895</v>
      </c>
      <c r="AJ6392">
        <v>108.026355430431</v>
      </c>
      <c r="AK6392">
        <v>12.240157509470601</v>
      </c>
      <c r="AL6392">
        <v>80.200546100798604</v>
      </c>
      <c r="AM6392">
        <v>101.32868243148199</v>
      </c>
      <c r="AN6392">
        <v>0.99999995897542904</v>
      </c>
    </row>
    <row r="6393" spans="1:40" x14ac:dyDescent="0.25">
      <c r="A6393" t="str">
        <f>"20190304155232212"</f>
        <v>20190304155232212</v>
      </c>
      <c r="B6393" t="str">
        <f>"1551685952203854"</f>
        <v>1551685952203854</v>
      </c>
      <c r="C6393" t="s">
        <v>40</v>
      </c>
      <c r="D6393">
        <v>4.8741510000000003</v>
      </c>
      <c r="E6393">
        <v>0.45058599999999999</v>
      </c>
      <c r="F6393" t="s">
        <v>41</v>
      </c>
      <c r="G6393">
        <v>-278.13409999999999</v>
      </c>
      <c r="H6393" s="1">
        <v>-2.8059819999999998E-6</v>
      </c>
      <c r="I6393">
        <v>-61.113140000000001</v>
      </c>
      <c r="J6393">
        <v>-290.09899999999999</v>
      </c>
      <c r="K6393">
        <v>1.1177189999999999</v>
      </c>
      <c r="L6393">
        <v>-58.371250000000003</v>
      </c>
      <c r="M6393">
        <v>0.85809269999999904</v>
      </c>
      <c r="N6393">
        <v>-1.488272E-2</v>
      </c>
      <c r="O6393">
        <v>-0.51327939999999905</v>
      </c>
      <c r="P6393">
        <v>0.9291606</v>
      </c>
      <c r="Q6393">
        <v>0.15928589999999901</v>
      </c>
      <c r="R6393">
        <v>-0.333599599999999</v>
      </c>
      <c r="S6393">
        <v>3.0269780000000002</v>
      </c>
      <c r="T6393">
        <v>-0.28029809999999999</v>
      </c>
      <c r="U6393">
        <v>-0.70184329999999995</v>
      </c>
      <c r="V6393">
        <v>-0.1936562</v>
      </c>
      <c r="W6393">
        <v>0.17036029999999999</v>
      </c>
      <c r="X6393">
        <v>0.96616489999999999</v>
      </c>
      <c r="Y6393">
        <v>-0.30358410000000002</v>
      </c>
      <c r="Z6393">
        <v>5.2567780000000001E-2</v>
      </c>
      <c r="AA6393">
        <v>0.95135340000000002</v>
      </c>
      <c r="AB6393">
        <v>24</v>
      </c>
      <c r="AC6393">
        <v>11.9649</v>
      </c>
      <c r="AD6393">
        <v>-1.117721805982</v>
      </c>
      <c r="AE6393">
        <v>-2.7418899999999899</v>
      </c>
      <c r="AF6393">
        <v>-3.75780297537304</v>
      </c>
      <c r="AG6393">
        <v>-1.117721805982</v>
      </c>
      <c r="AH6393">
        <v>11.579630408770701</v>
      </c>
      <c r="AI6393">
        <v>95.245698715264098</v>
      </c>
      <c r="AJ6393">
        <v>107.97919985852</v>
      </c>
      <c r="AK6393">
        <v>12.2253108607109</v>
      </c>
      <c r="AL6393">
        <v>80.191231535775401</v>
      </c>
      <c r="AM6393">
        <v>101.334063045734</v>
      </c>
      <c r="AN6393">
        <v>0.99999998480326902</v>
      </c>
    </row>
    <row r="6394" spans="1:40" x14ac:dyDescent="0.25">
      <c r="A6394" t="str">
        <f>"20190304155232223"</f>
        <v>20190304155232223</v>
      </c>
      <c r="B6394" t="str">
        <f>"1551685952213614"</f>
        <v>1551685952213614</v>
      </c>
      <c r="C6394" t="s">
        <v>40</v>
      </c>
      <c r="D6394">
        <v>4.8856120000000001</v>
      </c>
      <c r="E6394">
        <v>0.45095489999999999</v>
      </c>
      <c r="F6394" t="s">
        <v>41</v>
      </c>
      <c r="G6394">
        <v>-277.98099999999999</v>
      </c>
      <c r="H6394" s="1">
        <v>-2.7415689999999999E-6</v>
      </c>
      <c r="I6394">
        <v>-61.118749999999999</v>
      </c>
      <c r="J6394">
        <v>-289.99110000000002</v>
      </c>
      <c r="K6394">
        <v>1.117696</v>
      </c>
      <c r="L6394">
        <v>-58.428379999999997</v>
      </c>
      <c r="M6394">
        <v>0.8611008</v>
      </c>
      <c r="N6394">
        <v>-1.487718E-2</v>
      </c>
      <c r="O6394">
        <v>-0.50821660000000002</v>
      </c>
      <c r="P6394">
        <v>0.93109489999999995</v>
      </c>
      <c r="Q6394">
        <v>0.15907869999999999</v>
      </c>
      <c r="R6394">
        <v>-0.32826250000000001</v>
      </c>
      <c r="S6394">
        <v>3.0299680000000002</v>
      </c>
      <c r="T6394">
        <v>-0.27947349999999999</v>
      </c>
      <c r="U6394">
        <v>-0.68698119999999996</v>
      </c>
      <c r="V6394">
        <v>-0.19351360000000001</v>
      </c>
      <c r="W6394">
        <v>0.17016249999999999</v>
      </c>
      <c r="X6394">
        <v>0.96622839999999999</v>
      </c>
      <c r="Y6394">
        <v>-0.30264679999999999</v>
      </c>
      <c r="Z6394">
        <v>5.2031729999999998E-2</v>
      </c>
      <c r="AA6394">
        <v>0.95168149999999996</v>
      </c>
      <c r="AB6394">
        <v>24</v>
      </c>
      <c r="AC6394">
        <v>12.0101</v>
      </c>
      <c r="AD6394">
        <v>-1.1176987415690001</v>
      </c>
      <c r="AE6394">
        <v>-2.6903699999999899</v>
      </c>
      <c r="AF6394">
        <v>-3.7564919925696301</v>
      </c>
      <c r="AG6394">
        <v>-1.1176987415690001</v>
      </c>
      <c r="AH6394">
        <v>11.614707520019801</v>
      </c>
      <c r="AI6394">
        <v>95.231503910943403</v>
      </c>
      <c r="AJ6394">
        <v>107.922527371122</v>
      </c>
      <c r="AK6394">
        <v>12.2581366178857</v>
      </c>
      <c r="AL6394">
        <v>80.202733266786495</v>
      </c>
      <c r="AM6394">
        <v>101.32520783426899</v>
      </c>
      <c r="AN6394">
        <v>1.0000000553788799</v>
      </c>
    </row>
    <row r="6395" spans="1:40" x14ac:dyDescent="0.25">
      <c r="A6395" t="str">
        <f>"20190304155232242"</f>
        <v>20190304155232242</v>
      </c>
      <c r="B6395" t="str">
        <f>"1551685952233641"</f>
        <v>1551685952233641</v>
      </c>
      <c r="C6395" t="s">
        <v>40</v>
      </c>
      <c r="D6395">
        <v>5.1109220000000004</v>
      </c>
      <c r="E6395">
        <v>0.4516636</v>
      </c>
      <c r="F6395" t="s">
        <v>41</v>
      </c>
      <c r="G6395">
        <v>-277.87369999999999</v>
      </c>
      <c r="H6395" s="1">
        <v>-2.6943490000000001E-6</v>
      </c>
      <c r="I6395">
        <v>-61.113329999999998</v>
      </c>
      <c r="J6395">
        <v>-289.82319999999999</v>
      </c>
      <c r="K6395">
        <v>1.117658</v>
      </c>
      <c r="L6395">
        <v>-58.515659999999997</v>
      </c>
      <c r="M6395">
        <v>0.86569309999999999</v>
      </c>
      <c r="N6395">
        <v>-1.48678E-2</v>
      </c>
      <c r="O6395">
        <v>-0.50035450000000004</v>
      </c>
      <c r="P6395">
        <v>0.93416679999999996</v>
      </c>
      <c r="Q6395">
        <v>0.1585857</v>
      </c>
      <c r="R6395">
        <v>-0.31966119999999998</v>
      </c>
      <c r="S6395">
        <v>3.0328979999999999</v>
      </c>
      <c r="T6395">
        <v>-0.27975290000000003</v>
      </c>
      <c r="U6395">
        <v>-0.67202759999999995</v>
      </c>
      <c r="V6395">
        <v>-0.19364290000000001</v>
      </c>
      <c r="W6395">
        <v>0.169678</v>
      </c>
      <c r="X6395">
        <v>0.96628760000000002</v>
      </c>
      <c r="Y6395">
        <v>-0.298664599999999</v>
      </c>
      <c r="Z6395">
        <v>5.139167E-2</v>
      </c>
      <c r="AA6395">
        <v>0.95297339999999997</v>
      </c>
      <c r="AB6395">
        <v>24</v>
      </c>
      <c r="AC6395">
        <v>11.9495</v>
      </c>
      <c r="AD6395">
        <v>-1.117660694349</v>
      </c>
      <c r="AE6395">
        <v>-2.5976699999999999</v>
      </c>
      <c r="AF6395">
        <v>-3.6997076322928</v>
      </c>
      <c r="AG6395">
        <v>-1.117660694349</v>
      </c>
      <c r="AH6395">
        <v>11.549165848915999</v>
      </c>
      <c r="AI6395">
        <v>95.265552070483295</v>
      </c>
      <c r="AJ6395">
        <v>107.762556196625</v>
      </c>
      <c r="AK6395">
        <v>12.1786794767703</v>
      </c>
      <c r="AL6395">
        <v>80.230901786506706</v>
      </c>
      <c r="AM6395">
        <v>101.331902912771</v>
      </c>
      <c r="AN6395">
        <v>0.99999996115908396</v>
      </c>
    </row>
    <row r="6396" spans="1:40" x14ac:dyDescent="0.25">
      <c r="A6396" t="str">
        <f>"20190304155232264"</f>
        <v>20190304155232264</v>
      </c>
      <c r="B6396" t="str">
        <f>"1551685952253160"</f>
        <v>1551685952253160</v>
      </c>
      <c r="C6396" t="s">
        <v>40</v>
      </c>
      <c r="D6396">
        <v>4.7969010000000001</v>
      </c>
      <c r="E6396">
        <v>0.46460279999999998</v>
      </c>
      <c r="F6396" t="s">
        <v>41</v>
      </c>
      <c r="G6396">
        <v>-277.78620000000001</v>
      </c>
      <c r="H6396" s="1">
        <v>-2.6513159999999999E-6</v>
      </c>
      <c r="I6396">
        <v>-61.088720000000002</v>
      </c>
      <c r="J6396">
        <v>-289.6189</v>
      </c>
      <c r="K6396">
        <v>1.1176010000000001</v>
      </c>
      <c r="L6396">
        <v>-58.619349999999997</v>
      </c>
      <c r="M6396">
        <v>0.87113320000000005</v>
      </c>
      <c r="N6396">
        <v>-1.485595E-2</v>
      </c>
      <c r="O6396">
        <v>-0.49082219999999999</v>
      </c>
      <c r="P6396">
        <v>0.93760580000000004</v>
      </c>
      <c r="Q6396">
        <v>0.15873960000000001</v>
      </c>
      <c r="R6396">
        <v>-0.30935000000000001</v>
      </c>
      <c r="S6396">
        <v>3.03714</v>
      </c>
      <c r="T6396">
        <v>-0.28200589999999998</v>
      </c>
      <c r="U6396">
        <v>-0.649231</v>
      </c>
      <c r="V6396">
        <v>-0.19365019999999999</v>
      </c>
      <c r="W6396">
        <v>0.16984440000000001</v>
      </c>
      <c r="X6396">
        <v>0.96625689999999997</v>
      </c>
      <c r="Y6396">
        <v>-0.29529490000000003</v>
      </c>
      <c r="Z6396">
        <v>5.1065329999999999E-2</v>
      </c>
      <c r="AA6396">
        <v>0.95404049999999996</v>
      </c>
      <c r="AB6396">
        <v>23</v>
      </c>
      <c r="AC6396">
        <v>11.8326999999999</v>
      </c>
      <c r="AD6396">
        <v>-1.1176036513159999</v>
      </c>
      <c r="AE6396">
        <v>-2.4693699999999899</v>
      </c>
      <c r="AF6396">
        <v>-3.6260076761183901</v>
      </c>
      <c r="AG6396">
        <v>-1.1176036513159999</v>
      </c>
      <c r="AH6396">
        <v>11.423495140697</v>
      </c>
      <c r="AI6396">
        <v>95.327364022454802</v>
      </c>
      <c r="AJ6396">
        <v>107.610305452335</v>
      </c>
      <c r="AK6396">
        <v>12.0371595826521</v>
      </c>
      <c r="AL6396">
        <v>80.221227319696297</v>
      </c>
      <c r="AM6396">
        <v>101.33266978599499</v>
      </c>
      <c r="AN6396">
        <v>0.99999995848450396</v>
      </c>
    </row>
    <row r="6397" spans="1:40" x14ac:dyDescent="0.25">
      <c r="A6397" t="str">
        <f>"20190304155232276"</f>
        <v>20190304155232276</v>
      </c>
      <c r="B6397" t="str">
        <f>"1551685952273656"</f>
        <v>1551685952273656</v>
      </c>
      <c r="C6397" t="s">
        <v>40</v>
      </c>
      <c r="D6397">
        <v>4.8630810000000002</v>
      </c>
      <c r="E6397">
        <v>0.46611619999999998</v>
      </c>
      <c r="F6397" t="s">
        <v>41</v>
      </c>
      <c r="G6397">
        <v>-279.14089999999999</v>
      </c>
      <c r="H6397" s="1">
        <v>-3.2367470000000001E-6</v>
      </c>
      <c r="I6397">
        <v>-61.107930000000003</v>
      </c>
      <c r="J6397">
        <v>-289.51400000000001</v>
      </c>
      <c r="K6397">
        <v>1.117575</v>
      </c>
      <c r="L6397">
        <v>-58.67136</v>
      </c>
      <c r="M6397">
        <v>0.87386260000000004</v>
      </c>
      <c r="N6397">
        <v>-1.4849390000000001E-2</v>
      </c>
      <c r="O6397">
        <v>-0.4859465</v>
      </c>
      <c r="P6397">
        <v>0.93938180000000004</v>
      </c>
      <c r="Q6397">
        <v>0.15864120000000001</v>
      </c>
      <c r="R6397">
        <v>-0.30396630000000002</v>
      </c>
      <c r="S6397">
        <v>3.017639</v>
      </c>
      <c r="T6397">
        <v>-0.32186759999999998</v>
      </c>
      <c r="U6397">
        <v>-0.71670529999999999</v>
      </c>
      <c r="V6397">
        <v>-0.19378880000000001</v>
      </c>
      <c r="W6397">
        <v>0.1697504</v>
      </c>
      <c r="X6397">
        <v>0.96624569999999999</v>
      </c>
      <c r="Y6397">
        <v>-0.26760820000000002</v>
      </c>
      <c r="Z6397">
        <v>5.7176240000000003E-2</v>
      </c>
      <c r="AA6397">
        <v>0.96182990000000002</v>
      </c>
      <c r="AB6397">
        <v>23</v>
      </c>
      <c r="AC6397">
        <v>10.373100000000001</v>
      </c>
      <c r="AD6397">
        <v>-1.117578236747</v>
      </c>
      <c r="AE6397">
        <v>-2.4365700000000001</v>
      </c>
      <c r="AF6397">
        <v>-2.8801812199580299</v>
      </c>
      <c r="AG6397">
        <v>-1.117578236747</v>
      </c>
      <c r="AH6397">
        <v>10.138308189934399</v>
      </c>
      <c r="AI6397">
        <v>96.052870010530199</v>
      </c>
      <c r="AJ6397">
        <v>105.85926183423599</v>
      </c>
      <c r="AK6397">
        <v>10.5985715041764</v>
      </c>
      <c r="AL6397">
        <v>80.226693139704494</v>
      </c>
      <c r="AM6397">
        <v>101.340698773471</v>
      </c>
      <c r="AN6397">
        <v>1.00000002503704</v>
      </c>
    </row>
    <row r="6398" spans="1:40" x14ac:dyDescent="0.25">
      <c r="A6398" t="str">
        <f>"20190304155232288"</f>
        <v>20190304155232288</v>
      </c>
      <c r="B6398" t="str">
        <f>"1551685952283416"</f>
        <v>1551685952283416</v>
      </c>
      <c r="C6398" t="s">
        <v>40</v>
      </c>
      <c r="D6398">
        <v>4.823029</v>
      </c>
      <c r="E6398">
        <v>0.46716360000000001</v>
      </c>
      <c r="F6398" t="s">
        <v>41</v>
      </c>
      <c r="G6398">
        <v>-278.80110000000002</v>
      </c>
      <c r="H6398" s="1">
        <v>-3.1100739999999998E-6</v>
      </c>
      <c r="I6398">
        <v>-61.193919999999999</v>
      </c>
      <c r="J6398">
        <v>-289.40640000000002</v>
      </c>
      <c r="K6398">
        <v>1.1175489999999999</v>
      </c>
      <c r="L6398">
        <v>-58.724429999999998</v>
      </c>
      <c r="M6398">
        <v>0.87662809999999902</v>
      </c>
      <c r="N6398">
        <v>-1.484277E-2</v>
      </c>
      <c r="O6398">
        <v>-0.48093979999999997</v>
      </c>
      <c r="P6398">
        <v>0.94105890000000003</v>
      </c>
      <c r="Q6398">
        <v>0.15908729999999999</v>
      </c>
      <c r="R6398">
        <v>-0.29849609999999999</v>
      </c>
      <c r="S6398">
        <v>3.0169069999999998</v>
      </c>
      <c r="T6398">
        <v>-0.31472440000000002</v>
      </c>
      <c r="U6398">
        <v>-0.71038819999999903</v>
      </c>
      <c r="V6398">
        <v>-0.19384219999999999</v>
      </c>
      <c r="W6398">
        <v>0.17020150000000001</v>
      </c>
      <c r="X6398">
        <v>0.9661556</v>
      </c>
      <c r="Y6398">
        <v>-0.26413520000000001</v>
      </c>
      <c r="Z6398">
        <v>5.526358E-2</v>
      </c>
      <c r="AA6398">
        <v>0.96290109999999995</v>
      </c>
      <c r="AB6398">
        <v>23</v>
      </c>
      <c r="AC6398">
        <v>10.6053</v>
      </c>
      <c r="AD6398">
        <v>-1.11755211007399</v>
      </c>
      <c r="AE6398">
        <v>-2.4694899999999902</v>
      </c>
      <c r="AF6398">
        <v>-2.9054065756993199</v>
      </c>
      <c r="AG6398">
        <v>-1.11755211007399</v>
      </c>
      <c r="AH6398">
        <v>10.376437458581499</v>
      </c>
      <c r="AI6398">
        <v>95.921097993460094</v>
      </c>
      <c r="AJ6398">
        <v>105.642267385346</v>
      </c>
      <c r="AK6398">
        <v>10.833317332225599</v>
      </c>
      <c r="AL6398">
        <v>80.200465067951896</v>
      </c>
      <c r="AM6398">
        <v>101.34477321743501</v>
      </c>
      <c r="AN6398">
        <v>0.99999999625722502</v>
      </c>
    </row>
    <row r="6399" spans="1:40" x14ac:dyDescent="0.25">
      <c r="A6399" t="str">
        <f>"20190304155232299"</f>
        <v>20190304155232299</v>
      </c>
      <c r="B6399" t="str">
        <f>"1551685952293176"</f>
        <v>1551685952293176</v>
      </c>
      <c r="C6399" t="s">
        <v>40</v>
      </c>
      <c r="D6399">
        <v>4.8298839999999998</v>
      </c>
      <c r="E6399">
        <v>0.4666553</v>
      </c>
      <c r="F6399" t="s">
        <v>41</v>
      </c>
      <c r="G6399">
        <v>-278.27460000000002</v>
      </c>
      <c r="H6399" s="1">
        <v>-2.9093260000000001E-6</v>
      </c>
      <c r="I6399">
        <v>-61.306739999999998</v>
      </c>
      <c r="J6399">
        <v>-289.2987</v>
      </c>
      <c r="K6399">
        <v>1.117516</v>
      </c>
      <c r="L6399">
        <v>-58.776179999999997</v>
      </c>
      <c r="M6399">
        <v>0.87934029999999996</v>
      </c>
      <c r="N6399">
        <v>-1.4835589999999999E-2</v>
      </c>
      <c r="O6399">
        <v>-0.47596280000000002</v>
      </c>
      <c r="P6399">
        <v>0.94270209999999999</v>
      </c>
      <c r="Q6399">
        <v>0.15923880000000001</v>
      </c>
      <c r="R6399">
        <v>-0.2931822</v>
      </c>
      <c r="S6399">
        <v>3.0170590000000002</v>
      </c>
      <c r="T6399">
        <v>-0.3028922</v>
      </c>
      <c r="U6399">
        <v>-0.69989009999999996</v>
      </c>
      <c r="V6399">
        <v>-0.19379389999999999</v>
      </c>
      <c r="W6399">
        <v>0.17036029999999999</v>
      </c>
      <c r="X6399">
        <v>0.96613729999999998</v>
      </c>
      <c r="Y6399">
        <v>-0.26212150000000001</v>
      </c>
      <c r="Z6399">
        <v>5.2564149999999997E-2</v>
      </c>
      <c r="AA6399">
        <v>0.96360230000000002</v>
      </c>
      <c r="AB6399">
        <v>23</v>
      </c>
      <c r="AC6399">
        <v>11.024099999999899</v>
      </c>
      <c r="AD6399">
        <v>-1.1175189093259901</v>
      </c>
      <c r="AE6399">
        <v>-2.5305599999999999</v>
      </c>
      <c r="AF6399">
        <v>-2.9929545519911902</v>
      </c>
      <c r="AG6399">
        <v>-1.1175189093259901</v>
      </c>
      <c r="AH6399">
        <v>10.7942180285</v>
      </c>
      <c r="AI6399">
        <v>95.697283413873606</v>
      </c>
      <c r="AJ6399">
        <v>105.497303637871</v>
      </c>
      <c r="AK6399">
        <v>11.2570763659922</v>
      </c>
      <c r="AL6399">
        <v>80.191231636506998</v>
      </c>
      <c r="AM6399">
        <v>101.342228965723</v>
      </c>
      <c r="AN6399">
        <v>0.99999999497229497</v>
      </c>
    </row>
    <row r="6400" spans="1:40" x14ac:dyDescent="0.25">
      <c r="A6400" t="str">
        <f>"20190304155232311"</f>
        <v>20190304155232311</v>
      </c>
      <c r="B6400" t="str">
        <f>"1551685952303913"</f>
        <v>1551685952303913</v>
      </c>
      <c r="C6400" t="s">
        <v>40</v>
      </c>
      <c r="D6400">
        <v>4.8074680000000001</v>
      </c>
      <c r="E6400">
        <v>0.46539350000000002</v>
      </c>
      <c r="F6400" t="s">
        <v>41</v>
      </c>
      <c r="G6400">
        <v>-278.04320000000001</v>
      </c>
      <c r="H6400" s="1">
        <v>-2.809509E-6</v>
      </c>
      <c r="I6400">
        <v>-61.304360000000003</v>
      </c>
      <c r="J6400">
        <v>-289.18630000000002</v>
      </c>
      <c r="K6400">
        <v>1.1174869999999999</v>
      </c>
      <c r="L6400">
        <v>-58.829830000000001</v>
      </c>
      <c r="M6400">
        <v>0.88213379999999997</v>
      </c>
      <c r="N6400">
        <v>-1.4828239999999999E-2</v>
      </c>
      <c r="O6400">
        <v>-0.47076570000000001</v>
      </c>
      <c r="P6400">
        <v>0.94434229999999997</v>
      </c>
      <c r="Q6400">
        <v>0.15938459999999999</v>
      </c>
      <c r="R6400">
        <v>-0.287775</v>
      </c>
      <c r="S6400">
        <v>3.0219119999999999</v>
      </c>
      <c r="T6400">
        <v>-0.3000352</v>
      </c>
      <c r="U6400">
        <v>-0.67877200000000004</v>
      </c>
      <c r="V6400">
        <v>-0.1936071</v>
      </c>
      <c r="W6400">
        <v>0.1705168</v>
      </c>
      <c r="X6400">
        <v>0.96614710000000004</v>
      </c>
      <c r="Y6400">
        <v>-0.26323760000000002</v>
      </c>
      <c r="Z6400">
        <v>5.1697750000000001E-2</v>
      </c>
      <c r="AA6400">
        <v>0.96334489999999995</v>
      </c>
      <c r="AB6400">
        <v>23</v>
      </c>
      <c r="AC6400">
        <v>11.1431</v>
      </c>
      <c r="AD6400">
        <v>-1.117489809509</v>
      </c>
      <c r="AE6400">
        <v>-2.4745299999999899</v>
      </c>
      <c r="AF6400">
        <v>-3.0341780263122602</v>
      </c>
      <c r="AG6400">
        <v>-1.117489809509</v>
      </c>
      <c r="AH6400">
        <v>10.891447403904101</v>
      </c>
      <c r="AI6400">
        <v>95.644711766655206</v>
      </c>
      <c r="AJ6400">
        <v>105.566962041689</v>
      </c>
      <c r="AK6400">
        <v>11.3612783753291</v>
      </c>
      <c r="AL6400">
        <v>80.182131288721905</v>
      </c>
      <c r="AM6400">
        <v>101.331467101244</v>
      </c>
      <c r="AN6400">
        <v>0.99999995354552895</v>
      </c>
    </row>
    <row r="6401" spans="1:40" x14ac:dyDescent="0.25">
      <c r="A6401" t="str">
        <f>"20190304155232323"</f>
        <v>20190304155232323</v>
      </c>
      <c r="B6401" t="str">
        <f>"1551685952313673"</f>
        <v>1551685952313673</v>
      </c>
      <c r="C6401" t="s">
        <v>40</v>
      </c>
      <c r="D6401">
        <v>4.9756980000000004</v>
      </c>
      <c r="E6401">
        <v>0.46340930000000002</v>
      </c>
      <c r="F6401" t="s">
        <v>41</v>
      </c>
      <c r="G6401">
        <v>-277.70269999999999</v>
      </c>
      <c r="H6401" s="1">
        <v>-2.6625069999999999E-6</v>
      </c>
      <c r="I6401">
        <v>-61.30021</v>
      </c>
      <c r="J6401">
        <v>-289.06779999999998</v>
      </c>
      <c r="K6401">
        <v>1.117459</v>
      </c>
      <c r="L6401">
        <v>-58.88541</v>
      </c>
      <c r="M6401">
        <v>0.88502619999999899</v>
      </c>
      <c r="N6401">
        <v>-1.482028E-2</v>
      </c>
      <c r="O6401">
        <v>-0.46530529999999998</v>
      </c>
      <c r="P6401">
        <v>0.94605510000000004</v>
      </c>
      <c r="Q6401">
        <v>0.15957299999999999</v>
      </c>
      <c r="R6401">
        <v>-0.28198649999999997</v>
      </c>
      <c r="S6401">
        <v>3.0280459999999998</v>
      </c>
      <c r="T6401">
        <v>-0.29466439999999999</v>
      </c>
      <c r="U6401">
        <v>-0.65139769999999997</v>
      </c>
      <c r="V6401">
        <v>-0.19352759999999999</v>
      </c>
      <c r="W6401">
        <v>0.1707137</v>
      </c>
      <c r="X6401">
        <v>0.96612830000000005</v>
      </c>
      <c r="Y6401">
        <v>-0.26611020000000002</v>
      </c>
      <c r="Z6401">
        <v>5.0437509999999998E-2</v>
      </c>
      <c r="AA6401">
        <v>0.96262219999999998</v>
      </c>
      <c r="AB6401">
        <v>23</v>
      </c>
      <c r="AC6401">
        <v>11.365099999999901</v>
      </c>
      <c r="AD6401">
        <v>-1.117461662507</v>
      </c>
      <c r="AE6401">
        <v>-2.4148000000000001</v>
      </c>
      <c r="AF6401">
        <v>-3.1225425164098</v>
      </c>
      <c r="AG6401">
        <v>-1.117461662507</v>
      </c>
      <c r="AH6401">
        <v>11.080761421153699</v>
      </c>
      <c r="AI6401">
        <v>95.544136712376996</v>
      </c>
      <c r="AJ6401">
        <v>105.737759445629</v>
      </c>
      <c r="AK6401">
        <v>11.566428403205901</v>
      </c>
      <c r="AL6401">
        <v>80.170682293158507</v>
      </c>
      <c r="AM6401">
        <v>101.32714913890599</v>
      </c>
      <c r="AN6401">
        <v>0.99999999569516995</v>
      </c>
    </row>
    <row r="6402" spans="1:40" x14ac:dyDescent="0.25">
      <c r="A6402" t="str">
        <f>"20190304155232335"</f>
        <v>20190304155232335</v>
      </c>
      <c r="B6402" t="str">
        <f>"1551685952333701"</f>
        <v>1551685952333701</v>
      </c>
      <c r="C6402" t="s">
        <v>40</v>
      </c>
      <c r="D6402">
        <v>4.8062230000000001</v>
      </c>
      <c r="E6402">
        <v>0.46128449999999999</v>
      </c>
      <c r="F6402" t="s">
        <v>41</v>
      </c>
      <c r="G6402">
        <v>-277.31830000000002</v>
      </c>
      <c r="H6402" s="1">
        <v>-2.4918520000000002E-6</v>
      </c>
      <c r="I6402">
        <v>-61.274239999999999</v>
      </c>
      <c r="J6402">
        <v>-288.96030000000002</v>
      </c>
      <c r="K6402">
        <v>1.1174389999999901</v>
      </c>
      <c r="L6402">
        <v>-58.9349699999999</v>
      </c>
      <c r="M6402">
        <v>0.88760709999999998</v>
      </c>
      <c r="N6402">
        <v>-1.481304E-2</v>
      </c>
      <c r="O6402">
        <v>-0.46036309999999903</v>
      </c>
      <c r="P6402">
        <v>0.94746520000000001</v>
      </c>
      <c r="Q6402">
        <v>0.15995009999999901</v>
      </c>
      <c r="R6402">
        <v>-0.27699400000000002</v>
      </c>
      <c r="S6402">
        <v>3.0357970000000001</v>
      </c>
      <c r="T6402">
        <v>-0.28872589999999998</v>
      </c>
      <c r="U6402">
        <v>-0.61721800000000004</v>
      </c>
      <c r="V6402">
        <v>-0.1931988</v>
      </c>
      <c r="W6402">
        <v>0.1711027</v>
      </c>
      <c r="X6402">
        <v>0.96612529999999996</v>
      </c>
      <c r="Y6402">
        <v>-0.27172619999999997</v>
      </c>
      <c r="Z6402">
        <v>4.9251499999999997E-2</v>
      </c>
      <c r="AA6402">
        <v>0.96111349999999995</v>
      </c>
      <c r="AB6402">
        <v>23</v>
      </c>
      <c r="AC6402">
        <v>11.6419999999999</v>
      </c>
      <c r="AD6402">
        <v>-1.1174414918519999</v>
      </c>
      <c r="AE6402">
        <v>-2.33927</v>
      </c>
      <c r="AF6402">
        <v>-3.2547331241804098</v>
      </c>
      <c r="AG6402">
        <v>-1.1174414918519999</v>
      </c>
      <c r="AH6402">
        <v>11.3115204269873</v>
      </c>
      <c r="AI6402">
        <v>95.423182617526294</v>
      </c>
      <c r="AJ6402">
        <v>106.052438929853</v>
      </c>
      <c r="AK6402">
        <v>11.823386044932301</v>
      </c>
      <c r="AL6402">
        <v>80.148061483218001</v>
      </c>
      <c r="AM6402">
        <v>101.308435022297</v>
      </c>
      <c r="AN6402">
        <v>1.0000000027844</v>
      </c>
    </row>
    <row r="6403" spans="1:40" x14ac:dyDescent="0.25">
      <c r="A6403" t="str">
        <f>"20190304155232348"</f>
        <v>20190304155232348</v>
      </c>
      <c r="B6403" t="str">
        <f>"1551685952343460"</f>
        <v>1551685952343460</v>
      </c>
      <c r="C6403" t="s">
        <v>40</v>
      </c>
      <c r="D6403">
        <v>4.7994139999999996</v>
      </c>
      <c r="E6403">
        <v>0.46068569999999998</v>
      </c>
      <c r="F6403" t="s">
        <v>41</v>
      </c>
      <c r="G6403">
        <v>-276.35730000000001</v>
      </c>
      <c r="H6403" s="1">
        <v>-2.097347E-6</v>
      </c>
      <c r="I6403">
        <v>-61.354170000000003</v>
      </c>
      <c r="J6403">
        <v>-288.84629999999999</v>
      </c>
      <c r="K6403">
        <v>1.1174090000000001</v>
      </c>
      <c r="L6403">
        <v>-58.987119999999997</v>
      </c>
      <c r="M6403">
        <v>0.89030489999999995</v>
      </c>
      <c r="N6403">
        <v>-1.4805570000000001E-2</v>
      </c>
      <c r="O6403">
        <v>-0.45512429999999898</v>
      </c>
      <c r="P6403">
        <v>0.94887659999999996</v>
      </c>
      <c r="Q6403">
        <v>0.1605251</v>
      </c>
      <c r="R6403">
        <v>-0.2717813</v>
      </c>
      <c r="S6403">
        <v>3.0411990000000002</v>
      </c>
      <c r="T6403">
        <v>-0.2696462</v>
      </c>
      <c r="U6403">
        <v>-0.58377080000000003</v>
      </c>
      <c r="V6403">
        <v>-0.1927683</v>
      </c>
      <c r="W6403">
        <v>0.17169129999999999</v>
      </c>
      <c r="X6403">
        <v>0.96610689999999999</v>
      </c>
      <c r="Y6403">
        <v>-0.27690229999999999</v>
      </c>
      <c r="Z6403">
        <v>4.5612050000000001E-2</v>
      </c>
      <c r="AA6403">
        <v>0.95981490000000003</v>
      </c>
      <c r="AB6403">
        <v>23</v>
      </c>
      <c r="AC6403">
        <v>12.4889999999999</v>
      </c>
      <c r="AD6403">
        <v>-1.1174110973469999</v>
      </c>
      <c r="AE6403">
        <v>-2.3670499999999901</v>
      </c>
      <c r="AF6403">
        <v>-3.5496130530724299</v>
      </c>
      <c r="AG6403">
        <v>-1.1174110973469999</v>
      </c>
      <c r="AH6403">
        <v>12.1041203528103</v>
      </c>
      <c r="AI6403">
        <v>95.062387529136004</v>
      </c>
      <c r="AJ6403">
        <v>106.344122734031</v>
      </c>
      <c r="AK6403">
        <v>12.663257475955101</v>
      </c>
      <c r="AL6403">
        <v>80.113830923241906</v>
      </c>
      <c r="AM6403">
        <v>101.284093328884</v>
      </c>
      <c r="AN6403">
        <v>1.00000003110409</v>
      </c>
    </row>
    <row r="6404" spans="1:40" x14ac:dyDescent="0.25">
      <c r="A6404" t="str">
        <f>"20190304155232360"</f>
        <v>20190304155232360</v>
      </c>
      <c r="B6404" t="str">
        <f>"1551685952353221"</f>
        <v>1551685952353221</v>
      </c>
      <c r="C6404" t="s">
        <v>40</v>
      </c>
      <c r="D6404">
        <v>4.999358</v>
      </c>
      <c r="E6404">
        <v>0.4599569</v>
      </c>
      <c r="F6404" t="s">
        <v>41</v>
      </c>
      <c r="G6404">
        <v>-275.88780000000003</v>
      </c>
      <c r="H6404" s="1">
        <v>-1.9014609999999999E-6</v>
      </c>
      <c r="I6404">
        <v>-61.379060000000003</v>
      </c>
      <c r="J6404">
        <v>-288.72800000000001</v>
      </c>
      <c r="K6404">
        <v>1.1173770000000001</v>
      </c>
      <c r="L6404">
        <v>-59.039920000000002</v>
      </c>
      <c r="M6404">
        <v>0.89304709999999998</v>
      </c>
      <c r="N6404">
        <v>-1.4797299999999999E-2</v>
      </c>
      <c r="O6404">
        <v>-0.44972010000000001</v>
      </c>
      <c r="P6404">
        <v>0.95030579999999998</v>
      </c>
      <c r="Q6404">
        <v>0.16088769999999999</v>
      </c>
      <c r="R6404">
        <v>-0.2665228</v>
      </c>
      <c r="S6404">
        <v>3.0450740000000001</v>
      </c>
      <c r="T6404">
        <v>-0.26257589999999997</v>
      </c>
      <c r="U6404">
        <v>-0.56207280000000004</v>
      </c>
      <c r="V6404">
        <v>-0.19222600000000001</v>
      </c>
      <c r="W6404">
        <v>0.172070899999999</v>
      </c>
      <c r="X6404">
        <v>0.96614739999999999</v>
      </c>
      <c r="Y6404">
        <v>-0.278043599999999</v>
      </c>
      <c r="Z6404">
        <v>4.4014240000000003E-2</v>
      </c>
      <c r="AA6404">
        <v>0.95955959999999996</v>
      </c>
      <c r="AB6404">
        <v>23</v>
      </c>
      <c r="AC6404">
        <v>12.8401999999999</v>
      </c>
      <c r="AD6404">
        <v>-1.1173789014610001</v>
      </c>
      <c r="AE6404">
        <v>-2.33914</v>
      </c>
      <c r="AF6404">
        <v>-3.6591171807767902</v>
      </c>
      <c r="AG6404">
        <v>-1.1173789014610001</v>
      </c>
      <c r="AH6404">
        <v>12.4291307032177</v>
      </c>
      <c r="AI6404">
        <v>94.929015589067006</v>
      </c>
      <c r="AJ6404">
        <v>106.404348630765</v>
      </c>
      <c r="AK6404">
        <v>13.0046516366166</v>
      </c>
      <c r="AL6404">
        <v>80.091752703752505</v>
      </c>
      <c r="AM6404">
        <v>101.25270016939901</v>
      </c>
      <c r="AN6404">
        <v>1.00000001411478</v>
      </c>
    </row>
    <row r="6405" spans="1:40" x14ac:dyDescent="0.25">
      <c r="A6405" t="str">
        <f>"20190304155232375"</f>
        <v>20190304155232375</v>
      </c>
      <c r="B6405" t="str">
        <f>"1551685952373716"</f>
        <v>1551685952373716</v>
      </c>
      <c r="C6405" t="s">
        <v>40</v>
      </c>
      <c r="D6405">
        <v>4.7455889999999998</v>
      </c>
      <c r="E6405">
        <v>0.45948260000000002</v>
      </c>
      <c r="F6405" t="s">
        <v>41</v>
      </c>
      <c r="G6405">
        <v>-275.64580000000001</v>
      </c>
      <c r="H6405" s="1">
        <v>-1.7920139999999999E-6</v>
      </c>
      <c r="I6405">
        <v>-61.353610000000003</v>
      </c>
      <c r="J6405">
        <v>-288.5908</v>
      </c>
      <c r="K6405">
        <v>1.117337</v>
      </c>
      <c r="L6405">
        <v>-59.100369999999998</v>
      </c>
      <c r="M6405">
        <v>0.89617230000000003</v>
      </c>
      <c r="N6405">
        <v>-1.4787649999999999E-2</v>
      </c>
      <c r="O6405">
        <v>-0.44345970000000001</v>
      </c>
      <c r="P6405">
        <v>0.95176819999999895</v>
      </c>
      <c r="Q6405">
        <v>0.1615694</v>
      </c>
      <c r="R6405">
        <v>-0.26083060000000002</v>
      </c>
      <c r="S6405">
        <v>3.0497130000000001</v>
      </c>
      <c r="T6405">
        <v>-0.26048300000000002</v>
      </c>
      <c r="U6405">
        <v>-0.53936770000000001</v>
      </c>
      <c r="V6405">
        <v>-0.19118830000000001</v>
      </c>
      <c r="W6405">
        <v>0.17277870000000001</v>
      </c>
      <c r="X6405">
        <v>0.96622699999999995</v>
      </c>
      <c r="Y6405">
        <v>-0.27855089999999999</v>
      </c>
      <c r="Z6405">
        <v>4.3256570000000001E-2</v>
      </c>
      <c r="AA6405">
        <v>0.95944680000000004</v>
      </c>
      <c r="AB6405">
        <v>23</v>
      </c>
      <c r="AC6405">
        <v>12.944999999999901</v>
      </c>
      <c r="AD6405">
        <v>-1.1173387920139899</v>
      </c>
      <c r="AE6405">
        <v>-2.2532399999999901</v>
      </c>
      <c r="AF6405">
        <v>-3.6949828405516798</v>
      </c>
      <c r="AG6405">
        <v>-1.1173387920139899</v>
      </c>
      <c r="AH6405">
        <v>12.5110810642565</v>
      </c>
      <c r="AI6405">
        <v>94.895471772730602</v>
      </c>
      <c r="AJ6405">
        <v>106.453810743528</v>
      </c>
      <c r="AK6405">
        <v>13.0930704406762</v>
      </c>
      <c r="AL6405">
        <v>80.050582289377203</v>
      </c>
      <c r="AM6405">
        <v>101.192593369965</v>
      </c>
      <c r="AN6405">
        <v>1.00000003037978</v>
      </c>
    </row>
    <row r="6406" spans="1:40" x14ac:dyDescent="0.25">
      <c r="A6406" t="str">
        <f>"20190304155232387"</f>
        <v>20190304155232387</v>
      </c>
      <c r="B6406" t="str">
        <f>"1551685952383476"</f>
        <v>1551685952383476</v>
      </c>
      <c r="C6406" t="s">
        <v>40</v>
      </c>
      <c r="D6406">
        <v>4.7342629999999897</v>
      </c>
      <c r="E6406">
        <v>0.45931129999999998</v>
      </c>
      <c r="F6406" t="s">
        <v>41</v>
      </c>
      <c r="G6406">
        <v>-274.97410000000002</v>
      </c>
      <c r="H6406" s="1">
        <v>-1.515603E-6</v>
      </c>
      <c r="I6406">
        <v>-61.406480000000002</v>
      </c>
      <c r="J6406">
        <v>-288.4837</v>
      </c>
      <c r="K6406">
        <v>1.1173139999999999</v>
      </c>
      <c r="L6406">
        <v>-59.146970000000003</v>
      </c>
      <c r="M6406">
        <v>0.89856899999999995</v>
      </c>
      <c r="N6406">
        <v>-1.4780130000000001E-2</v>
      </c>
      <c r="O6406">
        <v>-0.43858320000000001</v>
      </c>
      <c r="P6406">
        <v>0.95288479999999998</v>
      </c>
      <c r="Q6406">
        <v>0.16197909999999999</v>
      </c>
      <c r="R6406">
        <v>-0.2564632</v>
      </c>
      <c r="S6406">
        <v>3.0528559999999998</v>
      </c>
      <c r="T6406">
        <v>-0.25050739999999999</v>
      </c>
      <c r="U6406">
        <v>-0.51702879999999996</v>
      </c>
      <c r="V6406">
        <v>-0.1903309</v>
      </c>
      <c r="W6406">
        <v>0.1732098</v>
      </c>
      <c r="X6406">
        <v>0.96631900000000004</v>
      </c>
      <c r="Y6406">
        <v>-0.280487599999999</v>
      </c>
      <c r="Z6406">
        <v>4.1239400000000002E-2</v>
      </c>
      <c r="AA6406">
        <v>0.95897129999999997</v>
      </c>
      <c r="AB6406">
        <v>23</v>
      </c>
      <c r="AC6406">
        <v>13.509599999999899</v>
      </c>
      <c r="AD6406">
        <v>-1.1173155156029999</v>
      </c>
      <c r="AE6406">
        <v>-2.2595100000000001</v>
      </c>
      <c r="AF6406">
        <v>-3.8694362355826399</v>
      </c>
      <c r="AG6406">
        <v>-1.1173155156029999</v>
      </c>
      <c r="AH6406">
        <v>13.0449244605778</v>
      </c>
      <c r="AI6406">
        <v>94.694312555480707</v>
      </c>
      <c r="AJ6406">
        <v>106.52161473381</v>
      </c>
      <c r="AK6406">
        <v>13.6525083748309</v>
      </c>
      <c r="AL6406">
        <v>80.025503139663002</v>
      </c>
      <c r="AM6406">
        <v>101.142623838397</v>
      </c>
      <c r="AN6406">
        <v>0.99999994803592296</v>
      </c>
    </row>
    <row r="6407" spans="1:40" x14ac:dyDescent="0.25">
      <c r="A6407" t="str">
        <f>"20190304155232399"</f>
        <v>20190304155232399</v>
      </c>
      <c r="B6407" t="str">
        <f>"1551685952393237"</f>
        <v>1551685952393237</v>
      </c>
      <c r="C6407" t="s">
        <v>40</v>
      </c>
      <c r="D6407">
        <v>4.7441829999999996</v>
      </c>
      <c r="E6407">
        <v>0.45929569999999997</v>
      </c>
      <c r="F6407" t="s">
        <v>41</v>
      </c>
      <c r="G6407">
        <v>-274.6071</v>
      </c>
      <c r="H6407" s="1">
        <v>-1.361862E-6</v>
      </c>
      <c r="I6407">
        <v>-61.423169999999899</v>
      </c>
      <c r="J6407">
        <v>-288.3691</v>
      </c>
      <c r="K6407">
        <v>1.1172879999999901</v>
      </c>
      <c r="L6407">
        <v>-59.195680000000003</v>
      </c>
      <c r="M6407">
        <v>0.90108200000000005</v>
      </c>
      <c r="N6407">
        <v>-1.4771579999999999E-2</v>
      </c>
      <c r="O6407">
        <v>-0.43339689999999997</v>
      </c>
      <c r="P6407">
        <v>0.95401000000000002</v>
      </c>
      <c r="Q6407">
        <v>0.1624389</v>
      </c>
      <c r="R6407">
        <v>-0.25194889999999998</v>
      </c>
      <c r="S6407">
        <v>3.0552670000000002</v>
      </c>
      <c r="T6407">
        <v>-0.24600359999999999</v>
      </c>
      <c r="U6407">
        <v>-0.50115969999999999</v>
      </c>
      <c r="V6407">
        <v>-0.1892924</v>
      </c>
      <c r="W6407">
        <v>0.1736954</v>
      </c>
      <c r="X6407">
        <v>0.96643579999999996</v>
      </c>
      <c r="Y6407">
        <v>-0.28001199999999998</v>
      </c>
      <c r="Z6407">
        <v>4.0101959999999999E-2</v>
      </c>
      <c r="AA6407">
        <v>0.95915850000000002</v>
      </c>
      <c r="AB6407">
        <v>23</v>
      </c>
      <c r="AC6407">
        <v>13.762</v>
      </c>
      <c r="AD6407">
        <v>-1.1172893618619999</v>
      </c>
      <c r="AE6407">
        <v>-2.22748999999998</v>
      </c>
      <c r="AF6407">
        <v>-3.9324311559187399</v>
      </c>
      <c r="AG6407">
        <v>-1.1172893618619999</v>
      </c>
      <c r="AH6407">
        <v>13.282225703498501</v>
      </c>
      <c r="AI6407">
        <v>94.611397330677093</v>
      </c>
      <c r="AJ6407">
        <v>106.492292883419</v>
      </c>
      <c r="AK6407">
        <v>13.8971173252889</v>
      </c>
      <c r="AL6407">
        <v>79.997251902756105</v>
      </c>
      <c r="AM6407">
        <v>101.082029472266</v>
      </c>
      <c r="AN6407">
        <v>0.99999993010027699</v>
      </c>
    </row>
    <row r="6408" spans="1:40" x14ac:dyDescent="0.25">
      <c r="A6408" t="str">
        <f>"20190304155232412"</f>
        <v>20190304155232412</v>
      </c>
      <c r="B6408" t="str">
        <f>"1551685952403973"</f>
        <v>1551685952403973</v>
      </c>
      <c r="C6408" t="s">
        <v>40</v>
      </c>
      <c r="D6408">
        <v>4.699916</v>
      </c>
      <c r="E6408">
        <v>0.45933000000000002</v>
      </c>
      <c r="F6408" t="s">
        <v>41</v>
      </c>
      <c r="G6408">
        <v>-274.26179999999999</v>
      </c>
      <c r="H6408" s="1">
        <v>-1.2170810000000001E-6</v>
      </c>
      <c r="I6408">
        <v>-61.4381699999999</v>
      </c>
      <c r="J6408">
        <v>-288.24799999999999</v>
      </c>
      <c r="K6408">
        <v>1.1172519999999999</v>
      </c>
      <c r="L6408">
        <v>-59.246609999999997</v>
      </c>
      <c r="M6408">
        <v>0.90369500000000003</v>
      </c>
      <c r="N6408">
        <v>-1.4762529999999999E-2</v>
      </c>
      <c r="O6408">
        <v>-0.42792249999999998</v>
      </c>
      <c r="P6408">
        <v>0.95528860000000004</v>
      </c>
      <c r="Q6408">
        <v>0.16249420000000001</v>
      </c>
      <c r="R6408">
        <v>-0.24702160000000001</v>
      </c>
      <c r="S6408">
        <v>3.0575260000000002</v>
      </c>
      <c r="T6408">
        <v>-0.24215390000000001</v>
      </c>
      <c r="U6408">
        <v>-0.48602289999999998</v>
      </c>
      <c r="V6408">
        <v>-0.18839649999999999</v>
      </c>
      <c r="W6408">
        <v>0.17377519999999999</v>
      </c>
      <c r="X6408">
        <v>0.96659649999999997</v>
      </c>
      <c r="Y6408">
        <v>-0.27900439999999999</v>
      </c>
      <c r="Z6408">
        <v>3.9054600000000002E-2</v>
      </c>
      <c r="AA6408">
        <v>0.95949530000000005</v>
      </c>
      <c r="AB6408">
        <v>23</v>
      </c>
      <c r="AC6408">
        <v>13.986199999999901</v>
      </c>
      <c r="AD6408">
        <v>-1.1172532170809999</v>
      </c>
      <c r="AE6408">
        <v>-2.1915599999999902</v>
      </c>
      <c r="AF6408">
        <v>-3.9801541993696801</v>
      </c>
      <c r="AG6408">
        <v>-1.1172532170809999</v>
      </c>
      <c r="AH6408">
        <v>13.494507031796299</v>
      </c>
      <c r="AI6408">
        <v>94.540392227266906</v>
      </c>
      <c r="AJ6408">
        <v>106.43322590872199</v>
      </c>
      <c r="AK6408">
        <v>14.1135255068688</v>
      </c>
      <c r="AL6408">
        <v>79.992609067685294</v>
      </c>
      <c r="AM6408">
        <v>101.029079938951</v>
      </c>
      <c r="AN6408">
        <v>0.99999992757976697</v>
      </c>
    </row>
    <row r="6409" spans="1:40" x14ac:dyDescent="0.25">
      <c r="A6409" t="str">
        <f>"20190304155232426"</f>
        <v>20190304155232426</v>
      </c>
      <c r="B6409" t="str">
        <f>"1551685952423492"</f>
        <v>1551685952423492</v>
      </c>
      <c r="C6409" t="s">
        <v>40</v>
      </c>
      <c r="D6409">
        <v>4.6966570000000001</v>
      </c>
      <c r="E6409">
        <v>0.45938839999999997</v>
      </c>
      <c r="F6409" t="s">
        <v>41</v>
      </c>
      <c r="G6409">
        <v>-274.04140000000001</v>
      </c>
      <c r="H6409" s="1">
        <v>-1.120358E-6</v>
      </c>
      <c r="I6409">
        <v>-61.428539999999998</v>
      </c>
      <c r="J6409">
        <v>-288.11610000000002</v>
      </c>
      <c r="K6409">
        <v>1.11721</v>
      </c>
      <c r="L6409">
        <v>-59.301180000000002</v>
      </c>
      <c r="M6409">
        <v>0.90648280000000003</v>
      </c>
      <c r="N6409">
        <v>-1.4752360000000001E-2</v>
      </c>
      <c r="O6409">
        <v>-0.4219849</v>
      </c>
      <c r="P6409">
        <v>0.9566848</v>
      </c>
      <c r="Q6409">
        <v>0.16259189999999901</v>
      </c>
      <c r="R6409">
        <v>-0.2414915</v>
      </c>
      <c r="S6409">
        <v>3.0598139999999998</v>
      </c>
      <c r="T6409">
        <v>-0.24063229999999999</v>
      </c>
      <c r="U6409">
        <v>-0.46994019999999997</v>
      </c>
      <c r="V6409">
        <v>-0.18762119999999999</v>
      </c>
      <c r="W6409">
        <v>0.1738973</v>
      </c>
      <c r="X6409">
        <v>0.96672539999999996</v>
      </c>
      <c r="Y6409">
        <v>-0.27777869999999999</v>
      </c>
      <c r="Z6409">
        <v>3.8397420000000002E-2</v>
      </c>
      <c r="AA6409">
        <v>0.95987739999999999</v>
      </c>
      <c r="AB6409">
        <v>23</v>
      </c>
      <c r="AC6409">
        <v>14.0747</v>
      </c>
      <c r="AD6409">
        <v>-1.117211120358</v>
      </c>
      <c r="AE6409">
        <v>-2.1273599999999999</v>
      </c>
      <c r="AF6409">
        <v>-3.9867736306702599</v>
      </c>
      <c r="AG6409">
        <v>-1.117211120358</v>
      </c>
      <c r="AH6409">
        <v>13.574057366304899</v>
      </c>
      <c r="AI6409">
        <v>94.515235376162394</v>
      </c>
      <c r="AJ6409">
        <v>106.367797232162</v>
      </c>
      <c r="AK6409">
        <v>14.191460744172799</v>
      </c>
      <c r="AL6409">
        <v>79.985505746436203</v>
      </c>
      <c r="AM6409">
        <v>100.983369633339</v>
      </c>
      <c r="AN6409">
        <v>0.99999999232094405</v>
      </c>
    </row>
    <row r="6410" spans="1:40" x14ac:dyDescent="0.25">
      <c r="A6410" t="str">
        <f>"20190304155232440"</f>
        <v>20190304155232440</v>
      </c>
      <c r="B6410" t="str">
        <f>"1551685952433761"</f>
        <v>1551685952433761</v>
      </c>
      <c r="C6410" t="s">
        <v>40</v>
      </c>
      <c r="D6410">
        <v>4.7521180000000003</v>
      </c>
      <c r="E6410">
        <v>0.4596654</v>
      </c>
      <c r="F6410" t="s">
        <v>41</v>
      </c>
      <c r="G6410">
        <v>-273.88549999999998</v>
      </c>
      <c r="H6410" s="1">
        <v>-1.047872E-6</v>
      </c>
      <c r="I6410">
        <v>-61.40334</v>
      </c>
      <c r="J6410">
        <v>-287.98079999999999</v>
      </c>
      <c r="K6410">
        <v>1.117156</v>
      </c>
      <c r="L6410">
        <v>-59.355870000000003</v>
      </c>
      <c r="M6410">
        <v>0.90927360000000002</v>
      </c>
      <c r="N6410">
        <v>-1.4741010000000001E-2</v>
      </c>
      <c r="O6410">
        <v>-0.41593790000000003</v>
      </c>
      <c r="P6410">
        <v>0.95811690000000005</v>
      </c>
      <c r="Q6410">
        <v>0.16225000000000001</v>
      </c>
      <c r="R6410">
        <v>-0.23598140000000001</v>
      </c>
      <c r="S6410">
        <v>3.0625</v>
      </c>
      <c r="T6410">
        <v>-0.24042820000000001</v>
      </c>
      <c r="U6410">
        <v>-0.45239259999999898</v>
      </c>
      <c r="V6410">
        <v>-0.18674199999999999</v>
      </c>
      <c r="W6410">
        <v>0.17358319999999999</v>
      </c>
      <c r="X6410">
        <v>0.96695209999999998</v>
      </c>
      <c r="Y6410">
        <v>-0.27690290000000001</v>
      </c>
      <c r="Z6410">
        <v>3.7981899999999999E-2</v>
      </c>
      <c r="AA6410">
        <v>0.96014699999999997</v>
      </c>
      <c r="AB6410">
        <v>23</v>
      </c>
      <c r="AC6410">
        <v>14.0953</v>
      </c>
      <c r="AD6410">
        <v>-1.1171570478720001</v>
      </c>
      <c r="AE6410">
        <v>-2.0474700000000001</v>
      </c>
      <c r="AF6410">
        <v>-3.97702722033205</v>
      </c>
      <c r="AG6410">
        <v>-1.1171570478720001</v>
      </c>
      <c r="AH6410">
        <v>13.5860088441559</v>
      </c>
      <c r="AI6410">
        <v>94.512246050044894</v>
      </c>
      <c r="AJ6410">
        <v>106.316316677621</v>
      </c>
      <c r="AK6410">
        <v>14.2001556926096</v>
      </c>
      <c r="AL6410">
        <v>80.003780687680305</v>
      </c>
      <c r="AM6410">
        <v>100.930642767368</v>
      </c>
      <c r="AN6410">
        <v>1.00000003279032</v>
      </c>
    </row>
    <row r="6411" spans="1:40" x14ac:dyDescent="0.25">
      <c r="A6411" t="str">
        <f>"20190304155232456"</f>
        <v>20190304155232456</v>
      </c>
      <c r="B6411" t="str">
        <f>"1551685952443522"</f>
        <v>1551685952443522</v>
      </c>
      <c r="C6411" t="s">
        <v>40</v>
      </c>
      <c r="D6411">
        <v>4.7077900000000001</v>
      </c>
      <c r="E6411">
        <v>0.4599336</v>
      </c>
      <c r="F6411" t="s">
        <v>41</v>
      </c>
      <c r="G6411">
        <v>-273.72500000000002</v>
      </c>
      <c r="H6411" s="1">
        <v>-9.7557800000000006E-7</v>
      </c>
      <c r="I6411">
        <v>-61.387860000000003</v>
      </c>
      <c r="J6411">
        <v>-287.84410000000003</v>
      </c>
      <c r="K6411">
        <v>1.117103</v>
      </c>
      <c r="L6411">
        <v>-59.410310000000003</v>
      </c>
      <c r="M6411">
        <v>0.91203420000000002</v>
      </c>
      <c r="N6411">
        <v>-1.4729020000000001E-2</v>
      </c>
      <c r="O6411">
        <v>-0.40984949999999998</v>
      </c>
      <c r="P6411">
        <v>0.95932360000000005</v>
      </c>
      <c r="Q6411">
        <v>0.16216720000000001</v>
      </c>
      <c r="R6411">
        <v>-0.2310837</v>
      </c>
      <c r="S6411">
        <v>3.0642399999999999</v>
      </c>
      <c r="T6411">
        <v>-0.24012829999999999</v>
      </c>
      <c r="U6411">
        <v>-0.43676759999999898</v>
      </c>
      <c r="V6411">
        <v>-0.18519479999999999</v>
      </c>
      <c r="W6411">
        <v>0.17354140000000001</v>
      </c>
      <c r="X6411">
        <v>0.96725709999999998</v>
      </c>
      <c r="Y6411">
        <v>-0.27537349999999999</v>
      </c>
      <c r="Z6411">
        <v>3.7525820000000001E-2</v>
      </c>
      <c r="AA6411">
        <v>0.96060460000000003</v>
      </c>
      <c r="AB6411">
        <v>23</v>
      </c>
      <c r="AC6411">
        <v>14.1191</v>
      </c>
      <c r="AD6411">
        <v>-1.1171039755779999</v>
      </c>
      <c r="AE6411">
        <v>-1.9775499999999999</v>
      </c>
      <c r="AF6411">
        <v>-3.95923719105545</v>
      </c>
      <c r="AG6411">
        <v>-1.1171039755779999</v>
      </c>
      <c r="AH6411">
        <v>13.6055534750924</v>
      </c>
      <c r="AI6411">
        <v>94.507663582331901</v>
      </c>
      <c r="AJ6411">
        <v>106.225077911478</v>
      </c>
      <c r="AK6411">
        <v>14.2138863718157</v>
      </c>
      <c r="AL6411">
        <v>80.006212375111303</v>
      </c>
      <c r="AM6411">
        <v>100.83889724835799</v>
      </c>
      <c r="AN6411">
        <v>1.0000000144807</v>
      </c>
    </row>
    <row r="6412" spans="1:40" x14ac:dyDescent="0.25">
      <c r="A6412" t="str">
        <f>"20190304155232471"</f>
        <v>20190304155232471</v>
      </c>
      <c r="B6412" t="str">
        <f>"1551685952463041"</f>
        <v>1551685952463041</v>
      </c>
      <c r="C6412" t="s">
        <v>40</v>
      </c>
      <c r="D6412">
        <v>4.6844890000000001</v>
      </c>
      <c r="E6412">
        <v>0.46069379999999999</v>
      </c>
      <c r="F6412" t="s">
        <v>41</v>
      </c>
      <c r="G6412">
        <v>-273.52620000000002</v>
      </c>
      <c r="H6412" s="1">
        <v>-8.8994030000000002E-7</v>
      </c>
      <c r="I6412">
        <v>-61.386150000000001</v>
      </c>
      <c r="J6412">
        <v>-287.69589999999999</v>
      </c>
      <c r="K6412">
        <v>1.117046</v>
      </c>
      <c r="L6412">
        <v>-59.468229999999998</v>
      </c>
      <c r="M6412">
        <v>0.91495570000000004</v>
      </c>
      <c r="N6412">
        <v>-1.471542E-2</v>
      </c>
      <c r="O6412">
        <v>-0.40328599999999998</v>
      </c>
      <c r="P6412">
        <v>0.96091179999999998</v>
      </c>
      <c r="Q6412">
        <v>0.1617557</v>
      </c>
      <c r="R6412">
        <v>-0.22468579999999999</v>
      </c>
      <c r="S6412">
        <v>3.0657350000000001</v>
      </c>
      <c r="T6412">
        <v>-0.2391933</v>
      </c>
      <c r="U6412">
        <v>-0.42306519999999997</v>
      </c>
      <c r="V6412">
        <v>-0.18468499999999999</v>
      </c>
      <c r="W6412">
        <v>0.17315349999999999</v>
      </c>
      <c r="X6412">
        <v>0.96742399999999995</v>
      </c>
      <c r="Y6412">
        <v>-0.27277709999999999</v>
      </c>
      <c r="Z6412">
        <v>3.6885609999999999E-2</v>
      </c>
      <c r="AA6412">
        <v>0.9613699</v>
      </c>
      <c r="AB6412">
        <v>23</v>
      </c>
      <c r="AC6412">
        <v>14.169699999999899</v>
      </c>
      <c r="AD6412">
        <v>-1.1170468899403001</v>
      </c>
      <c r="AE6412">
        <v>-1.9179199999999901</v>
      </c>
      <c r="AF6412">
        <v>-3.9360371560348399</v>
      </c>
      <c r="AG6412">
        <v>-1.1170468899403001</v>
      </c>
      <c r="AH6412">
        <v>13.656262308629699</v>
      </c>
      <c r="AI6412">
        <v>94.494088319413294</v>
      </c>
      <c r="AJ6412">
        <v>106.078152731383</v>
      </c>
      <c r="AK6412">
        <v>14.256005137839701</v>
      </c>
      <c r="AL6412">
        <v>80.028778298305596</v>
      </c>
      <c r="AM6412">
        <v>100.80794314980599</v>
      </c>
      <c r="AN6412">
        <v>0.99999993978162305</v>
      </c>
    </row>
    <row r="6413" spans="1:40" x14ac:dyDescent="0.25">
      <c r="A6413" t="str">
        <f>"20190304155232484"</f>
        <v>20190304155232484</v>
      </c>
      <c r="B6413" t="str">
        <f>"1551685952473778"</f>
        <v>1551685952473778</v>
      </c>
      <c r="C6413" t="s">
        <v>40</v>
      </c>
      <c r="D6413">
        <v>4.9732859999999999</v>
      </c>
      <c r="E6413">
        <v>0.46089530000000001</v>
      </c>
      <c r="F6413" t="s">
        <v>41</v>
      </c>
      <c r="G6413">
        <v>-273.30259999999998</v>
      </c>
      <c r="H6413" s="1">
        <v>-7.9386439999999996E-7</v>
      </c>
      <c r="I6413">
        <v>-61.385599999999997</v>
      </c>
      <c r="J6413">
        <v>-287.56180000000001</v>
      </c>
      <c r="K6413">
        <v>1.116989</v>
      </c>
      <c r="L6413">
        <v>-59.519559999999998</v>
      </c>
      <c r="M6413">
        <v>0.91753039999999997</v>
      </c>
      <c r="N6413">
        <v>-1.470247E-2</v>
      </c>
      <c r="O6413">
        <v>-0.39739360000000001</v>
      </c>
      <c r="P6413">
        <v>0.96221420000000002</v>
      </c>
      <c r="Q6413">
        <v>0.16151070000000001</v>
      </c>
      <c r="R6413">
        <v>-0.21922140000000001</v>
      </c>
      <c r="S6413">
        <v>3.066589</v>
      </c>
      <c r="T6413">
        <v>-0.2379937</v>
      </c>
      <c r="U6413">
        <v>-0.40850829999999999</v>
      </c>
      <c r="V6413">
        <v>-0.18394759999999999</v>
      </c>
      <c r="W6413">
        <v>0.17293599999999901</v>
      </c>
      <c r="X6413">
        <v>0.9676034</v>
      </c>
      <c r="Y6413">
        <v>-0.27114080000000002</v>
      </c>
      <c r="Z6413">
        <v>3.6293060000000002E-2</v>
      </c>
      <c r="AA6413">
        <v>0.96185520000000002</v>
      </c>
      <c r="AB6413">
        <v>23</v>
      </c>
      <c r="AC6413">
        <v>14.2592</v>
      </c>
      <c r="AD6413">
        <v>-1.1169897938644</v>
      </c>
      <c r="AE6413">
        <v>-1.8660399999999899</v>
      </c>
      <c r="AF6413">
        <v>-3.9310779138350398</v>
      </c>
      <c r="AG6413">
        <v>-1.1169897938644</v>
      </c>
      <c r="AH6413">
        <v>13.743383323867899</v>
      </c>
      <c r="AI6413">
        <v>94.468069879057794</v>
      </c>
      <c r="AJ6413">
        <v>105.962341830409</v>
      </c>
      <c r="AK6413">
        <v>14.3381179012801</v>
      </c>
      <c r="AL6413">
        <v>80.041431210479402</v>
      </c>
      <c r="AM6413">
        <v>100.763850894084</v>
      </c>
      <c r="AN6413">
        <v>0.999999959666659</v>
      </c>
    </row>
    <row r="6414" spans="1:40" x14ac:dyDescent="0.25">
      <c r="A6414" t="str">
        <f>"20190304155232499"</f>
        <v>20190304155232499</v>
      </c>
      <c r="B6414" t="str">
        <f>"1551685952493297"</f>
        <v>1551685952493297</v>
      </c>
      <c r="C6414" t="s">
        <v>40</v>
      </c>
      <c r="D6414">
        <v>4.6235359999999996</v>
      </c>
      <c r="E6414">
        <v>0.46178409999999898</v>
      </c>
      <c r="F6414" t="s">
        <v>41</v>
      </c>
      <c r="G6414">
        <v>-273.2158</v>
      </c>
      <c r="H6414" s="1">
        <v>-7.4991519999999999E-7</v>
      </c>
      <c r="I6414">
        <v>-61.355319999999899</v>
      </c>
      <c r="J6414">
        <v>-287.42880000000002</v>
      </c>
      <c r="K6414">
        <v>1.1169309999999999</v>
      </c>
      <c r="L6414">
        <v>-59.569459999999999</v>
      </c>
      <c r="M6414">
        <v>0.92002209999999995</v>
      </c>
      <c r="N6414">
        <v>-1.468919E-2</v>
      </c>
      <c r="O6414">
        <v>-0.39159129999999998</v>
      </c>
      <c r="P6414">
        <v>0.96338179999999995</v>
      </c>
      <c r="Q6414">
        <v>0.16155749999999999</v>
      </c>
      <c r="R6414">
        <v>-0.2139982</v>
      </c>
      <c r="S6414">
        <v>3.06839</v>
      </c>
      <c r="T6414">
        <v>-0.2389066</v>
      </c>
      <c r="U6414">
        <v>-0.39263920000000002</v>
      </c>
      <c r="V6414">
        <v>-0.18305679999999999</v>
      </c>
      <c r="W6414">
        <v>0.1730121</v>
      </c>
      <c r="X6414">
        <v>0.96775880000000003</v>
      </c>
      <c r="Y6414">
        <v>-0.27002859999999901</v>
      </c>
      <c r="Z6414">
        <v>3.6073979999999999E-2</v>
      </c>
      <c r="AA6414">
        <v>0.96217629999999998</v>
      </c>
      <c r="AB6414">
        <v>23</v>
      </c>
      <c r="AC6414">
        <v>14.212999999999999</v>
      </c>
      <c r="AD6414">
        <v>-1.1169317499151901</v>
      </c>
      <c r="AE6414">
        <v>-1.78585999999999</v>
      </c>
      <c r="AF6414">
        <v>-3.8993725597841702</v>
      </c>
      <c r="AG6414">
        <v>-1.1169317499151901</v>
      </c>
      <c r="AH6414">
        <v>13.693832780548901</v>
      </c>
      <c r="AI6414">
        <v>94.485448572043893</v>
      </c>
      <c r="AJ6414">
        <v>105.894510909663</v>
      </c>
      <c r="AK6414">
        <v>14.281936112292399</v>
      </c>
      <c r="AL6414">
        <v>80.0370050485636</v>
      </c>
      <c r="AM6414">
        <v>100.711253765655</v>
      </c>
      <c r="AN6414">
        <v>1.0000000368750399</v>
      </c>
    </row>
    <row r="6415" spans="1:40" x14ac:dyDescent="0.25">
      <c r="A6415" t="str">
        <f>"20190304155232509"</f>
        <v>20190304155232509</v>
      </c>
      <c r="B6415" t="str">
        <f>"1551685952503057"</f>
        <v>1551685952503057</v>
      </c>
      <c r="C6415" t="s">
        <v>40</v>
      </c>
      <c r="D6415">
        <v>4.5976819999999998</v>
      </c>
      <c r="E6415">
        <v>0.46217639999999999</v>
      </c>
      <c r="F6415" t="s">
        <v>41</v>
      </c>
      <c r="G6415">
        <v>-272.85669999999999</v>
      </c>
      <c r="H6415" s="1">
        <v>-6.0273849999999997E-7</v>
      </c>
      <c r="I6415">
        <v>-61.38626</v>
      </c>
      <c r="J6415">
        <v>-287.32229999999998</v>
      </c>
      <c r="K6415">
        <v>1.116884</v>
      </c>
      <c r="L6415">
        <v>-59.60895</v>
      </c>
      <c r="M6415">
        <v>0.92197689999999999</v>
      </c>
      <c r="N6415">
        <v>-1.467861E-2</v>
      </c>
      <c r="O6415">
        <v>-0.3869669</v>
      </c>
      <c r="P6415">
        <v>0.9642444</v>
      </c>
      <c r="Q6415">
        <v>0.1616918</v>
      </c>
      <c r="R6415">
        <v>-0.2099733</v>
      </c>
      <c r="S6415">
        <v>3.0684809999999998</v>
      </c>
      <c r="T6415">
        <v>-0.2351953</v>
      </c>
      <c r="U6415">
        <v>-0.38256839999999998</v>
      </c>
      <c r="V6415">
        <v>-0.18220990000000001</v>
      </c>
      <c r="W6415">
        <v>0.17317179999999999</v>
      </c>
      <c r="X6415">
        <v>0.96789000000000003</v>
      </c>
      <c r="Y6415">
        <v>-0.26837260000000002</v>
      </c>
      <c r="Z6415">
        <v>3.5140360000000002E-2</v>
      </c>
      <c r="AA6415">
        <v>0.96267400000000003</v>
      </c>
      <c r="AB6415">
        <v>23</v>
      </c>
      <c r="AC6415">
        <v>14.465599999999901</v>
      </c>
      <c r="AD6415">
        <v>-1.1168846027385</v>
      </c>
      <c r="AE6415">
        <v>-1.7773099999999999</v>
      </c>
      <c r="AF6415">
        <v>-3.9363786053133101</v>
      </c>
      <c r="AG6415">
        <v>-1.1168846027385</v>
      </c>
      <c r="AH6415">
        <v>13.9443279407358</v>
      </c>
      <c r="AI6415">
        <v>94.407842188960203</v>
      </c>
      <c r="AJ6415">
        <v>105.76397292078001</v>
      </c>
      <c r="AK6415">
        <v>14.532267182342499</v>
      </c>
      <c r="AL6415">
        <v>80.027714168872293</v>
      </c>
      <c r="AM6415">
        <v>100.66142545723601</v>
      </c>
      <c r="AN6415">
        <v>0.99999998603662499</v>
      </c>
    </row>
    <row r="6416" spans="1:40" x14ac:dyDescent="0.25">
      <c r="A6416" t="str">
        <f>"20190304155232521"</f>
        <v>20190304155232521</v>
      </c>
      <c r="B6416" t="str">
        <f>"1551685952513794"</f>
        <v>1551685952513794</v>
      </c>
      <c r="C6416" t="s">
        <v>40</v>
      </c>
      <c r="D6416">
        <v>4.5940899999999996</v>
      </c>
      <c r="E6416">
        <v>0.46262940000000002</v>
      </c>
      <c r="F6416" t="s">
        <v>41</v>
      </c>
      <c r="G6416">
        <v>-272.66820000000001</v>
      </c>
      <c r="H6416" s="1">
        <v>-5.2229529999999996E-7</v>
      </c>
      <c r="I6416">
        <v>-61.388109999999998</v>
      </c>
      <c r="J6416">
        <v>-287.21289999999999</v>
      </c>
      <c r="K6416">
        <v>1.11683</v>
      </c>
      <c r="L6416">
        <v>-59.648679999999999</v>
      </c>
      <c r="M6416">
        <v>0.92393979999999998</v>
      </c>
      <c r="N6416">
        <v>-1.4667060000000001E-2</v>
      </c>
      <c r="O6416">
        <v>-0.38225690000000001</v>
      </c>
      <c r="P6416">
        <v>0.96509199999999995</v>
      </c>
      <c r="Q6416">
        <v>0.1620019</v>
      </c>
      <c r="R6416">
        <v>-0.2057988</v>
      </c>
      <c r="S6416">
        <v>3.0693359999999998</v>
      </c>
      <c r="T6416">
        <v>-0.2339339</v>
      </c>
      <c r="U6416">
        <v>-0.37265009999999998</v>
      </c>
      <c r="V6416">
        <v>-0.18141940000000001</v>
      </c>
      <c r="W6416">
        <v>0.17350660000000001</v>
      </c>
      <c r="X6416">
        <v>0.96797849999999996</v>
      </c>
      <c r="Y6416">
        <v>-0.26658599999999999</v>
      </c>
      <c r="Z6416">
        <v>3.4598240000000002E-2</v>
      </c>
      <c r="AA6416">
        <v>0.96318999999999999</v>
      </c>
      <c r="AB6416">
        <v>23</v>
      </c>
      <c r="AC6416">
        <v>14.544699999999899</v>
      </c>
      <c r="AD6416">
        <v>-1.1168305222953001</v>
      </c>
      <c r="AE6416">
        <v>-1.73942999999999</v>
      </c>
      <c r="AF6416">
        <v>-3.93026165892298</v>
      </c>
      <c r="AG6416">
        <v>-1.1168305222953001</v>
      </c>
      <c r="AH6416">
        <v>14.023334896332599</v>
      </c>
      <c r="AI6416">
        <v>94.385201061073701</v>
      </c>
      <c r="AJ6416">
        <v>105.65636937118801</v>
      </c>
      <c r="AK6416">
        <v>14.606443397960801</v>
      </c>
      <c r="AL6416">
        <v>80.008236409075394</v>
      </c>
      <c r="AM6416">
        <v>100.615276943133</v>
      </c>
      <c r="AN6416">
        <v>0.99999995770108396</v>
      </c>
    </row>
    <row r="6417" spans="1:40" x14ac:dyDescent="0.25">
      <c r="A6417" t="str">
        <f>"20190304155232533"</f>
        <v>20190304155232533</v>
      </c>
      <c r="B6417" t="str">
        <f>"1551685952523554"</f>
        <v>1551685952523554</v>
      </c>
      <c r="C6417" t="s">
        <v>40</v>
      </c>
      <c r="D6417">
        <v>4.591793</v>
      </c>
      <c r="E6417">
        <v>0.46297650000000001</v>
      </c>
      <c r="F6417" t="s">
        <v>41</v>
      </c>
      <c r="G6417">
        <v>-272.38979999999998</v>
      </c>
      <c r="H6417" s="1">
        <v>-4.0563179999999998E-7</v>
      </c>
      <c r="I6417">
        <v>-61.400519999999901</v>
      </c>
      <c r="J6417">
        <v>-287.1044</v>
      </c>
      <c r="K6417">
        <v>1.1167819999999999</v>
      </c>
      <c r="L6417">
        <v>-59.687649999999998</v>
      </c>
      <c r="M6417">
        <v>0.92584759999999999</v>
      </c>
      <c r="N6417">
        <v>-1.465545E-2</v>
      </c>
      <c r="O6417">
        <v>-0.37761339999999999</v>
      </c>
      <c r="P6417">
        <v>0.9660128</v>
      </c>
      <c r="Q6417">
        <v>0.16177269999999999</v>
      </c>
      <c r="R6417">
        <v>-0.20161670000000001</v>
      </c>
      <c r="S6417">
        <v>3.0700069999999999</v>
      </c>
      <c r="T6417">
        <v>-0.23130729999999999</v>
      </c>
      <c r="U6417">
        <v>-0.36282350000000002</v>
      </c>
      <c r="V6417">
        <v>-0.18073919999999999</v>
      </c>
      <c r="W6417">
        <v>0.17330190000000001</v>
      </c>
      <c r="X6417">
        <v>0.96814239999999996</v>
      </c>
      <c r="Y6417">
        <v>-0.26486169999999998</v>
      </c>
      <c r="Z6417">
        <v>3.3846639999999997E-2</v>
      </c>
      <c r="AA6417">
        <v>0.9636922</v>
      </c>
      <c r="AB6417">
        <v>23</v>
      </c>
      <c r="AC6417">
        <v>14.714600000000001</v>
      </c>
      <c r="AD6417">
        <v>-1.1167824056318001</v>
      </c>
      <c r="AE6417">
        <v>-1.7128699999999899</v>
      </c>
      <c r="AF6417">
        <v>-3.94855860779019</v>
      </c>
      <c r="AG6417">
        <v>-1.1167824056318001</v>
      </c>
      <c r="AH6417">
        <v>14.1911578189726</v>
      </c>
      <c r="AI6417">
        <v>94.335620129497002</v>
      </c>
      <c r="AJ6417">
        <v>105.54873503885</v>
      </c>
      <c r="AK6417">
        <v>14.772517668416301</v>
      </c>
      <c r="AL6417">
        <v>80.020145257239605</v>
      </c>
      <c r="AM6417">
        <v>100.574626312902</v>
      </c>
      <c r="AN6417">
        <v>0.999999956819004</v>
      </c>
    </row>
    <row r="6418" spans="1:40" x14ac:dyDescent="0.25">
      <c r="A6418" t="str">
        <f>"20190304155232543"</f>
        <v>20190304155232543</v>
      </c>
      <c r="B6418" t="str">
        <f>"1551685952533821"</f>
        <v>1551685952533821</v>
      </c>
      <c r="C6418" t="s">
        <v>40</v>
      </c>
      <c r="D6418">
        <v>4.569769</v>
      </c>
      <c r="E6418">
        <v>0.46335290000000001</v>
      </c>
      <c r="F6418" t="s">
        <v>41</v>
      </c>
      <c r="G6418">
        <v>-272.26089999999999</v>
      </c>
      <c r="H6418" s="1">
        <v>-3.4782359999999998E-7</v>
      </c>
      <c r="I6418">
        <v>-61.389400000000002</v>
      </c>
      <c r="J6418">
        <v>-286.99599999999998</v>
      </c>
      <c r="K6418">
        <v>1.116727</v>
      </c>
      <c r="L6418">
        <v>-59.726069999999901</v>
      </c>
      <c r="M6418">
        <v>0.92771459999999994</v>
      </c>
      <c r="N6418">
        <v>-1.464356E-2</v>
      </c>
      <c r="O6418">
        <v>-0.37300290000000003</v>
      </c>
      <c r="P6418">
        <v>0.96673399999999998</v>
      </c>
      <c r="Q6418">
        <v>0.16209789999999999</v>
      </c>
      <c r="R6418">
        <v>-0.19786210000000001</v>
      </c>
      <c r="S6418">
        <v>3.07077</v>
      </c>
      <c r="T6418">
        <v>-0.23103570000000001</v>
      </c>
      <c r="U6418">
        <v>-0.3520508</v>
      </c>
      <c r="V6418">
        <v>-0.17964279999999999</v>
      </c>
      <c r="W6418">
        <v>0.1736578</v>
      </c>
      <c r="X6418">
        <v>0.96828270000000005</v>
      </c>
      <c r="Y6418">
        <v>-0.26344430000000002</v>
      </c>
      <c r="Z6418">
        <v>3.3495490000000003E-2</v>
      </c>
      <c r="AA6418">
        <v>0.96409290000000003</v>
      </c>
      <c r="AB6418">
        <v>23</v>
      </c>
      <c r="AC6418">
        <v>14.7350999999999</v>
      </c>
      <c r="AD6418">
        <v>-1.1167273478235999</v>
      </c>
      <c r="AE6418">
        <v>-1.66333</v>
      </c>
      <c r="AF6418">
        <v>-3.9312677311533002</v>
      </c>
      <c r="AG6418">
        <v>-1.1167273478235999</v>
      </c>
      <c r="AH6418">
        <v>14.2113289836331</v>
      </c>
      <c r="AI6418">
        <v>94.331067951416301</v>
      </c>
      <c r="AJ6418">
        <v>105.46299521400999</v>
      </c>
      <c r="AK6418">
        <v>14.787285667912</v>
      </c>
      <c r="AL6418">
        <v>79.999439944151703</v>
      </c>
      <c r="AM6418">
        <v>100.510423372511</v>
      </c>
      <c r="AN6418">
        <v>0.99999997710598398</v>
      </c>
    </row>
    <row r="6419" spans="1:40" x14ac:dyDescent="0.25">
      <c r="A6419" t="str">
        <f>"20190304155232554"</f>
        <v>20190304155232554</v>
      </c>
      <c r="B6419" t="str">
        <f>"1551685952543581"</f>
        <v>1551685952543581</v>
      </c>
      <c r="C6419" t="s">
        <v>40</v>
      </c>
      <c r="D6419">
        <v>4.539593</v>
      </c>
      <c r="E6419">
        <v>0.46374140000000003</v>
      </c>
      <c r="F6419" t="s">
        <v>41</v>
      </c>
      <c r="G6419">
        <v>-272.01780000000002</v>
      </c>
      <c r="H6419" s="1">
        <v>-2.4546830000000001E-7</v>
      </c>
      <c r="I6419">
        <v>-61.398110000000003</v>
      </c>
      <c r="J6419">
        <v>-286.89780000000002</v>
      </c>
      <c r="K6419">
        <v>1.1166769999999999</v>
      </c>
      <c r="L6419">
        <v>-59.760219999999997</v>
      </c>
      <c r="M6419">
        <v>0.92936669999999999</v>
      </c>
      <c r="N6419">
        <v>-1.463209E-2</v>
      </c>
      <c r="O6419">
        <v>-0.36886790000000003</v>
      </c>
      <c r="P6419">
        <v>0.96742430000000001</v>
      </c>
      <c r="Q6419">
        <v>0.16225719999999999</v>
      </c>
      <c r="R6419">
        <v>-0.194327</v>
      </c>
      <c r="S6419">
        <v>3.0714109999999999</v>
      </c>
      <c r="T6419">
        <v>-0.22899430000000001</v>
      </c>
      <c r="U6419">
        <v>-0.34286499999999998</v>
      </c>
      <c r="V6419">
        <v>-0.178839</v>
      </c>
      <c r="W6419">
        <v>0.17384150000000001</v>
      </c>
      <c r="X6419">
        <v>0.9683986</v>
      </c>
      <c r="Y6419">
        <v>-0.26205719999999999</v>
      </c>
      <c r="Z6419">
        <v>3.2889670000000003E-2</v>
      </c>
      <c r="AA6419">
        <v>0.96449169999999995</v>
      </c>
      <c r="AB6419">
        <v>23</v>
      </c>
      <c r="AC6419">
        <v>14.8799999999999</v>
      </c>
      <c r="AD6419">
        <v>-1.1166772454683001</v>
      </c>
      <c r="AE6419">
        <v>-1.6378899999999901</v>
      </c>
      <c r="AF6419">
        <v>-3.9450266892864199</v>
      </c>
      <c r="AG6419">
        <v>-1.1166772454683001</v>
      </c>
      <c r="AH6419">
        <v>14.3548101515204</v>
      </c>
      <c r="AI6419">
        <v>94.289725962049999</v>
      </c>
      <c r="AJ6419">
        <v>105.366802814575</v>
      </c>
      <c r="AK6419">
        <v>14.9288572280641</v>
      </c>
      <c r="AL6419">
        <v>79.988752901343403</v>
      </c>
      <c r="AM6419">
        <v>100.46321153226501</v>
      </c>
      <c r="AN6419">
        <v>1.0000000517626</v>
      </c>
    </row>
    <row r="6420" spans="1:40" x14ac:dyDescent="0.25">
      <c r="A6420" t="str">
        <f>"20190304155232567"</f>
        <v>20190304155232567</v>
      </c>
      <c r="B6420" t="str">
        <f>"1551685952563102"</f>
        <v>1551685952563102</v>
      </c>
      <c r="C6420" t="s">
        <v>40</v>
      </c>
      <c r="D6420">
        <v>4.5145819999999999</v>
      </c>
      <c r="E6420">
        <v>0.46469670000000002</v>
      </c>
      <c r="F6420" t="s">
        <v>41</v>
      </c>
      <c r="G6420">
        <v>-271.85809999999998</v>
      </c>
      <c r="H6420" s="1">
        <v>-1.7705070000000001E-7</v>
      </c>
      <c r="I6420">
        <v>-61.398429999999998</v>
      </c>
      <c r="J6420">
        <v>-286.78050000000002</v>
      </c>
      <c r="K6420">
        <v>1.116614</v>
      </c>
      <c r="L6420">
        <v>-59.800629999999998</v>
      </c>
      <c r="M6420">
        <v>0.93130429999999997</v>
      </c>
      <c r="N6420">
        <v>-1.461841E-2</v>
      </c>
      <c r="O6420">
        <v>-0.36394870000000001</v>
      </c>
      <c r="P6420">
        <v>0.96826489999999998</v>
      </c>
      <c r="Q6420">
        <v>0.1623628</v>
      </c>
      <c r="R6420">
        <v>-0.1900038</v>
      </c>
      <c r="S6420">
        <v>3.0720519999999998</v>
      </c>
      <c r="T6420">
        <v>-0.2280961</v>
      </c>
      <c r="U6420">
        <v>-0.33462520000000001</v>
      </c>
      <c r="V6420">
        <v>-0.17801040000000001</v>
      </c>
      <c r="W6420">
        <v>0.1739743</v>
      </c>
      <c r="X6420">
        <v>0.96852729999999998</v>
      </c>
      <c r="Y6420">
        <v>-0.25956010000000002</v>
      </c>
      <c r="Z6420">
        <v>3.2377309999999999E-2</v>
      </c>
      <c r="AA6420">
        <v>0.96518400000000004</v>
      </c>
      <c r="AB6420">
        <v>23</v>
      </c>
      <c r="AC6420">
        <v>14.9224</v>
      </c>
      <c r="AD6420">
        <v>-1.1166141770506901</v>
      </c>
      <c r="AE6420">
        <v>-1.5977999999999899</v>
      </c>
      <c r="AF6420">
        <v>-3.9216619095235701</v>
      </c>
      <c r="AG6420">
        <v>-1.1166141770506901</v>
      </c>
      <c r="AH6420">
        <v>14.4006407736999</v>
      </c>
      <c r="AI6420">
        <v>94.278592265944397</v>
      </c>
      <c r="AJ6420">
        <v>105.233691100835</v>
      </c>
      <c r="AK6420">
        <v>14.966787031495601</v>
      </c>
      <c r="AL6420">
        <v>79.981025204820298</v>
      </c>
      <c r="AM6420">
        <v>100.414442816861</v>
      </c>
      <c r="AN6420">
        <v>0.999999945206968</v>
      </c>
    </row>
    <row r="6421" spans="1:40" x14ac:dyDescent="0.25">
      <c r="A6421" t="str">
        <f>"20190304155232576"</f>
        <v>20190304155232576</v>
      </c>
      <c r="B6421" t="str">
        <f>"1551685952573837"</f>
        <v>1551685952573837</v>
      </c>
      <c r="C6421" t="s">
        <v>40</v>
      </c>
      <c r="D6421">
        <v>4.5489810000000004</v>
      </c>
      <c r="E6421">
        <v>0.46469670000000002</v>
      </c>
      <c r="F6421" t="s">
        <v>41</v>
      </c>
      <c r="G6421">
        <v>-271.6003</v>
      </c>
      <c r="H6421" s="1">
        <v>-7.169155E-8</v>
      </c>
      <c r="I6421">
        <v>-61.421990000000001</v>
      </c>
      <c r="J6421">
        <v>-286.6859</v>
      </c>
      <c r="K6421">
        <v>1.11656</v>
      </c>
      <c r="L6421">
        <v>-59.83249</v>
      </c>
      <c r="M6421">
        <v>0.93282319999999996</v>
      </c>
      <c r="N6421">
        <v>-1.460639E-2</v>
      </c>
      <c r="O6421">
        <v>-0.36003859999999999</v>
      </c>
      <c r="P6421">
        <v>0.96881320000000004</v>
      </c>
      <c r="Q6421">
        <v>0.16287389999999999</v>
      </c>
      <c r="R6421">
        <v>-0.18674360000000001</v>
      </c>
      <c r="S6421">
        <v>3.0718380000000001</v>
      </c>
      <c r="T6421">
        <v>-0.22595509999999999</v>
      </c>
      <c r="U6421">
        <v>-0.32809450000000001</v>
      </c>
      <c r="V6421">
        <v>-0.17715880000000001</v>
      </c>
      <c r="W6421">
        <v>0.1745101</v>
      </c>
      <c r="X6421">
        <v>0.96858710000000003</v>
      </c>
      <c r="Y6421">
        <v>-0.25756980000000002</v>
      </c>
      <c r="Z6421">
        <v>3.1757939999999998E-2</v>
      </c>
      <c r="AA6421">
        <v>0.96573759999999997</v>
      </c>
      <c r="AB6421">
        <v>23</v>
      </c>
      <c r="AC6421">
        <v>15.085599999999999</v>
      </c>
      <c r="AD6421">
        <v>-1.11656007169155</v>
      </c>
      <c r="AE6421">
        <v>-1.5894999999999999</v>
      </c>
      <c r="AF6421">
        <v>-3.9278154410071102</v>
      </c>
      <c r="AG6421">
        <v>-1.11656007169155</v>
      </c>
      <c r="AH6421">
        <v>14.567113972312599</v>
      </c>
      <c r="AI6421">
        <v>94.232533206049197</v>
      </c>
      <c r="AJ6421">
        <v>105.090124111077</v>
      </c>
      <c r="AK6421">
        <v>15.128623533377199</v>
      </c>
      <c r="AL6421">
        <v>79.949849703361295</v>
      </c>
      <c r="AM6421">
        <v>100.365076680719</v>
      </c>
      <c r="AN6421">
        <v>0.99999999285292995</v>
      </c>
    </row>
    <row r="6422" spans="1:40" x14ac:dyDescent="0.25">
      <c r="A6422" t="str">
        <f>"20190304155232588"</f>
        <v>20190304155232588</v>
      </c>
      <c r="B6422" t="str">
        <f>"1551685952583598"</f>
        <v>1551685952583598</v>
      </c>
      <c r="C6422" t="s">
        <v>40</v>
      </c>
      <c r="D6422">
        <v>4.5025219999999999</v>
      </c>
      <c r="E6422">
        <v>0.47937220000000003</v>
      </c>
      <c r="F6422" t="s">
        <v>41</v>
      </c>
      <c r="G6422">
        <v>-271.38670000000002</v>
      </c>
      <c r="H6422" s="1">
        <v>2.186312E-8</v>
      </c>
      <c r="I6422">
        <v>-61.413350000000001</v>
      </c>
      <c r="J6422">
        <v>-286.57870000000003</v>
      </c>
      <c r="K6422">
        <v>1.1165</v>
      </c>
      <c r="L6422">
        <v>-59.868499999999997</v>
      </c>
      <c r="M6422">
        <v>0.93452159999999995</v>
      </c>
      <c r="N6422">
        <v>-1.459323E-2</v>
      </c>
      <c r="O6422">
        <v>-0.35560730000000002</v>
      </c>
      <c r="P6422">
        <v>0.96949609999999997</v>
      </c>
      <c r="Q6422">
        <v>0.16295299999999999</v>
      </c>
      <c r="R6422">
        <v>-0.18309500000000001</v>
      </c>
      <c r="S6422">
        <v>3.0730590000000002</v>
      </c>
      <c r="T6422">
        <v>-0.22427610000000001</v>
      </c>
      <c r="U6422">
        <v>-0.31753540000000002</v>
      </c>
      <c r="V6422">
        <v>-0.1761761</v>
      </c>
      <c r="W6422">
        <v>0.17461849999999901</v>
      </c>
      <c r="X6422">
        <v>0.96874680000000002</v>
      </c>
      <c r="Y6422">
        <v>-0.2563396</v>
      </c>
      <c r="Z6422">
        <v>3.1208759999999999E-2</v>
      </c>
      <c r="AA6422">
        <v>0.96608280000000002</v>
      </c>
      <c r="AB6422">
        <v>23</v>
      </c>
      <c r="AC6422">
        <v>15.192</v>
      </c>
      <c r="AD6422">
        <v>-1.1164999781368701</v>
      </c>
      <c r="AE6422">
        <v>-1.5448500000000001</v>
      </c>
      <c r="AF6422">
        <v>-3.9380593144427798</v>
      </c>
      <c r="AG6422">
        <v>-1.1164999781368701</v>
      </c>
      <c r="AH6422">
        <v>14.669758706374701</v>
      </c>
      <c r="AI6422">
        <v>94.204047848687097</v>
      </c>
      <c r="AJ6422">
        <v>105.026632370578</v>
      </c>
      <c r="AK6422">
        <v>15.230124880266301</v>
      </c>
      <c r="AL6422">
        <v>79.943542069825895</v>
      </c>
      <c r="AM6422">
        <v>100.307154732702</v>
      </c>
      <c r="AN6422">
        <v>1.0000000006318499</v>
      </c>
    </row>
    <row r="6423" spans="1:40" x14ac:dyDescent="0.25">
      <c r="A6423" t="str">
        <f>"20190304155232599"</f>
        <v>20190304155232599</v>
      </c>
      <c r="B6423" t="str">
        <f>"1551685952593359"</f>
        <v>1551685952593359</v>
      </c>
      <c r="C6423" t="s">
        <v>40</v>
      </c>
      <c r="D6423">
        <v>4.4768019999999904</v>
      </c>
      <c r="E6423">
        <v>0.47957329999999998</v>
      </c>
      <c r="F6423" t="s">
        <v>102</v>
      </c>
      <c r="G6423">
        <v>-269.53370000000001</v>
      </c>
      <c r="H6423" s="1">
        <v>-3.4575540000000002E-6</v>
      </c>
      <c r="I6423">
        <v>-62.214460000000003</v>
      </c>
      <c r="J6423">
        <v>-286.46570000000003</v>
      </c>
      <c r="K6423">
        <v>1.1164270000000001</v>
      </c>
      <c r="L6423">
        <v>-59.905520000000003</v>
      </c>
      <c r="M6423">
        <v>0.93625550000000002</v>
      </c>
      <c r="N6423">
        <v>-1.457816E-2</v>
      </c>
      <c r="O6423">
        <v>-0.35101749999999998</v>
      </c>
      <c r="P6423">
        <v>0.97016559999999996</v>
      </c>
      <c r="Q6423">
        <v>0.16323180000000001</v>
      </c>
      <c r="R6423">
        <v>-0.1792598</v>
      </c>
      <c r="S6423">
        <v>3.0487060000000001</v>
      </c>
      <c r="T6423">
        <v>-0.19970060000000001</v>
      </c>
      <c r="U6423">
        <v>-0.41961670000000001</v>
      </c>
      <c r="V6423">
        <v>-0.1752087</v>
      </c>
      <c r="W6423">
        <v>0.17492750000000001</v>
      </c>
      <c r="X6423">
        <v>0.96886649999999996</v>
      </c>
      <c r="Y6423">
        <v>-0.2191312</v>
      </c>
      <c r="Z6423">
        <v>2.5887739999999999E-2</v>
      </c>
      <c r="AA6423">
        <v>0.97535190000000005</v>
      </c>
      <c r="AB6423">
        <v>23</v>
      </c>
      <c r="AC6423">
        <v>16.931999999999999</v>
      </c>
      <c r="AD6423">
        <v>-1.1164304575540001</v>
      </c>
      <c r="AE6423">
        <v>-2.3089400000000002</v>
      </c>
      <c r="AF6423">
        <v>-3.7659980809595899</v>
      </c>
      <c r="AG6423">
        <v>-1.1164304575540001</v>
      </c>
      <c r="AH6423">
        <v>16.5940990108497</v>
      </c>
      <c r="AI6423">
        <v>93.753814987736305</v>
      </c>
      <c r="AJ6423">
        <v>102.786574785613</v>
      </c>
      <c r="AK6423">
        <v>17.052661976777401</v>
      </c>
      <c r="AL6423">
        <v>79.925560984576094</v>
      </c>
      <c r="AM6423">
        <v>100.250520902237</v>
      </c>
      <c r="AN6423">
        <v>1.00000000681709</v>
      </c>
    </row>
    <row r="6424" spans="1:40" x14ac:dyDescent="0.25">
      <c r="A6424" t="str">
        <f>"20190304155232610"</f>
        <v>20190304155232610</v>
      </c>
      <c r="B6424" t="str">
        <f>"1551685952603118"</f>
        <v>1551685952603118</v>
      </c>
      <c r="C6424" t="s">
        <v>40</v>
      </c>
      <c r="D6424">
        <v>4.5192930000000002</v>
      </c>
      <c r="E6424">
        <v>0.47990569999999999</v>
      </c>
      <c r="F6424" t="s">
        <v>41</v>
      </c>
      <c r="G6424">
        <v>-269.32010000000002</v>
      </c>
      <c r="H6424" s="1">
        <v>-3.3829700000000001E-6</v>
      </c>
      <c r="I6424">
        <v>-62.20384</v>
      </c>
      <c r="J6424">
        <v>-286.3603</v>
      </c>
      <c r="K6424">
        <v>1.1163639999999999</v>
      </c>
      <c r="L6424">
        <v>-59.93976</v>
      </c>
      <c r="M6424">
        <v>0.93784250000000002</v>
      </c>
      <c r="N6424">
        <v>-1.456437E-2</v>
      </c>
      <c r="O6424">
        <v>-0.3467558</v>
      </c>
      <c r="P6424">
        <v>0.97078249999999999</v>
      </c>
      <c r="Q6424">
        <v>0.16352809999999901</v>
      </c>
      <c r="R6424">
        <v>-0.17561370000000001</v>
      </c>
      <c r="S6424">
        <v>3.0501399999999999</v>
      </c>
      <c r="T6424">
        <v>-0.19860839999999999</v>
      </c>
      <c r="U6424">
        <v>-0.40887449999999997</v>
      </c>
      <c r="V6424">
        <v>-0.17439969999999999</v>
      </c>
      <c r="W6424">
        <v>0.17524999999999999</v>
      </c>
      <c r="X6424">
        <v>0.96895419999999999</v>
      </c>
      <c r="Y6424">
        <v>-0.21814739999999999</v>
      </c>
      <c r="Z6424">
        <v>2.5493809999999999E-2</v>
      </c>
      <c r="AA6424">
        <v>0.97558279999999997</v>
      </c>
      <c r="AB6424">
        <v>23</v>
      </c>
      <c r="AC6424">
        <v>17.040199999999899</v>
      </c>
      <c r="AD6424">
        <v>-1.1163673829699901</v>
      </c>
      <c r="AE6424">
        <v>-2.2640799999999999</v>
      </c>
      <c r="AF6424">
        <v>-3.7699387154253601</v>
      </c>
      <c r="AG6424">
        <v>-1.1163673829699901</v>
      </c>
      <c r="AH6424">
        <v>16.697459829441499</v>
      </c>
      <c r="AI6424">
        <v>93.73137010312</v>
      </c>
      <c r="AJ6424">
        <v>102.722868697015</v>
      </c>
      <c r="AK6424">
        <v>17.154121335924899</v>
      </c>
      <c r="AL6424">
        <v>79.906793417194194</v>
      </c>
      <c r="AM6424">
        <v>100.203283202834</v>
      </c>
      <c r="AN6424">
        <v>1.00000002977886</v>
      </c>
    </row>
    <row r="6425" spans="1:40" x14ac:dyDescent="0.25">
      <c r="A6425" t="str">
        <f>"20190304155232620"</f>
        <v>20190304155232620</v>
      </c>
      <c r="B6425" t="str">
        <f>"1551685952613853"</f>
        <v>1551685952613853</v>
      </c>
      <c r="C6425" t="s">
        <v>40</v>
      </c>
      <c r="D6425">
        <v>4.4978800000000003</v>
      </c>
      <c r="E6425">
        <v>0.47990569999999999</v>
      </c>
      <c r="F6425" t="s">
        <v>41</v>
      </c>
      <c r="G6425">
        <v>-268.99560000000002</v>
      </c>
      <c r="H6425" s="1">
        <v>-3.2746610000000002E-6</v>
      </c>
      <c r="I6425">
        <v>-62.215739999999997</v>
      </c>
      <c r="J6425">
        <v>-286.26089999999999</v>
      </c>
      <c r="K6425">
        <v>1.1163050000000001</v>
      </c>
      <c r="L6425">
        <v>-59.971499999999999</v>
      </c>
      <c r="M6425">
        <v>0.9393032</v>
      </c>
      <c r="N6425">
        <v>-1.455088E-2</v>
      </c>
      <c r="O6425">
        <v>-0.34277999999999997</v>
      </c>
      <c r="P6425">
        <v>0.97141049999999995</v>
      </c>
      <c r="Q6425">
        <v>0.16332929999999901</v>
      </c>
      <c r="R6425">
        <v>-0.17229659999999999</v>
      </c>
      <c r="S6425">
        <v>3.0509949999999999</v>
      </c>
      <c r="T6425">
        <v>-0.1961464</v>
      </c>
      <c r="U6425">
        <v>-0.39990229999999999</v>
      </c>
      <c r="V6425">
        <v>-0.17358589999999999</v>
      </c>
      <c r="W6425">
        <v>0.17507679999999901</v>
      </c>
      <c r="X6425">
        <v>0.96913159999999998</v>
      </c>
      <c r="Y6425">
        <v>-0.21690139999999999</v>
      </c>
      <c r="Z6425">
        <v>2.4910740000000001E-2</v>
      </c>
      <c r="AA6425">
        <v>0.97587559999999995</v>
      </c>
      <c r="AB6425">
        <v>23</v>
      </c>
      <c r="AC6425">
        <v>17.2652999999999</v>
      </c>
      <c r="AD6425">
        <v>-1.11630827466099</v>
      </c>
      <c r="AE6425">
        <v>-2.24424</v>
      </c>
      <c r="AF6425">
        <v>-3.79497944955388</v>
      </c>
      <c r="AG6425">
        <v>-1.11630827466099</v>
      </c>
      <c r="AH6425">
        <v>16.918874804768901</v>
      </c>
      <c r="AI6425">
        <v>93.683639163823301</v>
      </c>
      <c r="AJ6425">
        <v>102.64244781043899</v>
      </c>
      <c r="AK6425">
        <v>17.375164397670002</v>
      </c>
      <c r="AL6425">
        <v>79.916872621603503</v>
      </c>
      <c r="AM6425">
        <v>100.154844626374</v>
      </c>
      <c r="AN6425">
        <v>1.0000000043477999</v>
      </c>
    </row>
    <row r="6426" spans="1:40" x14ac:dyDescent="0.25">
      <c r="A6426" t="str">
        <f>"20190304155232633"</f>
        <v>20190304155232633</v>
      </c>
      <c r="B6426" t="str">
        <f>"1551685952623614"</f>
        <v>1551685952623614</v>
      </c>
      <c r="C6426" t="s">
        <v>40</v>
      </c>
      <c r="D6426">
        <v>4.4986610000000002</v>
      </c>
      <c r="E6426">
        <v>0.48820940000000002</v>
      </c>
      <c r="F6426" t="s">
        <v>41</v>
      </c>
      <c r="G6426">
        <v>-268.94499999999999</v>
      </c>
      <c r="H6426" s="1">
        <v>-3.2513210000000001E-6</v>
      </c>
      <c r="I6426">
        <v>-62.181229999999999</v>
      </c>
      <c r="J6426">
        <v>-286.14440000000002</v>
      </c>
      <c r="K6426">
        <v>1.1162350000000001</v>
      </c>
      <c r="L6426">
        <v>-60.008209999999998</v>
      </c>
      <c r="M6426">
        <v>0.94097640000000005</v>
      </c>
      <c r="N6426">
        <v>-1.45352E-2</v>
      </c>
      <c r="O6426">
        <v>-0.33816000000000002</v>
      </c>
      <c r="P6426">
        <v>0.97207049999999995</v>
      </c>
      <c r="Q6426">
        <v>0.16367670000000001</v>
      </c>
      <c r="R6426">
        <v>-0.1681947</v>
      </c>
      <c r="S6426">
        <v>3.0523069999999999</v>
      </c>
      <c r="T6426">
        <v>-0.196774</v>
      </c>
      <c r="U6426">
        <v>-0.38952639999999999</v>
      </c>
      <c r="V6426">
        <v>-0.1728671</v>
      </c>
      <c r="W6426">
        <v>0.17544949999999901</v>
      </c>
      <c r="X6426">
        <v>0.96919270000000002</v>
      </c>
      <c r="Y6426">
        <v>-0.21542359999999999</v>
      </c>
      <c r="Z6426">
        <v>2.473537E-2</v>
      </c>
      <c r="AA6426">
        <v>0.97620739999999995</v>
      </c>
      <c r="AB6426">
        <v>23</v>
      </c>
      <c r="AC6426">
        <v>17.199400000000001</v>
      </c>
      <c r="AD6426">
        <v>-1.1162382513210001</v>
      </c>
      <c r="AE6426">
        <v>-2.1730200000000002</v>
      </c>
      <c r="AF6426">
        <v>-3.7562143877321001</v>
      </c>
      <c r="AG6426">
        <v>-1.1162382513210001</v>
      </c>
      <c r="AH6426">
        <v>16.850984118338701</v>
      </c>
      <c r="AI6426">
        <v>93.699304816233493</v>
      </c>
      <c r="AJ6426">
        <v>102.56622991219599</v>
      </c>
      <c r="AK6426">
        <v>17.300601149001199</v>
      </c>
      <c r="AL6426">
        <v>79.895182976931906</v>
      </c>
      <c r="AM6426">
        <v>100.113039899055</v>
      </c>
      <c r="AN6426">
        <v>1.00000002552297</v>
      </c>
    </row>
    <row r="6427" spans="1:40" x14ac:dyDescent="0.25">
      <c r="A6427" t="str">
        <f>"20190304155232645"</f>
        <v>20190304155232645</v>
      </c>
      <c r="B6427" t="str">
        <f>"1551685952633880"</f>
        <v>1551685952633880</v>
      </c>
      <c r="C6427" t="s">
        <v>40</v>
      </c>
      <c r="D6427">
        <v>4.4957630000000002</v>
      </c>
      <c r="E6427">
        <v>0.48851099999999997</v>
      </c>
      <c r="F6427" t="s">
        <v>41</v>
      </c>
      <c r="G6427">
        <v>-266.41230000000002</v>
      </c>
      <c r="H6427" s="1">
        <v>-2.4182119999999999E-6</v>
      </c>
      <c r="I6427">
        <v>-62.872</v>
      </c>
      <c r="J6427">
        <v>-286.03050000000002</v>
      </c>
      <c r="K6427">
        <v>1.1161669999999999</v>
      </c>
      <c r="L6427">
        <v>-60.043640000000003</v>
      </c>
      <c r="M6427">
        <v>0.94257489999999999</v>
      </c>
      <c r="N6427">
        <v>-1.451992E-2</v>
      </c>
      <c r="O6427">
        <v>-0.3336788</v>
      </c>
      <c r="P6427">
        <v>0.97269439999999996</v>
      </c>
      <c r="Q6427">
        <v>0.16402929999999999</v>
      </c>
      <c r="R6427">
        <v>-0.1641956</v>
      </c>
      <c r="S6427">
        <v>3.0387879999999998</v>
      </c>
      <c r="T6427">
        <v>-0.171902799999999</v>
      </c>
      <c r="U6427">
        <v>-0.44103999999999999</v>
      </c>
      <c r="V6427">
        <v>-0.1721945</v>
      </c>
      <c r="W6427">
        <v>0.1758255</v>
      </c>
      <c r="X6427">
        <v>0.9692442</v>
      </c>
      <c r="Y6427">
        <v>-0.19420979999999999</v>
      </c>
      <c r="Z6427">
        <v>2.0335550000000001E-2</v>
      </c>
      <c r="AA6427">
        <v>0.98074919999999999</v>
      </c>
      <c r="AB6427">
        <v>23</v>
      </c>
      <c r="AC6427">
        <v>19.618200000000002</v>
      </c>
      <c r="AD6427">
        <v>-1.1161694182120001</v>
      </c>
      <c r="AE6427">
        <v>-2.8283599999999902</v>
      </c>
      <c r="AF6427">
        <v>-3.8683788007736202</v>
      </c>
      <c r="AG6427">
        <v>-1.1161694182120001</v>
      </c>
      <c r="AH6427">
        <v>19.375994701192798</v>
      </c>
      <c r="AI6427">
        <v>93.233256123385601</v>
      </c>
      <c r="AJ6427">
        <v>101.29053934335499</v>
      </c>
      <c r="AK6427">
        <v>19.789880226445899</v>
      </c>
      <c r="AL6427">
        <v>79.873298666329404</v>
      </c>
      <c r="AM6427">
        <v>100.073974791314</v>
      </c>
      <c r="AN6427">
        <v>0.99999993575706703</v>
      </c>
    </row>
    <row r="6428" spans="1:40" x14ac:dyDescent="0.25">
      <c r="A6428" t="str">
        <f>"20190304155232657"</f>
        <v>20190304155232657</v>
      </c>
      <c r="B6428" t="str">
        <f>"1551685952653400"</f>
        <v>1551685952653400</v>
      </c>
      <c r="C6428" t="s">
        <v>40</v>
      </c>
      <c r="D6428">
        <v>4.4694089999999997</v>
      </c>
      <c r="E6428">
        <v>0.48919899999999999</v>
      </c>
      <c r="F6428" t="s">
        <v>41</v>
      </c>
      <c r="G6428">
        <v>-265.4246</v>
      </c>
      <c r="H6428" s="1">
        <v>-2.0184239999999998E-6</v>
      </c>
      <c r="I6428">
        <v>-62.961910000000003</v>
      </c>
      <c r="J6428">
        <v>-285.91919999999999</v>
      </c>
      <c r="K6428">
        <v>1.116101</v>
      </c>
      <c r="L6428">
        <v>-60.077579999999998</v>
      </c>
      <c r="M6428">
        <v>0.94409109999999996</v>
      </c>
      <c r="N6428">
        <v>-1.450479E-2</v>
      </c>
      <c r="O6428">
        <v>-0.32936549999999998</v>
      </c>
      <c r="P6428">
        <v>0.97326299999999999</v>
      </c>
      <c r="Q6428">
        <v>0.1642825</v>
      </c>
      <c r="R6428">
        <v>-0.16053210000000001</v>
      </c>
      <c r="S6428">
        <v>3.0393370000000002</v>
      </c>
      <c r="T6428">
        <v>-0.16463320000000001</v>
      </c>
      <c r="U6428">
        <v>-0.43045040000000001</v>
      </c>
      <c r="V6428">
        <v>-0.17136999999999999</v>
      </c>
      <c r="W6428">
        <v>0.17610479999999901</v>
      </c>
      <c r="X6428">
        <v>0.96933970000000003</v>
      </c>
      <c r="Y6428">
        <v>-0.19316059999999999</v>
      </c>
      <c r="Z6428">
        <v>1.9146360000000001E-2</v>
      </c>
      <c r="AA6428">
        <v>0.98098030000000003</v>
      </c>
      <c r="AB6428">
        <v>23</v>
      </c>
      <c r="AC6428">
        <v>20.494599999999899</v>
      </c>
      <c r="AD6428">
        <v>-1.1161030184239999</v>
      </c>
      <c r="AE6428">
        <v>-2.8843299999999901</v>
      </c>
      <c r="AF6428">
        <v>-4.0158888667676402</v>
      </c>
      <c r="AG6428">
        <v>-1.1161030184239999</v>
      </c>
      <c r="AH6428">
        <v>20.242037427998</v>
      </c>
      <c r="AI6428">
        <v>93.095756445375201</v>
      </c>
      <c r="AJ6428">
        <v>101.221400324835</v>
      </c>
      <c r="AK6428">
        <v>20.6667154762055</v>
      </c>
      <c r="AL6428">
        <v>79.857043115881098</v>
      </c>
      <c r="AM6428">
        <v>100.02575196410299</v>
      </c>
      <c r="AN6428">
        <v>1.0000000157395601</v>
      </c>
    </row>
    <row r="6429" spans="1:40" x14ac:dyDescent="0.25">
      <c r="A6429" t="str">
        <f>"20190304155232670"</f>
        <v>20190304155232670</v>
      </c>
      <c r="B6429" t="str">
        <f>"1551685952663161"</f>
        <v>1551685952663161</v>
      </c>
      <c r="C6429" t="s">
        <v>40</v>
      </c>
      <c r="D6429">
        <v>4.4752729999999996</v>
      </c>
      <c r="E6429">
        <v>0.48971579999999898</v>
      </c>
      <c r="F6429" t="s">
        <v>41</v>
      </c>
      <c r="G6429">
        <v>-265.13249999999999</v>
      </c>
      <c r="H6429" s="1">
        <v>-1.8974560000000001E-6</v>
      </c>
      <c r="I6429">
        <v>-62.978200000000001</v>
      </c>
      <c r="J6429">
        <v>-285.78269999999998</v>
      </c>
      <c r="K6429">
        <v>1.116023</v>
      </c>
      <c r="L6429">
        <v>-60.118650000000002</v>
      </c>
      <c r="M6429">
        <v>0.94590410000000003</v>
      </c>
      <c r="N6429">
        <v>-1.448644E-2</v>
      </c>
      <c r="O6429">
        <v>-0.3241231</v>
      </c>
      <c r="P6429">
        <v>0.97389840000000005</v>
      </c>
      <c r="Q6429">
        <v>0.16477530000000001</v>
      </c>
      <c r="R6429">
        <v>-0.1561121</v>
      </c>
      <c r="S6429">
        <v>3.0400390000000002</v>
      </c>
      <c r="T6429">
        <v>-0.16322979999999901</v>
      </c>
      <c r="U6429">
        <v>-0.42422490000000002</v>
      </c>
      <c r="V6429">
        <v>-0.1703335</v>
      </c>
      <c r="W6429">
        <v>0.1766296</v>
      </c>
      <c r="X6429">
        <v>0.96942689999999998</v>
      </c>
      <c r="Y6429">
        <v>-0.18973809999999999</v>
      </c>
      <c r="Z6429">
        <v>1.8656369999999999E-2</v>
      </c>
      <c r="AA6429">
        <v>0.98165740000000001</v>
      </c>
      <c r="AB6429">
        <v>23</v>
      </c>
      <c r="AC6429">
        <v>20.650199999999899</v>
      </c>
      <c r="AD6429">
        <v>-1.1160248974560001</v>
      </c>
      <c r="AE6429">
        <v>-2.8595499999999898</v>
      </c>
      <c r="AF6429">
        <v>-3.9773664620498899</v>
      </c>
      <c r="AG6429">
        <v>-1.1160248974560001</v>
      </c>
      <c r="AH6429">
        <v>20.403626800732098</v>
      </c>
      <c r="AI6429">
        <v>93.0730799975167</v>
      </c>
      <c r="AJ6429">
        <v>101.03058185606599</v>
      </c>
      <c r="AK6429">
        <v>20.817611346375301</v>
      </c>
      <c r="AL6429">
        <v>79.826495437951394</v>
      </c>
      <c r="AM6429">
        <v>99.965453908984301</v>
      </c>
      <c r="AN6429">
        <v>1.000000015631</v>
      </c>
    </row>
    <row r="6430" spans="1:40" x14ac:dyDescent="0.25">
      <c r="A6430" t="str">
        <f>"20190304155232682"</f>
        <v>20190304155232682</v>
      </c>
      <c r="B6430" t="str">
        <f>"1551685952673896"</f>
        <v>1551685952673896</v>
      </c>
      <c r="C6430" t="s">
        <v>40</v>
      </c>
      <c r="D6430">
        <v>4.4417229999999996</v>
      </c>
      <c r="E6430">
        <v>0.4902859</v>
      </c>
      <c r="F6430" t="s">
        <v>41</v>
      </c>
      <c r="G6430">
        <v>-264.83350000000002</v>
      </c>
      <c r="H6430" s="1">
        <v>-1.767615E-6</v>
      </c>
      <c r="I6430">
        <v>-62.972329999999999</v>
      </c>
      <c r="J6430">
        <v>-285.66079999999999</v>
      </c>
      <c r="K6430">
        <v>1.1159490000000001</v>
      </c>
      <c r="L6430">
        <v>-60.15466</v>
      </c>
      <c r="M6430">
        <v>0.94747179999999998</v>
      </c>
      <c r="N6430">
        <v>-1.446948E-2</v>
      </c>
      <c r="O6430">
        <v>-0.31951210000000002</v>
      </c>
      <c r="P6430">
        <v>0.97454300000000005</v>
      </c>
      <c r="Q6430">
        <v>0.16489609999999999</v>
      </c>
      <c r="R6430">
        <v>-0.15190590000000001</v>
      </c>
      <c r="S6430">
        <v>3.0414119999999998</v>
      </c>
      <c r="T6430">
        <v>-0.1620249</v>
      </c>
      <c r="U6430">
        <v>-0.41430660000000002</v>
      </c>
      <c r="V6430">
        <v>-0.16975770000000001</v>
      </c>
      <c r="W6430">
        <v>0.17677409999999999</v>
      </c>
      <c r="X6430">
        <v>0.96950159999999996</v>
      </c>
      <c r="Y6430">
        <v>-0.18817300000000001</v>
      </c>
      <c r="Z6430">
        <v>1.828016E-2</v>
      </c>
      <c r="AA6430">
        <v>0.9819658</v>
      </c>
      <c r="AB6430">
        <v>23</v>
      </c>
      <c r="AC6430">
        <v>20.827299999999902</v>
      </c>
      <c r="AD6430">
        <v>-1.115950767615</v>
      </c>
      <c r="AE6430">
        <v>-2.8176700000000001</v>
      </c>
      <c r="AF6430">
        <v>-3.97412399168168</v>
      </c>
      <c r="AG6430">
        <v>-1.115950767615</v>
      </c>
      <c r="AH6430">
        <v>20.577702240219899</v>
      </c>
      <c r="AI6430">
        <v>93.047958244401499</v>
      </c>
      <c r="AJ6430">
        <v>100.93082672555499</v>
      </c>
      <c r="AK6430">
        <v>20.987635338554799</v>
      </c>
      <c r="AL6430">
        <v>79.818084249606102</v>
      </c>
      <c r="AM6430">
        <v>99.931688326222002</v>
      </c>
      <c r="AN6430">
        <v>1.00000005577132</v>
      </c>
    </row>
    <row r="6431" spans="1:40" x14ac:dyDescent="0.25">
      <c r="A6431" t="str">
        <f>"20190304155232694"</f>
        <v>20190304155232694</v>
      </c>
      <c r="B6431" t="str">
        <f>"1551685952683658"</f>
        <v>1551685952683658</v>
      </c>
      <c r="C6431" t="s">
        <v>40</v>
      </c>
      <c r="D6431">
        <v>4.4596939999999998</v>
      </c>
      <c r="E6431">
        <v>0.490674</v>
      </c>
      <c r="F6431" t="s">
        <v>41</v>
      </c>
      <c r="G6431">
        <v>-264.76799999999997</v>
      </c>
      <c r="H6431" s="1">
        <v>-1.730975E-6</v>
      </c>
      <c r="I6431">
        <v>-62.940199999999997</v>
      </c>
      <c r="J6431">
        <v>-285.55720000000002</v>
      </c>
      <c r="K6431">
        <v>1.1158840000000001</v>
      </c>
      <c r="L6431">
        <v>-60.184809999999999</v>
      </c>
      <c r="M6431">
        <v>0.94876859999999996</v>
      </c>
      <c r="N6431">
        <v>-1.4454669999999999E-2</v>
      </c>
      <c r="O6431">
        <v>-0.31564130000000001</v>
      </c>
      <c r="P6431">
        <v>0.97509800000000002</v>
      </c>
      <c r="Q6431">
        <v>0.16488029999999901</v>
      </c>
      <c r="R6431">
        <v>-0.14831939999999999</v>
      </c>
      <c r="S6431">
        <v>3.0426329999999999</v>
      </c>
      <c r="T6431">
        <v>-0.16251699999999999</v>
      </c>
      <c r="U6431">
        <v>-0.40567019999999998</v>
      </c>
      <c r="V6431">
        <v>-0.16933689999999901</v>
      </c>
      <c r="W6431">
        <v>0.1767774</v>
      </c>
      <c r="X6431">
        <v>0.96957450000000001</v>
      </c>
      <c r="Y6431">
        <v>-0.1869546</v>
      </c>
      <c r="Z6431">
        <v>1.8168130000000001E-2</v>
      </c>
      <c r="AA6431">
        <v>0.98220059999999998</v>
      </c>
      <c r="AB6431">
        <v>23</v>
      </c>
      <c r="AC6431">
        <v>20.789200000000001</v>
      </c>
      <c r="AD6431">
        <v>-1.1158857309749901</v>
      </c>
      <c r="AE6431">
        <v>-2.75538999999999</v>
      </c>
      <c r="AF6431">
        <v>-3.9369675109231399</v>
      </c>
      <c r="AG6431">
        <v>-1.1158857309749901</v>
      </c>
      <c r="AH6431">
        <v>20.537853655433299</v>
      </c>
      <c r="AI6431">
        <v>93.054494533463199</v>
      </c>
      <c r="AJ6431">
        <v>100.851572676854</v>
      </c>
      <c r="AK6431">
        <v>20.941545953406902</v>
      </c>
      <c r="AL6431">
        <v>79.817891295895294</v>
      </c>
      <c r="AM6431">
        <v>99.906827637791196</v>
      </c>
      <c r="AN6431">
        <v>0.99999997295130905</v>
      </c>
    </row>
    <row r="6432" spans="1:40" x14ac:dyDescent="0.25">
      <c r="A6432" t="str">
        <f>"20190304155232704"</f>
        <v>20190304155232704</v>
      </c>
      <c r="B6432" t="str">
        <f>"1551685952693417"</f>
        <v>1551685952693417</v>
      </c>
      <c r="C6432" t="s">
        <v>40</v>
      </c>
      <c r="D6432">
        <v>4.4485780000000004</v>
      </c>
      <c r="E6432">
        <v>0.49114219999999997</v>
      </c>
      <c r="F6432" t="s">
        <v>41</v>
      </c>
      <c r="G6432">
        <v>-264.62299999999999</v>
      </c>
      <c r="H6432" s="1">
        <v>-1.662748E-6</v>
      </c>
      <c r="I6432">
        <v>-62.91769</v>
      </c>
      <c r="J6432">
        <v>-285.45440000000002</v>
      </c>
      <c r="K6432">
        <v>1.11582</v>
      </c>
      <c r="L6432">
        <v>-60.214419999999997</v>
      </c>
      <c r="M6432">
        <v>0.9500284</v>
      </c>
      <c r="N6432">
        <v>-1.443999E-2</v>
      </c>
      <c r="O6432">
        <v>-0.31183</v>
      </c>
      <c r="P6432">
        <v>0.97560040000000003</v>
      </c>
      <c r="Q6432">
        <v>0.1649321</v>
      </c>
      <c r="R6432">
        <v>-0.14491960000000001</v>
      </c>
      <c r="S6432">
        <v>3.0436100000000001</v>
      </c>
      <c r="T6432">
        <v>-0.16223760000000001</v>
      </c>
      <c r="U6432">
        <v>-0.39733889999999999</v>
      </c>
      <c r="V6432">
        <v>-0.1687932</v>
      </c>
      <c r="W6432">
        <v>0.17684920000000001</v>
      </c>
      <c r="X6432">
        <v>0.96965619999999997</v>
      </c>
      <c r="Y6432">
        <v>-0.18570139999999999</v>
      </c>
      <c r="Z6432">
        <v>1.7956090000000001E-2</v>
      </c>
      <c r="AA6432">
        <v>0.98244209999999998</v>
      </c>
      <c r="AB6432">
        <v>23</v>
      </c>
      <c r="AC6432">
        <v>20.831399999999999</v>
      </c>
      <c r="AD6432">
        <v>-1.115821662748</v>
      </c>
      <c r="AE6432">
        <v>-2.7032699999999998</v>
      </c>
      <c r="AF6432">
        <v>-3.9170285035935799</v>
      </c>
      <c r="AG6432">
        <v>-1.115821662748</v>
      </c>
      <c r="AH6432">
        <v>20.577467437853599</v>
      </c>
      <c r="AI6432">
        <v>93.049201107775204</v>
      </c>
      <c r="AJ6432">
        <v>100.777609721814</v>
      </c>
      <c r="AK6432">
        <v>20.9766617085976</v>
      </c>
      <c r="AL6432">
        <v>79.813711523999302</v>
      </c>
      <c r="AM6432">
        <v>99.874830730797001</v>
      </c>
      <c r="AN6432">
        <v>0.99999996505265898</v>
      </c>
    </row>
    <row r="6433" spans="1:40" x14ac:dyDescent="0.25">
      <c r="A6433" t="str">
        <f>"20190304155232714"</f>
        <v>20190304155232714</v>
      </c>
      <c r="B6433" t="str">
        <f>"1551685952703177"</f>
        <v>1551685952703177</v>
      </c>
      <c r="C6433" t="s">
        <v>40</v>
      </c>
      <c r="D6433">
        <v>4.4229580000000004</v>
      </c>
      <c r="E6433">
        <v>0.49114219999999997</v>
      </c>
      <c r="F6433" t="s">
        <v>41</v>
      </c>
      <c r="G6433">
        <v>-264.37990000000002</v>
      </c>
      <c r="H6433" s="1">
        <v>-1.558538E-6</v>
      </c>
      <c r="I6433">
        <v>-62.917879999999997</v>
      </c>
      <c r="J6433">
        <v>-285.358</v>
      </c>
      <c r="K6433">
        <v>1.1157570000000001</v>
      </c>
      <c r="L6433">
        <v>-60.241700000000002</v>
      </c>
      <c r="M6433">
        <v>0.95117649999999998</v>
      </c>
      <c r="N6433">
        <v>-1.4425820000000001E-2</v>
      </c>
      <c r="O6433">
        <v>-0.30831029999999998</v>
      </c>
      <c r="P6433">
        <v>0.97610039999999998</v>
      </c>
      <c r="Q6433">
        <v>0.16468429999999901</v>
      </c>
      <c r="R6433">
        <v>-0.14179949999999999</v>
      </c>
      <c r="S6433">
        <v>3.0442809999999998</v>
      </c>
      <c r="T6433">
        <v>-0.161184299999999</v>
      </c>
      <c r="U6433">
        <v>-0.39053339999999998</v>
      </c>
      <c r="V6433">
        <v>-0.16828419999999999</v>
      </c>
      <c r="W6433">
        <v>0.17662159999999999</v>
      </c>
      <c r="X6433">
        <v>0.96978620000000004</v>
      </c>
      <c r="Y6433">
        <v>-0.18426339999999999</v>
      </c>
      <c r="Z6433">
        <v>1.7649640000000001E-2</v>
      </c>
      <c r="AA6433">
        <v>0.98271839999999999</v>
      </c>
      <c r="AB6433">
        <v>23</v>
      </c>
      <c r="AC6433">
        <v>20.978099999999898</v>
      </c>
      <c r="AD6433">
        <v>-1.1157585585380001</v>
      </c>
      <c r="AE6433">
        <v>-2.67618</v>
      </c>
      <c r="AF6433">
        <v>-3.91176425694555</v>
      </c>
      <c r="AG6433">
        <v>-1.1157585585380001</v>
      </c>
      <c r="AH6433">
        <v>20.7234466837673</v>
      </c>
      <c r="AI6433">
        <v>93.028473306798304</v>
      </c>
      <c r="AJ6433">
        <v>100.689397432356</v>
      </c>
      <c r="AK6433">
        <v>21.1189028885928</v>
      </c>
      <c r="AL6433">
        <v>79.826961146257702</v>
      </c>
      <c r="AM6433">
        <v>99.844342551194501</v>
      </c>
      <c r="AN6433">
        <v>1.0000000176333199</v>
      </c>
    </row>
    <row r="6434" spans="1:40" x14ac:dyDescent="0.25">
      <c r="A6434" t="str">
        <f>"20190304155232725"</f>
        <v>20190304155232725</v>
      </c>
      <c r="B6434" t="str">
        <f>"1551685952713913"</f>
        <v>1551685952713913</v>
      </c>
      <c r="C6434" t="s">
        <v>40</v>
      </c>
      <c r="D6434">
        <v>4.4539239999999998</v>
      </c>
      <c r="E6434">
        <v>0.49728420000000001</v>
      </c>
      <c r="F6434" t="s">
        <v>41</v>
      </c>
      <c r="G6434">
        <v>-264.37569999999999</v>
      </c>
      <c r="H6434" s="1">
        <v>-1.542696E-6</v>
      </c>
      <c r="I6434">
        <v>-62.865209999999998</v>
      </c>
      <c r="J6434">
        <v>-285.25540000000001</v>
      </c>
      <c r="K6434">
        <v>1.1156900000000001</v>
      </c>
      <c r="L6434">
        <v>-60.270479999999999</v>
      </c>
      <c r="M6434">
        <v>0.95237550000000004</v>
      </c>
      <c r="N6434">
        <v>-1.441103E-2</v>
      </c>
      <c r="O6434">
        <v>-0.30458689999999999</v>
      </c>
      <c r="P6434">
        <v>0.97657609999999995</v>
      </c>
      <c r="Q6434">
        <v>0.16451579999999999</v>
      </c>
      <c r="R6434">
        <v>-0.13868520000000001</v>
      </c>
      <c r="S6434">
        <v>3.045471</v>
      </c>
      <c r="T6434">
        <v>-0.16194649999999999</v>
      </c>
      <c r="U6434">
        <v>-0.38079829999999998</v>
      </c>
      <c r="V6434">
        <v>-0.16755880000000001</v>
      </c>
      <c r="W6434">
        <v>0.17647699999999999</v>
      </c>
      <c r="X6434">
        <v>0.96993810000000003</v>
      </c>
      <c r="Y6434">
        <v>-0.18355679999999999</v>
      </c>
      <c r="Z6434">
        <v>1.7593149999999998E-2</v>
      </c>
      <c r="AA6434">
        <v>0.98285169999999999</v>
      </c>
      <c r="AB6434">
        <v>23</v>
      </c>
      <c r="AC6434">
        <v>20.8797</v>
      </c>
      <c r="AD6434">
        <v>-1.1156915426959999</v>
      </c>
      <c r="AE6434">
        <v>-2.59472999999999</v>
      </c>
      <c r="AF6434">
        <v>-3.8780255288455399</v>
      </c>
      <c r="AG6434">
        <v>-1.1156915426959999</v>
      </c>
      <c r="AH6434">
        <v>20.619804545685401</v>
      </c>
      <c r="AI6434">
        <v>93.043864433151697</v>
      </c>
      <c r="AJ6434">
        <v>100.65135949102699</v>
      </c>
      <c r="AK6434">
        <v>21.0109540269615</v>
      </c>
      <c r="AL6434">
        <v>79.835378157786295</v>
      </c>
      <c r="AM6434">
        <v>99.801227447274698</v>
      </c>
      <c r="AN6434">
        <v>1.0000000004090199</v>
      </c>
    </row>
    <row r="6435" spans="1:40" x14ac:dyDescent="0.25">
      <c r="A6435" t="str">
        <f>"20190304155232736"</f>
        <v>20190304155232736</v>
      </c>
      <c r="B6435" t="str">
        <f>"1551685952733942"</f>
        <v>1551685952733942</v>
      </c>
      <c r="C6435" t="s">
        <v>40</v>
      </c>
      <c r="D6435">
        <v>4.5426310000000001</v>
      </c>
      <c r="E6435">
        <v>0.47499980000000003</v>
      </c>
      <c r="F6435" t="s">
        <v>41</v>
      </c>
      <c r="G6435">
        <v>-263.95119999999997</v>
      </c>
      <c r="H6435" s="1">
        <v>-1.4529619999999999E-6</v>
      </c>
      <c r="I6435">
        <v>-63.212290000000003</v>
      </c>
      <c r="J6435">
        <v>-285.15050000000002</v>
      </c>
      <c r="K6435">
        <v>1.1156159999999999</v>
      </c>
      <c r="L6435">
        <v>-60.299320000000002</v>
      </c>
      <c r="M6435">
        <v>0.95356260000000004</v>
      </c>
      <c r="N6435">
        <v>-1.4395450000000001E-2</v>
      </c>
      <c r="O6435">
        <v>-0.30085119999999999</v>
      </c>
      <c r="P6435">
        <v>0.97706839999999995</v>
      </c>
      <c r="Q6435">
        <v>0.16445109999999999</v>
      </c>
      <c r="R6435">
        <v>-0.13525529999999999</v>
      </c>
      <c r="S6435">
        <v>3.0391849999999998</v>
      </c>
      <c r="T6435">
        <v>-0.15916069999999999</v>
      </c>
      <c r="U6435">
        <v>-0.41967769999999999</v>
      </c>
      <c r="V6435">
        <v>-0.1671338</v>
      </c>
      <c r="W6435">
        <v>0.17643239999999999</v>
      </c>
      <c r="X6435">
        <v>0.97001950000000003</v>
      </c>
      <c r="Y6435">
        <v>-0.1671183</v>
      </c>
      <c r="Z6435">
        <v>1.6584080000000001E-2</v>
      </c>
      <c r="AA6435">
        <v>0.98579729999999999</v>
      </c>
      <c r="AB6435">
        <v>23</v>
      </c>
      <c r="AC6435">
        <v>21.199300000000001</v>
      </c>
      <c r="AD6435">
        <v>-1.115617452962</v>
      </c>
      <c r="AE6435">
        <v>-2.9129700000000001</v>
      </c>
      <c r="AF6435">
        <v>-3.5907481502344201</v>
      </c>
      <c r="AG6435">
        <v>-1.115617452962</v>
      </c>
      <c r="AH6435">
        <v>21.036234216260102</v>
      </c>
      <c r="AI6435">
        <v>92.992528774807596</v>
      </c>
      <c r="AJ6435">
        <v>99.686658652164795</v>
      </c>
      <c r="AK6435">
        <v>21.369633234595302</v>
      </c>
      <c r="AL6435">
        <v>79.837973918530594</v>
      </c>
      <c r="AM6435">
        <v>99.776043149381707</v>
      </c>
      <c r="AN6435">
        <v>0.99999996462622398</v>
      </c>
    </row>
    <row r="6436" spans="1:40" x14ac:dyDescent="0.25">
      <c r="A6436" t="str">
        <f>"20190304155232749"</f>
        <v>20190304155232749</v>
      </c>
      <c r="B6436" t="str">
        <f>"1551685952743700"</f>
        <v>1551685952743700</v>
      </c>
      <c r="C6436" t="s">
        <v>40</v>
      </c>
      <c r="D6436">
        <v>4.5117139999999996</v>
      </c>
      <c r="E6436">
        <v>0.46824510000000003</v>
      </c>
      <c r="F6436" t="s">
        <v>41</v>
      </c>
      <c r="G6436">
        <v>-267.10090000000002</v>
      </c>
      <c r="H6436" s="1">
        <v>-2.3956430000000001E-6</v>
      </c>
      <c r="I6436">
        <v>-61.676909999999999</v>
      </c>
      <c r="J6436">
        <v>-285.03339999999997</v>
      </c>
      <c r="K6436">
        <v>1.115534</v>
      </c>
      <c r="L6436">
        <v>-60.331330000000001</v>
      </c>
      <c r="M6436">
        <v>0.95486150000000003</v>
      </c>
      <c r="N6436">
        <v>-1.4378439999999999E-2</v>
      </c>
      <c r="O6436">
        <v>-0.29670340000000001</v>
      </c>
      <c r="P6436">
        <v>0.97764949999999995</v>
      </c>
      <c r="Q6436">
        <v>0.16472349999999999</v>
      </c>
      <c r="R6436">
        <v>-0.13064410000000001</v>
      </c>
      <c r="S6436">
        <v>3.0698850000000002</v>
      </c>
      <c r="T6436">
        <v>-0.18974530000000001</v>
      </c>
      <c r="U6436">
        <v>-0.23431399999999999</v>
      </c>
      <c r="V6436">
        <v>-0.1674484</v>
      </c>
      <c r="W6436">
        <v>0.1767155</v>
      </c>
      <c r="X6436">
        <v>0.96991369999999999</v>
      </c>
      <c r="Y6436">
        <v>-0.22236410000000001</v>
      </c>
      <c r="Z6436">
        <v>2.2172710000000002E-2</v>
      </c>
      <c r="AA6436">
        <v>0.97471149999999995</v>
      </c>
      <c r="AB6436">
        <v>23</v>
      </c>
      <c r="AC6436">
        <v>17.932499999999902</v>
      </c>
      <c r="AD6436">
        <v>-1.115536395643</v>
      </c>
      <c r="AE6436">
        <v>-1.34557999999999</v>
      </c>
      <c r="AF6436">
        <v>-4.0207359295155198</v>
      </c>
      <c r="AG6436">
        <v>-1.115536395643</v>
      </c>
      <c r="AH6436">
        <v>17.456926250782999</v>
      </c>
      <c r="AI6436">
        <v>93.563312617348998</v>
      </c>
      <c r="AJ6436">
        <v>102.970353417293</v>
      </c>
      <c r="AK6436">
        <v>17.948677193324801</v>
      </c>
      <c r="AL6436">
        <v>79.821494501236501</v>
      </c>
      <c r="AM6436">
        <v>99.795136442586994</v>
      </c>
      <c r="AN6436">
        <v>0.99999996002524905</v>
      </c>
    </row>
    <row r="6437" spans="1:40" x14ac:dyDescent="0.25">
      <c r="A6437" t="str">
        <f>"20190304155232761"</f>
        <v>20190304155232761</v>
      </c>
      <c r="B6437" t="str">
        <f>"1551685952753461"</f>
        <v>1551685952753461</v>
      </c>
      <c r="C6437" t="s">
        <v>40</v>
      </c>
      <c r="D6437">
        <v>4.4357670000000002</v>
      </c>
      <c r="E6437">
        <v>0.46261409999999997</v>
      </c>
      <c r="F6437" t="s">
        <v>41</v>
      </c>
      <c r="G6437">
        <v>-265.39699999999999</v>
      </c>
      <c r="H6437" s="1">
        <v>-1.5886130000000001E-6</v>
      </c>
      <c r="I6437">
        <v>-61.391109999999998</v>
      </c>
      <c r="J6437">
        <v>-284.90809999999999</v>
      </c>
      <c r="K6437">
        <v>1.1154440000000001</v>
      </c>
      <c r="L6437">
        <v>-60.364809999999999</v>
      </c>
      <c r="M6437">
        <v>0.95619739999999998</v>
      </c>
      <c r="N6437">
        <v>-1.435963E-2</v>
      </c>
      <c r="O6437">
        <v>-0.29237030000000003</v>
      </c>
      <c r="P6437">
        <v>0.97817109999999996</v>
      </c>
      <c r="Q6437">
        <v>0.164813299999999</v>
      </c>
      <c r="R6437">
        <v>-0.12656220000000001</v>
      </c>
      <c r="S6437">
        <v>3.0758670000000001</v>
      </c>
      <c r="T6437">
        <v>-0.17473849999999999</v>
      </c>
      <c r="U6437">
        <v>-0.16601560000000001</v>
      </c>
      <c r="V6437">
        <v>-0.1670555</v>
      </c>
      <c r="W6437">
        <v>0.1768286</v>
      </c>
      <c r="X6437">
        <v>0.96996090000000001</v>
      </c>
      <c r="Y6437">
        <v>-0.2397058</v>
      </c>
      <c r="Z6437">
        <v>2.0640470000000001E-2</v>
      </c>
      <c r="AA6437">
        <v>0.97062610000000005</v>
      </c>
      <c r="AB6437">
        <v>23</v>
      </c>
      <c r="AC6437">
        <v>19.511099999999999</v>
      </c>
      <c r="AD6437">
        <v>-1.1154455886129999</v>
      </c>
      <c r="AE6437">
        <v>-1.02629999999999</v>
      </c>
      <c r="AF6437">
        <v>-4.70826170161466</v>
      </c>
      <c r="AG6437">
        <v>-1.1154455886129999</v>
      </c>
      <c r="AH6437">
        <v>18.896884991142201</v>
      </c>
      <c r="AI6437">
        <v>93.278145750385903</v>
      </c>
      <c r="AJ6437">
        <v>103.99069117617999</v>
      </c>
      <c r="AK6437">
        <v>19.506517102766001</v>
      </c>
      <c r="AL6437">
        <v>79.814911289356004</v>
      </c>
      <c r="AM6437">
        <v>99.772130478304106</v>
      </c>
      <c r="AN6437">
        <v>1.0000000206935</v>
      </c>
    </row>
    <row r="6438" spans="1:40" x14ac:dyDescent="0.25">
      <c r="A6438" t="str">
        <f>"20190304155232772"</f>
        <v>20190304155232772</v>
      </c>
      <c r="B6438" t="str">
        <f>"1551685952763220"</f>
        <v>1551685952763220</v>
      </c>
      <c r="C6438" t="s">
        <v>40</v>
      </c>
      <c r="D6438">
        <v>4.5080489999999998</v>
      </c>
      <c r="E6438">
        <v>0.45965519999999999</v>
      </c>
      <c r="F6438" t="s">
        <v>41</v>
      </c>
      <c r="G6438">
        <v>-264.12310000000002</v>
      </c>
      <c r="H6438" s="1">
        <v>-9.6405029999999993E-7</v>
      </c>
      <c r="I6438">
        <v>-61.097720000000002</v>
      </c>
      <c r="J6438">
        <v>-284.79880000000003</v>
      </c>
      <c r="K6438">
        <v>1.115364</v>
      </c>
      <c r="L6438">
        <v>-60.393709999999999</v>
      </c>
      <c r="M6438">
        <v>0.95733279999999998</v>
      </c>
      <c r="N6438">
        <v>-1.434333E-2</v>
      </c>
      <c r="O6438">
        <v>-0.28863139999999998</v>
      </c>
      <c r="P6438">
        <v>0.97854819999999998</v>
      </c>
      <c r="Q6438">
        <v>0.16503989999999999</v>
      </c>
      <c r="R6438">
        <v>-0.1233095</v>
      </c>
      <c r="S6438">
        <v>3.0807799999999999</v>
      </c>
      <c r="T6438">
        <v>-0.16533239999999999</v>
      </c>
      <c r="U6438">
        <v>-0.10864260000000001</v>
      </c>
      <c r="V6438">
        <v>-0.16644619999999999</v>
      </c>
      <c r="W6438">
        <v>0.17707870000000001</v>
      </c>
      <c r="X6438">
        <v>0.97001999999999999</v>
      </c>
      <c r="Y6438">
        <v>-0.25406649999999997</v>
      </c>
      <c r="Z6438">
        <v>1.9733500000000001E-2</v>
      </c>
      <c r="AA6438">
        <v>0.96698539999999999</v>
      </c>
      <c r="AB6438">
        <v>23</v>
      </c>
      <c r="AC6438">
        <v>20.675699999999999</v>
      </c>
      <c r="AD6438">
        <v>-1.1153649640503001</v>
      </c>
      <c r="AE6438">
        <v>-0.70400999999999603</v>
      </c>
      <c r="AF6438">
        <v>-5.2788847513618604</v>
      </c>
      <c r="AG6438">
        <v>-1.1153649640503001</v>
      </c>
      <c r="AH6438">
        <v>19.9408200646334</v>
      </c>
      <c r="AI6438">
        <v>93.095035547094497</v>
      </c>
      <c r="AJ6438">
        <v>104.82764097067</v>
      </c>
      <c r="AK6438">
        <v>20.6578548758403</v>
      </c>
      <c r="AL6438">
        <v>79.800351662158704</v>
      </c>
      <c r="AM6438">
        <v>99.736590297035306</v>
      </c>
      <c r="AN6438">
        <v>1.00000000194406</v>
      </c>
    </row>
    <row r="6439" spans="1:40" x14ac:dyDescent="0.25">
      <c r="A6439" t="str">
        <f>"20190304155232784"</f>
        <v>20190304155232784</v>
      </c>
      <c r="B6439" t="str">
        <f>"1551685952773957"</f>
        <v>1551685952773957</v>
      </c>
      <c r="C6439" t="s">
        <v>40</v>
      </c>
      <c r="D6439">
        <v>4.724475</v>
      </c>
      <c r="E6439">
        <v>0.45723789999999997</v>
      </c>
      <c r="F6439" t="s">
        <v>41</v>
      </c>
      <c r="G6439">
        <v>-262.74149999999997</v>
      </c>
      <c r="H6439" s="1">
        <v>-3.2699529999999899E-7</v>
      </c>
      <c r="I6439">
        <v>-60.931049999999999</v>
      </c>
      <c r="J6439">
        <v>-284.68259999999998</v>
      </c>
      <c r="K6439">
        <v>1.115281</v>
      </c>
      <c r="L6439">
        <v>-60.42398</v>
      </c>
      <c r="M6439">
        <v>0.9585072</v>
      </c>
      <c r="N6439">
        <v>-1.43259999999999E-2</v>
      </c>
      <c r="O6439">
        <v>-0.28470800000000002</v>
      </c>
      <c r="P6439">
        <v>0.97902299999999998</v>
      </c>
      <c r="Q6439">
        <v>0.1648609</v>
      </c>
      <c r="R6439">
        <v>-0.119728399999999</v>
      </c>
      <c r="S6439">
        <v>3.0825809999999998</v>
      </c>
      <c r="T6439">
        <v>-0.15587579999999901</v>
      </c>
      <c r="U6439">
        <v>-7.5103760000000006E-2</v>
      </c>
      <c r="V6439">
        <v>-0.1659921</v>
      </c>
      <c r="W6439">
        <v>0.17692239999999901</v>
      </c>
      <c r="X6439">
        <v>0.9701263</v>
      </c>
      <c r="Y6439">
        <v>-0.26070090000000001</v>
      </c>
      <c r="Z6439">
        <v>1.855329E-2</v>
      </c>
      <c r="AA6439">
        <v>0.96524129999999997</v>
      </c>
      <c r="AB6439">
        <v>23</v>
      </c>
      <c r="AC6439">
        <v>21.941099999999999</v>
      </c>
      <c r="AD6439">
        <v>-1.1152813269952999</v>
      </c>
      <c r="AE6439">
        <v>-0.50706999999999103</v>
      </c>
      <c r="AF6439">
        <v>-5.7465281739389198</v>
      </c>
      <c r="AG6439">
        <v>-1.1152813269952999</v>
      </c>
      <c r="AH6439">
        <v>21.122696359395199</v>
      </c>
      <c r="AI6439">
        <v>92.916603810526695</v>
      </c>
      <c r="AJ6439">
        <v>105.219243217233</v>
      </c>
      <c r="AK6439">
        <v>21.918821592034298</v>
      </c>
      <c r="AL6439">
        <v>79.809450385596307</v>
      </c>
      <c r="AM6439">
        <v>99.709489508487295</v>
      </c>
      <c r="AN6439">
        <v>0.99999997541792895</v>
      </c>
    </row>
    <row r="6440" spans="1:40" x14ac:dyDescent="0.25">
      <c r="A6440" t="str">
        <f>"20190304155232796"</f>
        <v>20190304155232796</v>
      </c>
      <c r="B6440" t="str">
        <f>"1551685952793477"</f>
        <v>1551685952793477</v>
      </c>
      <c r="C6440" t="s">
        <v>40</v>
      </c>
      <c r="D6440">
        <v>4.5118729999999996</v>
      </c>
      <c r="E6440">
        <v>0.45522760000000001</v>
      </c>
      <c r="F6440" t="s">
        <v>41</v>
      </c>
      <c r="G6440">
        <v>-262.83249999999998</v>
      </c>
      <c r="H6440" s="1">
        <v>-3.1569370000000002E-7</v>
      </c>
      <c r="I6440">
        <v>-60.741840000000003</v>
      </c>
      <c r="J6440">
        <v>-284.57709999999997</v>
      </c>
      <c r="K6440">
        <v>1.115205</v>
      </c>
      <c r="L6440">
        <v>-60.450989999999997</v>
      </c>
      <c r="M6440">
        <v>0.959538</v>
      </c>
      <c r="N6440">
        <v>-1.4310099999999999E-2</v>
      </c>
      <c r="O6440">
        <v>-0.2812151</v>
      </c>
      <c r="P6440">
        <v>0.97942019999999996</v>
      </c>
      <c r="Q6440">
        <v>0.16478909999999999</v>
      </c>
      <c r="R6440">
        <v>-0.1165354</v>
      </c>
      <c r="S6440">
        <v>3.0852970000000002</v>
      </c>
      <c r="T6440">
        <v>-0.1574805</v>
      </c>
      <c r="U6440">
        <v>-4.4891359999999998E-2</v>
      </c>
      <c r="V6440">
        <v>-0.16559019999999999</v>
      </c>
      <c r="W6440">
        <v>0.17687079999999999</v>
      </c>
      <c r="X6440">
        <v>0.97020439999999997</v>
      </c>
      <c r="Y6440">
        <v>-0.266629</v>
      </c>
      <c r="Z6440">
        <v>1.8832229999999998E-2</v>
      </c>
      <c r="AA6440">
        <v>0.96361520000000001</v>
      </c>
      <c r="AB6440">
        <v>23</v>
      </c>
      <c r="AC6440">
        <v>21.744599999999899</v>
      </c>
      <c r="AD6440">
        <v>-1.1152053156937001</v>
      </c>
      <c r="AE6440">
        <v>-0.290849999999998</v>
      </c>
      <c r="AF6440">
        <v>-5.8211175907064101</v>
      </c>
      <c r="AG6440">
        <v>-1.1152053156937001</v>
      </c>
      <c r="AH6440">
        <v>20.893760428632302</v>
      </c>
      <c r="AI6440">
        <v>92.943374639512996</v>
      </c>
      <c r="AJ6440">
        <v>105.568131971222</v>
      </c>
      <c r="AK6440">
        <v>21.7181564077171</v>
      </c>
      <c r="AL6440">
        <v>79.812454329039696</v>
      </c>
      <c r="AM6440">
        <v>99.685661833152295</v>
      </c>
      <c r="AN6440">
        <v>0.99999998600401896</v>
      </c>
    </row>
    <row r="6441" spans="1:40" x14ac:dyDescent="0.25">
      <c r="A6441" t="str">
        <f>"20190304155232808"</f>
        <v>20190304155232808</v>
      </c>
      <c r="B6441" t="str">
        <f>"1551685952803236"</f>
        <v>1551685952803236</v>
      </c>
      <c r="C6441" t="s">
        <v>40</v>
      </c>
      <c r="D6441">
        <v>4.4945029999999999</v>
      </c>
      <c r="E6441">
        <v>0.45484449999999998</v>
      </c>
      <c r="F6441" t="s">
        <v>41</v>
      </c>
      <c r="G6441">
        <v>-262.5197</v>
      </c>
      <c r="H6441" s="1">
        <v>-1.400867E-7</v>
      </c>
      <c r="I6441">
        <v>-60.586120000000001</v>
      </c>
      <c r="J6441">
        <v>-284.45890000000003</v>
      </c>
      <c r="K6441">
        <v>1.1151219999999999</v>
      </c>
      <c r="L6441">
        <v>-60.481079999999999</v>
      </c>
      <c r="M6441">
        <v>0.96066799999999997</v>
      </c>
      <c r="N6441">
        <v>-1.429271E-2</v>
      </c>
      <c r="O6441">
        <v>-0.27733140000000001</v>
      </c>
      <c r="P6441">
        <v>0.97986589999999996</v>
      </c>
      <c r="Q6441">
        <v>0.164462</v>
      </c>
      <c r="R6441">
        <v>-0.1132042</v>
      </c>
      <c r="S6441">
        <v>3.0870359999999999</v>
      </c>
      <c r="T6441">
        <v>-0.1560782</v>
      </c>
      <c r="U6441">
        <v>-1.8920900000000001E-2</v>
      </c>
      <c r="V6441">
        <v>-0.16493910000000001</v>
      </c>
      <c r="W6441">
        <v>0.17656949999999999</v>
      </c>
      <c r="X6441">
        <v>0.97037019999999996</v>
      </c>
      <c r="Y6441">
        <v>-0.27084910000000001</v>
      </c>
      <c r="Z6441">
        <v>1.86465E-2</v>
      </c>
      <c r="AA6441">
        <v>0.9624412</v>
      </c>
      <c r="AB6441">
        <v>23</v>
      </c>
      <c r="AC6441">
        <v>21.9392</v>
      </c>
      <c r="AD6441">
        <v>-1.1151221400867</v>
      </c>
      <c r="AE6441">
        <v>-0.105039999999988</v>
      </c>
      <c r="AF6441">
        <v>-5.9687121285855103</v>
      </c>
      <c r="AG6441">
        <v>-1.1151221400867</v>
      </c>
      <c r="AH6441">
        <v>21.0531853906833</v>
      </c>
      <c r="AI6441">
        <v>92.9171873441353</v>
      </c>
      <c r="AJ6441">
        <v>105.828370953844</v>
      </c>
      <c r="AK6441">
        <v>21.9113129902276</v>
      </c>
      <c r="AL6441">
        <v>79.829993842905196</v>
      </c>
      <c r="AM6441">
        <v>99.6466775535377</v>
      </c>
      <c r="AN6441">
        <v>1.00000001004355</v>
      </c>
    </row>
    <row r="6442" spans="1:40" x14ac:dyDescent="0.25">
      <c r="A6442" t="str">
        <f>"20190304155232822"</f>
        <v>20190304155232822</v>
      </c>
      <c r="B6442" t="str">
        <f>"1551685952813973"</f>
        <v>1551685952813973</v>
      </c>
      <c r="C6442" t="s">
        <v>40</v>
      </c>
      <c r="D6442">
        <v>4.5017440000000004</v>
      </c>
      <c r="E6442">
        <v>0.45463759999999998</v>
      </c>
      <c r="F6442" t="s">
        <v>41</v>
      </c>
      <c r="G6442">
        <v>-262.38339999999999</v>
      </c>
      <c r="H6442" s="1">
        <v>-6.4206349999999998E-8</v>
      </c>
      <c r="I6442">
        <v>-60.52073</v>
      </c>
      <c r="J6442">
        <v>-284.31389999999999</v>
      </c>
      <c r="K6442">
        <v>1.11501299999999</v>
      </c>
      <c r="L6442">
        <v>-60.517119999999998</v>
      </c>
      <c r="M6442">
        <v>0.96199170000000001</v>
      </c>
      <c r="N6442">
        <v>-1.42709E-2</v>
      </c>
      <c r="O6442">
        <v>-0.2727057</v>
      </c>
      <c r="P6442">
        <v>0.98034889999999997</v>
      </c>
      <c r="Q6442">
        <v>0.1638577</v>
      </c>
      <c r="R6442">
        <v>-0.10985060000000001</v>
      </c>
      <c r="S6442">
        <v>3.0872190000000002</v>
      </c>
      <c r="T6442">
        <v>-0.15594740000000001</v>
      </c>
      <c r="U6442">
        <v>-5.5541990000000001E-3</v>
      </c>
      <c r="V6442">
        <v>-0.16356109999999999</v>
      </c>
      <c r="W6442">
        <v>0.17600629999999901</v>
      </c>
      <c r="X6442">
        <v>0.9707057</v>
      </c>
      <c r="Y6442">
        <v>-0.2703895</v>
      </c>
      <c r="Z6442">
        <v>1.8460609999999999E-2</v>
      </c>
      <c r="AA6442">
        <v>0.96257400000000004</v>
      </c>
      <c r="AB6442">
        <v>23</v>
      </c>
      <c r="AC6442">
        <v>21.930499999999899</v>
      </c>
      <c r="AD6442">
        <v>-1.1150130642063401</v>
      </c>
      <c r="AE6442">
        <v>-3.6100000000089901E-3</v>
      </c>
      <c r="AF6442">
        <v>-5.96229542196106</v>
      </c>
      <c r="AG6442">
        <v>-1.1150130642063401</v>
      </c>
      <c r="AH6442">
        <v>21.045687840483801</v>
      </c>
      <c r="AI6442">
        <v>92.9180956568038</v>
      </c>
      <c r="AJ6442">
        <v>105.81755719083201</v>
      </c>
      <c r="AK6442">
        <v>21.902355980834098</v>
      </c>
      <c r="AL6442">
        <v>79.862776176141693</v>
      </c>
      <c r="AM6442">
        <v>99.564333699697997</v>
      </c>
      <c r="AN6442">
        <v>1.0000000035426899</v>
      </c>
    </row>
    <row r="6443" spans="1:40" x14ac:dyDescent="0.25">
      <c r="A6443" t="str">
        <f>"20190304155232834"</f>
        <v>20190304155232834</v>
      </c>
      <c r="B6443" t="str">
        <f>"1551685952823733"</f>
        <v>1551685952823733</v>
      </c>
      <c r="C6443" t="s">
        <v>40</v>
      </c>
      <c r="D6443">
        <v>4.526135</v>
      </c>
      <c r="E6443">
        <v>0.45458470000000001</v>
      </c>
      <c r="F6443" t="s">
        <v>41</v>
      </c>
      <c r="G6443">
        <v>-262.25330000000002</v>
      </c>
      <c r="H6443" s="1">
        <v>6.3229209999999903E-9</v>
      </c>
      <c r="I6443">
        <v>-60.465369999999901</v>
      </c>
      <c r="J6443">
        <v>-284.20490000000001</v>
      </c>
      <c r="K6443">
        <v>1.1149279999999999</v>
      </c>
      <c r="L6443">
        <v>-60.543819999999997</v>
      </c>
      <c r="M6443">
        <v>0.9629548</v>
      </c>
      <c r="N6443">
        <v>-1.4254579999999999E-2</v>
      </c>
      <c r="O6443">
        <v>-0.26928570000000002</v>
      </c>
      <c r="P6443">
        <v>0.98073259999999995</v>
      </c>
      <c r="Q6443">
        <v>0.16352120000000001</v>
      </c>
      <c r="R6443">
        <v>-0.1068858</v>
      </c>
      <c r="S6443">
        <v>3.0870359999999999</v>
      </c>
      <c r="T6443">
        <v>-0.15602839999999901</v>
      </c>
      <c r="U6443">
        <v>7.2326659999999996E-3</v>
      </c>
      <c r="V6443">
        <v>-0.16302269999999999</v>
      </c>
      <c r="W6443">
        <v>0.17569360000000001</v>
      </c>
      <c r="X6443">
        <v>0.97085290000000002</v>
      </c>
      <c r="Y6443">
        <v>-0.27095619999999998</v>
      </c>
      <c r="Z6443">
        <v>1.8377999999999999E-2</v>
      </c>
      <c r="AA6443">
        <v>0.96241620000000005</v>
      </c>
      <c r="AB6443">
        <v>23</v>
      </c>
      <c r="AC6443">
        <v>21.9515999999999</v>
      </c>
      <c r="AD6443">
        <v>-1.11492799367707</v>
      </c>
      <c r="AE6443">
        <v>7.84500000000036E-2</v>
      </c>
      <c r="AF6443">
        <v>-5.9719988342530597</v>
      </c>
      <c r="AG6443">
        <v>-1.11492799367707</v>
      </c>
      <c r="AH6443">
        <v>21.0650797516723</v>
      </c>
      <c r="AI6443">
        <v>92.915039368690998</v>
      </c>
      <c r="AJ6443">
        <v>105.828155897681</v>
      </c>
      <c r="AK6443">
        <v>21.923626968449401</v>
      </c>
      <c r="AL6443">
        <v>79.880976116762895</v>
      </c>
      <c r="AM6443">
        <v>99.532010314546099</v>
      </c>
      <c r="AN6443">
        <v>0.99999999761733005</v>
      </c>
    </row>
    <row r="6444" spans="1:40" x14ac:dyDescent="0.25">
      <c r="A6444" t="str">
        <f>"20190304155232845"</f>
        <v>20190304155232845</v>
      </c>
      <c r="B6444" t="str">
        <f>"1551685952833492"</f>
        <v>1551685952833492</v>
      </c>
      <c r="C6444" t="s">
        <v>40</v>
      </c>
      <c r="D6444">
        <v>4.4257070000000001</v>
      </c>
      <c r="E6444">
        <v>0.45484629999999998</v>
      </c>
      <c r="F6444" t="s">
        <v>41</v>
      </c>
      <c r="G6444">
        <v>-262.18579999999997</v>
      </c>
      <c r="H6444" s="1">
        <v>4.7196179999999999E-8</v>
      </c>
      <c r="I6444">
        <v>-60.420549999999999</v>
      </c>
      <c r="J6444">
        <v>-284.09519999999998</v>
      </c>
      <c r="K6444">
        <v>1.114846</v>
      </c>
      <c r="L6444">
        <v>-60.570500000000003</v>
      </c>
      <c r="M6444">
        <v>0.96390030000000004</v>
      </c>
      <c r="N6444">
        <v>-1.423835E-2</v>
      </c>
      <c r="O6444">
        <v>-0.26588260000000002</v>
      </c>
      <c r="P6444">
        <v>0.98100659999999895</v>
      </c>
      <c r="Q6444">
        <v>0.16384360000000001</v>
      </c>
      <c r="R6444">
        <v>-0.1038326</v>
      </c>
      <c r="S6444">
        <v>3.086884</v>
      </c>
      <c r="T6444">
        <v>-0.156303</v>
      </c>
      <c r="U6444">
        <v>1.7272949999999999E-2</v>
      </c>
      <c r="V6444">
        <v>-0.16256860000000001</v>
      </c>
      <c r="W6444">
        <v>0.17603629999999901</v>
      </c>
      <c r="X6444">
        <v>0.97086700000000004</v>
      </c>
      <c r="Y6444">
        <v>-0.27068690000000001</v>
      </c>
      <c r="Z6444">
        <v>1.8292490000000002E-2</v>
      </c>
      <c r="AA6444">
        <v>0.96249370000000001</v>
      </c>
      <c r="AB6444">
        <v>23</v>
      </c>
      <c r="AC6444">
        <v>21.909400000000002</v>
      </c>
      <c r="AD6444">
        <v>-1.1148459528038199</v>
      </c>
      <c r="AE6444">
        <v>0.149950000000004</v>
      </c>
      <c r="AF6444">
        <v>-5.9550518787593401</v>
      </c>
      <c r="AG6444">
        <v>-1.1148459528038199</v>
      </c>
      <c r="AH6444">
        <v>21.026305145992001</v>
      </c>
      <c r="AI6444">
        <v>92.920407711849094</v>
      </c>
      <c r="AJ6444">
        <v>105.813136720112</v>
      </c>
      <c r="AK6444">
        <v>21.881751128956001</v>
      </c>
      <c r="AL6444">
        <v>79.861030311892705</v>
      </c>
      <c r="AM6444">
        <v>99.505808568304104</v>
      </c>
      <c r="AN6444">
        <v>1.0000000301563201</v>
      </c>
    </row>
    <row r="6445" spans="1:40" x14ac:dyDescent="0.25">
      <c r="A6445" t="str">
        <f>"20190304155232857"</f>
        <v>20190304155232857</v>
      </c>
      <c r="B6445" t="str">
        <f>"1551685952853059"</f>
        <v>1551685952853059</v>
      </c>
      <c r="C6445" t="s">
        <v>40</v>
      </c>
      <c r="D6445">
        <v>4.56724</v>
      </c>
      <c r="E6445">
        <v>0.45510709999999999</v>
      </c>
      <c r="F6445" t="s">
        <v>41</v>
      </c>
      <c r="G6445">
        <v>-262.83940000000001</v>
      </c>
      <c r="H6445" s="1">
        <v>-2.2839120000000001E-7</v>
      </c>
      <c r="I6445">
        <v>-60.40258</v>
      </c>
      <c r="J6445">
        <v>-283.98570000000001</v>
      </c>
      <c r="K6445">
        <v>1.114762</v>
      </c>
      <c r="L6445">
        <v>-60.596620000000001</v>
      </c>
      <c r="M6445">
        <v>0.96480580000000005</v>
      </c>
      <c r="N6445">
        <v>-1.422179E-2</v>
      </c>
      <c r="O6445">
        <v>-0.26257909999999901</v>
      </c>
      <c r="P6445">
        <v>0.98130850000000003</v>
      </c>
      <c r="Q6445">
        <v>0.16396459999999999</v>
      </c>
      <c r="R6445">
        <v>-0.1007446</v>
      </c>
      <c r="S6445">
        <v>3.0877379999999999</v>
      </c>
      <c r="T6445">
        <v>-0.1619486</v>
      </c>
      <c r="U6445">
        <v>2.4383539999999999E-2</v>
      </c>
      <c r="V6445">
        <v>-0.16225709999999999</v>
      </c>
      <c r="W6445">
        <v>0.17617759999999999</v>
      </c>
      <c r="X6445">
        <v>0.97089340000000002</v>
      </c>
      <c r="Y6445">
        <v>-0.26956210000000003</v>
      </c>
      <c r="Z6445">
        <v>1.8860700000000001E-2</v>
      </c>
      <c r="AA6445">
        <v>0.9627983</v>
      </c>
      <c r="AB6445">
        <v>23</v>
      </c>
      <c r="AC6445">
        <v>21.1463</v>
      </c>
      <c r="AD6445">
        <v>-1.1147622283912</v>
      </c>
      <c r="AE6445">
        <v>0.194039999999986</v>
      </c>
      <c r="AF6445">
        <v>-5.7244599045756503</v>
      </c>
      <c r="AG6445">
        <v>-1.1147622283912</v>
      </c>
      <c r="AH6445">
        <v>20.2967767331602</v>
      </c>
      <c r="AI6445">
        <v>93.025891351758702</v>
      </c>
      <c r="AJ6445">
        <v>105.750462428166</v>
      </c>
      <c r="AK6445">
        <v>21.1180321474491</v>
      </c>
      <c r="AL6445">
        <v>79.852805095150103</v>
      </c>
      <c r="AM6445">
        <v>99.487672519594696</v>
      </c>
      <c r="AN6445">
        <v>0.99999995370286399</v>
      </c>
    </row>
    <row r="6446" spans="1:40" x14ac:dyDescent="0.25">
      <c r="A6446" t="str">
        <f>"20190304155232870"</f>
        <v>20190304155232870</v>
      </c>
      <c r="B6446" t="str">
        <f>"1551685952863796"</f>
        <v>1551685952863796</v>
      </c>
      <c r="C6446" t="s">
        <v>40</v>
      </c>
      <c r="D6446">
        <v>4.5353149999999998</v>
      </c>
      <c r="E6446">
        <v>0.4552718</v>
      </c>
      <c r="F6446" t="s">
        <v>41</v>
      </c>
      <c r="G6446">
        <v>-262.69580000000002</v>
      </c>
      <c r="H6446" s="1">
        <v>-1.6231230000000001E-7</v>
      </c>
      <c r="I6446">
        <v>-60.38064</v>
      </c>
      <c r="J6446">
        <v>-283.858</v>
      </c>
      <c r="K6446">
        <v>1.114662</v>
      </c>
      <c r="L6446">
        <v>-60.626800000000003</v>
      </c>
      <c r="M6446">
        <v>0.96583370000000002</v>
      </c>
      <c r="N6446">
        <v>-1.420276E-2</v>
      </c>
      <c r="O6446">
        <v>-0.25877299999999998</v>
      </c>
      <c r="P6446">
        <v>0.9817013</v>
      </c>
      <c r="Q6446">
        <v>0.16366820000000001</v>
      </c>
      <c r="R6446">
        <v>-9.7342429999999994E-2</v>
      </c>
      <c r="S6446">
        <v>3.0873719999999998</v>
      </c>
      <c r="T6446">
        <v>-0.16165839999999901</v>
      </c>
      <c r="U6446">
        <v>3.1311039999999998E-2</v>
      </c>
      <c r="V6446">
        <v>-0.16176079999999901</v>
      </c>
      <c r="W6446">
        <v>0.17590810000000001</v>
      </c>
      <c r="X6446">
        <v>0.97102509999999997</v>
      </c>
      <c r="Y6446">
        <v>-0.2679339</v>
      </c>
      <c r="Z6446">
        <v>1.8637089999999999E-2</v>
      </c>
      <c r="AA6446">
        <v>0.96325700000000003</v>
      </c>
      <c r="AB6446">
        <v>23</v>
      </c>
      <c r="AC6446">
        <v>21.162199999999899</v>
      </c>
      <c r="AD6446">
        <v>-1.1146621623123001</v>
      </c>
      <c r="AE6446">
        <v>0.24616000000000299</v>
      </c>
      <c r="AF6446">
        <v>-5.6987239766050397</v>
      </c>
      <c r="AG6446">
        <v>-1.1146621623123001</v>
      </c>
      <c r="AH6446">
        <v>20.321151711516801</v>
      </c>
      <c r="AI6446">
        <v>93.0232596020507</v>
      </c>
      <c r="AJ6446">
        <v>105.66525569005501</v>
      </c>
      <c r="AK6446">
        <v>21.134501025103599</v>
      </c>
      <c r="AL6446">
        <v>79.868491561369893</v>
      </c>
      <c r="AM6446">
        <v>99.4579177929472</v>
      </c>
      <c r="AN6446">
        <v>0.99999998044612903</v>
      </c>
    </row>
    <row r="6447" spans="1:40" x14ac:dyDescent="0.25">
      <c r="A6447" t="str">
        <f>"20190304155232882"</f>
        <v>20190304155232882</v>
      </c>
      <c r="B6447" t="str">
        <f>"1551685952873555"</f>
        <v>1551685952873555</v>
      </c>
      <c r="C6447" t="s">
        <v>40</v>
      </c>
      <c r="D6447">
        <v>4.5280529999999999</v>
      </c>
      <c r="E6447">
        <v>0.45545570000000002</v>
      </c>
      <c r="F6447" t="s">
        <v>41</v>
      </c>
      <c r="G6447">
        <v>-262.7577</v>
      </c>
      <c r="H6447" s="1">
        <v>-1.9376100000000001E-7</v>
      </c>
      <c r="I6447">
        <v>-60.35286</v>
      </c>
      <c r="J6447">
        <v>-283.73930000000001</v>
      </c>
      <c r="K6447">
        <v>1.1145640000000001</v>
      </c>
      <c r="L6447">
        <v>-60.654389999999999</v>
      </c>
      <c r="M6447">
        <v>0.96674729999999998</v>
      </c>
      <c r="N6447">
        <v>-1.418464E-2</v>
      </c>
      <c r="O6447">
        <v>-0.25533990000000001</v>
      </c>
      <c r="P6447">
        <v>0.98209310000000005</v>
      </c>
      <c r="Q6447">
        <v>0.16317300000000001</v>
      </c>
      <c r="R6447">
        <v>-9.4169370000000002E-2</v>
      </c>
      <c r="S6447">
        <v>3.0870669999999998</v>
      </c>
      <c r="T6447">
        <v>-0.16307969999999999</v>
      </c>
      <c r="U6447">
        <v>4.006958E-2</v>
      </c>
      <c r="V6447">
        <v>-0.16142310000000001</v>
      </c>
      <c r="W6447">
        <v>0.17543819999999999</v>
      </c>
      <c r="X6447">
        <v>0.97116630000000004</v>
      </c>
      <c r="Y6447">
        <v>-0.26723639999999999</v>
      </c>
      <c r="Z6447">
        <v>1.8672190000000002E-2</v>
      </c>
      <c r="AA6447">
        <v>0.96345009999999998</v>
      </c>
      <c r="AB6447">
        <v>23</v>
      </c>
      <c r="AC6447">
        <v>20.9816</v>
      </c>
      <c r="AD6447">
        <v>-1.11456419376099</v>
      </c>
      <c r="AE6447">
        <v>0.30152999999999902</v>
      </c>
      <c r="AF6447">
        <v>-5.63361740435748</v>
      </c>
      <c r="AG6447">
        <v>-1.11456419376099</v>
      </c>
      <c r="AH6447">
        <v>20.152091253995899</v>
      </c>
      <c r="AI6447">
        <v>93.049001114701298</v>
      </c>
      <c r="AJ6447">
        <v>105.618599487296</v>
      </c>
      <c r="AK6447">
        <v>20.954395250402001</v>
      </c>
      <c r="AL6447">
        <v>79.895840162429906</v>
      </c>
      <c r="AM6447">
        <v>99.437181004246199</v>
      </c>
      <c r="AN6447">
        <v>0.99999998074426899</v>
      </c>
    </row>
    <row r="6448" spans="1:40" x14ac:dyDescent="0.25">
      <c r="A6448" t="str">
        <f>"20190304155232896"</f>
        <v>20190304155232896</v>
      </c>
      <c r="B6448" t="str">
        <f>"1551685952893075"</f>
        <v>1551685952893075</v>
      </c>
      <c r="C6448" t="s">
        <v>40</v>
      </c>
      <c r="D6448">
        <v>4.6090169999999997</v>
      </c>
      <c r="E6448">
        <v>0.45591039999999999</v>
      </c>
      <c r="F6448" t="s">
        <v>41</v>
      </c>
      <c r="G6448">
        <v>-262.9117</v>
      </c>
      <c r="H6448" s="1">
        <v>-2.6392949999999999E-7</v>
      </c>
      <c r="I6448">
        <v>-60.329799999999999</v>
      </c>
      <c r="J6448">
        <v>-283.61110000000002</v>
      </c>
      <c r="K6448">
        <v>1.114457</v>
      </c>
      <c r="L6448">
        <v>-60.683810000000001</v>
      </c>
      <c r="M6448">
        <v>0.96769879999999997</v>
      </c>
      <c r="N6448">
        <v>-1.416513E-2</v>
      </c>
      <c r="O6448">
        <v>-0.25171100000000002</v>
      </c>
      <c r="P6448">
        <v>0.98250939999999998</v>
      </c>
      <c r="Q6448">
        <v>0.16224839999999999</v>
      </c>
      <c r="R6448">
        <v>-9.1382089999999999E-2</v>
      </c>
      <c r="S6448">
        <v>3.0867610000000001</v>
      </c>
      <c r="T6448">
        <v>-0.165184</v>
      </c>
      <c r="U6448">
        <v>4.8095699999999998E-2</v>
      </c>
      <c r="V6448">
        <v>-0.16051760000000001</v>
      </c>
      <c r="W6448">
        <v>0.1745476</v>
      </c>
      <c r="X6448">
        <v>0.97147689999999998</v>
      </c>
      <c r="Y6448">
        <v>-0.26611400000000002</v>
      </c>
      <c r="Z6448">
        <v>1.8766430000000001E-2</v>
      </c>
      <c r="AA6448">
        <v>0.96375889999999997</v>
      </c>
      <c r="AB6448">
        <v>23</v>
      </c>
      <c r="AC6448">
        <v>20.699400000000001</v>
      </c>
      <c r="AD6448">
        <v>-1.1144572639295001</v>
      </c>
      <c r="AE6448">
        <v>0.35401000000000199</v>
      </c>
      <c r="AF6448">
        <v>-5.5373520466980999</v>
      </c>
      <c r="AG6448">
        <v>-1.1144572639295001</v>
      </c>
      <c r="AH6448">
        <v>19.886048926896802</v>
      </c>
      <c r="AI6448">
        <v>93.090296119958893</v>
      </c>
      <c r="AJ6448">
        <v>105.56007981905</v>
      </c>
      <c r="AK6448">
        <v>20.6726685409777</v>
      </c>
      <c r="AL6448">
        <v>79.947668363115895</v>
      </c>
      <c r="AM6448">
        <v>99.382240475561105</v>
      </c>
      <c r="AN6448">
        <v>1.00000006590456</v>
      </c>
    </row>
    <row r="6449" spans="1:40" x14ac:dyDescent="0.25">
      <c r="A6449" t="str">
        <f>"20190304155232906"</f>
        <v>20190304155232906</v>
      </c>
      <c r="B6449" t="str">
        <f>"1551685952903811"</f>
        <v>1551685952903811</v>
      </c>
      <c r="C6449" t="s">
        <v>40</v>
      </c>
      <c r="D6449">
        <v>4.5766819999999999</v>
      </c>
      <c r="E6449">
        <v>0.45617849999999999</v>
      </c>
      <c r="F6449" t="s">
        <v>102</v>
      </c>
      <c r="G6449">
        <v>-262.94639999999998</v>
      </c>
      <c r="H6449" s="1">
        <v>-2.7911530000000002E-7</v>
      </c>
      <c r="I6449">
        <v>-60.328139999999998</v>
      </c>
      <c r="J6449">
        <v>-283.49979999999999</v>
      </c>
      <c r="K6449">
        <v>1.1143639999999999</v>
      </c>
      <c r="L6449">
        <v>-60.709139999999998</v>
      </c>
      <c r="M6449">
        <v>0.96850210000000003</v>
      </c>
      <c r="N6449">
        <v>-1.414847E-2</v>
      </c>
      <c r="O6449">
        <v>-0.24860299999999999</v>
      </c>
      <c r="P6449">
        <v>0.98284689999999997</v>
      </c>
      <c r="Q6449">
        <v>0.16144259999999999</v>
      </c>
      <c r="R6449">
        <v>-8.9151809999999998E-2</v>
      </c>
      <c r="S6449">
        <v>3.0858150000000002</v>
      </c>
      <c r="T6449">
        <v>-0.16641929999999999</v>
      </c>
      <c r="U6449">
        <v>5.3100590000000003E-2</v>
      </c>
      <c r="V6449">
        <v>-0.15958820000000001</v>
      </c>
      <c r="W6449">
        <v>0.17377379999999901</v>
      </c>
      <c r="X6449">
        <v>0.97176859999999998</v>
      </c>
      <c r="Y6449">
        <v>-0.26458100000000001</v>
      </c>
      <c r="Z6449">
        <v>1.8757659999999999E-2</v>
      </c>
      <c r="AA6449">
        <v>0.96418099999999995</v>
      </c>
      <c r="AB6449">
        <v>23</v>
      </c>
      <c r="AC6449">
        <v>20.5534</v>
      </c>
      <c r="AD6449">
        <v>-1.1143642791152999</v>
      </c>
      <c r="AE6449">
        <v>0.38100000000000001</v>
      </c>
      <c r="AF6449">
        <v>-5.4631309202660603</v>
      </c>
      <c r="AG6449">
        <v>-1.1143642791152999</v>
      </c>
      <c r="AH6449">
        <v>19.755224684626299</v>
      </c>
      <c r="AI6449">
        <v>93.111992307670107</v>
      </c>
      <c r="AJ6449">
        <v>105.458307560734</v>
      </c>
      <c r="AK6449">
        <v>20.526970296139801</v>
      </c>
      <c r="AL6449">
        <v>79.992690945347903</v>
      </c>
      <c r="AM6449">
        <v>99.326123748320299</v>
      </c>
      <c r="AN6449">
        <v>0.99999996954581905</v>
      </c>
    </row>
    <row r="6450" spans="1:40" x14ac:dyDescent="0.25">
      <c r="A6450" t="str">
        <f>"20190304155232917"</f>
        <v>20190304155232917</v>
      </c>
      <c r="B6450" t="str">
        <f>"1551685952913571"</f>
        <v>1551685952913571</v>
      </c>
      <c r="C6450" t="s">
        <v>40</v>
      </c>
      <c r="D6450">
        <v>4.5793929999999996</v>
      </c>
      <c r="E6450">
        <v>0.45678760000000002</v>
      </c>
      <c r="F6450" t="s">
        <v>102</v>
      </c>
      <c r="G6450">
        <v>-263.03930000000003</v>
      </c>
      <c r="H6450" s="1">
        <v>-3.1986940000000001E-7</v>
      </c>
      <c r="I6450">
        <v>-60.323120000000003</v>
      </c>
      <c r="J6450">
        <v>-283.39920000000001</v>
      </c>
      <c r="K6450">
        <v>1.1142749999999999</v>
      </c>
      <c r="L6450">
        <v>-60.7316</v>
      </c>
      <c r="M6450">
        <v>0.96919239999999995</v>
      </c>
      <c r="N6450">
        <v>-1.4133089999999999E-2</v>
      </c>
      <c r="O6450">
        <v>-0.2458996</v>
      </c>
      <c r="P6450">
        <v>0.98311930000000003</v>
      </c>
      <c r="Q6450">
        <v>0.16066649999999999</v>
      </c>
      <c r="R6450">
        <v>-8.7539199999999998E-2</v>
      </c>
      <c r="S6450">
        <v>3.0852050000000002</v>
      </c>
      <c r="T6450">
        <v>-0.16803319999999999</v>
      </c>
      <c r="U6450">
        <v>5.8197020000000002E-2</v>
      </c>
      <c r="V6450">
        <v>-0.15845670000000001</v>
      </c>
      <c r="W6450">
        <v>0.17302999999999999</v>
      </c>
      <c r="X6450">
        <v>0.97208649999999996</v>
      </c>
      <c r="Y6450">
        <v>-0.26347599999999999</v>
      </c>
      <c r="Z6450">
        <v>1.8819519999999999E-2</v>
      </c>
      <c r="AA6450">
        <v>0.96448239999999996</v>
      </c>
      <c r="AB6450">
        <v>23</v>
      </c>
      <c r="AC6450">
        <v>20.3598999999999</v>
      </c>
      <c r="AD6450">
        <v>-1.1142753198694</v>
      </c>
      <c r="AE6450">
        <v>0.40848000000000401</v>
      </c>
      <c r="AF6450">
        <v>-5.3867975502093399</v>
      </c>
      <c r="AG6450">
        <v>-1.1142753198694</v>
      </c>
      <c r="AH6450">
        <v>19.575563467298299</v>
      </c>
      <c r="AI6450">
        <v>93.141340447566705</v>
      </c>
      <c r="AJ6450">
        <v>105.385822606875</v>
      </c>
      <c r="AK6450">
        <v>20.333762130939601</v>
      </c>
      <c r="AL6450">
        <v>80.0359637313245</v>
      </c>
      <c r="AM6450">
        <v>99.258173871636899</v>
      </c>
      <c r="AN6450">
        <v>1.0000000350785601</v>
      </c>
    </row>
    <row r="6451" spans="1:40" x14ac:dyDescent="0.25">
      <c r="A6451" t="str">
        <f>"20190304155232928"</f>
        <v>20190304155232928</v>
      </c>
      <c r="B6451" t="str">
        <f>"1551685952923331"</f>
        <v>1551685952923331</v>
      </c>
      <c r="C6451" t="s">
        <v>40</v>
      </c>
      <c r="D6451">
        <v>4.5866069999999999</v>
      </c>
      <c r="E6451">
        <v>0.45702720000000002</v>
      </c>
      <c r="F6451" t="s">
        <v>41</v>
      </c>
      <c r="G6451">
        <v>-262.98700000000002</v>
      </c>
      <c r="H6451" s="1">
        <v>-2.94106299999999E-7</v>
      </c>
      <c r="I6451">
        <v>-60.341929999999998</v>
      </c>
      <c r="J6451">
        <v>-283.30020000000002</v>
      </c>
      <c r="K6451">
        <v>1.1141890000000001</v>
      </c>
      <c r="L6451">
        <v>-60.753660000000004</v>
      </c>
      <c r="M6451">
        <v>0.96986209999999995</v>
      </c>
      <c r="N6451">
        <v>-1.4118469999999999E-2</v>
      </c>
      <c r="O6451">
        <v>-0.24324519999999999</v>
      </c>
      <c r="P6451">
        <v>0.98329630000000001</v>
      </c>
      <c r="Q6451">
        <v>0.16043869999999999</v>
      </c>
      <c r="R6451">
        <v>-8.5953920000000003E-2</v>
      </c>
      <c r="S6451">
        <v>3.0842589999999999</v>
      </c>
      <c r="T6451">
        <v>-0.16836570000000001</v>
      </c>
      <c r="U6451">
        <v>5.8868410000000003E-2</v>
      </c>
      <c r="V6451">
        <v>-0.1573321</v>
      </c>
      <c r="W6451">
        <v>0.17283270000000001</v>
      </c>
      <c r="X6451">
        <v>0.97230419999999995</v>
      </c>
      <c r="Y6451">
        <v>-0.26105329999999999</v>
      </c>
      <c r="Z6451">
        <v>1.868158E-2</v>
      </c>
      <c r="AA6451">
        <v>0.96514359999999999</v>
      </c>
      <c r="AB6451">
        <v>22</v>
      </c>
      <c r="AC6451">
        <v>20.313199999999899</v>
      </c>
      <c r="AD6451">
        <v>-1.1141892941063001</v>
      </c>
      <c r="AE6451">
        <v>0.41172999999999099</v>
      </c>
      <c r="AF6451">
        <v>-5.3249280339574501</v>
      </c>
      <c r="AG6451">
        <v>-1.1141892941063001</v>
      </c>
      <c r="AH6451">
        <v>19.544029192140801</v>
      </c>
      <c r="AI6451">
        <v>93.1483338658729</v>
      </c>
      <c r="AJ6451">
        <v>105.240760169867</v>
      </c>
      <c r="AK6451">
        <v>20.287073554684401</v>
      </c>
      <c r="AL6451">
        <v>80.047440700884096</v>
      </c>
      <c r="AM6451">
        <v>99.191569324135699</v>
      </c>
      <c r="AN6451">
        <v>0.99999999460866895</v>
      </c>
    </row>
    <row r="6452" spans="1:40" x14ac:dyDescent="0.25">
      <c r="A6452" t="str">
        <f>"20190304155232937"</f>
        <v>20190304155232937</v>
      </c>
      <c r="B6452" t="str">
        <f>"1551685952933091"</f>
        <v>1551685952933091</v>
      </c>
      <c r="C6452" t="s">
        <v>40</v>
      </c>
      <c r="D6452">
        <v>4.6450509999999996</v>
      </c>
      <c r="E6452">
        <v>0.45732349999999999</v>
      </c>
      <c r="F6452" t="s">
        <v>41</v>
      </c>
      <c r="G6452">
        <v>-262.93740000000003</v>
      </c>
      <c r="H6452" s="1">
        <v>-2.726047E-7</v>
      </c>
      <c r="I6452">
        <v>-60.343130000000002</v>
      </c>
      <c r="J6452">
        <v>-283.1986</v>
      </c>
      <c r="K6452">
        <v>1.114098</v>
      </c>
      <c r="L6452">
        <v>-60.775910000000003</v>
      </c>
      <c r="M6452">
        <v>0.97051200000000004</v>
      </c>
      <c r="N6452">
        <v>-1.4102989999999999E-2</v>
      </c>
      <c r="O6452">
        <v>-0.2406401</v>
      </c>
      <c r="P6452">
        <v>0.98343519999999895</v>
      </c>
      <c r="Q6452">
        <v>0.16052939999999999</v>
      </c>
      <c r="R6452">
        <v>-8.4176860000000006E-2</v>
      </c>
      <c r="S6452">
        <v>3.083923</v>
      </c>
      <c r="T6452">
        <v>-0.16874249999999999</v>
      </c>
      <c r="U6452">
        <v>6.216431E-2</v>
      </c>
      <c r="V6452">
        <v>-0.15643479999999901</v>
      </c>
      <c r="W6452">
        <v>0.17295150000000001</v>
      </c>
      <c r="X6452">
        <v>0.97242779999999995</v>
      </c>
      <c r="Y6452">
        <v>-0.2594959</v>
      </c>
      <c r="Z6452">
        <v>1.8575959999999999E-2</v>
      </c>
      <c r="AA6452">
        <v>0.96556549999999997</v>
      </c>
      <c r="AB6452">
        <v>22</v>
      </c>
      <c r="AC6452">
        <v>20.261199999999899</v>
      </c>
      <c r="AD6452">
        <v>-1.1140982726047</v>
      </c>
      <c r="AE6452">
        <v>0.432779999999994</v>
      </c>
      <c r="AF6452">
        <v>-5.2802440629235496</v>
      </c>
      <c r="AG6452">
        <v>-1.1140982726047</v>
      </c>
      <c r="AH6452">
        <v>19.502597903512498</v>
      </c>
      <c r="AI6452">
        <v>93.156115418834901</v>
      </c>
      <c r="AJ6452">
        <v>105.14938879905699</v>
      </c>
      <c r="AK6452">
        <v>20.235451991767999</v>
      </c>
      <c r="AL6452">
        <v>80.040529412857296</v>
      </c>
      <c r="AM6452">
        <v>99.1388929193607</v>
      </c>
      <c r="AN6452">
        <v>0.99999994710806295</v>
      </c>
    </row>
    <row r="6453" spans="1:40" x14ac:dyDescent="0.25">
      <c r="A6453" t="str">
        <f>"20190304155232948"</f>
        <v>20190304155232948</v>
      </c>
      <c r="B6453" t="str">
        <f>"1551685952943827"</f>
        <v>1551685952943827</v>
      </c>
      <c r="C6453" t="s">
        <v>40</v>
      </c>
      <c r="D6453">
        <v>4.6263930000000002</v>
      </c>
      <c r="E6453">
        <v>0.45757500000000001</v>
      </c>
      <c r="F6453" t="s">
        <v>41</v>
      </c>
      <c r="G6453">
        <v>-262.70760000000001</v>
      </c>
      <c r="H6453" s="1">
        <v>-1.7422740000000001E-7</v>
      </c>
      <c r="I6453">
        <v>-60.34205</v>
      </c>
      <c r="J6453">
        <v>-283.10469999999998</v>
      </c>
      <c r="K6453">
        <v>1.1140110000000001</v>
      </c>
      <c r="L6453">
        <v>-60.796419999999998</v>
      </c>
      <c r="M6453">
        <v>0.97110549999999995</v>
      </c>
      <c r="N6453">
        <v>-1.40892E-2</v>
      </c>
      <c r="O6453">
        <v>-0.23823459999999999</v>
      </c>
      <c r="P6453">
        <v>0.98360809999999999</v>
      </c>
      <c r="Q6453">
        <v>0.16033039999999901</v>
      </c>
      <c r="R6453">
        <v>-8.2517850000000004E-2</v>
      </c>
      <c r="S6453">
        <v>3.0834959999999998</v>
      </c>
      <c r="T6453">
        <v>-0.1676503</v>
      </c>
      <c r="U6453">
        <v>6.5277099999999894E-2</v>
      </c>
      <c r="V6453">
        <v>-0.15563460000000001</v>
      </c>
      <c r="W6453">
        <v>0.17277909999999999</v>
      </c>
      <c r="X6453">
        <v>0.97258690000000003</v>
      </c>
      <c r="Y6453">
        <v>-0.25809330000000003</v>
      </c>
      <c r="Z6453">
        <v>1.8309010000000001E-2</v>
      </c>
      <c r="AA6453">
        <v>0.96594650000000004</v>
      </c>
      <c r="AB6453">
        <v>22</v>
      </c>
      <c r="AC6453">
        <v>20.397099999999899</v>
      </c>
      <c r="AD6453">
        <v>-1.1140111742273999</v>
      </c>
      <c r="AE6453">
        <v>0.454369999999997</v>
      </c>
      <c r="AF6453">
        <v>-5.2853041695157401</v>
      </c>
      <c r="AG6453">
        <v>-1.1140111742273999</v>
      </c>
      <c r="AH6453">
        <v>19.6428794909076</v>
      </c>
      <c r="AI6453">
        <v>93.134695081164196</v>
      </c>
      <c r="AJ6453">
        <v>105.05988424916799</v>
      </c>
      <c r="AK6453">
        <v>20.371994888938101</v>
      </c>
      <c r="AL6453">
        <v>80.050558837229303</v>
      </c>
      <c r="AM6453">
        <v>99.091465699969802</v>
      </c>
      <c r="AN6453">
        <v>1.0000000120827901</v>
      </c>
    </row>
    <row r="6454" spans="1:40" x14ac:dyDescent="0.25">
      <c r="A6454" t="str">
        <f>"20190304155232957"</f>
        <v>20190304155232957</v>
      </c>
      <c r="B6454" t="str">
        <f>"1551685952953587"</f>
        <v>1551685952953587</v>
      </c>
      <c r="C6454" t="s">
        <v>40</v>
      </c>
      <c r="D6454">
        <v>4.6235540000000004</v>
      </c>
      <c r="E6454">
        <v>0.4578546</v>
      </c>
      <c r="F6454" t="s">
        <v>102</v>
      </c>
      <c r="G6454">
        <v>-262.63639999999998</v>
      </c>
      <c r="H6454" s="1">
        <v>-1.4343159999999999E-7</v>
      </c>
      <c r="I6454">
        <v>-60.343330000000002</v>
      </c>
      <c r="J6454">
        <v>-283.00839999999999</v>
      </c>
      <c r="K6454">
        <v>1.1139239999999999</v>
      </c>
      <c r="L6454">
        <v>-60.81711</v>
      </c>
      <c r="M6454">
        <v>0.97168209999999999</v>
      </c>
      <c r="N6454">
        <v>-1.407479E-2</v>
      </c>
      <c r="O6454">
        <v>-0.2358729</v>
      </c>
      <c r="P6454">
        <v>0.98379340000000004</v>
      </c>
      <c r="Q6454">
        <v>0.16005529999999901</v>
      </c>
      <c r="R6454">
        <v>-8.0825809999999998E-2</v>
      </c>
      <c r="S6454">
        <v>3.0830690000000001</v>
      </c>
      <c r="T6454">
        <v>-0.1677999</v>
      </c>
      <c r="U6454">
        <v>6.8237300000000001E-2</v>
      </c>
      <c r="V6454">
        <v>-0.1549142</v>
      </c>
      <c r="W6454">
        <v>0.1725293</v>
      </c>
      <c r="X6454">
        <v>0.97274629999999995</v>
      </c>
      <c r="Y6454">
        <v>-0.25667719999999999</v>
      </c>
      <c r="Z6454">
        <v>1.8191059999999998E-2</v>
      </c>
      <c r="AA6454">
        <v>0.96632600000000002</v>
      </c>
      <c r="AB6454">
        <v>22</v>
      </c>
      <c r="AC6454">
        <v>20.372</v>
      </c>
      <c r="AD6454">
        <v>-1.1139241434315901</v>
      </c>
      <c r="AE6454">
        <v>0.47377999999999698</v>
      </c>
      <c r="AF6454">
        <v>-5.2503980762898701</v>
      </c>
      <c r="AG6454">
        <v>-1.1139241434315901</v>
      </c>
      <c r="AH6454">
        <v>19.6266552647872</v>
      </c>
      <c r="AI6454">
        <v>93.138256087865699</v>
      </c>
      <c r="AJ6454">
        <v>104.976714071438</v>
      </c>
      <c r="AK6454">
        <v>20.3473119561191</v>
      </c>
      <c r="AL6454">
        <v>80.065090083125298</v>
      </c>
      <c r="AM6454">
        <v>99.048622791909594</v>
      </c>
      <c r="AN6454">
        <v>1.0000000664419</v>
      </c>
    </row>
    <row r="6455" spans="1:40" x14ac:dyDescent="0.25">
      <c r="A6455" t="str">
        <f>"20190304155232968"</f>
        <v>20190304155232968</v>
      </c>
      <c r="B6455" t="str">
        <f>"1551685952963346"</f>
        <v>1551685952963346</v>
      </c>
      <c r="C6455" t="s">
        <v>40</v>
      </c>
      <c r="D6455">
        <v>4.6350899999999999</v>
      </c>
      <c r="E6455">
        <v>0.45819939999999998</v>
      </c>
      <c r="F6455" t="s">
        <v>41</v>
      </c>
      <c r="G6455">
        <v>-262.57580000000002</v>
      </c>
      <c r="H6455" s="1">
        <v>-1.169818E-7</v>
      </c>
      <c r="I6455">
        <v>-60.345930000000003</v>
      </c>
      <c r="J6455">
        <v>-282.911</v>
      </c>
      <c r="K6455">
        <v>1.113845</v>
      </c>
      <c r="L6455">
        <v>-60.838039999999999</v>
      </c>
      <c r="M6455">
        <v>0.97225830000000002</v>
      </c>
      <c r="N6455">
        <v>-1.4060720000000001E-2</v>
      </c>
      <c r="O6455">
        <v>-0.23348769999999999</v>
      </c>
      <c r="P6455">
        <v>0.98403200000000002</v>
      </c>
      <c r="Q6455">
        <v>0.15947800000000001</v>
      </c>
      <c r="R6455">
        <v>-7.9046560000000002E-2</v>
      </c>
      <c r="S6455">
        <v>3.082611</v>
      </c>
      <c r="T6455">
        <v>-0.16805519999999999</v>
      </c>
      <c r="U6455">
        <v>7.1075440000000004E-2</v>
      </c>
      <c r="V6455">
        <v>-0.1542665</v>
      </c>
      <c r="W6455">
        <v>0.17197789999999999</v>
      </c>
      <c r="X6455">
        <v>0.9729468</v>
      </c>
      <c r="Y6455">
        <v>-0.25520009999999999</v>
      </c>
      <c r="Z6455">
        <v>1.808206E-2</v>
      </c>
      <c r="AA6455">
        <v>0.9667192</v>
      </c>
      <c r="AB6455">
        <v>22</v>
      </c>
      <c r="AC6455">
        <v>20.335199999999901</v>
      </c>
      <c r="AD6455">
        <v>-1.1138451169818</v>
      </c>
      <c r="AE6455">
        <v>0.492109999999996</v>
      </c>
      <c r="AF6455">
        <v>-5.2113666751073797</v>
      </c>
      <c r="AG6455">
        <v>-1.1138451169818</v>
      </c>
      <c r="AH6455">
        <v>19.599336786254401</v>
      </c>
      <c r="AI6455">
        <v>93.143663230427293</v>
      </c>
      <c r="AJ6455">
        <v>104.89013411527699</v>
      </c>
      <c r="AK6455">
        <v>20.310908301404702</v>
      </c>
      <c r="AL6455">
        <v>80.097161839506796</v>
      </c>
      <c r="AM6455">
        <v>99.009585808252595</v>
      </c>
      <c r="AN6455">
        <v>1.0000000133704401</v>
      </c>
    </row>
    <row r="6456" spans="1:40" x14ac:dyDescent="0.25">
      <c r="A6456" t="str">
        <f>"20190304155232978"</f>
        <v>20190304155232978</v>
      </c>
      <c r="B6456" t="str">
        <f>"1551685952973107"</f>
        <v>1551685952973107</v>
      </c>
      <c r="C6456" t="s">
        <v>40</v>
      </c>
      <c r="D6456">
        <v>4.6489310000000001</v>
      </c>
      <c r="E6456">
        <v>0.45854270000000003</v>
      </c>
      <c r="F6456" t="s">
        <v>102</v>
      </c>
      <c r="G6456">
        <v>-262.59359999999998</v>
      </c>
      <c r="H6456" s="1">
        <v>-1.2351560000000001E-7</v>
      </c>
      <c r="I6456">
        <v>-60.3521199999999</v>
      </c>
      <c r="J6456">
        <v>-282.79860000000002</v>
      </c>
      <c r="K6456">
        <v>1.113745</v>
      </c>
      <c r="L6456">
        <v>-60.861719999999998</v>
      </c>
      <c r="M6456">
        <v>0.97288669999999999</v>
      </c>
      <c r="N6456">
        <v>-1.404448E-2</v>
      </c>
      <c r="O6456">
        <v>-0.23085610000000001</v>
      </c>
      <c r="P6456">
        <v>0.98429350000000004</v>
      </c>
      <c r="Q6456">
        <v>0.15864909999999999</v>
      </c>
      <c r="R6456">
        <v>-7.7441969999999999E-2</v>
      </c>
      <c r="S6456">
        <v>3.0819700000000001</v>
      </c>
      <c r="T6456">
        <v>-0.16896069999999999</v>
      </c>
      <c r="U6456">
        <v>7.369995E-2</v>
      </c>
      <c r="V6456">
        <v>-0.15320239999999999</v>
      </c>
      <c r="W6456">
        <v>0.17118069999999999</v>
      </c>
      <c r="X6456">
        <v>0.97325550000000005</v>
      </c>
      <c r="Y6456">
        <v>-0.253409</v>
      </c>
      <c r="Z6456">
        <v>1.8028300000000001E-2</v>
      </c>
      <c r="AA6456">
        <v>0.96719120000000003</v>
      </c>
      <c r="AB6456">
        <v>22</v>
      </c>
      <c r="AC6456">
        <v>20.204999999999998</v>
      </c>
      <c r="AD6456">
        <v>-1.1137451235156</v>
      </c>
      <c r="AE6456">
        <v>0.50960000000000605</v>
      </c>
      <c r="AF6456">
        <v>-5.1451154366898404</v>
      </c>
      <c r="AG6456">
        <v>-1.1137451235156</v>
      </c>
      <c r="AH6456">
        <v>19.4822971469736</v>
      </c>
      <c r="AI6456">
        <v>93.163636540448607</v>
      </c>
      <c r="AJ6456">
        <v>104.7935959722</v>
      </c>
      <c r="AK6456">
        <v>20.180994603338899</v>
      </c>
      <c r="AL6456">
        <v>80.143525839383202</v>
      </c>
      <c r="AM6456">
        <v>98.945656142127703</v>
      </c>
      <c r="AN6456">
        <v>1.00000003784924</v>
      </c>
    </row>
    <row r="6457" spans="1:40" x14ac:dyDescent="0.25">
      <c r="A6457" t="str">
        <f>"20190304155232990"</f>
        <v>20190304155232990</v>
      </c>
      <c r="B6457" t="str">
        <f>"1551685952983844"</f>
        <v>1551685952983844</v>
      </c>
      <c r="C6457" t="s">
        <v>40</v>
      </c>
      <c r="D6457">
        <v>4.6526239999999897</v>
      </c>
      <c r="E6457">
        <v>0.4589163</v>
      </c>
      <c r="F6457" t="s">
        <v>41</v>
      </c>
      <c r="G6457">
        <v>-262.72789999999998</v>
      </c>
      <c r="H6457" s="1">
        <v>-1.783839E-7</v>
      </c>
      <c r="I6457">
        <v>-60.3675</v>
      </c>
      <c r="J6457">
        <v>-282.69139999999999</v>
      </c>
      <c r="K6457">
        <v>1.1136520000000001</v>
      </c>
      <c r="L6457">
        <v>-60.884250000000002</v>
      </c>
      <c r="M6457">
        <v>0.97347150000000005</v>
      </c>
      <c r="N6457">
        <v>-1.4029420000000001E-2</v>
      </c>
      <c r="O6457">
        <v>-0.2283781</v>
      </c>
      <c r="P6457">
        <v>0.98456860000000002</v>
      </c>
      <c r="Q6457">
        <v>0.15778689999999901</v>
      </c>
      <c r="R6457">
        <v>-7.5685420000000003E-2</v>
      </c>
      <c r="S6457">
        <v>3.0813899999999999</v>
      </c>
      <c r="T6457">
        <v>-0.17098949999999999</v>
      </c>
      <c r="U6457">
        <v>7.5866699999999995E-2</v>
      </c>
      <c r="V6457">
        <v>-0.1524469</v>
      </c>
      <c r="W6457">
        <v>0.1703462</v>
      </c>
      <c r="X6457">
        <v>0.97352050000000001</v>
      </c>
      <c r="Y6457">
        <v>-0.25161850000000002</v>
      </c>
      <c r="Z6457">
        <v>1.8106239999999999E-2</v>
      </c>
      <c r="AA6457">
        <v>0.96765710000000005</v>
      </c>
      <c r="AB6457">
        <v>22</v>
      </c>
      <c r="AC6457">
        <v>19.9635</v>
      </c>
      <c r="AD6457">
        <v>-1.1136521783839</v>
      </c>
      <c r="AE6457">
        <v>0.51675000000000104</v>
      </c>
      <c r="AF6457">
        <v>-5.0470700331423597</v>
      </c>
      <c r="AG6457">
        <v>-1.1136521783839</v>
      </c>
      <c r="AH6457">
        <v>19.257895194894498</v>
      </c>
      <c r="AI6457">
        <v>93.2017408152673</v>
      </c>
      <c r="AJ6457">
        <v>104.68567967062</v>
      </c>
      <c r="AK6457">
        <v>19.939399801182599</v>
      </c>
      <c r="AL6457">
        <v>80.192051783700293</v>
      </c>
      <c r="AM6457">
        <v>98.899865464732898</v>
      </c>
      <c r="AN6457">
        <v>1.0000000245471401</v>
      </c>
    </row>
    <row r="6458" spans="1:40" x14ac:dyDescent="0.25">
      <c r="A6458" t="str">
        <f>"20190304155233001"</f>
        <v>20190304155233001</v>
      </c>
      <c r="B6458" t="str">
        <f>"1551685952993603"</f>
        <v>1551685952993603</v>
      </c>
      <c r="C6458" t="s">
        <v>40</v>
      </c>
      <c r="D6458">
        <v>4.6383780000000003</v>
      </c>
      <c r="E6458">
        <v>0.45930009999999999</v>
      </c>
      <c r="F6458" t="s">
        <v>41</v>
      </c>
      <c r="G6458">
        <v>-262.83089999999999</v>
      </c>
      <c r="H6458" s="1">
        <v>-2.2072359999999999E-7</v>
      </c>
      <c r="I6458">
        <v>-60.377980000000001</v>
      </c>
      <c r="J6458">
        <v>-282.58690000000001</v>
      </c>
      <c r="K6458">
        <v>1.113558</v>
      </c>
      <c r="L6458">
        <v>-60.905909999999999</v>
      </c>
      <c r="M6458">
        <v>0.97401519999999997</v>
      </c>
      <c r="N6458">
        <v>-1.4014850000000001E-2</v>
      </c>
      <c r="O6458">
        <v>-0.22604879999999999</v>
      </c>
      <c r="P6458">
        <v>0.98484970000000005</v>
      </c>
      <c r="Q6458">
        <v>0.15669240000000001</v>
      </c>
      <c r="R6458">
        <v>-7.4287699999999998E-2</v>
      </c>
      <c r="S6458">
        <v>3.0807500000000001</v>
      </c>
      <c r="T6458">
        <v>-0.17274890000000001</v>
      </c>
      <c r="U6458">
        <v>7.8521729999999998E-2</v>
      </c>
      <c r="V6458">
        <v>-0.15149370000000001</v>
      </c>
      <c r="W6458">
        <v>0.16928089999999901</v>
      </c>
      <c r="X6458">
        <v>0.97385500000000003</v>
      </c>
      <c r="Y6458">
        <v>-0.25013190000000002</v>
      </c>
      <c r="Z6458">
        <v>1.816624E-2</v>
      </c>
      <c r="AA6458">
        <v>0.96804140000000005</v>
      </c>
      <c r="AB6458">
        <v>22</v>
      </c>
      <c r="AC6458">
        <v>19.756</v>
      </c>
      <c r="AD6458">
        <v>-1.1135582207235999</v>
      </c>
      <c r="AE6458">
        <v>0.52792999999999002</v>
      </c>
      <c r="AF6458">
        <v>-4.9647587066360304</v>
      </c>
      <c r="AG6458">
        <v>-1.1135582207235999</v>
      </c>
      <c r="AH6458">
        <v>19.064657192291399</v>
      </c>
      <c r="AI6458">
        <v>93.235163761803307</v>
      </c>
      <c r="AJ6458">
        <v>104.596587429235</v>
      </c>
      <c r="AK6458">
        <v>19.731953648476999</v>
      </c>
      <c r="AL6458">
        <v>80.2539879264733</v>
      </c>
      <c r="AM6458">
        <v>98.842110077377697</v>
      </c>
      <c r="AN6458">
        <v>0.999999962634749</v>
      </c>
    </row>
    <row r="6459" spans="1:40" x14ac:dyDescent="0.25">
      <c r="A6459" t="str">
        <f>"20190304155233012"</f>
        <v>20190304155233012</v>
      </c>
      <c r="B6459" t="str">
        <f>"1551685953003363"</f>
        <v>1551685953003363</v>
      </c>
      <c r="C6459" t="s">
        <v>40</v>
      </c>
      <c r="D6459">
        <v>4.668901</v>
      </c>
      <c r="E6459">
        <v>0.45963700000000002</v>
      </c>
      <c r="F6459" t="s">
        <v>41</v>
      </c>
      <c r="G6459">
        <v>-263</v>
      </c>
      <c r="H6459" s="1">
        <v>-2.957667E-7</v>
      </c>
      <c r="I6459">
        <v>-60.396799999999999</v>
      </c>
      <c r="J6459">
        <v>-282.47859999999997</v>
      </c>
      <c r="K6459">
        <v>1.1134660000000001</v>
      </c>
      <c r="L6459">
        <v>-60.928220000000003</v>
      </c>
      <c r="M6459">
        <v>0.97456069999999995</v>
      </c>
      <c r="N6459">
        <v>-1.40001E-2</v>
      </c>
      <c r="O6459">
        <v>-0.22368579999999999</v>
      </c>
      <c r="P6459">
        <v>0.98503490000000005</v>
      </c>
      <c r="Q6459">
        <v>0.156359</v>
      </c>
      <c r="R6459">
        <v>-7.2514270000000006E-2</v>
      </c>
      <c r="S6459">
        <v>3.0800169999999998</v>
      </c>
      <c r="T6459">
        <v>-0.1751057</v>
      </c>
      <c r="U6459">
        <v>8.0047610000000005E-2</v>
      </c>
      <c r="V6459">
        <v>-0.15085670000000001</v>
      </c>
      <c r="W6459">
        <v>0.16897219999999999</v>
      </c>
      <c r="X6459">
        <v>0.97400750000000003</v>
      </c>
      <c r="Y6459">
        <v>-0.24825469999999999</v>
      </c>
      <c r="Z6459">
        <v>1.8275059999999999E-2</v>
      </c>
      <c r="AA6459">
        <v>0.96852240000000001</v>
      </c>
      <c r="AB6459">
        <v>22</v>
      </c>
      <c r="AC6459">
        <v>19.478599999999901</v>
      </c>
      <c r="AD6459">
        <v>-1.1134662957666901</v>
      </c>
      <c r="AE6459">
        <v>0.53141999999999701</v>
      </c>
      <c r="AF6459">
        <v>-4.8595975777037399</v>
      </c>
      <c r="AG6459">
        <v>-1.1134662957666901</v>
      </c>
      <c r="AH6459">
        <v>18.804655123992301</v>
      </c>
      <c r="AI6459">
        <v>93.281112040087507</v>
      </c>
      <c r="AJ6459">
        <v>104.48967005993801</v>
      </c>
      <c r="AK6459">
        <v>19.454319575387899</v>
      </c>
      <c r="AL6459">
        <v>80.271933816895796</v>
      </c>
      <c r="AM6459">
        <v>98.804157608011593</v>
      </c>
      <c r="AN6459">
        <v>0.99999997918198902</v>
      </c>
    </row>
    <row r="6460" spans="1:40" x14ac:dyDescent="0.25">
      <c r="A6460" t="str">
        <f>"20190304155233023"</f>
        <v>20190304155233023</v>
      </c>
      <c r="B6460" t="str">
        <f>"1551685953013124"</f>
        <v>1551685953013124</v>
      </c>
      <c r="C6460" t="s">
        <v>40</v>
      </c>
      <c r="D6460">
        <v>4.6369999999999996</v>
      </c>
      <c r="E6460">
        <v>0.4600032</v>
      </c>
      <c r="F6460" t="s">
        <v>41</v>
      </c>
      <c r="G6460">
        <v>-262.94569999999999</v>
      </c>
      <c r="H6460" s="1">
        <v>-2.7384999999999998E-7</v>
      </c>
      <c r="I6460">
        <v>-60.40204</v>
      </c>
      <c r="J6460">
        <v>-282.36430000000001</v>
      </c>
      <c r="K6460">
        <v>1.1133710000000001</v>
      </c>
      <c r="L6460">
        <v>-60.951569999999997</v>
      </c>
      <c r="M6460">
        <v>0.97511300000000001</v>
      </c>
      <c r="N6460">
        <v>-1.398491E-2</v>
      </c>
      <c r="O6460">
        <v>-0.22126699999999999</v>
      </c>
      <c r="P6460">
        <v>0.98523530000000004</v>
      </c>
      <c r="Q6460">
        <v>0.15597629999999901</v>
      </c>
      <c r="R6460">
        <v>-7.0589739999999998E-2</v>
      </c>
      <c r="S6460">
        <v>3.079529</v>
      </c>
      <c r="T6460">
        <v>-0.1755475</v>
      </c>
      <c r="U6460">
        <v>8.2946779999999998E-2</v>
      </c>
      <c r="V6460">
        <v>-0.15031429999999901</v>
      </c>
      <c r="W6460">
        <v>0.1686136</v>
      </c>
      <c r="X6460">
        <v>0.97415350000000001</v>
      </c>
      <c r="Y6460">
        <v>-0.2467676</v>
      </c>
      <c r="Z6460">
        <v>1.817591E-2</v>
      </c>
      <c r="AA6460">
        <v>0.96890419999999999</v>
      </c>
      <c r="AB6460">
        <v>22</v>
      </c>
      <c r="AC6460">
        <v>19.418600000000001</v>
      </c>
      <c r="AD6460">
        <v>-1.1133712738499999</v>
      </c>
      <c r="AE6460">
        <v>0.54952999999999697</v>
      </c>
      <c r="AF6460">
        <v>-4.8171987071494096</v>
      </c>
      <c r="AG6460">
        <v>-1.1133712738499999</v>
      </c>
      <c r="AH6460">
        <v>18.753974950745601</v>
      </c>
      <c r="AI6460">
        <v>93.290918558776298</v>
      </c>
      <c r="AJ6460">
        <v>104.405721765598</v>
      </c>
      <c r="AK6460">
        <v>19.394756390086201</v>
      </c>
      <c r="AL6460">
        <v>80.292779271548397</v>
      </c>
      <c r="AM6460">
        <v>98.7717014957597</v>
      </c>
      <c r="AN6460">
        <v>0.99999998822584901</v>
      </c>
    </row>
    <row r="6461" spans="1:40" x14ac:dyDescent="0.25">
      <c r="A6461" t="str">
        <f>"20190304155233035"</f>
        <v>20190304155233035</v>
      </c>
      <c r="B6461" t="str">
        <f>"1551685953023860"</f>
        <v>1551685953023860</v>
      </c>
      <c r="C6461" t="s">
        <v>40</v>
      </c>
      <c r="D6461">
        <v>4.6508599999999998</v>
      </c>
      <c r="E6461">
        <v>0.46036779999999999</v>
      </c>
      <c r="F6461" t="s">
        <v>41</v>
      </c>
      <c r="G6461">
        <v>-262.92419999999998</v>
      </c>
      <c r="H6461" s="1">
        <v>-2.665827E-7</v>
      </c>
      <c r="I6461">
        <v>-60.409309999999998</v>
      </c>
      <c r="J6461">
        <v>-282.25830000000002</v>
      </c>
      <c r="K6461">
        <v>1.113281</v>
      </c>
      <c r="L6461">
        <v>-60.97296</v>
      </c>
      <c r="M6461">
        <v>0.97560089999999999</v>
      </c>
      <c r="N6461">
        <v>-1.397089E-2</v>
      </c>
      <c r="O6461">
        <v>-0.2191062</v>
      </c>
      <c r="P6461">
        <v>0.98542189999999996</v>
      </c>
      <c r="Q6461">
        <v>0.15556979999999901</v>
      </c>
      <c r="R6461">
        <v>-6.8859030000000002E-2</v>
      </c>
      <c r="S6461">
        <v>3.0790709999999999</v>
      </c>
      <c r="T6461">
        <v>-0.17634430000000001</v>
      </c>
      <c r="U6461">
        <v>8.5876460000000002E-2</v>
      </c>
      <c r="V6461">
        <v>-0.14984210000000001</v>
      </c>
      <c r="W6461">
        <v>0.16822960000000001</v>
      </c>
      <c r="X6461">
        <v>0.97429259999999995</v>
      </c>
      <c r="Y6461">
        <v>-0.2455436</v>
      </c>
      <c r="Z6461">
        <v>1.813474E-2</v>
      </c>
      <c r="AA6461">
        <v>0.96921590000000002</v>
      </c>
      <c r="AB6461">
        <v>22</v>
      </c>
      <c r="AC6461">
        <v>19.334099999999999</v>
      </c>
      <c r="AD6461">
        <v>-1.1132812665827001</v>
      </c>
      <c r="AE6461">
        <v>0.56365000000000198</v>
      </c>
      <c r="AF6461">
        <v>-4.7707816360992199</v>
      </c>
      <c r="AG6461">
        <v>-1.1132812665827001</v>
      </c>
      <c r="AH6461">
        <v>18.678817942084201</v>
      </c>
      <c r="AI6461">
        <v>93.305014590049794</v>
      </c>
      <c r="AJ6461">
        <v>104.32767794933901</v>
      </c>
      <c r="AK6461">
        <v>19.3105668562938</v>
      </c>
      <c r="AL6461">
        <v>80.315099439324001</v>
      </c>
      <c r="AM6461">
        <v>98.743343319085994</v>
      </c>
      <c r="AN6461">
        <v>0.99999996183166395</v>
      </c>
    </row>
    <row r="6462" spans="1:40" x14ac:dyDescent="0.25">
      <c r="A6462" t="str">
        <f>"20190304155233046"</f>
        <v>20190304155233046</v>
      </c>
      <c r="B6462" t="str">
        <f>"1551685953043379"</f>
        <v>1551685953043379</v>
      </c>
      <c r="C6462" t="s">
        <v>40</v>
      </c>
      <c r="D6462">
        <v>4.6456679999999997</v>
      </c>
      <c r="E6462">
        <v>0.47276230000000002</v>
      </c>
      <c r="F6462" t="s">
        <v>41</v>
      </c>
      <c r="G6462">
        <v>-262.93110000000001</v>
      </c>
      <c r="H6462" s="1">
        <v>-2.7292739999999999E-7</v>
      </c>
      <c r="I6462">
        <v>-60.422069999999998</v>
      </c>
      <c r="J6462">
        <v>-282.14819999999997</v>
      </c>
      <c r="K6462">
        <v>1.113192</v>
      </c>
      <c r="L6462">
        <v>-60.995089999999998</v>
      </c>
      <c r="M6462">
        <v>0.97609409999999996</v>
      </c>
      <c r="N6462">
        <v>-1.3956619999999999E-2</v>
      </c>
      <c r="O6462">
        <v>-0.2169007</v>
      </c>
      <c r="P6462">
        <v>0.98566880000000001</v>
      </c>
      <c r="Q6462">
        <v>0.15474379999999999</v>
      </c>
      <c r="R6462">
        <v>-6.7171419999999996E-2</v>
      </c>
      <c r="S6462">
        <v>3.078522</v>
      </c>
      <c r="T6462">
        <v>-0.1773285</v>
      </c>
      <c r="U6462">
        <v>8.7738040000000003E-2</v>
      </c>
      <c r="V6462">
        <v>-0.1492936</v>
      </c>
      <c r="W6462">
        <v>0.16742860000000001</v>
      </c>
      <c r="X6462">
        <v>0.97451480000000001</v>
      </c>
      <c r="Y6462">
        <v>-0.24393999999999999</v>
      </c>
      <c r="Z6462">
        <v>1.809759E-2</v>
      </c>
      <c r="AA6462">
        <v>0.96962150000000003</v>
      </c>
      <c r="AB6462">
        <v>22</v>
      </c>
      <c r="AC6462">
        <v>19.217099999999899</v>
      </c>
      <c r="AD6462">
        <v>-1.1131922729274</v>
      </c>
      <c r="AE6462">
        <v>0.57302000000000597</v>
      </c>
      <c r="AF6462">
        <v>-4.7121854897023701</v>
      </c>
      <c r="AG6462">
        <v>-1.1131922729274</v>
      </c>
      <c r="AH6462">
        <v>18.572953620680501</v>
      </c>
      <c r="AI6462">
        <v>93.324892958199797</v>
      </c>
      <c r="AJ6462">
        <v>104.23625161479301</v>
      </c>
      <c r="AK6462">
        <v>19.193709785286799</v>
      </c>
      <c r="AL6462">
        <v>80.361654104937401</v>
      </c>
      <c r="AM6462">
        <v>98.709874102695693</v>
      </c>
      <c r="AN6462">
        <v>1.0000000052589799</v>
      </c>
    </row>
    <row r="6463" spans="1:40" x14ac:dyDescent="0.25">
      <c r="A6463" t="str">
        <f>"20190304155233058"</f>
        <v>20190304155233058</v>
      </c>
      <c r="B6463" t="str">
        <f>"1551685953053139"</f>
        <v>1551685953053139</v>
      </c>
      <c r="C6463" t="s">
        <v>40</v>
      </c>
      <c r="D6463">
        <v>4.678083</v>
      </c>
      <c r="E6463">
        <v>0.4728658</v>
      </c>
      <c r="F6463" t="s">
        <v>41</v>
      </c>
      <c r="G6463">
        <v>-260.8229</v>
      </c>
      <c r="H6463" s="1">
        <v>4.6944590000000001E-7</v>
      </c>
      <c r="I6463">
        <v>-61.0310699999999</v>
      </c>
      <c r="J6463">
        <v>-282.03410000000002</v>
      </c>
      <c r="K6463">
        <v>1.1130949999999999</v>
      </c>
      <c r="L6463">
        <v>-61.01773</v>
      </c>
      <c r="M6463">
        <v>0.97657309999999997</v>
      </c>
      <c r="N6463">
        <v>-1.394198E-2</v>
      </c>
      <c r="O6463">
        <v>-0.2147337</v>
      </c>
      <c r="P6463">
        <v>0.98596779999999995</v>
      </c>
      <c r="Q6463">
        <v>0.1535195</v>
      </c>
      <c r="R6463">
        <v>-6.5568920000000003E-2</v>
      </c>
      <c r="S6463">
        <v>3.06839</v>
      </c>
      <c r="T6463">
        <v>-0.16017129999999999</v>
      </c>
      <c r="U6463">
        <v>-5.1879880000000001E-3</v>
      </c>
      <c r="V6463">
        <v>-0.14870839999999999</v>
      </c>
      <c r="W6463">
        <v>0.16623160000000001</v>
      </c>
      <c r="X6463">
        <v>0.97480919999999904</v>
      </c>
      <c r="Y6463">
        <v>-0.21258350000000001</v>
      </c>
      <c r="Z6463">
        <v>1.51526E-2</v>
      </c>
      <c r="AA6463">
        <v>0.97702540000000004</v>
      </c>
      <c r="AB6463">
        <v>22</v>
      </c>
      <c r="AC6463">
        <v>21.211200000000002</v>
      </c>
      <c r="AD6463">
        <v>-1.1130945305541</v>
      </c>
      <c r="AE6463">
        <v>-1.3339999999985201E-2</v>
      </c>
      <c r="AF6463">
        <v>-4.5296996178664104</v>
      </c>
      <c r="AG6463">
        <v>-1.1130945305541</v>
      </c>
      <c r="AH6463">
        <v>20.662266191661601</v>
      </c>
      <c r="AI6463">
        <v>93.012196522670493</v>
      </c>
      <c r="AJ6463">
        <v>102.365095230924</v>
      </c>
      <c r="AK6463">
        <v>21.182219011169</v>
      </c>
      <c r="AL6463">
        <v>80.431212442751104</v>
      </c>
      <c r="AM6463">
        <v>98.673673286930594</v>
      </c>
      <c r="AN6463">
        <v>1.0000000547368699</v>
      </c>
    </row>
    <row r="6464" spans="1:40" x14ac:dyDescent="0.25">
      <c r="A6464" t="str">
        <f>"20190304155233072"</f>
        <v>20190304155233072</v>
      </c>
      <c r="B6464" t="str">
        <f>"1551685953063877"</f>
        <v>1551685953063877</v>
      </c>
      <c r="C6464" t="s">
        <v>40</v>
      </c>
      <c r="D6464">
        <v>4.6863039999999998</v>
      </c>
      <c r="E6464">
        <v>0.47327940000000002</v>
      </c>
      <c r="F6464" t="s">
        <v>102</v>
      </c>
      <c r="G6464">
        <v>-261.30079999999998</v>
      </c>
      <c r="H6464" s="1">
        <v>2.6562439999999999E-7</v>
      </c>
      <c r="I6464">
        <v>-61.026530000000001</v>
      </c>
      <c r="J6464">
        <v>-281.90069999999997</v>
      </c>
      <c r="K6464">
        <v>1.112984</v>
      </c>
      <c r="L6464">
        <v>-61.044069999999998</v>
      </c>
      <c r="M6464">
        <v>0.97711440000000005</v>
      </c>
      <c r="N6464">
        <v>-1.3924880000000001E-2</v>
      </c>
      <c r="O6464">
        <v>-0.2122589</v>
      </c>
      <c r="P6464">
        <v>0.98624460000000003</v>
      </c>
      <c r="Q6464">
        <v>0.15252099999999999</v>
      </c>
      <c r="R6464">
        <v>-6.3709909999999995E-2</v>
      </c>
      <c r="S6464">
        <v>3.0683289999999999</v>
      </c>
      <c r="T6464">
        <v>-0.16472729999999999</v>
      </c>
      <c r="U6464">
        <v>-1.3122559999999999E-3</v>
      </c>
      <c r="V6464">
        <v>-0.14805789999999999</v>
      </c>
      <c r="W6464">
        <v>0.16526279999999999</v>
      </c>
      <c r="X6464">
        <v>0.97507290000000002</v>
      </c>
      <c r="Y6464">
        <v>-0.2113149</v>
      </c>
      <c r="Z6464">
        <v>1.5491039999999999E-2</v>
      </c>
      <c r="AA6464">
        <v>0.97729529999999998</v>
      </c>
      <c r="AB6464">
        <v>22</v>
      </c>
      <c r="AC6464">
        <v>20.599899999999899</v>
      </c>
      <c r="AD6464">
        <v>-1.1129837343755999</v>
      </c>
      <c r="AE6464">
        <v>1.7539999999989599E-2</v>
      </c>
      <c r="AF6464">
        <v>-4.3772979843315998</v>
      </c>
      <c r="AG6464">
        <v>-1.1129837343755999</v>
      </c>
      <c r="AH6464">
        <v>20.068103803598198</v>
      </c>
      <c r="AI6464">
        <v>93.101612690949594</v>
      </c>
      <c r="AJ6464">
        <v>102.304752488739</v>
      </c>
      <c r="AK6464">
        <v>20.570081689400499</v>
      </c>
      <c r="AL6464">
        <v>80.487499066466498</v>
      </c>
      <c r="AM6464">
        <v>98.634004655525601</v>
      </c>
      <c r="AN6464">
        <v>1.0000000475653199</v>
      </c>
    </row>
    <row r="6465" spans="1:40" x14ac:dyDescent="0.25">
      <c r="A6465" t="str">
        <f>"20190304155233091"</f>
        <v>20190304155233091</v>
      </c>
      <c r="B6465" t="str">
        <f>"1551685953083396"</f>
        <v>1551685953083396</v>
      </c>
      <c r="C6465" t="s">
        <v>40</v>
      </c>
      <c r="D6465">
        <v>4.6537069999999998</v>
      </c>
      <c r="E6465">
        <v>0.47359440000000003</v>
      </c>
      <c r="F6465" t="s">
        <v>41</v>
      </c>
      <c r="G6465">
        <v>-261.52260000000001</v>
      </c>
      <c r="H6465" s="1">
        <v>1.6776809999999999E-7</v>
      </c>
      <c r="I6465">
        <v>-61.036700000000003</v>
      </c>
      <c r="J6465">
        <v>-281.71949999999998</v>
      </c>
      <c r="K6465">
        <v>1.112832</v>
      </c>
      <c r="L6465">
        <v>-61.079439999999998</v>
      </c>
      <c r="M6465">
        <v>0.97780409999999995</v>
      </c>
      <c r="N6465">
        <v>-1.390007E-2</v>
      </c>
      <c r="O6465">
        <v>-0.20905960000000001</v>
      </c>
      <c r="P6465">
        <v>0.98655619999999999</v>
      </c>
      <c r="Q6465">
        <v>0.15109819999999999</v>
      </c>
      <c r="R6465">
        <v>-6.2259370000000001E-2</v>
      </c>
      <c r="S6465">
        <v>3.0678709999999998</v>
      </c>
      <c r="T6465">
        <v>-0.16755690000000001</v>
      </c>
      <c r="U6465">
        <v>1.0986329999999999E-3</v>
      </c>
      <c r="V6465">
        <v>-0.14627519999999999</v>
      </c>
      <c r="W6465">
        <v>0.1638857</v>
      </c>
      <c r="X6465">
        <v>0.97557419999999995</v>
      </c>
      <c r="Y6465">
        <v>-0.20887059999999999</v>
      </c>
      <c r="Z6465">
        <v>1.557802E-2</v>
      </c>
      <c r="AA6465">
        <v>0.9778192</v>
      </c>
      <c r="AB6465">
        <v>22</v>
      </c>
      <c r="AC6465">
        <v>20.1968999999999</v>
      </c>
      <c r="AD6465">
        <v>-1.1128318322319</v>
      </c>
      <c r="AE6465">
        <v>4.2740000000001999E-2</v>
      </c>
      <c r="AF6465">
        <v>-4.2516516171786298</v>
      </c>
      <c r="AG6465">
        <v>-1.1128318322319</v>
      </c>
      <c r="AH6465">
        <v>19.681831696279101</v>
      </c>
      <c r="AI6465">
        <v>93.163307293280695</v>
      </c>
      <c r="AJ6465">
        <v>102.189678898144</v>
      </c>
      <c r="AK6465">
        <v>20.1665424671991</v>
      </c>
      <c r="AL6465">
        <v>80.5674912482461</v>
      </c>
      <c r="AM6465">
        <v>98.527265882964997</v>
      </c>
      <c r="AN6465">
        <v>0.99999998825258396</v>
      </c>
    </row>
    <row r="6466" spans="1:40" x14ac:dyDescent="0.25">
      <c r="A6466" t="str">
        <f>"20190304155233101"</f>
        <v>20190304155233101</v>
      </c>
      <c r="B6466" t="str">
        <f>"1551685953093155"</f>
        <v>1551685953093155</v>
      </c>
      <c r="C6466" t="s">
        <v>40</v>
      </c>
      <c r="D6466">
        <v>4.6654999999999998</v>
      </c>
      <c r="E6466">
        <v>0.47391660000000002</v>
      </c>
      <c r="F6466" t="s">
        <v>102</v>
      </c>
      <c r="G6466">
        <v>-262</v>
      </c>
      <c r="H6466" s="1">
        <v>-4.1947829999999998E-8</v>
      </c>
      <c r="I6466">
        <v>-61.055239999999998</v>
      </c>
      <c r="J6466">
        <v>-281.608</v>
      </c>
      <c r="K6466">
        <v>1.1127499999999999</v>
      </c>
      <c r="L6466">
        <v>-61.101010000000002</v>
      </c>
      <c r="M6466">
        <v>0.97820479999999999</v>
      </c>
      <c r="N6466">
        <v>-1.388237E-2</v>
      </c>
      <c r="O6466">
        <v>-0.207178</v>
      </c>
      <c r="P6466">
        <v>0.98668029999999995</v>
      </c>
      <c r="Q6466">
        <v>0.15084910000000001</v>
      </c>
      <c r="R6466">
        <v>-6.0882499999999999E-2</v>
      </c>
      <c r="S6466">
        <v>3.0676570000000001</v>
      </c>
      <c r="T6466">
        <v>-0.17311750000000001</v>
      </c>
      <c r="U6466">
        <v>3.7536620000000001E-3</v>
      </c>
      <c r="V6466">
        <v>-0.14573150000000001</v>
      </c>
      <c r="W6466">
        <v>0.16365289999999999</v>
      </c>
      <c r="X6466">
        <v>0.97569470000000003</v>
      </c>
      <c r="Y6466">
        <v>-0.20779990000000001</v>
      </c>
      <c r="Z6466">
        <v>1.6031050000000002E-2</v>
      </c>
      <c r="AA6466">
        <v>0.97804000000000002</v>
      </c>
      <c r="AB6466">
        <v>22</v>
      </c>
      <c r="AC6466">
        <v>19.608000000000001</v>
      </c>
      <c r="AD6466">
        <v>-1.11275004194783</v>
      </c>
      <c r="AE6466">
        <v>4.5769999999990298E-2</v>
      </c>
      <c r="AF6466">
        <v>-4.0943284489637799</v>
      </c>
      <c r="AG6466">
        <v>-1.11275004194783</v>
      </c>
      <c r="AH6466">
        <v>19.111455204741901</v>
      </c>
      <c r="AI6466">
        <v>93.258469119618496</v>
      </c>
      <c r="AJ6466">
        <v>102.091938322134</v>
      </c>
      <c r="AK6466">
        <v>19.576758111257998</v>
      </c>
      <c r="AL6466">
        <v>80.581012794003996</v>
      </c>
      <c r="AM6466">
        <v>98.494999778176606</v>
      </c>
      <c r="AN6466">
        <v>1.00000004468937</v>
      </c>
    </row>
    <row r="6467" spans="1:40" x14ac:dyDescent="0.25">
      <c r="A6467" t="str">
        <f>"20190304155233112"</f>
        <v>20190304155233112</v>
      </c>
      <c r="B6467" t="str">
        <f>"1551685953103891"</f>
        <v>1551685953103891</v>
      </c>
      <c r="C6467" t="s">
        <v>40</v>
      </c>
      <c r="D6467">
        <v>4.7100030000000004</v>
      </c>
      <c r="E6467">
        <v>0.47424349999999998</v>
      </c>
      <c r="F6467" t="s">
        <v>41</v>
      </c>
      <c r="G6467">
        <v>-261.57920000000001</v>
      </c>
      <c r="H6467" s="1">
        <v>1.36535299999999E-7</v>
      </c>
      <c r="I6467">
        <v>-61.06288</v>
      </c>
      <c r="J6467">
        <v>-281.50310000000002</v>
      </c>
      <c r="K6467">
        <v>1.1126739999999999</v>
      </c>
      <c r="L6467">
        <v>-61.12115</v>
      </c>
      <c r="M6467">
        <v>0.97856940000000003</v>
      </c>
      <c r="N6467">
        <v>-1.3863779999999999E-2</v>
      </c>
      <c r="O6467">
        <v>-0.20545040000000001</v>
      </c>
      <c r="P6467">
        <v>0.98675440000000003</v>
      </c>
      <c r="Q6467">
        <v>0.150844799999999</v>
      </c>
      <c r="R6467">
        <v>-5.9680299999999999E-2</v>
      </c>
      <c r="S6467">
        <v>3.0669249999999999</v>
      </c>
      <c r="T6467">
        <v>-0.17039070000000001</v>
      </c>
      <c r="U6467">
        <v>5.8288569999999998E-3</v>
      </c>
      <c r="V6467">
        <v>-0.14516789999999999</v>
      </c>
      <c r="W6467">
        <v>0.16365940000000001</v>
      </c>
      <c r="X6467">
        <v>0.97577760000000002</v>
      </c>
      <c r="Y6467">
        <v>-0.206757</v>
      </c>
      <c r="Z6467">
        <v>1.565619E-2</v>
      </c>
      <c r="AA6467">
        <v>0.97826709999999995</v>
      </c>
      <c r="AB6467">
        <v>22</v>
      </c>
      <c r="AC6467">
        <v>19.9239</v>
      </c>
      <c r="AD6467">
        <v>-1.1126738634647</v>
      </c>
      <c r="AE6467">
        <v>5.8269999999993098E-2</v>
      </c>
      <c r="AF6467">
        <v>-4.1378879675610696</v>
      </c>
      <c r="AG6467">
        <v>-1.1126738634647</v>
      </c>
      <c r="AH6467">
        <v>19.426232755014102</v>
      </c>
      <c r="AI6467">
        <v>93.206365102860204</v>
      </c>
      <c r="AJ6467">
        <v>102.02458991176999</v>
      </c>
      <c r="AK6467">
        <v>19.893181721647899</v>
      </c>
      <c r="AL6467">
        <v>80.580635061491094</v>
      </c>
      <c r="AM6467">
        <v>98.461914406576994</v>
      </c>
      <c r="AN6467">
        <v>1.00000002153026</v>
      </c>
    </row>
    <row r="6468" spans="1:40" x14ac:dyDescent="0.25">
      <c r="A6468" t="str">
        <f>"20190304155233123"</f>
        <v>20190304155233123</v>
      </c>
      <c r="B6468" t="str">
        <f>"1551685953113652"</f>
        <v>1551685953113652</v>
      </c>
      <c r="C6468" t="s">
        <v>40</v>
      </c>
      <c r="D6468">
        <v>4.7041000000000004</v>
      </c>
      <c r="E6468">
        <v>0.47443930000000001</v>
      </c>
      <c r="F6468" t="s">
        <v>41</v>
      </c>
      <c r="G6468">
        <v>-261.08710000000002</v>
      </c>
      <c r="H6468" s="1">
        <v>3.449165E-7</v>
      </c>
      <c r="I6468">
        <v>-61.073140000000002</v>
      </c>
      <c r="J6468">
        <v>-281.39620000000002</v>
      </c>
      <c r="K6468">
        <v>1.1126049999999901</v>
      </c>
      <c r="L6468">
        <v>-61.141539999999999</v>
      </c>
      <c r="M6468">
        <v>0.9789293</v>
      </c>
      <c r="N6468">
        <v>-1.384285E-2</v>
      </c>
      <c r="O6468">
        <v>-0.20373060000000001</v>
      </c>
      <c r="P6468">
        <v>0.98685959999999995</v>
      </c>
      <c r="Q6468">
        <v>0.1506546</v>
      </c>
      <c r="R6468">
        <v>-5.8410579999999997E-2</v>
      </c>
      <c r="S6468">
        <v>3.0662539999999998</v>
      </c>
      <c r="T6468">
        <v>-0.1671107</v>
      </c>
      <c r="U6468">
        <v>7.2021480000000002E-3</v>
      </c>
      <c r="V6468">
        <v>-0.14468610000000001</v>
      </c>
      <c r="W6468">
        <v>0.16347600000000001</v>
      </c>
      <c r="X6468">
        <v>0.97587990000000002</v>
      </c>
      <c r="Y6468">
        <v>-0.2055022</v>
      </c>
      <c r="Z6468">
        <v>1.522285E-2</v>
      </c>
      <c r="AA6468">
        <v>0.97853829999999997</v>
      </c>
      <c r="AB6468">
        <v>22</v>
      </c>
      <c r="AC6468">
        <v>20.309100000000001</v>
      </c>
      <c r="AD6468">
        <v>-1.11260465508349</v>
      </c>
      <c r="AE6468">
        <v>6.8399999999996894E-2</v>
      </c>
      <c r="AF6468">
        <v>-4.1923639103076997</v>
      </c>
      <c r="AG6468">
        <v>-1.11260465508349</v>
      </c>
      <c r="AH6468">
        <v>19.8096852326182</v>
      </c>
      <c r="AI6468">
        <v>93.145106154382205</v>
      </c>
      <c r="AJ6468">
        <v>101.949308574311</v>
      </c>
      <c r="AK6468">
        <v>20.2789899474894</v>
      </c>
      <c r="AL6468">
        <v>80.591286590212306</v>
      </c>
      <c r="AM6468">
        <v>98.4333632108941</v>
      </c>
      <c r="AN6468">
        <v>1.0000000246666001</v>
      </c>
    </row>
    <row r="6469" spans="1:40" x14ac:dyDescent="0.25">
      <c r="A6469" t="str">
        <f>"20190304155233136"</f>
        <v>20190304155233136</v>
      </c>
      <c r="B6469" t="str">
        <f>"1551685953123412"</f>
        <v>1551685953123412</v>
      </c>
      <c r="C6469" t="s">
        <v>40</v>
      </c>
      <c r="D6469">
        <v>4.6997350000000004</v>
      </c>
      <c r="E6469">
        <v>0.47479169999999998</v>
      </c>
      <c r="F6469" t="s">
        <v>102</v>
      </c>
      <c r="G6469">
        <v>-260.74340000000001</v>
      </c>
      <c r="H6469" s="1">
        <v>4.9167929999999997E-7</v>
      </c>
      <c r="I6469">
        <v>-61.075679999999998</v>
      </c>
      <c r="J6469">
        <v>-281.28710000000001</v>
      </c>
      <c r="K6469">
        <v>1.11254599999999</v>
      </c>
      <c r="L6469">
        <v>-61.162170000000003</v>
      </c>
      <c r="M6469">
        <v>0.97928110000000002</v>
      </c>
      <c r="N6469">
        <v>-1.3814669999999999E-2</v>
      </c>
      <c r="O6469">
        <v>-0.20203450000000001</v>
      </c>
      <c r="P6469">
        <v>0.98690789999999995</v>
      </c>
      <c r="Q6469">
        <v>0.15081269999999999</v>
      </c>
      <c r="R6469">
        <v>-5.717262E-2</v>
      </c>
      <c r="S6469">
        <v>3.065674</v>
      </c>
      <c r="T6469">
        <v>-0.16515360000000001</v>
      </c>
      <c r="U6469">
        <v>9.765625E-3</v>
      </c>
      <c r="V6469">
        <v>-0.14419089999999901</v>
      </c>
      <c r="W6469">
        <v>0.16363029999999901</v>
      </c>
      <c r="X6469">
        <v>0.97592730000000005</v>
      </c>
      <c r="Y6469">
        <v>-0.2046414</v>
      </c>
      <c r="Z6469">
        <v>1.4939350000000001E-2</v>
      </c>
      <c r="AA6469">
        <v>0.97872300000000001</v>
      </c>
      <c r="AB6469">
        <v>22</v>
      </c>
      <c r="AC6469">
        <v>20.543700000000001</v>
      </c>
      <c r="AD6469">
        <v>-1.1125455083207001</v>
      </c>
      <c r="AE6469">
        <v>8.6489999999990602E-2</v>
      </c>
      <c r="AF6469">
        <v>-4.2232522154938099</v>
      </c>
      <c r="AG6469">
        <v>-1.1125455083207001</v>
      </c>
      <c r="AH6469">
        <v>20.043716309055998</v>
      </c>
      <c r="AI6469">
        <v>93.108874568514594</v>
      </c>
      <c r="AJ6469">
        <v>101.898299474764</v>
      </c>
      <c r="AK6469">
        <v>20.513999616400401</v>
      </c>
      <c r="AL6469">
        <v>80.582324879208898</v>
      </c>
      <c r="AM6469">
        <v>98.404509940695405</v>
      </c>
      <c r="AN6469">
        <v>0.99999999280309504</v>
      </c>
    </row>
    <row r="6470" spans="1:40" x14ac:dyDescent="0.25">
      <c r="A6470" t="str">
        <f>"20190304155233145"</f>
        <v>20190304155233145</v>
      </c>
      <c r="B6470" t="str">
        <f>"1551685953143907"</f>
        <v>1551685953143907</v>
      </c>
      <c r="C6470" t="s">
        <v>40</v>
      </c>
      <c r="D6470">
        <v>4.6692720000000003</v>
      </c>
      <c r="E6470">
        <v>0.47965809999999998</v>
      </c>
      <c r="F6470" t="s">
        <v>41</v>
      </c>
      <c r="G6470">
        <v>-260.46629999999999</v>
      </c>
      <c r="H6470" s="1">
        <v>6.0740559999999998E-7</v>
      </c>
      <c r="I6470">
        <v>-61.087490000000003</v>
      </c>
      <c r="J6470">
        <v>-281.18130000000002</v>
      </c>
      <c r="K6470">
        <v>1.112492</v>
      </c>
      <c r="L6470">
        <v>-61.182130000000001</v>
      </c>
      <c r="M6470">
        <v>0.97961430000000005</v>
      </c>
      <c r="N6470">
        <v>-1.378452E-2</v>
      </c>
      <c r="O6470">
        <v>-0.20041439999999999</v>
      </c>
      <c r="P6470">
        <v>0.98701099999999997</v>
      </c>
      <c r="Q6470">
        <v>0.15057679999999901</v>
      </c>
      <c r="R6470">
        <v>-5.6001540000000002E-2</v>
      </c>
      <c r="S6470">
        <v>3.0654910000000002</v>
      </c>
      <c r="T6470">
        <v>-0.1638027</v>
      </c>
      <c r="U6470">
        <v>1.0986330000000001E-2</v>
      </c>
      <c r="V6470">
        <v>-0.1437184</v>
      </c>
      <c r="W6470">
        <v>0.16338699999999901</v>
      </c>
      <c r="X6470">
        <v>0.97603770000000001</v>
      </c>
      <c r="Y6470">
        <v>-0.2034243</v>
      </c>
      <c r="Z6470">
        <v>1.470668E-2</v>
      </c>
      <c r="AA6470">
        <v>0.97898019999999997</v>
      </c>
      <c r="AB6470">
        <v>22</v>
      </c>
      <c r="AC6470">
        <v>20.715</v>
      </c>
      <c r="AD6470">
        <v>-1.1124913925944</v>
      </c>
      <c r="AE6470">
        <v>9.46400000000054E-2</v>
      </c>
      <c r="AF6470">
        <v>-4.2324909870455301</v>
      </c>
      <c r="AG6470">
        <v>-1.1124913925944</v>
      </c>
      <c r="AH6470">
        <v>20.217358755609499</v>
      </c>
      <c r="AI6470">
        <v>93.082912328174203</v>
      </c>
      <c r="AJ6470">
        <v>101.824069737882</v>
      </c>
      <c r="AK6470">
        <v>20.6855798107532</v>
      </c>
      <c r="AL6470">
        <v>80.596454617405797</v>
      </c>
      <c r="AM6470">
        <v>98.376426497810399</v>
      </c>
      <c r="AN6470">
        <v>0.99999994104442302</v>
      </c>
    </row>
    <row r="6471" spans="1:40" x14ac:dyDescent="0.25">
      <c r="A6471" t="str">
        <f>"20190304155233158"</f>
        <v>20190304155233158</v>
      </c>
      <c r="B6471" t="str">
        <f>"1551685953153667"</f>
        <v>1551685953153667</v>
      </c>
      <c r="C6471" t="s">
        <v>40</v>
      </c>
      <c r="D6471">
        <v>4.7358060000000002</v>
      </c>
      <c r="E6471">
        <v>0.48032419999999998</v>
      </c>
      <c r="F6471" t="s">
        <v>41</v>
      </c>
      <c r="G6471">
        <v>-261.91820000000001</v>
      </c>
      <c r="H6471" s="1">
        <v>-8.0859649999999998E-8</v>
      </c>
      <c r="I6471">
        <v>-61.333390000000001</v>
      </c>
      <c r="J6471">
        <v>-281.06979999999999</v>
      </c>
      <c r="K6471">
        <v>1.112439</v>
      </c>
      <c r="L6471">
        <v>-61.202939999999998</v>
      </c>
      <c r="M6471">
        <v>0.9799485</v>
      </c>
      <c r="N6471">
        <v>-1.374215E-2</v>
      </c>
      <c r="O6471">
        <v>-0.1987767</v>
      </c>
      <c r="P6471">
        <v>0.98700670000000001</v>
      </c>
      <c r="Q6471">
        <v>0.1509451</v>
      </c>
      <c r="R6471">
        <v>-5.5076180000000002E-2</v>
      </c>
      <c r="S6471">
        <v>3.0651250000000001</v>
      </c>
      <c r="T6471">
        <v>-0.17701829999999999</v>
      </c>
      <c r="U6471">
        <v>-2.4078370000000002E-2</v>
      </c>
      <c r="V6471">
        <v>-0.1429714</v>
      </c>
      <c r="W6471">
        <v>0.16373470000000001</v>
      </c>
      <c r="X6471">
        <v>0.97608919999999999</v>
      </c>
      <c r="Y6471">
        <v>-0.1905096</v>
      </c>
      <c r="Z6471">
        <v>1.5472700000000001E-2</v>
      </c>
      <c r="AA6471">
        <v>0.98156339999999997</v>
      </c>
      <c r="AB6471">
        <v>22</v>
      </c>
      <c r="AC6471">
        <v>19.151599999999899</v>
      </c>
      <c r="AD6471">
        <v>-1.1124390808596401</v>
      </c>
      <c r="AE6471">
        <v>-0.13044999999999601</v>
      </c>
      <c r="AF6471">
        <v>-3.6670329287640602</v>
      </c>
      <c r="AG6471">
        <v>-1.1124390808596401</v>
      </c>
      <c r="AH6471">
        <v>18.732087370628999</v>
      </c>
      <c r="AI6471">
        <v>93.335458254170405</v>
      </c>
      <c r="AJ6471">
        <v>101.076269038501</v>
      </c>
      <c r="AK6471">
        <v>19.120035263308001</v>
      </c>
      <c r="AL6471">
        <v>80.576261488710102</v>
      </c>
      <c r="AM6471">
        <v>98.3330681233315</v>
      </c>
      <c r="AN6471">
        <v>0.99999999977934495</v>
      </c>
    </row>
    <row r="6472" spans="1:40" x14ac:dyDescent="0.25">
      <c r="A6472" t="str">
        <f>"20190304155233169"</f>
        <v>20190304155233169</v>
      </c>
      <c r="B6472" t="str">
        <f>"1551685953163428"</f>
        <v>1551685953163428</v>
      </c>
      <c r="C6472" t="s">
        <v>40</v>
      </c>
      <c r="D6472">
        <v>4.7260790000000004</v>
      </c>
      <c r="E6472">
        <v>0.48047279999999998</v>
      </c>
      <c r="F6472" t="s">
        <v>41</v>
      </c>
      <c r="G6472">
        <v>-260.96550000000002</v>
      </c>
      <c r="H6472" s="1">
        <v>3.1766689999999999E-7</v>
      </c>
      <c r="I6472">
        <v>-61.371670000000002</v>
      </c>
      <c r="J6472">
        <v>-280.95999999999998</v>
      </c>
      <c r="K6472">
        <v>1.11239</v>
      </c>
      <c r="L6472">
        <v>-61.223329999999997</v>
      </c>
      <c r="M6472">
        <v>0.98027089999999995</v>
      </c>
      <c r="N6472">
        <v>-1.369795E-2</v>
      </c>
      <c r="O6472">
        <v>-0.19718279999999999</v>
      </c>
      <c r="P6472">
        <v>0.98707420000000001</v>
      </c>
      <c r="Q6472">
        <v>0.15088009999999999</v>
      </c>
      <c r="R6472">
        <v>-5.402974E-2</v>
      </c>
      <c r="S6472">
        <v>3.0640260000000001</v>
      </c>
      <c r="T6472">
        <v>-0.16954269999999999</v>
      </c>
      <c r="U6472">
        <v>-2.572632E-2</v>
      </c>
      <c r="V6472">
        <v>-0.142401</v>
      </c>
      <c r="W6472">
        <v>0.16364579999999901</v>
      </c>
      <c r="X6472">
        <v>0.97618749999999999</v>
      </c>
      <c r="Y6472">
        <v>-0.18843679999999999</v>
      </c>
      <c r="Z6472">
        <v>1.463368E-2</v>
      </c>
      <c r="AA6472">
        <v>0.98197630000000002</v>
      </c>
      <c r="AB6472">
        <v>22</v>
      </c>
      <c r="AC6472">
        <v>19.994499999999899</v>
      </c>
      <c r="AD6472">
        <v>-1.1123896823331001</v>
      </c>
      <c r="AE6472">
        <v>-0.14833999999999001</v>
      </c>
      <c r="AF6472">
        <v>-3.7857976476581898</v>
      </c>
      <c r="AG6472">
        <v>-1.1123896823331001</v>
      </c>
      <c r="AH6472">
        <v>19.570549095813799</v>
      </c>
      <c r="AI6472">
        <v>93.194103238683297</v>
      </c>
      <c r="AJ6472">
        <v>100.948275959499</v>
      </c>
      <c r="AK6472">
        <v>19.964369926096602</v>
      </c>
      <c r="AL6472">
        <v>80.581424860649506</v>
      </c>
      <c r="AM6472">
        <v>98.299462360826993</v>
      </c>
      <c r="AN6472">
        <v>1.0000000139074401</v>
      </c>
    </row>
    <row r="6473" spans="1:40" x14ac:dyDescent="0.25">
      <c r="A6473" t="str">
        <f>"20190304155233180"</f>
        <v>20190304155233180</v>
      </c>
      <c r="B6473" t="str">
        <f>"1551685953173187"</f>
        <v>1551685953173187</v>
      </c>
      <c r="C6473" t="s">
        <v>40</v>
      </c>
      <c r="D6473">
        <v>4.7267070000000002</v>
      </c>
      <c r="E6473">
        <v>0.48057689999999997</v>
      </c>
      <c r="F6473" t="s">
        <v>41</v>
      </c>
      <c r="G6473">
        <v>-260.0421</v>
      </c>
      <c r="H6473" s="1">
        <v>7.1185339999999996E-7</v>
      </c>
      <c r="I6473">
        <v>-61.378950000000003</v>
      </c>
      <c r="J6473">
        <v>-280.85320000000002</v>
      </c>
      <c r="K6473">
        <v>1.1123419999999999</v>
      </c>
      <c r="L6473">
        <v>-61.242980000000003</v>
      </c>
      <c r="M6473">
        <v>0.98057130000000003</v>
      </c>
      <c r="N6473">
        <v>-1.364694E-2</v>
      </c>
      <c r="O6473">
        <v>-0.1956881</v>
      </c>
      <c r="P6473">
        <v>0.98714040000000003</v>
      </c>
      <c r="Q6473">
        <v>0.1507831</v>
      </c>
      <c r="R6473">
        <v>-5.3091159999999998E-2</v>
      </c>
      <c r="S6473">
        <v>3.062897</v>
      </c>
      <c r="T6473">
        <v>-0.162881</v>
      </c>
      <c r="U6473">
        <v>-2.2796629999999998E-2</v>
      </c>
      <c r="V6473">
        <v>-0.14182639999999999</v>
      </c>
      <c r="W6473">
        <v>0.16351599999999999</v>
      </c>
      <c r="X6473">
        <v>0.97629290000000002</v>
      </c>
      <c r="Y6473">
        <v>-0.18791920000000001</v>
      </c>
      <c r="Z6473">
        <v>1.3940060000000001E-2</v>
      </c>
      <c r="AA6473">
        <v>0.9820856</v>
      </c>
      <c r="AB6473">
        <v>22</v>
      </c>
      <c r="AC6473">
        <v>20.8111</v>
      </c>
      <c r="AD6473">
        <v>-1.1123412881465999</v>
      </c>
      <c r="AE6473">
        <v>-0.13597000000000001</v>
      </c>
      <c r="AF6473">
        <v>-3.9283008631460299</v>
      </c>
      <c r="AG6473">
        <v>-1.1123412881465999</v>
      </c>
      <c r="AH6473">
        <v>20.3770650667017</v>
      </c>
      <c r="AI6473">
        <v>93.068173197389598</v>
      </c>
      <c r="AJ6473">
        <v>100.911648724652</v>
      </c>
      <c r="AK6473">
        <v>20.782050705965101</v>
      </c>
      <c r="AL6473">
        <v>80.588963439034998</v>
      </c>
      <c r="AM6473">
        <v>98.265556942356895</v>
      </c>
      <c r="AN6473">
        <v>1.0000000182916799</v>
      </c>
    </row>
    <row r="6474" spans="1:40" x14ac:dyDescent="0.25">
      <c r="A6474" t="str">
        <f>"20190304155233190"</f>
        <v>20190304155233190</v>
      </c>
      <c r="B6474" t="str">
        <f>"1551685953182947"</f>
        <v>1551685953182947</v>
      </c>
      <c r="C6474" t="s">
        <v>40</v>
      </c>
      <c r="D6474">
        <v>4.725727</v>
      </c>
      <c r="E6474">
        <v>0.4805218</v>
      </c>
      <c r="F6474" t="s">
        <v>103</v>
      </c>
      <c r="G6474">
        <v>-259.24360000000001</v>
      </c>
      <c r="H6474" s="1">
        <v>-3.3025339999999998E-6</v>
      </c>
      <c r="I6474">
        <v>-61.384689999999999</v>
      </c>
      <c r="J6474">
        <v>-280.75</v>
      </c>
      <c r="K6474">
        <v>1.112298</v>
      </c>
      <c r="L6474">
        <v>-61.261899999999997</v>
      </c>
      <c r="M6474">
        <v>0.98085639999999996</v>
      </c>
      <c r="N6474">
        <v>-1.359721E-2</v>
      </c>
      <c r="O6474">
        <v>-0.19425809999999999</v>
      </c>
      <c r="P6474">
        <v>0.98722569999999998</v>
      </c>
      <c r="Q6474">
        <v>0.15048410000000001</v>
      </c>
      <c r="R6474">
        <v>-5.2350609999999999E-2</v>
      </c>
      <c r="S6474">
        <v>3.0620729999999998</v>
      </c>
      <c r="T6474">
        <v>-0.15761889999999901</v>
      </c>
      <c r="U6474">
        <v>-2.0080569999999999E-2</v>
      </c>
      <c r="V6474">
        <v>-0.14112659999999999</v>
      </c>
      <c r="W6474">
        <v>0.16318569999999999</v>
      </c>
      <c r="X6474">
        <v>0.97644949999999997</v>
      </c>
      <c r="Y6474">
        <v>-0.18738940000000001</v>
      </c>
      <c r="Z6474">
        <v>1.3384439999999999E-2</v>
      </c>
      <c r="AA6474">
        <v>0.98219449999999997</v>
      </c>
      <c r="AB6474">
        <v>22</v>
      </c>
      <c r="AC6474">
        <v>21.5063999999999</v>
      </c>
      <c r="AD6474">
        <v>-1.1123013025340001</v>
      </c>
      <c r="AE6474">
        <v>-0.122790000000001</v>
      </c>
      <c r="AF6474">
        <v>-4.0469026593283601</v>
      </c>
      <c r="AG6474">
        <v>-1.1123013025340001</v>
      </c>
      <c r="AH6474">
        <v>21.064148725686199</v>
      </c>
      <c r="AI6474">
        <v>92.968530733102099</v>
      </c>
      <c r="AJ6474">
        <v>100.875309452558</v>
      </c>
      <c r="AK6474">
        <v>21.478198175348101</v>
      </c>
      <c r="AL6474">
        <v>80.608145321120105</v>
      </c>
      <c r="AM6474">
        <v>98.224031310941399</v>
      </c>
      <c r="AN6474">
        <v>0.99999995798114905</v>
      </c>
    </row>
    <row r="6475" spans="1:40" x14ac:dyDescent="0.25">
      <c r="A6475" t="str">
        <f>"20190304155233202"</f>
        <v>20190304155233202</v>
      </c>
      <c r="B6475" t="str">
        <f>"1551685953193683"</f>
        <v>1551685953193683</v>
      </c>
      <c r="C6475" t="s">
        <v>40</v>
      </c>
      <c r="D6475">
        <v>4.7644549999999999</v>
      </c>
      <c r="E6475">
        <v>0.4807767</v>
      </c>
      <c r="F6475" t="s">
        <v>103</v>
      </c>
      <c r="G6475">
        <v>-258.74220000000003</v>
      </c>
      <c r="H6475" s="1">
        <v>-3.1087290000000001E-6</v>
      </c>
      <c r="I6475">
        <v>-61.383000000000003</v>
      </c>
      <c r="J6475">
        <v>-280.63869999999997</v>
      </c>
      <c r="K6475">
        <v>1.1122559999999999</v>
      </c>
      <c r="L6475">
        <v>-61.2821</v>
      </c>
      <c r="M6475">
        <v>0.98115450000000004</v>
      </c>
      <c r="N6475">
        <v>-1.354236E-2</v>
      </c>
      <c r="O6475">
        <v>-0.1927508</v>
      </c>
      <c r="P6475">
        <v>0.98730329999999999</v>
      </c>
      <c r="Q6475">
        <v>0.15031320000000001</v>
      </c>
      <c r="R6475">
        <v>-5.1367959999999997E-2</v>
      </c>
      <c r="S6475">
        <v>3.061493</v>
      </c>
      <c r="T6475">
        <v>-0.15473149999999999</v>
      </c>
      <c r="U6475">
        <v>-1.6845699999999901E-2</v>
      </c>
      <c r="V6475">
        <v>-0.14058770000000001</v>
      </c>
      <c r="W6475">
        <v>0.16297679999999901</v>
      </c>
      <c r="X6475">
        <v>0.97656209999999999</v>
      </c>
      <c r="Y6475">
        <v>-0.18693499999999999</v>
      </c>
      <c r="Z6475">
        <v>1.3054059999999999E-2</v>
      </c>
      <c r="AA6475">
        <v>0.98228559999999998</v>
      </c>
      <c r="AB6475">
        <v>22</v>
      </c>
      <c r="AC6475">
        <v>21.8964999999999</v>
      </c>
      <c r="AD6475">
        <v>-1.1122591087289999</v>
      </c>
      <c r="AE6475">
        <v>-0.100900000000002</v>
      </c>
      <c r="AF6475">
        <v>-4.11133845534372</v>
      </c>
      <c r="AG6475">
        <v>-1.1122591087289999</v>
      </c>
      <c r="AH6475">
        <v>21.449920552996701</v>
      </c>
      <c r="AI6475">
        <v>92.915368006752601</v>
      </c>
      <c r="AJ6475">
        <v>100.85037176712</v>
      </c>
      <c r="AK6475">
        <v>21.868683452581401</v>
      </c>
      <c r="AL6475">
        <v>80.6202766195848</v>
      </c>
      <c r="AM6475">
        <v>98.192122666558504</v>
      </c>
      <c r="AN6475">
        <v>0.99999993694296796</v>
      </c>
    </row>
    <row r="6476" spans="1:40" x14ac:dyDescent="0.25">
      <c r="A6476" t="str">
        <f>"20190304155233214"</f>
        <v>20190304155233214</v>
      </c>
      <c r="B6476" t="str">
        <f>"1551685953203444"</f>
        <v>1551685953203444</v>
      </c>
      <c r="C6476" t="s">
        <v>40</v>
      </c>
      <c r="D6476">
        <v>4.7502620000000002</v>
      </c>
      <c r="E6476">
        <v>0.48106110000000002</v>
      </c>
      <c r="F6476" t="s">
        <v>103</v>
      </c>
      <c r="G6476">
        <v>-258.46140000000003</v>
      </c>
      <c r="H6476" s="1">
        <v>-2.9909570000000001E-6</v>
      </c>
      <c r="I6476">
        <v>-61.39508</v>
      </c>
      <c r="J6476">
        <v>-280.52510000000001</v>
      </c>
      <c r="K6476">
        <v>1.112212</v>
      </c>
      <c r="L6476">
        <v>-61.302610000000001</v>
      </c>
      <c r="M6476">
        <v>0.98145130000000003</v>
      </c>
      <c r="N6476">
        <v>-1.3485469999999999E-2</v>
      </c>
      <c r="O6476">
        <v>-0.1912375</v>
      </c>
      <c r="P6476">
        <v>0.98737059999999999</v>
      </c>
      <c r="Q6476">
        <v>0.1502531</v>
      </c>
      <c r="R6476">
        <v>-5.023656E-2</v>
      </c>
      <c r="S6476">
        <v>3.0611570000000001</v>
      </c>
      <c r="T6476">
        <v>-0.1535262</v>
      </c>
      <c r="U6476">
        <v>-1.5594480000000001E-2</v>
      </c>
      <c r="V6476">
        <v>-0.1401868</v>
      </c>
      <c r="W6476">
        <v>0.16287570000000001</v>
      </c>
      <c r="X6476">
        <v>0.97663659999999997</v>
      </c>
      <c r="Y6476">
        <v>-0.1858302</v>
      </c>
      <c r="Z6476">
        <v>1.2860119999999999E-2</v>
      </c>
      <c r="AA6476">
        <v>0.98249770000000003</v>
      </c>
      <c r="AB6476">
        <v>22</v>
      </c>
      <c r="AC6476">
        <v>22.063699999999901</v>
      </c>
      <c r="AD6476">
        <v>-1.112214990957</v>
      </c>
      <c r="AE6476">
        <v>-9.2470000000012903E-2</v>
      </c>
      <c r="AF6476">
        <v>-4.1185614164598503</v>
      </c>
      <c r="AG6476">
        <v>-1.112214990957</v>
      </c>
      <c r="AH6476">
        <v>21.619163120576101</v>
      </c>
      <c r="AI6476">
        <v>92.893090805951104</v>
      </c>
      <c r="AJ6476">
        <v>100.78589775506001</v>
      </c>
      <c r="AK6476">
        <v>22.036056461203302</v>
      </c>
      <c r="AL6476">
        <v>80.626147704451995</v>
      </c>
      <c r="AM6476">
        <v>98.168463002123303</v>
      </c>
      <c r="AN6476">
        <v>0.99999994050214303</v>
      </c>
    </row>
    <row r="6477" spans="1:40" x14ac:dyDescent="0.25">
      <c r="A6477" t="str">
        <f>"20190304155233224"</f>
        <v>20190304155233224</v>
      </c>
      <c r="B6477" t="str">
        <f>"1551685953213204"</f>
        <v>1551685953213204</v>
      </c>
      <c r="C6477" t="s">
        <v>40</v>
      </c>
      <c r="D6477">
        <v>4.7635079999999999</v>
      </c>
      <c r="E6477">
        <v>0.48131259999999998</v>
      </c>
      <c r="F6477" t="s">
        <v>103</v>
      </c>
      <c r="G6477">
        <v>-258.09609999999998</v>
      </c>
      <c r="H6477" s="1">
        <v>-2.836766E-6</v>
      </c>
      <c r="I6477">
        <v>-61.406379999999999</v>
      </c>
      <c r="J6477">
        <v>-280.42039999999997</v>
      </c>
      <c r="K6477">
        <v>1.112174</v>
      </c>
      <c r="L6477">
        <v>-61.321379999999998</v>
      </c>
      <c r="M6477">
        <v>0.98171960000000003</v>
      </c>
      <c r="N6477">
        <v>-1.343229E-2</v>
      </c>
      <c r="O6477">
        <v>-0.1898591</v>
      </c>
      <c r="P6477">
        <v>0.9874368</v>
      </c>
      <c r="Q6477">
        <v>0.15011949999999999</v>
      </c>
      <c r="R6477">
        <v>-4.9324699999999999E-2</v>
      </c>
      <c r="S6477">
        <v>3.0607600000000001</v>
      </c>
      <c r="T6477">
        <v>-0.1517773</v>
      </c>
      <c r="U6477">
        <v>-1.416016E-2</v>
      </c>
      <c r="V6477">
        <v>-0.13970739999999901</v>
      </c>
      <c r="W6477">
        <v>0.16270299999999999</v>
      </c>
      <c r="X6477">
        <v>0.9767342</v>
      </c>
      <c r="Y6477">
        <v>-0.184922</v>
      </c>
      <c r="Z6477">
        <v>1.262861E-2</v>
      </c>
      <c r="AA6477">
        <v>0.98267199999999999</v>
      </c>
      <c r="AB6477">
        <v>22</v>
      </c>
      <c r="AC6477">
        <v>22.324299999999901</v>
      </c>
      <c r="AD6477">
        <v>-1.1121768367659901</v>
      </c>
      <c r="AE6477">
        <v>-8.5000000000000797E-2</v>
      </c>
      <c r="AF6477">
        <v>-4.1451118660953297</v>
      </c>
      <c r="AG6477">
        <v>-1.1121768367659901</v>
      </c>
      <c r="AH6477">
        <v>21.880012522530301</v>
      </c>
      <c r="AI6477">
        <v>92.8591130959297</v>
      </c>
      <c r="AJ6477">
        <v>100.72740647289601</v>
      </c>
      <c r="AK6477">
        <v>22.2969468242799</v>
      </c>
      <c r="AL6477">
        <v>80.636177596353903</v>
      </c>
      <c r="AM6477">
        <v>98.140101619214605</v>
      </c>
      <c r="AN6477">
        <v>1.0000000606366899</v>
      </c>
    </row>
    <row r="6478" spans="1:40" x14ac:dyDescent="0.25">
      <c r="A6478" t="str">
        <f>"20190304155233236"</f>
        <v>20190304155233236</v>
      </c>
      <c r="B6478" t="str">
        <f>"1551685953233699"</f>
        <v>1551685953233699</v>
      </c>
      <c r="C6478" t="s">
        <v>40</v>
      </c>
      <c r="D6478">
        <v>4.7699099999999897</v>
      </c>
      <c r="E6478">
        <v>0.48165550000000001</v>
      </c>
      <c r="F6478" t="s">
        <v>103</v>
      </c>
      <c r="G6478">
        <v>-257.7516</v>
      </c>
      <c r="H6478" s="1">
        <v>-2.6915439999999999E-6</v>
      </c>
      <c r="I6478">
        <v>-61.417900000000003</v>
      </c>
      <c r="J6478">
        <v>-280.31369999999998</v>
      </c>
      <c r="K6478">
        <v>1.112134</v>
      </c>
      <c r="L6478">
        <v>-61.340389999999999</v>
      </c>
      <c r="M6478">
        <v>0.98198540000000001</v>
      </c>
      <c r="N6478">
        <v>-1.337351E-2</v>
      </c>
      <c r="O6478">
        <v>-0.1884834</v>
      </c>
      <c r="P6478">
        <v>0.98748239999999998</v>
      </c>
      <c r="Q6478">
        <v>0.15014710000000001</v>
      </c>
      <c r="R6478">
        <v>-4.831713E-2</v>
      </c>
      <c r="S6478">
        <v>3.0603639999999999</v>
      </c>
      <c r="T6478">
        <v>-0.15014739999999999</v>
      </c>
      <c r="U6478">
        <v>-1.3031010000000001E-2</v>
      </c>
      <c r="V6478">
        <v>-0.13932310000000001</v>
      </c>
      <c r="W6478">
        <v>0.16268469999999999</v>
      </c>
      <c r="X6478">
        <v>0.97679210000000005</v>
      </c>
      <c r="Y6478">
        <v>-0.183918</v>
      </c>
      <c r="Z6478">
        <v>1.240746E-2</v>
      </c>
      <c r="AA6478">
        <v>0.9828633</v>
      </c>
      <c r="AB6478">
        <v>22</v>
      </c>
      <c r="AC6478">
        <v>22.562099999999901</v>
      </c>
      <c r="AD6478">
        <v>-1.1121366915440001</v>
      </c>
      <c r="AE6478">
        <v>-7.7510000000003701E-2</v>
      </c>
      <c r="AF6478">
        <v>-4.1667169498488299</v>
      </c>
      <c r="AG6478">
        <v>-1.1121366915440001</v>
      </c>
      <c r="AH6478">
        <v>22.118501857254898</v>
      </c>
      <c r="AI6478">
        <v>92.828782592008807</v>
      </c>
      <c r="AJ6478">
        <v>100.66843938019601</v>
      </c>
      <c r="AK6478">
        <v>22.535006158646201</v>
      </c>
      <c r="AL6478">
        <v>80.637239904477497</v>
      </c>
      <c r="AM6478">
        <v>98.117534327632598</v>
      </c>
      <c r="AN6478">
        <v>1.00000002221505</v>
      </c>
    </row>
    <row r="6479" spans="1:40" x14ac:dyDescent="0.25">
      <c r="A6479" t="str">
        <f>"20190304155233246"</f>
        <v>20190304155233246</v>
      </c>
      <c r="B6479" t="str">
        <f>"1551685953243459"</f>
        <v>1551685953243459</v>
      </c>
      <c r="C6479" t="s">
        <v>40</v>
      </c>
      <c r="D6479">
        <v>4.7808469999999996</v>
      </c>
      <c r="E6479">
        <v>0.48186960000000001</v>
      </c>
      <c r="F6479" t="s">
        <v>103</v>
      </c>
      <c r="G6479">
        <v>-257.77330000000001</v>
      </c>
      <c r="H6479" s="1">
        <v>-2.7039430000000002E-6</v>
      </c>
      <c r="I6479">
        <v>-61.43188</v>
      </c>
      <c r="J6479">
        <v>-280.20859999999999</v>
      </c>
      <c r="K6479">
        <v>1.112098</v>
      </c>
      <c r="L6479">
        <v>-61.359009999999998</v>
      </c>
      <c r="M6479">
        <v>0.98224359999999999</v>
      </c>
      <c r="N6479">
        <v>-1.331421E-2</v>
      </c>
      <c r="O6479">
        <v>-0.18713750000000001</v>
      </c>
      <c r="P6479">
        <v>0.98755570000000004</v>
      </c>
      <c r="Q6479">
        <v>0.1499675</v>
      </c>
      <c r="R6479">
        <v>-4.736974E-2</v>
      </c>
      <c r="S6479">
        <v>3.0603639999999999</v>
      </c>
      <c r="T6479">
        <v>-0.1509974</v>
      </c>
      <c r="U6479">
        <v>-1.242065E-2</v>
      </c>
      <c r="V6479">
        <v>-0.13891419999999999</v>
      </c>
      <c r="W6479">
        <v>0.162459299999999</v>
      </c>
      <c r="X6479">
        <v>0.97688779999999997</v>
      </c>
      <c r="Y6479">
        <v>-0.1827646</v>
      </c>
      <c r="Z6479">
        <v>1.2407410000000001E-2</v>
      </c>
      <c r="AA6479">
        <v>0.98307840000000002</v>
      </c>
      <c r="AB6479">
        <v>22</v>
      </c>
      <c r="AC6479">
        <v>22.435299999999899</v>
      </c>
      <c r="AD6479">
        <v>-1.112100703943</v>
      </c>
      <c r="AE6479">
        <v>-7.2870000000008803E-2</v>
      </c>
      <c r="AF6479">
        <v>-4.1171590766078801</v>
      </c>
      <c r="AG6479">
        <v>-1.112100703943</v>
      </c>
      <c r="AH6479">
        <v>21.998466948041099</v>
      </c>
      <c r="AI6479">
        <v>92.844731602974804</v>
      </c>
      <c r="AJ6479">
        <v>100.60064895054199</v>
      </c>
      <c r="AK6479">
        <v>22.408041299985701</v>
      </c>
      <c r="AL6479">
        <v>80.650328062880504</v>
      </c>
      <c r="AM6479">
        <v>98.093243877171602</v>
      </c>
      <c r="AN6479">
        <v>0.99999997645348404</v>
      </c>
    </row>
    <row r="6480" spans="1:40" x14ac:dyDescent="0.25">
      <c r="A6480" t="str">
        <f>"20190304155233259"</f>
        <v>20190304155233259</v>
      </c>
      <c r="B6480" t="str">
        <f>"1551685953253219"</f>
        <v>1551685953253219</v>
      </c>
      <c r="C6480" t="s">
        <v>40</v>
      </c>
      <c r="D6480">
        <v>4.6158619999999999</v>
      </c>
      <c r="E6480">
        <v>0.48206599999999999</v>
      </c>
      <c r="F6480" t="s">
        <v>103</v>
      </c>
      <c r="G6480">
        <v>-257.47019999999998</v>
      </c>
      <c r="H6480" s="1">
        <v>-2.5756349999999999E-6</v>
      </c>
      <c r="I6480">
        <v>-61.439509999999999</v>
      </c>
      <c r="J6480">
        <v>-280.0942</v>
      </c>
      <c r="K6480">
        <v>1.112058</v>
      </c>
      <c r="L6480">
        <v>-61.379060000000003</v>
      </c>
      <c r="M6480">
        <v>0.98251509999999997</v>
      </c>
      <c r="N6480">
        <v>-1.3244179999999999E-2</v>
      </c>
      <c r="O6480">
        <v>-0.18571180000000001</v>
      </c>
      <c r="P6480">
        <v>0.98759479999999999</v>
      </c>
      <c r="Q6480">
        <v>0.15015439999999999</v>
      </c>
      <c r="R6480">
        <v>-4.5937829999999999E-2</v>
      </c>
      <c r="S6480">
        <v>3.0599980000000002</v>
      </c>
      <c r="T6480">
        <v>-0.14966009999999999</v>
      </c>
      <c r="U6480">
        <v>-1.083374E-2</v>
      </c>
      <c r="V6480">
        <v>-0.13889689999999999</v>
      </c>
      <c r="W6480">
        <v>0.16258629999999999</v>
      </c>
      <c r="X6480">
        <v>0.97686919999999999</v>
      </c>
      <c r="Y6480">
        <v>-0.1818563</v>
      </c>
      <c r="Z6480">
        <v>1.2216960000000001E-2</v>
      </c>
      <c r="AA6480">
        <v>0.98324920000000005</v>
      </c>
      <c r="AB6480">
        <v>22</v>
      </c>
      <c r="AC6480">
        <v>22.623999999999999</v>
      </c>
      <c r="AD6480">
        <v>-1.1120605756349999</v>
      </c>
      <c r="AE6480">
        <v>-6.0450000000003001E-2</v>
      </c>
      <c r="AF6480">
        <v>-4.13252903145204</v>
      </c>
      <c r="AG6480">
        <v>-1.1120605756349999</v>
      </c>
      <c r="AH6480">
        <v>22.187988002288201</v>
      </c>
      <c r="AI6480">
        <v>92.820831071904607</v>
      </c>
      <c r="AJ6480">
        <v>100.55049288015</v>
      </c>
      <c r="AK6480">
        <v>22.596930909071698</v>
      </c>
      <c r="AL6480">
        <v>80.642954087917602</v>
      </c>
      <c r="AM6480">
        <v>98.092401356418804</v>
      </c>
      <c r="AN6480">
        <v>1.0000000438429599</v>
      </c>
    </row>
    <row r="6481" spans="1:40" x14ac:dyDescent="0.25">
      <c r="A6481" t="str">
        <f>"20190304155233270"</f>
        <v>20190304155233270</v>
      </c>
      <c r="B6481" t="str">
        <f>"1551685953262979"</f>
        <v>1551685953262979</v>
      </c>
      <c r="C6481" t="s">
        <v>40</v>
      </c>
      <c r="D6481">
        <v>4.775601</v>
      </c>
      <c r="E6481">
        <v>0.4822187</v>
      </c>
      <c r="F6481" t="s">
        <v>103</v>
      </c>
      <c r="G6481">
        <v>-257.82740000000001</v>
      </c>
      <c r="H6481" s="1">
        <v>-2.7284110000000001E-6</v>
      </c>
      <c r="I6481">
        <v>-61.437449999999998</v>
      </c>
      <c r="J6481">
        <v>-279.9778</v>
      </c>
      <c r="K6481">
        <v>1.1120159999999999</v>
      </c>
      <c r="L6481">
        <v>-61.399439999999998</v>
      </c>
      <c r="M6481">
        <v>0.98278699999999997</v>
      </c>
      <c r="N6481">
        <v>-1.317197E-2</v>
      </c>
      <c r="O6481">
        <v>-0.18427209999999999</v>
      </c>
      <c r="P6481">
        <v>0.98767709999999997</v>
      </c>
      <c r="Q6481">
        <v>0.14995259999999999</v>
      </c>
      <c r="R6481">
        <v>-4.481044E-2</v>
      </c>
      <c r="S6481">
        <v>3.0605470000000001</v>
      </c>
      <c r="T6481">
        <v>-0.15285119999999999</v>
      </c>
      <c r="U6481">
        <v>-8.0261229999999996E-3</v>
      </c>
      <c r="V6481">
        <v>-0.13857359999999999</v>
      </c>
      <c r="W6481">
        <v>0.1623252</v>
      </c>
      <c r="X6481">
        <v>0.97695849999999995</v>
      </c>
      <c r="Y6481">
        <v>-0.1813024</v>
      </c>
      <c r="Z6481">
        <v>1.243968E-2</v>
      </c>
      <c r="AA6481">
        <v>0.98334869999999996</v>
      </c>
      <c r="AB6481">
        <v>22</v>
      </c>
      <c r="AC6481">
        <v>22.150399999999902</v>
      </c>
      <c r="AD6481">
        <v>-1.1120187284109999</v>
      </c>
      <c r="AE6481">
        <v>-3.8009999999992702E-2</v>
      </c>
      <c r="AF6481">
        <v>-4.0345274981219799</v>
      </c>
      <c r="AG6481">
        <v>-1.1120187284109999</v>
      </c>
      <c r="AH6481">
        <v>21.723268631215099</v>
      </c>
      <c r="AI6481">
        <v>92.881239890965006</v>
      </c>
      <c r="AJ6481">
        <v>100.521309990821</v>
      </c>
      <c r="AK6481">
        <v>22.122712261596099</v>
      </c>
      <c r="AL6481">
        <v>80.658115120411694</v>
      </c>
      <c r="AM6481">
        <v>98.073085654550496</v>
      </c>
      <c r="AN6481">
        <v>1.00000001194712</v>
      </c>
    </row>
    <row r="6482" spans="1:40" x14ac:dyDescent="0.25">
      <c r="A6482" t="str">
        <f>"20190304155233282"</f>
        <v>20190304155233282</v>
      </c>
      <c r="B6482" t="str">
        <f>"1551685953273715"</f>
        <v>1551685953273715</v>
      </c>
      <c r="C6482" t="s">
        <v>40</v>
      </c>
      <c r="D6482">
        <v>4.7851169999999996</v>
      </c>
      <c r="E6482">
        <v>0.4823732</v>
      </c>
      <c r="F6482" t="s">
        <v>103</v>
      </c>
      <c r="G6482">
        <v>-257.61180000000002</v>
      </c>
      <c r="H6482" s="1">
        <v>-2.6367219999999999E-6</v>
      </c>
      <c r="I6482">
        <v>-61.44115</v>
      </c>
      <c r="J6482">
        <v>-279.86630000000002</v>
      </c>
      <c r="K6482">
        <v>1.1119790000000001</v>
      </c>
      <c r="L6482">
        <v>-61.418729999999996</v>
      </c>
      <c r="M6482">
        <v>0.98303989999999997</v>
      </c>
      <c r="N6482">
        <v>-1.3101410000000001E-2</v>
      </c>
      <c r="O6482">
        <v>-0.18292349999999999</v>
      </c>
      <c r="P6482">
        <v>0.9877435</v>
      </c>
      <c r="Q6482">
        <v>0.14985109999999999</v>
      </c>
      <c r="R6482">
        <v>-4.3670819999999999E-2</v>
      </c>
      <c r="S6482">
        <v>3.0602719999999999</v>
      </c>
      <c r="T6482">
        <v>-0.15215379999999901</v>
      </c>
      <c r="U6482">
        <v>-5.7067869999999996E-3</v>
      </c>
      <c r="V6482">
        <v>-0.1383527</v>
      </c>
      <c r="W6482">
        <v>0.16216429999999901</v>
      </c>
      <c r="X6482">
        <v>0.97701649999999995</v>
      </c>
      <c r="Y6482">
        <v>-0.18070339999999999</v>
      </c>
      <c r="Z6482">
        <v>1.231835E-2</v>
      </c>
      <c r="AA6482">
        <v>0.98346049999999996</v>
      </c>
      <c r="AB6482">
        <v>22</v>
      </c>
      <c r="AC6482">
        <v>22.2545</v>
      </c>
      <c r="AD6482">
        <v>-1.1119816367219999</v>
      </c>
      <c r="AE6482">
        <v>-2.24199999999967E-2</v>
      </c>
      <c r="AF6482">
        <v>-4.0390943671780297</v>
      </c>
      <c r="AG6482">
        <v>-1.1119816367219999</v>
      </c>
      <c r="AH6482">
        <v>21.8285412687651</v>
      </c>
      <c r="AI6482">
        <v>92.867624477490196</v>
      </c>
      <c r="AJ6482">
        <v>100.48328461077099</v>
      </c>
      <c r="AK6482">
        <v>22.226920623189301</v>
      </c>
      <c r="AL6482">
        <v>80.667457547862796</v>
      </c>
      <c r="AM6482">
        <v>98.059913405106798</v>
      </c>
      <c r="AN6482">
        <v>0.99999998553201397</v>
      </c>
    </row>
    <row r="6483" spans="1:40" x14ac:dyDescent="0.25">
      <c r="A6483" t="str">
        <f>"20190304155233294"</f>
        <v>20190304155233294</v>
      </c>
      <c r="B6483" t="str">
        <f>"1551685953283476"</f>
        <v>1551685953283476</v>
      </c>
      <c r="C6483" t="s">
        <v>40</v>
      </c>
      <c r="D6483">
        <v>4.7848660000000001</v>
      </c>
      <c r="E6483">
        <v>0.48256830000000001</v>
      </c>
      <c r="F6483" t="s">
        <v>103</v>
      </c>
      <c r="G6483">
        <v>-257.41379999999998</v>
      </c>
      <c r="H6483" s="1">
        <v>-2.55196E-6</v>
      </c>
      <c r="I6483">
        <v>-61.441800000000001</v>
      </c>
      <c r="J6483">
        <v>-279.75150000000002</v>
      </c>
      <c r="K6483">
        <v>1.111945</v>
      </c>
      <c r="L6483">
        <v>-61.438510000000001</v>
      </c>
      <c r="M6483">
        <v>0.98329480000000002</v>
      </c>
      <c r="N6483">
        <v>-1.3029020000000001E-2</v>
      </c>
      <c r="O6483">
        <v>-0.1815531</v>
      </c>
      <c r="P6483">
        <v>0.98784369999999999</v>
      </c>
      <c r="Q6483">
        <v>0.14949749999999901</v>
      </c>
      <c r="R6483">
        <v>-4.2608399999999998E-2</v>
      </c>
      <c r="S6483">
        <v>3.06012</v>
      </c>
      <c r="T6483">
        <v>-0.15155579999999999</v>
      </c>
      <c r="U6483">
        <v>-3.1433110000000002E-3</v>
      </c>
      <c r="V6483">
        <v>-0.13804079999999999</v>
      </c>
      <c r="W6483">
        <v>0.161749799999999</v>
      </c>
      <c r="X6483">
        <v>0.97712929999999998</v>
      </c>
      <c r="Y6483">
        <v>-0.18016090000000001</v>
      </c>
      <c r="Z6483">
        <v>1.2206989999999999E-2</v>
      </c>
      <c r="AA6483">
        <v>0.98356140000000003</v>
      </c>
      <c r="AB6483">
        <v>22</v>
      </c>
      <c r="AC6483">
        <v>22.337700000000002</v>
      </c>
      <c r="AD6483">
        <v>-1.1119475519599999</v>
      </c>
      <c r="AE6483">
        <v>-3.2899999999997901E-3</v>
      </c>
      <c r="AF6483">
        <v>-4.0425704699617704</v>
      </c>
      <c r="AG6483">
        <v>-1.1119475519599999</v>
      </c>
      <c r="AH6483">
        <v>21.912708242398399</v>
      </c>
      <c r="AI6483">
        <v>92.856822072666404</v>
      </c>
      <c r="AJ6483">
        <v>100.452696013447</v>
      </c>
      <c r="AK6483">
        <v>22.310212591532899</v>
      </c>
      <c r="AL6483">
        <v>80.691524187346303</v>
      </c>
      <c r="AM6483">
        <v>98.041065013785996</v>
      </c>
      <c r="AN6483">
        <v>0.99999996459158402</v>
      </c>
    </row>
    <row r="6484" spans="1:40" x14ac:dyDescent="0.25">
      <c r="A6484" t="str">
        <f>"20190304155233304"</f>
        <v>20190304155233304</v>
      </c>
      <c r="B6484" t="str">
        <f>"1551685953293235"</f>
        <v>1551685953293235</v>
      </c>
      <c r="C6484" t="s">
        <v>40</v>
      </c>
      <c r="D6484">
        <v>4.7592549999999996</v>
      </c>
      <c r="E6484">
        <v>0.48280410000000001</v>
      </c>
      <c r="F6484" t="s">
        <v>103</v>
      </c>
      <c r="G6484">
        <v>-257.32279999999997</v>
      </c>
      <c r="H6484" s="1">
        <v>-2.5144480000000001E-6</v>
      </c>
      <c r="I6484">
        <v>-61.448799999999999</v>
      </c>
      <c r="J6484">
        <v>-279.6388</v>
      </c>
      <c r="K6484">
        <v>1.111909</v>
      </c>
      <c r="L6484">
        <v>-61.457790000000003</v>
      </c>
      <c r="M6484">
        <v>0.98354039999999998</v>
      </c>
      <c r="N6484">
        <v>-1.29582E-2</v>
      </c>
      <c r="O6484">
        <v>-0.1802231</v>
      </c>
      <c r="P6484">
        <v>0.987927</v>
      </c>
      <c r="Q6484">
        <v>0.1492366</v>
      </c>
      <c r="R6484">
        <v>-4.157653E-2</v>
      </c>
      <c r="S6484">
        <v>3.0598450000000001</v>
      </c>
      <c r="T6484">
        <v>-0.1516979</v>
      </c>
      <c r="U6484">
        <v>-1.403809E-3</v>
      </c>
      <c r="V6484">
        <v>-0.1377369</v>
      </c>
      <c r="W6484">
        <v>0.16142879999999901</v>
      </c>
      <c r="X6484">
        <v>0.97722529999999996</v>
      </c>
      <c r="Y6484">
        <v>-0.17939050000000001</v>
      </c>
      <c r="Z6484">
        <v>1.215572E-2</v>
      </c>
      <c r="AA6484">
        <v>0.98370279999999999</v>
      </c>
      <c r="AB6484">
        <v>22</v>
      </c>
      <c r="AC6484">
        <v>22.315999999999999</v>
      </c>
      <c r="AD6484">
        <v>-1.1119115144480001</v>
      </c>
      <c r="AE6484">
        <v>8.9900000000042706E-3</v>
      </c>
      <c r="AF6484">
        <v>-4.0210564834156797</v>
      </c>
      <c r="AG6484">
        <v>-1.1119115144480001</v>
      </c>
      <c r="AH6484">
        <v>21.8945546848087</v>
      </c>
      <c r="AI6484">
        <v>92.859515973977807</v>
      </c>
      <c r="AJ6484">
        <v>100.40671811249</v>
      </c>
      <c r="AK6484">
        <v>22.2884895698399</v>
      </c>
      <c r="AL6484">
        <v>80.710161380034606</v>
      </c>
      <c r="AM6484">
        <v>98.022815253595695</v>
      </c>
      <c r="AN6484">
        <v>0.99999999902557002</v>
      </c>
    </row>
    <row r="6485" spans="1:40" x14ac:dyDescent="0.25">
      <c r="A6485" t="str">
        <f>"20190304155233315"</f>
        <v>20190304155233315</v>
      </c>
      <c r="B6485" t="str">
        <f>"1551685953313731"</f>
        <v>1551685953313731</v>
      </c>
      <c r="C6485" t="s">
        <v>40</v>
      </c>
      <c r="D6485">
        <v>4.8128719999999996</v>
      </c>
      <c r="E6485">
        <v>0.48329430000000001</v>
      </c>
      <c r="F6485" t="s">
        <v>103</v>
      </c>
      <c r="G6485">
        <v>-257.19540000000001</v>
      </c>
      <c r="H6485" s="1">
        <v>-2.4617769999999999E-6</v>
      </c>
      <c r="I6485">
        <v>-61.457569999999997</v>
      </c>
      <c r="J6485">
        <v>-279.54000000000002</v>
      </c>
      <c r="K6485">
        <v>1.1118859999999999</v>
      </c>
      <c r="L6485">
        <v>-61.474519999999998</v>
      </c>
      <c r="M6485">
        <v>0.98375029999999997</v>
      </c>
      <c r="N6485">
        <v>-1.289627E-2</v>
      </c>
      <c r="O6485">
        <v>-0.17907879999999901</v>
      </c>
      <c r="P6485">
        <v>0.98800160000000004</v>
      </c>
      <c r="Q6485">
        <v>0.14892230000000001</v>
      </c>
      <c r="R6485">
        <v>-4.0931250000000002E-2</v>
      </c>
      <c r="S6485">
        <v>3.0595699999999999</v>
      </c>
      <c r="T6485">
        <v>-0.1515801</v>
      </c>
      <c r="U6485" s="1">
        <v>3.0517579999999999E-5</v>
      </c>
      <c r="V6485">
        <v>-0.1372382</v>
      </c>
      <c r="W6485">
        <v>0.16106219999999999</v>
      </c>
      <c r="X6485">
        <v>0.977356</v>
      </c>
      <c r="Y6485">
        <v>-0.17870929999999999</v>
      </c>
      <c r="Z6485">
        <v>1.209005E-2</v>
      </c>
      <c r="AA6485">
        <v>0.98382769999999997</v>
      </c>
      <c r="AB6485">
        <v>22</v>
      </c>
      <c r="AC6485">
        <v>22.3446</v>
      </c>
      <c r="AD6485">
        <v>-1.111888461777</v>
      </c>
      <c r="AE6485">
        <v>1.6950000000001301E-2</v>
      </c>
      <c r="AF6485">
        <v>-4.0085268145173396</v>
      </c>
      <c r="AG6485">
        <v>-1.111888461777</v>
      </c>
      <c r="AH6485">
        <v>21.926005356067499</v>
      </c>
      <c r="AI6485">
        <v>92.8557839380167</v>
      </c>
      <c r="AJ6485">
        <v>100.360436515171</v>
      </c>
      <c r="AK6485">
        <v>22.3171300585098</v>
      </c>
      <c r="AL6485">
        <v>80.731445024347593</v>
      </c>
      <c r="AM6485">
        <v>97.993088241858402</v>
      </c>
      <c r="AN6485">
        <v>1.0000000532720299</v>
      </c>
    </row>
    <row r="6486" spans="1:40" x14ac:dyDescent="0.25">
      <c r="A6486" t="str">
        <f>"20190304155233327"</f>
        <v>20190304155233327</v>
      </c>
      <c r="B6486" t="str">
        <f>"1551685953323491"</f>
        <v>1551685953323491</v>
      </c>
      <c r="C6486" t="s">
        <v>40</v>
      </c>
      <c r="D6486">
        <v>4.7950540000000004</v>
      </c>
      <c r="E6486">
        <v>0.48353600000000002</v>
      </c>
      <c r="F6486" t="s">
        <v>103</v>
      </c>
      <c r="G6486">
        <v>-256.99400000000003</v>
      </c>
      <c r="H6486" s="1">
        <v>-2.3819629999999998E-6</v>
      </c>
      <c r="I6486">
        <v>-61.487340000000003</v>
      </c>
      <c r="J6486">
        <v>-279.42739999999998</v>
      </c>
      <c r="K6486">
        <v>1.1118600000000001</v>
      </c>
      <c r="L6486">
        <v>-61.493560000000002</v>
      </c>
      <c r="M6486">
        <v>0.98398640000000004</v>
      </c>
      <c r="N6486">
        <v>-1.282582E-2</v>
      </c>
      <c r="O6486">
        <v>-0.17778189999999999</v>
      </c>
      <c r="P6486">
        <v>0.9880755</v>
      </c>
      <c r="Q6486">
        <v>0.148784</v>
      </c>
      <c r="R6486">
        <v>-3.9628860000000002E-2</v>
      </c>
      <c r="S6486">
        <v>3.059113</v>
      </c>
      <c r="T6486">
        <v>-0.15086440000000001</v>
      </c>
      <c r="U6486">
        <v>-1.739502E-3</v>
      </c>
      <c r="V6486">
        <v>-0.137234299999999</v>
      </c>
      <c r="W6486">
        <v>0.16086129999999901</v>
      </c>
      <c r="X6486">
        <v>0.97738959999999997</v>
      </c>
      <c r="Y6486">
        <v>-0.1768499</v>
      </c>
      <c r="Z6486">
        <v>1.193166E-2</v>
      </c>
      <c r="AA6486">
        <v>0.98416550000000003</v>
      </c>
      <c r="AB6486">
        <v>22</v>
      </c>
      <c r="AC6486">
        <v>22.433399999999899</v>
      </c>
      <c r="AD6486">
        <v>-1.111862381963</v>
      </c>
      <c r="AE6486">
        <v>6.2199999999919004E-3</v>
      </c>
      <c r="AF6486">
        <v>-3.98491234410591</v>
      </c>
      <c r="AG6486">
        <v>-1.111862381963</v>
      </c>
      <c r="AH6486">
        <v>22.020775475669002</v>
      </c>
      <c r="AI6486">
        <v>92.844376607071993</v>
      </c>
      <c r="AJ6486">
        <v>100.257325211145</v>
      </c>
      <c r="AK6486">
        <v>22.4060330468483</v>
      </c>
      <c r="AL6486">
        <v>80.743107515727203</v>
      </c>
      <c r="AM6486">
        <v>97.992592809736607</v>
      </c>
      <c r="AN6486">
        <v>1.0000000205611601</v>
      </c>
    </row>
    <row r="6487" spans="1:40" x14ac:dyDescent="0.25">
      <c r="A6487" t="str">
        <f>"20190304155233337"</f>
        <v>20190304155233337</v>
      </c>
      <c r="B6487" t="str">
        <f>"1551685953333252"</f>
        <v>1551685953333252</v>
      </c>
      <c r="C6487" t="s">
        <v>40</v>
      </c>
      <c r="D6487">
        <v>4.7477199999999904</v>
      </c>
      <c r="E6487">
        <v>0.48386630000000003</v>
      </c>
      <c r="F6487" t="s">
        <v>103</v>
      </c>
      <c r="G6487">
        <v>-256.86450000000002</v>
      </c>
      <c r="H6487" s="1">
        <v>-2.3274310000000002E-6</v>
      </c>
      <c r="I6487">
        <v>-61.491759999999999</v>
      </c>
      <c r="J6487">
        <v>-279.33049999999997</v>
      </c>
      <c r="K6487">
        <v>1.1118440000000001</v>
      </c>
      <c r="L6487">
        <v>-61.509799999999998</v>
      </c>
      <c r="M6487">
        <v>0.98418340000000004</v>
      </c>
      <c r="N6487">
        <v>-1.276734E-2</v>
      </c>
      <c r="O6487">
        <v>-0.17669279999999901</v>
      </c>
      <c r="P6487">
        <v>0.98812279999999997</v>
      </c>
      <c r="Q6487">
        <v>0.14864649999999999</v>
      </c>
      <c r="R6487">
        <v>-3.8957449999999998E-2</v>
      </c>
      <c r="S6487">
        <v>3.0588989999999998</v>
      </c>
      <c r="T6487">
        <v>-0.15073800000000001</v>
      </c>
      <c r="U6487">
        <v>2.4414059999999999E-4</v>
      </c>
      <c r="V6487">
        <v>-0.13681309999999999</v>
      </c>
      <c r="W6487">
        <v>0.16067400000000001</v>
      </c>
      <c r="X6487">
        <v>0.97747949999999995</v>
      </c>
      <c r="Y6487">
        <v>-0.17640059999999999</v>
      </c>
      <c r="Z6487">
        <v>1.187418E-2</v>
      </c>
      <c r="AA6487">
        <v>0.98424690000000004</v>
      </c>
      <c r="AB6487">
        <v>22</v>
      </c>
      <c r="AC6487">
        <v>22.465999999999902</v>
      </c>
      <c r="AD6487">
        <v>-1.111846327431</v>
      </c>
      <c r="AE6487">
        <v>1.8039999999999098E-2</v>
      </c>
      <c r="AF6487">
        <v>-3.9779164861487</v>
      </c>
      <c r="AG6487">
        <v>-1.111846327431</v>
      </c>
      <c r="AH6487">
        <v>22.055255863125399</v>
      </c>
      <c r="AI6487">
        <v>92.840193843514299</v>
      </c>
      <c r="AJ6487">
        <v>100.22402845776899</v>
      </c>
      <c r="AK6487">
        <v>22.438679395510899</v>
      </c>
      <c r="AL6487">
        <v>80.753980868668194</v>
      </c>
      <c r="AM6487">
        <v>97.9676540325285</v>
      </c>
      <c r="AN6487">
        <v>1.0000000657639201</v>
      </c>
    </row>
    <row r="6488" spans="1:40" x14ac:dyDescent="0.25">
      <c r="A6488" t="str">
        <f>"20190304155233346"</f>
        <v>20190304155233346</v>
      </c>
      <c r="B6488" t="str">
        <f>"1551685953343011"</f>
        <v>1551685953343011</v>
      </c>
      <c r="C6488" t="s">
        <v>40</v>
      </c>
      <c r="D6488">
        <v>4.7968869999999999</v>
      </c>
      <c r="E6488">
        <v>0.48413270000000003</v>
      </c>
      <c r="F6488" t="s">
        <v>103</v>
      </c>
      <c r="G6488">
        <v>-256.67860000000002</v>
      </c>
      <c r="H6488" s="1">
        <v>-2.2523079999999998E-6</v>
      </c>
      <c r="I6488">
        <v>-61.512729999999998</v>
      </c>
      <c r="J6488">
        <v>-279.2346</v>
      </c>
      <c r="K6488">
        <v>1.1118239999999999</v>
      </c>
      <c r="L6488">
        <v>-61.525820000000003</v>
      </c>
      <c r="M6488">
        <v>0.9843769</v>
      </c>
      <c r="N6488">
        <v>-1.270957E-2</v>
      </c>
      <c r="O6488">
        <v>-0.1756152</v>
      </c>
      <c r="P6488">
        <v>0.98813779999999996</v>
      </c>
      <c r="Q6488">
        <v>0.14878429999999901</v>
      </c>
      <c r="R6488">
        <v>-3.8044139999999997E-2</v>
      </c>
      <c r="S6488">
        <v>3.0585939999999998</v>
      </c>
      <c r="T6488">
        <v>-0.15012799999999901</v>
      </c>
      <c r="U6488">
        <v>-3.9672850000000001E-4</v>
      </c>
      <c r="V6488">
        <v>-0.13663729999999999</v>
      </c>
      <c r="W6488">
        <v>0.16076009999999999</v>
      </c>
      <c r="X6488">
        <v>0.97748990000000002</v>
      </c>
      <c r="Y6488">
        <v>-0.17512220000000001</v>
      </c>
      <c r="Z6488">
        <v>1.1750109999999999E-2</v>
      </c>
      <c r="AA6488">
        <v>0.98447660000000003</v>
      </c>
      <c r="AB6488">
        <v>22</v>
      </c>
      <c r="AC6488">
        <v>22.555999999999901</v>
      </c>
      <c r="AD6488">
        <v>-1.111826252308</v>
      </c>
      <c r="AE6488">
        <v>1.30899999999911E-2</v>
      </c>
      <c r="AF6488">
        <v>-3.9647496477990498</v>
      </c>
      <c r="AG6488">
        <v>-1.111826252308</v>
      </c>
      <c r="AH6488">
        <v>22.149282915207099</v>
      </c>
      <c r="AI6488">
        <v>92.828773957532107</v>
      </c>
      <c r="AJ6488">
        <v>100.148536602552</v>
      </c>
      <c r="AK6488">
        <v>22.528784499899899</v>
      </c>
      <c r="AL6488">
        <v>80.748982423907705</v>
      </c>
      <c r="AM6488">
        <v>97.957463531370806</v>
      </c>
      <c r="AN6488">
        <v>1.00000003305265</v>
      </c>
    </row>
    <row r="6489" spans="1:40" x14ac:dyDescent="0.25">
      <c r="A6489" t="str">
        <f>"20190304155233358"</f>
        <v>20190304155233358</v>
      </c>
      <c r="B6489" t="str">
        <f>"1551685953353747"</f>
        <v>1551685953353747</v>
      </c>
      <c r="C6489" t="s">
        <v>40</v>
      </c>
      <c r="D6489">
        <v>4.8192190000000004</v>
      </c>
      <c r="E6489">
        <v>0.48432150000000002</v>
      </c>
      <c r="F6489" t="s">
        <v>103</v>
      </c>
      <c r="G6489">
        <v>-256.38139999999999</v>
      </c>
      <c r="H6489" s="1">
        <v>-2.1275730000000001E-6</v>
      </c>
      <c r="I6489">
        <v>-61.52514</v>
      </c>
      <c r="J6489">
        <v>-279.12040000000002</v>
      </c>
      <c r="K6489">
        <v>1.111801</v>
      </c>
      <c r="L6489">
        <v>-61.54468</v>
      </c>
      <c r="M6489">
        <v>0.98460000000000003</v>
      </c>
      <c r="N6489">
        <v>-1.2642830000000001E-2</v>
      </c>
      <c r="O6489">
        <v>-0.17436460000000001</v>
      </c>
      <c r="P6489">
        <v>0.98814020000000002</v>
      </c>
      <c r="Q6489">
        <v>0.1490001</v>
      </c>
      <c r="R6489">
        <v>-3.7123990000000003E-2</v>
      </c>
      <c r="S6489">
        <v>3.0583800000000001</v>
      </c>
      <c r="T6489">
        <v>-0.1487927</v>
      </c>
      <c r="U6489" s="1">
        <v>9.1552730000000004E-5</v>
      </c>
      <c r="V6489">
        <v>-0.136293</v>
      </c>
      <c r="W6489">
        <v>0.1609178</v>
      </c>
      <c r="X6489">
        <v>0.97751200000000005</v>
      </c>
      <c r="Y6489">
        <v>-0.17403759999999999</v>
      </c>
      <c r="Z6489">
        <v>1.1565199999999999E-2</v>
      </c>
      <c r="AA6489">
        <v>0.98467110000000002</v>
      </c>
      <c r="AB6489">
        <v>22</v>
      </c>
      <c r="AC6489">
        <v>22.739000000000001</v>
      </c>
      <c r="AD6489">
        <v>-1.111803127573</v>
      </c>
      <c r="AE6489">
        <v>1.9540000000006299E-2</v>
      </c>
      <c r="AF6489">
        <v>-3.9749315459644299</v>
      </c>
      <c r="AG6489">
        <v>-1.111803127573</v>
      </c>
      <c r="AH6489">
        <v>22.3338094976882</v>
      </c>
      <c r="AI6489">
        <v>92.805876982158793</v>
      </c>
      <c r="AJ6489">
        <v>100.091729965513</v>
      </c>
      <c r="AK6489">
        <v>22.712006376993902</v>
      </c>
      <c r="AL6489">
        <v>80.739827524231401</v>
      </c>
      <c r="AM6489">
        <v>97.937490961310203</v>
      </c>
      <c r="AN6489">
        <v>1.00000001517492</v>
      </c>
    </row>
    <row r="6490" spans="1:40" x14ac:dyDescent="0.25">
      <c r="A6490" t="str">
        <f>"20190304155233370"</f>
        <v>20190304155233370</v>
      </c>
      <c r="B6490" t="str">
        <f>"1551685953363507"</f>
        <v>1551685953363507</v>
      </c>
      <c r="C6490" t="s">
        <v>40</v>
      </c>
      <c r="D6490">
        <v>4.8162500000000001</v>
      </c>
      <c r="E6490">
        <v>0.48454150000000001</v>
      </c>
      <c r="F6490" t="s">
        <v>103</v>
      </c>
      <c r="G6490">
        <v>-256.01159999999999</v>
      </c>
      <c r="H6490" s="1">
        <v>-1.971349E-6</v>
      </c>
      <c r="I6490">
        <v>-61.535910000000001</v>
      </c>
      <c r="J6490">
        <v>-279.00670000000002</v>
      </c>
      <c r="K6490">
        <v>1.111782</v>
      </c>
      <c r="L6490">
        <v>-61.563389999999998</v>
      </c>
      <c r="M6490">
        <v>0.98481920000000001</v>
      </c>
      <c r="N6490">
        <v>-1.2577319999999999E-2</v>
      </c>
      <c r="O6490">
        <v>-0.17312820000000001</v>
      </c>
      <c r="P6490">
        <v>0.98817250000000001</v>
      </c>
      <c r="Q6490">
        <v>0.14907139999999999</v>
      </c>
      <c r="R6490">
        <v>-3.5960369999999998E-2</v>
      </c>
      <c r="S6490">
        <v>3.0582280000000002</v>
      </c>
      <c r="T6490">
        <v>-0.14713670000000001</v>
      </c>
      <c r="U6490">
        <v>1.159668E-3</v>
      </c>
      <c r="V6490">
        <v>-0.13620879999999999</v>
      </c>
      <c r="W6490">
        <v>0.1609305</v>
      </c>
      <c r="X6490">
        <v>0.97752169999999905</v>
      </c>
      <c r="Y6490">
        <v>-0.17315529999999901</v>
      </c>
      <c r="Z6490">
        <v>1.136091E-2</v>
      </c>
      <c r="AA6490">
        <v>0.98482899999999995</v>
      </c>
      <c r="AB6490">
        <v>22</v>
      </c>
      <c r="AC6490">
        <v>22.995100000000001</v>
      </c>
      <c r="AD6490">
        <v>-1.1117839713490001</v>
      </c>
      <c r="AE6490">
        <v>2.7480000000004098E-2</v>
      </c>
      <c r="AF6490">
        <v>-3.9991309686631702</v>
      </c>
      <c r="AG6490">
        <v>-1.1117839713490001</v>
      </c>
      <c r="AH6490">
        <v>22.590237820222701</v>
      </c>
      <c r="AI6490">
        <v>92.774481342437198</v>
      </c>
      <c r="AJ6490">
        <v>100.03901443055</v>
      </c>
      <c r="AK6490">
        <v>22.9684121540364</v>
      </c>
      <c r="AL6490">
        <v>80.739090757077093</v>
      </c>
      <c r="AM6490">
        <v>97.932572014706395</v>
      </c>
      <c r="AN6490">
        <v>1.00000006849928</v>
      </c>
    </row>
    <row r="6491" spans="1:40" x14ac:dyDescent="0.25">
      <c r="A6491" t="str">
        <f>"20190304155233381"</f>
        <v>20190304155233381</v>
      </c>
      <c r="B6491" t="str">
        <f>"1551685953373267"</f>
        <v>1551685953373267</v>
      </c>
      <c r="C6491" t="s">
        <v>40</v>
      </c>
      <c r="D6491">
        <v>4.7970139999999999</v>
      </c>
      <c r="E6491">
        <v>0.48454150000000001</v>
      </c>
      <c r="F6491" t="s">
        <v>103</v>
      </c>
      <c r="G6491">
        <v>-255.75970000000001</v>
      </c>
      <c r="H6491" s="1">
        <v>-1.864788E-6</v>
      </c>
      <c r="I6491">
        <v>-61.542740000000002</v>
      </c>
      <c r="J6491">
        <v>-278.90309999999999</v>
      </c>
      <c r="K6491">
        <v>1.1117649999999999</v>
      </c>
      <c r="L6491">
        <v>-61.580319999999901</v>
      </c>
      <c r="M6491">
        <v>0.98501360000000004</v>
      </c>
      <c r="N6491">
        <v>-1.2519829999999999E-2</v>
      </c>
      <c r="O6491">
        <v>-0.17202120000000001</v>
      </c>
      <c r="P6491">
        <v>0.98817469999999996</v>
      </c>
      <c r="Q6491">
        <v>0.14928169999999999</v>
      </c>
      <c r="R6491">
        <v>-3.501435E-2</v>
      </c>
      <c r="S6491">
        <v>3.0580750000000001</v>
      </c>
      <c r="T6491">
        <v>-0.14625179999999999</v>
      </c>
      <c r="U6491">
        <v>2.7160639999999998E-3</v>
      </c>
      <c r="V6491">
        <v>-0.13603460000000001</v>
      </c>
      <c r="W6491">
        <v>0.1610895</v>
      </c>
      <c r="X6491">
        <v>0.97751969999999999</v>
      </c>
      <c r="Y6491">
        <v>-0.1725554</v>
      </c>
      <c r="Z6491">
        <v>1.12354E-2</v>
      </c>
      <c r="AA6491">
        <v>0.98493580000000003</v>
      </c>
      <c r="AB6491">
        <v>22</v>
      </c>
      <c r="AC6491">
        <v>23.1433999999999</v>
      </c>
      <c r="AD6491">
        <v>-1.1117668647879999</v>
      </c>
      <c r="AE6491">
        <v>3.7579999999991197E-2</v>
      </c>
      <c r="AF6491">
        <v>-4.0092355871086101</v>
      </c>
      <c r="AG6491">
        <v>-1.1117668647879999</v>
      </c>
      <c r="AH6491">
        <v>22.739412600824298</v>
      </c>
      <c r="AI6491">
        <v>92.756604108875493</v>
      </c>
      <c r="AJ6491">
        <v>99.999177989402099</v>
      </c>
      <c r="AK6491">
        <v>23.116896006711301</v>
      </c>
      <c r="AL6491">
        <v>80.729859671684594</v>
      </c>
      <c r="AM6491">
        <v>97.922571805475997</v>
      </c>
      <c r="AN6491">
        <v>1.0000000016477499</v>
      </c>
    </row>
    <row r="6492" spans="1:40" x14ac:dyDescent="0.25">
      <c r="A6492" t="str">
        <f>"20190304155233392"</f>
        <v>20190304155233392</v>
      </c>
      <c r="B6492" t="str">
        <f>"1551685953383027"</f>
        <v>1551685953383027</v>
      </c>
      <c r="C6492" t="s">
        <v>40</v>
      </c>
      <c r="D6492">
        <v>4.8215789999999998</v>
      </c>
      <c r="E6492">
        <v>0.49153459999999899</v>
      </c>
      <c r="F6492" t="s">
        <v>103</v>
      </c>
      <c r="G6492">
        <v>-255.56890000000001</v>
      </c>
      <c r="H6492" s="1">
        <v>-1.782634E-6</v>
      </c>
      <c r="I6492">
        <v>-61.541429999999998</v>
      </c>
      <c r="J6492">
        <v>-278.78989999999999</v>
      </c>
      <c r="K6492">
        <v>1.111745</v>
      </c>
      <c r="L6492">
        <v>-61.598689999999998</v>
      </c>
      <c r="M6492">
        <v>0.98522290000000001</v>
      </c>
      <c r="N6492">
        <v>-1.2459319999999999E-2</v>
      </c>
      <c r="O6492">
        <v>-0.170824</v>
      </c>
      <c r="P6492">
        <v>0.98813589999999996</v>
      </c>
      <c r="Q6492">
        <v>0.14976300000000001</v>
      </c>
      <c r="R6492">
        <v>-3.4039809999999997E-2</v>
      </c>
      <c r="S6492">
        <v>3.0581360000000002</v>
      </c>
      <c r="T6492">
        <v>-0.1457059</v>
      </c>
      <c r="U6492">
        <v>5.0964360000000002E-3</v>
      </c>
      <c r="V6492">
        <v>-0.13579289999999999</v>
      </c>
      <c r="W6492">
        <v>0.16151679999999999</v>
      </c>
      <c r="X6492">
        <v>0.97748279999999999</v>
      </c>
      <c r="Y6492">
        <v>-0.1721287</v>
      </c>
      <c r="Z6492">
        <v>1.1140509999999999E-2</v>
      </c>
      <c r="AA6492">
        <v>0.98501150000000004</v>
      </c>
      <c r="AB6492">
        <v>22</v>
      </c>
      <c r="AC6492">
        <v>23.220999999999901</v>
      </c>
      <c r="AD6492">
        <v>-1.111746782634</v>
      </c>
      <c r="AE6492">
        <v>5.7259999999999402E-2</v>
      </c>
      <c r="AF6492">
        <v>-4.0142284879313204</v>
      </c>
      <c r="AG6492">
        <v>-1.111746782634</v>
      </c>
      <c r="AH6492">
        <v>22.817550282174398</v>
      </c>
      <c r="AI6492">
        <v>92.747309556240396</v>
      </c>
      <c r="AJ6492">
        <v>99.977785268895701</v>
      </c>
      <c r="AK6492">
        <v>23.194624638945399</v>
      </c>
      <c r="AL6492">
        <v>80.705052374419395</v>
      </c>
      <c r="AM6492">
        <v>97.908968393981993</v>
      </c>
      <c r="AN6492">
        <v>1.00000000633424</v>
      </c>
    </row>
    <row r="6493" spans="1:40" x14ac:dyDescent="0.25">
      <c r="A6493" t="str">
        <f>"20190304155233404"</f>
        <v>20190304155233404</v>
      </c>
      <c r="B6493" t="str">
        <f>"1551685953393764"</f>
        <v>1551685953393764</v>
      </c>
      <c r="C6493" t="s">
        <v>40</v>
      </c>
      <c r="D6493">
        <v>4.823944</v>
      </c>
      <c r="E6493">
        <v>0.49154429999999999</v>
      </c>
      <c r="F6493" t="s">
        <v>103</v>
      </c>
      <c r="G6493">
        <v>-251.536</v>
      </c>
      <c r="H6493" s="1">
        <v>-1.593024E-7</v>
      </c>
      <c r="I6493">
        <v>-62.021470000000001</v>
      </c>
      <c r="J6493">
        <v>-278.67239999999998</v>
      </c>
      <c r="K6493">
        <v>1.1117269999999999</v>
      </c>
      <c r="L6493">
        <v>-61.617710000000002</v>
      </c>
      <c r="M6493">
        <v>0.98543599999999998</v>
      </c>
      <c r="N6493">
        <v>-1.23994E-2</v>
      </c>
      <c r="O6493">
        <v>-0.1695942</v>
      </c>
      <c r="P6493">
        <v>0.98818760000000005</v>
      </c>
      <c r="Q6493">
        <v>0.14964930000000001</v>
      </c>
      <c r="R6493">
        <v>-3.3023759999999999E-2</v>
      </c>
      <c r="S6493">
        <v>3.0532530000000002</v>
      </c>
      <c r="T6493">
        <v>-0.1245488</v>
      </c>
      <c r="U6493">
        <v>-4.7363280000000001E-2</v>
      </c>
      <c r="V6493">
        <v>-0.13557379999999999</v>
      </c>
      <c r="W6493">
        <v>0.16135070000000001</v>
      </c>
      <c r="X6493">
        <v>0.97754059999999998</v>
      </c>
      <c r="Y6493">
        <v>-0.15406710000000001</v>
      </c>
      <c r="Z6493">
        <v>8.8733890000000006E-3</v>
      </c>
      <c r="AA6493">
        <v>0.98802049999999997</v>
      </c>
      <c r="AB6493">
        <v>22</v>
      </c>
      <c r="AC6493">
        <v>27.136399999999998</v>
      </c>
      <c r="AD6493">
        <v>-1.1117271593023901</v>
      </c>
      <c r="AE6493">
        <v>-0.40375999999999801</v>
      </c>
      <c r="AF6493">
        <v>-4.1975759458306401</v>
      </c>
      <c r="AG6493">
        <v>-1.1117271593023901</v>
      </c>
      <c r="AH6493">
        <v>26.7668062457169</v>
      </c>
      <c r="AI6493">
        <v>92.349660600277801</v>
      </c>
      <c r="AJ6493">
        <v>98.912547904726296</v>
      </c>
      <c r="AK6493">
        <v>27.116738330660201</v>
      </c>
      <c r="AL6493">
        <v>80.714695294162297</v>
      </c>
      <c r="AM6493">
        <v>97.895907474336695</v>
      </c>
      <c r="AN6493">
        <v>0.99999996414264403</v>
      </c>
    </row>
    <row r="6494" spans="1:40" x14ac:dyDescent="0.25">
      <c r="A6494" t="str">
        <f>"20190304155233415"</f>
        <v>20190304155233415</v>
      </c>
      <c r="B6494" t="str">
        <f>"1551685953403525"</f>
        <v>1551685953403525</v>
      </c>
      <c r="C6494" t="s">
        <v>40</v>
      </c>
      <c r="D6494">
        <v>4.8283440000000004</v>
      </c>
      <c r="E6494">
        <v>0.49176160000000002</v>
      </c>
      <c r="F6494" t="s">
        <v>103</v>
      </c>
      <c r="G6494">
        <v>-251.0376</v>
      </c>
      <c r="H6494" s="1">
        <v>5.4675470000000002E-8</v>
      </c>
      <c r="I6494">
        <v>-62.020740000000004</v>
      </c>
      <c r="J6494">
        <v>-278.57299999999998</v>
      </c>
      <c r="K6494">
        <v>1.111713</v>
      </c>
      <c r="L6494">
        <v>-61.633580000000002</v>
      </c>
      <c r="M6494">
        <v>0.9856125</v>
      </c>
      <c r="N6494">
        <v>-1.235056E-2</v>
      </c>
      <c r="O6494">
        <v>-0.16856940000000001</v>
      </c>
      <c r="P6494">
        <v>0.98820469999999905</v>
      </c>
      <c r="Q6494">
        <v>0.14973910000000001</v>
      </c>
      <c r="R6494">
        <v>-3.2095829999999999E-2</v>
      </c>
      <c r="S6494">
        <v>3.0529790000000001</v>
      </c>
      <c r="T6494">
        <v>-0.1228192</v>
      </c>
      <c r="U6494">
        <v>-4.4525149999999999E-2</v>
      </c>
      <c r="V6494">
        <v>-0.1354688</v>
      </c>
      <c r="W6494">
        <v>0.16139729999999999</v>
      </c>
      <c r="X6494">
        <v>0.97754750000000001</v>
      </c>
      <c r="Y6494">
        <v>-0.15396360000000001</v>
      </c>
      <c r="Z6494">
        <v>8.7092230000000003E-3</v>
      </c>
      <c r="AA6494">
        <v>0.98803810000000003</v>
      </c>
      <c r="AB6494">
        <v>22</v>
      </c>
      <c r="AC6494">
        <v>27.5353999999999</v>
      </c>
      <c r="AD6494">
        <v>-1.11171294532453</v>
      </c>
      <c r="AE6494">
        <v>-0.387160000000001</v>
      </c>
      <c r="AF6494">
        <v>-4.2534287250581198</v>
      </c>
      <c r="AG6494">
        <v>-1.11171294532453</v>
      </c>
      <c r="AH6494">
        <v>27.162303073362398</v>
      </c>
      <c r="AI6494">
        <v>92.315536646229006</v>
      </c>
      <c r="AJ6494">
        <v>98.899846766346499</v>
      </c>
      <c r="AK6494">
        <v>27.5157821956989</v>
      </c>
      <c r="AL6494">
        <v>80.711990182574098</v>
      </c>
      <c r="AM6494">
        <v>97.889814259546995</v>
      </c>
      <c r="AN6494">
        <v>0.99999999948849005</v>
      </c>
    </row>
    <row r="6495" spans="1:40" x14ac:dyDescent="0.25">
      <c r="A6495" t="str">
        <f>"20190304155233425"</f>
        <v>20190304155233425</v>
      </c>
      <c r="B6495" t="str">
        <f>"1551685953423043"</f>
        <v>1551685953423043</v>
      </c>
      <c r="C6495" t="s">
        <v>40</v>
      </c>
      <c r="D6495">
        <v>4.7864380000000004</v>
      </c>
      <c r="E6495">
        <v>0.49248910000000001</v>
      </c>
      <c r="F6495" t="s">
        <v>103</v>
      </c>
      <c r="G6495">
        <v>-250.6172</v>
      </c>
      <c r="H6495" s="1">
        <v>2.332402E-7</v>
      </c>
      <c r="I6495">
        <v>-62.028739999999999</v>
      </c>
      <c r="J6495">
        <v>-278.46280000000002</v>
      </c>
      <c r="K6495">
        <v>1.1116980000000001</v>
      </c>
      <c r="L6495">
        <v>-61.651179999999997</v>
      </c>
      <c r="M6495">
        <v>0.98580599999999996</v>
      </c>
      <c r="N6495">
        <v>-1.229714E-2</v>
      </c>
      <c r="O6495">
        <v>-0.1674378</v>
      </c>
      <c r="P6495">
        <v>0.98820390000000002</v>
      </c>
      <c r="Q6495">
        <v>0.14993899999999999</v>
      </c>
      <c r="R6495">
        <v>-3.1172269999999998E-2</v>
      </c>
      <c r="S6495">
        <v>3.052765</v>
      </c>
      <c r="T6495">
        <v>-0.1213988</v>
      </c>
      <c r="U6495">
        <v>-4.315186E-2</v>
      </c>
      <c r="V6495">
        <v>-0.1352496</v>
      </c>
      <c r="W6495">
        <v>0.16154930000000001</v>
      </c>
      <c r="X6495">
        <v>0.9775528</v>
      </c>
      <c r="Y6495">
        <v>-0.1532789</v>
      </c>
      <c r="Z6495">
        <v>8.5528940000000001E-3</v>
      </c>
      <c r="AA6495">
        <v>0.98814590000000002</v>
      </c>
      <c r="AB6495">
        <v>22</v>
      </c>
      <c r="AC6495">
        <v>27.845600000000001</v>
      </c>
      <c r="AD6495">
        <v>-1.11169776675979</v>
      </c>
      <c r="AE6495">
        <v>-0.37755999999999501</v>
      </c>
      <c r="AF6495">
        <v>-4.2837027542502399</v>
      </c>
      <c r="AG6495">
        <v>-1.11169776675979</v>
      </c>
      <c r="AH6495">
        <v>27.471877142276099</v>
      </c>
      <c r="AI6495">
        <v>92.289671276848495</v>
      </c>
      <c r="AJ6495">
        <v>98.862786954056702</v>
      </c>
      <c r="AK6495">
        <v>27.826067184057901</v>
      </c>
      <c r="AL6495">
        <v>80.703165925949605</v>
      </c>
      <c r="AM6495">
        <v>97.877166090261497</v>
      </c>
      <c r="AN6495">
        <v>1.0000000537092399</v>
      </c>
    </row>
    <row r="6496" spans="1:40" x14ac:dyDescent="0.25">
      <c r="A6496" t="str">
        <f>"20190304155233437"</f>
        <v>20190304155233437</v>
      </c>
      <c r="B6496" t="str">
        <f>"1551685953433782"</f>
        <v>1551685953433782</v>
      </c>
      <c r="C6496" t="s">
        <v>40</v>
      </c>
      <c r="D6496">
        <v>4.905335</v>
      </c>
      <c r="E6496">
        <v>0.49336580000000002</v>
      </c>
      <c r="F6496" t="s">
        <v>103</v>
      </c>
      <c r="G6496">
        <v>-253.00909999999999</v>
      </c>
      <c r="H6496" s="1">
        <v>-7.9480889999999999E-7</v>
      </c>
      <c r="I6496">
        <v>-62.037460000000003</v>
      </c>
      <c r="J6496">
        <v>-278.3553</v>
      </c>
      <c r="K6496">
        <v>1.111685</v>
      </c>
      <c r="L6496">
        <v>-61.668149999999997</v>
      </c>
      <c r="M6496">
        <v>0.98599079999999995</v>
      </c>
      <c r="N6496">
        <v>-1.224745E-2</v>
      </c>
      <c r="O6496">
        <v>-0.1663509</v>
      </c>
      <c r="P6496">
        <v>0.98823289999999997</v>
      </c>
      <c r="Q6496">
        <v>0.14995410000000001</v>
      </c>
      <c r="R6496">
        <v>-3.0163809999999999E-2</v>
      </c>
      <c r="S6496">
        <v>3.0545960000000001</v>
      </c>
      <c r="T6496">
        <v>-0.13341069999999999</v>
      </c>
      <c r="U6496">
        <v>-4.6356199999999903E-2</v>
      </c>
      <c r="V6496">
        <v>-0.13516539999999999</v>
      </c>
      <c r="W6496">
        <v>0.1615192</v>
      </c>
      <c r="X6496">
        <v>0.97756929999999997</v>
      </c>
      <c r="Y6496">
        <v>-0.15111649999999999</v>
      </c>
      <c r="Z6496">
        <v>9.4136849999999998E-3</v>
      </c>
      <c r="AA6496">
        <v>0.98847119999999999</v>
      </c>
      <c r="AB6496">
        <v>22</v>
      </c>
      <c r="AC6496">
        <v>25.3462</v>
      </c>
      <c r="AD6496">
        <v>-1.1116857948088901</v>
      </c>
      <c r="AE6496">
        <v>-0.36930999999999797</v>
      </c>
      <c r="AF6496">
        <v>-3.8451196402230599</v>
      </c>
      <c r="AG6496">
        <v>-1.1116857948088901</v>
      </c>
      <c r="AH6496">
        <v>25.006333619783799</v>
      </c>
      <c r="AI6496">
        <v>92.515943857413106</v>
      </c>
      <c r="AJ6496">
        <v>98.741666391430698</v>
      </c>
      <c r="AK6496">
        <v>25.3246423757165</v>
      </c>
      <c r="AL6496">
        <v>80.704912383065405</v>
      </c>
      <c r="AM6496">
        <v>97.872192436272499</v>
      </c>
      <c r="AN6496">
        <v>0.99999993681414201</v>
      </c>
    </row>
    <row r="6497" spans="1:40" x14ac:dyDescent="0.25">
      <c r="A6497" t="str">
        <f>"20190304155233449"</f>
        <v>20190304155233449</v>
      </c>
      <c r="B6497" t="str">
        <f>"1551685953443539"</f>
        <v>1551685953443539</v>
      </c>
      <c r="C6497" t="s">
        <v>40</v>
      </c>
      <c r="D6497">
        <v>4.8730549999999999</v>
      </c>
      <c r="E6497">
        <v>0.49278889999999997</v>
      </c>
      <c r="F6497" t="s">
        <v>103</v>
      </c>
      <c r="G6497">
        <v>-253.58250000000001</v>
      </c>
      <c r="H6497" s="1">
        <v>-1.04946E-6</v>
      </c>
      <c r="I6497">
        <v>-62.076469999999901</v>
      </c>
      <c r="J6497">
        <v>-278.24610000000001</v>
      </c>
      <c r="K6497">
        <v>1.1116760000000001</v>
      </c>
      <c r="L6497">
        <v>-61.685360000000003</v>
      </c>
      <c r="M6497">
        <v>0.98617650000000001</v>
      </c>
      <c r="N6497">
        <v>-1.2197629999999999E-2</v>
      </c>
      <c r="O6497">
        <v>-0.16524920000000001</v>
      </c>
      <c r="P6497">
        <v>0.98826150000000001</v>
      </c>
      <c r="Q6497">
        <v>0.1499962</v>
      </c>
      <c r="R6497">
        <v>-2.89961E-2</v>
      </c>
      <c r="S6497">
        <v>3.0550229999999998</v>
      </c>
      <c r="T6497">
        <v>-0.13709499999999999</v>
      </c>
      <c r="U6497">
        <v>-5.0354000000000003E-2</v>
      </c>
      <c r="V6497">
        <v>-0.13522379999999901</v>
      </c>
      <c r="W6497">
        <v>0.1615154</v>
      </c>
      <c r="X6497">
        <v>0.97756200000000004</v>
      </c>
      <c r="Y6497">
        <v>-0.1487087</v>
      </c>
      <c r="Z6497">
        <v>9.6030630000000002E-3</v>
      </c>
      <c r="AA6497">
        <v>0.9888344</v>
      </c>
      <c r="AB6497">
        <v>22</v>
      </c>
      <c r="AC6497">
        <v>24.663599999999999</v>
      </c>
      <c r="AD6497">
        <v>-1.1116770494599999</v>
      </c>
      <c r="AE6497">
        <v>-0.39110999999999702</v>
      </c>
      <c r="AF6497">
        <v>-3.6827308338688298</v>
      </c>
      <c r="AG6497">
        <v>-1.1116770494599999</v>
      </c>
      <c r="AH6497">
        <v>24.339668934794801</v>
      </c>
      <c r="AI6497">
        <v>92.585689930052396</v>
      </c>
      <c r="AJ6497">
        <v>98.603916880269296</v>
      </c>
      <c r="AK6497">
        <v>24.641790034663401</v>
      </c>
      <c r="AL6497">
        <v>80.705134366989299</v>
      </c>
      <c r="AM6497">
        <v>97.875609123105804</v>
      </c>
      <c r="AN6497">
        <v>1.00000008218379</v>
      </c>
    </row>
    <row r="6498" spans="1:40" x14ac:dyDescent="0.25">
      <c r="A6498" t="str">
        <f>"20190304155233461"</f>
        <v>20190304155233461</v>
      </c>
      <c r="B6498" t="str">
        <f>"1551685953453300"</f>
        <v>1551685953453300</v>
      </c>
      <c r="C6498" t="s">
        <v>40</v>
      </c>
      <c r="D6498">
        <v>4.8743990000000004</v>
      </c>
      <c r="E6498">
        <v>0.49080600000000002</v>
      </c>
      <c r="F6498" t="s">
        <v>103</v>
      </c>
      <c r="G6498">
        <v>-253.6463</v>
      </c>
      <c r="H6498" s="1">
        <v>-1.0655349999999999E-6</v>
      </c>
      <c r="I6498">
        <v>-62.025669999999998</v>
      </c>
      <c r="J6498">
        <v>-278.12700000000001</v>
      </c>
      <c r="K6498">
        <v>1.111667</v>
      </c>
      <c r="L6498">
        <v>-61.703890000000001</v>
      </c>
      <c r="M6498">
        <v>0.98637569999999997</v>
      </c>
      <c r="N6498">
        <v>-1.2147399999999999E-2</v>
      </c>
      <c r="O6498">
        <v>-0.16405980000000001</v>
      </c>
      <c r="P6498">
        <v>0.9881837</v>
      </c>
      <c r="Q6498">
        <v>0.150756</v>
      </c>
      <c r="R6498">
        <v>-2.767323E-2</v>
      </c>
      <c r="S6498">
        <v>3.0553590000000002</v>
      </c>
      <c r="T6498">
        <v>-0.138073</v>
      </c>
      <c r="U6498">
        <v>-4.2266850000000002E-2</v>
      </c>
      <c r="V6498">
        <v>-0.13533499999999901</v>
      </c>
      <c r="W6498">
        <v>0.16222549999999999</v>
      </c>
      <c r="X6498">
        <v>0.97742890000000004</v>
      </c>
      <c r="Y6498">
        <v>-0.15012890000000001</v>
      </c>
      <c r="Z6498">
        <v>9.6857200000000001E-3</v>
      </c>
      <c r="AA6498">
        <v>0.98861900000000003</v>
      </c>
      <c r="AB6498">
        <v>22</v>
      </c>
      <c r="AC6498">
        <v>24.480699999999999</v>
      </c>
      <c r="AD6498">
        <v>-1.111668065535</v>
      </c>
      <c r="AE6498">
        <v>-0.32177999999999601</v>
      </c>
      <c r="AF6498">
        <v>-3.6915644041627198</v>
      </c>
      <c r="AG6498">
        <v>-1.111668065535</v>
      </c>
      <c r="AH6498">
        <v>24.151947706023599</v>
      </c>
      <c r="AI6498">
        <v>92.605142344776795</v>
      </c>
      <c r="AJ6498">
        <v>98.690257233648296</v>
      </c>
      <c r="AK6498">
        <v>24.457719264733399</v>
      </c>
      <c r="AL6498">
        <v>80.663903797416296</v>
      </c>
      <c r="AM6498">
        <v>97.883064014744306</v>
      </c>
      <c r="AN6498">
        <v>0.99999996481522901</v>
      </c>
    </row>
    <row r="6499" spans="1:40" x14ac:dyDescent="0.25">
      <c r="A6499" t="str">
        <f>"20190304155233482"</f>
        <v>20190304155233482</v>
      </c>
      <c r="B6499" t="str">
        <f>"1551685953473795"</f>
        <v>1551685953473795</v>
      </c>
      <c r="C6499" t="s">
        <v>40</v>
      </c>
      <c r="D6499">
        <v>4.841361</v>
      </c>
      <c r="E6499">
        <v>0.48659340000000001</v>
      </c>
      <c r="F6499" t="s">
        <v>103</v>
      </c>
      <c r="G6499">
        <v>-253.49199999999999</v>
      </c>
      <c r="H6499" s="1">
        <v>-9.6820080000000004E-7</v>
      </c>
      <c r="I6499">
        <v>-61.885669999999998</v>
      </c>
      <c r="J6499">
        <v>-277.91520000000003</v>
      </c>
      <c r="K6499">
        <v>1.1116600000000001</v>
      </c>
      <c r="L6499">
        <v>-61.736600000000003</v>
      </c>
      <c r="M6499">
        <v>0.98672459999999995</v>
      </c>
      <c r="N6499">
        <v>-1.2061260000000001E-2</v>
      </c>
      <c r="O6499">
        <v>-0.16195370000000001</v>
      </c>
      <c r="P6499">
        <v>0.98814579999999996</v>
      </c>
      <c r="Q6499">
        <v>0.15140039999999999</v>
      </c>
      <c r="R6499">
        <v>-2.5415509999999999E-2</v>
      </c>
      <c r="S6499">
        <v>3.056244</v>
      </c>
      <c r="T6499">
        <v>-0.13791439999999999</v>
      </c>
      <c r="U6499">
        <v>-2.2552490000000001E-2</v>
      </c>
      <c r="V6499">
        <v>-0.1354659</v>
      </c>
      <c r="W6499">
        <v>0.1627854</v>
      </c>
      <c r="X6499">
        <v>0.97731769999999996</v>
      </c>
      <c r="Y6499">
        <v>-0.15439339999999999</v>
      </c>
      <c r="Z6499">
        <v>9.7330400000000001E-3</v>
      </c>
      <c r="AA6499">
        <v>0.98796150000000005</v>
      </c>
      <c r="AB6499">
        <v>22</v>
      </c>
      <c r="AC6499">
        <v>24.423200000000001</v>
      </c>
      <c r="AD6499">
        <v>-1.1116609682008001</v>
      </c>
      <c r="AE6499">
        <v>-0.14906999999999401</v>
      </c>
      <c r="AF6499">
        <v>-3.80073984610208</v>
      </c>
      <c r="AG6499">
        <v>-1.1116609682008001</v>
      </c>
      <c r="AH6499">
        <v>24.074994825502401</v>
      </c>
      <c r="AI6499">
        <v>92.611453184628004</v>
      </c>
      <c r="AJ6499">
        <v>98.971291167553105</v>
      </c>
      <c r="AK6499">
        <v>24.398499735310299</v>
      </c>
      <c r="AL6499">
        <v>80.631391980321695</v>
      </c>
      <c r="AM6499">
        <v>97.891479237740398</v>
      </c>
      <c r="AN6499">
        <v>0.99999999162463005</v>
      </c>
    </row>
    <row r="6500" spans="1:40" x14ac:dyDescent="0.25">
      <c r="A6500" t="str">
        <f>"20190304155233495"</f>
        <v>20190304155233495</v>
      </c>
      <c r="B6500" t="str">
        <f>"1551685953483556"</f>
        <v>1551685953483556</v>
      </c>
      <c r="C6500" t="s">
        <v>40</v>
      </c>
      <c r="D6500">
        <v>4.9639670000000002</v>
      </c>
      <c r="E6500">
        <v>0.48475629999999997</v>
      </c>
      <c r="F6500" t="s">
        <v>103</v>
      </c>
      <c r="G6500">
        <v>-253.09979999999999</v>
      </c>
      <c r="H6500" s="1">
        <v>-7.3425709999999897E-7</v>
      </c>
      <c r="I6500">
        <v>-61.590220000000002</v>
      </c>
      <c r="J6500">
        <v>-277.79489999999998</v>
      </c>
      <c r="K6500">
        <v>1.111658</v>
      </c>
      <c r="L6500">
        <v>-61.755000000000003</v>
      </c>
      <c r="M6500">
        <v>0.98692020000000003</v>
      </c>
      <c r="N6500">
        <v>-1.20146E-2</v>
      </c>
      <c r="O6500">
        <v>-0.16076209999999999</v>
      </c>
      <c r="P6500">
        <v>0.98813550000000006</v>
      </c>
      <c r="Q6500">
        <v>0.151667</v>
      </c>
      <c r="R6500">
        <v>-2.4204130000000001E-2</v>
      </c>
      <c r="S6500">
        <v>3.0574340000000002</v>
      </c>
      <c r="T6500">
        <v>-0.13696429999999901</v>
      </c>
      <c r="U6500">
        <v>1.8035889999999999E-2</v>
      </c>
      <c r="V6500">
        <v>-0.13547819999999999</v>
      </c>
      <c r="W6500">
        <v>0.1630055</v>
      </c>
      <c r="X6500">
        <v>0.97727929999999996</v>
      </c>
      <c r="Y6500">
        <v>-0.16629650000000001</v>
      </c>
      <c r="Z6500">
        <v>9.9609380000000008E-3</v>
      </c>
      <c r="AA6500">
        <v>0.9860255</v>
      </c>
      <c r="AB6500">
        <v>22</v>
      </c>
      <c r="AC6500">
        <v>24.6951</v>
      </c>
      <c r="AD6500">
        <v>-1.1116587342571</v>
      </c>
      <c r="AE6500">
        <v>0.164780000000007</v>
      </c>
      <c r="AF6500">
        <v>-4.1246009201327096</v>
      </c>
      <c r="AG6500">
        <v>-1.1116587342571</v>
      </c>
      <c r="AH6500">
        <v>24.298121436968199</v>
      </c>
      <c r="AI6500">
        <v>92.582608110725104</v>
      </c>
      <c r="AJ6500">
        <v>99.634111226840901</v>
      </c>
      <c r="AK6500">
        <v>24.670768598839</v>
      </c>
      <c r="AL6500">
        <v>80.618610378600593</v>
      </c>
      <c r="AM6500">
        <v>97.892492935559304</v>
      </c>
      <c r="AN6500">
        <v>0.999999982956989</v>
      </c>
    </row>
    <row r="6501" spans="1:40" x14ac:dyDescent="0.25">
      <c r="A6501" t="str">
        <f>"20190304155233505"</f>
        <v>20190304155233505</v>
      </c>
      <c r="B6501" t="str">
        <f>"1551685953503076"</f>
        <v>1551685953503076</v>
      </c>
      <c r="C6501" t="s">
        <v>40</v>
      </c>
      <c r="D6501">
        <v>4.8431790000000001</v>
      </c>
      <c r="E6501">
        <v>0.4638121</v>
      </c>
      <c r="F6501" t="s">
        <v>103</v>
      </c>
      <c r="G6501">
        <v>-252.9897</v>
      </c>
      <c r="H6501" s="1">
        <v>-6.5760379999999998E-7</v>
      </c>
      <c r="I6501">
        <v>-61.457940000000001</v>
      </c>
      <c r="J6501">
        <v>-277.68549999999999</v>
      </c>
      <c r="K6501">
        <v>1.1116600000000001</v>
      </c>
      <c r="L6501">
        <v>-61.771610000000003</v>
      </c>
      <c r="M6501">
        <v>0.98709630000000004</v>
      </c>
      <c r="N6501">
        <v>-1.197314E-2</v>
      </c>
      <c r="O6501">
        <v>-0.15967970000000001</v>
      </c>
      <c r="P6501">
        <v>0.98813490000000004</v>
      </c>
      <c r="Q6501">
        <v>0.1518185</v>
      </c>
      <c r="R6501">
        <v>-2.324785E-2</v>
      </c>
      <c r="S6501">
        <v>3.0579529999999999</v>
      </c>
      <c r="T6501">
        <v>-0.13704369999999999</v>
      </c>
      <c r="U6501">
        <v>3.6621090000000002E-2</v>
      </c>
      <c r="V6501">
        <v>-0.13534889999999999</v>
      </c>
      <c r="W6501">
        <v>0.1631156</v>
      </c>
      <c r="X6501">
        <v>0.9772788</v>
      </c>
      <c r="Y6501">
        <v>-0.17119819999999999</v>
      </c>
      <c r="Z6501">
        <v>1.0073729999999999E-2</v>
      </c>
      <c r="AA6501">
        <v>0.98518510000000004</v>
      </c>
      <c r="AB6501">
        <v>22</v>
      </c>
      <c r="AC6501">
        <v>24.695799999999899</v>
      </c>
      <c r="AD6501">
        <v>-1.1116606576038</v>
      </c>
      <c r="AE6501">
        <v>0.31366999999999401</v>
      </c>
      <c r="AF6501">
        <v>-4.24474553692201</v>
      </c>
      <c r="AG6501">
        <v>-1.1116606576038</v>
      </c>
      <c r="AH6501">
        <v>24.279599949269201</v>
      </c>
      <c r="AI6501">
        <v>92.582387984130705</v>
      </c>
      <c r="AJ6501">
        <v>99.916664040783303</v>
      </c>
      <c r="AK6501">
        <v>24.672912835484901</v>
      </c>
      <c r="AL6501">
        <v>80.612216115503301</v>
      </c>
      <c r="AM6501">
        <v>97.885059139272798</v>
      </c>
      <c r="AN6501">
        <v>0.99999993831200296</v>
      </c>
    </row>
    <row r="6502" spans="1:40" x14ac:dyDescent="0.25">
      <c r="A6502" t="str">
        <f>"20190304155233515"</f>
        <v>20190304155233515</v>
      </c>
      <c r="B6502" t="str">
        <f>"1551685953503076"</f>
        <v>1551685953503076</v>
      </c>
      <c r="C6502" t="s">
        <v>40</v>
      </c>
      <c r="D6502">
        <v>4.8431790000000001</v>
      </c>
      <c r="E6502">
        <v>0.4638121</v>
      </c>
      <c r="F6502" t="s">
        <v>103</v>
      </c>
      <c r="G6502">
        <v>-257.3596</v>
      </c>
      <c r="H6502" s="1">
        <v>-2.298204E-6</v>
      </c>
      <c r="I6502">
        <v>-60.405259999999998</v>
      </c>
      <c r="J6502">
        <v>-277.59199999999998</v>
      </c>
      <c r="K6502">
        <v>1.1116600000000001</v>
      </c>
      <c r="L6502">
        <v>-61.785640000000001</v>
      </c>
      <c r="M6502">
        <v>0.98724599999999996</v>
      </c>
      <c r="N6502">
        <v>-1.194018E-2</v>
      </c>
      <c r="O6502">
        <v>-0.1587546</v>
      </c>
      <c r="P6502">
        <v>0.98809020000000003</v>
      </c>
      <c r="Q6502">
        <v>0.15226709999999999</v>
      </c>
      <c r="R6502">
        <v>-2.219484E-2</v>
      </c>
      <c r="S6502">
        <v>3.0666500000000001</v>
      </c>
      <c r="T6502">
        <v>-0.1677207</v>
      </c>
      <c r="U6502">
        <v>0.2061462</v>
      </c>
      <c r="V6502">
        <v>-0.1354668</v>
      </c>
      <c r="W6502">
        <v>0.1635296</v>
      </c>
      <c r="X6502">
        <v>0.97719339999999999</v>
      </c>
      <c r="Y6502">
        <v>-0.224078</v>
      </c>
      <c r="Z6502">
        <v>1.421101E-2</v>
      </c>
      <c r="AA6502">
        <v>0.97446759999999999</v>
      </c>
      <c r="AB6502">
        <v>22</v>
      </c>
      <c r="AC6502">
        <v>20.232399999999899</v>
      </c>
      <c r="AD6502">
        <v>-1.1116622982040001</v>
      </c>
      <c r="AE6502">
        <v>1.3803799999999999</v>
      </c>
      <c r="AF6502">
        <v>-4.5613801408847996</v>
      </c>
      <c r="AG6502">
        <v>-1.1116622982040001</v>
      </c>
      <c r="AH6502">
        <v>19.697430789933399</v>
      </c>
      <c r="AI6502">
        <v>93.147064793262501</v>
      </c>
      <c r="AJ6502">
        <v>103.03829727969401</v>
      </c>
      <c r="AK6502">
        <v>20.249216320122699</v>
      </c>
      <c r="AL6502">
        <v>80.588174004435501</v>
      </c>
      <c r="AM6502">
        <v>97.892522167478305</v>
      </c>
      <c r="AN6502">
        <v>1.00000006249097</v>
      </c>
    </row>
    <row r="6503" spans="1:40" x14ac:dyDescent="0.25">
      <c r="A6503" t="str">
        <f>"20190304155233525"</f>
        <v>20190304155233525</v>
      </c>
      <c r="B6503" t="str">
        <f>"1551685953523572"</f>
        <v>1551685953523572</v>
      </c>
      <c r="C6503" t="s">
        <v>40</v>
      </c>
      <c r="D6503">
        <v>4.8466279999999999</v>
      </c>
      <c r="E6503">
        <v>0.46675680000000003</v>
      </c>
      <c r="F6503" t="s">
        <v>103</v>
      </c>
      <c r="G6503">
        <v>-257.08690000000001</v>
      </c>
      <c r="H6503" s="1">
        <v>-2.176543E-6</v>
      </c>
      <c r="I6503">
        <v>-60.38411</v>
      </c>
      <c r="J6503">
        <v>-277.48750000000001</v>
      </c>
      <c r="K6503">
        <v>1.1116600000000001</v>
      </c>
      <c r="L6503">
        <v>-61.801299999999998</v>
      </c>
      <c r="M6503">
        <v>0.98741210000000001</v>
      </c>
      <c r="N6503">
        <v>-1.190395E-2</v>
      </c>
      <c r="O6503">
        <v>-0.15772030000000001</v>
      </c>
      <c r="P6503">
        <v>0.98806799999999995</v>
      </c>
      <c r="Q6503">
        <v>0.1525463</v>
      </c>
      <c r="R6503">
        <v>-2.1246399999999999E-2</v>
      </c>
      <c r="S6503">
        <v>3.0664669999999998</v>
      </c>
      <c r="T6503">
        <v>-0.16624529999999901</v>
      </c>
      <c r="U6503">
        <v>0.20959469999999999</v>
      </c>
      <c r="V6503">
        <v>-0.13537639999999901</v>
      </c>
      <c r="W6503">
        <v>0.1637719</v>
      </c>
      <c r="X6503">
        <v>0.97716530000000001</v>
      </c>
      <c r="Y6503">
        <v>-0.22416230000000001</v>
      </c>
      <c r="Z6503">
        <v>1.404321E-2</v>
      </c>
      <c r="AA6503">
        <v>0.97445059999999994</v>
      </c>
      <c r="AB6503">
        <v>22</v>
      </c>
      <c r="AC6503">
        <v>20.400600000000001</v>
      </c>
      <c r="AD6503">
        <v>-1.1116621765429999</v>
      </c>
      <c r="AE6503">
        <v>1.41718999999999</v>
      </c>
      <c r="AF6503">
        <v>-4.6036621574446501</v>
      </c>
      <c r="AG6503">
        <v>-1.1116621765429999</v>
      </c>
      <c r="AH6503">
        <v>19.862993973539901</v>
      </c>
      <c r="AI6503">
        <v>93.120749011782493</v>
      </c>
      <c r="AJ6503">
        <v>103.04908940905599</v>
      </c>
      <c r="AK6503">
        <v>20.419794995237499</v>
      </c>
      <c r="AL6503">
        <v>80.574101058213898</v>
      </c>
      <c r="AM6503">
        <v>97.887545579227293</v>
      </c>
      <c r="AN6503">
        <v>1.00000001421533</v>
      </c>
    </row>
    <row r="6504" spans="1:40" x14ac:dyDescent="0.25">
      <c r="A6504" t="str">
        <f>"20190304155233538"</f>
        <v>20190304155233538</v>
      </c>
      <c r="B6504" t="str">
        <f>"1551685953533332"</f>
        <v>1551685953533332</v>
      </c>
      <c r="C6504" t="s">
        <v>40</v>
      </c>
      <c r="D6504">
        <v>4.8199839999999998</v>
      </c>
      <c r="E6504">
        <v>0.46735480000000001</v>
      </c>
      <c r="F6504" t="s">
        <v>103</v>
      </c>
      <c r="G6504">
        <v>-256.01569999999998</v>
      </c>
      <c r="H6504" s="1">
        <v>-1.737297E-6</v>
      </c>
      <c r="I6504">
        <v>-60.475490000000001</v>
      </c>
      <c r="J6504">
        <v>-277.37150000000003</v>
      </c>
      <c r="K6504">
        <v>1.111666</v>
      </c>
      <c r="L6504">
        <v>-61.818510000000003</v>
      </c>
      <c r="M6504">
        <v>0.98759589999999997</v>
      </c>
      <c r="N6504">
        <v>-1.1867600000000001E-2</v>
      </c>
      <c r="O6504">
        <v>-0.1565685</v>
      </c>
      <c r="P6504">
        <v>0.98806859999999996</v>
      </c>
      <c r="Q6504">
        <v>0.15267520000000001</v>
      </c>
      <c r="R6504">
        <v>-2.0266599999999999E-2</v>
      </c>
      <c r="S6504">
        <v>3.0647890000000002</v>
      </c>
      <c r="T6504">
        <v>-0.15867329999999999</v>
      </c>
      <c r="U6504">
        <v>0.1892395</v>
      </c>
      <c r="V6504">
        <v>-0.13520470000000001</v>
      </c>
      <c r="W6504">
        <v>0.16386410000000001</v>
      </c>
      <c r="X6504">
        <v>0.97717359999999998</v>
      </c>
      <c r="Y6504">
        <v>-0.21667149999999999</v>
      </c>
      <c r="Z6504">
        <v>1.3106410000000001E-2</v>
      </c>
      <c r="AA6504">
        <v>0.97615660000000004</v>
      </c>
      <c r="AB6504">
        <v>22</v>
      </c>
      <c r="AC6504">
        <v>21.355799999999999</v>
      </c>
      <c r="AD6504">
        <v>-1.1116677372970001</v>
      </c>
      <c r="AE6504">
        <v>1.3430199999999901</v>
      </c>
      <c r="AF6504">
        <v>-4.6577637147013098</v>
      </c>
      <c r="AG6504">
        <v>-1.1116677372970001</v>
      </c>
      <c r="AH6504">
        <v>20.825885183502301</v>
      </c>
      <c r="AI6504">
        <v>92.981967492384001</v>
      </c>
      <c r="AJ6504">
        <v>102.60688284096101</v>
      </c>
      <c r="AK6504">
        <v>21.369325250380601</v>
      </c>
      <c r="AL6504">
        <v>80.568745902839893</v>
      </c>
      <c r="AM6504">
        <v>97.877601287250698</v>
      </c>
      <c r="AN6504">
        <v>0.99999999935393002</v>
      </c>
    </row>
    <row r="6505" spans="1:40" x14ac:dyDescent="0.25">
      <c r="A6505" t="str">
        <f>"20190304155233548"</f>
        <v>20190304155233548</v>
      </c>
      <c r="B6505" t="str">
        <f>"1551685953543092"</f>
        <v>1551685953543092</v>
      </c>
      <c r="C6505" t="s">
        <v>40</v>
      </c>
      <c r="D6505">
        <v>4.8763699999999996</v>
      </c>
      <c r="E6505">
        <v>0.46794649999999999</v>
      </c>
      <c r="F6505" t="s">
        <v>103</v>
      </c>
      <c r="G6505">
        <v>-255.96539999999999</v>
      </c>
      <c r="H6505" s="1">
        <v>-1.723058E-6</v>
      </c>
      <c r="I6505">
        <v>-60.508429999999997</v>
      </c>
      <c r="J6505">
        <v>-277.26729999999998</v>
      </c>
      <c r="K6505">
        <v>1.1116699999999999</v>
      </c>
      <c r="L6505">
        <v>-61.833889999999997</v>
      </c>
      <c r="M6505">
        <v>0.98775970000000002</v>
      </c>
      <c r="N6505">
        <v>-1.183582E-2</v>
      </c>
      <c r="O6505">
        <v>-0.15553410000000001</v>
      </c>
      <c r="P6505">
        <v>0.9880504</v>
      </c>
      <c r="Q6505">
        <v>0.15288389999999999</v>
      </c>
      <c r="R6505">
        <v>-1.9572329999999999E-2</v>
      </c>
      <c r="S6505">
        <v>3.064667</v>
      </c>
      <c r="T6505">
        <v>-0.15915560000000001</v>
      </c>
      <c r="U6505">
        <v>0.18756100000000001</v>
      </c>
      <c r="V6505">
        <v>-0.13486429999999999</v>
      </c>
      <c r="W6505">
        <v>0.1640414</v>
      </c>
      <c r="X6505">
        <v>0.97719089999999997</v>
      </c>
      <c r="Y6505">
        <v>-0.215119</v>
      </c>
      <c r="Z6505">
        <v>1.3059690000000001E-2</v>
      </c>
      <c r="AA6505">
        <v>0.97650049999999999</v>
      </c>
      <c r="AB6505">
        <v>22</v>
      </c>
      <c r="AC6505">
        <v>21.3018999999999</v>
      </c>
      <c r="AD6505">
        <v>-1.111671723058</v>
      </c>
      <c r="AE6505">
        <v>1.3254599999999901</v>
      </c>
      <c r="AF6505">
        <v>-4.6102240264188001</v>
      </c>
      <c r="AG6505">
        <v>-1.111671723058</v>
      </c>
      <c r="AH6505">
        <v>20.780087005873099</v>
      </c>
      <c r="AI6505">
        <v>92.989674889994603</v>
      </c>
      <c r="AJ6505">
        <v>102.508907953066</v>
      </c>
      <c r="AK6505">
        <v>21.314361251636701</v>
      </c>
      <c r="AL6505">
        <v>80.558448091423699</v>
      </c>
      <c r="AM6505">
        <v>97.8578788310504</v>
      </c>
      <c r="AN6505">
        <v>1.0000000076856299</v>
      </c>
    </row>
    <row r="6506" spans="1:40" x14ac:dyDescent="0.25">
      <c r="A6506" t="str">
        <f>"20190304155233559"</f>
        <v>20190304155233559</v>
      </c>
      <c r="B6506" t="str">
        <f>"1551685953553828"</f>
        <v>1551685953553828</v>
      </c>
      <c r="C6506" t="s">
        <v>40</v>
      </c>
      <c r="D6506">
        <v>4.8577890000000004</v>
      </c>
      <c r="E6506">
        <v>0.46823809999999899</v>
      </c>
      <c r="F6506" t="s">
        <v>103</v>
      </c>
      <c r="G6506">
        <v>-255.4247</v>
      </c>
      <c r="H6506" s="1">
        <v>-1.4924769999999999E-6</v>
      </c>
      <c r="I6506">
        <v>-60.514690000000002</v>
      </c>
      <c r="J6506">
        <v>-277.1558</v>
      </c>
      <c r="K6506">
        <v>1.1116740000000001</v>
      </c>
      <c r="L6506">
        <v>-61.850189999999998</v>
      </c>
      <c r="M6506">
        <v>0.98793439999999999</v>
      </c>
      <c r="N6506">
        <v>-1.1805360000000001E-2</v>
      </c>
      <c r="O6506">
        <v>-0.154422799999999</v>
      </c>
      <c r="P6506">
        <v>0.98807780000000001</v>
      </c>
      <c r="Q6506">
        <v>0.15283389999999999</v>
      </c>
      <c r="R6506">
        <v>-1.8553969999999999E-2</v>
      </c>
      <c r="S6506">
        <v>3.0640869999999998</v>
      </c>
      <c r="T6506">
        <v>-0.15594569999999999</v>
      </c>
      <c r="U6506">
        <v>0.18505859999999999</v>
      </c>
      <c r="V6506">
        <v>-0.13477529999999999</v>
      </c>
      <c r="W6506">
        <v>0.16396050000000001</v>
      </c>
      <c r="X6506">
        <v>0.9772168</v>
      </c>
      <c r="Y6506">
        <v>-0.21325959999999999</v>
      </c>
      <c r="Z6506">
        <v>1.2688090000000001E-2</v>
      </c>
      <c r="AA6506">
        <v>0.97691320000000004</v>
      </c>
      <c r="AB6506">
        <v>22</v>
      </c>
      <c r="AC6506">
        <v>21.731100000000001</v>
      </c>
      <c r="AD6506">
        <v>-1.111675492477</v>
      </c>
      <c r="AE6506">
        <v>1.3354999999999999</v>
      </c>
      <c r="AF6506">
        <v>-4.6633314629269504</v>
      </c>
      <c r="AG6506">
        <v>-1.111675492477</v>
      </c>
      <c r="AH6506">
        <v>21.2088565114801</v>
      </c>
      <c r="AI6506">
        <v>92.930570619572293</v>
      </c>
      <c r="AJ6506">
        <v>102.400674981981</v>
      </c>
      <c r="AK6506">
        <v>21.743920466609701</v>
      </c>
      <c r="AL6506">
        <v>80.563147350460895</v>
      </c>
      <c r="AM6506">
        <v>97.852552423942399</v>
      </c>
      <c r="AN6506">
        <v>1.0000000506262801</v>
      </c>
    </row>
    <row r="6507" spans="1:40" x14ac:dyDescent="0.25">
      <c r="A6507" t="str">
        <f>"20190304155233570"</f>
        <v>20190304155233570</v>
      </c>
      <c r="B6507" t="str">
        <f>"1551685953563588"</f>
        <v>1551685953563588</v>
      </c>
      <c r="C6507" t="s">
        <v>40</v>
      </c>
      <c r="D6507">
        <v>4.8353039999999998</v>
      </c>
      <c r="E6507">
        <v>0.46848509999999999</v>
      </c>
      <c r="F6507" t="s">
        <v>103</v>
      </c>
      <c r="G6507">
        <v>-255.29249999999999</v>
      </c>
      <c r="H6507" s="1">
        <v>-1.4378579999999999E-6</v>
      </c>
      <c r="I6507">
        <v>-60.524169999999998</v>
      </c>
      <c r="J6507">
        <v>-277.05149999999998</v>
      </c>
      <c r="K6507">
        <v>1.1116779999999999</v>
      </c>
      <c r="L6507">
        <v>-61.86533</v>
      </c>
      <c r="M6507">
        <v>0.98809669999999905</v>
      </c>
      <c r="N6507">
        <v>-1.177771E-2</v>
      </c>
      <c r="O6507">
        <v>-0.15338289999999999</v>
      </c>
      <c r="P6507">
        <v>0.98811879999999996</v>
      </c>
      <c r="Q6507">
        <v>0.15264440000000001</v>
      </c>
      <c r="R6507">
        <v>-1.7910039999999999E-2</v>
      </c>
      <c r="S6507">
        <v>3.063812</v>
      </c>
      <c r="T6507">
        <v>-0.1557846</v>
      </c>
      <c r="U6507">
        <v>0.1858215</v>
      </c>
      <c r="V6507">
        <v>-0.1343887</v>
      </c>
      <c r="W6507">
        <v>0.16374459999999999</v>
      </c>
      <c r="X6507">
        <v>0.97730620000000001</v>
      </c>
      <c r="Y6507">
        <v>-0.2124817</v>
      </c>
      <c r="Z6507">
        <v>1.2612430000000001E-2</v>
      </c>
      <c r="AA6507">
        <v>0.97708360000000005</v>
      </c>
      <c r="AB6507">
        <v>22</v>
      </c>
      <c r="AC6507">
        <v>21.758999999999901</v>
      </c>
      <c r="AD6507">
        <v>-1.1116794378579999</v>
      </c>
      <c r="AE6507">
        <v>1.3411599999999999</v>
      </c>
      <c r="AF6507">
        <v>-4.6508834419209997</v>
      </c>
      <c r="AG6507">
        <v>-1.1116794378579999</v>
      </c>
      <c r="AH6507">
        <v>21.240527760205499</v>
      </c>
      <c r="AI6507">
        <v>92.9267777989416</v>
      </c>
      <c r="AJ6507">
        <v>102.350717391995</v>
      </c>
      <c r="AK6507">
        <v>21.772151191256899</v>
      </c>
      <c r="AL6507">
        <v>80.575686622495994</v>
      </c>
      <c r="AM6507">
        <v>97.829599964961304</v>
      </c>
      <c r="AN6507">
        <v>1.00000001263764</v>
      </c>
    </row>
    <row r="6508" spans="1:40" x14ac:dyDescent="0.25">
      <c r="A6508" t="str">
        <f>"20190304155233582"</f>
        <v>20190304155233582</v>
      </c>
      <c r="B6508" t="str">
        <f>"1551685953573348"</f>
        <v>1551685953573348</v>
      </c>
      <c r="C6508" t="s">
        <v>40</v>
      </c>
      <c r="D6508">
        <v>4.8204840000000004</v>
      </c>
      <c r="E6508">
        <v>0.46876980000000001</v>
      </c>
      <c r="F6508" t="s">
        <v>103</v>
      </c>
      <c r="G6508">
        <v>-255.3913</v>
      </c>
      <c r="H6508" s="1">
        <v>-1.4861639999999999E-6</v>
      </c>
      <c r="I6508">
        <v>-60.550739999999998</v>
      </c>
      <c r="J6508">
        <v>-276.93799999999999</v>
      </c>
      <c r="K6508">
        <v>1.111683</v>
      </c>
      <c r="L6508">
        <v>-61.88165</v>
      </c>
      <c r="M6508">
        <v>0.9882725</v>
      </c>
      <c r="N6508">
        <v>-1.174996E-2</v>
      </c>
      <c r="O6508">
        <v>-0.1522482</v>
      </c>
      <c r="P6508">
        <v>0.98815489999999995</v>
      </c>
      <c r="Q6508">
        <v>0.15247720000000001</v>
      </c>
      <c r="R6508">
        <v>-1.7354850000000002E-2</v>
      </c>
      <c r="S6508">
        <v>3.0637509999999999</v>
      </c>
      <c r="T6508">
        <v>-0.15724289999999999</v>
      </c>
      <c r="U6508">
        <v>0.18594359999999999</v>
      </c>
      <c r="V6508">
        <v>-0.13381979999999999</v>
      </c>
      <c r="W6508">
        <v>0.16355169999999999</v>
      </c>
      <c r="X6508">
        <v>0.97741650000000002</v>
      </c>
      <c r="Y6508">
        <v>-0.21139359999999999</v>
      </c>
      <c r="Z6508">
        <v>1.265848E-2</v>
      </c>
      <c r="AA6508">
        <v>0.9773191</v>
      </c>
      <c r="AB6508">
        <v>22</v>
      </c>
      <c r="AC6508">
        <v>21.546699999999898</v>
      </c>
      <c r="AD6508">
        <v>-1.1116844861640001</v>
      </c>
      <c r="AE6508">
        <v>1.33090999999999</v>
      </c>
      <c r="AF6508">
        <v>-4.5839092662333298</v>
      </c>
      <c r="AG6508">
        <v>-1.1116844861640001</v>
      </c>
      <c r="AH6508">
        <v>21.037050422844899</v>
      </c>
      <c r="AI6508">
        <v>92.955705519180697</v>
      </c>
      <c r="AJ6508">
        <v>102.29243518171501</v>
      </c>
      <c r="AK6508">
        <v>21.559349643510998</v>
      </c>
      <c r="AL6508">
        <v>80.586889475358106</v>
      </c>
      <c r="AM6508">
        <v>97.795994841192396</v>
      </c>
      <c r="AN6508">
        <v>0.99999995595858904</v>
      </c>
    </row>
    <row r="6509" spans="1:40" x14ac:dyDescent="0.25">
      <c r="A6509" t="str">
        <f>"20190304155233593"</f>
        <v>20190304155233593</v>
      </c>
      <c r="B6509" t="str">
        <f>"1551685953583109"</f>
        <v>1551685953583109</v>
      </c>
      <c r="C6509" t="s">
        <v>40</v>
      </c>
      <c r="D6509">
        <v>4.881596</v>
      </c>
      <c r="E6509">
        <v>0.46907969999999999</v>
      </c>
      <c r="F6509" t="s">
        <v>103</v>
      </c>
      <c r="G6509">
        <v>-255.55779999999999</v>
      </c>
      <c r="H6509" s="1">
        <v>-1.566179E-6</v>
      </c>
      <c r="I6509">
        <v>-60.589379999999998</v>
      </c>
      <c r="J6509">
        <v>-276.8245</v>
      </c>
      <c r="K6509">
        <v>1.111685</v>
      </c>
      <c r="L6509">
        <v>-61.897860000000001</v>
      </c>
      <c r="M6509">
        <v>0.98844739999999998</v>
      </c>
      <c r="N6509">
        <v>-1.172374E-2</v>
      </c>
      <c r="O6509">
        <v>-0.151110299999999</v>
      </c>
      <c r="P6509">
        <v>0.98814519999999995</v>
      </c>
      <c r="Q6509">
        <v>0.152634299999999</v>
      </c>
      <c r="R6509">
        <v>-1.6484160000000001E-2</v>
      </c>
      <c r="S6509">
        <v>3.0637509999999999</v>
      </c>
      <c r="T6509">
        <v>-0.15930250000000001</v>
      </c>
      <c r="U6509">
        <v>0.1851807</v>
      </c>
      <c r="V6509">
        <v>-0.13355349999999999</v>
      </c>
      <c r="W6509">
        <v>0.16368250000000001</v>
      </c>
      <c r="X6509">
        <v>0.9774311</v>
      </c>
      <c r="Y6509">
        <v>-0.2100167</v>
      </c>
      <c r="Z6509">
        <v>1.274339E-2</v>
      </c>
      <c r="AA6509">
        <v>0.97761480000000001</v>
      </c>
      <c r="AB6509">
        <v>22</v>
      </c>
      <c r="AC6509">
        <v>21.2667</v>
      </c>
      <c r="AD6509">
        <v>-1.1116865661790001</v>
      </c>
      <c r="AE6509">
        <v>1.3084799999999801</v>
      </c>
      <c r="AF6509">
        <v>-4.4950542297903997</v>
      </c>
      <c r="AG6509">
        <v>-1.1116865661790001</v>
      </c>
      <c r="AH6509">
        <v>20.768184765889899</v>
      </c>
      <c r="AI6509">
        <v>92.994810068823</v>
      </c>
      <c r="AJ6509">
        <v>102.212686599354</v>
      </c>
      <c r="AK6509">
        <v>21.278130980429601</v>
      </c>
      <c r="AL6509">
        <v>80.579293486413803</v>
      </c>
      <c r="AM6509">
        <v>97.780556309825897</v>
      </c>
      <c r="AN6509">
        <v>1.0000000267078499</v>
      </c>
    </row>
    <row r="6510" spans="1:40" x14ac:dyDescent="0.25">
      <c r="A6510" t="str">
        <f>"20190304155233604"</f>
        <v>20190304155233604</v>
      </c>
      <c r="B6510" t="str">
        <f>"1551685953593845"</f>
        <v>1551685953593845</v>
      </c>
      <c r="C6510" t="s">
        <v>40</v>
      </c>
      <c r="D6510">
        <v>4.8725899999999998</v>
      </c>
      <c r="E6510">
        <v>0.46931440000000002</v>
      </c>
      <c r="F6510" t="s">
        <v>103</v>
      </c>
      <c r="G6510">
        <v>-255.29640000000001</v>
      </c>
      <c r="H6510" s="1">
        <v>-1.4550949999999999E-6</v>
      </c>
      <c r="I6510">
        <v>-60.593989999999998</v>
      </c>
      <c r="J6510">
        <v>-276.71769999999998</v>
      </c>
      <c r="K6510">
        <v>1.1116889999999999</v>
      </c>
      <c r="L6510">
        <v>-61.913020000000003</v>
      </c>
      <c r="M6510">
        <v>0.98861109999999996</v>
      </c>
      <c r="N6510">
        <v>-1.170039E-2</v>
      </c>
      <c r="O6510">
        <v>-0.15003859999999999</v>
      </c>
      <c r="P6510">
        <v>0.98815799999999998</v>
      </c>
      <c r="Q6510">
        <v>0.1525851</v>
      </c>
      <c r="R6510">
        <v>-1.6187219999999999E-2</v>
      </c>
      <c r="S6510">
        <v>3.0635379999999999</v>
      </c>
      <c r="T6510">
        <v>-0.15819820000000001</v>
      </c>
      <c r="U6510">
        <v>0.18554689999999999</v>
      </c>
      <c r="V6510">
        <v>-0.1327884</v>
      </c>
      <c r="W6510">
        <v>0.16361289999999901</v>
      </c>
      <c r="X6510">
        <v>0.97754700000000005</v>
      </c>
      <c r="Y6510">
        <v>-0.20908599999999999</v>
      </c>
      <c r="Z6510">
        <v>1.258165E-2</v>
      </c>
      <c r="AA6510">
        <v>0.97781629999999997</v>
      </c>
      <c r="AB6510">
        <v>22</v>
      </c>
      <c r="AC6510">
        <v>21.421299999999899</v>
      </c>
      <c r="AD6510">
        <v>-1.111690455095</v>
      </c>
      <c r="AE6510">
        <v>1.3190299999999899</v>
      </c>
      <c r="AF6510">
        <v>-4.5062473815310202</v>
      </c>
      <c r="AG6510">
        <v>-1.111690455095</v>
      </c>
      <c r="AH6510">
        <v>20.9247190957973</v>
      </c>
      <c r="AI6510">
        <v>92.973120790852306</v>
      </c>
      <c r="AJ6510">
        <v>102.15333185552799</v>
      </c>
      <c r="AK6510">
        <v>21.433291636366299</v>
      </c>
      <c r="AL6510">
        <v>80.583335881271694</v>
      </c>
      <c r="AM6510">
        <v>97.735618322492201</v>
      </c>
      <c r="AN6510">
        <v>1.0000000387149801</v>
      </c>
    </row>
    <row r="6511" spans="1:40" x14ac:dyDescent="0.25">
      <c r="A6511" t="str">
        <f>"20190304155233615"</f>
        <v>20190304155233615</v>
      </c>
      <c r="B6511" t="str">
        <f>"1551685953603604"</f>
        <v>1551685953603604</v>
      </c>
      <c r="C6511" t="s">
        <v>40</v>
      </c>
      <c r="D6511">
        <v>4.8775009999999996</v>
      </c>
      <c r="E6511">
        <v>0.46952569999999999</v>
      </c>
      <c r="F6511" t="s">
        <v>103</v>
      </c>
      <c r="G6511">
        <v>-255.12370000000001</v>
      </c>
      <c r="H6511" s="1">
        <v>-1.3845860000000001E-6</v>
      </c>
      <c r="I6511">
        <v>-60.610230000000001</v>
      </c>
      <c r="J6511">
        <v>-276.613</v>
      </c>
      <c r="K6511">
        <v>1.1116919999999999</v>
      </c>
      <c r="L6511">
        <v>-61.9276699999999</v>
      </c>
      <c r="M6511">
        <v>0.98877029999999999</v>
      </c>
      <c r="N6511">
        <v>-1.167936E-2</v>
      </c>
      <c r="O6511">
        <v>-0.14898710000000001</v>
      </c>
      <c r="P6511">
        <v>0.98814259999999998</v>
      </c>
      <c r="Q6511">
        <v>0.15272379999999999</v>
      </c>
      <c r="R6511">
        <v>-1.5813440000000002E-2</v>
      </c>
      <c r="S6511">
        <v>3.0633240000000002</v>
      </c>
      <c r="T6511">
        <v>-0.1577046</v>
      </c>
      <c r="U6511">
        <v>0.18481449999999999</v>
      </c>
      <c r="V6511">
        <v>-0.13211579999999901</v>
      </c>
      <c r="W6511">
        <v>0.1637333</v>
      </c>
      <c r="X6511">
        <v>0.97761790000000004</v>
      </c>
      <c r="Y6511">
        <v>-0.2078227</v>
      </c>
      <c r="Z6511">
        <v>1.2461440000000001E-2</v>
      </c>
      <c r="AA6511">
        <v>0.97808709999999999</v>
      </c>
      <c r="AB6511">
        <v>22</v>
      </c>
      <c r="AC6511">
        <v>21.489299999999901</v>
      </c>
      <c r="AD6511">
        <v>-1.111693384586</v>
      </c>
      <c r="AE6511">
        <v>1.31743999999999</v>
      </c>
      <c r="AF6511">
        <v>-4.4926023905166597</v>
      </c>
      <c r="AG6511">
        <v>-1.111693384586</v>
      </c>
      <c r="AH6511">
        <v>20.997150098630701</v>
      </c>
      <c r="AI6511">
        <v>92.963736306293299</v>
      </c>
      <c r="AJ6511">
        <v>102.077049231167</v>
      </c>
      <c r="AK6511">
        <v>21.501154636089499</v>
      </c>
      <c r="AL6511">
        <v>80.5763425004927</v>
      </c>
      <c r="AM6511">
        <v>97.696355215518196</v>
      </c>
      <c r="AN6511">
        <v>0.99999996826946902</v>
      </c>
    </row>
    <row r="6512" spans="1:40" x14ac:dyDescent="0.25">
      <c r="A6512" t="str">
        <f>"20190304155233626"</f>
        <v>20190304155233626</v>
      </c>
      <c r="B6512" t="str">
        <f>"1551685953623124"</f>
        <v>1551685953623124</v>
      </c>
      <c r="C6512" t="s">
        <v>40</v>
      </c>
      <c r="D6512">
        <v>4.8703399999999997</v>
      </c>
      <c r="E6512">
        <v>0.46976509999999999</v>
      </c>
      <c r="F6512" t="s">
        <v>103</v>
      </c>
      <c r="G6512">
        <v>-254.8683</v>
      </c>
      <c r="H6512" s="1">
        <v>-1.2766359999999999E-6</v>
      </c>
      <c r="I6512">
        <v>-60.617469999999997</v>
      </c>
      <c r="J6512">
        <v>-276.50150000000002</v>
      </c>
      <c r="K6512">
        <v>1.1116900000000001</v>
      </c>
      <c r="L6512">
        <v>-61.943269999999998</v>
      </c>
      <c r="M6512">
        <v>0.98893889999999995</v>
      </c>
      <c r="N6512">
        <v>-1.16577E-2</v>
      </c>
      <c r="O6512">
        <v>-0.14786529999999901</v>
      </c>
      <c r="P6512">
        <v>0.98816309999999996</v>
      </c>
      <c r="Q6512">
        <v>0.1526448</v>
      </c>
      <c r="R6512">
        <v>-1.527739E-2</v>
      </c>
      <c r="S6512">
        <v>3.063202</v>
      </c>
      <c r="T6512">
        <v>-0.15660550000000001</v>
      </c>
      <c r="U6512">
        <v>0.18457029999999999</v>
      </c>
      <c r="V6512">
        <v>-0.13153899999999999</v>
      </c>
      <c r="W6512">
        <v>0.16363449999999999</v>
      </c>
      <c r="X6512">
        <v>0.97771229999999998</v>
      </c>
      <c r="Y6512">
        <v>-0.20664669999999999</v>
      </c>
      <c r="Z6512">
        <v>1.229187E-2</v>
      </c>
      <c r="AA6512">
        <v>0.97833840000000005</v>
      </c>
      <c r="AB6512">
        <v>22</v>
      </c>
      <c r="AC6512">
        <v>21.633199999999999</v>
      </c>
      <c r="AD6512">
        <v>-1.1116912766359901</v>
      </c>
      <c r="AE6512">
        <v>1.3258000000000001</v>
      </c>
      <c r="AF6512">
        <v>-4.4984061389475896</v>
      </c>
      <c r="AG6512">
        <v>-1.1116912766359901</v>
      </c>
      <c r="AH6512">
        <v>21.1436854669032</v>
      </c>
      <c r="AI6512">
        <v>92.943951515899599</v>
      </c>
      <c r="AJ6512">
        <v>102.010829377139</v>
      </c>
      <c r="AK6512">
        <v>21.6454833720294</v>
      </c>
      <c r="AL6512">
        <v>80.582081491164104</v>
      </c>
      <c r="AM6512">
        <v>97.662422992823394</v>
      </c>
      <c r="AN6512">
        <v>1.00000004984126</v>
      </c>
    </row>
    <row r="6513" spans="1:40" x14ac:dyDescent="0.25">
      <c r="A6513" t="str">
        <f>"20190304155233637"</f>
        <v>20190304155233637</v>
      </c>
      <c r="B6513" t="str">
        <f>"1551685953633859"</f>
        <v>1551685953633859</v>
      </c>
      <c r="C6513" t="s">
        <v>40</v>
      </c>
      <c r="D6513">
        <v>4.8320369999999997</v>
      </c>
      <c r="E6513">
        <v>0.4699101</v>
      </c>
      <c r="F6513" t="s">
        <v>103</v>
      </c>
      <c r="G6513">
        <v>-254.7371</v>
      </c>
      <c r="H6513" s="1">
        <v>-1.2238700000000001E-6</v>
      </c>
      <c r="I6513">
        <v>-60.633270000000003</v>
      </c>
      <c r="J6513">
        <v>-276.39269999999999</v>
      </c>
      <c r="K6513">
        <v>1.1116919999999999</v>
      </c>
      <c r="L6513">
        <v>-61.95825</v>
      </c>
      <c r="M6513">
        <v>0.98910220000000004</v>
      </c>
      <c r="N6513">
        <v>-1.163898E-2</v>
      </c>
      <c r="O6513">
        <v>-0.14676979999999901</v>
      </c>
      <c r="P6513">
        <v>0.98819360000000001</v>
      </c>
      <c r="Q6513">
        <v>0.1525078</v>
      </c>
      <c r="R6513">
        <v>-1.4676389999999999E-2</v>
      </c>
      <c r="S6513">
        <v>3.0629270000000002</v>
      </c>
      <c r="T6513">
        <v>-0.15644959999999999</v>
      </c>
      <c r="U6513">
        <v>0.18435670000000001</v>
      </c>
      <c r="V6513">
        <v>-0.1310538</v>
      </c>
      <c r="W6513">
        <v>0.16348119999999999</v>
      </c>
      <c r="X6513">
        <v>0.97780310000000004</v>
      </c>
      <c r="Y6513">
        <v>-0.20550360000000001</v>
      </c>
      <c r="Z6513">
        <v>1.2202589999999999E-2</v>
      </c>
      <c r="AA6513">
        <v>0.97858029999999996</v>
      </c>
      <c r="AB6513">
        <v>22</v>
      </c>
      <c r="AC6513">
        <v>21.6556</v>
      </c>
      <c r="AD6513">
        <v>-1.1116932238699999</v>
      </c>
      <c r="AE6513">
        <v>1.32498</v>
      </c>
      <c r="AF6513">
        <v>-4.4774773149498301</v>
      </c>
      <c r="AG6513">
        <v>-1.1116932238699999</v>
      </c>
      <c r="AH6513">
        <v>21.1709885642919</v>
      </c>
      <c r="AI6513">
        <v>92.9409191873156</v>
      </c>
      <c r="AJ6513">
        <v>101.941584064762</v>
      </c>
      <c r="AK6513">
        <v>21.667819957699201</v>
      </c>
      <c r="AL6513">
        <v>80.590984847013601</v>
      </c>
      <c r="AM6513">
        <v>97.633792451840606</v>
      </c>
      <c r="AN6513">
        <v>1.00000005180874</v>
      </c>
    </row>
    <row r="6514" spans="1:40" x14ac:dyDescent="0.25">
      <c r="A6514" t="str">
        <f>"20190304155233650"</f>
        <v>20190304155233650</v>
      </c>
      <c r="B6514" t="str">
        <f>"1551685953643619"</f>
        <v>1551685953643619</v>
      </c>
      <c r="C6514" t="s">
        <v>40</v>
      </c>
      <c r="D6514">
        <v>4.8685790000000004</v>
      </c>
      <c r="E6514">
        <v>0.47004430000000003</v>
      </c>
      <c r="F6514" t="s">
        <v>103</v>
      </c>
      <c r="G6514">
        <v>-254.75710000000001</v>
      </c>
      <c r="H6514" s="1">
        <v>-1.2358990000000001E-6</v>
      </c>
      <c r="I6514">
        <v>-60.648859999999999</v>
      </c>
      <c r="J6514">
        <v>-276.27120000000002</v>
      </c>
      <c r="K6514">
        <v>1.1116919999999999</v>
      </c>
      <c r="L6514">
        <v>-61.97495</v>
      </c>
      <c r="M6514">
        <v>0.98928329999999998</v>
      </c>
      <c r="N6514">
        <v>-1.161879E-2</v>
      </c>
      <c r="O6514">
        <v>-0.1455457</v>
      </c>
      <c r="P6514">
        <v>0.98821130000000001</v>
      </c>
      <c r="Q6514">
        <v>0.15248030000000001</v>
      </c>
      <c r="R6514">
        <v>-1.3718960000000001E-2</v>
      </c>
      <c r="S6514">
        <v>3.0628660000000001</v>
      </c>
      <c r="T6514">
        <v>-0.1573775</v>
      </c>
      <c r="U6514">
        <v>0.1853638</v>
      </c>
      <c r="V6514">
        <v>-0.13079189999999999</v>
      </c>
      <c r="W6514">
        <v>0.1634341</v>
      </c>
      <c r="X6514">
        <v>0.97784599999999999</v>
      </c>
      <c r="Y6514">
        <v>-0.2046114</v>
      </c>
      <c r="Z6514">
        <v>1.22028E-2</v>
      </c>
      <c r="AA6514">
        <v>0.97876719999999895</v>
      </c>
      <c r="AB6514">
        <v>22</v>
      </c>
      <c r="AC6514">
        <v>21.514099999999999</v>
      </c>
      <c r="AD6514">
        <v>-1.1116932358989999</v>
      </c>
      <c r="AE6514">
        <v>1.32609</v>
      </c>
      <c r="AF6514">
        <v>-4.43167526117346</v>
      </c>
      <c r="AG6514">
        <v>-1.1116932358989999</v>
      </c>
      <c r="AH6514">
        <v>21.036001791694002</v>
      </c>
      <c r="AI6514">
        <v>92.960247199307602</v>
      </c>
      <c r="AJ6514">
        <v>101.896595071053</v>
      </c>
      <c r="AK6514">
        <v>21.526471583875399</v>
      </c>
      <c r="AL6514">
        <v>80.593719899537803</v>
      </c>
      <c r="AM6514">
        <v>97.618386004999394</v>
      </c>
      <c r="AN6514">
        <v>1.00000001293221</v>
      </c>
    </row>
    <row r="6515" spans="1:40" x14ac:dyDescent="0.25">
      <c r="A6515" t="str">
        <f>"20190304155233660"</f>
        <v>20190304155233660</v>
      </c>
      <c r="B6515" t="str">
        <f>"1551685953653379"</f>
        <v>1551685953653379</v>
      </c>
      <c r="C6515" t="s">
        <v>40</v>
      </c>
      <c r="D6515">
        <v>4.8464519999999904</v>
      </c>
      <c r="E6515">
        <v>0.47020050000000002</v>
      </c>
      <c r="F6515" t="s">
        <v>103</v>
      </c>
      <c r="G6515">
        <v>-254.57480000000001</v>
      </c>
      <c r="H6515" s="1">
        <v>-1.157158E-6</v>
      </c>
      <c r="I6515">
        <v>-60.6464199999999</v>
      </c>
      <c r="J6515">
        <v>-276.17059999999998</v>
      </c>
      <c r="K6515">
        <v>1.111693</v>
      </c>
      <c r="L6515">
        <v>-61.988590000000002</v>
      </c>
      <c r="M6515">
        <v>0.98943219999999998</v>
      </c>
      <c r="N6515">
        <v>-1.160361E-2</v>
      </c>
      <c r="O6515">
        <v>-0.14453239999999901</v>
      </c>
      <c r="P6515">
        <v>0.98823539999999999</v>
      </c>
      <c r="Q6515">
        <v>0.15242729999999999</v>
      </c>
      <c r="R6515">
        <v>-1.253049E-2</v>
      </c>
      <c r="S6515">
        <v>3.062592</v>
      </c>
      <c r="T6515">
        <v>-0.1569227</v>
      </c>
      <c r="U6515">
        <v>0.18753049999999999</v>
      </c>
      <c r="V6515">
        <v>-0.13096820000000001</v>
      </c>
      <c r="W6515">
        <v>0.16336500000000001</v>
      </c>
      <c r="X6515">
        <v>0.97783390000000003</v>
      </c>
      <c r="Y6515">
        <v>-0.20430789999999999</v>
      </c>
      <c r="Z6515">
        <v>1.211857E-2</v>
      </c>
      <c r="AA6515">
        <v>0.97883160000000002</v>
      </c>
      <c r="AB6515">
        <v>22</v>
      </c>
      <c r="AC6515">
        <v>21.595799999999901</v>
      </c>
      <c r="AD6515">
        <v>-1.1116941571579999</v>
      </c>
      <c r="AE6515">
        <v>1.3421700000000101</v>
      </c>
      <c r="AF6515">
        <v>-4.43786312035731</v>
      </c>
      <c r="AG6515">
        <v>-1.1116941571579999</v>
      </c>
      <c r="AH6515">
        <v>21.119265937640801</v>
      </c>
      <c r="AI6515">
        <v>92.948918128852199</v>
      </c>
      <c r="AJ6515">
        <v>101.867099255536</v>
      </c>
      <c r="AK6515">
        <v>21.609115824551498</v>
      </c>
      <c r="AL6515">
        <v>80.597732512379906</v>
      </c>
      <c r="AM6515">
        <v>97.6286275877398</v>
      </c>
      <c r="AN6515">
        <v>0.99999996431272398</v>
      </c>
    </row>
    <row r="6516" spans="1:40" x14ac:dyDescent="0.25">
      <c r="A6516" t="str">
        <f>"20190304155233671"</f>
        <v>20190304155233671</v>
      </c>
      <c r="B6516" t="str">
        <f>"1551685953663139"</f>
        <v>1551685953663139</v>
      </c>
      <c r="C6516" t="s">
        <v>40</v>
      </c>
      <c r="D6516">
        <v>4.8776120000000001</v>
      </c>
      <c r="E6516">
        <v>0.4702964</v>
      </c>
      <c r="F6516" t="s">
        <v>103</v>
      </c>
      <c r="G6516">
        <v>-254.56379999999999</v>
      </c>
      <c r="H6516" s="1">
        <v>-1.153099E-6</v>
      </c>
      <c r="I6516">
        <v>-60.649329999999999</v>
      </c>
      <c r="J6516">
        <v>-276.05470000000003</v>
      </c>
      <c r="K6516">
        <v>1.1116950000000001</v>
      </c>
      <c r="L6516">
        <v>-62.00421</v>
      </c>
      <c r="M6516">
        <v>0.98960219999999999</v>
      </c>
      <c r="N6516">
        <v>-1.158694E-2</v>
      </c>
      <c r="O6516">
        <v>-0.1433652</v>
      </c>
      <c r="P6516">
        <v>0.98825669999999999</v>
      </c>
      <c r="Q6516">
        <v>0.15239820000000001</v>
      </c>
      <c r="R6516">
        <v>-1.1135610000000001E-2</v>
      </c>
      <c r="S6516">
        <v>3.0624389999999999</v>
      </c>
      <c r="T6516">
        <v>-0.15756609999999999</v>
      </c>
      <c r="U6516">
        <v>0.1898193</v>
      </c>
      <c r="V6516">
        <v>-0.131196799999999</v>
      </c>
      <c r="W6516">
        <v>0.1633175</v>
      </c>
      <c r="X6516">
        <v>0.97781119999999999</v>
      </c>
      <c r="Y6516">
        <v>-0.20388290000000001</v>
      </c>
      <c r="Z6516">
        <v>1.2112019999999999E-2</v>
      </c>
      <c r="AA6516">
        <v>0.97892029999999997</v>
      </c>
      <c r="AB6516">
        <v>22</v>
      </c>
      <c r="AC6516">
        <v>21.4909</v>
      </c>
      <c r="AD6516">
        <v>-1.1116961530989999</v>
      </c>
      <c r="AE6516">
        <v>1.3548799999999901</v>
      </c>
      <c r="AF6516">
        <v>-4.4103806587738204</v>
      </c>
      <c r="AG6516">
        <v>-1.1116961530989999</v>
      </c>
      <c r="AH6516">
        <v>21.018590227287898</v>
      </c>
      <c r="AI6516">
        <v>92.963202248185397</v>
      </c>
      <c r="AJ6516">
        <v>101.850580137137</v>
      </c>
      <c r="AK6516">
        <v>21.505079889057502</v>
      </c>
      <c r="AL6516">
        <v>80.600491207543399</v>
      </c>
      <c r="AM6516">
        <v>97.641961160058301</v>
      </c>
      <c r="AN6516">
        <v>0.99999997449096401</v>
      </c>
    </row>
    <row r="6517" spans="1:40" x14ac:dyDescent="0.25">
      <c r="A6517" t="str">
        <f>"20190304155233684"</f>
        <v>20190304155233684</v>
      </c>
      <c r="B6517" t="str">
        <f>"1551685953673877"</f>
        <v>1551685953673877</v>
      </c>
      <c r="C6517" t="s">
        <v>40</v>
      </c>
      <c r="D6517">
        <v>4.8610249999999997</v>
      </c>
      <c r="E6517">
        <v>0.470383</v>
      </c>
      <c r="F6517" t="s">
        <v>103</v>
      </c>
      <c r="G6517">
        <v>-254.4614</v>
      </c>
      <c r="H6517" s="1">
        <v>-1.107042E-6</v>
      </c>
      <c r="I6517">
        <v>-60.639800000000001</v>
      </c>
      <c r="J6517">
        <v>-275.93060000000003</v>
      </c>
      <c r="K6517">
        <v>1.1116919999999999</v>
      </c>
      <c r="L6517">
        <v>-62.020780000000002</v>
      </c>
      <c r="M6517">
        <v>0.98978250000000001</v>
      </c>
      <c r="N6517">
        <v>-1.1570550000000001E-2</v>
      </c>
      <c r="O6517">
        <v>-0.14211579999999999</v>
      </c>
      <c r="P6517">
        <v>0.98824160000000005</v>
      </c>
      <c r="Q6517">
        <v>0.1526072</v>
      </c>
      <c r="R6517">
        <v>-9.467919E-3</v>
      </c>
      <c r="S6517">
        <v>3.0620729999999998</v>
      </c>
      <c r="T6517">
        <v>-0.1576456</v>
      </c>
      <c r="U6517">
        <v>0.1934814</v>
      </c>
      <c r="V6517">
        <v>-0.1316099</v>
      </c>
      <c r="W6517">
        <v>0.1635075</v>
      </c>
      <c r="X6517">
        <v>0.97772400000000004</v>
      </c>
      <c r="Y6517">
        <v>-0.203821</v>
      </c>
      <c r="Z6517">
        <v>1.2069089999999999E-2</v>
      </c>
      <c r="AA6517">
        <v>0.97893379999999997</v>
      </c>
      <c r="AB6517">
        <v>22</v>
      </c>
      <c r="AC6517">
        <v>21.469200000000001</v>
      </c>
      <c r="AD6517">
        <v>-1.111693107042</v>
      </c>
      <c r="AE6517">
        <v>1.3809800000000001</v>
      </c>
      <c r="AF6517">
        <v>-4.4065114497840803</v>
      </c>
      <c r="AG6517">
        <v>-1.111693107042</v>
      </c>
      <c r="AH6517">
        <v>20.998915519690801</v>
      </c>
      <c r="AI6517">
        <v>92.965958176812507</v>
      </c>
      <c r="AJ6517">
        <v>101.85125749162501</v>
      </c>
      <c r="AK6517">
        <v>21.485056614410698</v>
      </c>
      <c r="AL6517">
        <v>80.589457343655894</v>
      </c>
      <c r="AM6517">
        <v>97.666413308784797</v>
      </c>
      <c r="AN6517">
        <v>1.00000004425512</v>
      </c>
    </row>
    <row r="6518" spans="1:40" x14ac:dyDescent="0.25">
      <c r="A6518" t="str">
        <f>"20190304155233698"</f>
        <v>20190304155233698</v>
      </c>
      <c r="B6518" t="str">
        <f>"1551685953693396"</f>
        <v>1551685953693396</v>
      </c>
      <c r="C6518" t="s">
        <v>40</v>
      </c>
      <c r="D6518">
        <v>4.8914419999999996</v>
      </c>
      <c r="E6518">
        <v>0.47057880000000002</v>
      </c>
      <c r="F6518" t="s">
        <v>103</v>
      </c>
      <c r="G6518">
        <v>-254.26750000000001</v>
      </c>
      <c r="H6518" s="1">
        <v>-1.019409E-6</v>
      </c>
      <c r="I6518">
        <v>-60.619689999999999</v>
      </c>
      <c r="J6518">
        <v>-275.8098</v>
      </c>
      <c r="K6518">
        <v>1.111693</v>
      </c>
      <c r="L6518">
        <v>-62.036709999999999</v>
      </c>
      <c r="M6518">
        <v>0.98995650000000002</v>
      </c>
      <c r="N6518">
        <v>-1.155605E-2</v>
      </c>
      <c r="O6518">
        <v>-0.1409</v>
      </c>
      <c r="P6518">
        <v>0.98823030000000001</v>
      </c>
      <c r="Q6518">
        <v>0.15277929999999901</v>
      </c>
      <c r="R6518">
        <v>-7.7114109999999996E-3</v>
      </c>
      <c r="S6518">
        <v>3.0618289999999999</v>
      </c>
      <c r="T6518">
        <v>-0.15712499999999999</v>
      </c>
      <c r="U6518">
        <v>0.1980286</v>
      </c>
      <c r="V6518">
        <v>-0.1321454</v>
      </c>
      <c r="W6518">
        <v>0.16366229999999901</v>
      </c>
      <c r="X6518">
        <v>0.97762579999999999</v>
      </c>
      <c r="Y6518">
        <v>-0.2040749</v>
      </c>
      <c r="Z6518">
        <v>1.198922E-2</v>
      </c>
      <c r="AA6518">
        <v>0.97888180000000002</v>
      </c>
      <c r="AB6518">
        <v>22</v>
      </c>
      <c r="AC6518">
        <v>21.542299999999901</v>
      </c>
      <c r="AD6518">
        <v>-1.1116940194089999</v>
      </c>
      <c r="AE6518">
        <v>1.41701999999999</v>
      </c>
      <c r="AF6518">
        <v>-4.4266562867542003</v>
      </c>
      <c r="AG6518">
        <v>-1.1116940194089999</v>
      </c>
      <c r="AH6518">
        <v>21.071815735334201</v>
      </c>
      <c r="AI6518">
        <v>92.955581294454205</v>
      </c>
      <c r="AJ6518">
        <v>101.86388066834</v>
      </c>
      <c r="AK6518">
        <v>21.560439880895899</v>
      </c>
      <c r="AL6518">
        <v>80.5804662380325</v>
      </c>
      <c r="AM6518">
        <v>97.697997417218104</v>
      </c>
      <c r="AN6518">
        <v>0.999999980004044</v>
      </c>
    </row>
    <row r="6519" spans="1:40" x14ac:dyDescent="0.25">
      <c r="A6519" t="str">
        <f>"20190304155233709"</f>
        <v>20190304155233709</v>
      </c>
      <c r="B6519" t="str">
        <f>"1551685953703155"</f>
        <v>1551685953703155</v>
      </c>
      <c r="C6519" t="s">
        <v>40</v>
      </c>
      <c r="D6519">
        <v>4.915902</v>
      </c>
      <c r="E6519">
        <v>0.47057880000000002</v>
      </c>
      <c r="F6519" t="s">
        <v>103</v>
      </c>
      <c r="G6519">
        <v>-253.94540000000001</v>
      </c>
      <c r="H6519" s="1">
        <v>-8.7568960000000001E-7</v>
      </c>
      <c r="I6519">
        <v>-60.594920000000002</v>
      </c>
      <c r="J6519">
        <v>-275.68439999999998</v>
      </c>
      <c r="K6519">
        <v>1.111693</v>
      </c>
      <c r="L6519">
        <v>-62.053159999999998</v>
      </c>
      <c r="M6519">
        <v>0.99013510000000005</v>
      </c>
      <c r="N6519">
        <v>-1.1541279999999999E-2</v>
      </c>
      <c r="O6519">
        <v>-0.1396394</v>
      </c>
      <c r="P6519">
        <v>0.98818640000000002</v>
      </c>
      <c r="Q6519">
        <v>0.1531467</v>
      </c>
      <c r="R6519">
        <v>-5.8209840000000004E-3</v>
      </c>
      <c r="S6519">
        <v>3.0613709999999998</v>
      </c>
      <c r="T6519">
        <v>-0.15565479999999901</v>
      </c>
      <c r="U6519">
        <v>0.20187379999999999</v>
      </c>
      <c r="V6519">
        <v>-0.13276550000000001</v>
      </c>
      <c r="W6519">
        <v>0.164011299999999</v>
      </c>
      <c r="X6519">
        <v>0.97748330000000005</v>
      </c>
      <c r="Y6519">
        <v>-0.20407130000000001</v>
      </c>
      <c r="Z6519">
        <v>1.182603E-2</v>
      </c>
      <c r="AA6519">
        <v>0.97888459999999999</v>
      </c>
      <c r="AB6519">
        <v>22</v>
      </c>
      <c r="AC6519">
        <v>21.738999999999901</v>
      </c>
      <c r="AD6519">
        <v>-1.1116938756896</v>
      </c>
      <c r="AE6519">
        <v>1.45824</v>
      </c>
      <c r="AF6519">
        <v>-4.4681417837018698</v>
      </c>
      <c r="AG6519">
        <v>-1.1116938756896</v>
      </c>
      <c r="AH6519">
        <v>21.266974075033399</v>
      </c>
      <c r="AI6519">
        <v>92.928492695844795</v>
      </c>
      <c r="AJ6519">
        <v>101.865138944077</v>
      </c>
      <c r="AK6519">
        <v>21.759695323709199</v>
      </c>
      <c r="AL6519">
        <v>80.560196234691702</v>
      </c>
      <c r="AM6519">
        <v>97.734798348901805</v>
      </c>
      <c r="AN6519">
        <v>0.99999999314841503</v>
      </c>
    </row>
    <row r="6520" spans="1:40" x14ac:dyDescent="0.25">
      <c r="A6520" t="str">
        <f>"20190304155233719"</f>
        <v>20190304155233719</v>
      </c>
      <c r="B6520" t="str">
        <f>"1551685953713891"</f>
        <v>1551685953713891</v>
      </c>
      <c r="C6520" t="s">
        <v>40</v>
      </c>
      <c r="D6520">
        <v>5.0713169999999996</v>
      </c>
      <c r="E6520">
        <v>0.4729141</v>
      </c>
      <c r="F6520" t="s">
        <v>103</v>
      </c>
      <c r="G6520">
        <v>-253.65199999999999</v>
      </c>
      <c r="H6520" s="1">
        <v>-7.4141530000000003E-7</v>
      </c>
      <c r="I6520">
        <v>-60.557079999999999</v>
      </c>
      <c r="J6520">
        <v>-275.57740000000001</v>
      </c>
      <c r="K6520">
        <v>1.111693</v>
      </c>
      <c r="L6520">
        <v>-62.067050000000002</v>
      </c>
      <c r="M6520">
        <v>0.99028609999999995</v>
      </c>
      <c r="N6520">
        <v>-1.152777E-2</v>
      </c>
      <c r="O6520">
        <v>-0.13856550000000001</v>
      </c>
      <c r="P6520">
        <v>0.98816789999999999</v>
      </c>
      <c r="Q6520">
        <v>0.1533176</v>
      </c>
      <c r="R6520">
        <v>-4.2482170000000003E-3</v>
      </c>
      <c r="S6520">
        <v>3.061035</v>
      </c>
      <c r="T6520">
        <v>-0.1544509</v>
      </c>
      <c r="U6520">
        <v>0.20785519999999999</v>
      </c>
      <c r="V6520">
        <v>-0.13325879999999901</v>
      </c>
      <c r="W6520">
        <v>0.16416610000000001</v>
      </c>
      <c r="X6520">
        <v>0.97739019999999999</v>
      </c>
      <c r="Y6520">
        <v>-0.2049269</v>
      </c>
      <c r="Z6520">
        <v>1.171793E-2</v>
      </c>
      <c r="AA6520">
        <v>0.97870710000000005</v>
      </c>
      <c r="AB6520">
        <v>22</v>
      </c>
      <c r="AC6520">
        <v>21.9254</v>
      </c>
      <c r="AD6520">
        <v>-1.1116937414153001</v>
      </c>
      <c r="AE6520">
        <v>1.50996999999999</v>
      </c>
      <c r="AF6520">
        <v>-4.5221370957887199</v>
      </c>
      <c r="AG6520">
        <v>-1.1116937414153001</v>
      </c>
      <c r="AH6520">
        <v>21.449736107137401</v>
      </c>
      <c r="AI6520">
        <v>92.903158310492501</v>
      </c>
      <c r="AJ6520">
        <v>101.905035101606</v>
      </c>
      <c r="AK6520">
        <v>21.9494137952165</v>
      </c>
      <c r="AL6520">
        <v>80.551205133718696</v>
      </c>
      <c r="AM6520">
        <v>97.763918203768498</v>
      </c>
      <c r="AN6520">
        <v>1.0000000096113399</v>
      </c>
    </row>
    <row r="6521" spans="1:40" x14ac:dyDescent="0.25">
      <c r="A6521" t="str">
        <f>"20190304155233730"</f>
        <v>20190304155233730</v>
      </c>
      <c r="B6521" t="str">
        <f>"1551685953723652"</f>
        <v>1551685953723652</v>
      </c>
      <c r="C6521" t="s">
        <v>40</v>
      </c>
      <c r="D6521">
        <v>4.8452419999999998</v>
      </c>
      <c r="E6521">
        <v>0.4751476</v>
      </c>
      <c r="F6521" t="s">
        <v>103</v>
      </c>
      <c r="G6521">
        <v>-251.71969999999999</v>
      </c>
      <c r="H6521" s="1">
        <v>8.8740530000000003E-8</v>
      </c>
      <c r="I6521">
        <v>-60.551560000000002</v>
      </c>
      <c r="J6521">
        <v>-275.48050000000001</v>
      </c>
      <c r="K6521">
        <v>1.1116900000000001</v>
      </c>
      <c r="L6521">
        <v>-62.079560000000001</v>
      </c>
      <c r="M6521">
        <v>0.99042180000000002</v>
      </c>
      <c r="N6521">
        <v>-1.1515299999999999E-2</v>
      </c>
      <c r="O6521">
        <v>-0.1375943</v>
      </c>
      <c r="P6521">
        <v>0.98811870000000002</v>
      </c>
      <c r="Q6521">
        <v>0.1536661</v>
      </c>
      <c r="R6521">
        <v>-2.8931209999999998E-3</v>
      </c>
      <c r="S6521">
        <v>3.0588679999999999</v>
      </c>
      <c r="T6521">
        <v>-0.14253350000000001</v>
      </c>
      <c r="U6521">
        <v>0.19430539999999999</v>
      </c>
      <c r="V6521">
        <v>-0.13363439999999999</v>
      </c>
      <c r="W6521">
        <v>0.16450049999999999</v>
      </c>
      <c r="X6521">
        <v>0.97728269999999995</v>
      </c>
      <c r="Y6521">
        <v>-0.19976430000000001</v>
      </c>
      <c r="Z6521">
        <v>1.0608060000000001E-2</v>
      </c>
      <c r="AA6521">
        <v>0.97978659999999995</v>
      </c>
      <c r="AB6521">
        <v>22</v>
      </c>
      <c r="AC6521">
        <v>23.7608</v>
      </c>
      <c r="AD6521">
        <v>-1.11168991125947</v>
      </c>
      <c r="AE6521">
        <v>1.528</v>
      </c>
      <c r="AF6521">
        <v>-4.7726277181111403</v>
      </c>
      <c r="AG6521">
        <v>-1.11168991125947</v>
      </c>
      <c r="AH6521">
        <v>23.273778708650202</v>
      </c>
      <c r="AI6521">
        <v>92.679033512526402</v>
      </c>
      <c r="AJ6521">
        <v>101.588677260165</v>
      </c>
      <c r="AK6521">
        <v>23.784083021501999</v>
      </c>
      <c r="AL6521">
        <v>80.531781470346999</v>
      </c>
      <c r="AM6521">
        <v>97.786379281078297</v>
      </c>
      <c r="AN6521">
        <v>1.00000002154144</v>
      </c>
    </row>
    <row r="6522" spans="1:40" x14ac:dyDescent="0.25">
      <c r="A6522" t="str">
        <f>"20190304155233741"</f>
        <v>20190304155233741</v>
      </c>
      <c r="B6522" t="str">
        <f>"1551685953733413"</f>
        <v>1551685953733413</v>
      </c>
      <c r="C6522" t="s">
        <v>40</v>
      </c>
      <c r="D6522">
        <v>4.8138230000000002</v>
      </c>
      <c r="E6522">
        <v>0.47764479999999998</v>
      </c>
      <c r="F6522" t="s">
        <v>103</v>
      </c>
      <c r="G6522">
        <v>-250.87450000000001</v>
      </c>
      <c r="H6522" s="1">
        <v>4.3507069999999999E-7</v>
      </c>
      <c r="I6522">
        <v>-60.624670000000002</v>
      </c>
      <c r="J6522">
        <v>-275.37150000000003</v>
      </c>
      <c r="K6522">
        <v>1.1116809999999999</v>
      </c>
      <c r="L6522">
        <v>-62.093440000000001</v>
      </c>
      <c r="M6522">
        <v>0.99057280000000003</v>
      </c>
      <c r="N6522">
        <v>-1.150057E-2</v>
      </c>
      <c r="O6522">
        <v>-0.13650479999999901</v>
      </c>
      <c r="P6522">
        <v>0.98814199999999996</v>
      </c>
      <c r="Q6522">
        <v>0.1535367</v>
      </c>
      <c r="R6522">
        <v>-1.51031E-3</v>
      </c>
      <c r="S6522">
        <v>3.0580750000000001</v>
      </c>
      <c r="T6522">
        <v>-0.13816289999999901</v>
      </c>
      <c r="U6522">
        <v>0.1808167</v>
      </c>
      <c r="V6522">
        <v>-0.13392979999999999</v>
      </c>
      <c r="W6522">
        <v>0.16435559999999999</v>
      </c>
      <c r="X6522">
        <v>0.97726659999999999</v>
      </c>
      <c r="Y6522">
        <v>-0.19442280000000001</v>
      </c>
      <c r="Z6522">
        <v>1.0086009999999999E-2</v>
      </c>
      <c r="AA6522">
        <v>0.98086600000000002</v>
      </c>
      <c r="AB6522">
        <v>22</v>
      </c>
      <c r="AC6522">
        <v>24.497</v>
      </c>
      <c r="AD6522">
        <v>-1.1116805649293</v>
      </c>
      <c r="AE6522">
        <v>1.4687699999999999</v>
      </c>
      <c r="AF6522">
        <v>-4.7893706233879598</v>
      </c>
      <c r="AG6522">
        <v>-1.1116805649293</v>
      </c>
      <c r="AH6522">
        <v>24.017871325142298</v>
      </c>
      <c r="AI6522">
        <v>92.598979026242304</v>
      </c>
      <c r="AJ6522">
        <v>101.27734851637101</v>
      </c>
      <c r="AK6522">
        <v>24.5159549607537</v>
      </c>
      <c r="AL6522">
        <v>80.5401978011203</v>
      </c>
      <c r="AM6522">
        <v>97.803506288847203</v>
      </c>
      <c r="AN6522">
        <v>0.999999981027479</v>
      </c>
    </row>
    <row r="6523" spans="1:40" x14ac:dyDescent="0.25">
      <c r="A6523" t="str">
        <f>"20190304155233751"</f>
        <v>20190304155233751</v>
      </c>
      <c r="B6523" t="str">
        <f>"1551685953743172"</f>
        <v>1551685953743172</v>
      </c>
      <c r="C6523" t="s">
        <v>40</v>
      </c>
      <c r="D6523">
        <v>4.8085680000000002</v>
      </c>
      <c r="E6523">
        <v>0.47996080000000002</v>
      </c>
      <c r="F6523" t="s">
        <v>104</v>
      </c>
      <c r="G6523">
        <v>-249.8527</v>
      </c>
      <c r="H6523" s="1">
        <v>-3.2853440000000001E-6</v>
      </c>
      <c r="I6523">
        <v>-60.712620000000001</v>
      </c>
      <c r="J6523">
        <v>-275.27120000000002</v>
      </c>
      <c r="K6523">
        <v>1.1116740000000001</v>
      </c>
      <c r="L6523">
        <v>-62.106140000000003</v>
      </c>
      <c r="M6523">
        <v>0.99071030000000004</v>
      </c>
      <c r="N6523">
        <v>-1.14863E-2</v>
      </c>
      <c r="O6523">
        <v>-0.13550479999999901</v>
      </c>
      <c r="P6523">
        <v>0.98815169999999997</v>
      </c>
      <c r="Q6523">
        <v>0.15348059999999999</v>
      </c>
      <c r="R6523">
        <v>-4.6680030000000001E-4</v>
      </c>
      <c r="S6523">
        <v>3.0569760000000001</v>
      </c>
      <c r="T6523">
        <v>-0.13317200000000001</v>
      </c>
      <c r="U6523">
        <v>0.16540529999999901</v>
      </c>
      <c r="V6523">
        <v>-0.1339757</v>
      </c>
      <c r="W6523">
        <v>0.1642865</v>
      </c>
      <c r="X6523">
        <v>0.97727200000000003</v>
      </c>
      <c r="Y6523">
        <v>-0.1885512</v>
      </c>
      <c r="Z6523">
        <v>9.5170389999999997E-3</v>
      </c>
      <c r="AA6523">
        <v>0.98201729999999998</v>
      </c>
      <c r="AB6523">
        <v>22</v>
      </c>
      <c r="AC6523">
        <v>25.418500000000002</v>
      </c>
      <c r="AD6523">
        <v>-1.111677285344</v>
      </c>
      <c r="AE6523">
        <v>1.3935200000000001</v>
      </c>
      <c r="AF6523">
        <v>-4.8160365094153299</v>
      </c>
      <c r="AG6523">
        <v>-1.111677285344</v>
      </c>
      <c r="AH6523">
        <v>24.947609747097498</v>
      </c>
      <c r="AI6523">
        <v>92.505245545428807</v>
      </c>
      <c r="AJ6523">
        <v>100.926315277789</v>
      </c>
      <c r="AK6523">
        <v>25.432523786290801</v>
      </c>
      <c r="AL6523">
        <v>80.544212176592197</v>
      </c>
      <c r="AM6523">
        <v>97.806105113430604</v>
      </c>
      <c r="AN6523">
        <v>1.0000000521283601</v>
      </c>
    </row>
    <row r="6524" spans="1:40" x14ac:dyDescent="0.25">
      <c r="A6524" t="str">
        <f>"20190304155233760"</f>
        <v>20190304155233760</v>
      </c>
      <c r="B6524" t="str">
        <f>"1551685953752932"</f>
        <v>1551685953752932</v>
      </c>
      <c r="C6524" t="s">
        <v>40</v>
      </c>
      <c r="D6524">
        <v>4.7954629999999998</v>
      </c>
      <c r="E6524">
        <v>0.48209170000000001</v>
      </c>
      <c r="F6524" t="s">
        <v>104</v>
      </c>
      <c r="G6524">
        <v>-248.86269999999999</v>
      </c>
      <c r="H6524" s="1">
        <v>-2.9020089999999999E-6</v>
      </c>
      <c r="I6524">
        <v>-60.807540000000003</v>
      </c>
      <c r="J6524">
        <v>-275.17540000000002</v>
      </c>
      <c r="K6524">
        <v>1.1116680000000001</v>
      </c>
      <c r="L6524">
        <v>-62.118189999999998</v>
      </c>
      <c r="M6524">
        <v>0.9908399</v>
      </c>
      <c r="N6524">
        <v>-1.147159E-2</v>
      </c>
      <c r="O6524">
        <v>-0.1345537</v>
      </c>
      <c r="P6524">
        <v>0.98814590000000002</v>
      </c>
      <c r="Q6524">
        <v>0.1535164</v>
      </c>
      <c r="R6524">
        <v>5.7799930000000004E-4</v>
      </c>
      <c r="S6524">
        <v>3.0560299999999998</v>
      </c>
      <c r="T6524">
        <v>-0.12864489999999901</v>
      </c>
      <c r="U6524">
        <v>0.1502686</v>
      </c>
      <c r="V6524">
        <v>-0.13406879999999999</v>
      </c>
      <c r="W6524">
        <v>0.1643086</v>
      </c>
      <c r="X6524">
        <v>0.97725550000000005</v>
      </c>
      <c r="Y6524">
        <v>-0.18279709999999999</v>
      </c>
      <c r="Z6524">
        <v>8.9986990000000006E-3</v>
      </c>
      <c r="AA6524">
        <v>0.98310949999999997</v>
      </c>
      <c r="AB6524">
        <v>22</v>
      </c>
      <c r="AC6524">
        <v>26.3127</v>
      </c>
      <c r="AD6524">
        <v>-1.1116709020090001</v>
      </c>
      <c r="AE6524">
        <v>1.3106500000000001</v>
      </c>
      <c r="AF6524">
        <v>-4.8308325223268396</v>
      </c>
      <c r="AG6524">
        <v>-1.1116709020090001</v>
      </c>
      <c r="AH6524">
        <v>25.850996169824501</v>
      </c>
      <c r="AI6524">
        <v>92.420524412191</v>
      </c>
      <c r="AJ6524">
        <v>100.584902661835</v>
      </c>
      <c r="AK6524">
        <v>26.321982410628301</v>
      </c>
      <c r="AL6524">
        <v>80.542928339205702</v>
      </c>
      <c r="AM6524">
        <v>97.811592907263304</v>
      </c>
      <c r="AN6524">
        <v>1.0000000357238199</v>
      </c>
    </row>
    <row r="6525" spans="1:40" x14ac:dyDescent="0.25">
      <c r="A6525" t="str">
        <f>"20190304155233771"</f>
        <v>20190304155233771</v>
      </c>
      <c r="B6525" t="str">
        <f>"1551685953763668"</f>
        <v>1551685953763668</v>
      </c>
      <c r="C6525" t="s">
        <v>40</v>
      </c>
      <c r="D6525">
        <v>4.7909810000000004</v>
      </c>
      <c r="E6525">
        <v>0.4841375</v>
      </c>
      <c r="F6525" t="s">
        <v>104</v>
      </c>
      <c r="G6525">
        <v>-247.78389999999999</v>
      </c>
      <c r="H6525" s="1">
        <v>-2.461965E-6</v>
      </c>
      <c r="I6525">
        <v>-60.893180000000001</v>
      </c>
      <c r="J6525">
        <v>-275.07479999999998</v>
      </c>
      <c r="K6525">
        <v>1.1116619999999999</v>
      </c>
      <c r="L6525">
        <v>-62.130740000000003</v>
      </c>
      <c r="M6525">
        <v>0.99097469999999999</v>
      </c>
      <c r="N6525">
        <v>-1.145417E-2</v>
      </c>
      <c r="O6525">
        <v>-0.13355889999999901</v>
      </c>
      <c r="P6525">
        <v>0.98812469999999997</v>
      </c>
      <c r="Q6525">
        <v>0.15364529999999901</v>
      </c>
      <c r="R6525">
        <v>1.5778439999999999E-3</v>
      </c>
      <c r="S6525">
        <v>3.0551759999999999</v>
      </c>
      <c r="T6525">
        <v>-0.1239924</v>
      </c>
      <c r="U6525">
        <v>0.1366272</v>
      </c>
      <c r="V6525">
        <v>-0.13407189999999999</v>
      </c>
      <c r="W6525">
        <v>0.1644215</v>
      </c>
      <c r="X6525">
        <v>0.97723610000000005</v>
      </c>
      <c r="Y6525">
        <v>-0.17746600000000001</v>
      </c>
      <c r="Z6525">
        <v>8.4917250000000003E-3</v>
      </c>
      <c r="AA6525">
        <v>0.98409029999999997</v>
      </c>
      <c r="AB6525">
        <v>22</v>
      </c>
      <c r="AC6525">
        <v>27.290899999999901</v>
      </c>
      <c r="AD6525">
        <v>-1.111664461965</v>
      </c>
      <c r="AE6525">
        <v>1.23755999999999</v>
      </c>
      <c r="AF6525">
        <v>-4.8635993725046802</v>
      </c>
      <c r="AG6525">
        <v>-1.111664461965</v>
      </c>
      <c r="AH6525">
        <v>26.836629972816301</v>
      </c>
      <c r="AI6525">
        <v>92.334052521339004</v>
      </c>
      <c r="AJ6525">
        <v>100.272214808486</v>
      </c>
      <c r="AK6525">
        <v>27.296430261667599</v>
      </c>
      <c r="AL6525">
        <v>80.536370588369607</v>
      </c>
      <c r="AM6525">
        <v>97.811924464226607</v>
      </c>
      <c r="AN6525">
        <v>1.0000000495875301</v>
      </c>
    </row>
    <row r="6526" spans="1:40" x14ac:dyDescent="0.25">
      <c r="A6526" t="str">
        <f>"20190304155233783"</f>
        <v>20190304155233783</v>
      </c>
      <c r="B6526" t="str">
        <f>"1551685953773429"</f>
        <v>1551685953773429</v>
      </c>
      <c r="C6526" t="s">
        <v>40</v>
      </c>
      <c r="D6526">
        <v>4.8006379999999904</v>
      </c>
      <c r="E6526">
        <v>0.4860159</v>
      </c>
      <c r="F6526" t="s">
        <v>104</v>
      </c>
      <c r="G6526">
        <v>-246.59979999999999</v>
      </c>
      <c r="H6526" s="1">
        <v>-1.9770580000000002E-6</v>
      </c>
      <c r="I6526">
        <v>-60.979849999999999</v>
      </c>
      <c r="J6526">
        <v>-274.95400000000001</v>
      </c>
      <c r="K6526">
        <v>1.1116490000000001</v>
      </c>
      <c r="L6526">
        <v>-62.145690000000002</v>
      </c>
      <c r="M6526">
        <v>0.99113419999999997</v>
      </c>
      <c r="N6526">
        <v>-1.142928E-2</v>
      </c>
      <c r="O6526">
        <v>-0.13237199999999999</v>
      </c>
      <c r="P6526">
        <v>0.98814500000000005</v>
      </c>
      <c r="Q6526">
        <v>0.15350339999999901</v>
      </c>
      <c r="R6526">
        <v>2.4599259999999999E-3</v>
      </c>
      <c r="S6526">
        <v>3.0543819999999999</v>
      </c>
      <c r="T6526">
        <v>-0.1192429</v>
      </c>
      <c r="U6526">
        <v>0.1234436</v>
      </c>
      <c r="V6526">
        <v>-0.13377259999999999</v>
      </c>
      <c r="W6526">
        <v>0.16425970000000001</v>
      </c>
      <c r="X6526">
        <v>0.97730430000000001</v>
      </c>
      <c r="Y6526">
        <v>-0.17208019999999999</v>
      </c>
      <c r="Z6526">
        <v>7.9821340000000001E-3</v>
      </c>
      <c r="AA6526">
        <v>0.9850506</v>
      </c>
      <c r="AB6526">
        <v>22</v>
      </c>
      <c r="AC6526">
        <v>28.354199999999999</v>
      </c>
      <c r="AD6526">
        <v>-1.1116509770580001</v>
      </c>
      <c r="AE6526">
        <v>1.16584</v>
      </c>
      <c r="AF6526">
        <v>-4.9016052190665498</v>
      </c>
      <c r="AG6526">
        <v>-1.1116509770580001</v>
      </c>
      <c r="AH6526">
        <v>27.907494482556199</v>
      </c>
      <c r="AI6526">
        <v>92.246726083600393</v>
      </c>
      <c r="AJ6526">
        <v>99.961687646057598</v>
      </c>
      <c r="AK6526">
        <v>28.356476331030201</v>
      </c>
      <c r="AL6526">
        <v>80.545768603378505</v>
      </c>
      <c r="AM6526">
        <v>97.794162602987399</v>
      </c>
      <c r="AN6526">
        <v>1.00000002617666</v>
      </c>
    </row>
    <row r="6527" spans="1:40" x14ac:dyDescent="0.25">
      <c r="A6527" t="str">
        <f>"20190304155233794"</f>
        <v>20190304155233794</v>
      </c>
      <c r="B6527" t="str">
        <f>"1551685953783188"</f>
        <v>1551685953783188</v>
      </c>
      <c r="C6527" t="s">
        <v>40</v>
      </c>
      <c r="D6527">
        <v>4.7779119999999997</v>
      </c>
      <c r="E6527">
        <v>0.48780010000000001</v>
      </c>
      <c r="F6527" t="s">
        <v>104</v>
      </c>
      <c r="G6527">
        <v>-245.60669999999999</v>
      </c>
      <c r="H6527" s="1">
        <v>-1.576843E-6</v>
      </c>
      <c r="I6527">
        <v>-61.0768699999999</v>
      </c>
      <c r="J6527">
        <v>-274.84730000000002</v>
      </c>
      <c r="K6527">
        <v>1.111634</v>
      </c>
      <c r="L6527">
        <v>-62.158749999999998</v>
      </c>
      <c r="M6527">
        <v>0.99127290000000001</v>
      </c>
      <c r="N6527">
        <v>-1.140331E-2</v>
      </c>
      <c r="O6527">
        <v>-0.13133220000000001</v>
      </c>
      <c r="P6527">
        <v>0.98813870000000004</v>
      </c>
      <c r="Q6527">
        <v>0.1535299</v>
      </c>
      <c r="R6527">
        <v>3.2801810000000001E-3</v>
      </c>
      <c r="S6527">
        <v>3.0536500000000002</v>
      </c>
      <c r="T6527">
        <v>-0.1156696</v>
      </c>
      <c r="U6527">
        <v>0.1112061</v>
      </c>
      <c r="V6527">
        <v>-0.13355439999999999</v>
      </c>
      <c r="W6527">
        <v>0.1642644</v>
      </c>
      <c r="X6527">
        <v>0.97733329999999996</v>
      </c>
      <c r="Y6527">
        <v>-0.16713039999999901</v>
      </c>
      <c r="Z6527">
        <v>7.5812240000000001E-3</v>
      </c>
      <c r="AA6527">
        <v>0.98590560000000005</v>
      </c>
      <c r="AB6527">
        <v>22</v>
      </c>
      <c r="AC6527">
        <v>29.240600000000001</v>
      </c>
      <c r="AD6527">
        <v>-1.111635576843</v>
      </c>
      <c r="AE6527">
        <v>1.08188</v>
      </c>
      <c r="AF6527">
        <v>-4.9059090149007796</v>
      </c>
      <c r="AG6527">
        <v>-1.111635576843</v>
      </c>
      <c r="AH6527">
        <v>28.803629675181</v>
      </c>
      <c r="AI6527">
        <v>92.178806621786407</v>
      </c>
      <c r="AJ6527">
        <v>99.666008647788601</v>
      </c>
      <c r="AK6527">
        <v>29.2395752257647</v>
      </c>
      <c r="AL6527">
        <v>80.545495117465805</v>
      </c>
      <c r="AM6527">
        <v>97.781377153238395</v>
      </c>
      <c r="AN6527">
        <v>0.99999997507780403</v>
      </c>
    </row>
    <row r="6528" spans="1:40" x14ac:dyDescent="0.25">
      <c r="A6528" t="str">
        <f>"20190304155233805"</f>
        <v>20190304155233805</v>
      </c>
      <c r="B6528" t="str">
        <f>"1551685953803684"</f>
        <v>1551685953803684</v>
      </c>
      <c r="C6528" t="s">
        <v>40</v>
      </c>
      <c r="D6528">
        <v>4.7261329999999999</v>
      </c>
      <c r="E6528">
        <v>0.49058859999999899</v>
      </c>
      <c r="F6528" t="s">
        <v>104</v>
      </c>
      <c r="G6528">
        <v>-244.59710000000001</v>
      </c>
      <c r="H6528" s="1">
        <v>-1.1697039999999999E-6</v>
      </c>
      <c r="I6528">
        <v>-61.1744699999999</v>
      </c>
      <c r="J6528">
        <v>-274.73779999999999</v>
      </c>
      <c r="K6528">
        <v>1.111618</v>
      </c>
      <c r="L6528">
        <v>-62.172089999999997</v>
      </c>
      <c r="M6528">
        <v>0.99141330000000005</v>
      </c>
      <c r="N6528">
        <v>-1.13743E-2</v>
      </c>
      <c r="O6528">
        <v>-0.1302702</v>
      </c>
      <c r="P6528">
        <v>0.98814029999999997</v>
      </c>
      <c r="Q6528">
        <v>0.1535001</v>
      </c>
      <c r="R6528">
        <v>4.0907699999999996E-3</v>
      </c>
      <c r="S6528">
        <v>3.0531009999999998</v>
      </c>
      <c r="T6528">
        <v>-0.1121954</v>
      </c>
      <c r="U6528">
        <v>9.9334720000000001E-2</v>
      </c>
      <c r="V6528">
        <v>-0.13330539999999999</v>
      </c>
      <c r="W6528">
        <v>0.16421069999999999</v>
      </c>
      <c r="X6528">
        <v>0.97737629999999998</v>
      </c>
      <c r="Y6528">
        <v>-0.162266299999999</v>
      </c>
      <c r="Z6528">
        <v>7.1963599999999997E-3</v>
      </c>
      <c r="AA6528">
        <v>0.98672070000000001</v>
      </c>
      <c r="AB6528">
        <v>22</v>
      </c>
      <c r="AC6528">
        <v>30.140699999999899</v>
      </c>
      <c r="AD6528">
        <v>-1.1116191697040001</v>
      </c>
      <c r="AE6528">
        <v>0.99762000000001205</v>
      </c>
      <c r="AF6528">
        <v>-4.9091365373619196</v>
      </c>
      <c r="AG6528">
        <v>-1.1116191697040001</v>
      </c>
      <c r="AH6528">
        <v>29.713482697989701</v>
      </c>
      <c r="AI6528">
        <v>92.113879054002595</v>
      </c>
      <c r="AJ6528">
        <v>99.381420887717596</v>
      </c>
      <c r="AK6528">
        <v>30.136794334577999</v>
      </c>
      <c r="AL6528">
        <v>80.548614090824103</v>
      </c>
      <c r="AM6528">
        <v>97.766709187072806</v>
      </c>
      <c r="AN6528">
        <v>0.99999995773266903</v>
      </c>
    </row>
    <row r="6529" spans="1:40" x14ac:dyDescent="0.25">
      <c r="A6529" t="str">
        <f>"20190304155233817"</f>
        <v>20190304155233817</v>
      </c>
      <c r="B6529" t="str">
        <f>"1551685953813444"</f>
        <v>1551685953813444</v>
      </c>
      <c r="C6529" t="s">
        <v>40</v>
      </c>
      <c r="D6529">
        <v>4.7779540000000003</v>
      </c>
      <c r="E6529">
        <v>0.49185820000000002</v>
      </c>
      <c r="F6529" t="s">
        <v>104</v>
      </c>
      <c r="G6529">
        <v>-243.9188</v>
      </c>
      <c r="H6529" s="1">
        <v>-9.3059749999999997E-7</v>
      </c>
      <c r="I6529">
        <v>-61.369459999999997</v>
      </c>
      <c r="J6529">
        <v>-274.62270000000001</v>
      </c>
      <c r="K6529">
        <v>1.1115930000000001</v>
      </c>
      <c r="L6529">
        <v>-62.185969999999998</v>
      </c>
      <c r="M6529">
        <v>0.99155819999999995</v>
      </c>
      <c r="N6529">
        <v>-1.1338000000000001E-2</v>
      </c>
      <c r="O6529">
        <v>-0.12916649999999999</v>
      </c>
      <c r="P6529">
        <v>0.98809619999999998</v>
      </c>
      <c r="Q6529">
        <v>0.1537607</v>
      </c>
      <c r="R6529">
        <v>4.8640649999999999E-3</v>
      </c>
      <c r="S6529">
        <v>3.0527950000000001</v>
      </c>
      <c r="T6529">
        <v>-0.110112</v>
      </c>
      <c r="U6529">
        <v>7.9498289999999999E-2</v>
      </c>
      <c r="V6529">
        <v>-0.1329717</v>
      </c>
      <c r="W6529">
        <v>0.1644408</v>
      </c>
      <c r="X6529">
        <v>0.97738309999999995</v>
      </c>
      <c r="Y6529">
        <v>-0.15477389999999999</v>
      </c>
      <c r="Z6529">
        <v>6.8502379999999998E-3</v>
      </c>
      <c r="AA6529">
        <v>0.98792619999999998</v>
      </c>
      <c r="AB6529">
        <v>22</v>
      </c>
      <c r="AC6529">
        <v>30.703900000000001</v>
      </c>
      <c r="AD6529">
        <v>-1.1115939305975</v>
      </c>
      <c r="AE6529">
        <v>0.81651000000000096</v>
      </c>
      <c r="AF6529">
        <v>-4.7695918733965001</v>
      </c>
      <c r="AG6529">
        <v>-1.1115939305975</v>
      </c>
      <c r="AH6529">
        <v>30.301497022514798</v>
      </c>
      <c r="AI6529">
        <v>92.075392319563605</v>
      </c>
      <c r="AJ6529">
        <v>98.945219067313403</v>
      </c>
      <c r="AK6529">
        <v>30.694712403128801</v>
      </c>
      <c r="AL6529">
        <v>80.535248922098404</v>
      </c>
      <c r="AM6529">
        <v>97.747450151795306</v>
      </c>
      <c r="AN6529">
        <v>0.99999998693556902</v>
      </c>
    </row>
    <row r="6530" spans="1:40" x14ac:dyDescent="0.25">
      <c r="A6530" t="str">
        <f>"20190304155233828"</f>
        <v>20190304155233828</v>
      </c>
      <c r="B6530" t="str">
        <f>"1551685953823204"</f>
        <v>1551685953823204</v>
      </c>
      <c r="C6530" t="s">
        <v>40</v>
      </c>
      <c r="D6530">
        <v>4.6832789999999997</v>
      </c>
      <c r="E6530">
        <v>0.49306709999999898</v>
      </c>
      <c r="F6530" t="s">
        <v>104</v>
      </c>
      <c r="G6530">
        <v>-243.1669</v>
      </c>
      <c r="H6530" s="1">
        <v>-6.2880030000000005E-7</v>
      </c>
      <c r="I6530">
        <v>-61.44753</v>
      </c>
      <c r="J6530">
        <v>-274.51479999999998</v>
      </c>
      <c r="K6530">
        <v>1.1115759999999999</v>
      </c>
      <c r="L6530">
        <v>-62.198909999999998</v>
      </c>
      <c r="M6530">
        <v>0.99169249999999998</v>
      </c>
      <c r="N6530">
        <v>-1.130253E-2</v>
      </c>
      <c r="O6530">
        <v>-0.1281349</v>
      </c>
      <c r="P6530">
        <v>0.98811939999999998</v>
      </c>
      <c r="Q6530">
        <v>0.153594799999999</v>
      </c>
      <c r="R6530">
        <v>5.3960939999999997E-3</v>
      </c>
      <c r="S6530">
        <v>3.0525820000000001</v>
      </c>
      <c r="T6530">
        <v>-0.1078728</v>
      </c>
      <c r="U6530">
        <v>7.1655269999999993E-2</v>
      </c>
      <c r="V6530">
        <v>-0.13247779999999901</v>
      </c>
      <c r="W6530">
        <v>0.164247</v>
      </c>
      <c r="X6530">
        <v>0.97748279999999999</v>
      </c>
      <c r="Y6530">
        <v>-0.1512203</v>
      </c>
      <c r="Z6530">
        <v>6.5939269999999899E-3</v>
      </c>
      <c r="AA6530">
        <v>0.98847810000000003</v>
      </c>
      <c r="AB6530">
        <v>22</v>
      </c>
      <c r="AC6530">
        <v>31.3478999999999</v>
      </c>
      <c r="AD6530">
        <v>-1.1115766288002999</v>
      </c>
      <c r="AE6530">
        <v>0.75137999999998994</v>
      </c>
      <c r="AF6530">
        <v>-4.7562244986080202</v>
      </c>
      <c r="AG6530">
        <v>-1.1115766288002999</v>
      </c>
      <c r="AH6530">
        <v>30.954275633218799</v>
      </c>
      <c r="AI6530">
        <v>92.032787601567406</v>
      </c>
      <c r="AJ6530">
        <v>98.735363922825101</v>
      </c>
      <c r="AK6530">
        <v>31.337269409764101</v>
      </c>
      <c r="AL6530">
        <v>80.546506357169704</v>
      </c>
      <c r="AM6530">
        <v>97.718243357140096</v>
      </c>
      <c r="AN6530">
        <v>1.00000003439883</v>
      </c>
    </row>
    <row r="6531" spans="1:40" x14ac:dyDescent="0.25">
      <c r="A6531" t="str">
        <f>"20190304155233838"</f>
        <v>20190304155233838</v>
      </c>
      <c r="B6531" t="str">
        <f>"1551685953832964"</f>
        <v>1551685953832964</v>
      </c>
      <c r="C6531" t="s">
        <v>40</v>
      </c>
      <c r="D6531">
        <v>4.8745589999999996</v>
      </c>
      <c r="E6531">
        <v>0.49394379999999999</v>
      </c>
      <c r="F6531" t="s">
        <v>104</v>
      </c>
      <c r="G6531">
        <v>-243.12620000000001</v>
      </c>
      <c r="H6531" s="1">
        <v>-6.3810109999999899E-7</v>
      </c>
      <c r="I6531">
        <v>-61.548009999999998</v>
      </c>
      <c r="J6531">
        <v>-274.40629999999999</v>
      </c>
      <c r="K6531">
        <v>1.1115549999999901</v>
      </c>
      <c r="L6531">
        <v>-62.211759999999998</v>
      </c>
      <c r="M6531">
        <v>0.9918245</v>
      </c>
      <c r="N6531">
        <v>-1.125978E-2</v>
      </c>
      <c r="O6531">
        <v>-0.12711239999999999</v>
      </c>
      <c r="P6531">
        <v>0.98813969999999995</v>
      </c>
      <c r="Q6531">
        <v>0.15343280000000001</v>
      </c>
      <c r="R6531">
        <v>6.1867140000000003E-3</v>
      </c>
      <c r="S6531">
        <v>3.052521</v>
      </c>
      <c r="T6531">
        <v>-0.1081003</v>
      </c>
      <c r="U6531">
        <v>6.3293459999999996E-2</v>
      </c>
      <c r="V6531">
        <v>-0.13224910000000001</v>
      </c>
      <c r="W6531">
        <v>0.16404839999999901</v>
      </c>
      <c r="X6531">
        <v>0.97754700000000005</v>
      </c>
      <c r="Y6531">
        <v>-0.14749679999999901</v>
      </c>
      <c r="Z6531">
        <v>6.5000630000000004E-3</v>
      </c>
      <c r="AA6531">
        <v>0.98904110000000001</v>
      </c>
      <c r="AB6531">
        <v>22</v>
      </c>
      <c r="AC6531">
        <v>31.280099999999901</v>
      </c>
      <c r="AD6531">
        <v>-1.11155563810109</v>
      </c>
      <c r="AE6531">
        <v>0.66374999999999995</v>
      </c>
      <c r="AF6531">
        <v>-4.6288628949585897</v>
      </c>
      <c r="AG6531">
        <v>-1.11155563810109</v>
      </c>
      <c r="AH6531">
        <v>30.902951432189401</v>
      </c>
      <c r="AI6531">
        <v>92.037289243507004</v>
      </c>
      <c r="AJ6531">
        <v>98.518834333182795</v>
      </c>
      <c r="AK6531">
        <v>31.2674644775872</v>
      </c>
      <c r="AL6531">
        <v>80.558040673699594</v>
      </c>
      <c r="AM6531">
        <v>97.704579393495806</v>
      </c>
      <c r="AN6531">
        <v>0.99999991960118095</v>
      </c>
    </row>
    <row r="6532" spans="1:40" x14ac:dyDescent="0.25">
      <c r="A6532" t="str">
        <f>"20190304155233851"</f>
        <v>20190304155233851</v>
      </c>
      <c r="B6532" t="str">
        <f>"1551685953843701"</f>
        <v>1551685953843701</v>
      </c>
      <c r="C6532" t="s">
        <v>40</v>
      </c>
      <c r="D6532">
        <v>4.8933309999999999</v>
      </c>
      <c r="E6532">
        <v>0.4947706</v>
      </c>
      <c r="F6532" t="s">
        <v>104</v>
      </c>
      <c r="G6532">
        <v>-243.3646</v>
      </c>
      <c r="H6532" s="1">
        <v>-7.5848889999999999E-7</v>
      </c>
      <c r="I6532">
        <v>-61.61618</v>
      </c>
      <c r="J6532">
        <v>-274.28410000000002</v>
      </c>
      <c r="K6532">
        <v>1.1115330000000001</v>
      </c>
      <c r="L6532">
        <v>-62.226140000000001</v>
      </c>
      <c r="M6532">
        <v>0.99197109999999999</v>
      </c>
      <c r="N6532">
        <v>-1.1209999999999999E-2</v>
      </c>
      <c r="O6532">
        <v>-0.12596689999999999</v>
      </c>
      <c r="P6532">
        <v>0.98814760000000001</v>
      </c>
      <c r="Q6532">
        <v>0.15334979999999901</v>
      </c>
      <c r="R6532">
        <v>6.9588619999999997E-3</v>
      </c>
      <c r="S6532">
        <v>3.0526119999999999</v>
      </c>
      <c r="T6532">
        <v>-0.1093094</v>
      </c>
      <c r="U6532">
        <v>5.8563230000000001E-2</v>
      </c>
      <c r="V6532">
        <v>-0.13187989999999999</v>
      </c>
      <c r="W6532">
        <v>0.16392290000000001</v>
      </c>
      <c r="X6532">
        <v>0.97761799999999999</v>
      </c>
      <c r="Y6532">
        <v>-0.14482039999999999</v>
      </c>
      <c r="Z6532">
        <v>6.4910699999999998E-3</v>
      </c>
      <c r="AA6532">
        <v>0.98943669999999995</v>
      </c>
      <c r="AB6532">
        <v>22</v>
      </c>
      <c r="AC6532">
        <v>30.919499999999999</v>
      </c>
      <c r="AD6532">
        <v>-1.11153375848889</v>
      </c>
      <c r="AE6532">
        <v>0.60995999999999295</v>
      </c>
      <c r="AF6532">
        <v>-4.4943730031332203</v>
      </c>
      <c r="AG6532">
        <v>-1.11153375848889</v>
      </c>
      <c r="AH6532">
        <v>30.5568635202678</v>
      </c>
      <c r="AI6532">
        <v>92.061112156313598</v>
      </c>
      <c r="AJ6532">
        <v>98.367201345857893</v>
      </c>
      <c r="AK6532">
        <v>30.905611208708098</v>
      </c>
      <c r="AL6532">
        <v>80.565330637804294</v>
      </c>
      <c r="AM6532">
        <v>97.6827764522629</v>
      </c>
      <c r="AN6532">
        <v>0.99999998954620894</v>
      </c>
    </row>
    <row r="6533" spans="1:40" x14ac:dyDescent="0.25">
      <c r="A6533" t="str">
        <f>"20190304155233861"</f>
        <v>20190304155233861</v>
      </c>
      <c r="B6533" t="str">
        <f>"1551685953853460"</f>
        <v>1551685953853460</v>
      </c>
      <c r="C6533" t="s">
        <v>40</v>
      </c>
      <c r="D6533">
        <v>4.8330310000000001</v>
      </c>
      <c r="E6533">
        <v>0.4955599</v>
      </c>
      <c r="F6533" t="s">
        <v>104</v>
      </c>
      <c r="G6533">
        <v>-243.4931</v>
      </c>
      <c r="H6533" s="1">
        <v>-8.3003329999999998E-7</v>
      </c>
      <c r="I6533">
        <v>-61.677849999999999</v>
      </c>
      <c r="J6533">
        <v>-274.18279999999999</v>
      </c>
      <c r="K6533">
        <v>1.111513</v>
      </c>
      <c r="L6533">
        <v>-62.237949999999998</v>
      </c>
      <c r="M6533">
        <v>0.99209069999999999</v>
      </c>
      <c r="N6533">
        <v>-1.1165309999999999E-2</v>
      </c>
      <c r="O6533">
        <v>-0.125026</v>
      </c>
      <c r="P6533">
        <v>0.98814829999999998</v>
      </c>
      <c r="Q6533">
        <v>0.153304</v>
      </c>
      <c r="R6533">
        <v>7.8059959999999999E-3</v>
      </c>
      <c r="S6533">
        <v>3.0527039999999999</v>
      </c>
      <c r="T6533">
        <v>-0.1102003</v>
      </c>
      <c r="U6533">
        <v>5.435181E-2</v>
      </c>
      <c r="V6533">
        <v>-0.13178719999999999</v>
      </c>
      <c r="W6533">
        <v>0.1638368</v>
      </c>
      <c r="X6533">
        <v>0.97764490000000004</v>
      </c>
      <c r="Y6533">
        <v>-0.1425159</v>
      </c>
      <c r="Z6533">
        <v>6.473309E-3</v>
      </c>
      <c r="AA6533">
        <v>0.98977139999999997</v>
      </c>
      <c r="AB6533">
        <v>22</v>
      </c>
      <c r="AC6533">
        <v>30.689699999999899</v>
      </c>
      <c r="AD6533">
        <v>-1.1115138300333001</v>
      </c>
      <c r="AE6533">
        <v>0.56009999999999804</v>
      </c>
      <c r="AF6533">
        <v>-4.3872010889067496</v>
      </c>
      <c r="AG6533">
        <v>-1.1115138300333001</v>
      </c>
      <c r="AH6533">
        <v>30.339047288866499</v>
      </c>
      <c r="AI6533">
        <v>92.076593262328998</v>
      </c>
      <c r="AJ6533">
        <v>98.228263023731699</v>
      </c>
      <c r="AK6533">
        <v>30.674758137350299</v>
      </c>
      <c r="AL6533">
        <v>80.570331101892293</v>
      </c>
      <c r="AM6533">
        <v>97.677231840935207</v>
      </c>
      <c r="AN6533">
        <v>0.99999995680704401</v>
      </c>
    </row>
    <row r="6534" spans="1:40" x14ac:dyDescent="0.25">
      <c r="A6534" t="str">
        <f>"20190304155233872"</f>
        <v>20190304155233872</v>
      </c>
      <c r="B6534" t="str">
        <f>"1551685953863220"</f>
        <v>1551685953863220</v>
      </c>
      <c r="C6534" t="s">
        <v>40</v>
      </c>
      <c r="D6534">
        <v>4.7705849999999996</v>
      </c>
      <c r="E6534">
        <v>0.49632809999999999</v>
      </c>
      <c r="F6534" t="s">
        <v>104</v>
      </c>
      <c r="G6534">
        <v>-243.57929999999999</v>
      </c>
      <c r="H6534" s="1">
        <v>-8.8156579999999998E-7</v>
      </c>
      <c r="I6534">
        <v>-61.732480000000002</v>
      </c>
      <c r="J6534">
        <v>-274.06880000000001</v>
      </c>
      <c r="K6534">
        <v>1.1114949999999999</v>
      </c>
      <c r="L6534">
        <v>-62.251159999999999</v>
      </c>
      <c r="M6534">
        <v>0.99222339999999998</v>
      </c>
      <c r="N6534">
        <v>-1.1113939999999999E-2</v>
      </c>
      <c r="O6534">
        <v>-0.12397329999999999</v>
      </c>
      <c r="P6534">
        <v>0.98815200000000003</v>
      </c>
      <c r="Q6534">
        <v>0.1532394</v>
      </c>
      <c r="R6534">
        <v>8.5917809999999997E-3</v>
      </c>
      <c r="S6534">
        <v>3.0527950000000001</v>
      </c>
      <c r="T6534">
        <v>-0.1108772</v>
      </c>
      <c r="U6534">
        <v>5.0415040000000001E-2</v>
      </c>
      <c r="V6534">
        <v>-0.13152349999999999</v>
      </c>
      <c r="W6534">
        <v>0.1637267</v>
      </c>
      <c r="X6534">
        <v>0.97769890000000004</v>
      </c>
      <c r="Y6534">
        <v>-0.14018910000000001</v>
      </c>
      <c r="Z6534">
        <v>6.4378100000000004E-3</v>
      </c>
      <c r="AA6534">
        <v>0.99010379999999998</v>
      </c>
      <c r="AB6534">
        <v>22</v>
      </c>
      <c r="AC6534">
        <v>30.4895</v>
      </c>
      <c r="AD6534">
        <v>-1.1114958815658</v>
      </c>
      <c r="AE6534">
        <v>0.51867999999999603</v>
      </c>
      <c r="AF6534">
        <v>-4.2890968122117696</v>
      </c>
      <c r="AG6534">
        <v>-1.1114958815658</v>
      </c>
      <c r="AH6534">
        <v>30.1498981246204</v>
      </c>
      <c r="AI6534">
        <v>92.090264459069701</v>
      </c>
      <c r="AJ6534">
        <v>98.096518477937806</v>
      </c>
      <c r="AK6534">
        <v>30.473728545818801</v>
      </c>
      <c r="AL6534">
        <v>80.576726138721298</v>
      </c>
      <c r="AM6534">
        <v>97.661634569563304</v>
      </c>
      <c r="AN6534">
        <v>1.00000000120317</v>
      </c>
    </row>
    <row r="6535" spans="1:40" x14ac:dyDescent="0.25">
      <c r="A6535" t="str">
        <f>"20190304155233884"</f>
        <v>20190304155233884</v>
      </c>
      <c r="B6535" t="str">
        <f>"1551685953872980"</f>
        <v>1551685953872980</v>
      </c>
      <c r="C6535" t="s">
        <v>40</v>
      </c>
      <c r="D6535">
        <v>4.7965249999999999</v>
      </c>
      <c r="E6535">
        <v>0.49725989999999998</v>
      </c>
      <c r="F6535" t="s">
        <v>104</v>
      </c>
      <c r="G6535">
        <v>-243.94909999999999</v>
      </c>
      <c r="H6535" s="1">
        <v>-1.0549879999999999E-6</v>
      </c>
      <c r="I6535">
        <v>-61.788049999999998</v>
      </c>
      <c r="J6535">
        <v>-273.94499999999999</v>
      </c>
      <c r="K6535">
        <v>1.1114759999999999</v>
      </c>
      <c r="L6535">
        <v>-62.265349999999998</v>
      </c>
      <c r="M6535">
        <v>0.9923651</v>
      </c>
      <c r="N6535">
        <v>-1.105678E-2</v>
      </c>
      <c r="O6535">
        <v>-0.1228388</v>
      </c>
      <c r="P6535">
        <v>0.98812960000000005</v>
      </c>
      <c r="Q6535">
        <v>0.1533388</v>
      </c>
      <c r="R6535">
        <v>9.3625559999999993E-3</v>
      </c>
      <c r="S6535">
        <v>3.0530400000000002</v>
      </c>
      <c r="T6535">
        <v>-0.1126654</v>
      </c>
      <c r="U6535">
        <v>4.6936039999999998E-2</v>
      </c>
      <c r="V6535">
        <v>-0.13116249999999999</v>
      </c>
      <c r="W6535">
        <v>0.1637747</v>
      </c>
      <c r="X6535">
        <v>0.97773929999999998</v>
      </c>
      <c r="Y6535">
        <v>-0.13792449999999901</v>
      </c>
      <c r="Z6535">
        <v>6.4704119999999896E-3</v>
      </c>
      <c r="AA6535">
        <v>0.99042160000000001</v>
      </c>
      <c r="AB6535">
        <v>22</v>
      </c>
      <c r="AC6535">
        <v>29.995899999999999</v>
      </c>
      <c r="AD6535">
        <v>-1.111477054988</v>
      </c>
      <c r="AE6535">
        <v>0.477299999999999</v>
      </c>
      <c r="AF6535">
        <v>-4.1528696553484501</v>
      </c>
      <c r="AG6535">
        <v>-1.111477054988</v>
      </c>
      <c r="AH6535">
        <v>29.669341436380801</v>
      </c>
      <c r="AI6535">
        <v>92.124725629548706</v>
      </c>
      <c r="AJ6535">
        <v>97.968022922123197</v>
      </c>
      <c r="AK6535">
        <v>29.979184926989301</v>
      </c>
      <c r="AL6535">
        <v>80.573937787943606</v>
      </c>
      <c r="AM6535">
        <v>97.640542037271103</v>
      </c>
      <c r="AN6535">
        <v>0.999999946265413</v>
      </c>
    </row>
    <row r="6536" spans="1:40" x14ac:dyDescent="0.25">
      <c r="A6536" t="str">
        <f>"20190304155233898"</f>
        <v>20190304155233898</v>
      </c>
      <c r="B6536" t="str">
        <f>"1551685953893476"</f>
        <v>1551685953893476</v>
      </c>
      <c r="C6536" t="s">
        <v>40</v>
      </c>
      <c r="D6536">
        <v>4.8458800000000002</v>
      </c>
      <c r="E6536">
        <v>0.49866050000000001</v>
      </c>
      <c r="F6536" t="s">
        <v>104</v>
      </c>
      <c r="G6536">
        <v>-243.37960000000001</v>
      </c>
      <c r="H6536" s="1">
        <v>-8.2463130000000005E-7</v>
      </c>
      <c r="I6536">
        <v>-61.840580000000003</v>
      </c>
      <c r="J6536">
        <v>-273.82749999999999</v>
      </c>
      <c r="K6536">
        <v>1.1114649999999999</v>
      </c>
      <c r="L6536">
        <v>-62.278689999999997</v>
      </c>
      <c r="M6536">
        <v>0.99249739999999997</v>
      </c>
      <c r="N6536">
        <v>-1.100132E-2</v>
      </c>
      <c r="O6536">
        <v>-0.12177060000000001</v>
      </c>
      <c r="P6536">
        <v>0.98812230000000001</v>
      </c>
      <c r="Q6536">
        <v>0.15333579999999999</v>
      </c>
      <c r="R6536">
        <v>1.013823E-2</v>
      </c>
      <c r="S6536">
        <v>3.0528559999999998</v>
      </c>
      <c r="T6536">
        <v>-0.1110138</v>
      </c>
      <c r="U6536">
        <v>4.2419430000000001E-2</v>
      </c>
      <c r="V6536">
        <v>-0.13087409999999999</v>
      </c>
      <c r="W6536">
        <v>0.16372059999999999</v>
      </c>
      <c r="X6536">
        <v>0.97778710000000002</v>
      </c>
      <c r="Y6536">
        <v>-0.1354011</v>
      </c>
      <c r="Z6536">
        <v>6.2836200000000002E-3</v>
      </c>
      <c r="AA6536">
        <v>0.99077090000000001</v>
      </c>
      <c r="AB6536">
        <v>22</v>
      </c>
      <c r="AC6536">
        <v>30.447899999999901</v>
      </c>
      <c r="AD6536">
        <v>-1.1114658246312901</v>
      </c>
      <c r="AE6536">
        <v>0.438110000000001</v>
      </c>
      <c r="AF6536">
        <v>-4.1372205462518901</v>
      </c>
      <c r="AG6536">
        <v>-1.1114658246312901</v>
      </c>
      <c r="AH6536">
        <v>30.127797414530299</v>
      </c>
      <c r="AI6536">
        <v>92.093154994273803</v>
      </c>
      <c r="AJ6536">
        <v>97.819087672912403</v>
      </c>
      <c r="AK6536">
        <v>30.430841709992698</v>
      </c>
      <c r="AL6536">
        <v>80.577080782259699</v>
      </c>
      <c r="AM6536">
        <v>97.623571516754893</v>
      </c>
      <c r="AN6536">
        <v>1.0000000389207799</v>
      </c>
    </row>
    <row r="6537" spans="1:40" x14ac:dyDescent="0.25">
      <c r="A6537" t="str">
        <f>"20190304155233911"</f>
        <v>20190304155233911</v>
      </c>
      <c r="B6537" t="str">
        <f>"1551685953903236"</f>
        <v>1551685953903236</v>
      </c>
      <c r="C6537" t="s">
        <v>40</v>
      </c>
      <c r="D6537">
        <v>4.7977359999999996</v>
      </c>
      <c r="E6537">
        <v>0.4995211</v>
      </c>
      <c r="F6537" t="s">
        <v>104</v>
      </c>
      <c r="G6537">
        <v>-243.52430000000001</v>
      </c>
      <c r="H6537" s="1">
        <v>-9.1356469999999999E-7</v>
      </c>
      <c r="I6537">
        <v>-61.941490000000002</v>
      </c>
      <c r="J6537">
        <v>-273.69499999999999</v>
      </c>
      <c r="K6537">
        <v>1.11145</v>
      </c>
      <c r="L6537">
        <v>-62.293640000000003</v>
      </c>
      <c r="M6537">
        <v>0.99264459999999999</v>
      </c>
      <c r="N6537">
        <v>-1.093803E-2</v>
      </c>
      <c r="O6537">
        <v>-0.12056989999999899</v>
      </c>
      <c r="P6537">
        <v>0.98808799999999997</v>
      </c>
      <c r="Q6537">
        <v>0.15346389999999999</v>
      </c>
      <c r="R6537">
        <v>1.1448170000000001E-2</v>
      </c>
      <c r="S6537">
        <v>3.0531009999999998</v>
      </c>
      <c r="T6537">
        <v>-0.1119821</v>
      </c>
      <c r="U6537">
        <v>3.3966059999999999E-2</v>
      </c>
      <c r="V6537">
        <v>-0.13098360000000001</v>
      </c>
      <c r="W6537">
        <v>0.1637874</v>
      </c>
      <c r="X6537">
        <v>0.9777612</v>
      </c>
      <c r="Y6537">
        <v>-0.13145860000000001</v>
      </c>
      <c r="Z6537">
        <v>6.2218780000000001E-3</v>
      </c>
      <c r="AA6537">
        <v>0.99130209999999996</v>
      </c>
      <c r="AB6537">
        <v>23</v>
      </c>
      <c r="AC6537">
        <v>30.170699999999901</v>
      </c>
      <c r="AD6537">
        <v>-1.1114509135646999</v>
      </c>
      <c r="AE6537">
        <v>0.35215000000000102</v>
      </c>
      <c r="AF6537">
        <v>-3.9820732207166301</v>
      </c>
      <c r="AG6537">
        <v>-1.1114509135646999</v>
      </c>
      <c r="AH6537">
        <v>29.867584674536001</v>
      </c>
      <c r="AI6537">
        <v>92.112467328027904</v>
      </c>
      <c r="AJ6537">
        <v>97.594131823392303</v>
      </c>
      <c r="AK6537">
        <v>30.152360513880001</v>
      </c>
      <c r="AL6537">
        <v>80.573200587735997</v>
      </c>
      <c r="AM6537">
        <v>97.630074638862396</v>
      </c>
      <c r="AN6537">
        <v>0.99999999004658002</v>
      </c>
    </row>
    <row r="6538" spans="1:40" x14ac:dyDescent="0.25">
      <c r="A6538" t="str">
        <f>"20190304155233921"</f>
        <v>20190304155233921</v>
      </c>
      <c r="B6538" t="str">
        <f>"1551685953912996"</f>
        <v>1551685953912996</v>
      </c>
      <c r="C6538" t="s">
        <v>40</v>
      </c>
      <c r="D6538">
        <v>4.8951669999999998</v>
      </c>
      <c r="E6538">
        <v>0.50014599999999998</v>
      </c>
      <c r="F6538" t="s">
        <v>104</v>
      </c>
      <c r="G6538">
        <v>-242.98519999999999</v>
      </c>
      <c r="H6538" s="1">
        <v>-6.9186069999999995E-7</v>
      </c>
      <c r="I6538">
        <v>-61.97739</v>
      </c>
      <c r="J6538">
        <v>-273.57670000000002</v>
      </c>
      <c r="K6538">
        <v>1.1114389999999901</v>
      </c>
      <c r="L6538">
        <v>-62.306789999999999</v>
      </c>
      <c r="M6538">
        <v>0.99277400000000005</v>
      </c>
      <c r="N6538">
        <v>-1.088015E-2</v>
      </c>
      <c r="O6538">
        <v>-0.1195049</v>
      </c>
      <c r="P6538">
        <v>0.98801589999999995</v>
      </c>
      <c r="Q6538">
        <v>0.153869799999999</v>
      </c>
      <c r="R6538">
        <v>1.219046E-2</v>
      </c>
      <c r="S6538">
        <v>3.0529790000000001</v>
      </c>
      <c r="T6538">
        <v>-0.1104938</v>
      </c>
      <c r="U6538">
        <v>3.143311E-2</v>
      </c>
      <c r="V6538">
        <v>-0.13066120000000001</v>
      </c>
      <c r="W6538">
        <v>0.1641378</v>
      </c>
      <c r="X6538">
        <v>0.97774559999999999</v>
      </c>
      <c r="Y6538">
        <v>-0.1295789</v>
      </c>
      <c r="Z6538">
        <v>6.0637149999999999E-3</v>
      </c>
      <c r="AA6538">
        <v>0.99155059999999995</v>
      </c>
      <c r="AB6538">
        <v>23</v>
      </c>
      <c r="AC6538">
        <v>30.5915</v>
      </c>
      <c r="AD6538">
        <v>-1.1114396918606999</v>
      </c>
      <c r="AE6538">
        <v>0.32939999999999903</v>
      </c>
      <c r="AF6538">
        <v>-3.9778395426428399</v>
      </c>
      <c r="AG6538">
        <v>-1.1114396918606999</v>
      </c>
      <c r="AH6538">
        <v>30.292894470236099</v>
      </c>
      <c r="AI6538">
        <v>92.083358197411798</v>
      </c>
      <c r="AJ6538">
        <v>97.480857756309007</v>
      </c>
      <c r="AK6538">
        <v>30.573157524215802</v>
      </c>
      <c r="AL6538">
        <v>80.552848928903799</v>
      </c>
      <c r="AM6538">
        <v>97.611634615656797</v>
      </c>
      <c r="AN6538">
        <v>1.00000001244682</v>
      </c>
    </row>
    <row r="6539" spans="1:40" x14ac:dyDescent="0.25">
      <c r="A6539" t="str">
        <f>"20190304155233932"</f>
        <v>20190304155233932</v>
      </c>
      <c r="B6539" t="str">
        <f>"1551685953923732"</f>
        <v>1551685953923732</v>
      </c>
      <c r="C6539" t="s">
        <v>40</v>
      </c>
      <c r="D6539">
        <v>4.8757409999999997</v>
      </c>
      <c r="E6539">
        <v>0.50073630000000002</v>
      </c>
      <c r="F6539" t="s">
        <v>104</v>
      </c>
      <c r="G6539">
        <v>-242.6352</v>
      </c>
      <c r="H6539" s="1">
        <v>-5.5089409999999998E-7</v>
      </c>
      <c r="I6539">
        <v>-62.011989999999997</v>
      </c>
      <c r="J6539">
        <v>-273.47629999999998</v>
      </c>
      <c r="K6539">
        <v>1.111423</v>
      </c>
      <c r="L6539">
        <v>-62.317929999999997</v>
      </c>
      <c r="M6539">
        <v>0.99288279999999995</v>
      </c>
      <c r="N6539">
        <v>-1.0831469999999999E-2</v>
      </c>
      <c r="O6539">
        <v>-0.1186021</v>
      </c>
      <c r="P6539">
        <v>0.98797259999999998</v>
      </c>
      <c r="Q6539">
        <v>0.15410470000000001</v>
      </c>
      <c r="R6539">
        <v>1.272771E-2</v>
      </c>
      <c r="S6539">
        <v>3.0531009999999998</v>
      </c>
      <c r="T6539">
        <v>-0.1096693</v>
      </c>
      <c r="U6539">
        <v>2.9083250000000001E-2</v>
      </c>
      <c r="V6539">
        <v>-0.13029949999999901</v>
      </c>
      <c r="W6539">
        <v>0.16432649999999999</v>
      </c>
      <c r="X6539">
        <v>0.97776220000000003</v>
      </c>
      <c r="Y6539">
        <v>-0.12791739999999999</v>
      </c>
      <c r="Z6539">
        <v>5.9551419999999897E-3</v>
      </c>
      <c r="AA6539">
        <v>0.99176690000000001</v>
      </c>
      <c r="AB6539">
        <v>23</v>
      </c>
      <c r="AC6539">
        <v>30.841099999999901</v>
      </c>
      <c r="AD6539">
        <v>-1.1114235508940999</v>
      </c>
      <c r="AE6539">
        <v>0.30593999999999899</v>
      </c>
      <c r="AF6539">
        <v>-3.9566762133226798</v>
      </c>
      <c r="AG6539">
        <v>-1.1114235508940999</v>
      </c>
      <c r="AH6539">
        <v>30.5474391893577</v>
      </c>
      <c r="AI6539">
        <v>92.066456273146201</v>
      </c>
      <c r="AJ6539">
        <v>97.380182637943193</v>
      </c>
      <c r="AK6539">
        <v>30.822663577213198</v>
      </c>
      <c r="AL6539">
        <v>80.541888643811006</v>
      </c>
      <c r="AM6539">
        <v>97.5906825333239</v>
      </c>
      <c r="AN6539">
        <v>1.00000003902566</v>
      </c>
    </row>
    <row r="6540" spans="1:40" x14ac:dyDescent="0.25">
      <c r="A6540" t="str">
        <f>"20190304155233942"</f>
        <v>20190304155233942</v>
      </c>
      <c r="B6540" t="str">
        <f>"1551685953933492"</f>
        <v>1551685953933492</v>
      </c>
      <c r="C6540" t="s">
        <v>40</v>
      </c>
      <c r="D6540">
        <v>4.9094730000000002</v>
      </c>
      <c r="E6540">
        <v>0.50130779999999997</v>
      </c>
      <c r="F6540" t="s">
        <v>104</v>
      </c>
      <c r="G6540">
        <v>-242.4727</v>
      </c>
      <c r="H6540" s="1">
        <v>-4.9192520000000004E-7</v>
      </c>
      <c r="I6540">
        <v>-62.052300000000002</v>
      </c>
      <c r="J6540">
        <v>-273.37009999999998</v>
      </c>
      <c r="K6540">
        <v>1.111418</v>
      </c>
      <c r="L6540">
        <v>-62.329560000000001</v>
      </c>
      <c r="M6540">
        <v>0.99299669999999896</v>
      </c>
      <c r="N6540">
        <v>-1.078056E-2</v>
      </c>
      <c r="O6540">
        <v>-0.1176497</v>
      </c>
      <c r="P6540">
        <v>0.98792369999999996</v>
      </c>
      <c r="Q6540">
        <v>0.154332</v>
      </c>
      <c r="R6540">
        <v>1.3731180000000001E-2</v>
      </c>
      <c r="S6540">
        <v>3.0532840000000001</v>
      </c>
      <c r="T6540">
        <v>-0.10945489999999999</v>
      </c>
      <c r="U6540">
        <v>2.6153559999999999E-2</v>
      </c>
      <c r="V6540">
        <v>-0.1303511</v>
      </c>
      <c r="W6540">
        <v>0.16450279999999901</v>
      </c>
      <c r="X6540">
        <v>0.97772559999999997</v>
      </c>
      <c r="Y6540">
        <v>-0.12601619999999999</v>
      </c>
      <c r="Z6540">
        <v>5.8767200000000002E-3</v>
      </c>
      <c r="AA6540">
        <v>0.99201079999999997</v>
      </c>
      <c r="AB6540">
        <v>23</v>
      </c>
      <c r="AC6540">
        <v>30.897399999999902</v>
      </c>
      <c r="AD6540">
        <v>-1.1114184919251999</v>
      </c>
      <c r="AE6540">
        <v>0.27725999999999801</v>
      </c>
      <c r="AF6540">
        <v>-3.9055620035585901</v>
      </c>
      <c r="AG6540">
        <v>-1.1114184919251999</v>
      </c>
      <c r="AH6540">
        <v>30.610571205440198</v>
      </c>
      <c r="AI6540">
        <v>92.062693448238704</v>
      </c>
      <c r="AJ6540">
        <v>97.271007421953101</v>
      </c>
      <c r="AK6540">
        <v>30.8787262553228</v>
      </c>
      <c r="AL6540">
        <v>80.531647326723402</v>
      </c>
      <c r="AM6540">
        <v>97.5939343966715</v>
      </c>
      <c r="AN6540">
        <v>0.99999996468720398</v>
      </c>
    </row>
    <row r="6541" spans="1:40" x14ac:dyDescent="0.25">
      <c r="A6541" t="str">
        <f>"20190304155233953"</f>
        <v>20190304155233953</v>
      </c>
      <c r="B6541" t="str">
        <f>"1551685953943252"</f>
        <v>1551685953943252</v>
      </c>
      <c r="C6541" t="s">
        <v>40</v>
      </c>
      <c r="D6541">
        <v>4.9061170000000001</v>
      </c>
      <c r="E6541">
        <v>0.50182269999999995</v>
      </c>
      <c r="F6541" t="s">
        <v>104</v>
      </c>
      <c r="G6541">
        <v>-242.34520000000001</v>
      </c>
      <c r="H6541" s="1">
        <v>-4.4372979999999998E-7</v>
      </c>
      <c r="I6541">
        <v>-62.076779999999999</v>
      </c>
      <c r="J6541">
        <v>-273.27600000000001</v>
      </c>
      <c r="K6541">
        <v>1.1114109999999999</v>
      </c>
      <c r="L6541">
        <v>-62.339779999999998</v>
      </c>
      <c r="M6541">
        <v>0.99309689999999995</v>
      </c>
      <c r="N6541">
        <v>-1.073488E-2</v>
      </c>
      <c r="O6541">
        <v>-0.1168057</v>
      </c>
      <c r="P6541">
        <v>0.98787369999999997</v>
      </c>
      <c r="Q6541">
        <v>0.1545955</v>
      </c>
      <c r="R6541">
        <v>1.434962E-2</v>
      </c>
      <c r="S6541">
        <v>3.053436</v>
      </c>
      <c r="T6541">
        <v>-0.10938440000000001</v>
      </c>
      <c r="U6541">
        <v>2.4871830000000001E-2</v>
      </c>
      <c r="V6541">
        <v>-0.13012799999999999</v>
      </c>
      <c r="W6541">
        <v>0.16472200000000001</v>
      </c>
      <c r="X6541">
        <v>0.97771850000000005</v>
      </c>
      <c r="Y6541">
        <v>-0.12475749999999999</v>
      </c>
      <c r="Z6541">
        <v>5.8244450000000001E-3</v>
      </c>
      <c r="AA6541">
        <v>0.9921702</v>
      </c>
      <c r="AB6541">
        <v>23</v>
      </c>
      <c r="AC6541">
        <v>30.930800000000001</v>
      </c>
      <c r="AD6541">
        <v>-1.1114114437297999</v>
      </c>
      <c r="AE6541">
        <v>0.26299999999999801</v>
      </c>
      <c r="AF6541">
        <v>-3.86930557579125</v>
      </c>
      <c r="AG6541">
        <v>-1.1114114437297999</v>
      </c>
      <c r="AH6541">
        <v>30.648757514115101</v>
      </c>
      <c r="AI6541">
        <v>92.060457669301499</v>
      </c>
      <c r="AJ6541">
        <v>97.195339227113195</v>
      </c>
      <c r="AK6541">
        <v>30.9120219040284</v>
      </c>
      <c r="AL6541">
        <v>80.518915204014505</v>
      </c>
      <c r="AM6541">
        <v>97.581142845976501</v>
      </c>
      <c r="AN6541">
        <v>1.00000004945512</v>
      </c>
    </row>
    <row r="6542" spans="1:40" x14ac:dyDescent="0.25">
      <c r="A6542" t="str">
        <f>"20190304155233961"</f>
        <v>20190304155233961</v>
      </c>
      <c r="B6542" t="str">
        <f>"1551685953953013"</f>
        <v>1551685953953013</v>
      </c>
      <c r="C6542" t="s">
        <v>40</v>
      </c>
      <c r="D6542">
        <v>4.866447</v>
      </c>
      <c r="E6542">
        <v>0.5023569</v>
      </c>
      <c r="F6542" t="s">
        <v>104</v>
      </c>
      <c r="G6542">
        <v>-242.25739999999999</v>
      </c>
      <c r="H6542" s="1">
        <v>-4.1375699999999999E-7</v>
      </c>
      <c r="I6542">
        <v>-62.105670000000003</v>
      </c>
      <c r="J6542">
        <v>-273.18189999999998</v>
      </c>
      <c r="K6542">
        <v>1.1114090000000001</v>
      </c>
      <c r="L6542">
        <v>-62.349910000000001</v>
      </c>
      <c r="M6542">
        <v>0.99319619999999997</v>
      </c>
      <c r="N6542">
        <v>-1.0688609999999999E-2</v>
      </c>
      <c r="O6542">
        <v>-0.1159616</v>
      </c>
      <c r="P6542">
        <v>0.98786969999999996</v>
      </c>
      <c r="Q6542">
        <v>0.15456539999999999</v>
      </c>
      <c r="R6542">
        <v>1.4939300000000001E-2</v>
      </c>
      <c r="S6542">
        <v>3.0536189999999999</v>
      </c>
      <c r="T6542">
        <v>-0.1094126</v>
      </c>
      <c r="U6542">
        <v>2.3040769999999999E-2</v>
      </c>
      <c r="V6542">
        <v>-0.12988169999999999</v>
      </c>
      <c r="W6542">
        <v>0.16464670000000001</v>
      </c>
      <c r="X6542">
        <v>0.97776390000000002</v>
      </c>
      <c r="Y6542">
        <v>-0.1233202</v>
      </c>
      <c r="Z6542">
        <v>5.7737500000000002E-3</v>
      </c>
      <c r="AA6542">
        <v>0.99235019999999996</v>
      </c>
      <c r="AB6542">
        <v>23</v>
      </c>
      <c r="AC6542">
        <v>30.924499999999899</v>
      </c>
      <c r="AD6542">
        <v>-1.1114094137569901</v>
      </c>
      <c r="AE6542">
        <v>0.24423999999999699</v>
      </c>
      <c r="AF6542">
        <v>-3.8239125777098701</v>
      </c>
      <c r="AG6542">
        <v>-1.1114094137569901</v>
      </c>
      <c r="AH6542">
        <v>30.647942217435499</v>
      </c>
      <c r="AI6542">
        <v>92.060884618890995</v>
      </c>
      <c r="AJ6542">
        <v>97.111983307835601</v>
      </c>
      <c r="AK6542">
        <v>30.905564231222499</v>
      </c>
      <c r="AL6542">
        <v>80.523288997440005</v>
      </c>
      <c r="AM6542">
        <v>97.566612769812807</v>
      </c>
      <c r="AN6542">
        <v>1.0000000179794899</v>
      </c>
    </row>
    <row r="6543" spans="1:40" x14ac:dyDescent="0.25">
      <c r="A6543" t="str">
        <f>"20190304155233972"</f>
        <v>20190304155233972</v>
      </c>
      <c r="B6543" t="str">
        <f>"1551685953963749"</f>
        <v>1551685953963749</v>
      </c>
      <c r="C6543" t="s">
        <v>40</v>
      </c>
      <c r="D6543">
        <v>4.845764</v>
      </c>
      <c r="E6543">
        <v>0.50292109999999901</v>
      </c>
      <c r="F6543" t="s">
        <v>104</v>
      </c>
      <c r="G6543">
        <v>-242.51140000000001</v>
      </c>
      <c r="H6543" s="1">
        <v>-5.3184509999999995E-7</v>
      </c>
      <c r="I6543">
        <v>-62.139899999999997</v>
      </c>
      <c r="J6543">
        <v>-273.06810000000002</v>
      </c>
      <c r="K6543">
        <v>1.1114040000000001</v>
      </c>
      <c r="L6543">
        <v>-62.362090000000002</v>
      </c>
      <c r="M6543">
        <v>0.99331570000000002</v>
      </c>
      <c r="N6543">
        <v>-1.0632590000000001E-2</v>
      </c>
      <c r="O6543">
        <v>-0.11493979999999999</v>
      </c>
      <c r="P6543">
        <v>0.98786609999999997</v>
      </c>
      <c r="Q6543">
        <v>0.1544924</v>
      </c>
      <c r="R6543">
        <v>1.590391E-2</v>
      </c>
      <c r="S6543">
        <v>3.053833</v>
      </c>
      <c r="T6543">
        <v>-0.1106621</v>
      </c>
      <c r="U6543">
        <v>2.0904539999999999E-2</v>
      </c>
      <c r="V6543">
        <v>-0.1298327</v>
      </c>
      <c r="W6543">
        <v>0.16451879999999999</v>
      </c>
      <c r="X6543">
        <v>0.97779190000000005</v>
      </c>
      <c r="Y6543">
        <v>-0.1216028</v>
      </c>
      <c r="Z6543">
        <v>5.7826969999999998E-3</v>
      </c>
      <c r="AA6543">
        <v>0.99256200000000006</v>
      </c>
      <c r="AB6543">
        <v>23</v>
      </c>
      <c r="AC6543">
        <v>30.556699999999999</v>
      </c>
      <c r="AD6543">
        <v>-1.1114045318451</v>
      </c>
      <c r="AE6543">
        <v>0.222190000000004</v>
      </c>
      <c r="AF6543">
        <v>-3.7281645064879201</v>
      </c>
      <c r="AG6543">
        <v>-1.1114045318451</v>
      </c>
      <c r="AH6543">
        <v>30.288554373035701</v>
      </c>
      <c r="AI6543">
        <v>92.085734814917899</v>
      </c>
      <c r="AJ6543">
        <v>97.017139840277594</v>
      </c>
      <c r="AK6543">
        <v>30.537369838104599</v>
      </c>
      <c r="AL6543">
        <v>80.530718102883199</v>
      </c>
      <c r="AM6543">
        <v>97.5635771090475</v>
      </c>
      <c r="AN6543">
        <v>0.999999982624169</v>
      </c>
    </row>
    <row r="6544" spans="1:40" x14ac:dyDescent="0.25">
      <c r="A6544" t="str">
        <f>"20190304155233984"</f>
        <v>20190304155233984</v>
      </c>
      <c r="B6544" t="str">
        <f>"1551685953973509"</f>
        <v>1551685953973509</v>
      </c>
      <c r="C6544" t="s">
        <v>40</v>
      </c>
      <c r="D6544">
        <v>4.7674770000000004</v>
      </c>
      <c r="E6544">
        <v>0.50392590000000004</v>
      </c>
      <c r="F6544" t="s">
        <v>104</v>
      </c>
      <c r="G6544">
        <v>-241.9658</v>
      </c>
      <c r="H6544" s="1">
        <v>-3.0368939999999998E-7</v>
      </c>
      <c r="I6544">
        <v>-62.16216</v>
      </c>
      <c r="J6544">
        <v>-272.95060000000001</v>
      </c>
      <c r="K6544">
        <v>1.1114010000000001</v>
      </c>
      <c r="L6544">
        <v>-62.374510000000001</v>
      </c>
      <c r="M6544">
        <v>0.99343789999999998</v>
      </c>
      <c r="N6544">
        <v>-1.0574729999999999E-2</v>
      </c>
      <c r="O6544">
        <v>-0.11388470000000001</v>
      </c>
      <c r="P6544">
        <v>0.98789419999999994</v>
      </c>
      <c r="Q6544">
        <v>0.154228799999999</v>
      </c>
      <c r="R6544">
        <v>1.6712319999999999E-2</v>
      </c>
      <c r="S6544">
        <v>3.0535890000000001</v>
      </c>
      <c r="T6544">
        <v>-0.10911659999999999</v>
      </c>
      <c r="U6544">
        <v>1.9622799999999999E-2</v>
      </c>
      <c r="V6544">
        <v>-0.12959960000000001</v>
      </c>
      <c r="W6544">
        <v>0.1641985</v>
      </c>
      <c r="X6544">
        <v>0.97787670000000004</v>
      </c>
      <c r="Y6544">
        <v>-0.1201378</v>
      </c>
      <c r="Z6544">
        <v>5.6373150000000004E-3</v>
      </c>
      <c r="AA6544">
        <v>0.99274119999999999</v>
      </c>
      <c r="AB6544">
        <v>23</v>
      </c>
      <c r="AC6544">
        <v>30.9848</v>
      </c>
      <c r="AD6544">
        <v>-1.1114013036893999</v>
      </c>
      <c r="AE6544">
        <v>0.21235000000000001</v>
      </c>
      <c r="AF6544">
        <v>-3.7350542280760699</v>
      </c>
      <c r="AG6544">
        <v>-1.1114013036893999</v>
      </c>
      <c r="AH6544">
        <v>30.719482857876301</v>
      </c>
      <c r="AI6544">
        <v>92.056867878381496</v>
      </c>
      <c r="AJ6544">
        <v>96.932328824511799</v>
      </c>
      <c r="AK6544">
        <v>30.965665986699999</v>
      </c>
      <c r="AL6544">
        <v>80.549323331592703</v>
      </c>
      <c r="AM6544">
        <v>97.549507168008603</v>
      </c>
      <c r="AN6544">
        <v>1.0000000220626399</v>
      </c>
    </row>
    <row r="6545" spans="1:40" x14ac:dyDescent="0.25">
      <c r="A6545" t="str">
        <f>"20190304155233994"</f>
        <v>20190304155233994</v>
      </c>
      <c r="B6545" t="str">
        <f>"1551685953983268"</f>
        <v>1551685953983268</v>
      </c>
      <c r="C6545" t="s">
        <v>40</v>
      </c>
      <c r="D6545">
        <v>4.1602489999999896</v>
      </c>
      <c r="E6545">
        <v>0.50392590000000004</v>
      </c>
      <c r="F6545" t="s">
        <v>104</v>
      </c>
      <c r="G6545">
        <v>-241.39099999999999</v>
      </c>
      <c r="H6545" s="1">
        <v>-7.4543320000000004E-8</v>
      </c>
      <c r="I6545">
        <v>-62.2277699999999</v>
      </c>
      <c r="J6545">
        <v>-272.84699999999998</v>
      </c>
      <c r="K6545">
        <v>1.111397</v>
      </c>
      <c r="L6545">
        <v>-62.385379999999998</v>
      </c>
      <c r="M6545">
        <v>0.99354469999999995</v>
      </c>
      <c r="N6545">
        <v>-1.052429E-2</v>
      </c>
      <c r="O6545">
        <v>-0.1129525</v>
      </c>
      <c r="P6545">
        <v>0.98790120000000003</v>
      </c>
      <c r="Q6545">
        <v>0.15408039999999901</v>
      </c>
      <c r="R6545">
        <v>1.762302E-2</v>
      </c>
      <c r="S6545">
        <v>3.0533139999999999</v>
      </c>
      <c r="T6545">
        <v>-0.1075252</v>
      </c>
      <c r="U6545">
        <v>1.4190670000000001E-2</v>
      </c>
      <c r="V6545">
        <v>-0.12958620000000001</v>
      </c>
      <c r="W6545">
        <v>0.16399999999999901</v>
      </c>
      <c r="X6545">
        <v>0.9779118</v>
      </c>
      <c r="Y6545">
        <v>-0.1174466</v>
      </c>
      <c r="Z6545">
        <v>5.4656359999999899E-3</v>
      </c>
      <c r="AA6545">
        <v>0.99306419999999995</v>
      </c>
      <c r="AB6545">
        <v>23</v>
      </c>
      <c r="AC6545">
        <v>31.4559999999999</v>
      </c>
      <c r="AD6545">
        <v>-1.1113970745433199</v>
      </c>
      <c r="AE6545">
        <v>0.15761000000001199</v>
      </c>
      <c r="AF6545">
        <v>-3.7052064676332601</v>
      </c>
      <c r="AG6545">
        <v>-1.1113970745433199</v>
      </c>
      <c r="AH6545">
        <v>31.197923537848101</v>
      </c>
      <c r="AI6545">
        <v>92.026019700352094</v>
      </c>
      <c r="AJ6545">
        <v>96.772980428175401</v>
      </c>
      <c r="AK6545">
        <v>31.436828585251899</v>
      </c>
      <c r="AL6545">
        <v>80.560852971374601</v>
      </c>
      <c r="AM6545">
        <v>97.548467765039604</v>
      </c>
      <c r="AN6545">
        <v>1.00000003590483</v>
      </c>
    </row>
    <row r="6546" spans="1:40" x14ac:dyDescent="0.25">
      <c r="A6546" t="str">
        <f>"20190304155234039"</f>
        <v>20190304155234039</v>
      </c>
      <c r="B6546" t="str">
        <f>"1551685954033044"</f>
        <v>1551685954033044</v>
      </c>
      <c r="C6546" t="s">
        <v>40</v>
      </c>
      <c r="D6546">
        <v>4.0920239999999897</v>
      </c>
      <c r="E6546">
        <v>0.54536010000000001</v>
      </c>
      <c r="F6546" t="s">
        <v>104</v>
      </c>
      <c r="G6546">
        <v>-241.42490000000001</v>
      </c>
      <c r="H6546" s="1">
        <v>-8.4137919999999996E-8</v>
      </c>
      <c r="I6546">
        <v>-62.209119999999999</v>
      </c>
      <c r="J6546">
        <v>-272.39170000000001</v>
      </c>
      <c r="K6546">
        <v>1.111381</v>
      </c>
      <c r="L6546">
        <v>-62.431950000000001</v>
      </c>
      <c r="M6546">
        <v>0.99400569999999999</v>
      </c>
      <c r="N6546">
        <v>-1.030385E-2</v>
      </c>
      <c r="O6546">
        <v>-0.1088418</v>
      </c>
      <c r="P6546">
        <v>0.98781379999999996</v>
      </c>
      <c r="Q6546">
        <v>0.15429679999999901</v>
      </c>
      <c r="R6546">
        <v>2.0413279999999999E-2</v>
      </c>
      <c r="S6546">
        <v>3.0533139999999999</v>
      </c>
      <c r="T6546">
        <v>-0.10799549999999999</v>
      </c>
      <c r="U6546">
        <v>1.7120360000000001E-2</v>
      </c>
      <c r="V6546">
        <v>-0.1283038</v>
      </c>
      <c r="W6546">
        <v>0.16400100000000001</v>
      </c>
      <c r="X6546">
        <v>0.97808070000000003</v>
      </c>
      <c r="Y6546">
        <v>-0.1142933</v>
      </c>
      <c r="Z6546">
        <v>5.3299180000000003E-3</v>
      </c>
      <c r="AA6546">
        <v>0.9934328</v>
      </c>
      <c r="AB6546">
        <v>23</v>
      </c>
      <c r="AC6546">
        <v>30.966799999999999</v>
      </c>
      <c r="AD6546">
        <v>-1.1113810841379199</v>
      </c>
      <c r="AE6546">
        <v>0.222830000000001</v>
      </c>
      <c r="AF6546">
        <v>-3.5875464608966801</v>
      </c>
      <c r="AG6546">
        <v>-1.1113810841379199</v>
      </c>
      <c r="AH6546">
        <v>30.718989151049701</v>
      </c>
      <c r="AI6546">
        <v>92.058023049323793</v>
      </c>
      <c r="AJ6546">
        <v>96.661167848857502</v>
      </c>
      <c r="AK6546">
        <v>30.947729351045801</v>
      </c>
      <c r="AL6546">
        <v>80.560794779627003</v>
      </c>
      <c r="AM6546">
        <v>97.473339905727897</v>
      </c>
      <c r="AN6546">
        <v>1.00000002440396</v>
      </c>
    </row>
    <row r="6547" spans="1:40" x14ac:dyDescent="0.25">
      <c r="A6547" t="str">
        <f>"20190304155234051"</f>
        <v>20190304155234051</v>
      </c>
      <c r="B6547" t="str">
        <f>"1551685954043780"</f>
        <v>1551685954043780</v>
      </c>
      <c r="C6547" t="s">
        <v>40</v>
      </c>
      <c r="D6547">
        <v>4.7219949999999997</v>
      </c>
      <c r="E6547">
        <v>0.54258209999999996</v>
      </c>
      <c r="F6547" t="s">
        <v>51</v>
      </c>
      <c r="G6547">
        <v>-271.61709999999999</v>
      </c>
      <c r="H6547">
        <v>0.98620739999999996</v>
      </c>
      <c r="I6547">
        <v>-62.508479999999999</v>
      </c>
      <c r="J6547">
        <v>-272.27980000000002</v>
      </c>
      <c r="K6547">
        <v>1.1113759999999999</v>
      </c>
      <c r="L6547">
        <v>-62.443080000000002</v>
      </c>
      <c r="M6547">
        <v>0.99411669999999996</v>
      </c>
      <c r="N6547">
        <v>-1.025E-2</v>
      </c>
      <c r="O6547">
        <v>-0.1078293</v>
      </c>
      <c r="P6547">
        <v>0.98779410000000001</v>
      </c>
      <c r="Q6547">
        <v>0.1543098</v>
      </c>
      <c r="R6547">
        <v>2.1255400000000001E-2</v>
      </c>
      <c r="S6547">
        <v>3.1221920000000001</v>
      </c>
      <c r="T6547">
        <v>-0.50465990000000005</v>
      </c>
      <c r="U6547">
        <v>-0.307403599999999</v>
      </c>
      <c r="V6547">
        <v>-0.128141899999999</v>
      </c>
      <c r="W6547">
        <v>0.16396050000000001</v>
      </c>
      <c r="X6547">
        <v>0.97810870000000005</v>
      </c>
      <c r="Y6547">
        <v>-8.5782849999999997E-3</v>
      </c>
      <c r="Z6547">
        <v>1.6860190000000001E-2</v>
      </c>
      <c r="AA6547">
        <v>0.99982110000000002</v>
      </c>
      <c r="AB6547">
        <v>23</v>
      </c>
      <c r="AC6547">
        <v>0.66270000000002904</v>
      </c>
      <c r="AD6547">
        <v>-0.12516859999999899</v>
      </c>
      <c r="AE6547">
        <v>-6.5400000000003899E-2</v>
      </c>
      <c r="AF6547">
        <v>-6.2236974151745599E-3</v>
      </c>
      <c r="AG6547">
        <v>-0.12516859999999899</v>
      </c>
      <c r="AH6547">
        <v>0.64316485228132503</v>
      </c>
      <c r="AI6547">
        <v>101.012374052799</v>
      </c>
      <c r="AJ6547">
        <v>90.554415347848405</v>
      </c>
      <c r="AK6547">
        <v>0.65526097094633595</v>
      </c>
      <c r="AL6547">
        <v>80.563146968864501</v>
      </c>
      <c r="AM6547">
        <v>97.463804815797999</v>
      </c>
      <c r="AN6547">
        <v>1.00000001055577</v>
      </c>
    </row>
    <row r="6548" spans="1:40" x14ac:dyDescent="0.25">
      <c r="A6548" t="str">
        <f>"20190304155234062"</f>
        <v>20190304155234062</v>
      </c>
      <c r="B6548" t="str">
        <f>"1551685954053540"</f>
        <v>1551685954053540</v>
      </c>
      <c r="C6548" t="s">
        <v>40</v>
      </c>
      <c r="D6548">
        <v>4.873138</v>
      </c>
      <c r="E6548">
        <v>0.54199219999999904</v>
      </c>
      <c r="F6548" t="s">
        <v>51</v>
      </c>
      <c r="G6548">
        <v>-271.41750000000002</v>
      </c>
      <c r="H6548">
        <v>0.97805330000000001</v>
      </c>
      <c r="I6548">
        <v>-62.521509999999999</v>
      </c>
      <c r="J6548">
        <v>-272.16660000000002</v>
      </c>
      <c r="K6548">
        <v>1.1113679999999999</v>
      </c>
      <c r="L6548">
        <v>-62.454250000000002</v>
      </c>
      <c r="M6548">
        <v>0.99422809999999995</v>
      </c>
      <c r="N6548">
        <v>-1.0196729999999999E-2</v>
      </c>
      <c r="O6548">
        <v>-0.1068023</v>
      </c>
      <c r="P6548">
        <v>0.98777420000000005</v>
      </c>
      <c r="Q6548">
        <v>0.1543417</v>
      </c>
      <c r="R6548">
        <v>2.1925480000000001E-2</v>
      </c>
      <c r="S6548">
        <v>3.1184690000000002</v>
      </c>
      <c r="T6548">
        <v>-0.48227619999999999</v>
      </c>
      <c r="U6548">
        <v>-0.28250120000000001</v>
      </c>
      <c r="V6548">
        <v>-0.1277953</v>
      </c>
      <c r="W6548">
        <v>0.16394120000000001</v>
      </c>
      <c r="X6548">
        <v>0.97815730000000001</v>
      </c>
      <c r="Y6548">
        <v>-1.538293E-2</v>
      </c>
      <c r="Z6548">
        <v>1.6518769999999999E-2</v>
      </c>
      <c r="AA6548">
        <v>0.9997452</v>
      </c>
      <c r="AB6548">
        <v>23</v>
      </c>
      <c r="AC6548">
        <v>0.74909999999999799</v>
      </c>
      <c r="AD6548">
        <v>-0.13331470000000001</v>
      </c>
      <c r="AE6548">
        <v>-6.7259999999997405E-2</v>
      </c>
      <c r="AF6548">
        <v>-1.2734402921698701E-2</v>
      </c>
      <c r="AG6548">
        <v>-0.13331470000000001</v>
      </c>
      <c r="AH6548">
        <v>0.72909163546918998</v>
      </c>
      <c r="AI6548">
        <v>100.36053950357901</v>
      </c>
      <c r="AJ6548">
        <v>91.000633288621401</v>
      </c>
      <c r="AK6548">
        <v>0.74128913870702395</v>
      </c>
      <c r="AL6548">
        <v>80.564268127716005</v>
      </c>
      <c r="AM6548">
        <v>97.443477618797303</v>
      </c>
      <c r="AN6548">
        <v>1.0000000296514</v>
      </c>
    </row>
    <row r="6549" spans="1:40" x14ac:dyDescent="0.25">
      <c r="A6549" t="str">
        <f>"20190304155234075"</f>
        <v>20190304155234075</v>
      </c>
      <c r="B6549" t="str">
        <f>"1551685954063300"</f>
        <v>1551685954063300</v>
      </c>
      <c r="C6549" t="s">
        <v>40</v>
      </c>
      <c r="D6549">
        <v>5.0968849999999897</v>
      </c>
      <c r="E6549">
        <v>0.54059699999999999</v>
      </c>
      <c r="F6549" t="s">
        <v>51</v>
      </c>
      <c r="G6549">
        <v>-271.40499999999997</v>
      </c>
      <c r="H6549">
        <v>1.0041580000000001</v>
      </c>
      <c r="I6549">
        <v>-62.522030000000001</v>
      </c>
      <c r="J6549">
        <v>-272.04109999999997</v>
      </c>
      <c r="K6549">
        <v>1.1113649999999999</v>
      </c>
      <c r="L6549">
        <v>-62.46649</v>
      </c>
      <c r="M6549">
        <v>0.99435019999999996</v>
      </c>
      <c r="N6549">
        <v>-1.013901E-2</v>
      </c>
      <c r="O6549">
        <v>-0.10566390000000001</v>
      </c>
      <c r="P6549">
        <v>0.98774300000000004</v>
      </c>
      <c r="Q6549">
        <v>0.15444639999999901</v>
      </c>
      <c r="R6549">
        <v>2.259386E-2</v>
      </c>
      <c r="S6549">
        <v>3.111694</v>
      </c>
      <c r="T6549">
        <v>-0.43821749999999998</v>
      </c>
      <c r="U6549">
        <v>-0.27569579999999999</v>
      </c>
      <c r="V6549">
        <v>-0.12733710000000001</v>
      </c>
      <c r="W6549">
        <v>0.16398960000000001</v>
      </c>
      <c r="X6549">
        <v>0.97820890000000005</v>
      </c>
      <c r="Y6549">
        <v>-1.6439019999999999E-2</v>
      </c>
      <c r="Z6549">
        <v>1.4907429999999999E-2</v>
      </c>
      <c r="AA6549">
        <v>0.99975369999999997</v>
      </c>
      <c r="AB6549">
        <v>23</v>
      </c>
      <c r="AC6549">
        <v>0.636099999999999</v>
      </c>
      <c r="AD6549">
        <v>-0.107207</v>
      </c>
      <c r="AE6549">
        <v>-5.5540000000007597E-2</v>
      </c>
      <c r="AF6549">
        <v>-1.1658556672157301E-2</v>
      </c>
      <c r="AG6549">
        <v>-0.107207</v>
      </c>
      <c r="AH6549">
        <v>0.62090418374440004</v>
      </c>
      <c r="AI6549">
        <v>99.794563697576905</v>
      </c>
      <c r="AJ6549">
        <v>91.075701571289201</v>
      </c>
      <c r="AK6549">
        <v>0.63019938764170302</v>
      </c>
      <c r="AL6549">
        <v>80.561456578787997</v>
      </c>
      <c r="AM6549">
        <v>97.4167004089946</v>
      </c>
      <c r="AN6549">
        <v>0.99999998899189002</v>
      </c>
    </row>
    <row r="6550" spans="1:40" x14ac:dyDescent="0.25">
      <c r="A6550" t="str">
        <f>"20190304155234086"</f>
        <v>20190304155234086</v>
      </c>
      <c r="B6550" t="str">
        <f>"1551685954083796"</f>
        <v>1551685954083796</v>
      </c>
      <c r="C6550" t="s">
        <v>40</v>
      </c>
      <c r="D6550">
        <v>4.8104500000000003</v>
      </c>
      <c r="E6550">
        <v>0.53761320000000001</v>
      </c>
      <c r="F6550" t="s">
        <v>51</v>
      </c>
      <c r="G6550">
        <v>-271.20100000000002</v>
      </c>
      <c r="H6550">
        <v>1.005425</v>
      </c>
      <c r="I6550">
        <v>-62.537669999999999</v>
      </c>
      <c r="J6550">
        <v>-271.91309999999999</v>
      </c>
      <c r="K6550">
        <v>1.1113630000000001</v>
      </c>
      <c r="L6550">
        <v>-62.478879999999997</v>
      </c>
      <c r="M6550">
        <v>0.99447359999999896</v>
      </c>
      <c r="N6550">
        <v>-1.0081110000000001E-2</v>
      </c>
      <c r="O6550">
        <v>-0.1045024</v>
      </c>
      <c r="P6550">
        <v>0.98768480000000003</v>
      </c>
      <c r="Q6550">
        <v>0.154698799999999</v>
      </c>
      <c r="R6550">
        <v>2.3385650000000001E-2</v>
      </c>
      <c r="S6550">
        <v>3.1044619999999998</v>
      </c>
      <c r="T6550">
        <v>-0.3916</v>
      </c>
      <c r="U6550">
        <v>-0.26229859999999999</v>
      </c>
      <c r="V6550">
        <v>-0.12697559999999999</v>
      </c>
      <c r="W6550">
        <v>0.16418529999999901</v>
      </c>
      <c r="X6550">
        <v>0.97822310000000001</v>
      </c>
      <c r="Y6550">
        <v>-1.9548920000000001E-2</v>
      </c>
      <c r="Z6550">
        <v>1.3349140000000001E-2</v>
      </c>
      <c r="AA6550">
        <v>0.99971980000000005</v>
      </c>
      <c r="AB6550">
        <v>23</v>
      </c>
      <c r="AC6550">
        <v>0.71210000000002005</v>
      </c>
      <c r="AD6550">
        <v>-0.10593799999999901</v>
      </c>
      <c r="AE6550">
        <v>-5.8789999999994701E-2</v>
      </c>
      <c r="AF6550">
        <v>-1.560875078526E-2</v>
      </c>
      <c r="AG6550">
        <v>-0.10593799999999901</v>
      </c>
      <c r="AH6550">
        <v>0.69897948447286296</v>
      </c>
      <c r="AI6550">
        <v>98.616098013811396</v>
      </c>
      <c r="AJ6550">
        <v>91.279246320769104</v>
      </c>
      <c r="AK6550">
        <v>0.70713422534836001</v>
      </c>
      <c r="AL6550">
        <v>80.550090065075594</v>
      </c>
      <c r="AM6550">
        <v>97.395772245001595</v>
      </c>
      <c r="AN6550">
        <v>1.00000002455252</v>
      </c>
    </row>
    <row r="6551" spans="1:40" x14ac:dyDescent="0.25">
      <c r="A6551" t="str">
        <f>"20190304155234099"</f>
        <v>20190304155234099</v>
      </c>
      <c r="B6551" t="str">
        <f>"1551685954093556"</f>
        <v>1551685954093556</v>
      </c>
      <c r="C6551" t="s">
        <v>40</v>
      </c>
      <c r="D6551">
        <v>5.3363040000000002</v>
      </c>
      <c r="E6551">
        <v>0.53761320000000001</v>
      </c>
      <c r="F6551" t="s">
        <v>41</v>
      </c>
      <c r="G6551">
        <v>-260.7912</v>
      </c>
      <c r="H6551" s="1">
        <v>-1.2765100000000001E-7</v>
      </c>
      <c r="I6551">
        <v>-63.326210000000003</v>
      </c>
      <c r="J6551">
        <v>-271.80619999999999</v>
      </c>
      <c r="K6551">
        <v>1.111359</v>
      </c>
      <c r="L6551">
        <v>-62.48901</v>
      </c>
      <c r="M6551">
        <v>0.99457569999999995</v>
      </c>
      <c r="N6551">
        <v>-1.003272E-2</v>
      </c>
      <c r="O6551">
        <v>-0.10353130000000001</v>
      </c>
      <c r="P6551">
        <v>0.98769549999999995</v>
      </c>
      <c r="Q6551">
        <v>0.15453210000000001</v>
      </c>
      <c r="R6551">
        <v>2.4038380000000002E-2</v>
      </c>
      <c r="S6551">
        <v>3.09137</v>
      </c>
      <c r="T6551">
        <v>-0.30890759999999901</v>
      </c>
      <c r="U6551">
        <v>-0.23553470000000001</v>
      </c>
      <c r="V6551">
        <v>-0.12667</v>
      </c>
      <c r="W6551">
        <v>0.163971799999999</v>
      </c>
      <c r="X6551">
        <v>0.97829849999999996</v>
      </c>
      <c r="Y6551">
        <v>-2.711469E-2</v>
      </c>
      <c r="Z6551">
        <v>1.0729590000000001E-2</v>
      </c>
      <c r="AA6551">
        <v>0.99957470000000004</v>
      </c>
      <c r="AB6551">
        <v>23</v>
      </c>
      <c r="AC6551">
        <v>11.014999999999899</v>
      </c>
      <c r="AD6551">
        <v>-1.111359127651</v>
      </c>
      <c r="AE6551">
        <v>-0.83719999999999495</v>
      </c>
      <c r="AF6551">
        <v>-0.30467027743520098</v>
      </c>
      <c r="AG6551">
        <v>-1.111359127651</v>
      </c>
      <c r="AH6551">
        <v>10.9318374510071</v>
      </c>
      <c r="AI6551">
        <v>95.802657145455697</v>
      </c>
      <c r="AJ6551">
        <v>91.596419958514801</v>
      </c>
      <c r="AK6551">
        <v>10.992407067781301</v>
      </c>
      <c r="AL6551">
        <v>80.562490520437606</v>
      </c>
      <c r="AM6551">
        <v>97.377606353795201</v>
      </c>
      <c r="AN6551">
        <v>0.99999999759874403</v>
      </c>
    </row>
    <row r="6552" spans="1:40" x14ac:dyDescent="0.25">
      <c r="A6552" t="str">
        <f>"20190304155234111"</f>
        <v>20190304155234111</v>
      </c>
      <c r="B6552" t="str">
        <f>"1551685954103316"</f>
        <v>1551685954103316</v>
      </c>
      <c r="C6552" t="s">
        <v>40</v>
      </c>
      <c r="D6552">
        <v>4.8917129999999904</v>
      </c>
      <c r="E6552">
        <v>0.54290680000000002</v>
      </c>
      <c r="F6552" t="s">
        <v>51</v>
      </c>
      <c r="G6552">
        <v>-270.983</v>
      </c>
      <c r="H6552">
        <v>1.0290349999999999</v>
      </c>
      <c r="I6552">
        <v>-62.551389999999998</v>
      </c>
      <c r="J6552">
        <v>-271.67689999999999</v>
      </c>
      <c r="K6552">
        <v>1.1113550000000001</v>
      </c>
      <c r="L6552">
        <v>-62.501220000000004</v>
      </c>
      <c r="M6552">
        <v>0.99469770000000002</v>
      </c>
      <c r="N6552">
        <v>-9.9740049999999993E-3</v>
      </c>
      <c r="O6552">
        <v>-0.102358</v>
      </c>
      <c r="P6552">
        <v>0.98766469999999995</v>
      </c>
      <c r="Q6552">
        <v>0.15458849999999999</v>
      </c>
      <c r="R6552">
        <v>2.4920540000000001E-2</v>
      </c>
      <c r="S6552">
        <v>3.0914609999999998</v>
      </c>
      <c r="T6552">
        <v>-0.30924000000000001</v>
      </c>
      <c r="U6552">
        <v>-0.23400879999999999</v>
      </c>
      <c r="V6552">
        <v>-0.12639010000000001</v>
      </c>
      <c r="W6552">
        <v>0.163970899999999</v>
      </c>
      <c r="X6552">
        <v>0.97833479999999995</v>
      </c>
      <c r="Y6552">
        <v>-2.6434820000000001E-2</v>
      </c>
      <c r="Z6552">
        <v>1.060548E-2</v>
      </c>
      <c r="AA6552">
        <v>0.99959430000000005</v>
      </c>
      <c r="AB6552">
        <v>23</v>
      </c>
      <c r="AC6552">
        <v>0.69389999999998497</v>
      </c>
      <c r="AD6552">
        <v>-8.2319999999999699E-2</v>
      </c>
      <c r="AE6552">
        <v>-5.0170000000008402E-2</v>
      </c>
      <c r="AF6552">
        <v>-2.0831622455965201E-2</v>
      </c>
      <c r="AG6552">
        <v>-8.2319999999999699E-2</v>
      </c>
      <c r="AH6552">
        <v>0.68578898224443097</v>
      </c>
      <c r="AI6552">
        <v>96.841733159304994</v>
      </c>
      <c r="AJ6552">
        <v>91.739889640510597</v>
      </c>
      <c r="AK6552">
        <v>0.69102609723656605</v>
      </c>
      <c r="AL6552">
        <v>80.562542313773406</v>
      </c>
      <c r="AM6552">
        <v>97.361213080498104</v>
      </c>
      <c r="AN6552">
        <v>0.99999994715792795</v>
      </c>
    </row>
    <row r="6553" spans="1:40" x14ac:dyDescent="0.25">
      <c r="A6553" t="str">
        <f>"20190304155234123"</f>
        <v>20190304155234123</v>
      </c>
      <c r="B6553" t="str">
        <f>"1551685954114053"</f>
        <v>1551685954114053</v>
      </c>
      <c r="C6553" t="s">
        <v>40</v>
      </c>
      <c r="D6553">
        <v>5.0347689999999998</v>
      </c>
      <c r="E6553">
        <v>0.53245319999999996</v>
      </c>
      <c r="F6553" t="s">
        <v>53</v>
      </c>
      <c r="G6553">
        <v>0</v>
      </c>
      <c r="H6553">
        <v>0</v>
      </c>
      <c r="I6553">
        <v>0</v>
      </c>
      <c r="J6553">
        <v>-271.54360000000003</v>
      </c>
      <c r="K6553">
        <v>1.1113519999999999</v>
      </c>
      <c r="L6553">
        <v>-62.51361</v>
      </c>
      <c r="M6553">
        <v>0.99482219999999999</v>
      </c>
      <c r="N6553">
        <v>-9.9125540000000005E-3</v>
      </c>
      <c r="O6553">
        <v>-0.1011465</v>
      </c>
      <c r="P6553">
        <v>0.98767490000000002</v>
      </c>
      <c r="Q6553">
        <v>0.15436920000000001</v>
      </c>
      <c r="R6553">
        <v>2.58608E-2</v>
      </c>
      <c r="S6553">
        <v>3.0405880000000001</v>
      </c>
      <c r="T6553">
        <v>2.3850079999999999E-2</v>
      </c>
      <c r="U6553">
        <v>-0.27111819999999998</v>
      </c>
      <c r="V6553">
        <v>-0.12613389999999999</v>
      </c>
      <c r="W6553">
        <v>0.163691</v>
      </c>
      <c r="X6553">
        <v>0.97841480000000003</v>
      </c>
      <c r="Y6553">
        <v>-1.2377559999999999E-2</v>
      </c>
      <c r="Z6553">
        <v>-1.779917E-3</v>
      </c>
      <c r="AA6553">
        <v>0.99992179999999997</v>
      </c>
      <c r="AB6553">
        <v>23</v>
      </c>
      <c r="AC6553">
        <v>3.0405880000000001</v>
      </c>
      <c r="AD6553">
        <v>2.3850079999999999E-2</v>
      </c>
      <c r="AE6553">
        <v>-0.27111819999999998</v>
      </c>
      <c r="AF6553">
        <v>-3.7829977914500899E-2</v>
      </c>
      <c r="AG6553">
        <v>2.3850079999999999E-2</v>
      </c>
      <c r="AH6553">
        <v>3.0522306283129699</v>
      </c>
      <c r="AI6553">
        <v>89.552335213279804</v>
      </c>
      <c r="AJ6553">
        <v>90.710099386321801</v>
      </c>
      <c r="AK6553">
        <v>3.0525582290853599</v>
      </c>
      <c r="AL6553">
        <v>80.578799679080504</v>
      </c>
      <c r="AM6553">
        <v>97.345860527027995</v>
      </c>
      <c r="AN6553">
        <v>1.00000001253462</v>
      </c>
    </row>
    <row r="6554" spans="1:40" x14ac:dyDescent="0.25">
      <c r="A6554" t="str">
        <f>"20190304155234134"</f>
        <v>20190304155234134</v>
      </c>
      <c r="B6554" t="str">
        <f>"1551685954123812"</f>
        <v>1551685954123812</v>
      </c>
      <c r="C6554" t="s">
        <v>40</v>
      </c>
      <c r="D6554">
        <v>4.8746390000000002</v>
      </c>
      <c r="E6554">
        <v>0.52882059999999997</v>
      </c>
      <c r="F6554" t="s">
        <v>42</v>
      </c>
      <c r="G6554">
        <v>-161.89959999999999</v>
      </c>
      <c r="H6554">
        <v>-0.05</v>
      </c>
      <c r="I6554">
        <v>-69.191909999999993</v>
      </c>
      <c r="J6554">
        <v>-271.42880000000002</v>
      </c>
      <c r="K6554">
        <v>1.111351</v>
      </c>
      <c r="L6554">
        <v>-62.524140000000003</v>
      </c>
      <c r="M6554">
        <v>0.99492820000000004</v>
      </c>
      <c r="N6554">
        <v>-9.860845E-3</v>
      </c>
      <c r="O6554">
        <v>-0.10010289999999999</v>
      </c>
      <c r="P6554">
        <v>0.98766549999999997</v>
      </c>
      <c r="Q6554">
        <v>0.15431310000000001</v>
      </c>
      <c r="R6554">
        <v>2.653807E-2</v>
      </c>
      <c r="S6554">
        <v>3.0473020000000002</v>
      </c>
      <c r="T6554">
        <v>-3.2277109999999998E-2</v>
      </c>
      <c r="U6554">
        <v>-0.18560789999999999</v>
      </c>
      <c r="V6554">
        <v>-0.12578010000000001</v>
      </c>
      <c r="W6554">
        <v>0.16358510000000001</v>
      </c>
      <c r="X6554">
        <v>0.97847799999999996</v>
      </c>
      <c r="Y6554">
        <v>-3.9427459999999998E-2</v>
      </c>
      <c r="Z6554">
        <v>4.7213829999999998E-4</v>
      </c>
      <c r="AA6554">
        <v>0.99922230000000001</v>
      </c>
      <c r="AB6554">
        <v>23</v>
      </c>
      <c r="AC6554">
        <v>109.5292</v>
      </c>
      <c r="AD6554">
        <v>-1.161351</v>
      </c>
      <c r="AE6554">
        <v>-6.6677699999999902</v>
      </c>
      <c r="AF6554">
        <v>-4.3299637987070003</v>
      </c>
      <c r="AG6554">
        <v>-1.161351</v>
      </c>
      <c r="AH6554">
        <v>109.634206358127</v>
      </c>
      <c r="AI6554">
        <v>90.606436576335895</v>
      </c>
      <c r="AJ6554">
        <v>92.261700870198297</v>
      </c>
      <c r="AK6554">
        <v>109.725824336934</v>
      </c>
      <c r="AL6554">
        <v>80.584949685500504</v>
      </c>
      <c r="AM6554">
        <v>97.325011821024404</v>
      </c>
      <c r="AN6554">
        <v>0.99999995749100901</v>
      </c>
    </row>
    <row r="6555" spans="1:40" x14ac:dyDescent="0.25">
      <c r="A6555" t="str">
        <f>"20190304155234144"</f>
        <v>20190304155234144</v>
      </c>
      <c r="B6555" t="str">
        <f>"1551685954133572"</f>
        <v>1551685954133572</v>
      </c>
      <c r="C6555" t="s">
        <v>40</v>
      </c>
      <c r="D6555">
        <v>4.8879380000000001</v>
      </c>
      <c r="E6555">
        <v>0.5272403</v>
      </c>
      <c r="F6555" t="s">
        <v>105</v>
      </c>
      <c r="G6555">
        <v>-214.22810000000001</v>
      </c>
      <c r="H6555" s="1">
        <v>-2.1241039999999998E-6</v>
      </c>
      <c r="I6555">
        <v>-65.424430000000001</v>
      </c>
      <c r="J6555">
        <v>-271.32709999999997</v>
      </c>
      <c r="K6555">
        <v>1.1113500000000001</v>
      </c>
      <c r="L6555">
        <v>-62.5334199999999</v>
      </c>
      <c r="M6555">
        <v>0.9950215</v>
      </c>
      <c r="N6555">
        <v>-9.8155849999999999E-3</v>
      </c>
      <c r="O6555">
        <v>-9.9177459999999995E-2</v>
      </c>
      <c r="P6555">
        <v>0.98766580000000004</v>
      </c>
      <c r="Q6555">
        <v>0.15416659999999999</v>
      </c>
      <c r="R6555">
        <v>2.73721E-2</v>
      </c>
      <c r="S6555">
        <v>3.0508730000000002</v>
      </c>
      <c r="T6555">
        <v>-5.9275389999999997E-2</v>
      </c>
      <c r="U6555">
        <v>-0.15469359999999999</v>
      </c>
      <c r="V6555">
        <v>-0.12569930000000001</v>
      </c>
      <c r="W6555">
        <v>0.16339319999999999</v>
      </c>
      <c r="X6555">
        <v>0.97852050000000002</v>
      </c>
      <c r="Y6555">
        <v>-4.8646719999999997E-2</v>
      </c>
      <c r="Z6555">
        <v>1.6584309999999999E-3</v>
      </c>
      <c r="AA6555">
        <v>0.9988146</v>
      </c>
      <c r="AB6555">
        <v>23</v>
      </c>
      <c r="AC6555">
        <v>57.098999999999897</v>
      </c>
      <c r="AD6555">
        <v>-1.1113521241040001</v>
      </c>
      <c r="AE6555">
        <v>-2.8910100000000001</v>
      </c>
      <c r="AF6555">
        <v>-2.7853979996575502</v>
      </c>
      <c r="AG6555">
        <v>-1.1113521241040001</v>
      </c>
      <c r="AH6555">
        <v>57.082628619494102</v>
      </c>
      <c r="AI6555">
        <v>91.114035927941103</v>
      </c>
      <c r="AJ6555">
        <v>92.793583083998001</v>
      </c>
      <c r="AK6555">
        <v>57.161350890888997</v>
      </c>
      <c r="AL6555">
        <v>80.596095202611593</v>
      </c>
      <c r="AM6555">
        <v>97.320042860612702</v>
      </c>
      <c r="AN6555">
        <v>1.0000000103734901</v>
      </c>
    </row>
    <row r="6556" spans="1:40" x14ac:dyDescent="0.25">
      <c r="A6556" t="str">
        <f>"20190304155234155"</f>
        <v>20190304155234155</v>
      </c>
      <c r="B6556" t="str">
        <f>"1551685954143332"</f>
        <v>1551685954143332</v>
      </c>
      <c r="C6556" t="s">
        <v>40</v>
      </c>
      <c r="D6556">
        <v>4.8550690000000003</v>
      </c>
      <c r="E6556">
        <v>0.52562969999999998</v>
      </c>
      <c r="F6556" t="s">
        <v>106</v>
      </c>
      <c r="G6556">
        <v>-227.47139999999999</v>
      </c>
      <c r="H6556" s="1">
        <v>-3.1059670000000001E-6</v>
      </c>
      <c r="I6556">
        <v>-64.533469999999994</v>
      </c>
      <c r="J6556">
        <v>-271.22379999999998</v>
      </c>
      <c r="K6556">
        <v>1.1113489999999999</v>
      </c>
      <c r="L6556">
        <v>-62.542659999999998</v>
      </c>
      <c r="M6556">
        <v>0.99511519999999998</v>
      </c>
      <c r="N6556">
        <v>-9.7726040000000007E-3</v>
      </c>
      <c r="O6556">
        <v>-9.8236870000000004E-2</v>
      </c>
      <c r="P6556">
        <v>0.98758820000000003</v>
      </c>
      <c r="Q6556">
        <v>0.15451099999999901</v>
      </c>
      <c r="R6556">
        <v>2.8212290000000001E-2</v>
      </c>
      <c r="S6556">
        <v>3.0534059999999998</v>
      </c>
      <c r="T6556">
        <v>-7.7376719999999996E-2</v>
      </c>
      <c r="U6556">
        <v>-0.13925170000000001</v>
      </c>
      <c r="V6556">
        <v>-0.1256042</v>
      </c>
      <c r="W6556">
        <v>0.16369420000000001</v>
      </c>
      <c r="X6556">
        <v>0.97848239999999997</v>
      </c>
      <c r="Y6556">
        <v>-5.2766729999999998E-2</v>
      </c>
      <c r="Z6556">
        <v>2.4483339999999999E-3</v>
      </c>
      <c r="AA6556">
        <v>0.99860389999999999</v>
      </c>
      <c r="AB6556">
        <v>23</v>
      </c>
      <c r="AC6556">
        <v>43.752400000000002</v>
      </c>
      <c r="AD6556">
        <v>-1.111352105967</v>
      </c>
      <c r="AE6556">
        <v>-1.99080999999999</v>
      </c>
      <c r="AF6556">
        <v>-2.3156329249639098</v>
      </c>
      <c r="AG6556">
        <v>-1.111352105967</v>
      </c>
      <c r="AH6556">
        <v>43.7081897483204</v>
      </c>
      <c r="AI6556">
        <v>91.454486004336005</v>
      </c>
      <c r="AJ6556">
        <v>93.032659796092602</v>
      </c>
      <c r="AK6556">
        <v>43.783594078396497</v>
      </c>
      <c r="AL6556">
        <v>80.578613769648896</v>
      </c>
      <c r="AM6556">
        <v>97.314846482611799</v>
      </c>
      <c r="AN6556">
        <v>1.0000000066405199</v>
      </c>
    </row>
    <row r="6557" spans="1:40" x14ac:dyDescent="0.25">
      <c r="A6557" t="str">
        <f>"20190304155234164"</f>
        <v>20190304155234164</v>
      </c>
      <c r="B6557" t="str">
        <f>"1551685954154069"</f>
        <v>1551685954154069</v>
      </c>
      <c r="C6557" t="s">
        <v>40</v>
      </c>
      <c r="D6557">
        <v>4.8644480000000003</v>
      </c>
      <c r="E6557">
        <v>0.52455379999999996</v>
      </c>
      <c r="F6557" t="s">
        <v>107</v>
      </c>
      <c r="G6557">
        <v>-230.65710000000001</v>
      </c>
      <c r="H6557" s="1">
        <v>-2.8049559999999998E-7</v>
      </c>
      <c r="I6557">
        <v>-64.184989999999999</v>
      </c>
      <c r="J6557">
        <v>-271.11520000000002</v>
      </c>
      <c r="K6557">
        <v>1.111351</v>
      </c>
      <c r="L6557">
        <v>-62.552340000000001</v>
      </c>
      <c r="M6557">
        <v>0.99521300000000001</v>
      </c>
      <c r="N6557">
        <v>-9.7285300000000009E-3</v>
      </c>
      <c r="O6557">
        <v>-9.7245979999999996E-2</v>
      </c>
      <c r="P6557">
        <v>0.98749980000000004</v>
      </c>
      <c r="Q6557">
        <v>0.15491179999999999</v>
      </c>
      <c r="R6557">
        <v>2.909811E-2</v>
      </c>
      <c r="S6557">
        <v>3.0543209999999998</v>
      </c>
      <c r="T6557">
        <v>-8.3674910000000005E-2</v>
      </c>
      <c r="U6557">
        <v>-0.12365719999999999</v>
      </c>
      <c r="V6557">
        <v>-0.12550439999999999</v>
      </c>
      <c r="W6557">
        <v>0.1640499</v>
      </c>
      <c r="X6557">
        <v>0.97843559999999996</v>
      </c>
      <c r="Y6557">
        <v>-5.6865979999999997E-2</v>
      </c>
      <c r="Z6557">
        <v>2.7661529999999999E-3</v>
      </c>
      <c r="AA6557">
        <v>0.99837799999999999</v>
      </c>
      <c r="AB6557">
        <v>23</v>
      </c>
      <c r="AC6557">
        <v>40.458100000000002</v>
      </c>
      <c r="AD6557">
        <v>-1.1113512804956001</v>
      </c>
      <c r="AE6557">
        <v>-1.6326499999999899</v>
      </c>
      <c r="AF6557">
        <v>-2.3079233595363098</v>
      </c>
      <c r="AG6557">
        <v>-1.1113512804956001</v>
      </c>
      <c r="AH6557">
        <v>40.3946713884012</v>
      </c>
      <c r="AI6557">
        <v>91.573377865334194</v>
      </c>
      <c r="AJ6557">
        <v>93.270002179702004</v>
      </c>
      <c r="AK6557">
        <v>40.475808682212502</v>
      </c>
      <c r="AL6557">
        <v>80.557954065430195</v>
      </c>
      <c r="AM6557">
        <v>97.309443101492704</v>
      </c>
      <c r="AN6557">
        <v>0.99999997372836402</v>
      </c>
    </row>
    <row r="6558" spans="1:40" x14ac:dyDescent="0.25">
      <c r="A6558" t="str">
        <f>"20190304155234174"</f>
        <v>20190304155234174</v>
      </c>
      <c r="B6558" t="str">
        <f>"1551685954163828"</f>
        <v>1551685954163828</v>
      </c>
      <c r="C6558" t="s">
        <v>40</v>
      </c>
      <c r="D6558">
        <v>4.915038</v>
      </c>
      <c r="E6558">
        <v>0.52374359999999998</v>
      </c>
      <c r="F6558" t="s">
        <v>107</v>
      </c>
      <c r="G6558">
        <v>-232.48310000000001</v>
      </c>
      <c r="H6558" s="1">
        <v>-1.007052E-6</v>
      </c>
      <c r="I6558">
        <v>-63.971609999999998</v>
      </c>
      <c r="J6558">
        <v>-271.02120000000002</v>
      </c>
      <c r="K6558">
        <v>1.111353</v>
      </c>
      <c r="L6558">
        <v>-62.560609999999997</v>
      </c>
      <c r="M6558">
        <v>0.99529699999999999</v>
      </c>
      <c r="N6558">
        <v>-9.6919929999999994E-3</v>
      </c>
      <c r="O6558">
        <v>-9.6385159999999998E-2</v>
      </c>
      <c r="P6558">
        <v>0.98742960000000002</v>
      </c>
      <c r="Q6558">
        <v>0.15517890000000001</v>
      </c>
      <c r="R6558">
        <v>3.0040310000000001E-2</v>
      </c>
      <c r="S6558">
        <v>3.0551149999999998</v>
      </c>
      <c r="T6558">
        <v>-8.7888240000000006E-2</v>
      </c>
      <c r="U6558">
        <v>-0.1122437</v>
      </c>
      <c r="V6558">
        <v>-0.12559100000000001</v>
      </c>
      <c r="W6558">
        <v>0.16427890000000001</v>
      </c>
      <c r="X6558">
        <v>0.97838610000000004</v>
      </c>
      <c r="Y6558">
        <v>-5.9730489999999997E-2</v>
      </c>
      <c r="Z6558">
        <v>2.9798749999999999E-3</v>
      </c>
      <c r="AA6558">
        <v>0.99821009999999999</v>
      </c>
      <c r="AB6558">
        <v>23</v>
      </c>
      <c r="AC6558">
        <v>38.5381</v>
      </c>
      <c r="AD6558">
        <v>-1.111354007052</v>
      </c>
      <c r="AE6558">
        <v>-1.411</v>
      </c>
      <c r="AF6558">
        <v>-2.3083281217551699</v>
      </c>
      <c r="AG6558">
        <v>-1.111354007052</v>
      </c>
      <c r="AH6558">
        <v>38.462716392905698</v>
      </c>
      <c r="AI6558">
        <v>91.652091159587997</v>
      </c>
      <c r="AJ6558">
        <v>93.434469196971506</v>
      </c>
      <c r="AK6558">
        <v>38.547944676308902</v>
      </c>
      <c r="AL6558">
        <v>80.544653205687794</v>
      </c>
      <c r="AM6558">
        <v>97.314798185043301</v>
      </c>
      <c r="AN6558">
        <v>1.0000000084697001</v>
      </c>
    </row>
    <row r="6559" spans="1:40" x14ac:dyDescent="0.25">
      <c r="A6559" t="str">
        <f>"20190304155234185"</f>
        <v>20190304155234185</v>
      </c>
      <c r="B6559" t="str">
        <f>"1551685954173588"</f>
        <v>1551685954173588</v>
      </c>
      <c r="C6559" t="s">
        <v>40</v>
      </c>
      <c r="D6559">
        <v>4.9317469999999997</v>
      </c>
      <c r="E6559">
        <v>0.52287470000000003</v>
      </c>
      <c r="F6559" t="s">
        <v>107</v>
      </c>
      <c r="G6559">
        <v>-233.78380000000001</v>
      </c>
      <c r="H6559" s="1">
        <v>-1.5232699999999999E-6</v>
      </c>
      <c r="I6559">
        <v>-63.814590000000003</v>
      </c>
      <c r="J6559">
        <v>-270.90559999999999</v>
      </c>
      <c r="K6559">
        <v>1.111356</v>
      </c>
      <c r="L6559">
        <v>-62.570680000000003</v>
      </c>
      <c r="M6559">
        <v>0.99539949999999999</v>
      </c>
      <c r="N6559">
        <v>-9.6476619999999996E-3</v>
      </c>
      <c r="O6559">
        <v>-9.5325699999999999E-2</v>
      </c>
      <c r="P6559">
        <v>0.98733499999999996</v>
      </c>
      <c r="Q6559">
        <v>0.1554961</v>
      </c>
      <c r="R6559">
        <v>3.1472670000000001E-2</v>
      </c>
      <c r="S6559">
        <v>3.0556640000000002</v>
      </c>
      <c r="T6559">
        <v>-9.1196659999999999E-2</v>
      </c>
      <c r="U6559">
        <v>-0.10290530000000001</v>
      </c>
      <c r="V6559">
        <v>-0.1259682</v>
      </c>
      <c r="W6559">
        <v>0.164548</v>
      </c>
      <c r="X6559">
        <v>0.9782923</v>
      </c>
      <c r="Y6559">
        <v>-6.1716E-2</v>
      </c>
      <c r="Z6559">
        <v>3.1368540000000001E-3</v>
      </c>
      <c r="AA6559">
        <v>0.9980888</v>
      </c>
      <c r="AB6559">
        <v>23</v>
      </c>
      <c r="AC6559">
        <v>37.121799999999901</v>
      </c>
      <c r="AD6559">
        <v>-1.1113575232699999</v>
      </c>
      <c r="AE6559">
        <v>-1.2439099999999901</v>
      </c>
      <c r="AF6559">
        <v>-2.2985231435914799</v>
      </c>
      <c r="AG6559">
        <v>-1.1113575232699999</v>
      </c>
      <c r="AH6559">
        <v>37.038158984885499</v>
      </c>
      <c r="AI6559">
        <v>91.715388799482</v>
      </c>
      <c r="AJ6559">
        <v>93.551121469731797</v>
      </c>
      <c r="AK6559">
        <v>37.126049415145303</v>
      </c>
      <c r="AL6559">
        <v>80.529021427768299</v>
      </c>
      <c r="AM6559">
        <v>97.337224221565407</v>
      </c>
      <c r="AN6559">
        <v>0.999999927977262</v>
      </c>
    </row>
    <row r="6560" spans="1:40" x14ac:dyDescent="0.25">
      <c r="A6560" t="str">
        <f>"20190304155234196"</f>
        <v>20190304155234196</v>
      </c>
      <c r="B6560" t="str">
        <f>"1551685954194084"</f>
        <v>1551685954194084</v>
      </c>
      <c r="C6560" t="s">
        <v>40</v>
      </c>
      <c r="D6560">
        <v>5.0537340000000004</v>
      </c>
      <c r="E6560">
        <v>0.52212460000000005</v>
      </c>
      <c r="F6560" t="s">
        <v>107</v>
      </c>
      <c r="G6560">
        <v>-234.8896</v>
      </c>
      <c r="H6560" s="1">
        <v>-1.9541160000000001E-6</v>
      </c>
      <c r="I6560">
        <v>-63.650959999999998</v>
      </c>
      <c r="J6560">
        <v>-270.8014</v>
      </c>
      <c r="K6560">
        <v>1.1113679999999999</v>
      </c>
      <c r="L6560">
        <v>-62.579619999999998</v>
      </c>
      <c r="M6560">
        <v>0.99549160000000003</v>
      </c>
      <c r="N6560">
        <v>-9.6091670000000001E-3</v>
      </c>
      <c r="O6560">
        <v>-9.4364009999999998E-2</v>
      </c>
      <c r="P6560">
        <v>0.98725300000000005</v>
      </c>
      <c r="Q6560">
        <v>0.15573149999999999</v>
      </c>
      <c r="R6560">
        <v>3.2858600000000002E-2</v>
      </c>
      <c r="S6560">
        <v>3.056244</v>
      </c>
      <c r="T6560">
        <v>-9.4307420000000003E-2</v>
      </c>
      <c r="U6560">
        <v>-9.1674800000000001E-2</v>
      </c>
      <c r="V6560">
        <v>-0.1263975</v>
      </c>
      <c r="W6560">
        <v>0.16474129999999901</v>
      </c>
      <c r="X6560">
        <v>0.97820450000000003</v>
      </c>
      <c r="Y6560">
        <v>-6.4416009999999996E-2</v>
      </c>
      <c r="Z6560">
        <v>3.301483E-3</v>
      </c>
      <c r="AA6560">
        <v>0.99791770000000002</v>
      </c>
      <c r="AB6560">
        <v>23</v>
      </c>
      <c r="AC6560">
        <v>35.911799999999999</v>
      </c>
      <c r="AD6560">
        <v>-1.111369954116</v>
      </c>
      <c r="AE6560">
        <v>-1.07133999999999</v>
      </c>
      <c r="AF6560">
        <v>-2.3201581000631801</v>
      </c>
      <c r="AG6560">
        <v>-1.111369954116</v>
      </c>
      <c r="AH6560">
        <v>35.818364979470701</v>
      </c>
      <c r="AI6560">
        <v>91.773485237084302</v>
      </c>
      <c r="AJ6560">
        <v>93.706193921245799</v>
      </c>
      <c r="AK6560">
        <v>35.9106327789803</v>
      </c>
      <c r="AL6560">
        <v>80.517793930105199</v>
      </c>
      <c r="AM6560">
        <v>97.362609179424595</v>
      </c>
      <c r="AN6560">
        <v>1.0000000338760899</v>
      </c>
    </row>
    <row r="6561" spans="1:40" x14ac:dyDescent="0.25">
      <c r="A6561" t="str">
        <f>"20190304155234207"</f>
        <v>20190304155234207</v>
      </c>
      <c r="B6561" t="str">
        <f>"1551685954203844"</f>
        <v>1551685954203844</v>
      </c>
      <c r="C6561" t="s">
        <v>40</v>
      </c>
      <c r="D6561">
        <v>4.9458099999999998</v>
      </c>
      <c r="E6561">
        <v>0.52142639999999996</v>
      </c>
      <c r="F6561" t="s">
        <v>107</v>
      </c>
      <c r="G6561">
        <v>-237.5831</v>
      </c>
      <c r="H6561" s="1">
        <v>-3.0008959999999998E-6</v>
      </c>
      <c r="I6561">
        <v>-63.463149999999999</v>
      </c>
      <c r="J6561">
        <v>-270.68459999999999</v>
      </c>
      <c r="K6561">
        <v>1.1113729999999999</v>
      </c>
      <c r="L6561">
        <v>-62.589570000000002</v>
      </c>
      <c r="M6561">
        <v>0.99559350000000002</v>
      </c>
      <c r="N6561">
        <v>-9.5663390000000001E-3</v>
      </c>
      <c r="O6561">
        <v>-9.3284400000000003E-2</v>
      </c>
      <c r="P6561">
        <v>0.98718050000000002</v>
      </c>
      <c r="Q6561">
        <v>0.1558715</v>
      </c>
      <c r="R6561">
        <v>3.4332469999999997E-2</v>
      </c>
      <c r="S6561">
        <v>3.0575869999999998</v>
      </c>
      <c r="T6561">
        <v>-0.1022965</v>
      </c>
      <c r="U6561">
        <v>-8.1329349999999995E-2</v>
      </c>
      <c r="V6561">
        <v>-0.12679989999999999</v>
      </c>
      <c r="W6561">
        <v>0.16483439999999999</v>
      </c>
      <c r="X6561">
        <v>0.97813669999999997</v>
      </c>
      <c r="Y6561">
        <v>-6.670748E-2</v>
      </c>
      <c r="Z6561">
        <v>3.6564990000000001E-3</v>
      </c>
      <c r="AA6561">
        <v>0.99776589999999998</v>
      </c>
      <c r="AB6561">
        <v>23</v>
      </c>
      <c r="AC6561">
        <v>33.101499999999902</v>
      </c>
      <c r="AD6561">
        <v>-1.1113760008960001</v>
      </c>
      <c r="AE6561">
        <v>-0.87358000000000402</v>
      </c>
      <c r="AF6561">
        <v>-2.2157286190408301</v>
      </c>
      <c r="AG6561">
        <v>-1.1113760008960001</v>
      </c>
      <c r="AH6561">
        <v>33.0014673250651</v>
      </c>
      <c r="AI6561">
        <v>91.924466576572996</v>
      </c>
      <c r="AJ6561">
        <v>93.841091447793502</v>
      </c>
      <c r="AK6561">
        <v>33.094432394829603</v>
      </c>
      <c r="AL6561">
        <v>80.512385424099406</v>
      </c>
      <c r="AM6561">
        <v>97.386296734814707</v>
      </c>
      <c r="AN6561">
        <v>0.99999999897512903</v>
      </c>
    </row>
    <row r="6562" spans="1:40" x14ac:dyDescent="0.25">
      <c r="A6562" t="str">
        <f>"20190304155234219"</f>
        <v>20190304155234219</v>
      </c>
      <c r="B6562" t="str">
        <f>"1551685954213604"</f>
        <v>1551685954213604</v>
      </c>
      <c r="C6562" t="s">
        <v>40</v>
      </c>
      <c r="D6562">
        <v>4.922021</v>
      </c>
      <c r="E6562">
        <v>0.52095649999999905</v>
      </c>
      <c r="F6562" t="s">
        <v>107</v>
      </c>
      <c r="G6562">
        <v>-238.43709999999999</v>
      </c>
      <c r="H6562" s="1">
        <v>-3.2700399999999999E-6</v>
      </c>
      <c r="I6562">
        <v>-63.342219999999998</v>
      </c>
      <c r="J6562">
        <v>-270.5668</v>
      </c>
      <c r="K6562">
        <v>1.11138</v>
      </c>
      <c r="L6562">
        <v>-62.599369999999901</v>
      </c>
      <c r="M6562">
        <v>0.99569629999999998</v>
      </c>
      <c r="N6562">
        <v>-9.5265920000000004E-3</v>
      </c>
      <c r="O6562">
        <v>-9.2185589999999998E-2</v>
      </c>
      <c r="P6562">
        <v>0.98713490000000004</v>
      </c>
      <c r="Q6562">
        <v>0.15581339999999999</v>
      </c>
      <c r="R6562">
        <v>3.5875700000000003E-2</v>
      </c>
      <c r="S6562">
        <v>3.0581049999999999</v>
      </c>
      <c r="T6562">
        <v>-0.1053941</v>
      </c>
      <c r="U6562">
        <v>-7.1380620000000006E-2</v>
      </c>
      <c r="V6562">
        <v>-0.12725539999999999</v>
      </c>
      <c r="W6562">
        <v>0.16473189999999999</v>
      </c>
      <c r="X6562">
        <v>0.97809480000000004</v>
      </c>
      <c r="Y6562">
        <v>-6.8848329999999999E-2</v>
      </c>
      <c r="Z6562">
        <v>3.8063519999999998E-3</v>
      </c>
      <c r="AA6562">
        <v>0.9976199</v>
      </c>
      <c r="AB6562">
        <v>23</v>
      </c>
      <c r="AC6562">
        <v>32.1297</v>
      </c>
      <c r="AD6562">
        <v>-1.1113832700399999</v>
      </c>
      <c r="AE6562">
        <v>-0.74285000000000401</v>
      </c>
      <c r="AF6562">
        <v>-2.2196886859760299</v>
      </c>
      <c r="AG6562">
        <v>-1.1113832700399999</v>
      </c>
      <c r="AH6562">
        <v>32.023062143552302</v>
      </c>
      <c r="AI6562">
        <v>91.982939096587003</v>
      </c>
      <c r="AJ6562">
        <v>93.965132893825697</v>
      </c>
      <c r="AK6562">
        <v>32.119132922378</v>
      </c>
      <c r="AL6562">
        <v>80.518339519653097</v>
      </c>
      <c r="AM6562">
        <v>97.412849785950598</v>
      </c>
      <c r="AN6562">
        <v>0.99999998674690405</v>
      </c>
    </row>
    <row r="6563" spans="1:40" x14ac:dyDescent="0.25">
      <c r="A6563" t="str">
        <f>"20190304155234231"</f>
        <v>20190304155234231</v>
      </c>
      <c r="B6563" t="str">
        <f>"1551685954223364"</f>
        <v>1551685954223364</v>
      </c>
      <c r="C6563" t="s">
        <v>40</v>
      </c>
      <c r="D6563">
        <v>4.9290289999999999</v>
      </c>
      <c r="E6563">
        <v>0.52057159999999902</v>
      </c>
      <c r="F6563" t="s">
        <v>107</v>
      </c>
      <c r="G6563">
        <v>-239.01050000000001</v>
      </c>
      <c r="H6563" s="1">
        <v>-3.4484669999999998E-6</v>
      </c>
      <c r="I6563">
        <v>-63.247959999999999</v>
      </c>
      <c r="J6563">
        <v>-270.4477</v>
      </c>
      <c r="K6563">
        <v>1.111389</v>
      </c>
      <c r="L6563">
        <v>-62.609219999999901</v>
      </c>
      <c r="M6563">
        <v>0.9957992</v>
      </c>
      <c r="N6563">
        <v>-9.4868480000000008E-3</v>
      </c>
      <c r="O6563">
        <v>-9.1070090000000006E-2</v>
      </c>
      <c r="P6563">
        <v>0.98706910000000003</v>
      </c>
      <c r="Q6563">
        <v>0.1559411</v>
      </c>
      <c r="R6563">
        <v>3.7109200000000002E-2</v>
      </c>
      <c r="S6563">
        <v>3.0583800000000001</v>
      </c>
      <c r="T6563">
        <v>-0.1077132</v>
      </c>
      <c r="U6563">
        <v>-6.2866210000000006E-2</v>
      </c>
      <c r="V6563">
        <v>-0.127386</v>
      </c>
      <c r="W6563">
        <v>0.16481609999999999</v>
      </c>
      <c r="X6563">
        <v>0.97806360000000003</v>
      </c>
      <c r="Y6563">
        <v>-7.0503899999999994E-2</v>
      </c>
      <c r="Z6563">
        <v>3.9128069999999999E-3</v>
      </c>
      <c r="AA6563">
        <v>0.99750380000000005</v>
      </c>
      <c r="AB6563">
        <v>23</v>
      </c>
      <c r="AC6563">
        <v>31.437199999999901</v>
      </c>
      <c r="AD6563">
        <v>-1.1113924484669999</v>
      </c>
      <c r="AE6563">
        <v>-0.63874000000000497</v>
      </c>
      <c r="AF6563">
        <v>-2.2242535173762898</v>
      </c>
      <c r="AG6563">
        <v>-1.1113924484669999</v>
      </c>
      <c r="AH6563">
        <v>31.325588011444399</v>
      </c>
      <c r="AI6563">
        <v>92.026831333989804</v>
      </c>
      <c r="AJ6563">
        <v>94.061434250142696</v>
      </c>
      <c r="AK6563">
        <v>31.4241143255752</v>
      </c>
      <c r="AL6563">
        <v>80.513448225185499</v>
      </c>
      <c r="AM6563">
        <v>97.420606794025701</v>
      </c>
      <c r="AN6563">
        <v>0.99999997273008401</v>
      </c>
    </row>
    <row r="6564" spans="1:40" x14ac:dyDescent="0.25">
      <c r="A6564" t="str">
        <f>"20190304155234240"</f>
        <v>20190304155234240</v>
      </c>
      <c r="B6564" t="str">
        <f>"1551685954233124"</f>
        <v>1551685954233124</v>
      </c>
      <c r="C6564" t="s">
        <v>40</v>
      </c>
      <c r="D6564">
        <v>4.927867</v>
      </c>
      <c r="E6564">
        <v>0.52037770000000005</v>
      </c>
      <c r="F6564" t="s">
        <v>107</v>
      </c>
      <c r="G6564">
        <v>-239.42760000000001</v>
      </c>
      <c r="H6564" s="1">
        <v>-3.577622E-6</v>
      </c>
      <c r="I6564">
        <v>-63.17586</v>
      </c>
      <c r="J6564">
        <v>-270.33789999999999</v>
      </c>
      <c r="K6564">
        <v>1.1113959999999901</v>
      </c>
      <c r="L6564">
        <v>-62.618160000000003</v>
      </c>
      <c r="M6564">
        <v>0.9958941</v>
      </c>
      <c r="N6564">
        <v>-9.4515009999999993E-3</v>
      </c>
      <c r="O6564">
        <v>-9.0032559999999998E-2</v>
      </c>
      <c r="P6564">
        <v>0.98702389999999995</v>
      </c>
      <c r="Q6564">
        <v>0.1558484</v>
      </c>
      <c r="R6564">
        <v>3.8672379999999999E-2</v>
      </c>
      <c r="S6564">
        <v>3.0586850000000001</v>
      </c>
      <c r="T6564">
        <v>-0.10958710000000001</v>
      </c>
      <c r="U6564">
        <v>-5.5877690000000001E-2</v>
      </c>
      <c r="V6564">
        <v>-0.12792239999999999</v>
      </c>
      <c r="W6564">
        <v>0.16468250000000001</v>
      </c>
      <c r="X6564">
        <v>0.97801610000000005</v>
      </c>
      <c r="Y6564">
        <v>-7.1740979999999996E-2</v>
      </c>
      <c r="Z6564">
        <v>3.9925819999999997E-3</v>
      </c>
      <c r="AA6564">
        <v>0.9974153</v>
      </c>
      <c r="AB6564">
        <v>23</v>
      </c>
      <c r="AC6564">
        <v>30.9102999999999</v>
      </c>
      <c r="AD6564">
        <v>-1.11139957762199</v>
      </c>
      <c r="AE6564">
        <v>-0.55770000000000397</v>
      </c>
      <c r="AF6564">
        <v>-2.2247472850121901</v>
      </c>
      <c r="AG6564">
        <v>-1.11139957762199</v>
      </c>
      <c r="AH6564">
        <v>30.795170688299098</v>
      </c>
      <c r="AI6564">
        <v>92.061543038842203</v>
      </c>
      <c r="AJ6564">
        <v>94.132062316123594</v>
      </c>
      <c r="AK6564">
        <v>30.895424373599202</v>
      </c>
      <c r="AL6564">
        <v>80.521209049097394</v>
      </c>
      <c r="AM6564">
        <v>97.451861073258598</v>
      </c>
      <c r="AN6564">
        <v>0.99999997904360904</v>
      </c>
    </row>
    <row r="6565" spans="1:40" x14ac:dyDescent="0.25">
      <c r="A6565" t="str">
        <f>"20190304155234252"</f>
        <v>20190304155234252</v>
      </c>
      <c r="B6565" t="str">
        <f>"1551685954243861"</f>
        <v>1551685954243861</v>
      </c>
      <c r="C6565" t="s">
        <v>40</v>
      </c>
      <c r="D6565">
        <v>4.9419079999999997</v>
      </c>
      <c r="E6565">
        <v>0.5201964</v>
      </c>
      <c r="F6565" t="s">
        <v>107</v>
      </c>
      <c r="G6565">
        <v>-239.92500000000001</v>
      </c>
      <c r="H6565" s="1">
        <v>-3.7351699999999998E-6</v>
      </c>
      <c r="I6565">
        <v>-63.109929999999999</v>
      </c>
      <c r="J6565">
        <v>-270.22280000000001</v>
      </c>
      <c r="K6565">
        <v>1.1114059999999999</v>
      </c>
      <c r="L6565">
        <v>-62.627380000000002</v>
      </c>
      <c r="M6565">
        <v>0.99599260000000001</v>
      </c>
      <c r="N6565">
        <v>-9.4151689999999993E-3</v>
      </c>
      <c r="O6565">
        <v>-8.8939710000000005E-2</v>
      </c>
      <c r="P6565">
        <v>0.98701950000000005</v>
      </c>
      <c r="Q6565">
        <v>0.15550320000000001</v>
      </c>
      <c r="R6565">
        <v>4.0142459999999998E-2</v>
      </c>
      <c r="S6565">
        <v>3.059021</v>
      </c>
      <c r="T6565">
        <v>-0.11178780000000001</v>
      </c>
      <c r="U6565">
        <v>-4.9468989999999997E-2</v>
      </c>
      <c r="V6565">
        <v>-0.12831600000000001</v>
      </c>
      <c r="W6565">
        <v>0.16429589999999999</v>
      </c>
      <c r="X6565">
        <v>0.97802960000000005</v>
      </c>
      <c r="Y6565">
        <v>-7.2733129999999993E-2</v>
      </c>
      <c r="Z6565">
        <v>4.0779620000000001E-3</v>
      </c>
      <c r="AA6565">
        <v>0.99734310000000004</v>
      </c>
      <c r="AB6565">
        <v>23</v>
      </c>
      <c r="AC6565">
        <v>30.297799999999899</v>
      </c>
      <c r="AD6565">
        <v>-1.1114097351700001</v>
      </c>
      <c r="AE6565">
        <v>-0.48255000000000298</v>
      </c>
      <c r="AF6565">
        <v>-2.2111845751575201</v>
      </c>
      <c r="AG6565">
        <v>-1.1114097351700001</v>
      </c>
      <c r="AH6565">
        <v>30.180038356948099</v>
      </c>
      <c r="AI6565">
        <v>92.103387831868503</v>
      </c>
      <c r="AJ6565">
        <v>94.190371709030899</v>
      </c>
      <c r="AK6565">
        <v>30.2813355724563</v>
      </c>
      <c r="AL6565">
        <v>80.543665856693707</v>
      </c>
      <c r="AM6565">
        <v>97.474428576053796</v>
      </c>
      <c r="AN6565">
        <v>1.00000001854448</v>
      </c>
    </row>
    <row r="6566" spans="1:40" x14ac:dyDescent="0.25">
      <c r="A6566" t="str">
        <f>"20190304155234263"</f>
        <v>20190304155234263</v>
      </c>
      <c r="B6566" t="str">
        <f>"1551685954253620"</f>
        <v>1551685954253620</v>
      </c>
      <c r="C6566" t="s">
        <v>40</v>
      </c>
      <c r="D6566">
        <v>4.8635029999999997</v>
      </c>
      <c r="E6566">
        <v>0.52010129999999999</v>
      </c>
      <c r="F6566" t="s">
        <v>104</v>
      </c>
      <c r="G6566">
        <v>-240.60079999999999</v>
      </c>
      <c r="H6566" s="1">
        <v>4.5992010000000002E-8</v>
      </c>
      <c r="I6566">
        <v>-63.048690000000001</v>
      </c>
      <c r="J6566">
        <v>-270.10320000000002</v>
      </c>
      <c r="K6566">
        <v>1.111418</v>
      </c>
      <c r="L6566">
        <v>-62.636839999999999</v>
      </c>
      <c r="M6566">
        <v>0.99609449999999999</v>
      </c>
      <c r="N6566">
        <v>-9.3784690000000004E-3</v>
      </c>
      <c r="O6566">
        <v>-8.7793800000000005E-2</v>
      </c>
      <c r="P6566">
        <v>0.98697349999999995</v>
      </c>
      <c r="Q6566">
        <v>0.15540970000000001</v>
      </c>
      <c r="R6566">
        <v>4.1605410000000002E-2</v>
      </c>
      <c r="S6566">
        <v>3.0592959999999998</v>
      </c>
      <c r="T6566">
        <v>-0.1147835</v>
      </c>
      <c r="U6566">
        <v>-4.3518069999999999E-2</v>
      </c>
      <c r="V6566">
        <v>-0.12864819999999999</v>
      </c>
      <c r="W6566">
        <v>0.16416040000000001</v>
      </c>
      <c r="X6566">
        <v>0.97800869999999995</v>
      </c>
      <c r="Y6566">
        <v>-7.3521089999999997E-2</v>
      </c>
      <c r="Z6566">
        <v>4.1885280000000004E-3</v>
      </c>
      <c r="AA6566">
        <v>0.99728490000000003</v>
      </c>
      <c r="AB6566">
        <v>23</v>
      </c>
      <c r="AC6566">
        <v>29.502400000000002</v>
      </c>
      <c r="AD6566">
        <v>-1.11141795400799</v>
      </c>
      <c r="AE6566">
        <v>-0.41185000000000099</v>
      </c>
      <c r="AF6566">
        <v>-2.1768933816042102</v>
      </c>
      <c r="AG6566">
        <v>-1.11141795400799</v>
      </c>
      <c r="AH6566">
        <v>29.382939094880999</v>
      </c>
      <c r="AI6566">
        <v>92.160281290537995</v>
      </c>
      <c r="AJ6566">
        <v>94.237130529560204</v>
      </c>
      <c r="AK6566">
        <v>29.484423421814601</v>
      </c>
      <c r="AL6566">
        <v>80.551536184364295</v>
      </c>
      <c r="AM6566">
        <v>97.493717964854298</v>
      </c>
      <c r="AN6566">
        <v>1.00000000678354</v>
      </c>
    </row>
    <row r="6567" spans="1:40" x14ac:dyDescent="0.25">
      <c r="A6567" t="str">
        <f>"20190304155234275"</f>
        <v>20190304155234275</v>
      </c>
      <c r="B6567" t="str">
        <f>"1551685954263381"</f>
        <v>1551685954263381</v>
      </c>
      <c r="C6567" t="s">
        <v>40</v>
      </c>
      <c r="D6567">
        <v>4.9361389999999998</v>
      </c>
      <c r="E6567">
        <v>0.51997769999999999</v>
      </c>
      <c r="F6567" t="s">
        <v>104</v>
      </c>
      <c r="G6567">
        <v>-241.4152</v>
      </c>
      <c r="H6567" s="1">
        <v>-2.8952319999999998E-7</v>
      </c>
      <c r="I6567">
        <v>-62.996720000000003</v>
      </c>
      <c r="J6567">
        <v>-269.98610000000002</v>
      </c>
      <c r="K6567">
        <v>1.1114310000000001</v>
      </c>
      <c r="L6567">
        <v>-62.645940000000003</v>
      </c>
      <c r="M6567">
        <v>0.99619389999999997</v>
      </c>
      <c r="N6567">
        <v>-9.3445650000000009E-3</v>
      </c>
      <c r="O6567">
        <v>-8.6661730000000006E-2</v>
      </c>
      <c r="P6567">
        <v>0.98697480000000004</v>
      </c>
      <c r="Q6567">
        <v>0.15506819999999999</v>
      </c>
      <c r="R6567">
        <v>4.283232E-2</v>
      </c>
      <c r="S6567">
        <v>3.0598450000000001</v>
      </c>
      <c r="T6567">
        <v>-0.1185431</v>
      </c>
      <c r="U6567">
        <v>-3.8391109999999999E-2</v>
      </c>
      <c r="V6567">
        <v>-0.1287623</v>
      </c>
      <c r="W6567">
        <v>0.1637808</v>
      </c>
      <c r="X6567">
        <v>0.97805730000000002</v>
      </c>
      <c r="Y6567">
        <v>-7.4053939999999999E-2</v>
      </c>
      <c r="Z6567">
        <v>4.3220259999999996E-3</v>
      </c>
      <c r="AA6567">
        <v>0.99724489999999999</v>
      </c>
      <c r="AB6567">
        <v>23</v>
      </c>
      <c r="AC6567">
        <v>28.570900000000002</v>
      </c>
      <c r="AD6567">
        <v>-1.1114312895231999</v>
      </c>
      <c r="AE6567">
        <v>-0.35077999999999299</v>
      </c>
      <c r="AF6567">
        <v>-2.1234388647331701</v>
      </c>
      <c r="AG6567">
        <v>-1.1114312895231999</v>
      </c>
      <c r="AH6567">
        <v>28.450754253529801</v>
      </c>
      <c r="AI6567">
        <v>92.230928524871203</v>
      </c>
      <c r="AJ6567">
        <v>94.268390468982503</v>
      </c>
      <c r="AK6567">
        <v>28.551526924463001</v>
      </c>
      <c r="AL6567">
        <v>80.573583832279198</v>
      </c>
      <c r="AM6567">
        <v>97.499920170809801</v>
      </c>
      <c r="AN6567">
        <v>0.99999998121660905</v>
      </c>
    </row>
    <row r="6568" spans="1:40" x14ac:dyDescent="0.25">
      <c r="A6568" t="str">
        <f>"20190304155234286"</f>
        <v>20190304155234286</v>
      </c>
      <c r="B6568" t="str">
        <f>"1551685954283876"</f>
        <v>1551685954283876</v>
      </c>
      <c r="C6568" t="s">
        <v>40</v>
      </c>
      <c r="D6568">
        <v>4.9158410000000003</v>
      </c>
      <c r="E6568">
        <v>0.51996409999999904</v>
      </c>
      <c r="F6568" t="s">
        <v>104</v>
      </c>
      <c r="G6568">
        <v>-241.96209999999999</v>
      </c>
      <c r="H6568" s="1">
        <v>-5.1228470000000003E-7</v>
      </c>
      <c r="I6568">
        <v>-62.952179999999998</v>
      </c>
      <c r="J6568">
        <v>-269.86419999999998</v>
      </c>
      <c r="K6568">
        <v>1.111443</v>
      </c>
      <c r="L6568">
        <v>-62.655329999999999</v>
      </c>
      <c r="M6568">
        <v>0.99629679999999998</v>
      </c>
      <c r="N6568">
        <v>-9.3103660000000005E-3</v>
      </c>
      <c r="O6568">
        <v>-8.5476849999999993E-2</v>
      </c>
      <c r="P6568">
        <v>0.98690900000000004</v>
      </c>
      <c r="Q6568">
        <v>0.15516959999999999</v>
      </c>
      <c r="R6568">
        <v>4.3969510000000003E-2</v>
      </c>
      <c r="S6568">
        <v>3.06012</v>
      </c>
      <c r="T6568">
        <v>-0.121363899999999</v>
      </c>
      <c r="U6568">
        <v>-3.3447270000000001E-2</v>
      </c>
      <c r="V6568">
        <v>-0.12873109999999999</v>
      </c>
      <c r="W6568">
        <v>0.1638434</v>
      </c>
      <c r="X6568">
        <v>0.97805089999999995</v>
      </c>
      <c r="Y6568">
        <v>-7.4474589999999993E-2</v>
      </c>
      <c r="Z6568">
        <v>4.4117449999999999E-3</v>
      </c>
      <c r="AA6568">
        <v>0.99721309999999996</v>
      </c>
      <c r="AB6568">
        <v>23</v>
      </c>
      <c r="AC6568">
        <v>27.902099999999901</v>
      </c>
      <c r="AD6568">
        <v>-1.1114435122847</v>
      </c>
      <c r="AE6568">
        <v>-0.296849999999999</v>
      </c>
      <c r="AF6568">
        <v>-2.0860136158357201</v>
      </c>
      <c r="AG6568">
        <v>-1.1114435122847</v>
      </c>
      <c r="AH6568">
        <v>27.781272565410099</v>
      </c>
      <c r="AI6568">
        <v>92.284582228957802</v>
      </c>
      <c r="AJ6568">
        <v>94.294112613740396</v>
      </c>
      <c r="AK6568">
        <v>27.881640282452199</v>
      </c>
      <c r="AL6568">
        <v>80.569947794505893</v>
      </c>
      <c r="AM6568">
        <v>97.498172074895507</v>
      </c>
      <c r="AN6568">
        <v>0.99999995941078901</v>
      </c>
    </row>
    <row r="6569" spans="1:40" x14ac:dyDescent="0.25">
      <c r="A6569" t="str">
        <f>"20190304155234298"</f>
        <v>20190304155234298</v>
      </c>
      <c r="B6569" t="str">
        <f>"1551685954293636"</f>
        <v>1551685954293636</v>
      </c>
      <c r="C6569" t="s">
        <v>40</v>
      </c>
      <c r="D6569">
        <v>4.9072940000000003</v>
      </c>
      <c r="E6569">
        <v>0.52009170000000005</v>
      </c>
      <c r="F6569" t="s">
        <v>104</v>
      </c>
      <c r="G6569">
        <v>-242.22300000000001</v>
      </c>
      <c r="H6569" s="1">
        <v>-6.165973E-7</v>
      </c>
      <c r="I6569">
        <v>-62.923459999999999</v>
      </c>
      <c r="J6569">
        <v>-269.74979999999999</v>
      </c>
      <c r="K6569">
        <v>1.1114569999999999</v>
      </c>
      <c r="L6569">
        <v>-62.663879999999999</v>
      </c>
      <c r="M6569">
        <v>0.99639339999999998</v>
      </c>
      <c r="N6569">
        <v>-9.281727E-3</v>
      </c>
      <c r="O6569">
        <v>-8.434635E-2</v>
      </c>
      <c r="P6569">
        <v>0.98685259999999997</v>
      </c>
      <c r="Q6569">
        <v>0.1552172</v>
      </c>
      <c r="R6569">
        <v>4.5051599999999997E-2</v>
      </c>
      <c r="S6569">
        <v>3.060425</v>
      </c>
      <c r="T6569">
        <v>-0.12305869999999999</v>
      </c>
      <c r="U6569">
        <v>-2.9693600000000001E-2</v>
      </c>
      <c r="V6569">
        <v>-0.12870000000000001</v>
      </c>
      <c r="W6569">
        <v>0.16385749999999999</v>
      </c>
      <c r="X6569">
        <v>0.9780527</v>
      </c>
      <c r="Y6569">
        <v>-7.4564279999999997E-2</v>
      </c>
      <c r="Z6569">
        <v>4.4479940000000003E-3</v>
      </c>
      <c r="AA6569">
        <v>0.99720629999999999</v>
      </c>
      <c r="AB6569">
        <v>23</v>
      </c>
      <c r="AC6569">
        <v>27.526800000000001</v>
      </c>
      <c r="AD6569">
        <v>-1.1114576165973</v>
      </c>
      <c r="AE6569">
        <v>-0.25957999999999198</v>
      </c>
      <c r="AF6569">
        <v>-2.0598719478280199</v>
      </c>
      <c r="AG6569">
        <v>-1.1114576165973</v>
      </c>
      <c r="AH6569">
        <v>27.4059187015439</v>
      </c>
      <c r="AI6569">
        <v>92.315854706081893</v>
      </c>
      <c r="AJ6569">
        <v>94.2983588634347</v>
      </c>
      <c r="AK6569">
        <v>27.505686509348799</v>
      </c>
      <c r="AL6569">
        <v>80.569129500779297</v>
      </c>
      <c r="AM6569">
        <v>97.496367565237406</v>
      </c>
      <c r="AN6569">
        <v>1.00000002714176</v>
      </c>
    </row>
    <row r="6570" spans="1:40" x14ac:dyDescent="0.25">
      <c r="A6570" t="str">
        <f>"20190304155234310"</f>
        <v>20190304155234310</v>
      </c>
      <c r="B6570" t="str">
        <f>"1551685954303396"</f>
        <v>1551685954303396</v>
      </c>
      <c r="C6570" t="s">
        <v>40</v>
      </c>
      <c r="D6570">
        <v>4.908658</v>
      </c>
      <c r="E6570">
        <v>0.52019009999999999</v>
      </c>
      <c r="F6570" t="s">
        <v>104</v>
      </c>
      <c r="G6570">
        <v>-242.35239999999999</v>
      </c>
      <c r="H6570" s="1">
        <v>-6.6786479999999999E-7</v>
      </c>
      <c r="I6570">
        <v>-62.907490000000003</v>
      </c>
      <c r="J6570">
        <v>-269.62349999999998</v>
      </c>
      <c r="K6570">
        <v>1.1114740000000001</v>
      </c>
      <c r="L6570">
        <v>-62.673310000000001</v>
      </c>
      <c r="M6570">
        <v>0.99649900000000002</v>
      </c>
      <c r="N6570">
        <v>-9.2506350000000001E-3</v>
      </c>
      <c r="O6570">
        <v>-8.3092079999999999E-2</v>
      </c>
      <c r="P6570">
        <v>0.98679919999999999</v>
      </c>
      <c r="Q6570">
        <v>0.15533089999999999</v>
      </c>
      <c r="R6570">
        <v>4.5824770000000001E-2</v>
      </c>
      <c r="S6570">
        <v>3.06073</v>
      </c>
      <c r="T6570">
        <v>-0.1241676</v>
      </c>
      <c r="U6570">
        <v>-2.7221680000000002E-2</v>
      </c>
      <c r="V6570">
        <v>-0.12824079999999999</v>
      </c>
      <c r="W6570">
        <v>0.163937</v>
      </c>
      <c r="X6570">
        <v>0.97809970000000002</v>
      </c>
      <c r="Y6570">
        <v>-7.4114169999999993E-2</v>
      </c>
      <c r="Z6570">
        <v>4.4427160000000002E-3</v>
      </c>
      <c r="AA6570">
        <v>0.99723989999999996</v>
      </c>
      <c r="AB6570">
        <v>23</v>
      </c>
      <c r="AC6570">
        <v>27.271099999999901</v>
      </c>
      <c r="AD6570">
        <v>-1.1114746678648</v>
      </c>
      <c r="AE6570">
        <v>-0.234180000000002</v>
      </c>
      <c r="AF6570">
        <v>-2.0293684167578401</v>
      </c>
      <c r="AG6570">
        <v>-1.1114746678648</v>
      </c>
      <c r="AH6570">
        <v>27.151147113882601</v>
      </c>
      <c r="AI6570">
        <v>92.337670036545504</v>
      </c>
      <c r="AJ6570">
        <v>94.274531861855706</v>
      </c>
      <c r="AK6570">
        <v>27.249559660808</v>
      </c>
      <c r="AL6570">
        <v>80.564512101793099</v>
      </c>
      <c r="AM6570">
        <v>97.469568316093699</v>
      </c>
      <c r="AN6570">
        <v>1.0000000329468599</v>
      </c>
    </row>
    <row r="6571" spans="1:40" x14ac:dyDescent="0.25">
      <c r="A6571" t="str">
        <f>"20190304155234320"</f>
        <v>20190304155234320</v>
      </c>
      <c r="B6571" t="str">
        <f>"1551685954313157"</f>
        <v>1551685954313157</v>
      </c>
      <c r="C6571" t="s">
        <v>40</v>
      </c>
      <c r="D6571">
        <v>4.9200229999999996</v>
      </c>
      <c r="E6571">
        <v>0.52028450000000004</v>
      </c>
      <c r="F6571" t="s">
        <v>104</v>
      </c>
      <c r="G6571">
        <v>-242.32329999999999</v>
      </c>
      <c r="H6571" s="1">
        <v>-6.5364649999999999E-7</v>
      </c>
      <c r="I6571">
        <v>-62.901069999999997</v>
      </c>
      <c r="J6571">
        <v>-269.5068</v>
      </c>
      <c r="K6571">
        <v>1.1114900000000001</v>
      </c>
      <c r="L6571">
        <v>-62.681759999999997</v>
      </c>
      <c r="M6571">
        <v>0.99659690000000001</v>
      </c>
      <c r="N6571">
        <v>-9.2227569999999998E-3</v>
      </c>
      <c r="O6571">
        <v>-8.1913749999999994E-2</v>
      </c>
      <c r="P6571">
        <v>0.986711</v>
      </c>
      <c r="Q6571">
        <v>0.1555916</v>
      </c>
      <c r="R6571">
        <v>4.6828170000000002E-2</v>
      </c>
      <c r="S6571">
        <v>3.0609440000000001</v>
      </c>
      <c r="T6571">
        <v>-0.1246201</v>
      </c>
      <c r="U6571">
        <v>-2.554321E-2</v>
      </c>
      <c r="V6571">
        <v>-0.1280838</v>
      </c>
      <c r="W6571">
        <v>0.16416510000000001</v>
      </c>
      <c r="X6571">
        <v>0.97808200000000001</v>
      </c>
      <c r="Y6571">
        <v>-7.3482710000000007E-2</v>
      </c>
      <c r="Z6571">
        <v>4.4087359999999999E-3</v>
      </c>
      <c r="AA6571">
        <v>0.99728669999999997</v>
      </c>
      <c r="AB6571">
        <v>23</v>
      </c>
      <c r="AC6571">
        <v>27.183499999999999</v>
      </c>
      <c r="AD6571">
        <v>-1.1114906536464999</v>
      </c>
      <c r="AE6571">
        <v>-0.21931</v>
      </c>
      <c r="AF6571">
        <v>-2.0048722087429902</v>
      </c>
      <c r="AG6571">
        <v>-1.1114906536464999</v>
      </c>
      <c r="AH6571">
        <v>27.064859425834999</v>
      </c>
      <c r="AI6571">
        <v>92.345263927130105</v>
      </c>
      <c r="AJ6571">
        <v>94.236537561434702</v>
      </c>
      <c r="AK6571">
        <v>27.161766138945001</v>
      </c>
      <c r="AL6571">
        <v>80.551263309938506</v>
      </c>
      <c r="AM6571">
        <v>97.460660193261504</v>
      </c>
      <c r="AN6571">
        <v>1.00000001930222</v>
      </c>
    </row>
    <row r="6572" spans="1:40" x14ac:dyDescent="0.25">
      <c r="A6572" t="str">
        <f>"20190304155234330"</f>
        <v>20190304155234330</v>
      </c>
      <c r="B6572" t="str">
        <f>"1551685954323892"</f>
        <v>1551685954323892</v>
      </c>
      <c r="C6572" t="s">
        <v>40</v>
      </c>
      <c r="D6572">
        <v>4.9458900000000003</v>
      </c>
      <c r="E6572">
        <v>0.52018030000000004</v>
      </c>
      <c r="F6572" t="s">
        <v>104</v>
      </c>
      <c r="G6572">
        <v>-242.16550000000001</v>
      </c>
      <c r="H6572" s="1">
        <v>-5.8235829999999996E-7</v>
      </c>
      <c r="I6572">
        <v>-62.887500000000003</v>
      </c>
      <c r="J6572">
        <v>-269.40600000000001</v>
      </c>
      <c r="K6572">
        <v>1.111499</v>
      </c>
      <c r="L6572">
        <v>-62.688999999999901</v>
      </c>
      <c r="M6572">
        <v>0.99668060000000003</v>
      </c>
      <c r="N6572">
        <v>-9.1988639999999993E-3</v>
      </c>
      <c r="O6572">
        <v>-8.0890550000000006E-2</v>
      </c>
      <c r="P6572">
        <v>0.98670369999999996</v>
      </c>
      <c r="Q6572">
        <v>0.15550659999999999</v>
      </c>
      <c r="R6572">
        <v>4.7262350000000002E-2</v>
      </c>
      <c r="S6572">
        <v>3.0611269999999999</v>
      </c>
      <c r="T6572">
        <v>-0.1244425</v>
      </c>
      <c r="U6572">
        <v>-2.3040769999999999E-2</v>
      </c>
      <c r="V6572">
        <v>-0.12751669999999901</v>
      </c>
      <c r="W6572">
        <v>0.16405410000000001</v>
      </c>
      <c r="X6572">
        <v>0.97817469999999995</v>
      </c>
      <c r="Y6572">
        <v>-7.3275599999999996E-2</v>
      </c>
      <c r="Z6572">
        <v>4.3655059999999999E-3</v>
      </c>
      <c r="AA6572">
        <v>0.99730220000000003</v>
      </c>
      <c r="AB6572">
        <v>23</v>
      </c>
      <c r="AC6572">
        <v>27.240500000000001</v>
      </c>
      <c r="AD6572">
        <v>-1.1114995823583</v>
      </c>
      <c r="AE6572">
        <v>-0.198500000000009</v>
      </c>
      <c r="AF6572">
        <v>-2.0024090369682002</v>
      </c>
      <c r="AG6572">
        <v>-1.1114995823583</v>
      </c>
      <c r="AH6572">
        <v>27.122129240215799</v>
      </c>
      <c r="AI6572">
        <v>92.340378579550801</v>
      </c>
      <c r="AJ6572">
        <v>94.222449123274998</v>
      </c>
      <c r="AK6572">
        <v>27.218651101696398</v>
      </c>
      <c r="AL6572">
        <v>80.5577103694865</v>
      </c>
      <c r="AM6572">
        <v>97.427301207851798</v>
      </c>
      <c r="AN6572">
        <v>1.0000000001128899</v>
      </c>
    </row>
    <row r="6573" spans="1:40" x14ac:dyDescent="0.25">
      <c r="A6573" t="str">
        <f>"20190304155234341"</f>
        <v>20190304155234341</v>
      </c>
      <c r="B6573" t="str">
        <f>"1551685954333653"</f>
        <v>1551685954333653</v>
      </c>
      <c r="C6573" t="s">
        <v>40</v>
      </c>
      <c r="D6573">
        <v>4.9083809999999897</v>
      </c>
      <c r="E6573">
        <v>0.52026309999999998</v>
      </c>
      <c r="F6573" t="s">
        <v>104</v>
      </c>
      <c r="G6573">
        <v>-242.66120000000001</v>
      </c>
      <c r="H6573" s="1">
        <v>-7.9055249999999996E-7</v>
      </c>
      <c r="I6573">
        <v>-62.870759999999997</v>
      </c>
      <c r="J6573">
        <v>-269.29309999999998</v>
      </c>
      <c r="K6573">
        <v>1.1115159999999999</v>
      </c>
      <c r="L6573">
        <v>-62.696899999999999</v>
      </c>
      <c r="M6573">
        <v>0.99677439999999995</v>
      </c>
      <c r="N6573">
        <v>-9.1725480000000009E-3</v>
      </c>
      <c r="O6573">
        <v>-7.9729159999999993E-2</v>
      </c>
      <c r="P6573">
        <v>0.98661549999999998</v>
      </c>
      <c r="Q6573">
        <v>0.15590899999999999</v>
      </c>
      <c r="R6573">
        <v>4.7771519999999998E-2</v>
      </c>
      <c r="S6573">
        <v>3.0614319999999999</v>
      </c>
      <c r="T6573">
        <v>-0.12723119999999999</v>
      </c>
      <c r="U6573">
        <v>-2.081299E-2</v>
      </c>
      <c r="V6573">
        <v>-0.12688459999999999</v>
      </c>
      <c r="W6573">
        <v>0.16442709999999999</v>
      </c>
      <c r="X6573">
        <v>0.97819429999999996</v>
      </c>
      <c r="Y6573">
        <v>-7.2835620000000004E-2</v>
      </c>
      <c r="Z6573">
        <v>4.4245109999999999E-3</v>
      </c>
      <c r="AA6573">
        <v>0.9973341</v>
      </c>
      <c r="AB6573">
        <v>24</v>
      </c>
      <c r="AC6573">
        <v>26.631899999999899</v>
      </c>
      <c r="AD6573">
        <v>-1.1115167905525001</v>
      </c>
      <c r="AE6573">
        <v>-0.17385999999999699</v>
      </c>
      <c r="AF6573">
        <v>-1.9467308795974401</v>
      </c>
      <c r="AG6573">
        <v>-1.1115167905525001</v>
      </c>
      <c r="AH6573">
        <v>26.514789564789801</v>
      </c>
      <c r="AI6573">
        <v>92.394033503875903</v>
      </c>
      <c r="AJ6573">
        <v>94.199154133781093</v>
      </c>
      <c r="AK6573">
        <v>26.609383614776601</v>
      </c>
      <c r="AL6573">
        <v>80.536045124822493</v>
      </c>
      <c r="AM6573">
        <v>97.390745697642899</v>
      </c>
      <c r="AN6573">
        <v>1.00000003074202</v>
      </c>
    </row>
    <row r="6574" spans="1:40" x14ac:dyDescent="0.25">
      <c r="A6574" t="str">
        <f>"20190304155234352"</f>
        <v>20190304155234352</v>
      </c>
      <c r="B6574" t="str">
        <f>"1551685954343412"</f>
        <v>1551685954343412</v>
      </c>
      <c r="C6574" t="s">
        <v>40</v>
      </c>
      <c r="D6574">
        <v>4.8870879999999897</v>
      </c>
      <c r="E6574">
        <v>0.52033819999999997</v>
      </c>
      <c r="F6574" t="s">
        <v>104</v>
      </c>
      <c r="G6574">
        <v>-242.37710000000001</v>
      </c>
      <c r="H6574" s="1">
        <v>-6.6851030000000002E-7</v>
      </c>
      <c r="I6574">
        <v>-62.870159999999998</v>
      </c>
      <c r="J6574">
        <v>-269.17840000000001</v>
      </c>
      <c r="K6574">
        <v>1.111531</v>
      </c>
      <c r="L6574">
        <v>-62.704830000000001</v>
      </c>
      <c r="M6574">
        <v>0.99686909999999895</v>
      </c>
      <c r="N6574">
        <v>-9.1467849999999993E-3</v>
      </c>
      <c r="O6574">
        <v>-7.853976E-2</v>
      </c>
      <c r="P6574">
        <v>0.9864773</v>
      </c>
      <c r="Q6574">
        <v>0.15666179999999999</v>
      </c>
      <c r="R6574">
        <v>4.816633E-2</v>
      </c>
      <c r="S6574">
        <v>3.0616150000000002</v>
      </c>
      <c r="T6574">
        <v>-0.12643170000000001</v>
      </c>
      <c r="U6574">
        <v>-1.971436E-2</v>
      </c>
      <c r="V6574">
        <v>-0.12610979999999999</v>
      </c>
      <c r="W6574">
        <v>0.16515089999999999</v>
      </c>
      <c r="X6574">
        <v>0.9781725</v>
      </c>
      <c r="Y6574">
        <v>-7.2006829999999994E-2</v>
      </c>
      <c r="Z6574">
        <v>4.3361099999999998E-3</v>
      </c>
      <c r="AA6574">
        <v>0.99739469999999997</v>
      </c>
      <c r="AB6574">
        <v>24</v>
      </c>
      <c r="AC6574">
        <v>26.801300000000001</v>
      </c>
      <c r="AD6574">
        <v>-1.1115316685103001</v>
      </c>
      <c r="AE6574">
        <v>-0.16532999999999701</v>
      </c>
      <c r="AF6574">
        <v>-1.93690493472368</v>
      </c>
      <c r="AG6574">
        <v>-1.1115316685103001</v>
      </c>
      <c r="AH6574">
        <v>26.685591057479101</v>
      </c>
      <c r="AI6574">
        <v>92.378904533134502</v>
      </c>
      <c r="AJ6574">
        <v>94.151386758838896</v>
      </c>
      <c r="AK6574">
        <v>26.778869906388302</v>
      </c>
      <c r="AL6574">
        <v>80.493999052225007</v>
      </c>
      <c r="AM6574">
        <v>97.3462717079952</v>
      </c>
      <c r="AN6574">
        <v>0.99999997059154899</v>
      </c>
    </row>
    <row r="6575" spans="1:40" x14ac:dyDescent="0.25">
      <c r="A6575" t="str">
        <f>"20190304155234363"</f>
        <v>20190304155234363</v>
      </c>
      <c r="B6575" t="str">
        <f>"1551685954353173"</f>
        <v>1551685954353173</v>
      </c>
      <c r="C6575" t="s">
        <v>40</v>
      </c>
      <c r="D6575">
        <v>4.884258</v>
      </c>
      <c r="E6575">
        <v>0.52040920000000002</v>
      </c>
      <c r="F6575" t="s">
        <v>104</v>
      </c>
      <c r="G6575">
        <v>-241.85120000000001</v>
      </c>
      <c r="H6575" s="1">
        <v>-4.4412700000000002E-7</v>
      </c>
      <c r="I6575">
        <v>-62.87473</v>
      </c>
      <c r="J6575">
        <v>-269.05329999999998</v>
      </c>
      <c r="K6575">
        <v>1.1115549999999901</v>
      </c>
      <c r="L6575">
        <v>-62.713320000000003</v>
      </c>
      <c r="M6575">
        <v>0.99697179999999996</v>
      </c>
      <c r="N6575">
        <v>-9.1200719999999999E-3</v>
      </c>
      <c r="O6575">
        <v>-7.7228279999999996E-2</v>
      </c>
      <c r="P6575">
        <v>0.9863809</v>
      </c>
      <c r="Q6575">
        <v>0.1570744</v>
      </c>
      <c r="R6575">
        <v>4.8787619999999997E-2</v>
      </c>
      <c r="S6575">
        <v>3.0618289999999999</v>
      </c>
      <c r="T6575">
        <v>-0.1245396</v>
      </c>
      <c r="U6575">
        <v>-1.9042969999999999E-2</v>
      </c>
      <c r="V6575">
        <v>-0.1254429</v>
      </c>
      <c r="W6575">
        <v>0.16553370000000001</v>
      </c>
      <c r="X6575">
        <v>0.9781936</v>
      </c>
      <c r="Y6575">
        <v>-7.0919120000000002E-2</v>
      </c>
      <c r="Z6575">
        <v>4.1979809999999999E-3</v>
      </c>
      <c r="AA6575">
        <v>0.99747319999999995</v>
      </c>
      <c r="AB6575">
        <v>24</v>
      </c>
      <c r="AC6575">
        <v>27.202099999999898</v>
      </c>
      <c r="AD6575">
        <v>-1.1115554441269999</v>
      </c>
      <c r="AE6575">
        <v>-0.16141000000000999</v>
      </c>
      <c r="AF6575">
        <v>-1.93669697786533</v>
      </c>
      <c r="AG6575">
        <v>-1.1115554441269999</v>
      </c>
      <c r="AH6575">
        <v>27.088089019466299</v>
      </c>
      <c r="AI6575">
        <v>92.343828761481205</v>
      </c>
      <c r="AJ6575">
        <v>94.089475180978596</v>
      </c>
      <c r="AK6575">
        <v>27.179972726549501</v>
      </c>
      <c r="AL6575">
        <v>80.471760640325101</v>
      </c>
      <c r="AM6575">
        <v>97.307687923211503</v>
      </c>
      <c r="AN6575">
        <v>1.00000002303852</v>
      </c>
    </row>
    <row r="6576" spans="1:40" x14ac:dyDescent="0.25">
      <c r="A6576" t="str">
        <f>"20190304155234375"</f>
        <v>20190304155234375</v>
      </c>
      <c r="B6576" t="str">
        <f>"1551685954363909"</f>
        <v>1551685954363909</v>
      </c>
      <c r="C6576" t="s">
        <v>40</v>
      </c>
      <c r="D6576">
        <v>4.8954139999999997</v>
      </c>
      <c r="E6576">
        <v>0.5204782</v>
      </c>
      <c r="F6576" t="s">
        <v>104</v>
      </c>
      <c r="G6576">
        <v>-241.55779999999999</v>
      </c>
      <c r="H6576" s="1">
        <v>-3.1751040000000001E-7</v>
      </c>
      <c r="I6576">
        <v>-62.871920000000003</v>
      </c>
      <c r="J6576">
        <v>-268.93689999999998</v>
      </c>
      <c r="K6576">
        <v>1.1115740000000001</v>
      </c>
      <c r="L6576">
        <v>-62.721040000000002</v>
      </c>
      <c r="M6576">
        <v>0.99706689999999998</v>
      </c>
      <c r="N6576">
        <v>-9.0973570000000004E-3</v>
      </c>
      <c r="O6576">
        <v>-7.5992509999999999E-2</v>
      </c>
      <c r="P6576">
        <v>0.98626879999999995</v>
      </c>
      <c r="Q6576">
        <v>0.15766379999999999</v>
      </c>
      <c r="R6576">
        <v>4.9155299999999999E-2</v>
      </c>
      <c r="S6576">
        <v>3.0620120000000002</v>
      </c>
      <c r="T6576">
        <v>-0.12378740000000001</v>
      </c>
      <c r="U6576">
        <v>-1.766968E-2</v>
      </c>
      <c r="V6576">
        <v>-0.1245979</v>
      </c>
      <c r="W6576">
        <v>0.16609760000000001</v>
      </c>
      <c r="X6576">
        <v>0.97820600000000002</v>
      </c>
      <c r="Y6576">
        <v>-7.0133219999999996E-2</v>
      </c>
      <c r="Z6576">
        <v>4.1130280000000003E-3</v>
      </c>
      <c r="AA6576">
        <v>0.99752909999999995</v>
      </c>
      <c r="AB6576">
        <v>24</v>
      </c>
      <c r="AC6576">
        <v>27.379099999999902</v>
      </c>
      <c r="AD6576">
        <v>-1.1115743175104</v>
      </c>
      <c r="AE6576">
        <v>-0.15087999999999299</v>
      </c>
      <c r="AF6576">
        <v>-1.9270726132496601</v>
      </c>
      <c r="AG6576">
        <v>-1.1115743175104</v>
      </c>
      <c r="AH6576">
        <v>27.266447772960799</v>
      </c>
      <c r="AI6576">
        <v>92.328688448286599</v>
      </c>
      <c r="AJ6576">
        <v>94.042691520681103</v>
      </c>
      <c r="AK6576">
        <v>27.357053578111898</v>
      </c>
      <c r="AL6576">
        <v>80.438997921865706</v>
      </c>
      <c r="AM6576">
        <v>97.258898147192696</v>
      </c>
      <c r="AN6576">
        <v>1.00000001392308</v>
      </c>
    </row>
    <row r="6577" spans="1:40" x14ac:dyDescent="0.25">
      <c r="A6577" t="str">
        <f>"20190304155234386"</f>
        <v>20190304155234386</v>
      </c>
      <c r="B6577" t="str">
        <f>"1551685954383428"</f>
        <v>1551685954383428</v>
      </c>
      <c r="C6577" t="s">
        <v>40</v>
      </c>
      <c r="D6577">
        <v>4.9110440000000004</v>
      </c>
      <c r="E6577">
        <v>0.52061199999999996</v>
      </c>
      <c r="F6577" t="s">
        <v>104</v>
      </c>
      <c r="G6577">
        <v>-241.15360000000001</v>
      </c>
      <c r="H6577" s="1">
        <v>-1.4485249999999999E-7</v>
      </c>
      <c r="I6577">
        <v>-62.874650000000003</v>
      </c>
      <c r="J6577">
        <v>-268.81950000000001</v>
      </c>
      <c r="K6577">
        <v>1.1115950000000001</v>
      </c>
      <c r="L6577">
        <v>-62.728670000000001</v>
      </c>
      <c r="M6577">
        <v>0.99716170000000004</v>
      </c>
      <c r="N6577">
        <v>-9.075329E-3</v>
      </c>
      <c r="O6577">
        <v>-7.473958E-2</v>
      </c>
      <c r="P6577">
        <v>0.98621890000000001</v>
      </c>
      <c r="Q6577">
        <v>0.15788189999999999</v>
      </c>
      <c r="R6577">
        <v>4.9453270000000001E-2</v>
      </c>
      <c r="S6577">
        <v>3.062195</v>
      </c>
      <c r="T6577">
        <v>-0.1225147</v>
      </c>
      <c r="U6577">
        <v>-1.6937259999999999E-2</v>
      </c>
      <c r="V6577">
        <v>-0.12366920000000001</v>
      </c>
      <c r="W6577">
        <v>0.1662922</v>
      </c>
      <c r="X6577">
        <v>0.97829080000000002</v>
      </c>
      <c r="Y6577">
        <v>-6.9122520000000007E-2</v>
      </c>
      <c r="Z6577">
        <v>4.0041870000000002E-3</v>
      </c>
      <c r="AA6577">
        <v>0.99760009999999999</v>
      </c>
      <c r="AB6577">
        <v>24</v>
      </c>
      <c r="AC6577">
        <v>27.665899999999901</v>
      </c>
      <c r="AD6577">
        <v>-1.1115951448524899</v>
      </c>
      <c r="AE6577">
        <v>-0.14598000000000799</v>
      </c>
      <c r="AF6577">
        <v>-1.9191532720942801</v>
      </c>
      <c r="AG6577">
        <v>-1.1115951448524899</v>
      </c>
      <c r="AH6577">
        <v>27.554942705477199</v>
      </c>
      <c r="AI6577">
        <v>92.304542197410896</v>
      </c>
      <c r="AJ6577">
        <v>93.984116380874198</v>
      </c>
      <c r="AK6577">
        <v>27.644052896599302</v>
      </c>
      <c r="AL6577">
        <v>80.427691052781697</v>
      </c>
      <c r="AM6577">
        <v>97.204746121389505</v>
      </c>
      <c r="AN6577">
        <v>1.00000002808705</v>
      </c>
    </row>
    <row r="6578" spans="1:40" x14ac:dyDescent="0.25">
      <c r="A6578" t="str">
        <f>"20190304155234399"</f>
        <v>20190304155234399</v>
      </c>
      <c r="B6578" t="str">
        <f>"1551685954393188"</f>
        <v>1551685954393188</v>
      </c>
      <c r="C6578" t="s">
        <v>40</v>
      </c>
      <c r="D6578">
        <v>4.9190930000000002</v>
      </c>
      <c r="E6578">
        <v>0.52066539999999994</v>
      </c>
      <c r="F6578" t="s">
        <v>104</v>
      </c>
      <c r="G6578">
        <v>-241.01009999999999</v>
      </c>
      <c r="H6578" s="1">
        <v>-8.5731810000000002E-8</v>
      </c>
      <c r="I6578">
        <v>-62.883800000000001</v>
      </c>
      <c r="J6578">
        <v>-268.70170000000002</v>
      </c>
      <c r="K6578">
        <v>1.1116159999999999</v>
      </c>
      <c r="L6578">
        <v>-62.736109999999996</v>
      </c>
      <c r="M6578">
        <v>0.9972569</v>
      </c>
      <c r="N6578">
        <v>-9.0534180000000006E-3</v>
      </c>
      <c r="O6578">
        <v>-7.346258E-2</v>
      </c>
      <c r="P6578">
        <v>0.9861354</v>
      </c>
      <c r="Q6578">
        <v>0.15829979999999999</v>
      </c>
      <c r="R6578">
        <v>4.9781970000000002E-2</v>
      </c>
      <c r="S6578">
        <v>3.0623779999999998</v>
      </c>
      <c r="T6578">
        <v>-0.122409199999999</v>
      </c>
      <c r="U6578">
        <v>-1.7089839999999999E-2</v>
      </c>
      <c r="V6578">
        <v>-0.1227456</v>
      </c>
      <c r="W6578">
        <v>0.16668669999999999</v>
      </c>
      <c r="X6578">
        <v>0.97833999999999999</v>
      </c>
      <c r="Y6578">
        <v>-6.7797650000000001E-2</v>
      </c>
      <c r="Z6578">
        <v>3.9292470000000003E-3</v>
      </c>
      <c r="AA6578">
        <v>0.99769129999999995</v>
      </c>
      <c r="AB6578">
        <v>24</v>
      </c>
      <c r="AC6578">
        <v>27.691600000000001</v>
      </c>
      <c r="AD6578">
        <v>-1.11161608573181</v>
      </c>
      <c r="AE6578">
        <v>-0.14769000000000401</v>
      </c>
      <c r="AF6578">
        <v>-1.8840528623464701</v>
      </c>
      <c r="AG6578">
        <v>-1.11161608573181</v>
      </c>
      <c r="AH6578">
        <v>27.583173272843801</v>
      </c>
      <c r="AI6578">
        <v>92.302441595817598</v>
      </c>
      <c r="AJ6578">
        <v>93.907486181060094</v>
      </c>
      <c r="AK6578">
        <v>27.669781229888699</v>
      </c>
      <c r="AL6578">
        <v>80.404768118305995</v>
      </c>
      <c r="AM6578">
        <v>97.151142095918601</v>
      </c>
      <c r="AN6578">
        <v>1.0000000469381201</v>
      </c>
    </row>
    <row r="6579" spans="1:40" x14ac:dyDescent="0.25">
      <c r="A6579" t="str">
        <f>"20190304155234409"</f>
        <v>20190304155234409</v>
      </c>
      <c r="B6579" t="str">
        <f>"1551685954403925"</f>
        <v>1551685954403925</v>
      </c>
      <c r="C6579" t="s">
        <v>40</v>
      </c>
      <c r="D6579">
        <v>4.8797009999999998</v>
      </c>
      <c r="E6579">
        <v>0.52088389999999996</v>
      </c>
      <c r="F6579" t="s">
        <v>104</v>
      </c>
      <c r="G6579">
        <v>-240.7698</v>
      </c>
      <c r="H6579" s="1">
        <v>1.7058369999999998E-8</v>
      </c>
      <c r="I6579">
        <v>-62.88496</v>
      </c>
      <c r="J6579">
        <v>-268.58260000000001</v>
      </c>
      <c r="K6579">
        <v>1.1116330000000001</v>
      </c>
      <c r="L6579">
        <v>-62.743560000000002</v>
      </c>
      <c r="M6579">
        <v>0.9973516</v>
      </c>
      <c r="N6579">
        <v>-9.0312689999999998E-3</v>
      </c>
      <c r="O6579">
        <v>-7.2168419999999997E-2</v>
      </c>
      <c r="P6579">
        <v>0.98607710000000004</v>
      </c>
      <c r="Q6579">
        <v>0.1585916</v>
      </c>
      <c r="R6579">
        <v>5.0009440000000002E-2</v>
      </c>
      <c r="S6579">
        <v>3.0625610000000001</v>
      </c>
      <c r="T6579">
        <v>-0.1218818</v>
      </c>
      <c r="U6579">
        <v>-1.6326899999999998E-2</v>
      </c>
      <c r="V6579">
        <v>-0.1217057</v>
      </c>
      <c r="W6579">
        <v>0.1669551</v>
      </c>
      <c r="X6579">
        <v>0.97842410000000002</v>
      </c>
      <c r="Y6579">
        <v>-6.6754300000000003E-2</v>
      </c>
      <c r="Z6579">
        <v>3.8462840000000002E-3</v>
      </c>
      <c r="AA6579">
        <v>0.99776200000000004</v>
      </c>
      <c r="AB6579">
        <v>24</v>
      </c>
      <c r="AC6579">
        <v>27.812799999999999</v>
      </c>
      <c r="AD6579">
        <v>-1.1116329829416201</v>
      </c>
      <c r="AE6579">
        <v>-0.14140000000000399</v>
      </c>
      <c r="AF6579">
        <v>-1.8632799101191599</v>
      </c>
      <c r="AG6579">
        <v>-1.1116329829416201</v>
      </c>
      <c r="AH6579">
        <v>27.706217341640599</v>
      </c>
      <c r="AI6579">
        <v>92.292424825471002</v>
      </c>
      <c r="AJ6579">
        <v>93.847423939321999</v>
      </c>
      <c r="AK6579">
        <v>27.791042069243201</v>
      </c>
      <c r="AL6579">
        <v>80.389170933712506</v>
      </c>
      <c r="AM6579">
        <v>97.0905737200396</v>
      </c>
      <c r="AN6579">
        <v>1.0000000011446499</v>
      </c>
    </row>
    <row r="6580" spans="1:40" x14ac:dyDescent="0.25">
      <c r="A6580" t="str">
        <f>"20190304155234420"</f>
        <v>20190304155234420</v>
      </c>
      <c r="B6580" t="str">
        <f>"1551685954413685"</f>
        <v>1551685954413685</v>
      </c>
      <c r="C6580" t="s">
        <v>40</v>
      </c>
      <c r="D6580">
        <v>5.056953</v>
      </c>
      <c r="E6580">
        <v>0.52088389999999996</v>
      </c>
      <c r="F6580" t="s">
        <v>104</v>
      </c>
      <c r="G6580">
        <v>-240.233</v>
      </c>
      <c r="H6580" s="1">
        <v>2.4244860000000001E-7</v>
      </c>
      <c r="I6580">
        <v>-62.903390000000002</v>
      </c>
      <c r="J6580">
        <v>-268.45870000000002</v>
      </c>
      <c r="K6580">
        <v>1.1116469999999901</v>
      </c>
      <c r="L6580">
        <v>-62.751069999999999</v>
      </c>
      <c r="M6580">
        <v>0.99744960000000005</v>
      </c>
      <c r="N6580">
        <v>-9.0082619999999995E-3</v>
      </c>
      <c r="O6580">
        <v>-7.0805010000000002E-2</v>
      </c>
      <c r="P6580">
        <v>0.98602369999999995</v>
      </c>
      <c r="Q6580">
        <v>0.1588455</v>
      </c>
      <c r="R6580">
        <v>5.0257299999999998E-2</v>
      </c>
      <c r="S6580">
        <v>3.0625610000000001</v>
      </c>
      <c r="T6580">
        <v>-0.12008770000000001</v>
      </c>
      <c r="U6580">
        <v>-1.7272949999999999E-2</v>
      </c>
      <c r="V6580">
        <v>-0.120618</v>
      </c>
      <c r="W6580">
        <v>0.1671869</v>
      </c>
      <c r="X6580">
        <v>0.97851920000000003</v>
      </c>
      <c r="Y6580">
        <v>-6.5087240000000005E-2</v>
      </c>
      <c r="Z6580">
        <v>3.7042139999999999E-3</v>
      </c>
      <c r="AA6580">
        <v>0.99787269999999995</v>
      </c>
      <c r="AB6580">
        <v>24</v>
      </c>
      <c r="AC6580">
        <v>28.2257</v>
      </c>
      <c r="AD6580">
        <v>-1.11164675755139</v>
      </c>
      <c r="AE6580">
        <v>-0.15232000000000301</v>
      </c>
      <c r="AF6580">
        <v>-1.8438043188787701</v>
      </c>
      <c r="AG6580">
        <v>-1.11164675755139</v>
      </c>
      <c r="AH6580">
        <v>28.122018932775799</v>
      </c>
      <c r="AI6580">
        <v>92.258844873056503</v>
      </c>
      <c r="AJ6580">
        <v>93.751196550063895</v>
      </c>
      <c r="AK6580">
        <v>28.204313885207199</v>
      </c>
      <c r="AL6580">
        <v>80.375700364416105</v>
      </c>
      <c r="AM6580">
        <v>97.027164636840794</v>
      </c>
      <c r="AN6580">
        <v>0.99999999311212495</v>
      </c>
    </row>
    <row r="6581" spans="1:40" x14ac:dyDescent="0.25">
      <c r="A6581" t="str">
        <f>"20190304155234432"</f>
        <v>20190304155234432</v>
      </c>
      <c r="B6581" t="str">
        <f>"1551685954423445"</f>
        <v>1551685954423445</v>
      </c>
      <c r="C6581" t="s">
        <v>40</v>
      </c>
      <c r="D6581">
        <v>5.1487189999999998</v>
      </c>
      <c r="E6581">
        <v>0.50191540000000001</v>
      </c>
      <c r="F6581" t="s">
        <v>107</v>
      </c>
      <c r="G6581">
        <v>-239.92740000000001</v>
      </c>
      <c r="H6581" s="1">
        <v>-3.6993619999999999E-6</v>
      </c>
      <c r="I6581">
        <v>-62.903399999999998</v>
      </c>
      <c r="J6581">
        <v>-268.34109999999998</v>
      </c>
      <c r="K6581">
        <v>1.1116569999999999</v>
      </c>
      <c r="L6581">
        <v>-62.75806</v>
      </c>
      <c r="M6581">
        <v>0.99754100000000001</v>
      </c>
      <c r="N6581">
        <v>-8.9869670000000002E-3</v>
      </c>
      <c r="O6581">
        <v>-6.9507899999999997E-2</v>
      </c>
      <c r="P6581">
        <v>0.98593710000000001</v>
      </c>
      <c r="Q6581">
        <v>0.15920989999999999</v>
      </c>
      <c r="R6581">
        <v>5.079736E-2</v>
      </c>
      <c r="S6581">
        <v>3.062592</v>
      </c>
      <c r="T6581">
        <v>-0.11932619999999999</v>
      </c>
      <c r="U6581">
        <v>-1.6357420000000001E-2</v>
      </c>
      <c r="V6581">
        <v>-0.1198839</v>
      </c>
      <c r="W6581">
        <v>0.16752919999999999</v>
      </c>
      <c r="X6581">
        <v>0.9785509</v>
      </c>
      <c r="Y6581">
        <v>-6.4090679999999997E-2</v>
      </c>
      <c r="Z6581">
        <v>3.6167090000000001E-3</v>
      </c>
      <c r="AA6581">
        <v>0.99793750000000003</v>
      </c>
      <c r="AB6581">
        <v>24</v>
      </c>
      <c r="AC6581">
        <v>28.413699999999899</v>
      </c>
      <c r="AD6581">
        <v>-1.111660699362</v>
      </c>
      <c r="AE6581">
        <v>-0.145339999999997</v>
      </c>
      <c r="AF6581">
        <v>-1.8272708443899199</v>
      </c>
      <c r="AG6581">
        <v>-1.111660699362</v>
      </c>
      <c r="AH6581">
        <v>28.311740264278601</v>
      </c>
      <c r="AI6581">
        <v>92.243900231365302</v>
      </c>
      <c r="AJ6581">
        <v>93.692810754140694</v>
      </c>
      <c r="AK6581">
        <v>28.392417034152501</v>
      </c>
      <c r="AL6581">
        <v>80.355807744934694</v>
      </c>
      <c r="AM6581">
        <v>96.984595930532294</v>
      </c>
      <c r="AN6581">
        <v>1.00000002311132</v>
      </c>
    </row>
    <row r="6582" spans="1:40" x14ac:dyDescent="0.25">
      <c r="A6582" t="str">
        <f>"20190304155234442"</f>
        <v>20190304155234442</v>
      </c>
      <c r="B6582" t="str">
        <f>"1551685954433205"</f>
        <v>1551685954433205</v>
      </c>
      <c r="C6582" t="s">
        <v>40</v>
      </c>
      <c r="D6582">
        <v>4.9646780000000001</v>
      </c>
      <c r="E6582">
        <v>0.49606670000000003</v>
      </c>
      <c r="F6582" t="s">
        <v>104</v>
      </c>
      <c r="G6582">
        <v>-249.78540000000001</v>
      </c>
      <c r="H6582" s="1">
        <v>-3.4789080000000001E-6</v>
      </c>
      <c r="I6582">
        <v>-61.932980000000001</v>
      </c>
      <c r="J6582">
        <v>-268.21620000000001</v>
      </c>
      <c r="K6582">
        <v>1.1116680000000001</v>
      </c>
      <c r="L6582">
        <v>-62.765320000000003</v>
      </c>
      <c r="M6582">
        <v>0.99763690000000005</v>
      </c>
      <c r="N6582">
        <v>-8.9652689999999997E-3</v>
      </c>
      <c r="O6582">
        <v>-6.8122100000000005E-2</v>
      </c>
      <c r="P6582">
        <v>0.98589939999999998</v>
      </c>
      <c r="Q6582">
        <v>0.1592247</v>
      </c>
      <c r="R6582">
        <v>5.1480430000000001E-2</v>
      </c>
      <c r="S6582">
        <v>3.0653990000000002</v>
      </c>
      <c r="T6582">
        <v>-0.183646</v>
      </c>
      <c r="U6582">
        <v>0.13629150000000001</v>
      </c>
      <c r="V6582">
        <v>-0.11920699999999999</v>
      </c>
      <c r="W6582">
        <v>0.16752210000000001</v>
      </c>
      <c r="X6582">
        <v>0.97863480000000003</v>
      </c>
      <c r="Y6582">
        <v>-0.112053</v>
      </c>
      <c r="Z6582">
        <v>7.3194690000000003E-3</v>
      </c>
      <c r="AA6582">
        <v>0.99367530000000004</v>
      </c>
      <c r="AB6582">
        <v>24</v>
      </c>
      <c r="AC6582">
        <v>18.430800000000001</v>
      </c>
      <c r="AD6582">
        <v>-1.111671478908</v>
      </c>
      <c r="AE6582">
        <v>0.83233999999998698</v>
      </c>
      <c r="AF6582">
        <v>-2.0784552719612401</v>
      </c>
      <c r="AG6582">
        <v>-1.111671478908</v>
      </c>
      <c r="AH6582">
        <v>18.264965662552498</v>
      </c>
      <c r="AI6582">
        <v>93.460651188590006</v>
      </c>
      <c r="AJ6582">
        <v>96.492026737025995</v>
      </c>
      <c r="AK6582">
        <v>18.416426375624098</v>
      </c>
      <c r="AL6582">
        <v>80.3562203198464</v>
      </c>
      <c r="AM6582">
        <v>96.944955488766993</v>
      </c>
      <c r="AN6582">
        <v>1.0000000173042201</v>
      </c>
    </row>
    <row r="6583" spans="1:40" x14ac:dyDescent="0.25">
      <c r="A6583" t="str">
        <f>"20190304155234454"</f>
        <v>20190304155234454</v>
      </c>
      <c r="B6583" t="str">
        <f>"1551685954443941"</f>
        <v>1551685954443941</v>
      </c>
      <c r="C6583" t="s">
        <v>40</v>
      </c>
      <c r="D6583">
        <v>4.8979489999999997</v>
      </c>
      <c r="E6583">
        <v>0.49387959999999897</v>
      </c>
      <c r="F6583" t="s">
        <v>103</v>
      </c>
      <c r="G6583">
        <v>-250.05160000000001</v>
      </c>
      <c r="H6583" s="1">
        <v>5.5582340000000001E-7</v>
      </c>
      <c r="I6583">
        <v>-61.6693199999999</v>
      </c>
      <c r="J6583">
        <v>-268.10140000000001</v>
      </c>
      <c r="K6583">
        <v>1.111672</v>
      </c>
      <c r="L6583">
        <v>-62.771790000000003</v>
      </c>
      <c r="M6583">
        <v>0.99772340000000004</v>
      </c>
      <c r="N6583">
        <v>-8.9468780000000001E-3</v>
      </c>
      <c r="O6583">
        <v>-6.684387E-2</v>
      </c>
      <c r="P6583">
        <v>0.98578929999999998</v>
      </c>
      <c r="Q6583">
        <v>0.15961259999999999</v>
      </c>
      <c r="R6583">
        <v>5.2381280000000002E-2</v>
      </c>
      <c r="S6583">
        <v>3.0635379999999999</v>
      </c>
      <c r="T6583">
        <v>-0.18748680000000001</v>
      </c>
      <c r="U6583">
        <v>0.18484500000000001</v>
      </c>
      <c r="V6583">
        <v>-0.118848</v>
      </c>
      <c r="W6583">
        <v>0.1678907</v>
      </c>
      <c r="X6583">
        <v>0.97861529999999997</v>
      </c>
      <c r="Y6583">
        <v>-0.12645670000000001</v>
      </c>
      <c r="Z6583">
        <v>7.9152270000000004E-3</v>
      </c>
      <c r="AA6583">
        <v>0.99194059999999995</v>
      </c>
      <c r="AB6583">
        <v>24</v>
      </c>
      <c r="AC6583">
        <v>18.049800000000001</v>
      </c>
      <c r="AD6583">
        <v>-1.1116714441766</v>
      </c>
      <c r="AE6583">
        <v>1.1024700000000101</v>
      </c>
      <c r="AF6583">
        <v>-2.2978867727623999</v>
      </c>
      <c r="AG6583">
        <v>-1.1116714441766</v>
      </c>
      <c r="AH6583">
        <v>17.868205011226699</v>
      </c>
      <c r="AI6583">
        <v>93.531066741880494</v>
      </c>
      <c r="AJ6583">
        <v>97.328129378899803</v>
      </c>
      <c r="AK6583">
        <v>18.049621806106099</v>
      </c>
      <c r="AL6583">
        <v>80.334797711283002</v>
      </c>
      <c r="AM6583">
        <v>96.924380267308706</v>
      </c>
      <c r="AN6583">
        <v>1.00000001982228</v>
      </c>
    </row>
    <row r="6584" spans="1:40" x14ac:dyDescent="0.25">
      <c r="A6584" t="str">
        <f>"20190304155234465"</f>
        <v>20190304155234465</v>
      </c>
      <c r="B6584" t="str">
        <f>"1551685954453701"</f>
        <v>1551685954453701</v>
      </c>
      <c r="C6584" t="s">
        <v>40</v>
      </c>
      <c r="D6584">
        <v>4.9555889999999998</v>
      </c>
      <c r="E6584">
        <v>0.49180869999999999</v>
      </c>
      <c r="F6584" t="s">
        <v>103</v>
      </c>
      <c r="G6584">
        <v>-250.8595</v>
      </c>
      <c r="H6584" s="1">
        <v>2.2034900000000001E-7</v>
      </c>
      <c r="I6584">
        <v>-61.619269999999901</v>
      </c>
      <c r="J6584">
        <v>-267.98099999999999</v>
      </c>
      <c r="K6584">
        <v>1.1116740000000001</v>
      </c>
      <c r="L6584">
        <v>-62.778469999999999</v>
      </c>
      <c r="M6584">
        <v>0.99781260000000005</v>
      </c>
      <c r="N6584">
        <v>-8.9285389999999992E-3</v>
      </c>
      <c r="O6584">
        <v>-6.5502099999999994E-2</v>
      </c>
      <c r="P6584">
        <v>0.98576870000000005</v>
      </c>
      <c r="Q6584">
        <v>0.15937689999999999</v>
      </c>
      <c r="R6584">
        <v>5.3471820000000003E-2</v>
      </c>
      <c r="S6584">
        <v>3.064362</v>
      </c>
      <c r="T6584">
        <v>-0.19757520000000001</v>
      </c>
      <c r="U6584">
        <v>0.20483399999999999</v>
      </c>
      <c r="V6584">
        <v>-0.118619</v>
      </c>
      <c r="W6584">
        <v>0.1676359</v>
      </c>
      <c r="X6584">
        <v>0.97868670000000002</v>
      </c>
      <c r="Y6584">
        <v>-0.13150029999999999</v>
      </c>
      <c r="Z6584">
        <v>8.4491140000000006E-3</v>
      </c>
      <c r="AA6584">
        <v>0.9912801</v>
      </c>
      <c r="AB6584">
        <v>24</v>
      </c>
      <c r="AC6584">
        <v>17.121499999999902</v>
      </c>
      <c r="AD6584">
        <v>-1.1116737796509999</v>
      </c>
      <c r="AE6584">
        <v>1.1592</v>
      </c>
      <c r="AF6584">
        <v>-2.2687284541499499</v>
      </c>
      <c r="AG6584">
        <v>-1.1116737796509999</v>
      </c>
      <c r="AH6584">
        <v>16.937715683131199</v>
      </c>
      <c r="AI6584">
        <v>93.721964998452407</v>
      </c>
      <c r="AJ6584">
        <v>97.6290947287644</v>
      </c>
      <c r="AK6584">
        <v>17.125103210013702</v>
      </c>
      <c r="AL6584">
        <v>80.349605968648603</v>
      </c>
      <c r="AM6584">
        <v>96.910667993162406</v>
      </c>
      <c r="AN6584">
        <v>0.99999995944334896</v>
      </c>
    </row>
    <row r="6585" spans="1:40" x14ac:dyDescent="0.25">
      <c r="A6585" t="str">
        <f>"20190304155234476"</f>
        <v>20190304155234476</v>
      </c>
      <c r="B6585" t="str">
        <f>"1551685954473220"</f>
        <v>1551685954473220</v>
      </c>
      <c r="C6585" t="s">
        <v>40</v>
      </c>
      <c r="D6585">
        <v>5.1725050000000001</v>
      </c>
      <c r="E6585">
        <v>0.48971429999999999</v>
      </c>
      <c r="F6585" t="s">
        <v>103</v>
      </c>
      <c r="G6585">
        <v>-250.46770000000001</v>
      </c>
      <c r="H6585" s="1">
        <v>4.1619070000000002E-7</v>
      </c>
      <c r="I6585">
        <v>-61.494370000000004</v>
      </c>
      <c r="J6585">
        <v>-267.86959999999999</v>
      </c>
      <c r="K6585">
        <v>1.111675</v>
      </c>
      <c r="L6585">
        <v>-62.78445</v>
      </c>
      <c r="M6585">
        <v>0.99789360000000005</v>
      </c>
      <c r="N6585">
        <v>-8.9132359999999997E-3</v>
      </c>
      <c r="O6585">
        <v>-6.4256560000000004E-2</v>
      </c>
      <c r="P6585">
        <v>0.98573250000000001</v>
      </c>
      <c r="Q6585">
        <v>0.1591892</v>
      </c>
      <c r="R6585">
        <v>5.4685159999999997E-2</v>
      </c>
      <c r="S6585">
        <v>3.0625309999999999</v>
      </c>
      <c r="T6585">
        <v>-0.19439699999999999</v>
      </c>
      <c r="U6585">
        <v>0.22454830000000001</v>
      </c>
      <c r="V6585">
        <v>-0.1186054</v>
      </c>
      <c r="W6585">
        <v>0.16743229999999901</v>
      </c>
      <c r="X6585">
        <v>0.97872320000000002</v>
      </c>
      <c r="Y6585">
        <v>-0.13665329999999901</v>
      </c>
      <c r="Z6585">
        <v>8.4355239999999998E-3</v>
      </c>
      <c r="AA6585">
        <v>0.99058299999999999</v>
      </c>
      <c r="AB6585">
        <v>24</v>
      </c>
      <c r="AC6585">
        <v>17.401899999999898</v>
      </c>
      <c r="AD6585">
        <v>-1.1116745838093001</v>
      </c>
      <c r="AE6585">
        <v>1.2900799999999999</v>
      </c>
      <c r="AF6585">
        <v>-2.39592017842104</v>
      </c>
      <c r="AG6585">
        <v>-1.1116745838093001</v>
      </c>
      <c r="AH6585">
        <v>17.213172921556399</v>
      </c>
      <c r="AI6585">
        <v>93.660001692597703</v>
      </c>
      <c r="AJ6585">
        <v>97.924148765462604</v>
      </c>
      <c r="AK6585">
        <v>17.414636829662999</v>
      </c>
      <c r="AL6585">
        <v>80.361438626071404</v>
      </c>
      <c r="AM6585">
        <v>96.909628124129696</v>
      </c>
      <c r="AN6585">
        <v>0.99999995910534401</v>
      </c>
    </row>
    <row r="6586" spans="1:40" x14ac:dyDescent="0.25">
      <c r="A6586" t="str">
        <f>"20190304155234487"</f>
        <v>20190304155234487</v>
      </c>
      <c r="B6586" t="str">
        <f>"1551685954483956"</f>
        <v>1551685954483956</v>
      </c>
      <c r="C6586" t="s">
        <v>40</v>
      </c>
      <c r="D6586">
        <v>4.9550450000000001</v>
      </c>
      <c r="E6586">
        <v>0.48882690000000001</v>
      </c>
      <c r="F6586" t="s">
        <v>104</v>
      </c>
      <c r="G6586">
        <v>-248.95930000000001</v>
      </c>
      <c r="H6586" s="1">
        <v>-3.0663460000000002E-6</v>
      </c>
      <c r="I6586">
        <v>-61.26943</v>
      </c>
      <c r="J6586">
        <v>-267.74639999999999</v>
      </c>
      <c r="K6586">
        <v>1.1116760000000001</v>
      </c>
      <c r="L6586">
        <v>-62.790950000000002</v>
      </c>
      <c r="M6586">
        <v>0.99798160000000002</v>
      </c>
      <c r="N6586">
        <v>-8.896681E-3</v>
      </c>
      <c r="O6586">
        <v>-6.2880240000000004E-2</v>
      </c>
      <c r="P6586">
        <v>0.98567179999999999</v>
      </c>
      <c r="Q6586">
        <v>0.15915170000000001</v>
      </c>
      <c r="R6586">
        <v>5.5877339999999998E-2</v>
      </c>
      <c r="S6586">
        <v>3.0588679999999999</v>
      </c>
      <c r="T6586">
        <v>-0.17982200000000001</v>
      </c>
      <c r="U6586">
        <v>0.2450562</v>
      </c>
      <c r="V6586">
        <v>-0.1184413</v>
      </c>
      <c r="W6586">
        <v>0.16737729999999901</v>
      </c>
      <c r="X6586">
        <v>0.97875250000000003</v>
      </c>
      <c r="Y6586">
        <v>-0.1420226</v>
      </c>
      <c r="Z6586">
        <v>7.9276009999999994E-3</v>
      </c>
      <c r="AA6586">
        <v>0.98983169999999998</v>
      </c>
      <c r="AB6586">
        <v>24</v>
      </c>
      <c r="AC6586">
        <v>18.787099999999899</v>
      </c>
      <c r="AD6586">
        <v>-1.1116790663459899</v>
      </c>
      <c r="AE6586">
        <v>1.52151999999999</v>
      </c>
      <c r="AF6586">
        <v>-2.6905335048250101</v>
      </c>
      <c r="AG6586">
        <v>-1.1116790663459899</v>
      </c>
      <c r="AH6586">
        <v>18.589576527679501</v>
      </c>
      <c r="AI6586">
        <v>93.387072443168904</v>
      </c>
      <c r="AJ6586">
        <v>98.235428837767799</v>
      </c>
      <c r="AK6586">
        <v>18.8161408467728</v>
      </c>
      <c r="AL6586">
        <v>80.364635195786207</v>
      </c>
      <c r="AM6586">
        <v>96.899955763036502</v>
      </c>
      <c r="AN6586">
        <v>0.99999997917861405</v>
      </c>
    </row>
    <row r="6587" spans="1:40" x14ac:dyDescent="0.25">
      <c r="A6587" t="str">
        <f>"20190304155234499"</f>
        <v>20190304155234499</v>
      </c>
      <c r="B6587" t="str">
        <f>"1551685954493717"</f>
        <v>1551685954493717</v>
      </c>
      <c r="C6587" t="s">
        <v>40</v>
      </c>
      <c r="D6587">
        <v>4.9589259999999999</v>
      </c>
      <c r="E6587">
        <v>0.48806519999999998</v>
      </c>
      <c r="F6587" t="s">
        <v>104</v>
      </c>
      <c r="G6587">
        <v>-248.8571</v>
      </c>
      <c r="H6587" s="1">
        <v>-3.0067540000000002E-6</v>
      </c>
      <c r="I6587">
        <v>-61.210340000000002</v>
      </c>
      <c r="J6587">
        <v>-267.62189999999998</v>
      </c>
      <c r="K6587">
        <v>1.1116809999999999</v>
      </c>
      <c r="L6587">
        <v>-62.7973</v>
      </c>
      <c r="M6587">
        <v>0.99806830000000002</v>
      </c>
      <c r="N6587">
        <v>-8.8792630000000001E-3</v>
      </c>
      <c r="O6587">
        <v>-6.1488439999999998E-2</v>
      </c>
      <c r="P6587">
        <v>0.98559529999999995</v>
      </c>
      <c r="Q6587">
        <v>0.15911320000000001</v>
      </c>
      <c r="R6587">
        <v>5.7317199999999999E-2</v>
      </c>
      <c r="S6587">
        <v>3.0581670000000001</v>
      </c>
      <c r="T6587">
        <v>-0.17997939999999901</v>
      </c>
      <c r="U6587">
        <v>0.2558899</v>
      </c>
      <c r="V6587">
        <v>-0.1185078</v>
      </c>
      <c r="W6587">
        <v>0.16732139999999901</v>
      </c>
      <c r="X6587">
        <v>0.97875400000000001</v>
      </c>
      <c r="Y6587">
        <v>-0.14413999999999999</v>
      </c>
      <c r="Z6587">
        <v>7.9374930000000003E-3</v>
      </c>
      <c r="AA6587">
        <v>0.9895254</v>
      </c>
      <c r="AB6587">
        <v>24</v>
      </c>
      <c r="AC6587">
        <v>18.764799999999902</v>
      </c>
      <c r="AD6587">
        <v>-1.1116840067539999</v>
      </c>
      <c r="AE6587">
        <v>1.5869599999999899</v>
      </c>
      <c r="AF6587">
        <v>-2.7283130102180002</v>
      </c>
      <c r="AG6587">
        <v>-1.1116840067539999</v>
      </c>
      <c r="AH6587">
        <v>18.5670042495011</v>
      </c>
      <c r="AI6587">
        <v>93.390127691853195</v>
      </c>
      <c r="AJ6587">
        <v>98.359455857718004</v>
      </c>
      <c r="AK6587">
        <v>18.799286688956801</v>
      </c>
      <c r="AL6587">
        <v>80.367883764301396</v>
      </c>
      <c r="AM6587">
        <v>96.9037819522257</v>
      </c>
      <c r="AN6587">
        <v>0.99999997103739902</v>
      </c>
    </row>
    <row r="6588" spans="1:40" x14ac:dyDescent="0.25">
      <c r="A6588" t="str">
        <f>"20190304155234511"</f>
        <v>20190304155234511</v>
      </c>
      <c r="B6588" t="str">
        <f>"1551685954503476"</f>
        <v>1551685954503476</v>
      </c>
      <c r="C6588" t="s">
        <v>40</v>
      </c>
      <c r="D6588">
        <v>4.9414879999999997</v>
      </c>
      <c r="E6588">
        <v>0.48748930000000001</v>
      </c>
      <c r="F6588" t="s">
        <v>104</v>
      </c>
      <c r="G6588">
        <v>-248.7</v>
      </c>
      <c r="H6588" s="1">
        <v>-2.9226639999999998E-6</v>
      </c>
      <c r="I6588">
        <v>-61.147599999999997</v>
      </c>
      <c r="J6588">
        <v>-267.5016</v>
      </c>
      <c r="K6588">
        <v>1.1116809999999999</v>
      </c>
      <c r="L6588">
        <v>-62.803310000000003</v>
      </c>
      <c r="M6588">
        <v>0.99815050000000005</v>
      </c>
      <c r="N6588">
        <v>-8.862188E-3</v>
      </c>
      <c r="O6588">
        <v>-6.0144799999999998E-2</v>
      </c>
      <c r="P6588">
        <v>0.98552450000000003</v>
      </c>
      <c r="Q6588">
        <v>0.15902239999999901</v>
      </c>
      <c r="R6588">
        <v>5.8769210000000002E-2</v>
      </c>
      <c r="S6588">
        <v>3.057312</v>
      </c>
      <c r="T6588">
        <v>-0.1796198</v>
      </c>
      <c r="U6588">
        <v>0.26654050000000001</v>
      </c>
      <c r="V6588">
        <v>-0.118634199999999</v>
      </c>
      <c r="W6588">
        <v>0.16721279999999999</v>
      </c>
      <c r="X6588">
        <v>0.97875730000000005</v>
      </c>
      <c r="Y6588">
        <v>-0.14625170000000001</v>
      </c>
      <c r="Z6588">
        <v>7.9273709999999904E-3</v>
      </c>
      <c r="AA6588">
        <v>0.98921570000000003</v>
      </c>
      <c r="AB6588">
        <v>24</v>
      </c>
      <c r="AC6588">
        <v>18.801600000000001</v>
      </c>
      <c r="AD6588">
        <v>-1.1116839226639901</v>
      </c>
      <c r="AE6588">
        <v>1.65570999999999</v>
      </c>
      <c r="AF6588">
        <v>-2.7739519066495202</v>
      </c>
      <c r="AG6588">
        <v>-1.1116839226639901</v>
      </c>
      <c r="AH6588">
        <v>18.603436490820801</v>
      </c>
      <c r="AI6588">
        <v>93.382445089624696</v>
      </c>
      <c r="AJ6588">
        <v>98.480868358152904</v>
      </c>
      <c r="AK6588">
        <v>18.841934603227902</v>
      </c>
      <c r="AL6588">
        <v>80.374195507164103</v>
      </c>
      <c r="AM6588">
        <v>96.911051246733095</v>
      </c>
      <c r="AN6588">
        <v>1.0000000230983801</v>
      </c>
    </row>
    <row r="6589" spans="1:40" x14ac:dyDescent="0.25">
      <c r="A6589" t="str">
        <f>"20190304155234522"</f>
        <v>20190304155234522</v>
      </c>
      <c r="B6589" t="str">
        <f>"1551685954513236"</f>
        <v>1551685954513236</v>
      </c>
      <c r="C6589" t="s">
        <v>40</v>
      </c>
      <c r="D6589">
        <v>4.9240700000000004</v>
      </c>
      <c r="E6589">
        <v>0.48706500000000003</v>
      </c>
      <c r="F6589" t="s">
        <v>104</v>
      </c>
      <c r="G6589">
        <v>-248.5959</v>
      </c>
      <c r="H6589" s="1">
        <v>-2.8645190000000002E-6</v>
      </c>
      <c r="I6589">
        <v>-61.096870000000003</v>
      </c>
      <c r="J6589">
        <v>-267.3732</v>
      </c>
      <c r="K6589">
        <v>1.1116779999999999</v>
      </c>
      <c r="L6589">
        <v>-62.809539999999998</v>
      </c>
      <c r="M6589">
        <v>0.99823589999999995</v>
      </c>
      <c r="N6589">
        <v>-8.8432770000000001E-3</v>
      </c>
      <c r="O6589">
        <v>-5.8710930000000001E-2</v>
      </c>
      <c r="P6589">
        <v>0.98540309999999998</v>
      </c>
      <c r="Q6589">
        <v>0.159144799999999</v>
      </c>
      <c r="R6589">
        <v>6.0447689999999998E-2</v>
      </c>
      <c r="S6589">
        <v>3.0565799999999999</v>
      </c>
      <c r="T6589">
        <v>-0.1797309</v>
      </c>
      <c r="U6589">
        <v>0.27587889999999998</v>
      </c>
      <c r="V6589">
        <v>-0.1188953</v>
      </c>
      <c r="W6589">
        <v>0.167314299999999</v>
      </c>
      <c r="X6589">
        <v>0.97870829999999998</v>
      </c>
      <c r="Y6589">
        <v>-0.147847799999999</v>
      </c>
      <c r="Z6589">
        <v>7.9154510000000004E-3</v>
      </c>
      <c r="AA6589">
        <v>0.98897840000000004</v>
      </c>
      <c r="AB6589">
        <v>24</v>
      </c>
      <c r="AC6589">
        <v>18.7773</v>
      </c>
      <c r="AD6589">
        <v>-1.1116808645189999</v>
      </c>
      <c r="AE6589">
        <v>1.7126700000000099</v>
      </c>
      <c r="AF6589">
        <v>-2.8024495860977101</v>
      </c>
      <c r="AG6589">
        <v>-1.1116808645189999</v>
      </c>
      <c r="AH6589">
        <v>18.579765061306599</v>
      </c>
      <c r="AI6589">
        <v>93.385880983348301</v>
      </c>
      <c r="AJ6589">
        <v>98.577460812287697</v>
      </c>
      <c r="AK6589">
        <v>18.822784803543499</v>
      </c>
      <c r="AL6589">
        <v>80.368297167440701</v>
      </c>
      <c r="AM6589">
        <v>96.926457470669902</v>
      </c>
      <c r="AN6589">
        <v>1.0000000519177299</v>
      </c>
    </row>
    <row r="6590" spans="1:40" x14ac:dyDescent="0.25">
      <c r="A6590" t="str">
        <f>"20190304155234532"</f>
        <v>20190304155234532</v>
      </c>
      <c r="B6590" t="str">
        <f>"1551685954523973"</f>
        <v>1551685954523973</v>
      </c>
      <c r="C6590" t="s">
        <v>40</v>
      </c>
      <c r="D6590">
        <v>4.9152829999999996</v>
      </c>
      <c r="E6590">
        <v>0.48677769999999998</v>
      </c>
      <c r="F6590" t="s">
        <v>104</v>
      </c>
      <c r="G6590">
        <v>-248.46430000000001</v>
      </c>
      <c r="H6590" s="1">
        <v>-2.7951659999999998E-6</v>
      </c>
      <c r="I6590">
        <v>-61.048299999999998</v>
      </c>
      <c r="J6590">
        <v>-267.26459999999997</v>
      </c>
      <c r="K6590">
        <v>1.111677</v>
      </c>
      <c r="L6590">
        <v>-62.814639999999997</v>
      </c>
      <c r="M6590">
        <v>0.99830640000000004</v>
      </c>
      <c r="N6590">
        <v>-8.827863E-3</v>
      </c>
      <c r="O6590">
        <v>-5.7503319999999997E-2</v>
      </c>
      <c r="P6590">
        <v>0.98527869999999995</v>
      </c>
      <c r="Q6590">
        <v>0.15929070000000001</v>
      </c>
      <c r="R6590">
        <v>6.2068140000000001E-2</v>
      </c>
      <c r="S6590">
        <v>3.056</v>
      </c>
      <c r="T6590">
        <v>-0.1796672</v>
      </c>
      <c r="U6590">
        <v>0.28463749999999999</v>
      </c>
      <c r="V6590">
        <v>-0.1193211</v>
      </c>
      <c r="W6590">
        <v>0.1674427</v>
      </c>
      <c r="X6590">
        <v>0.97863449999999996</v>
      </c>
      <c r="Y6590">
        <v>-0.14947729999999901</v>
      </c>
      <c r="Z6590">
        <v>7.907964E-3</v>
      </c>
      <c r="AA6590">
        <v>0.98873350000000004</v>
      </c>
      <c r="AB6590">
        <v>24</v>
      </c>
      <c r="AC6590">
        <v>18.800299999999901</v>
      </c>
      <c r="AD6590">
        <v>-1.111679795166</v>
      </c>
      <c r="AE6590">
        <v>1.76634</v>
      </c>
      <c r="AF6590">
        <v>-2.8347139367375598</v>
      </c>
      <c r="AG6590">
        <v>-1.111679795166</v>
      </c>
      <c r="AH6590">
        <v>18.603138462309602</v>
      </c>
      <c r="AI6590">
        <v>93.380861198067393</v>
      </c>
      <c r="AJ6590">
        <v>98.663984874263804</v>
      </c>
      <c r="AK6590">
        <v>18.850681571709199</v>
      </c>
      <c r="AL6590">
        <v>80.360834942616705</v>
      </c>
      <c r="AM6590">
        <v>96.951540010181603</v>
      </c>
      <c r="AN6590">
        <v>1.00000003363937</v>
      </c>
    </row>
    <row r="6591" spans="1:40" x14ac:dyDescent="0.25">
      <c r="A6591" t="str">
        <f>"20190304155234544"</f>
        <v>20190304155234544</v>
      </c>
      <c r="B6591" t="str">
        <f>"1551685954533733"</f>
        <v>1551685954533733</v>
      </c>
      <c r="C6591" t="s">
        <v>40</v>
      </c>
      <c r="D6591">
        <v>4.916633</v>
      </c>
      <c r="E6591">
        <v>0.48649799999999899</v>
      </c>
      <c r="F6591" t="s">
        <v>104</v>
      </c>
      <c r="G6591">
        <v>-248.42920000000001</v>
      </c>
      <c r="H6591" s="1">
        <v>-2.7710249999999999E-6</v>
      </c>
      <c r="I6591">
        <v>-61.014270000000003</v>
      </c>
      <c r="J6591">
        <v>-267.1472</v>
      </c>
      <c r="K6591">
        <v>1.111675</v>
      </c>
      <c r="L6591">
        <v>-62.820039999999999</v>
      </c>
      <c r="M6591">
        <v>0.99838070000000001</v>
      </c>
      <c r="N6591">
        <v>-8.8117409999999997E-3</v>
      </c>
      <c r="O6591">
        <v>-5.620058E-2</v>
      </c>
      <c r="P6591">
        <v>0.98506550000000004</v>
      </c>
      <c r="Q6591">
        <v>0.159986299999999</v>
      </c>
      <c r="R6591">
        <v>6.3643340000000007E-2</v>
      </c>
      <c r="S6591">
        <v>3.0555729999999999</v>
      </c>
      <c r="T6591">
        <v>-0.18034210000000001</v>
      </c>
      <c r="U6591">
        <v>0.29205320000000001</v>
      </c>
      <c r="V6591">
        <v>-0.1196053</v>
      </c>
      <c r="W6591">
        <v>0.16811999999999999</v>
      </c>
      <c r="X6591">
        <v>0.97848360000000001</v>
      </c>
      <c r="Y6591">
        <v>-0.15057499999999999</v>
      </c>
      <c r="Z6591">
        <v>7.9090840000000003E-3</v>
      </c>
      <c r="AA6591">
        <v>0.98856690000000003</v>
      </c>
      <c r="AB6591">
        <v>24</v>
      </c>
      <c r="AC6591">
        <v>18.7179999999999</v>
      </c>
      <c r="AD6591">
        <v>-1.1116777710250001</v>
      </c>
      <c r="AE6591">
        <v>1.8057700000000001</v>
      </c>
      <c r="AF6591">
        <v>-2.8449764920481799</v>
      </c>
      <c r="AG6591">
        <v>-1.1116777710250001</v>
      </c>
      <c r="AH6591">
        <v>18.522194246906</v>
      </c>
      <c r="AI6591">
        <v>93.394977540527407</v>
      </c>
      <c r="AJ6591">
        <v>98.732285920130593</v>
      </c>
      <c r="AK6591">
        <v>18.7723572954229</v>
      </c>
      <c r="AL6591">
        <v>80.321469759341994</v>
      </c>
      <c r="AM6591">
        <v>96.968998682997295</v>
      </c>
      <c r="AN6591">
        <v>0.99999995882852399</v>
      </c>
    </row>
    <row r="6592" spans="1:40" x14ac:dyDescent="0.25">
      <c r="A6592" t="str">
        <f>"20190304155234554"</f>
        <v>20190304155234554</v>
      </c>
      <c r="B6592" t="str">
        <f>"1551685954544000"</f>
        <v>1551685954544000</v>
      </c>
      <c r="C6592" t="s">
        <v>40</v>
      </c>
      <c r="D6592">
        <v>5.1805079999999997</v>
      </c>
      <c r="E6592">
        <v>0.4869906</v>
      </c>
      <c r="F6592" t="s">
        <v>104</v>
      </c>
      <c r="G6592">
        <v>-248.1113</v>
      </c>
      <c r="H6592" s="1">
        <v>-2.6191629999999999E-6</v>
      </c>
      <c r="I6592">
        <v>-60.955959999999997</v>
      </c>
      <c r="J6592">
        <v>-267.02800000000002</v>
      </c>
      <c r="K6592">
        <v>1.1116710000000001</v>
      </c>
      <c r="L6592">
        <v>-62.82535</v>
      </c>
      <c r="M6592">
        <v>0.99845390000000001</v>
      </c>
      <c r="N6592">
        <v>-8.7966840000000008E-3</v>
      </c>
      <c r="O6592">
        <v>-5.488618E-2</v>
      </c>
      <c r="P6592">
        <v>0.98486580000000001</v>
      </c>
      <c r="Q6592">
        <v>0.1605819</v>
      </c>
      <c r="R6592">
        <v>6.5212229999999996E-2</v>
      </c>
      <c r="S6592">
        <v>3.055145</v>
      </c>
      <c r="T6592">
        <v>-0.17841770000000001</v>
      </c>
      <c r="U6592">
        <v>0.29916379999999998</v>
      </c>
      <c r="V6592">
        <v>-0.119872699999999</v>
      </c>
      <c r="W6592">
        <v>0.16869909999999999</v>
      </c>
      <c r="X6592">
        <v>0.97835119999999998</v>
      </c>
      <c r="Y6592">
        <v>-0.1515735</v>
      </c>
      <c r="Z6592">
        <v>7.7952119999999897E-3</v>
      </c>
      <c r="AA6592">
        <v>0.98841520000000005</v>
      </c>
      <c r="AB6592">
        <v>24</v>
      </c>
      <c r="AC6592">
        <v>18.916699999999999</v>
      </c>
      <c r="AD6592">
        <v>-1.1116736191629999</v>
      </c>
      <c r="AE6592">
        <v>1.8693900000000001</v>
      </c>
      <c r="AF6592">
        <v>-2.89497622955377</v>
      </c>
      <c r="AG6592">
        <v>-1.1116736191629999</v>
      </c>
      <c r="AH6592">
        <v>18.721545247067201</v>
      </c>
      <c r="AI6592">
        <v>93.358375606619603</v>
      </c>
      <c r="AJ6592">
        <v>98.790220116541406</v>
      </c>
      <c r="AK6592">
        <v>18.9766425387424</v>
      </c>
      <c r="AL6592">
        <v>80.287809015421303</v>
      </c>
      <c r="AM6592">
        <v>96.985361321665195</v>
      </c>
      <c r="AN6592">
        <v>0.99999996054376905</v>
      </c>
    </row>
    <row r="6593" spans="1:40" x14ac:dyDescent="0.25">
      <c r="A6593" t="str">
        <f>"20190304155234565"</f>
        <v>20190304155234565</v>
      </c>
      <c r="B6593" t="str">
        <f>"1551685954563519"</f>
        <v>1551685954563519</v>
      </c>
      <c r="C6593" t="s">
        <v>40</v>
      </c>
      <c r="D6593">
        <v>4.941713</v>
      </c>
      <c r="E6593">
        <v>0.48665190000000003</v>
      </c>
      <c r="F6593" t="s">
        <v>104</v>
      </c>
      <c r="G6593">
        <v>-248.1678</v>
      </c>
      <c r="H6593" s="1">
        <v>-2.6482809999999998E-6</v>
      </c>
      <c r="I6593">
        <v>-60.974420000000002</v>
      </c>
      <c r="J6593">
        <v>-266.90949999999998</v>
      </c>
      <c r="K6593">
        <v>1.111669</v>
      </c>
      <c r="L6593">
        <v>-62.830539999999999</v>
      </c>
      <c r="M6593">
        <v>0.99852470000000004</v>
      </c>
      <c r="N6593">
        <v>-8.7823759999999997E-3</v>
      </c>
      <c r="O6593">
        <v>-5.3584529999999998E-2</v>
      </c>
      <c r="P6593">
        <v>0.98471679999999995</v>
      </c>
      <c r="Q6593">
        <v>0.16098009999999999</v>
      </c>
      <c r="R6593">
        <v>6.6470769999999998E-2</v>
      </c>
      <c r="S6593">
        <v>3.0556030000000001</v>
      </c>
      <c r="T6593">
        <v>-0.18010619999999999</v>
      </c>
      <c r="U6593">
        <v>0.29986570000000001</v>
      </c>
      <c r="V6593">
        <v>-0.1198442</v>
      </c>
      <c r="W6593">
        <v>0.1690836</v>
      </c>
      <c r="X6593">
        <v>0.97828839999999995</v>
      </c>
      <c r="Y6593">
        <v>-0.1504926</v>
      </c>
      <c r="Z6593">
        <v>7.7639730000000004E-3</v>
      </c>
      <c r="AA6593">
        <v>0.98858060000000003</v>
      </c>
      <c r="AB6593">
        <v>24</v>
      </c>
      <c r="AC6593">
        <v>18.741699999999899</v>
      </c>
      <c r="AD6593">
        <v>-1.1116716482810001</v>
      </c>
      <c r="AE6593">
        <v>1.85612</v>
      </c>
      <c r="AF6593">
        <v>-2.84783478379663</v>
      </c>
      <c r="AG6593">
        <v>-1.1116716482810001</v>
      </c>
      <c r="AH6593">
        <v>18.550675653361999</v>
      </c>
      <c r="AI6593">
        <v>93.389800140381993</v>
      </c>
      <c r="AJ6593">
        <v>98.727710240781903</v>
      </c>
      <c r="AK6593">
        <v>18.800892106643001</v>
      </c>
      <c r="AL6593">
        <v>80.265458531643702</v>
      </c>
      <c r="AM6593">
        <v>96.984160822438199</v>
      </c>
      <c r="AN6593">
        <v>1.00000004481857</v>
      </c>
    </row>
    <row r="6594" spans="1:40" x14ac:dyDescent="0.25">
      <c r="A6594" t="str">
        <f>"20190304155234576"</f>
        <v>20190304155234576</v>
      </c>
      <c r="B6594" t="str">
        <f>"1551685954573279"</f>
        <v>1551685954573279</v>
      </c>
      <c r="C6594" t="s">
        <v>40</v>
      </c>
      <c r="D6594">
        <v>5.024743</v>
      </c>
      <c r="E6594">
        <v>0.4867823</v>
      </c>
      <c r="F6594" t="s">
        <v>104</v>
      </c>
      <c r="G6594">
        <v>-248.02520000000001</v>
      </c>
      <c r="H6594" s="1">
        <v>-2.5776600000000001E-6</v>
      </c>
      <c r="I6594">
        <v>-60.938929999999999</v>
      </c>
      <c r="J6594">
        <v>-266.80200000000002</v>
      </c>
      <c r="K6594">
        <v>1.111664</v>
      </c>
      <c r="L6594">
        <v>-62.834989999999998</v>
      </c>
      <c r="M6594">
        <v>0.9985868</v>
      </c>
      <c r="N6594">
        <v>-8.7706529999999998E-3</v>
      </c>
      <c r="O6594">
        <v>-5.2416419999999998E-2</v>
      </c>
      <c r="P6594">
        <v>0.98460979999999998</v>
      </c>
      <c r="Q6594">
        <v>0.16133810000000001</v>
      </c>
      <c r="R6594">
        <v>6.7183000000000007E-2</v>
      </c>
      <c r="S6594">
        <v>3.0552670000000002</v>
      </c>
      <c r="T6594">
        <v>-0.17985570000000001</v>
      </c>
      <c r="U6594">
        <v>0.30603029999999998</v>
      </c>
      <c r="V6594">
        <v>-0.119403</v>
      </c>
      <c r="W6594">
        <v>0.16943369999999999</v>
      </c>
      <c r="X6594">
        <v>0.97828170000000003</v>
      </c>
      <c r="Y6594">
        <v>-0.1513227</v>
      </c>
      <c r="Z6594">
        <v>7.7231039999999997E-3</v>
      </c>
      <c r="AA6594">
        <v>0.98845419999999995</v>
      </c>
      <c r="AB6594">
        <v>24</v>
      </c>
      <c r="AC6594">
        <v>18.776800000000001</v>
      </c>
      <c r="AD6594">
        <v>-1.1116665776600001</v>
      </c>
      <c r="AE6594">
        <v>1.8960599999999901</v>
      </c>
      <c r="AF6594">
        <v>-2.8677533758828599</v>
      </c>
      <c r="AG6594">
        <v>-1.1116665776600001</v>
      </c>
      <c r="AH6594">
        <v>18.587104447828501</v>
      </c>
      <c r="AI6594">
        <v>93.382765439893205</v>
      </c>
      <c r="AJ6594">
        <v>98.770849663912003</v>
      </c>
      <c r="AK6594">
        <v>18.8398583794906</v>
      </c>
      <c r="AL6594">
        <v>80.245104882808306</v>
      </c>
      <c r="AM6594">
        <v>96.958748757262995</v>
      </c>
      <c r="AN6594">
        <v>0.999999969829789</v>
      </c>
    </row>
    <row r="6595" spans="1:40" x14ac:dyDescent="0.25">
      <c r="A6595" t="str">
        <f>"20190304155234586"</f>
        <v>20190304155234586</v>
      </c>
      <c r="B6595" t="str">
        <f>"1551685954584016"</f>
        <v>1551685954584016</v>
      </c>
      <c r="C6595" t="s">
        <v>40</v>
      </c>
      <c r="D6595">
        <v>4.9302089999999996</v>
      </c>
      <c r="E6595">
        <v>0.48673260000000002</v>
      </c>
      <c r="F6595" t="s">
        <v>104</v>
      </c>
      <c r="G6595">
        <v>-248.04259999999999</v>
      </c>
      <c r="H6595" s="1">
        <v>-2.5888940000000002E-6</v>
      </c>
      <c r="I6595">
        <v>-60.953119999999998</v>
      </c>
      <c r="J6595">
        <v>-266.68299999999999</v>
      </c>
      <c r="K6595">
        <v>1.1116569999999999</v>
      </c>
      <c r="L6595">
        <v>-62.839970000000001</v>
      </c>
      <c r="M6595">
        <v>0.99865380000000004</v>
      </c>
      <c r="N6595">
        <v>-8.7579559999999904E-3</v>
      </c>
      <c r="O6595">
        <v>-5.1126489999999997E-2</v>
      </c>
      <c r="P6595">
        <v>0.98441279999999998</v>
      </c>
      <c r="Q6595">
        <v>0.16231499999999999</v>
      </c>
      <c r="R6595">
        <v>6.77146E-2</v>
      </c>
      <c r="S6595">
        <v>3.055634</v>
      </c>
      <c r="T6595">
        <v>-0.18107409999999999</v>
      </c>
      <c r="U6595">
        <v>0.30651859999999997</v>
      </c>
      <c r="V6595">
        <v>-0.1186594</v>
      </c>
      <c r="W6595">
        <v>0.17040259999999999</v>
      </c>
      <c r="X6595">
        <v>0.97820390000000002</v>
      </c>
      <c r="Y6595">
        <v>-0.15018970000000001</v>
      </c>
      <c r="Z6595">
        <v>7.6693050000000004E-3</v>
      </c>
      <c r="AA6595">
        <v>0.98862740000000005</v>
      </c>
      <c r="AB6595">
        <v>24</v>
      </c>
      <c r="AC6595">
        <v>18.6404</v>
      </c>
      <c r="AD6595">
        <v>-1.111659588894</v>
      </c>
      <c r="AE6595">
        <v>1.8868499999999899</v>
      </c>
      <c r="AF6595">
        <v>-2.8274827321585398</v>
      </c>
      <c r="AG6595">
        <v>-1.111659588894</v>
      </c>
      <c r="AH6595">
        <v>18.454578651771701</v>
      </c>
      <c r="AI6595">
        <v>93.407527763399003</v>
      </c>
      <c r="AJ6595">
        <v>98.710724792518306</v>
      </c>
      <c r="AK6595">
        <v>18.702992243399599</v>
      </c>
      <c r="AL6595">
        <v>80.188771959140595</v>
      </c>
      <c r="AM6595">
        <v>96.916377821671503</v>
      </c>
      <c r="AN6595">
        <v>0.99999998463516404</v>
      </c>
    </row>
    <row r="6596" spans="1:40" x14ac:dyDescent="0.25">
      <c r="A6596" t="str">
        <f>"20190304155234599"</f>
        <v>20190304155234599</v>
      </c>
      <c r="B6596" t="str">
        <f>"1551685954593779"</f>
        <v>1551685954593779</v>
      </c>
      <c r="C6596" t="s">
        <v>40</v>
      </c>
      <c r="D6596">
        <v>4.9400639999999996</v>
      </c>
      <c r="E6596">
        <v>0.48669069999999998</v>
      </c>
      <c r="F6596" t="s">
        <v>104</v>
      </c>
      <c r="G6596">
        <v>-247.58349999999999</v>
      </c>
      <c r="H6596" s="1">
        <v>-2.381969E-6</v>
      </c>
      <c r="I6596">
        <v>-60.915599999999998</v>
      </c>
      <c r="J6596">
        <v>-266.55610000000001</v>
      </c>
      <c r="K6596">
        <v>1.1116490000000001</v>
      </c>
      <c r="L6596">
        <v>-62.844940000000001</v>
      </c>
      <c r="M6596">
        <v>0.99872229999999995</v>
      </c>
      <c r="N6596">
        <v>-8.7456069999999903E-3</v>
      </c>
      <c r="O6596">
        <v>-4.9772209999999997E-2</v>
      </c>
      <c r="P6596">
        <v>0.98428369999999998</v>
      </c>
      <c r="Q6596">
        <v>0.1628829</v>
      </c>
      <c r="R6596">
        <v>6.8228170000000005E-2</v>
      </c>
      <c r="S6596">
        <v>3.0556640000000002</v>
      </c>
      <c r="T6596">
        <v>-0.17785020000000001</v>
      </c>
      <c r="U6596">
        <v>0.3078613</v>
      </c>
      <c r="V6596">
        <v>-0.1178347</v>
      </c>
      <c r="W6596">
        <v>0.17096459999999999</v>
      </c>
      <c r="X6596">
        <v>0.97820560000000001</v>
      </c>
      <c r="Y6596">
        <v>-0.14929410000000001</v>
      </c>
      <c r="Z6596">
        <v>7.4395700000000004E-3</v>
      </c>
      <c r="AA6596">
        <v>0.9887648</v>
      </c>
      <c r="AB6596">
        <v>24</v>
      </c>
      <c r="AC6596">
        <v>18.9726</v>
      </c>
      <c r="AD6596">
        <v>-1.1116513819689999</v>
      </c>
      <c r="AE6596">
        <v>1.9293400000000001</v>
      </c>
      <c r="AF6596">
        <v>-2.8615694974392798</v>
      </c>
      <c r="AG6596">
        <v>-1.1116513819689999</v>
      </c>
      <c r="AH6596">
        <v>18.7892077104183</v>
      </c>
      <c r="AI6596">
        <v>93.347411358081899</v>
      </c>
      <c r="AJ6596">
        <v>98.659522423054597</v>
      </c>
      <c r="AK6596">
        <v>19.038347490497902</v>
      </c>
      <c r="AL6596">
        <v>80.156092867328198</v>
      </c>
      <c r="AM6596">
        <v>96.868757000439203</v>
      </c>
      <c r="AN6596">
        <v>1.0000000534243001</v>
      </c>
    </row>
    <row r="6597" spans="1:40" x14ac:dyDescent="0.25">
      <c r="A6597" t="str">
        <f>"20190304155234609"</f>
        <v>20190304155234609</v>
      </c>
      <c r="B6597" t="str">
        <f>"1551685954603536"</f>
        <v>1551685954603536</v>
      </c>
      <c r="C6597" t="s">
        <v>40</v>
      </c>
      <c r="D6597">
        <v>5.023943</v>
      </c>
      <c r="E6597">
        <v>0.4869346</v>
      </c>
      <c r="F6597" t="s">
        <v>104</v>
      </c>
      <c r="G6597">
        <v>-247.23050000000001</v>
      </c>
      <c r="H6597" s="1">
        <v>-2.2227820000000001E-6</v>
      </c>
      <c r="I6597">
        <v>-60.886510000000001</v>
      </c>
      <c r="J6597">
        <v>-266.43939999999998</v>
      </c>
      <c r="K6597">
        <v>1.111637</v>
      </c>
      <c r="L6597">
        <v>-62.849490000000003</v>
      </c>
      <c r="M6597">
        <v>0.99878350000000005</v>
      </c>
      <c r="N6597">
        <v>-8.7345259999999994E-3</v>
      </c>
      <c r="O6597">
        <v>-4.8532609999999997E-2</v>
      </c>
      <c r="P6597">
        <v>0.98423930000000004</v>
      </c>
      <c r="Q6597">
        <v>0.163136</v>
      </c>
      <c r="R6597">
        <v>6.8262710000000004E-2</v>
      </c>
      <c r="S6597">
        <v>3.0555110000000001</v>
      </c>
      <c r="T6597">
        <v>-0.17575929999999901</v>
      </c>
      <c r="U6597">
        <v>0.3096313</v>
      </c>
      <c r="V6597">
        <v>-0.1166465</v>
      </c>
      <c r="W6597">
        <v>0.17121639999999999</v>
      </c>
      <c r="X6597">
        <v>0.9783039</v>
      </c>
      <c r="Y6597">
        <v>-0.14864939999999999</v>
      </c>
      <c r="Z6597">
        <v>7.2731319999999999E-3</v>
      </c>
      <c r="AA6597">
        <v>0.98886320000000005</v>
      </c>
      <c r="AB6597">
        <v>24</v>
      </c>
      <c r="AC6597">
        <v>19.2088999999999</v>
      </c>
      <c r="AD6597">
        <v>-1.111639222782</v>
      </c>
      <c r="AE6597">
        <v>1.9629799999999999</v>
      </c>
      <c r="AF6597">
        <v>-2.8834032914118102</v>
      </c>
      <c r="AG6597">
        <v>-1.111639222782</v>
      </c>
      <c r="AH6597">
        <v>19.027923295664401</v>
      </c>
      <c r="AI6597">
        <v>93.305847703583495</v>
      </c>
      <c r="AJ6597">
        <v>98.616780306825802</v>
      </c>
      <c r="AK6597">
        <v>19.277230642606298</v>
      </c>
      <c r="AL6597">
        <v>80.141449264834307</v>
      </c>
      <c r="AM6597">
        <v>96.799470047822695</v>
      </c>
      <c r="AN6597">
        <v>0.99999999117321003</v>
      </c>
    </row>
    <row r="6598" spans="1:40" x14ac:dyDescent="0.25">
      <c r="A6598" t="str">
        <f>"20190304155234620"</f>
        <v>20190304155234620</v>
      </c>
      <c r="B6598" t="str">
        <f>"1551685954613295"</f>
        <v>1551685954613295</v>
      </c>
      <c r="C6598" t="s">
        <v>40</v>
      </c>
      <c r="D6598">
        <v>4.8473689999999996</v>
      </c>
      <c r="E6598">
        <v>0.4870237</v>
      </c>
      <c r="F6598" t="s">
        <v>104</v>
      </c>
      <c r="G6598">
        <v>-247.14529999999999</v>
      </c>
      <c r="H6598" s="1">
        <v>-2.1921959999999998E-6</v>
      </c>
      <c r="I6598">
        <v>-60.908790000000003</v>
      </c>
      <c r="J6598">
        <v>-266.3159</v>
      </c>
      <c r="K6598">
        <v>1.1116200000000001</v>
      </c>
      <c r="L6598">
        <v>-62.854059999999997</v>
      </c>
      <c r="M6598">
        <v>0.99884550000000005</v>
      </c>
      <c r="N6598">
        <v>-8.7236989999999997E-3</v>
      </c>
      <c r="O6598">
        <v>-4.7242369999999999E-2</v>
      </c>
      <c r="P6598">
        <v>0.98415200000000003</v>
      </c>
      <c r="Q6598">
        <v>0.16364670000000001</v>
      </c>
      <c r="R6598">
        <v>6.8297769999999994E-2</v>
      </c>
      <c r="S6598">
        <v>3.055939</v>
      </c>
      <c r="T6598">
        <v>-0.176069899999999</v>
      </c>
      <c r="U6598">
        <v>0.30737300000000001</v>
      </c>
      <c r="V6598">
        <v>-0.1154068</v>
      </c>
      <c r="W6598">
        <v>0.17172660000000001</v>
      </c>
      <c r="X6598">
        <v>0.9783615</v>
      </c>
      <c r="Y6598">
        <v>-0.14663880000000001</v>
      </c>
      <c r="Z6598">
        <v>7.155074E-3</v>
      </c>
      <c r="AA6598">
        <v>0.98916420000000005</v>
      </c>
      <c r="AB6598">
        <v>24</v>
      </c>
      <c r="AC6598">
        <v>19.1706</v>
      </c>
      <c r="AD6598">
        <v>-1.1116221921959999</v>
      </c>
      <c r="AE6598">
        <v>1.9452699999999901</v>
      </c>
      <c r="AF6598">
        <v>-2.8393471884577002</v>
      </c>
      <c r="AG6598">
        <v>-1.1116221921959999</v>
      </c>
      <c r="AH6598">
        <v>18.994077038263399</v>
      </c>
      <c r="AI6598">
        <v>93.312671617465</v>
      </c>
      <c r="AJ6598">
        <v>98.501957289179003</v>
      </c>
      <c r="AK6598">
        <v>19.237270047755398</v>
      </c>
      <c r="AL6598">
        <v>80.111777476126903</v>
      </c>
      <c r="AM6598">
        <v>96.727479859224403</v>
      </c>
      <c r="AN6598">
        <v>0.99999998965802495</v>
      </c>
    </row>
    <row r="6599" spans="1:40" x14ac:dyDescent="0.25">
      <c r="A6599" t="str">
        <f>"20190304155234633"</f>
        <v>20190304155234633</v>
      </c>
      <c r="B6599" t="str">
        <f>"1551685954624032"</f>
        <v>1551685954624032</v>
      </c>
      <c r="C6599" t="s">
        <v>40</v>
      </c>
      <c r="D6599">
        <v>4.868684</v>
      </c>
      <c r="E6599">
        <v>0.48700169999999998</v>
      </c>
      <c r="F6599" t="s">
        <v>104</v>
      </c>
      <c r="G6599">
        <v>-247.08699999999999</v>
      </c>
      <c r="H6599" s="1">
        <v>-2.172065E-6</v>
      </c>
      <c r="I6599">
        <v>-60.927160000000001</v>
      </c>
      <c r="J6599">
        <v>-266.1859</v>
      </c>
      <c r="K6599">
        <v>1.1116010000000001</v>
      </c>
      <c r="L6599">
        <v>-62.858800000000002</v>
      </c>
      <c r="M6599">
        <v>0.99890820000000002</v>
      </c>
      <c r="N6599">
        <v>-8.7128869999999903E-3</v>
      </c>
      <c r="O6599">
        <v>-4.5897319999999998E-2</v>
      </c>
      <c r="P6599">
        <v>0.98408680000000004</v>
      </c>
      <c r="Q6599">
        <v>0.16383510000000001</v>
      </c>
      <c r="R6599">
        <v>6.8786819999999999E-2</v>
      </c>
      <c r="S6599">
        <v>3.0564580000000001</v>
      </c>
      <c r="T6599">
        <v>-0.17669389999999999</v>
      </c>
      <c r="U6599">
        <v>0.3062744</v>
      </c>
      <c r="V6599">
        <v>-0.1145661</v>
      </c>
      <c r="W6599">
        <v>0.1719135</v>
      </c>
      <c r="X6599">
        <v>0.97842750000000001</v>
      </c>
      <c r="Y6599">
        <v>-0.1449405</v>
      </c>
      <c r="Z6599">
        <v>7.0560229999999998E-3</v>
      </c>
      <c r="AA6599">
        <v>0.98941520000000005</v>
      </c>
      <c r="AB6599">
        <v>24</v>
      </c>
      <c r="AC6599">
        <v>19.098899999999901</v>
      </c>
      <c r="AD6599">
        <v>-1.1116031720649999</v>
      </c>
      <c r="AE6599">
        <v>1.93164</v>
      </c>
      <c r="AF6599">
        <v>-2.7968473154220002</v>
      </c>
      <c r="AG6599">
        <v>-1.1116031720649999</v>
      </c>
      <c r="AH6599">
        <v>18.926645534494099</v>
      </c>
      <c r="AI6599">
        <v>93.325217073023197</v>
      </c>
      <c r="AJ6599">
        <v>98.405935467641001</v>
      </c>
      <c r="AK6599">
        <v>19.164444362055299</v>
      </c>
      <c r="AL6599">
        <v>80.100907417364795</v>
      </c>
      <c r="AM6599">
        <v>96.678470306784902</v>
      </c>
      <c r="AN6599">
        <v>1.00000000775385</v>
      </c>
    </row>
    <row r="6600" spans="1:40" x14ac:dyDescent="0.25">
      <c r="A6600" t="str">
        <f>"20190304155234642"</f>
        <v>20190304155234642</v>
      </c>
      <c r="B6600" t="str">
        <f>"1551685954633793"</f>
        <v>1551685954633793</v>
      </c>
      <c r="C6600" t="s">
        <v>40</v>
      </c>
      <c r="D6600">
        <v>4.9256949999999904</v>
      </c>
      <c r="E6600">
        <v>0.48701480000000003</v>
      </c>
      <c r="F6600" t="s">
        <v>104</v>
      </c>
      <c r="G6600">
        <v>-246.88069999999999</v>
      </c>
      <c r="H6600" s="1">
        <v>-2.0813150000000001E-6</v>
      </c>
      <c r="I6600">
        <v>-60.918750000000003</v>
      </c>
      <c r="J6600">
        <v>-266.0727</v>
      </c>
      <c r="K6600">
        <v>1.111585</v>
      </c>
      <c r="L6600">
        <v>-62.862760000000002</v>
      </c>
      <c r="M6600">
        <v>0.99896090000000004</v>
      </c>
      <c r="N6600">
        <v>-8.7040840000000008E-3</v>
      </c>
      <c r="O6600">
        <v>-4.4740599999999998E-2</v>
      </c>
      <c r="P6600">
        <v>0.98401530000000004</v>
      </c>
      <c r="Q6600">
        <v>0.16440550000000001</v>
      </c>
      <c r="R6600">
        <v>6.8447830000000001E-2</v>
      </c>
      <c r="S6600">
        <v>3.056305</v>
      </c>
      <c r="T6600">
        <v>-0.1759839</v>
      </c>
      <c r="U6600">
        <v>0.30712889999999998</v>
      </c>
      <c r="V6600">
        <v>-0.1130843</v>
      </c>
      <c r="W6600">
        <v>0.17248659999999999</v>
      </c>
      <c r="X6600">
        <v>0.97849900000000001</v>
      </c>
      <c r="Y6600">
        <v>-0.14407919999999999</v>
      </c>
      <c r="Z6600">
        <v>6.9438249999999998E-3</v>
      </c>
      <c r="AA6600">
        <v>0.98954180000000003</v>
      </c>
      <c r="AB6600">
        <v>24</v>
      </c>
      <c r="AC6600">
        <v>19.192</v>
      </c>
      <c r="AD6600">
        <v>-1.1115870813149999</v>
      </c>
      <c r="AE6600">
        <v>1.94400999999999</v>
      </c>
      <c r="AF6600">
        <v>-2.7914878195599102</v>
      </c>
      <c r="AG6600">
        <v>-1.1115870813149999</v>
      </c>
      <c r="AH6600">
        <v>19.0226348765549</v>
      </c>
      <c r="AI6600">
        <v>93.308916290127996</v>
      </c>
      <c r="AJ6600">
        <v>98.348318405076</v>
      </c>
      <c r="AK6600">
        <v>19.2584700257528</v>
      </c>
      <c r="AL6600">
        <v>80.067573077518702</v>
      </c>
      <c r="AM6600">
        <v>96.592378706969996</v>
      </c>
      <c r="AN6600">
        <v>0.99999998954352498</v>
      </c>
    </row>
    <row r="6601" spans="1:40" x14ac:dyDescent="0.25">
      <c r="A6601" t="str">
        <f>"20190304155234654"</f>
        <v>20190304155234654</v>
      </c>
      <c r="B6601" t="str">
        <f>"1551685954643552"</f>
        <v>1551685954643552</v>
      </c>
      <c r="C6601" t="s">
        <v>40</v>
      </c>
      <c r="D6601">
        <v>5.0379420000000001</v>
      </c>
      <c r="E6601">
        <v>0.48722090000000001</v>
      </c>
      <c r="F6601" t="s">
        <v>104</v>
      </c>
      <c r="G6601">
        <v>-246.54519999999999</v>
      </c>
      <c r="H6601" s="1">
        <v>-1.935516E-6</v>
      </c>
      <c r="I6601">
        <v>-60.911650000000002</v>
      </c>
      <c r="J6601">
        <v>-265.94979999999998</v>
      </c>
      <c r="K6601">
        <v>1.1115660000000001</v>
      </c>
      <c r="L6601">
        <v>-62.86694</v>
      </c>
      <c r="M6601">
        <v>0.99901530000000005</v>
      </c>
      <c r="N6601">
        <v>-8.6953399999999993E-3</v>
      </c>
      <c r="O6601">
        <v>-4.3504510000000003E-2</v>
      </c>
      <c r="P6601">
        <v>0.98390809999999995</v>
      </c>
      <c r="Q6601">
        <v>0.1649774</v>
      </c>
      <c r="R6601">
        <v>6.8610699999999997E-2</v>
      </c>
      <c r="S6601">
        <v>3.056549</v>
      </c>
      <c r="T6601">
        <v>-0.17399189999999901</v>
      </c>
      <c r="U6601">
        <v>0.30538939999999998</v>
      </c>
      <c r="V6601">
        <v>-0.112023</v>
      </c>
      <c r="W6601">
        <v>0.17305960000000001</v>
      </c>
      <c r="X6601">
        <v>0.9785199</v>
      </c>
      <c r="Y6601">
        <v>-0.14230110000000001</v>
      </c>
      <c r="Z6601">
        <v>6.7497929999999996E-3</v>
      </c>
      <c r="AA6601">
        <v>0.98980040000000002</v>
      </c>
      <c r="AB6601">
        <v>24</v>
      </c>
      <c r="AC6601">
        <v>19.404599999999899</v>
      </c>
      <c r="AD6601">
        <v>-1.111567935516</v>
      </c>
      <c r="AE6601">
        <v>1.95528999999999</v>
      </c>
      <c r="AF6601">
        <v>-2.7885996493543601</v>
      </c>
      <c r="AG6601">
        <v>-1.111567935516</v>
      </c>
      <c r="AH6601">
        <v>19.238664059992999</v>
      </c>
      <c r="AI6601">
        <v>93.272624061042706</v>
      </c>
      <c r="AJ6601">
        <v>98.247451009714794</v>
      </c>
      <c r="AK6601">
        <v>19.4714680004593</v>
      </c>
      <c r="AL6601">
        <v>80.034241306965399</v>
      </c>
      <c r="AM6601">
        <v>96.530907753116196</v>
      </c>
      <c r="AN6601">
        <v>0.99999998618858499</v>
      </c>
    </row>
    <row r="6602" spans="1:40" x14ac:dyDescent="0.25">
      <c r="A6602" t="str">
        <f>"20190304155234665"</f>
        <v>20190304155234665</v>
      </c>
      <c r="B6602" t="str">
        <f>"1551685954653313"</f>
        <v>1551685954653313</v>
      </c>
      <c r="C6602" t="s">
        <v>40</v>
      </c>
      <c r="D6602">
        <v>4.9481840000000004</v>
      </c>
      <c r="E6602">
        <v>0.48741250000000003</v>
      </c>
      <c r="F6602" t="s">
        <v>104</v>
      </c>
      <c r="G6602">
        <v>-246.0232</v>
      </c>
      <c r="H6602" s="1">
        <v>-1.7049580000000001E-6</v>
      </c>
      <c r="I6602">
        <v>-60.886850000000003</v>
      </c>
      <c r="J6602">
        <v>-265.83269999999999</v>
      </c>
      <c r="K6602">
        <v>1.1115429999999999</v>
      </c>
      <c r="L6602">
        <v>-62.870849999999997</v>
      </c>
      <c r="M6602">
        <v>0.9990656</v>
      </c>
      <c r="N6602">
        <v>-8.6874929999999993E-3</v>
      </c>
      <c r="O6602">
        <v>-4.2338639999999997E-2</v>
      </c>
      <c r="P6602">
        <v>0.98377570000000003</v>
      </c>
      <c r="Q6602">
        <v>0.16566249999999999</v>
      </c>
      <c r="R6602">
        <v>6.8857890000000005E-2</v>
      </c>
      <c r="S6602">
        <v>3.0564879999999999</v>
      </c>
      <c r="T6602">
        <v>-0.17050019999999999</v>
      </c>
      <c r="U6602">
        <v>0.30371090000000001</v>
      </c>
      <c r="V6602">
        <v>-0.1111153</v>
      </c>
      <c r="W6602">
        <v>0.1737457</v>
      </c>
      <c r="X6602">
        <v>0.97850190000000004</v>
      </c>
      <c r="Y6602">
        <v>-0.1406259</v>
      </c>
      <c r="Z6602">
        <v>6.5108129999999998E-3</v>
      </c>
      <c r="AA6602">
        <v>0.99004139999999996</v>
      </c>
      <c r="AB6602">
        <v>24</v>
      </c>
      <c r="AC6602">
        <v>19.8094999999999</v>
      </c>
      <c r="AD6602">
        <v>-1.1115447049579901</v>
      </c>
      <c r="AE6602">
        <v>1.98399999999999</v>
      </c>
      <c r="AF6602">
        <v>-2.8121934226585799</v>
      </c>
      <c r="AG6602">
        <v>-1.1115447049579901</v>
      </c>
      <c r="AH6602">
        <v>19.6464897043255</v>
      </c>
      <c r="AI6602">
        <v>93.2055825872865</v>
      </c>
      <c r="AJ6602">
        <v>98.1459695012975</v>
      </c>
      <c r="AK6602">
        <v>19.877839952563601</v>
      </c>
      <c r="AL6602">
        <v>79.994326874632506</v>
      </c>
      <c r="AM6602">
        <v>96.478558971014905</v>
      </c>
      <c r="AN6602">
        <v>1.00000007323309</v>
      </c>
    </row>
    <row r="6603" spans="1:40" x14ac:dyDescent="0.25">
      <c r="A6603" t="str">
        <f>"20190304155234676"</f>
        <v>20190304155234676</v>
      </c>
      <c r="B6603" t="str">
        <f>"1551685954673808"</f>
        <v>1551685954673808</v>
      </c>
      <c r="C6603" t="s">
        <v>40</v>
      </c>
      <c r="D6603">
        <v>4.9283659999999996</v>
      </c>
      <c r="E6603">
        <v>0.4873769</v>
      </c>
      <c r="F6603" t="s">
        <v>104</v>
      </c>
      <c r="G6603">
        <v>-245.3596</v>
      </c>
      <c r="H6603" s="1">
        <v>-1.408817E-6</v>
      </c>
      <c r="I6603">
        <v>-60.84366</v>
      </c>
      <c r="J6603">
        <v>-265.7106</v>
      </c>
      <c r="K6603">
        <v>1.111521</v>
      </c>
      <c r="L6603">
        <v>-62.87473</v>
      </c>
      <c r="M6603">
        <v>0.99911519999999998</v>
      </c>
      <c r="N6603">
        <v>-8.6800090000000007E-3</v>
      </c>
      <c r="O6603">
        <v>-4.1152759999999997E-2</v>
      </c>
      <c r="P6603">
        <v>0.9836338</v>
      </c>
      <c r="Q6603">
        <v>0.1664427</v>
      </c>
      <c r="R6603">
        <v>6.9005079999999996E-2</v>
      </c>
      <c r="S6603">
        <v>3.056244</v>
      </c>
      <c r="T6603">
        <v>-0.165933</v>
      </c>
      <c r="U6603">
        <v>0.3026123</v>
      </c>
      <c r="V6603">
        <v>-0.1100864</v>
      </c>
      <c r="W6603">
        <v>0.17452889999999999</v>
      </c>
      <c r="X6603">
        <v>0.97847870000000003</v>
      </c>
      <c r="Y6603">
        <v>-0.139125</v>
      </c>
      <c r="Z6603">
        <v>6.2424749999999999E-3</v>
      </c>
      <c r="AA6603">
        <v>0.9902552</v>
      </c>
      <c r="AB6603">
        <v>24</v>
      </c>
      <c r="AC6603">
        <v>20.350999999999999</v>
      </c>
      <c r="AD6603">
        <v>-1.1115224088169999</v>
      </c>
      <c r="AE6603">
        <v>2.0310700000000002</v>
      </c>
      <c r="AF6603">
        <v>-2.8584377667358498</v>
      </c>
      <c r="AG6603">
        <v>-1.1115224088169999</v>
      </c>
      <c r="AH6603">
        <v>20.190535415794201</v>
      </c>
      <c r="AI6603">
        <v>93.119997351677497</v>
      </c>
      <c r="AJ6603">
        <v>98.057993594221102</v>
      </c>
      <c r="AK6603">
        <v>20.4221416337279</v>
      </c>
      <c r="AL6603">
        <v>79.948755414682793</v>
      </c>
      <c r="AM6603">
        <v>96.419223085307905</v>
      </c>
      <c r="AN6603">
        <v>0.99999995937692898</v>
      </c>
    </row>
    <row r="6604" spans="1:40" x14ac:dyDescent="0.25">
      <c r="A6604" t="str">
        <f>"20190304155234686"</f>
        <v>20190304155234686</v>
      </c>
      <c r="B6604" t="str">
        <f>"1551685954683570"</f>
        <v>1551685954683570</v>
      </c>
      <c r="C6604" t="s">
        <v>40</v>
      </c>
      <c r="D6604">
        <v>4.8614090000000001</v>
      </c>
      <c r="E6604">
        <v>0.48716989999999999</v>
      </c>
      <c r="F6604" t="s">
        <v>104</v>
      </c>
      <c r="G6604">
        <v>-245.04660000000001</v>
      </c>
      <c r="H6604" s="1">
        <v>-1.26959E-6</v>
      </c>
      <c r="I6604">
        <v>-60.825099999999999</v>
      </c>
      <c r="J6604">
        <v>-265.59710000000001</v>
      </c>
      <c r="K6604">
        <v>1.111499</v>
      </c>
      <c r="L6604">
        <v>-62.878300000000003</v>
      </c>
      <c r="M6604">
        <v>0.99915989999999999</v>
      </c>
      <c r="N6604">
        <v>-8.6732489999999992E-3</v>
      </c>
      <c r="O6604">
        <v>-4.0057000000000002E-2</v>
      </c>
      <c r="P6604">
        <v>0.983487</v>
      </c>
      <c r="Q6604">
        <v>0.16717879999999999</v>
      </c>
      <c r="R6604">
        <v>6.9316329999999995E-2</v>
      </c>
      <c r="S6604">
        <v>3.0565190000000002</v>
      </c>
      <c r="T6604">
        <v>-0.16441129999999901</v>
      </c>
      <c r="U6604">
        <v>0.30316159999999998</v>
      </c>
      <c r="V6604">
        <v>-0.1093103</v>
      </c>
      <c r="W6604">
        <v>0.17526639999999999</v>
      </c>
      <c r="X6604">
        <v>0.97843389999999997</v>
      </c>
      <c r="Y6604">
        <v>-0.138214</v>
      </c>
      <c r="Z6604">
        <v>6.109125E-3</v>
      </c>
      <c r="AA6604">
        <v>0.99038360000000003</v>
      </c>
      <c r="AB6604">
        <v>24</v>
      </c>
      <c r="AC6604">
        <v>20.5505</v>
      </c>
      <c r="AD6604">
        <v>-1.11150026958999</v>
      </c>
      <c r="AE6604">
        <v>2.0531999999999999</v>
      </c>
      <c r="AF6604">
        <v>-2.8664717016215699</v>
      </c>
      <c r="AG6604">
        <v>-1.11150026958999</v>
      </c>
      <c r="AH6604">
        <v>20.392691054508699</v>
      </c>
      <c r="AI6604">
        <v>93.089497676601098</v>
      </c>
      <c r="AJ6604">
        <v>98.001283587277797</v>
      </c>
      <c r="AK6604">
        <v>20.623140917671499</v>
      </c>
      <c r="AL6604">
        <v>79.905838432178996</v>
      </c>
      <c r="AM6604">
        <v>96.374631360938906</v>
      </c>
      <c r="AN6604">
        <v>0.99999997466212898</v>
      </c>
    </row>
    <row r="6605" spans="1:40" x14ac:dyDescent="0.25">
      <c r="A6605" t="str">
        <f>"20190304155234700"</f>
        <v>20190304155234700</v>
      </c>
      <c r="B6605" t="str">
        <f>"1551685954693327"</f>
        <v>1551685954693327</v>
      </c>
      <c r="C6605" t="s">
        <v>40</v>
      </c>
      <c r="D6605">
        <v>5.0115589999999903</v>
      </c>
      <c r="E6605">
        <v>0.48724689999999998</v>
      </c>
      <c r="F6605" t="s">
        <v>104</v>
      </c>
      <c r="G6605">
        <v>-244.96260000000001</v>
      </c>
      <c r="H6605" s="1">
        <v>-1.2307309999999999E-6</v>
      </c>
      <c r="I6605">
        <v>-60.814500000000002</v>
      </c>
      <c r="J6605">
        <v>-265.46030000000002</v>
      </c>
      <c r="K6605">
        <v>1.111472</v>
      </c>
      <c r="L6605">
        <v>-62.882350000000002</v>
      </c>
      <c r="M6605">
        <v>0.99921020000000005</v>
      </c>
      <c r="N6605">
        <v>-8.6661050000000003E-3</v>
      </c>
      <c r="O6605">
        <v>-3.8779840000000003E-2</v>
      </c>
      <c r="P6605">
        <v>0.98339160000000003</v>
      </c>
      <c r="Q6605">
        <v>0.16744629999999999</v>
      </c>
      <c r="R6605">
        <v>7.0019239999999996E-2</v>
      </c>
      <c r="S6605">
        <v>3.0568240000000002</v>
      </c>
      <c r="T6605">
        <v>-0.16465949999999999</v>
      </c>
      <c r="U6605">
        <v>0.30572510000000003</v>
      </c>
      <c r="V6605">
        <v>-0.1087451</v>
      </c>
      <c r="W6605">
        <v>0.17553679999999999</v>
      </c>
      <c r="X6605">
        <v>0.97844850000000005</v>
      </c>
      <c r="Y6605">
        <v>-0.1377621</v>
      </c>
      <c r="Z6605">
        <v>6.0452969999999998E-3</v>
      </c>
      <c r="AA6605">
        <v>0.99044690000000002</v>
      </c>
      <c r="AB6605">
        <v>24</v>
      </c>
      <c r="AC6605">
        <v>20.497699999999998</v>
      </c>
      <c r="AD6605">
        <v>-1.111473230731</v>
      </c>
      <c r="AE6605">
        <v>2.06785</v>
      </c>
      <c r="AF6605">
        <v>-2.8529179301227399</v>
      </c>
      <c r="AG6605">
        <v>-1.111473230731</v>
      </c>
      <c r="AH6605">
        <v>20.3428751217076</v>
      </c>
      <c r="AI6605">
        <v>93.097110444487399</v>
      </c>
      <c r="AJ6605">
        <v>97.983188090200102</v>
      </c>
      <c r="AK6605">
        <v>20.571997513028201</v>
      </c>
      <c r="AL6605">
        <v>79.8901026191771</v>
      </c>
      <c r="AM6605">
        <v>96.341846069515796</v>
      </c>
      <c r="AN6605">
        <v>1.0000000660402399</v>
      </c>
    </row>
    <row r="6606" spans="1:40" x14ac:dyDescent="0.25">
      <c r="A6606" t="str">
        <f>"20190304155234711"</f>
        <v>20190304155234711</v>
      </c>
      <c r="B6606" t="str">
        <f>"1551685954704063"</f>
        <v>1551685954704063</v>
      </c>
      <c r="C6606" t="s">
        <v>40</v>
      </c>
      <c r="D6606">
        <v>4.9299609999999996</v>
      </c>
      <c r="E6606">
        <v>0.48717539999999998</v>
      </c>
      <c r="F6606" t="s">
        <v>104</v>
      </c>
      <c r="G6606">
        <v>-244.8571</v>
      </c>
      <c r="H6606" s="1">
        <v>-1.184705E-6</v>
      </c>
      <c r="I6606">
        <v>-60.81165</v>
      </c>
      <c r="J6606">
        <v>-265.33409999999998</v>
      </c>
      <c r="K6606">
        <v>1.1114459999999999</v>
      </c>
      <c r="L6606">
        <v>-62.886020000000002</v>
      </c>
      <c r="M6606">
        <v>0.99925469999999905</v>
      </c>
      <c r="N6606">
        <v>-8.6598400000000002E-3</v>
      </c>
      <c r="O6606">
        <v>-3.7617589999999999E-2</v>
      </c>
      <c r="P6606">
        <v>0.98329800000000001</v>
      </c>
      <c r="Q6606">
        <v>0.16780639999999999</v>
      </c>
      <c r="R6606">
        <v>7.0470969999999994E-2</v>
      </c>
      <c r="S6606">
        <v>3.0568849999999999</v>
      </c>
      <c r="T6606">
        <v>-0.1649089</v>
      </c>
      <c r="U6606">
        <v>0.30722050000000001</v>
      </c>
      <c r="V6606">
        <v>-0.10804279999999999</v>
      </c>
      <c r="W6606">
        <v>0.17590020000000001</v>
      </c>
      <c r="X6606">
        <v>0.97846100000000003</v>
      </c>
      <c r="Y6606">
        <v>-0.1370894</v>
      </c>
      <c r="Z6606">
        <v>5.9801200000000002E-3</v>
      </c>
      <c r="AA6606">
        <v>0.99054059999999999</v>
      </c>
      <c r="AB6606">
        <v>25</v>
      </c>
      <c r="AC6606">
        <v>20.476999999999901</v>
      </c>
      <c r="AD6606">
        <v>-1.111447184705</v>
      </c>
      <c r="AE6606">
        <v>2.0743699999999898</v>
      </c>
      <c r="AF6606">
        <v>-2.8349587458233598</v>
      </c>
      <c r="AG6606">
        <v>-1.111447184705</v>
      </c>
      <c r="AH6606">
        <v>20.325198261419899</v>
      </c>
      <c r="AI6606">
        <v>93.100049495011604</v>
      </c>
      <c r="AJ6606">
        <v>97.940387493257404</v>
      </c>
      <c r="AK6606">
        <v>20.5520312937903</v>
      </c>
      <c r="AL6606">
        <v>79.8689518520208</v>
      </c>
      <c r="AM6606">
        <v>96.301139675787496</v>
      </c>
      <c r="AN6606">
        <v>1.00000002775643</v>
      </c>
    </row>
    <row r="6607" spans="1:40" x14ac:dyDescent="0.25">
      <c r="A6607" t="str">
        <f>"20190304155234723"</f>
        <v>20190304155234723</v>
      </c>
      <c r="B6607" t="str">
        <f>"1551685954713823"</f>
        <v>1551685954713823</v>
      </c>
      <c r="C6607" t="s">
        <v>40</v>
      </c>
      <c r="D6607">
        <v>4.9066939999999999</v>
      </c>
      <c r="E6607">
        <v>0.48717539999999998</v>
      </c>
      <c r="F6607" t="s">
        <v>104</v>
      </c>
      <c r="G6607">
        <v>-244.6318</v>
      </c>
      <c r="H6607" s="1">
        <v>-1.083005E-6</v>
      </c>
      <c r="I6607">
        <v>-60.792700000000004</v>
      </c>
      <c r="J6607">
        <v>-265.19920000000002</v>
      </c>
      <c r="K6607">
        <v>1.111413</v>
      </c>
      <c r="L6607">
        <v>-62.889769999999999</v>
      </c>
      <c r="M6607">
        <v>0.99929970000000001</v>
      </c>
      <c r="N6607">
        <v>-8.6537390000000006E-3</v>
      </c>
      <c r="O6607">
        <v>-3.64084E-2</v>
      </c>
      <c r="P6607">
        <v>0.98318669999999997</v>
      </c>
      <c r="Q6607">
        <v>0.1680516</v>
      </c>
      <c r="R6607">
        <v>7.1436379999999994E-2</v>
      </c>
      <c r="S6607">
        <v>3.0568240000000002</v>
      </c>
      <c r="T6607">
        <v>-0.16411210000000001</v>
      </c>
      <c r="U6607">
        <v>0.30908200000000002</v>
      </c>
      <c r="V6607">
        <v>-0.1078056</v>
      </c>
      <c r="W6607">
        <v>0.176148</v>
      </c>
      <c r="X6607">
        <v>0.97844249999999999</v>
      </c>
      <c r="Y6607">
        <v>-0.13649459999999999</v>
      </c>
      <c r="Z6607">
        <v>5.8795499999999999E-3</v>
      </c>
      <c r="AA6607">
        <v>0.99062340000000004</v>
      </c>
      <c r="AB6607">
        <v>25</v>
      </c>
      <c r="AC6607">
        <v>20.567399999999999</v>
      </c>
      <c r="AD6607">
        <v>-1.1114140830050001</v>
      </c>
      <c r="AE6607">
        <v>2.0970699999999902</v>
      </c>
      <c r="AF6607">
        <v>-2.8363364837982399</v>
      </c>
      <c r="AG6607">
        <v>-1.1114140830050001</v>
      </c>
      <c r="AH6607">
        <v>20.418399219260898</v>
      </c>
      <c r="AI6607">
        <v>93.086074208620502</v>
      </c>
      <c r="AJ6607">
        <v>97.908395217827803</v>
      </c>
      <c r="AK6607">
        <v>20.644395670262199</v>
      </c>
      <c r="AL6607">
        <v>79.854527911069894</v>
      </c>
      <c r="AM6607">
        <v>96.287534826322499</v>
      </c>
      <c r="AN6607">
        <v>0.99999994555080296</v>
      </c>
    </row>
    <row r="6608" spans="1:40" x14ac:dyDescent="0.25">
      <c r="A6608" t="str">
        <f>"20190304155234734"</f>
        <v>20190304155234734</v>
      </c>
      <c r="B6608" t="str">
        <f>"1551685954723584"</f>
        <v>1551685954723584</v>
      </c>
      <c r="C6608" t="s">
        <v>40</v>
      </c>
      <c r="D6608">
        <v>4.9417229999999996</v>
      </c>
      <c r="E6608">
        <v>0.48716219999999999</v>
      </c>
      <c r="F6608" t="s">
        <v>104</v>
      </c>
      <c r="G6608">
        <v>-244.52269999999999</v>
      </c>
      <c r="H6608" s="1">
        <v>-1.0323400000000001E-6</v>
      </c>
      <c r="I6608">
        <v>-60.77814</v>
      </c>
      <c r="J6608">
        <v>-265.07859999999999</v>
      </c>
      <c r="K6608">
        <v>1.1113820000000001</v>
      </c>
      <c r="L6608">
        <v>-62.893039999999999</v>
      </c>
      <c r="M6608">
        <v>0.99933749999999999</v>
      </c>
      <c r="N6608">
        <v>-8.6486810000000001E-3</v>
      </c>
      <c r="O6608">
        <v>-3.5351309999999997E-2</v>
      </c>
      <c r="P6608">
        <v>0.98316119999999996</v>
      </c>
      <c r="Q6608">
        <v>0.1679118</v>
      </c>
      <c r="R6608">
        <v>7.2109800000000002E-2</v>
      </c>
      <c r="S6608">
        <v>3.0567319999999998</v>
      </c>
      <c r="T6608">
        <v>-0.1643066</v>
      </c>
      <c r="U6608">
        <v>0.31216430000000001</v>
      </c>
      <c r="V6608">
        <v>-0.10742889999999999</v>
      </c>
      <c r="W6608">
        <v>0.17601229999999901</v>
      </c>
      <c r="X6608">
        <v>0.97850839999999994</v>
      </c>
      <c r="Y6608">
        <v>-0.136439</v>
      </c>
      <c r="Z6608">
        <v>5.8366800000000003E-3</v>
      </c>
      <c r="AA6608">
        <v>0.99063129999999999</v>
      </c>
      <c r="AB6608">
        <v>25</v>
      </c>
      <c r="AC6608">
        <v>20.555900000000001</v>
      </c>
      <c r="AD6608">
        <v>-1.11138303233999</v>
      </c>
      <c r="AE6608">
        <v>2.1148999999999898</v>
      </c>
      <c r="AF6608">
        <v>-2.8320911883481399</v>
      </c>
      <c r="AG6608">
        <v>-1.11138303233999</v>
      </c>
      <c r="AH6608">
        <v>20.409248370552099</v>
      </c>
      <c r="AI6608">
        <v>93.087430302966695</v>
      </c>
      <c r="AJ6608">
        <v>97.900203673889195</v>
      </c>
      <c r="AK6608">
        <v>20.634760279552001</v>
      </c>
      <c r="AL6608">
        <v>79.862426847538302</v>
      </c>
      <c r="AM6608">
        <v>96.265321013162804</v>
      </c>
      <c r="AN6608">
        <v>0.99999999358852898</v>
      </c>
    </row>
    <row r="6609" spans="1:40" x14ac:dyDescent="0.25">
      <c r="A6609" t="str">
        <f>"20190304155234745"</f>
        <v>20190304155234745</v>
      </c>
      <c r="B6609" t="str">
        <f>"1551685954733344"</f>
        <v>1551685954733344</v>
      </c>
      <c r="C6609" t="s">
        <v>40</v>
      </c>
      <c r="D6609">
        <v>4.9167489999999896</v>
      </c>
      <c r="E6609">
        <v>0.4871106</v>
      </c>
      <c r="F6609" t="s">
        <v>104</v>
      </c>
      <c r="G6609">
        <v>-244.47890000000001</v>
      </c>
      <c r="H6609" s="1">
        <v>-1.0122959999999999E-6</v>
      </c>
      <c r="I6609">
        <v>-60.77346</v>
      </c>
      <c r="J6609">
        <v>-264.95800000000003</v>
      </c>
      <c r="K6609">
        <v>1.1113550000000001</v>
      </c>
      <c r="L6609">
        <v>-62.896210000000004</v>
      </c>
      <c r="M6609">
        <v>0.99937390000000004</v>
      </c>
      <c r="N6609">
        <v>-8.6438920000000002E-3</v>
      </c>
      <c r="O6609">
        <v>-3.4309590000000001E-2</v>
      </c>
      <c r="P6609">
        <v>0.98308960000000001</v>
      </c>
      <c r="Q6609">
        <v>0.16813339999999999</v>
      </c>
      <c r="R6609">
        <v>7.2569040000000001E-2</v>
      </c>
      <c r="S6609">
        <v>3.0564879999999999</v>
      </c>
      <c r="T6609">
        <v>-0.16490170000000001</v>
      </c>
      <c r="U6609">
        <v>0.31448359999999997</v>
      </c>
      <c r="V6609">
        <v>-0.1068529</v>
      </c>
      <c r="W6609">
        <v>0.17623910000000001</v>
      </c>
      <c r="X6609">
        <v>0.97853060000000003</v>
      </c>
      <c r="Y6609">
        <v>-0.1361579</v>
      </c>
      <c r="Z6609">
        <v>5.801021E-3</v>
      </c>
      <c r="AA6609">
        <v>0.9906701</v>
      </c>
      <c r="AB6609">
        <v>25</v>
      </c>
      <c r="AC6609">
        <v>20.479099999999899</v>
      </c>
      <c r="AD6609">
        <v>-1.11135601229599</v>
      </c>
      <c r="AE6609">
        <v>2.1227499999999901</v>
      </c>
      <c r="AF6609">
        <v>-2.81595108903741</v>
      </c>
      <c r="AG6609">
        <v>-1.11135601229599</v>
      </c>
      <c r="AH6609">
        <v>20.334958910155599</v>
      </c>
      <c r="AI6609">
        <v>93.098733064384803</v>
      </c>
      <c r="AJ6609">
        <v>97.884083131220905</v>
      </c>
      <c r="AK6609">
        <v>20.5590672599618</v>
      </c>
      <c r="AL6609">
        <v>79.849225342991701</v>
      </c>
      <c r="AM6609">
        <v>96.231853083762701</v>
      </c>
      <c r="AN6609">
        <v>0.999999948871788</v>
      </c>
    </row>
    <row r="6610" spans="1:40" x14ac:dyDescent="0.25">
      <c r="A6610" t="str">
        <f>"20190304155234755"</f>
        <v>20190304155234755</v>
      </c>
      <c r="B6610" t="str">
        <f>"1551685954753839"</f>
        <v>1551685954753839</v>
      </c>
      <c r="C6610" t="s">
        <v>40</v>
      </c>
      <c r="D6610">
        <v>4.9343690000000002</v>
      </c>
      <c r="E6610">
        <v>0.48714689999999999</v>
      </c>
      <c r="F6610" t="s">
        <v>104</v>
      </c>
      <c r="G6610">
        <v>-244.27420000000001</v>
      </c>
      <c r="H6610" s="1">
        <v>-9.1958960000000002E-7</v>
      </c>
      <c r="I6610">
        <v>-60.755040000000001</v>
      </c>
      <c r="J6610">
        <v>-264.84570000000002</v>
      </c>
      <c r="K6610">
        <v>1.1113280000000001</v>
      </c>
      <c r="L6610">
        <v>-62.899019999999901</v>
      </c>
      <c r="M6610">
        <v>0.99940569999999895</v>
      </c>
      <c r="N6610">
        <v>-8.6399879999999995E-3</v>
      </c>
      <c r="O6610">
        <v>-3.336944E-2</v>
      </c>
      <c r="P6610">
        <v>0.98301459999999996</v>
      </c>
      <c r="Q6610">
        <v>0.168382</v>
      </c>
      <c r="R6610">
        <v>7.3007359999999993E-2</v>
      </c>
      <c r="S6610">
        <v>3.056305</v>
      </c>
      <c r="T6610">
        <v>-0.16421720000000001</v>
      </c>
      <c r="U6610">
        <v>0.31637569999999998</v>
      </c>
      <c r="V6610">
        <v>-0.1063558</v>
      </c>
      <c r="W6610">
        <v>0.17649200000000001</v>
      </c>
      <c r="X6610">
        <v>0.97853920000000005</v>
      </c>
      <c r="Y6610">
        <v>-0.1358425</v>
      </c>
      <c r="Z6610">
        <v>5.7261600000000001E-3</v>
      </c>
      <c r="AA6610">
        <v>0.99071390000000004</v>
      </c>
      <c r="AB6610">
        <v>25</v>
      </c>
      <c r="AC6610">
        <v>20.5715</v>
      </c>
      <c r="AD6610">
        <v>-1.1113289195895999</v>
      </c>
      <c r="AE6610">
        <v>2.1439799999999898</v>
      </c>
      <c r="AF6610">
        <v>-2.8211261154634499</v>
      </c>
      <c r="AG6610">
        <v>-1.1113289195895999</v>
      </c>
      <c r="AH6610">
        <v>20.4295144854695</v>
      </c>
      <c r="AI6610">
        <v>93.084505572690404</v>
      </c>
      <c r="AJ6610">
        <v>97.862290913010696</v>
      </c>
      <c r="AK6610">
        <v>20.653301591727999</v>
      </c>
      <c r="AL6610">
        <v>79.834504745433804</v>
      </c>
      <c r="AM6610">
        <v>96.203033763067495</v>
      </c>
      <c r="AN6610">
        <v>0.99999997409713903</v>
      </c>
    </row>
    <row r="6611" spans="1:40" x14ac:dyDescent="0.25">
      <c r="A6611" t="str">
        <f>"20190304155234765"</f>
        <v>20190304155234765</v>
      </c>
      <c r="B6611" t="str">
        <f>"1551685954763599"</f>
        <v>1551685954763599</v>
      </c>
      <c r="C6611" t="s">
        <v>40</v>
      </c>
      <c r="D6611">
        <v>4.9560690000000003</v>
      </c>
      <c r="E6611">
        <v>0.4873015</v>
      </c>
      <c r="F6611" t="s">
        <v>104</v>
      </c>
      <c r="G6611">
        <v>-244.1756</v>
      </c>
      <c r="H6611" s="1">
        <v>-8.7643589999999998E-7</v>
      </c>
      <c r="I6611">
        <v>-60.751919999999998</v>
      </c>
      <c r="J6611">
        <v>-264.7285</v>
      </c>
      <c r="K6611">
        <v>1.1113029999999999</v>
      </c>
      <c r="L6611">
        <v>-62.901919999999997</v>
      </c>
      <c r="M6611">
        <v>0.99943789999999999</v>
      </c>
      <c r="N6611">
        <v>-8.6361100000000007E-3</v>
      </c>
      <c r="O6611">
        <v>-3.2396750000000002E-2</v>
      </c>
      <c r="P6611">
        <v>0.98295330000000003</v>
      </c>
      <c r="Q6611">
        <v>0.16839460000000001</v>
      </c>
      <c r="R6611">
        <v>7.3799000000000003E-2</v>
      </c>
      <c r="S6611">
        <v>3.0564269999999998</v>
      </c>
      <c r="T6611">
        <v>-0.16432829999999901</v>
      </c>
      <c r="U6611">
        <v>0.31747439999999999</v>
      </c>
      <c r="V6611">
        <v>-0.1061795</v>
      </c>
      <c r="W6611">
        <v>0.17650850000000001</v>
      </c>
      <c r="X6611">
        <v>0.97855539999999996</v>
      </c>
      <c r="Y6611">
        <v>-0.13522819999999999</v>
      </c>
      <c r="Z6611">
        <v>5.6664999999999997E-3</v>
      </c>
      <c r="AA6611">
        <v>0.99079830000000002</v>
      </c>
      <c r="AB6611">
        <v>25</v>
      </c>
      <c r="AC6611">
        <v>20.552899999999902</v>
      </c>
      <c r="AD6611">
        <v>-1.1113038764359</v>
      </c>
      <c r="AE6611">
        <v>2.1499999999999901</v>
      </c>
      <c r="AF6611">
        <v>-2.8066266043080899</v>
      </c>
      <c r="AG6611">
        <v>-1.1113038764359</v>
      </c>
      <c r="AH6611">
        <v>20.4134202530898</v>
      </c>
      <c r="AI6611">
        <v>93.087113877584798</v>
      </c>
      <c r="AJ6611">
        <v>97.828474112367502</v>
      </c>
      <c r="AK6611">
        <v>20.635403452102601</v>
      </c>
      <c r="AL6611">
        <v>79.833544591910695</v>
      </c>
      <c r="AM6611">
        <v>96.192729579707404</v>
      </c>
      <c r="AN6611">
        <v>1.0000000038308201</v>
      </c>
    </row>
    <row r="6612" spans="1:40" x14ac:dyDescent="0.25">
      <c r="A6612" t="str">
        <f>"20190304155234777"</f>
        <v>20190304155234777</v>
      </c>
      <c r="B6612" t="str">
        <f>"1551685954773360"</f>
        <v>1551685954773360</v>
      </c>
      <c r="C6612" t="s">
        <v>40</v>
      </c>
      <c r="D6612">
        <v>4.971692</v>
      </c>
      <c r="E6612">
        <v>0.4873015</v>
      </c>
      <c r="F6612" t="s">
        <v>104</v>
      </c>
      <c r="G6612">
        <v>-244.01050000000001</v>
      </c>
      <c r="H6612" s="1">
        <v>-8.0220490000000001E-7</v>
      </c>
      <c r="I6612">
        <v>-60.739109999999997</v>
      </c>
      <c r="J6612">
        <v>-264.61009999999999</v>
      </c>
      <c r="K6612">
        <v>1.1112759999999999</v>
      </c>
      <c r="L6612">
        <v>-62.904719999999998</v>
      </c>
      <c r="M6612">
        <v>0.99946800000000002</v>
      </c>
      <c r="N6612">
        <v>-8.6326860000000005E-3</v>
      </c>
      <c r="O6612">
        <v>-3.1452679999999997E-2</v>
      </c>
      <c r="P6612">
        <v>0.98284260000000001</v>
      </c>
      <c r="Q6612">
        <v>0.16870470000000001</v>
      </c>
      <c r="R6612">
        <v>7.4560909999999994E-2</v>
      </c>
      <c r="S6612">
        <v>3.056152</v>
      </c>
      <c r="T6612">
        <v>-0.163930399999999</v>
      </c>
      <c r="U6612">
        <v>0.3190308</v>
      </c>
      <c r="V6612">
        <v>-0.10600030000000001</v>
      </c>
      <c r="W6612">
        <v>0.17682290000000001</v>
      </c>
      <c r="X6612">
        <v>0.97851809999999995</v>
      </c>
      <c r="Y6612">
        <v>-0.13480349999999999</v>
      </c>
      <c r="Z6612">
        <v>5.5982200000000001E-3</v>
      </c>
      <c r="AA6612">
        <v>0.99085650000000003</v>
      </c>
      <c r="AB6612">
        <v>25</v>
      </c>
      <c r="AC6612">
        <v>20.599599999999899</v>
      </c>
      <c r="AD6612">
        <v>-1.1112768022049</v>
      </c>
      <c r="AE6612">
        <v>2.16561</v>
      </c>
      <c r="AF6612">
        <v>-2.80440297741294</v>
      </c>
      <c r="AG6612">
        <v>-1.1112768022049</v>
      </c>
      <c r="AH6612">
        <v>20.462391397531299</v>
      </c>
      <c r="AI6612">
        <v>93.079846342175998</v>
      </c>
      <c r="AJ6612">
        <v>97.803858890259093</v>
      </c>
      <c r="AK6612">
        <v>20.683545970084602</v>
      </c>
      <c r="AL6612">
        <v>79.815243269719602</v>
      </c>
      <c r="AM6612">
        <v>96.182592902654505</v>
      </c>
      <c r="AN6612">
        <v>1.00000003679605</v>
      </c>
    </row>
    <row r="6613" spans="1:40" x14ac:dyDescent="0.25">
      <c r="A6613" t="str">
        <f>"20190304155234788"</f>
        <v>20190304155234788</v>
      </c>
      <c r="B6613" t="str">
        <f>"1551685954783120"</f>
        <v>1551685954783120</v>
      </c>
      <c r="C6613" t="s">
        <v>40</v>
      </c>
      <c r="D6613">
        <v>4.9127010000000002</v>
      </c>
      <c r="E6613">
        <v>0.52316339999999995</v>
      </c>
      <c r="F6613" t="s">
        <v>104</v>
      </c>
      <c r="G6613">
        <v>-243.7698</v>
      </c>
      <c r="H6613" s="1">
        <v>-6.9186460000000001E-7</v>
      </c>
      <c r="I6613">
        <v>-60.712389999999999</v>
      </c>
      <c r="J6613">
        <v>-264.4778</v>
      </c>
      <c r="K6613">
        <v>1.1112439999999999</v>
      </c>
      <c r="L6613">
        <v>-62.907780000000002</v>
      </c>
      <c r="M6613">
        <v>0.99950030000000001</v>
      </c>
      <c r="N6613">
        <v>-8.6290450000000001E-3</v>
      </c>
      <c r="O6613">
        <v>-3.0408979999999999E-2</v>
      </c>
      <c r="P6613">
        <v>0.98275290000000004</v>
      </c>
      <c r="Q6613">
        <v>0.16893540000000001</v>
      </c>
      <c r="R6613">
        <v>7.5216640000000001E-2</v>
      </c>
      <c r="S6613">
        <v>3.056</v>
      </c>
      <c r="T6613">
        <v>-0.16295660000000001</v>
      </c>
      <c r="U6613">
        <v>0.32147219999999999</v>
      </c>
      <c r="V6613">
        <v>-0.1056169</v>
      </c>
      <c r="W6613">
        <v>0.17705950000000001</v>
      </c>
      <c r="X6613">
        <v>0.97851679999999996</v>
      </c>
      <c r="Y6613">
        <v>-0.13456129999999999</v>
      </c>
      <c r="Z6613">
        <v>5.5128169999999997E-3</v>
      </c>
      <c r="AA6613">
        <v>0.99089000000000005</v>
      </c>
      <c r="AB6613">
        <v>25</v>
      </c>
      <c r="AC6613">
        <v>20.707999999999998</v>
      </c>
      <c r="AD6613">
        <v>-1.1112446918646</v>
      </c>
      <c r="AE6613">
        <v>2.1953900000000002</v>
      </c>
      <c r="AF6613">
        <v>-2.8160879645228301</v>
      </c>
      <c r="AG6613">
        <v>-1.1112446918646</v>
      </c>
      <c r="AH6613">
        <v>20.573075361556199</v>
      </c>
      <c r="AI6613">
        <v>93.063289563295399</v>
      </c>
      <c r="AJ6613">
        <v>97.794333503409703</v>
      </c>
      <c r="AK6613">
        <v>20.794630220838201</v>
      </c>
      <c r="AL6613">
        <v>79.801470022167805</v>
      </c>
      <c r="AM6613">
        <v>96.160411020175303</v>
      </c>
      <c r="AN6613">
        <v>1.0000000619940399</v>
      </c>
    </row>
    <row r="6614" spans="1:40" x14ac:dyDescent="0.25">
      <c r="A6614" t="str">
        <f>"20190304155234799"</f>
        <v>20190304155234799</v>
      </c>
      <c r="B6614" t="str">
        <f>"1551685954793856"</f>
        <v>1551685954793856</v>
      </c>
      <c r="C6614" t="s">
        <v>40</v>
      </c>
      <c r="D6614">
        <v>4.9668519999999896</v>
      </c>
      <c r="E6614">
        <v>0.52359350000000004</v>
      </c>
      <c r="F6614" t="s">
        <v>105</v>
      </c>
      <c r="G6614">
        <v>-217.5942</v>
      </c>
      <c r="H6614" s="1">
        <v>-2.7399760000000002E-6</v>
      </c>
      <c r="I6614">
        <v>-62.311970000000002</v>
      </c>
      <c r="J6614">
        <v>-264.35669999999999</v>
      </c>
      <c r="K6614">
        <v>1.111208</v>
      </c>
      <c r="L6614">
        <v>-62.91046</v>
      </c>
      <c r="M6614">
        <v>0.99952770000000002</v>
      </c>
      <c r="N6614">
        <v>-8.6261240000000006E-3</v>
      </c>
      <c r="O6614">
        <v>-2.9496049999999999E-2</v>
      </c>
      <c r="P6614">
        <v>0.98269830000000002</v>
      </c>
      <c r="Q6614">
        <v>0.16899739999999999</v>
      </c>
      <c r="R6614">
        <v>7.5787919999999995E-2</v>
      </c>
      <c r="S6614">
        <v>3.0621339999999999</v>
      </c>
      <c r="T6614">
        <v>-7.2579379999999999E-2</v>
      </c>
      <c r="U6614">
        <v>3.8909909999999999E-2</v>
      </c>
      <c r="V6614">
        <v>-0.1052778</v>
      </c>
      <c r="W6614">
        <v>0.17712749999999999</v>
      </c>
      <c r="X6614">
        <v>0.97854099999999999</v>
      </c>
      <c r="Y6614">
        <v>-4.2175509999999999E-2</v>
      </c>
      <c r="Z6614">
        <v>1.126216E-3</v>
      </c>
      <c r="AA6614">
        <v>0.99910960000000004</v>
      </c>
      <c r="AB6614">
        <v>25</v>
      </c>
      <c r="AC6614">
        <v>46.762499999999903</v>
      </c>
      <c r="AD6614">
        <v>-1.1112107399760001</v>
      </c>
      <c r="AE6614">
        <v>0.59849000000000496</v>
      </c>
      <c r="AF6614">
        <v>-1.9764740196766399</v>
      </c>
      <c r="AG6614">
        <v>-1.1112107399760001</v>
      </c>
      <c r="AH6614">
        <v>46.698133348186197</v>
      </c>
      <c r="AI6614">
        <v>91.361912157553803</v>
      </c>
      <c r="AJ6614">
        <v>92.4235673685167</v>
      </c>
      <c r="AK6614">
        <v>46.753148525677702</v>
      </c>
      <c r="AL6614">
        <v>79.797510983457698</v>
      </c>
      <c r="AM6614">
        <v>96.140632685572399</v>
      </c>
      <c r="AN6614">
        <v>1.00000002755504</v>
      </c>
    </row>
    <row r="6615" spans="1:40" x14ac:dyDescent="0.25">
      <c r="A6615" t="str">
        <f>"20190304155234811"</f>
        <v>20190304155234811</v>
      </c>
      <c r="B6615" t="str">
        <f>"1551685954803616"</f>
        <v>1551685954803616</v>
      </c>
      <c r="C6615" t="s">
        <v>40</v>
      </c>
      <c r="D6615">
        <v>4.9910249999999996</v>
      </c>
      <c r="E6615">
        <v>0.52417139999999995</v>
      </c>
      <c r="F6615" t="s">
        <v>106</v>
      </c>
      <c r="G6615">
        <v>-225.6549</v>
      </c>
      <c r="H6615" s="1">
        <v>-2.0014660000000001E-6</v>
      </c>
      <c r="I6615">
        <v>-62.441130000000001</v>
      </c>
      <c r="J6615">
        <v>-264.23390000000001</v>
      </c>
      <c r="K6615">
        <v>1.1111770000000001</v>
      </c>
      <c r="L6615">
        <v>-62.913150000000002</v>
      </c>
      <c r="M6615">
        <v>0.99955430000000001</v>
      </c>
      <c r="N6615">
        <v>-8.6233479999999994E-3</v>
      </c>
      <c r="O6615">
        <v>-2.858349E-2</v>
      </c>
      <c r="P6615">
        <v>0.98265919999999896</v>
      </c>
      <c r="Q6615">
        <v>0.16895959999999999</v>
      </c>
      <c r="R6615">
        <v>7.6378459999999995E-2</v>
      </c>
      <c r="S6615">
        <v>3.0651250000000001</v>
      </c>
      <c r="T6615">
        <v>-8.8006020000000004E-2</v>
      </c>
      <c r="U6615">
        <v>3.7170410000000001E-2</v>
      </c>
      <c r="V6615">
        <v>-0.1049587</v>
      </c>
      <c r="W6615">
        <v>0.17709649999999999</v>
      </c>
      <c r="X6615">
        <v>0.97858080000000003</v>
      </c>
      <c r="Y6615">
        <v>-4.0675919999999997E-2</v>
      </c>
      <c r="Z6615">
        <v>1.333224E-3</v>
      </c>
      <c r="AA6615">
        <v>0.99917149999999999</v>
      </c>
      <c r="AB6615">
        <v>25</v>
      </c>
      <c r="AC6615">
        <v>38.579000000000001</v>
      </c>
      <c r="AD6615">
        <v>-1.1111790014659999</v>
      </c>
      <c r="AE6615">
        <v>0.47202</v>
      </c>
      <c r="AF6615">
        <v>-1.5732854939294001</v>
      </c>
      <c r="AG6615">
        <v>-1.1111790014659999</v>
      </c>
      <c r="AH6615">
        <v>38.517793916363097</v>
      </c>
      <c r="AI6615">
        <v>91.651060694941407</v>
      </c>
      <c r="AJ6615">
        <v>92.338984903636799</v>
      </c>
      <c r="AK6615">
        <v>38.565922706479199</v>
      </c>
      <c r="AL6615">
        <v>79.799314786844903</v>
      </c>
      <c r="AM6615">
        <v>96.121914707643498</v>
      </c>
      <c r="AN6615">
        <v>0.999999940573288</v>
      </c>
    </row>
    <row r="6616" spans="1:40" x14ac:dyDescent="0.25">
      <c r="A6616" t="str">
        <f>"20190304155234823"</f>
        <v>20190304155234823</v>
      </c>
      <c r="B6616" t="str">
        <f>"1551685954814351"</f>
        <v>1551685954814351</v>
      </c>
      <c r="C6616" t="s">
        <v>40</v>
      </c>
      <c r="D6616">
        <v>4.9661860000000004</v>
      </c>
      <c r="E6616">
        <v>0.52456049999999999</v>
      </c>
      <c r="F6616" t="s">
        <v>106</v>
      </c>
      <c r="G6616">
        <v>-228.07040000000001</v>
      </c>
      <c r="H6616" s="1">
        <v>-3.038844E-6</v>
      </c>
      <c r="I6616">
        <v>-62.506459999999997</v>
      </c>
      <c r="J6616">
        <v>-264.09890000000001</v>
      </c>
      <c r="K6616">
        <v>1.1111409999999999</v>
      </c>
      <c r="L6616">
        <v>-62.9159199999999</v>
      </c>
      <c r="M6616">
        <v>0.99958159999999896</v>
      </c>
      <c r="N6616">
        <v>-8.6206630000000006E-3</v>
      </c>
      <c r="O6616">
        <v>-2.7612890000000001E-2</v>
      </c>
      <c r="P6616">
        <v>0.98252609999999996</v>
      </c>
      <c r="Q6616">
        <v>0.16929559999999999</v>
      </c>
      <c r="R6616">
        <v>7.7340549999999994E-2</v>
      </c>
      <c r="S6616">
        <v>3.0664669999999998</v>
      </c>
      <c r="T6616">
        <v>-9.422171E-2</v>
      </c>
      <c r="U6616">
        <v>3.4484859999999999E-2</v>
      </c>
      <c r="V6616">
        <v>-0.10495119999999999</v>
      </c>
      <c r="W6616">
        <v>0.1774377</v>
      </c>
      <c r="X6616">
        <v>0.9785199</v>
      </c>
      <c r="Y6616">
        <v>-3.882277E-2</v>
      </c>
      <c r="Z6616">
        <v>1.3738419999999999E-3</v>
      </c>
      <c r="AA6616">
        <v>0.99924519999999994</v>
      </c>
      <c r="AB6616">
        <v>25</v>
      </c>
      <c r="AC6616">
        <v>36.028500000000001</v>
      </c>
      <c r="AD6616">
        <v>-1.1111440388439999</v>
      </c>
      <c r="AE6616">
        <v>0.40945999999999499</v>
      </c>
      <c r="AF6616">
        <v>-1.40285759927736</v>
      </c>
      <c r="AG6616">
        <v>-1.1111440388439999</v>
      </c>
      <c r="AH6616">
        <v>35.969246533845499</v>
      </c>
      <c r="AI6616">
        <v>91.768046633207106</v>
      </c>
      <c r="AJ6616">
        <v>92.233494157597406</v>
      </c>
      <c r="AK6616">
        <v>36.013738305422599</v>
      </c>
      <c r="AL6616">
        <v>79.779451936899306</v>
      </c>
      <c r="AM6616">
        <v>96.121858666247405</v>
      </c>
      <c r="AN6616">
        <v>1.0000000432293601</v>
      </c>
    </row>
    <row r="6617" spans="1:40" x14ac:dyDescent="0.25">
      <c r="A6617" t="str">
        <f>"20190304155234833"</f>
        <v>20190304155234833</v>
      </c>
      <c r="B6617" t="str">
        <f>"1551685954824112"</f>
        <v>1551685954824112</v>
      </c>
      <c r="C6617" t="s">
        <v>40</v>
      </c>
      <c r="D6617">
        <v>4.9236769999999996</v>
      </c>
      <c r="E6617">
        <v>0.52499259999999903</v>
      </c>
      <c r="F6617" t="s">
        <v>106</v>
      </c>
      <c r="G6617">
        <v>-229.08750000000001</v>
      </c>
      <c r="H6617" s="1">
        <v>-3.3875359999999999E-6</v>
      </c>
      <c r="I6617">
        <v>-62.525460000000002</v>
      </c>
      <c r="J6617">
        <v>-263.98009999999999</v>
      </c>
      <c r="K6617">
        <v>1.1111059999999999</v>
      </c>
      <c r="L6617">
        <v>-62.918300000000002</v>
      </c>
      <c r="M6617">
        <v>0.99960400000000005</v>
      </c>
      <c r="N6617">
        <v>-8.6185800000000007E-3</v>
      </c>
      <c r="O6617">
        <v>-2.6784120000000002E-2</v>
      </c>
      <c r="P6617">
        <v>0.98251310000000003</v>
      </c>
      <c r="Q6617">
        <v>0.1691291</v>
      </c>
      <c r="R6617">
        <v>7.7865589999999998E-2</v>
      </c>
      <c r="S6617">
        <v>3.0675050000000001</v>
      </c>
      <c r="T6617">
        <v>-9.7352389999999997E-2</v>
      </c>
      <c r="U6617">
        <v>3.4210209999999998E-2</v>
      </c>
      <c r="V6617">
        <v>-0.1046501</v>
      </c>
      <c r="W6617">
        <v>0.17727860000000001</v>
      </c>
      <c r="X6617">
        <v>0.97858100000000003</v>
      </c>
      <c r="Y6617">
        <v>-3.7899799999999997E-2</v>
      </c>
      <c r="Z6617">
        <v>1.3835640000000001E-3</v>
      </c>
      <c r="AA6617">
        <v>0.99928059999999996</v>
      </c>
      <c r="AB6617">
        <v>25</v>
      </c>
      <c r="AC6617">
        <v>34.892599999999902</v>
      </c>
      <c r="AD6617">
        <v>-1.1111093875360001</v>
      </c>
      <c r="AE6617">
        <v>0.39284000000000602</v>
      </c>
      <c r="AF6617">
        <v>-1.3259570553509701</v>
      </c>
      <c r="AG6617">
        <v>-1.1111093875360001</v>
      </c>
      <c r="AH6617">
        <v>34.834240595234803</v>
      </c>
      <c r="AI6617">
        <v>91.825625488519194</v>
      </c>
      <c r="AJ6617">
        <v>92.179897743602197</v>
      </c>
      <c r="AK6617">
        <v>34.877170814594599</v>
      </c>
      <c r="AL6617">
        <v>79.788714708849596</v>
      </c>
      <c r="AM6617">
        <v>96.104049875981204</v>
      </c>
      <c r="AN6617">
        <v>1.00000005950448</v>
      </c>
    </row>
    <row r="6618" spans="1:40" x14ac:dyDescent="0.25">
      <c r="A6618" t="str">
        <f>"20190304155234844"</f>
        <v>20190304155234844</v>
      </c>
      <c r="B6618" t="str">
        <f>"1551685954833872"</f>
        <v>1551685954833872</v>
      </c>
      <c r="C6618" t="s">
        <v>40</v>
      </c>
      <c r="D6618">
        <v>4.988912</v>
      </c>
      <c r="E6618">
        <v>0.52540299999999995</v>
      </c>
      <c r="F6618" t="s">
        <v>107</v>
      </c>
      <c r="G6618">
        <v>-230.8109</v>
      </c>
      <c r="H6618" s="1">
        <v>8.3258780000000001E-8</v>
      </c>
      <c r="I6618">
        <v>-62.569890000000001</v>
      </c>
      <c r="J6618">
        <v>-263.85930000000002</v>
      </c>
      <c r="K6618">
        <v>1.1110739999999999</v>
      </c>
      <c r="L6618">
        <v>-62.920679999999997</v>
      </c>
      <c r="M6618">
        <v>0.99962589999999996</v>
      </c>
      <c r="N6618">
        <v>-8.616683E-3</v>
      </c>
      <c r="O6618">
        <v>-2.5959530000000001E-2</v>
      </c>
      <c r="P6618">
        <v>0.98236319999999999</v>
      </c>
      <c r="Q6618">
        <v>0.16963599999999901</v>
      </c>
      <c r="R6618">
        <v>7.8651819999999997E-2</v>
      </c>
      <c r="S6618">
        <v>3.0685419999999999</v>
      </c>
      <c r="T6618">
        <v>-0.10279050000000001</v>
      </c>
      <c r="U6618">
        <v>3.2226560000000001E-2</v>
      </c>
      <c r="V6618">
        <v>-0.1046118</v>
      </c>
      <c r="W6618">
        <v>0.17779059999999999</v>
      </c>
      <c r="X6618">
        <v>0.97849209999999998</v>
      </c>
      <c r="Y6618">
        <v>-3.6423469999999999E-2</v>
      </c>
      <c r="Z6618">
        <v>1.4124960000000001E-3</v>
      </c>
      <c r="AA6618">
        <v>0.99933550000000004</v>
      </c>
      <c r="AB6618">
        <v>25</v>
      </c>
      <c r="AC6618">
        <v>33.048400000000001</v>
      </c>
      <c r="AD6618">
        <v>-1.11107391674121</v>
      </c>
      <c r="AE6618">
        <v>0.35079000000000299</v>
      </c>
      <c r="AF6618">
        <v>-1.2072601339897899</v>
      </c>
      <c r="AG6618">
        <v>-1.11107391674121</v>
      </c>
      <c r="AH6618">
        <v>32.990870370734903</v>
      </c>
      <c r="AI6618">
        <v>91.927601820267796</v>
      </c>
      <c r="AJ6618">
        <v>92.095733116083295</v>
      </c>
      <c r="AK6618">
        <v>33.031643769243701</v>
      </c>
      <c r="AL6618">
        <v>79.758904691416006</v>
      </c>
      <c r="AM6618">
        <v>96.102382956340705</v>
      </c>
      <c r="AN6618">
        <v>0.99999995795500396</v>
      </c>
    </row>
    <row r="6619" spans="1:40" x14ac:dyDescent="0.25">
      <c r="A6619" t="str">
        <f>"20190304155234855"</f>
        <v>20190304155234855</v>
      </c>
      <c r="B6619" t="str">
        <f>"1551685954843632"</f>
        <v>1551685954843632</v>
      </c>
      <c r="C6619" t="s">
        <v>40</v>
      </c>
      <c r="D6619">
        <v>5.1229809999999896</v>
      </c>
      <c r="E6619">
        <v>0.52594669999999999</v>
      </c>
      <c r="F6619" t="s">
        <v>107</v>
      </c>
      <c r="G6619">
        <v>-230.23570000000001</v>
      </c>
      <c r="H6619" s="1">
        <v>3.28711799999999E-7</v>
      </c>
      <c r="I6619">
        <v>-62.574890000000003</v>
      </c>
      <c r="J6619">
        <v>-263.7441</v>
      </c>
      <c r="K6619">
        <v>1.1110439999999999</v>
      </c>
      <c r="L6619">
        <v>-62.922849999999997</v>
      </c>
      <c r="M6619">
        <v>0.99964520000000001</v>
      </c>
      <c r="N6619">
        <v>-8.6151279999999997E-3</v>
      </c>
      <c r="O6619">
        <v>-2.520468E-2</v>
      </c>
      <c r="P6619">
        <v>0.98228510000000002</v>
      </c>
      <c r="Q6619">
        <v>0.16988789999999901</v>
      </c>
      <c r="R6619">
        <v>7.9082650000000004E-2</v>
      </c>
      <c r="S6619">
        <v>3.068848</v>
      </c>
      <c r="T6619">
        <v>-0.1014081</v>
      </c>
      <c r="U6619">
        <v>3.1555180000000002E-2</v>
      </c>
      <c r="V6619">
        <v>-0.1042882</v>
      </c>
      <c r="W6619">
        <v>0.17804919999999999</v>
      </c>
      <c r="X6619">
        <v>0.97847969999999895</v>
      </c>
      <c r="Y6619">
        <v>-3.545098E-2</v>
      </c>
      <c r="Z6619">
        <v>1.3537969999999999E-3</v>
      </c>
      <c r="AA6619">
        <v>0.99937050000000005</v>
      </c>
      <c r="AB6619">
        <v>25</v>
      </c>
      <c r="AC6619">
        <v>33.508399999999902</v>
      </c>
      <c r="AD6619">
        <v>-1.1110436712881999</v>
      </c>
      <c r="AE6619">
        <v>0.347959999999993</v>
      </c>
      <c r="AF6619">
        <v>-1.19113988731563</v>
      </c>
      <c r="AG6619">
        <v>-1.1110436712881999</v>
      </c>
      <c r="AH6619">
        <v>33.452210111791402</v>
      </c>
      <c r="AI6619">
        <v>91.901053743070094</v>
      </c>
      <c r="AJ6619">
        <v>92.039281323172403</v>
      </c>
      <c r="AK6619">
        <v>33.491843688189199</v>
      </c>
      <c r="AL6619">
        <v>79.743848565154394</v>
      </c>
      <c r="AM6619">
        <v>96.083724498080201</v>
      </c>
      <c r="AN6619">
        <v>1.0000000347959801</v>
      </c>
    </row>
    <row r="6620" spans="1:40" x14ac:dyDescent="0.25">
      <c r="A6620" t="str">
        <f>"20190304155234877"</f>
        <v>20190304155234877</v>
      </c>
      <c r="B6620" t="str">
        <f>"1551685954873889"</f>
        <v>1551685954873889</v>
      </c>
      <c r="C6620" t="s">
        <v>40</v>
      </c>
      <c r="D6620">
        <v>4.9595479999999998</v>
      </c>
      <c r="E6620">
        <v>0.52771579999999996</v>
      </c>
      <c r="F6620" t="s">
        <v>106</v>
      </c>
      <c r="G6620">
        <v>-225.99610000000001</v>
      </c>
      <c r="H6620" s="1">
        <v>-2.1760520000000002E-6</v>
      </c>
      <c r="I6620">
        <v>-62.567950000000003</v>
      </c>
      <c r="J6620">
        <v>-263.488</v>
      </c>
      <c r="K6620">
        <v>1.110978</v>
      </c>
      <c r="L6620">
        <v>-62.927430000000001</v>
      </c>
      <c r="M6620">
        <v>0.99968440000000003</v>
      </c>
      <c r="N6620">
        <v>-8.6121630000000008E-3</v>
      </c>
      <c r="O6620">
        <v>-2.3602789999999998E-2</v>
      </c>
      <c r="P6620">
        <v>0.98208870000000004</v>
      </c>
      <c r="Q6620">
        <v>0.17049210000000001</v>
      </c>
      <c r="R6620">
        <v>8.0215599999999998E-2</v>
      </c>
      <c r="S6620">
        <v>3.067383</v>
      </c>
      <c r="T6620">
        <v>-9.0283039999999995E-2</v>
      </c>
      <c r="U6620">
        <v>2.8839110000000001E-2</v>
      </c>
      <c r="V6620">
        <v>-0.1038176</v>
      </c>
      <c r="W6620">
        <v>0.17866850000000001</v>
      </c>
      <c r="X6620">
        <v>0.97841679999999998</v>
      </c>
      <c r="Y6620">
        <v>-3.2977869999999999E-2</v>
      </c>
      <c r="Z6620">
        <v>1.118522E-3</v>
      </c>
      <c r="AA6620">
        <v>0.99945550000000005</v>
      </c>
      <c r="AB6620">
        <v>25</v>
      </c>
      <c r="AC6620">
        <v>37.491900000000001</v>
      </c>
      <c r="AD6620">
        <v>-1.1109801760519999</v>
      </c>
      <c r="AE6620">
        <v>0.35948000000000402</v>
      </c>
      <c r="AF6620">
        <v>-1.2432344687369099</v>
      </c>
      <c r="AG6620">
        <v>-1.1109801760519999</v>
      </c>
      <c r="AH6620">
        <v>37.440096860734698</v>
      </c>
      <c r="AI6620">
        <v>91.698734068197695</v>
      </c>
      <c r="AJ6620">
        <v>91.901862715660201</v>
      </c>
      <c r="AK6620">
        <v>37.4772032285899</v>
      </c>
      <c r="AL6620">
        <v>79.707786499242502</v>
      </c>
      <c r="AM6620">
        <v>96.056862681121103</v>
      </c>
      <c r="AN6620">
        <v>0.99999998074212404</v>
      </c>
    </row>
    <row r="6621" spans="1:40" x14ac:dyDescent="0.25">
      <c r="A6621" t="str">
        <f>"20190304155234889"</f>
        <v>20190304155234889</v>
      </c>
      <c r="B6621" t="str">
        <f>"1551685954883648"</f>
        <v>1551685954883648</v>
      </c>
      <c r="C6621" t="s">
        <v>40</v>
      </c>
      <c r="D6621">
        <v>4.8980699999999997</v>
      </c>
      <c r="E6621">
        <v>0.52792810000000001</v>
      </c>
      <c r="F6621" t="s">
        <v>107</v>
      </c>
      <c r="G6621">
        <v>-230.29650000000001</v>
      </c>
      <c r="H6621" s="1">
        <v>2.6113470000000001E-7</v>
      </c>
      <c r="I6621">
        <v>-62.730789999999999</v>
      </c>
      <c r="J6621">
        <v>-263.3603</v>
      </c>
      <c r="K6621">
        <v>1.1109420000000001</v>
      </c>
      <c r="L6621">
        <v>-62.929690000000001</v>
      </c>
      <c r="M6621">
        <v>0.99970219999999999</v>
      </c>
      <c r="N6621">
        <v>-8.6109050000000003E-3</v>
      </c>
      <c r="O6621">
        <v>-2.2839769999999999E-2</v>
      </c>
      <c r="P6621">
        <v>0.98203300000000004</v>
      </c>
      <c r="Q6621">
        <v>0.170550799999999</v>
      </c>
      <c r="R6621">
        <v>8.0772090000000005E-2</v>
      </c>
      <c r="S6621">
        <v>3.0710449999999998</v>
      </c>
      <c r="T6621">
        <v>-0.1027931</v>
      </c>
      <c r="U6621">
        <v>1.818848E-2</v>
      </c>
      <c r="V6621">
        <v>-0.103609199999999</v>
      </c>
      <c r="W6621">
        <v>0.17873559999999999</v>
      </c>
      <c r="X6621">
        <v>0.97842660000000004</v>
      </c>
      <c r="Y6621">
        <v>-2.873384E-2</v>
      </c>
      <c r="Z6621">
        <v>1.172092E-3</v>
      </c>
      <c r="AA6621">
        <v>0.99958639999999999</v>
      </c>
      <c r="AB6621">
        <v>25</v>
      </c>
      <c r="AC6621">
        <v>33.063799999999901</v>
      </c>
      <c r="AD6621">
        <v>-1.1109417388653</v>
      </c>
      <c r="AE6621">
        <v>0.19890000000000099</v>
      </c>
      <c r="AF6621">
        <v>-0.95296976460365501</v>
      </c>
      <c r="AG6621">
        <v>-1.1109417388653</v>
      </c>
      <c r="AH6621">
        <v>33.013362003792402</v>
      </c>
      <c r="AI6621">
        <v>91.926546882093902</v>
      </c>
      <c r="AJ6621">
        <v>91.653451335835797</v>
      </c>
      <c r="AK6621">
        <v>33.0457926779318</v>
      </c>
      <c r="AL6621">
        <v>79.703878696767902</v>
      </c>
      <c r="AM6621">
        <v>96.044734347835401</v>
      </c>
      <c r="AN6621">
        <v>0.99999994630977795</v>
      </c>
    </row>
    <row r="6622" spans="1:40" x14ac:dyDescent="0.25">
      <c r="A6622" t="str">
        <f>"20190304155234901"</f>
        <v>20190304155234901</v>
      </c>
      <c r="B6622" t="str">
        <f>"1551685954893407"</f>
        <v>1551685954893407</v>
      </c>
      <c r="C6622" t="s">
        <v>40</v>
      </c>
      <c r="D6622">
        <v>4.9214060000000002</v>
      </c>
      <c r="E6622">
        <v>0.52810729999999995</v>
      </c>
      <c r="F6622" t="s">
        <v>107</v>
      </c>
      <c r="G6622">
        <v>-231.26589999999999</v>
      </c>
      <c r="H6622" s="1">
        <v>-1.5734529999999999E-7</v>
      </c>
      <c r="I6622">
        <v>-62.740549999999999</v>
      </c>
      <c r="J6622">
        <v>-263.22640000000001</v>
      </c>
      <c r="K6622">
        <v>1.1109070000000001</v>
      </c>
      <c r="L6622">
        <v>-62.93188</v>
      </c>
      <c r="M6622">
        <v>0.99971929999999998</v>
      </c>
      <c r="N6622">
        <v>-8.6099279999999993E-3</v>
      </c>
      <c r="O6622">
        <v>-2.2081279999999998E-2</v>
      </c>
      <c r="P6622">
        <v>0.98192639999999998</v>
      </c>
      <c r="Q6622">
        <v>0.170762</v>
      </c>
      <c r="R6622">
        <v>8.1614399999999906E-2</v>
      </c>
      <c r="S6622">
        <v>3.071869</v>
      </c>
      <c r="T6622">
        <v>-0.1063323</v>
      </c>
      <c r="U6622">
        <v>1.8096919999999999E-2</v>
      </c>
      <c r="V6622">
        <v>-0.1036899</v>
      </c>
      <c r="W6622">
        <v>0.17895420000000001</v>
      </c>
      <c r="X6622">
        <v>0.97837819999999998</v>
      </c>
      <c r="Y6622">
        <v>-2.7942990000000001E-2</v>
      </c>
      <c r="Z6622">
        <v>1.177799E-3</v>
      </c>
      <c r="AA6622">
        <v>0.99960879999999996</v>
      </c>
      <c r="AB6622">
        <v>25</v>
      </c>
      <c r="AC6622">
        <v>31.9605</v>
      </c>
      <c r="AD6622">
        <v>-1.11090715734529</v>
      </c>
      <c r="AE6622">
        <v>0.19133000000000699</v>
      </c>
      <c r="AF6622">
        <v>-0.89595568787339597</v>
      </c>
      <c r="AG6622">
        <v>-1.11090715734529</v>
      </c>
      <c r="AH6622">
        <v>31.909930540663598</v>
      </c>
      <c r="AI6622">
        <v>91.9930958810058</v>
      </c>
      <c r="AJ6622">
        <v>91.608307982418395</v>
      </c>
      <c r="AK6622">
        <v>31.941830229604101</v>
      </c>
      <c r="AL6622">
        <v>79.691149692552798</v>
      </c>
      <c r="AM6622">
        <v>96.049704665276593</v>
      </c>
      <c r="AN6622">
        <v>1.0000000516474401</v>
      </c>
    </row>
    <row r="6623" spans="1:40" x14ac:dyDescent="0.25">
      <c r="A6623" t="str">
        <f>"20190304155234912"</f>
        <v>20190304155234912</v>
      </c>
      <c r="B6623" t="str">
        <f>"1551685954903168"</f>
        <v>1551685954903168</v>
      </c>
      <c r="C6623" t="s">
        <v>40</v>
      </c>
      <c r="D6623">
        <v>5.0585129999999996</v>
      </c>
      <c r="E6623">
        <v>0.52862100000000001</v>
      </c>
      <c r="F6623" t="s">
        <v>107</v>
      </c>
      <c r="G6623">
        <v>-231.33770000000001</v>
      </c>
      <c r="H6623" s="1">
        <v>-1.8552119999999999E-7</v>
      </c>
      <c r="I6623">
        <v>-62.73068</v>
      </c>
      <c r="J6623">
        <v>-263.10019999999997</v>
      </c>
      <c r="K6623">
        <v>1.1108739999999999</v>
      </c>
      <c r="L6623">
        <v>-62.933929999999997</v>
      </c>
      <c r="M6623">
        <v>0.99973429999999996</v>
      </c>
      <c r="N6623">
        <v>-8.6091650000000002E-3</v>
      </c>
      <c r="O6623">
        <v>-2.1387159999999999E-2</v>
      </c>
      <c r="P6623">
        <v>0.9819</v>
      </c>
      <c r="Q6623">
        <v>0.17071529999999999</v>
      </c>
      <c r="R6623">
        <v>8.2029050000000006E-2</v>
      </c>
      <c r="S6623">
        <v>3.072235</v>
      </c>
      <c r="T6623">
        <v>-0.1070276</v>
      </c>
      <c r="U6623">
        <v>1.9378659999999999E-2</v>
      </c>
      <c r="V6623">
        <v>-0.1034089</v>
      </c>
      <c r="W6623">
        <v>0.1789162</v>
      </c>
      <c r="X6623">
        <v>0.97841480000000003</v>
      </c>
      <c r="Y6623">
        <v>-2.7665349999999998E-2</v>
      </c>
      <c r="Z6623">
        <v>1.1615849999999999E-3</v>
      </c>
      <c r="AA6623">
        <v>0.99961659999999997</v>
      </c>
      <c r="AB6623">
        <v>25</v>
      </c>
      <c r="AC6623">
        <v>31.7624999999999</v>
      </c>
      <c r="AD6623">
        <v>-1.1108741855212001</v>
      </c>
      <c r="AE6623">
        <v>0.20324999999999699</v>
      </c>
      <c r="AF6623">
        <v>-0.88146011953769698</v>
      </c>
      <c r="AG6623">
        <v>-1.1108741855212001</v>
      </c>
      <c r="AH6623">
        <v>31.712098367465401</v>
      </c>
      <c r="AI6623">
        <v>92.005475747260704</v>
      </c>
      <c r="AJ6623">
        <v>91.592166611939504</v>
      </c>
      <c r="AK6623">
        <v>31.7437898850499</v>
      </c>
      <c r="AL6623">
        <v>79.693361734439605</v>
      </c>
      <c r="AM6623">
        <v>96.033207005475901</v>
      </c>
      <c r="AN6623">
        <v>0.99999996404034397</v>
      </c>
    </row>
    <row r="6624" spans="1:40" x14ac:dyDescent="0.25">
      <c r="A6624" t="str">
        <f>"20190304155234924"</f>
        <v>20190304155234924</v>
      </c>
      <c r="B6624" t="str">
        <f>"1551685954913905"</f>
        <v>1551685954913905</v>
      </c>
      <c r="C6624" t="s">
        <v>40</v>
      </c>
      <c r="D6624">
        <v>4.9302760000000001</v>
      </c>
      <c r="E6624">
        <v>0.52883139999999995</v>
      </c>
      <c r="F6624" t="s">
        <v>107</v>
      </c>
      <c r="G6624">
        <v>-230.8382</v>
      </c>
      <c r="H6624" s="1">
        <v>1.9921E-8</v>
      </c>
      <c r="I6624">
        <v>-62.764029999999998</v>
      </c>
      <c r="J6624">
        <v>-262.96300000000002</v>
      </c>
      <c r="K6624">
        <v>1.1108359999999999</v>
      </c>
      <c r="L6624">
        <v>-62.936070000000001</v>
      </c>
      <c r="M6624">
        <v>0.99974960000000002</v>
      </c>
      <c r="N6624">
        <v>-8.6085420000000003E-3</v>
      </c>
      <c r="O6624">
        <v>-2.0659440000000001E-2</v>
      </c>
      <c r="P6624">
        <v>0.98183129999999996</v>
      </c>
      <c r="Q6624">
        <v>0.1707303</v>
      </c>
      <c r="R6624">
        <v>8.2816699999999993E-2</v>
      </c>
      <c r="S6624">
        <v>3.0723569999999998</v>
      </c>
      <c r="T6624">
        <v>-0.10578990000000001</v>
      </c>
      <c r="U6624">
        <v>1.6174319999999999E-2</v>
      </c>
      <c r="V6624">
        <v>-0.1034658</v>
      </c>
      <c r="W6624">
        <v>0.17893919999999999</v>
      </c>
      <c r="X6624">
        <v>0.97840459999999996</v>
      </c>
      <c r="Y6624">
        <v>-2.5897119999999999E-2</v>
      </c>
      <c r="Z6624">
        <v>1.090534E-3</v>
      </c>
      <c r="AA6624">
        <v>0.999664</v>
      </c>
      <c r="AB6624">
        <v>25</v>
      </c>
      <c r="AC6624">
        <v>32.124799999999901</v>
      </c>
      <c r="AD6624">
        <v>-1.110835980079</v>
      </c>
      <c r="AE6624">
        <v>0.17203999999998801</v>
      </c>
      <c r="AF6624">
        <v>-0.83471016274068599</v>
      </c>
      <c r="AG6624">
        <v>-1.110835980079</v>
      </c>
      <c r="AH6624">
        <v>32.0760368143685</v>
      </c>
      <c r="AI6624">
        <v>91.982765959006201</v>
      </c>
      <c r="AJ6624">
        <v>91.490663528524607</v>
      </c>
      <c r="AK6624">
        <v>32.106118347554002</v>
      </c>
      <c r="AL6624">
        <v>79.692022536560103</v>
      </c>
      <c r="AM6624">
        <v>96.036564695724493</v>
      </c>
      <c r="AN6624">
        <v>0.99999998518371902</v>
      </c>
    </row>
    <row r="6625" spans="1:40" x14ac:dyDescent="0.25">
      <c r="A6625" t="str">
        <f>"20190304155234936"</f>
        <v>20190304155234936</v>
      </c>
      <c r="B6625" t="str">
        <f>"1551685954933423"</f>
        <v>1551685954933423</v>
      </c>
      <c r="C6625" t="s">
        <v>40</v>
      </c>
      <c r="D6625">
        <v>4.9214330000000004</v>
      </c>
      <c r="E6625">
        <v>0.52919859999999996</v>
      </c>
      <c r="F6625" t="s">
        <v>107</v>
      </c>
      <c r="G6625">
        <v>-231.40289999999999</v>
      </c>
      <c r="H6625" s="1">
        <v>-2.2183309999999999E-7</v>
      </c>
      <c r="I6625">
        <v>-62.762050000000002</v>
      </c>
      <c r="J6625">
        <v>-262.83449999999999</v>
      </c>
      <c r="K6625">
        <v>1.110803</v>
      </c>
      <c r="L6625">
        <v>-62.938020000000002</v>
      </c>
      <c r="M6625">
        <v>0.9997627</v>
      </c>
      <c r="N6625">
        <v>-8.6081760000000004E-3</v>
      </c>
      <c r="O6625">
        <v>-2.0015390000000001E-2</v>
      </c>
      <c r="P6625">
        <v>0.98180270000000003</v>
      </c>
      <c r="Q6625">
        <v>0.17072560000000001</v>
      </c>
      <c r="R6625">
        <v>8.3165939999999994E-2</v>
      </c>
      <c r="S6625">
        <v>3.0729060000000001</v>
      </c>
      <c r="T6625">
        <v>-0.1081588</v>
      </c>
      <c r="U6625">
        <v>1.6937259999999999E-2</v>
      </c>
      <c r="V6625">
        <v>-0.1031686</v>
      </c>
      <c r="W6625">
        <v>0.1789434</v>
      </c>
      <c r="X6625">
        <v>0.97843519999999995</v>
      </c>
      <c r="Y6625">
        <v>-2.549972E-2</v>
      </c>
      <c r="Z6625">
        <v>1.0904E-3</v>
      </c>
      <c r="AA6625">
        <v>0.99967430000000002</v>
      </c>
      <c r="AB6625">
        <v>25</v>
      </c>
      <c r="AC6625">
        <v>31.4316</v>
      </c>
      <c r="AD6625">
        <v>-1.1108032218331001</v>
      </c>
      <c r="AE6625">
        <v>0.17596999999999199</v>
      </c>
      <c r="AF6625">
        <v>-0.80406953142746895</v>
      </c>
      <c r="AG6625">
        <v>-1.1108032218331001</v>
      </c>
      <c r="AH6625">
        <v>31.382586953604299</v>
      </c>
      <c r="AI6625">
        <v>92.026503553948004</v>
      </c>
      <c r="AJ6625">
        <v>91.467683769896894</v>
      </c>
      <c r="AK6625">
        <v>31.412532141002899</v>
      </c>
      <c r="AL6625">
        <v>79.691777793669999</v>
      </c>
      <c r="AM6625">
        <v>96.019165601800296</v>
      </c>
      <c r="AN6625">
        <v>0.99999997051427902</v>
      </c>
    </row>
    <row r="6626" spans="1:40" x14ac:dyDescent="0.25">
      <c r="A6626" t="str">
        <f>"20190304155234946"</f>
        <v>20190304155234946</v>
      </c>
      <c r="B6626" t="str">
        <f>"1551685954943185"</f>
        <v>1551685954943185</v>
      </c>
      <c r="C6626" t="s">
        <v>40</v>
      </c>
      <c r="D6626">
        <v>4.9286659999999998</v>
      </c>
      <c r="E6626">
        <v>0.5294721</v>
      </c>
      <c r="F6626" t="s">
        <v>107</v>
      </c>
      <c r="G6626">
        <v>-232.26689999999999</v>
      </c>
      <c r="H6626" s="1">
        <v>-5.9979109999999997E-7</v>
      </c>
      <c r="I6626">
        <v>-62.789560000000002</v>
      </c>
      <c r="J6626">
        <v>-262.72300000000001</v>
      </c>
      <c r="K6626">
        <v>1.1107720000000001</v>
      </c>
      <c r="L6626">
        <v>-62.9396699999999</v>
      </c>
      <c r="M6626">
        <v>0.99977349999999998</v>
      </c>
      <c r="N6626">
        <v>-8.6079429999999998E-3</v>
      </c>
      <c r="O6626">
        <v>-1.9467149999999999E-2</v>
      </c>
      <c r="P6626">
        <v>0.98173869999999996</v>
      </c>
      <c r="Q6626">
        <v>0.17080819999999999</v>
      </c>
      <c r="R6626">
        <v>8.3748699999999995E-2</v>
      </c>
      <c r="S6626">
        <v>3.0737920000000001</v>
      </c>
      <c r="T6626">
        <v>-0.1116992</v>
      </c>
      <c r="U6626">
        <v>1.49231E-2</v>
      </c>
      <c r="V6626">
        <v>-0.1032</v>
      </c>
      <c r="W6626">
        <v>0.179033</v>
      </c>
      <c r="X6626">
        <v>0.97841549999999999</v>
      </c>
      <c r="Y6626">
        <v>-2.429429E-2</v>
      </c>
      <c r="Z6626">
        <v>1.0854980000000001E-3</v>
      </c>
      <c r="AA6626">
        <v>0.99970420000000004</v>
      </c>
      <c r="AB6626">
        <v>25</v>
      </c>
      <c r="AC6626">
        <v>30.456099999999999</v>
      </c>
      <c r="AD6626">
        <v>-1.11077259979109</v>
      </c>
      <c r="AE6626">
        <v>0.150109999999997</v>
      </c>
      <c r="AF6626">
        <v>-0.74200998755807301</v>
      </c>
      <c r="AG6626">
        <v>-1.11077259979109</v>
      </c>
      <c r="AH6626">
        <v>30.406960790577099</v>
      </c>
      <c r="AI6626">
        <v>92.091474386925199</v>
      </c>
      <c r="AJ6626">
        <v>91.397890603875595</v>
      </c>
      <c r="AK6626">
        <v>30.436288523894898</v>
      </c>
      <c r="AL6626">
        <v>79.686559852394396</v>
      </c>
      <c r="AM6626">
        <v>96.021104456244203</v>
      </c>
      <c r="AN6626">
        <v>0.99999997286462405</v>
      </c>
    </row>
    <row r="6627" spans="1:40" x14ac:dyDescent="0.25">
      <c r="A6627" t="str">
        <f>"20190304155234955"</f>
        <v>20190304155234955</v>
      </c>
      <c r="B6627" t="str">
        <f>"1551685954943185"</f>
        <v>1551685954943185</v>
      </c>
      <c r="C6627" t="s">
        <v>40</v>
      </c>
      <c r="D6627">
        <v>4.9286659999999998</v>
      </c>
      <c r="E6627">
        <v>0.5294721</v>
      </c>
      <c r="F6627" t="s">
        <v>107</v>
      </c>
      <c r="G6627">
        <v>-232.00280000000001</v>
      </c>
      <c r="H6627" s="1">
        <v>-4.8772470000000003E-7</v>
      </c>
      <c r="I6627">
        <v>-62.794130000000003</v>
      </c>
      <c r="J6627">
        <v>-262.61500000000001</v>
      </c>
      <c r="K6627">
        <v>1.1107419999999999</v>
      </c>
      <c r="L6627">
        <v>-62.941189999999999</v>
      </c>
      <c r="M6627">
        <v>0.99978299999999998</v>
      </c>
      <c r="N6627">
        <v>-8.6078700000000001E-3</v>
      </c>
      <c r="O6627">
        <v>-1.8970879999999999E-2</v>
      </c>
      <c r="P6627">
        <v>0.98168739999999999</v>
      </c>
      <c r="Q6627">
        <v>0.17097319999999999</v>
      </c>
      <c r="R6627">
        <v>8.4012569999999995E-2</v>
      </c>
      <c r="S6627">
        <v>3.0739139999999998</v>
      </c>
      <c r="T6627">
        <v>-0.1111457</v>
      </c>
      <c r="U6627">
        <v>1.4556879999999999E-2</v>
      </c>
      <c r="V6627">
        <v>-0.102963899999999</v>
      </c>
      <c r="W6627">
        <v>0.17920559999999999</v>
      </c>
      <c r="X6627">
        <v>0.97840879999999997</v>
      </c>
      <c r="Y6627">
        <v>-2.367973E-2</v>
      </c>
      <c r="Z6627">
        <v>1.0523469999999999E-3</v>
      </c>
      <c r="AA6627">
        <v>0.99971900000000002</v>
      </c>
      <c r="AB6627">
        <v>25</v>
      </c>
      <c r="AC6627">
        <v>30.612200000000001</v>
      </c>
      <c r="AD6627">
        <v>-1.1107424877247001</v>
      </c>
      <c r="AE6627">
        <v>0.147059999999996</v>
      </c>
      <c r="AF6627">
        <v>-0.72683851309469105</v>
      </c>
      <c r="AG6627">
        <v>-1.1107424877247001</v>
      </c>
      <c r="AH6627">
        <v>30.563662865230299</v>
      </c>
      <c r="AI6627">
        <v>92.080735450437402</v>
      </c>
      <c r="AJ6627">
        <v>91.362301743964395</v>
      </c>
      <c r="AK6627">
        <v>30.592475068840301</v>
      </c>
      <c r="AL6627">
        <v>79.676508276013905</v>
      </c>
      <c r="AM6627">
        <v>96.007471115341602</v>
      </c>
      <c r="AN6627">
        <v>0.99999999584600496</v>
      </c>
    </row>
    <row r="6628" spans="1:40" x14ac:dyDescent="0.25">
      <c r="A6628" t="str">
        <f>"20190304155234966"</f>
        <v>20190304155234966</v>
      </c>
      <c r="B6628" t="str">
        <f>"1551685954963680"</f>
        <v>1551685954963680</v>
      </c>
      <c r="C6628" t="s">
        <v>40</v>
      </c>
      <c r="D6628">
        <v>4.9524019999999904</v>
      </c>
      <c r="E6628">
        <v>0.53002360000000004</v>
      </c>
      <c r="F6628" t="s">
        <v>107</v>
      </c>
      <c r="G6628">
        <v>-231.7619</v>
      </c>
      <c r="H6628" s="1">
        <v>-3.8198809999999898E-7</v>
      </c>
      <c r="I6628">
        <v>-62.785220000000002</v>
      </c>
      <c r="J6628">
        <v>-262.48649999999998</v>
      </c>
      <c r="K6628">
        <v>1.110703</v>
      </c>
      <c r="L6628">
        <v>-62.943049999999999</v>
      </c>
      <c r="M6628">
        <v>0.99979390000000001</v>
      </c>
      <c r="N6628">
        <v>-8.6078519999999992E-3</v>
      </c>
      <c r="O6628">
        <v>-1.838907E-2</v>
      </c>
      <c r="P6628">
        <v>0.98165709999999995</v>
      </c>
      <c r="Q6628">
        <v>0.17082839999999999</v>
      </c>
      <c r="R6628">
        <v>8.4659380000000006E-2</v>
      </c>
      <c r="S6628">
        <v>3.0739139999999998</v>
      </c>
      <c r="T6628">
        <v>-0.110664</v>
      </c>
      <c r="U6628">
        <v>1.5533450000000001E-2</v>
      </c>
      <c r="V6628">
        <v>-0.1030248</v>
      </c>
      <c r="W6628">
        <v>0.17906910000000001</v>
      </c>
      <c r="X6628">
        <v>0.97842739999999995</v>
      </c>
      <c r="Y6628">
        <v>-2.3416220000000001E-2</v>
      </c>
      <c r="Z6628">
        <v>1.025717E-3</v>
      </c>
      <c r="AA6628">
        <v>0.99972530000000004</v>
      </c>
      <c r="AB6628">
        <v>25</v>
      </c>
      <c r="AC6628">
        <v>30.724599999999899</v>
      </c>
      <c r="AD6628">
        <v>-1.1107033819881</v>
      </c>
      <c r="AE6628">
        <v>0.15783000000000399</v>
      </c>
      <c r="AF6628">
        <v>-0.72187767955226201</v>
      </c>
      <c r="AG6628">
        <v>-1.1107033819881</v>
      </c>
      <c r="AH6628">
        <v>30.676413612889601</v>
      </c>
      <c r="AI6628">
        <v>92.073033696621295</v>
      </c>
      <c r="AJ6628">
        <v>91.348036080013003</v>
      </c>
      <c r="AK6628">
        <v>30.7050015719927</v>
      </c>
      <c r="AL6628">
        <v>79.684457934740806</v>
      </c>
      <c r="AM6628">
        <v>96.010884910393102</v>
      </c>
      <c r="AN6628">
        <v>1.0000000145303001</v>
      </c>
    </row>
    <row r="6629" spans="1:40" x14ac:dyDescent="0.25">
      <c r="A6629" t="str">
        <f>"20190304155234978"</f>
        <v>20190304155234978</v>
      </c>
      <c r="B6629" t="str">
        <f>"1551685954973440"</f>
        <v>1551685954973440</v>
      </c>
      <c r="C6629" t="s">
        <v>40</v>
      </c>
      <c r="D6629">
        <v>4.8690850000000001</v>
      </c>
      <c r="E6629">
        <v>0.53024969999999905</v>
      </c>
      <c r="F6629" t="s">
        <v>107</v>
      </c>
      <c r="G6629">
        <v>-232.23769999999999</v>
      </c>
      <c r="H6629" s="1">
        <v>-5.9373339999999996E-7</v>
      </c>
      <c r="I6629">
        <v>-62.813890000000001</v>
      </c>
      <c r="J6629">
        <v>-262.35899999999998</v>
      </c>
      <c r="K6629">
        <v>1.110668</v>
      </c>
      <c r="L6629">
        <v>-62.944760000000002</v>
      </c>
      <c r="M6629">
        <v>0.99980349999999996</v>
      </c>
      <c r="N6629">
        <v>-8.6079999999999993E-3</v>
      </c>
      <c r="O6629">
        <v>-1.785745E-2</v>
      </c>
      <c r="P6629">
        <v>0.98162439999999995</v>
      </c>
      <c r="Q6629">
        <v>0.1708519</v>
      </c>
      <c r="R6629">
        <v>8.4991460000000005E-2</v>
      </c>
      <c r="S6629">
        <v>3.0745849999999999</v>
      </c>
      <c r="T6629">
        <v>-0.1128955</v>
      </c>
      <c r="U6629">
        <v>1.312256E-2</v>
      </c>
      <c r="V6629">
        <v>-0.1028208</v>
      </c>
      <c r="W6629">
        <v>0.17910200000000001</v>
      </c>
      <c r="X6629">
        <v>0.97844279999999995</v>
      </c>
      <c r="Y6629">
        <v>-2.2099870000000001E-2</v>
      </c>
      <c r="Z6629">
        <v>1.0025419999999999E-3</v>
      </c>
      <c r="AA6629">
        <v>0.99975530000000001</v>
      </c>
      <c r="AB6629">
        <v>25</v>
      </c>
      <c r="AC6629">
        <v>30.121300000000002</v>
      </c>
      <c r="AD6629">
        <v>-1.1106685937334</v>
      </c>
      <c r="AE6629">
        <v>0.13086999999999399</v>
      </c>
      <c r="AF6629">
        <v>-0.667850647272341</v>
      </c>
      <c r="AG6629">
        <v>-1.1106685937334</v>
      </c>
      <c r="AH6629">
        <v>30.0732716739426</v>
      </c>
      <c r="AI6629">
        <v>92.114570356773498</v>
      </c>
      <c r="AJ6629">
        <v>91.272183994876897</v>
      </c>
      <c r="AK6629">
        <v>30.101184003074099</v>
      </c>
      <c r="AL6629">
        <v>79.682541548473907</v>
      </c>
      <c r="AM6629">
        <v>95.998975872298999</v>
      </c>
      <c r="AN6629">
        <v>0.99999997809423902</v>
      </c>
    </row>
    <row r="6630" spans="1:40" x14ac:dyDescent="0.25">
      <c r="A6630" t="str">
        <f>"20190304155234990"</f>
        <v>20190304155234990</v>
      </c>
      <c r="B6630" t="str">
        <f>"1551685954983200"</f>
        <v>1551685954983200</v>
      </c>
      <c r="C6630" t="s">
        <v>40</v>
      </c>
      <c r="D6630">
        <v>4.9575310000000004</v>
      </c>
      <c r="E6630">
        <v>0.53045679999999995</v>
      </c>
      <c r="F6630" t="s">
        <v>107</v>
      </c>
      <c r="G6630">
        <v>-232.37629999999999</v>
      </c>
      <c r="H6630" s="1">
        <v>-6.5571349999999998E-7</v>
      </c>
      <c r="I6630">
        <v>-62.823300000000003</v>
      </c>
      <c r="J6630">
        <v>-262.22859999999997</v>
      </c>
      <c r="K6630">
        <v>1.1106320000000001</v>
      </c>
      <c r="L6630">
        <v>-62.946530000000003</v>
      </c>
      <c r="M6630">
        <v>0.9998129</v>
      </c>
      <c r="N6630">
        <v>-8.6082350000000005E-3</v>
      </c>
      <c r="O6630">
        <v>-1.7324760000000002E-2</v>
      </c>
      <c r="P6630">
        <v>0.9815798</v>
      </c>
      <c r="Q6630">
        <v>0.1709281</v>
      </c>
      <c r="R6630">
        <v>8.5349690000000006E-2</v>
      </c>
      <c r="S6630">
        <v>3.0749209999999998</v>
      </c>
      <c r="T6630">
        <v>-0.1139063</v>
      </c>
      <c r="U6630">
        <v>1.2451169999999999E-2</v>
      </c>
      <c r="V6630">
        <v>-0.10264089999999999</v>
      </c>
      <c r="W6630">
        <v>0.17918729999999999</v>
      </c>
      <c r="X6630">
        <v>0.97844609999999999</v>
      </c>
      <c r="Y6630">
        <v>-2.1348840000000001E-2</v>
      </c>
      <c r="Z6630">
        <v>9.7963960000000002E-4</v>
      </c>
      <c r="AA6630">
        <v>0.99977159999999998</v>
      </c>
      <c r="AB6630">
        <v>25</v>
      </c>
      <c r="AC6630">
        <v>29.8522999999999</v>
      </c>
      <c r="AD6630">
        <v>-1.1106326557135</v>
      </c>
      <c r="AE6630">
        <v>0.12322999999999899</v>
      </c>
      <c r="AF6630">
        <v>-0.63952938420970096</v>
      </c>
      <c r="AG6630">
        <v>-1.1106326557135</v>
      </c>
      <c r="AH6630">
        <v>29.804430977063799</v>
      </c>
      <c r="AI6630">
        <v>92.133592476298404</v>
      </c>
      <c r="AJ6630">
        <v>91.229237105149295</v>
      </c>
      <c r="AK6630">
        <v>29.831972924963701</v>
      </c>
      <c r="AL6630">
        <v>79.677574153445306</v>
      </c>
      <c r="AM6630">
        <v>95.988536079196393</v>
      </c>
      <c r="AN6630">
        <v>1.0000000067196499</v>
      </c>
    </row>
    <row r="6631" spans="1:40" x14ac:dyDescent="0.25">
      <c r="A6631" t="str">
        <f>"20190304155235000"</f>
        <v>20190304155235000</v>
      </c>
      <c r="B6631" t="str">
        <f>"1551685954993936"</f>
        <v>1551685954993936</v>
      </c>
      <c r="C6631" t="s">
        <v>40</v>
      </c>
      <c r="D6631">
        <v>4.9496900000000004</v>
      </c>
      <c r="E6631">
        <v>0.53063879999999997</v>
      </c>
      <c r="F6631" t="s">
        <v>107</v>
      </c>
      <c r="G6631">
        <v>-232.1121</v>
      </c>
      <c r="H6631" s="1">
        <v>-5.4370830000000002E-7</v>
      </c>
      <c r="I6631">
        <v>-62.828409999999998</v>
      </c>
      <c r="J6631">
        <v>-262.1035</v>
      </c>
      <c r="K6631">
        <v>1.1106020000000001</v>
      </c>
      <c r="L6631">
        <v>-62.948180000000001</v>
      </c>
      <c r="M6631">
        <v>0.99982110000000002</v>
      </c>
      <c r="N6631">
        <v>-8.6086169999999903E-3</v>
      </c>
      <c r="O6631">
        <v>-1.6848330000000002E-2</v>
      </c>
      <c r="P6631">
        <v>0.98150669999999995</v>
      </c>
      <c r="Q6631">
        <v>0.1711136</v>
      </c>
      <c r="R6631">
        <v>8.5820019999999997E-2</v>
      </c>
      <c r="S6631">
        <v>3.0750120000000001</v>
      </c>
      <c r="T6631">
        <v>-0.1133996</v>
      </c>
      <c r="U6631">
        <v>1.205444E-2</v>
      </c>
      <c r="V6631">
        <v>-0.10262930000000001</v>
      </c>
      <c r="W6631">
        <v>0.17938109999999999</v>
      </c>
      <c r="X6631">
        <v>0.97841180000000005</v>
      </c>
      <c r="Y6631">
        <v>-2.0744240000000001E-2</v>
      </c>
      <c r="Z6631">
        <v>9.4778780000000001E-4</v>
      </c>
      <c r="AA6631">
        <v>0.99978440000000002</v>
      </c>
      <c r="AB6631">
        <v>25</v>
      </c>
      <c r="AC6631">
        <v>29.991399999999999</v>
      </c>
      <c r="AD6631">
        <v>-1.1106025437083</v>
      </c>
      <c r="AE6631">
        <v>0.11977000000000899</v>
      </c>
      <c r="AF6631">
        <v>-0.62422071186380301</v>
      </c>
      <c r="AG6631">
        <v>-1.1106025437083</v>
      </c>
      <c r="AH6631">
        <v>29.944063787223499</v>
      </c>
      <c r="AI6631">
        <v>92.123622302521497</v>
      </c>
      <c r="AJ6631">
        <v>91.194227781093403</v>
      </c>
      <c r="AK6631">
        <v>29.9711535580552</v>
      </c>
      <c r="AL6631">
        <v>79.666287298663704</v>
      </c>
      <c r="AM6631">
        <v>95.988072590239895</v>
      </c>
      <c r="AN6631">
        <v>1.0000000013174699</v>
      </c>
    </row>
    <row r="6632" spans="1:40" x14ac:dyDescent="0.25">
      <c r="A6632" t="str">
        <f>"20190304155235011"</f>
        <v>20190304155235011</v>
      </c>
      <c r="B6632" t="str">
        <f>"1551685955003696"</f>
        <v>1551685955003696</v>
      </c>
      <c r="C6632" t="s">
        <v>40</v>
      </c>
      <c r="D6632">
        <v>4.8802159999999999</v>
      </c>
      <c r="E6632">
        <v>0.53083290000000005</v>
      </c>
      <c r="F6632" t="s">
        <v>107</v>
      </c>
      <c r="G6632">
        <v>-231.6619</v>
      </c>
      <c r="H6632" s="1">
        <v>-3.4956270000000002E-7</v>
      </c>
      <c r="I6632">
        <v>-62.824550000000002</v>
      </c>
      <c r="J6632">
        <v>-261.98059999999998</v>
      </c>
      <c r="K6632">
        <v>1.110571</v>
      </c>
      <c r="L6632">
        <v>-62.949770000000001</v>
      </c>
      <c r="M6632">
        <v>0.99982859999999996</v>
      </c>
      <c r="N6632">
        <v>-8.6091209999999904E-3</v>
      </c>
      <c r="O6632">
        <v>-1.6394410000000002E-2</v>
      </c>
      <c r="P6632">
        <v>0.98148389999999996</v>
      </c>
      <c r="Q6632">
        <v>0.17124529999999999</v>
      </c>
      <c r="R6632">
        <v>8.5817879999999999E-2</v>
      </c>
      <c r="S6632">
        <v>3.0749819999999999</v>
      </c>
      <c r="T6632">
        <v>-0.1121848</v>
      </c>
      <c r="U6632">
        <v>1.248169E-2</v>
      </c>
      <c r="V6632">
        <v>-0.1021685</v>
      </c>
      <c r="W6632">
        <v>0.17952129999999999</v>
      </c>
      <c r="X6632">
        <v>0.97843429999999998</v>
      </c>
      <c r="Y6632">
        <v>-2.043025E-2</v>
      </c>
      <c r="Z6632">
        <v>9.1732580000000003E-4</v>
      </c>
      <c r="AA6632">
        <v>0.99979079999999998</v>
      </c>
      <c r="AB6632">
        <v>25</v>
      </c>
      <c r="AC6632">
        <v>30.3186999999999</v>
      </c>
      <c r="AD6632">
        <v>-1.1105713495627001</v>
      </c>
      <c r="AE6632">
        <v>0.12521999999999101</v>
      </c>
      <c r="AF6632">
        <v>-0.62144494874084899</v>
      </c>
      <c r="AG6632">
        <v>-1.1105713495627001</v>
      </c>
      <c r="AH6632">
        <v>30.271955241400899</v>
      </c>
      <c r="AI6632">
        <v>92.100595782749906</v>
      </c>
      <c r="AJ6632">
        <v>91.176044689511698</v>
      </c>
      <c r="AK6632">
        <v>30.298693646495099</v>
      </c>
      <c r="AL6632">
        <v>79.658121756373902</v>
      </c>
      <c r="AM6632">
        <v>95.961244417531304</v>
      </c>
      <c r="AN6632">
        <v>0.99999998948121405</v>
      </c>
    </row>
    <row r="6633" spans="1:40" x14ac:dyDescent="0.25">
      <c r="A6633" t="str">
        <f>"20190304155235023"</f>
        <v>20190304155235023</v>
      </c>
      <c r="B6633" t="str">
        <f>"1551685955013457"</f>
        <v>1551685955013457</v>
      </c>
      <c r="C6633" t="s">
        <v>40</v>
      </c>
      <c r="D6633">
        <v>4.9122769999999996</v>
      </c>
      <c r="E6633">
        <v>0.53102329999999998</v>
      </c>
      <c r="F6633" t="s">
        <v>107</v>
      </c>
      <c r="G6633">
        <v>-231.61600000000001</v>
      </c>
      <c r="H6633" s="1">
        <v>-3.3341449999999998E-7</v>
      </c>
      <c r="I6633">
        <v>-62.837910000000001</v>
      </c>
      <c r="J6633">
        <v>-261.84969999999998</v>
      </c>
      <c r="K6633">
        <v>1.110541</v>
      </c>
      <c r="L6633">
        <v>-62.951419999999999</v>
      </c>
      <c r="M6633">
        <v>0.99983599999999995</v>
      </c>
      <c r="N6633">
        <v>-8.6098519999999994E-3</v>
      </c>
      <c r="O6633">
        <v>-1.5935009999999999E-2</v>
      </c>
      <c r="P6633">
        <v>0.98144679999999995</v>
      </c>
      <c r="Q6633">
        <v>0.17133590000000001</v>
      </c>
      <c r="R6633">
        <v>8.6061189999999996E-2</v>
      </c>
      <c r="S6633">
        <v>3.075256</v>
      </c>
      <c r="T6633">
        <v>-0.1124759</v>
      </c>
      <c r="U6633">
        <v>1.132202E-2</v>
      </c>
      <c r="V6633">
        <v>-0.1019482</v>
      </c>
      <c r="W6633">
        <v>0.1796208</v>
      </c>
      <c r="X6633">
        <v>0.97843899999999995</v>
      </c>
      <c r="Y6633">
        <v>-1.9594239999999999E-2</v>
      </c>
      <c r="Z6633">
        <v>8.8802740000000003E-4</v>
      </c>
      <c r="AA6633">
        <v>0.99980760000000002</v>
      </c>
      <c r="AB6633">
        <v>25</v>
      </c>
      <c r="AC6633">
        <v>30.233699999999999</v>
      </c>
      <c r="AD6633">
        <v>-1.1105413334145</v>
      </c>
      <c r="AE6633">
        <v>0.113509999999998</v>
      </c>
      <c r="AF6633">
        <v>-0.59448564853876895</v>
      </c>
      <c r="AG6633">
        <v>-1.1105413334145</v>
      </c>
      <c r="AH6633">
        <v>30.187322933909499</v>
      </c>
      <c r="AI6633">
        <v>92.106458120889201</v>
      </c>
      <c r="AJ6633">
        <v>91.128192667540702</v>
      </c>
      <c r="AK6633">
        <v>30.213592655552901</v>
      </c>
      <c r="AL6633">
        <v>79.652326443550095</v>
      </c>
      <c r="AM6633">
        <v>95.948454428642904</v>
      </c>
      <c r="AN6633">
        <v>0.99999997199843904</v>
      </c>
    </row>
    <row r="6634" spans="1:40" x14ac:dyDescent="0.25">
      <c r="A6634" t="str">
        <f>"20190304155235034"</f>
        <v>20190304155235034</v>
      </c>
      <c r="B6634" t="str">
        <f>"1551685955023216"</f>
        <v>1551685955023216</v>
      </c>
      <c r="C6634" t="s">
        <v>40</v>
      </c>
      <c r="D6634">
        <v>4.8372279999999996</v>
      </c>
      <c r="E6634">
        <v>0.53123480000000001</v>
      </c>
      <c r="F6634" t="s">
        <v>107</v>
      </c>
      <c r="G6634">
        <v>-231.292</v>
      </c>
      <c r="H6634" s="1">
        <v>-1.9596499999999999E-7</v>
      </c>
      <c r="I6634">
        <v>-62.843699999999998</v>
      </c>
      <c r="J6634">
        <v>-261.72059999999999</v>
      </c>
      <c r="K6634">
        <v>1.1105080000000001</v>
      </c>
      <c r="L6634">
        <v>-62.952969999999901</v>
      </c>
      <c r="M6634">
        <v>0.99984280000000003</v>
      </c>
      <c r="N6634">
        <v>-8.6106020000000002E-3</v>
      </c>
      <c r="O6634">
        <v>-1.550384E-2</v>
      </c>
      <c r="P6634">
        <v>0.98143579999999997</v>
      </c>
      <c r="Q6634">
        <v>0.17137859999999999</v>
      </c>
      <c r="R6634">
        <v>8.6101199999999906E-2</v>
      </c>
      <c r="S6634">
        <v>3.0752869999999999</v>
      </c>
      <c r="T6634">
        <v>-0.11176319999999999</v>
      </c>
      <c r="U6634">
        <v>1.083374E-2</v>
      </c>
      <c r="V6634">
        <v>-0.1015535</v>
      </c>
      <c r="W6634">
        <v>0.1796719</v>
      </c>
      <c r="X6634">
        <v>0.97847070000000003</v>
      </c>
      <c r="Y6634">
        <v>-1.900524E-2</v>
      </c>
      <c r="Z6634">
        <v>8.56868E-4</v>
      </c>
      <c r="AA6634">
        <v>0.99981900000000001</v>
      </c>
      <c r="AB6634">
        <v>25</v>
      </c>
      <c r="AC6634">
        <v>30.4285999999999</v>
      </c>
      <c r="AD6634">
        <v>-1.1105081959649901</v>
      </c>
      <c r="AE6634">
        <v>0.109269999999995</v>
      </c>
      <c r="AF6634">
        <v>-0.58026161439419499</v>
      </c>
      <c r="AG6634">
        <v>-1.1105081959649901</v>
      </c>
      <c r="AH6634">
        <v>30.3827812477181</v>
      </c>
      <c r="AI6634">
        <v>92.092880679273804</v>
      </c>
      <c r="AJ6634">
        <v>91.094123014318996</v>
      </c>
      <c r="AK6634">
        <v>30.408606155842399</v>
      </c>
      <c r="AL6634">
        <v>79.649350585095604</v>
      </c>
      <c r="AM6634">
        <v>95.925398119738603</v>
      </c>
      <c r="AN6634">
        <v>1.0000000078851701</v>
      </c>
    </row>
    <row r="6635" spans="1:40" x14ac:dyDescent="0.25">
      <c r="A6635" t="str">
        <f>"20190304155235044"</f>
        <v>20190304155235044</v>
      </c>
      <c r="B6635" t="str">
        <f>"1551685955033952"</f>
        <v>1551685955033952</v>
      </c>
      <c r="C6635" t="s">
        <v>40</v>
      </c>
      <c r="D6635">
        <v>4.8415100000000004</v>
      </c>
      <c r="E6635">
        <v>0.53141419999999995</v>
      </c>
      <c r="F6635" t="s">
        <v>107</v>
      </c>
      <c r="G6635">
        <v>-231.36490000000001</v>
      </c>
      <c r="H6635" s="1">
        <v>-2.3107679999999999E-7</v>
      </c>
      <c r="I6635">
        <v>-62.858029999999999</v>
      </c>
      <c r="J6635">
        <v>-261.59890000000001</v>
      </c>
      <c r="K6635">
        <v>1.1104849999999999</v>
      </c>
      <c r="L6635">
        <v>-62.954439999999998</v>
      </c>
      <c r="M6635">
        <v>0.99984890000000004</v>
      </c>
      <c r="N6635">
        <v>-8.6113309999999998E-3</v>
      </c>
      <c r="O6635">
        <v>-1.510996E-2</v>
      </c>
      <c r="P6635">
        <v>0.98146080000000002</v>
      </c>
      <c r="Q6635">
        <v>0.1712611</v>
      </c>
      <c r="R6635">
        <v>8.6049280000000006E-2</v>
      </c>
      <c r="S6635">
        <v>3.0755620000000001</v>
      </c>
      <c r="T6635">
        <v>-0.1125138</v>
      </c>
      <c r="U6635">
        <v>9.6130369999999996E-3</v>
      </c>
      <c r="V6635">
        <v>-0.1011053</v>
      </c>
      <c r="W6635">
        <v>0.17956169999999999</v>
      </c>
      <c r="X6635">
        <v>0.97853730000000005</v>
      </c>
      <c r="Y6635">
        <v>-1.8214729999999998E-2</v>
      </c>
      <c r="Z6635">
        <v>8.3400759999999999E-4</v>
      </c>
      <c r="AA6635">
        <v>0.99983379999999999</v>
      </c>
      <c r="AB6635">
        <v>25</v>
      </c>
      <c r="AC6635">
        <v>30.234000000000002</v>
      </c>
      <c r="AD6635">
        <v>-1.1104852310768001</v>
      </c>
      <c r="AE6635">
        <v>9.6409999999998705E-2</v>
      </c>
      <c r="AF6635">
        <v>-0.552505036569511</v>
      </c>
      <c r="AG6635">
        <v>-1.1104852310768001</v>
      </c>
      <c r="AH6635">
        <v>30.188365574993998</v>
      </c>
      <c r="AI6635">
        <v>92.106334721675694</v>
      </c>
      <c r="AJ6635">
        <v>91.048505685509397</v>
      </c>
      <c r="AK6635">
        <v>30.2138354955698</v>
      </c>
      <c r="AL6635">
        <v>79.655768532955307</v>
      </c>
      <c r="AM6635">
        <v>95.899032903823198</v>
      </c>
      <c r="AN6635">
        <v>0.99999996664313395</v>
      </c>
    </row>
    <row r="6636" spans="1:40" x14ac:dyDescent="0.25">
      <c r="A6636" t="str">
        <f>"20190304155235056"</f>
        <v>20190304155235056</v>
      </c>
      <c r="B6636" t="str">
        <f>"1551685955053472"</f>
        <v>1551685955053472</v>
      </c>
      <c r="C6636" t="s">
        <v>40</v>
      </c>
      <c r="D6636">
        <v>4.893815</v>
      </c>
      <c r="E6636">
        <v>0.53184679999999995</v>
      </c>
      <c r="F6636" t="s">
        <v>107</v>
      </c>
      <c r="G6636">
        <v>-231.53299999999999</v>
      </c>
      <c r="H6636" s="1">
        <v>-3.0719980000000001E-7</v>
      </c>
      <c r="I6636">
        <v>-62.87323</v>
      </c>
      <c r="J6636">
        <v>-261.47500000000002</v>
      </c>
      <c r="K6636">
        <v>1.1104620000000001</v>
      </c>
      <c r="L6636">
        <v>-62.9559</v>
      </c>
      <c r="M6636">
        <v>0.99985440000000003</v>
      </c>
      <c r="N6636">
        <v>-8.6122530000000003E-3</v>
      </c>
      <c r="O6636">
        <v>-1.4733939999999999E-2</v>
      </c>
      <c r="P6636">
        <v>0.98148199999999997</v>
      </c>
      <c r="Q6636">
        <v>0.1711954</v>
      </c>
      <c r="R6636">
        <v>8.5939000000000002E-2</v>
      </c>
      <c r="S6636">
        <v>3.075745</v>
      </c>
      <c r="T6636">
        <v>-0.1136026</v>
      </c>
      <c r="U6636">
        <v>8.3007810000000001E-3</v>
      </c>
      <c r="V6636">
        <v>-0.1006169</v>
      </c>
      <c r="W6636">
        <v>0.17950350000000001</v>
      </c>
      <c r="X6636">
        <v>0.97859839999999998</v>
      </c>
      <c r="Y6636">
        <v>-1.741237E-2</v>
      </c>
      <c r="Z6636">
        <v>8.1360130000000005E-4</v>
      </c>
      <c r="AA6636">
        <v>0.99984810000000002</v>
      </c>
      <c r="AB6636">
        <v>25</v>
      </c>
      <c r="AC6636">
        <v>29.942</v>
      </c>
      <c r="AD6636">
        <v>-1.1104623071998001</v>
      </c>
      <c r="AE6636">
        <v>8.2669999999993096E-2</v>
      </c>
      <c r="AF6636">
        <v>-0.52312147675061904</v>
      </c>
      <c r="AG6636">
        <v>-1.1104623071998001</v>
      </c>
      <c r="AH6636">
        <v>29.896410623179399</v>
      </c>
      <c r="AI6636">
        <v>92.126872153004797</v>
      </c>
      <c r="AJ6636">
        <v>91.002447912233606</v>
      </c>
      <c r="AK6636">
        <v>29.921600070265299</v>
      </c>
      <c r="AL6636">
        <v>79.659159071296202</v>
      </c>
      <c r="AM6636">
        <v>95.870372513618307</v>
      </c>
      <c r="AN6636">
        <v>1.0000000477802</v>
      </c>
    </row>
    <row r="6637" spans="1:40" x14ac:dyDescent="0.25">
      <c r="A6637" t="str">
        <f>"20190304155235068"</f>
        <v>20190304155235068</v>
      </c>
      <c r="B6637" t="str">
        <f>"1551685955063232"</f>
        <v>1551685955063232</v>
      </c>
      <c r="C6637" t="s">
        <v>40</v>
      </c>
      <c r="D6637">
        <v>4.8797870000000003</v>
      </c>
      <c r="E6637">
        <v>0.53198710000000005</v>
      </c>
      <c r="F6637" t="s">
        <v>107</v>
      </c>
      <c r="G6637">
        <v>-231.1626</v>
      </c>
      <c r="H6637" s="1">
        <v>-1.5788429999999999E-7</v>
      </c>
      <c r="I6637">
        <v>-62.909230000000001</v>
      </c>
      <c r="J6637">
        <v>-261.3408</v>
      </c>
      <c r="K6637">
        <v>1.1104400000000001</v>
      </c>
      <c r="L6637">
        <v>-62.95749</v>
      </c>
      <c r="M6637">
        <v>0.99986019999999998</v>
      </c>
      <c r="N6637">
        <v>-8.6133219999999996E-3</v>
      </c>
      <c r="O6637">
        <v>-1.433445E-2</v>
      </c>
      <c r="P6637">
        <v>0.98151730000000004</v>
      </c>
      <c r="Q6637">
        <v>0.17115720000000001</v>
      </c>
      <c r="R6637">
        <v>8.5610989999999998E-2</v>
      </c>
      <c r="S6637">
        <v>3.0758670000000001</v>
      </c>
      <c r="T6637">
        <v>-0.1126809</v>
      </c>
      <c r="U6637">
        <v>4.7302250000000002E-3</v>
      </c>
      <c r="V6637">
        <v>-9.9887619999999996E-2</v>
      </c>
      <c r="W6637">
        <v>0.17947399999999999</v>
      </c>
      <c r="X6637">
        <v>0.97867850000000001</v>
      </c>
      <c r="Y6637">
        <v>-1.58538999999999E-2</v>
      </c>
      <c r="Z6637">
        <v>7.6010170000000003E-4</v>
      </c>
      <c r="AA6637">
        <v>0.99987409999999999</v>
      </c>
      <c r="AB6637">
        <v>26</v>
      </c>
      <c r="AC6637">
        <v>30.1782</v>
      </c>
      <c r="AD6637">
        <v>-1.1104401578842999</v>
      </c>
      <c r="AE6637">
        <v>4.82599999999919E-2</v>
      </c>
      <c r="AF6637">
        <v>-0.48020879079137202</v>
      </c>
      <c r="AG6637">
        <v>-1.1104401578842999</v>
      </c>
      <c r="AH6637">
        <v>30.133607959288099</v>
      </c>
      <c r="AI6637">
        <v>92.110158604716503</v>
      </c>
      <c r="AJ6637">
        <v>90.912987528160897</v>
      </c>
      <c r="AK6637">
        <v>30.157884648480699</v>
      </c>
      <c r="AL6637">
        <v>79.660877011467605</v>
      </c>
      <c r="AM6637">
        <v>95.827643777328106</v>
      </c>
      <c r="AN6637">
        <v>1.0000000298337499</v>
      </c>
    </row>
    <row r="6638" spans="1:40" x14ac:dyDescent="0.25">
      <c r="A6638" t="str">
        <f>"20190304155235078"</f>
        <v>20190304155235078</v>
      </c>
      <c r="B6638" t="str">
        <f>"1551685955073968"</f>
        <v>1551685955073968</v>
      </c>
      <c r="C6638" t="s">
        <v>40</v>
      </c>
      <c r="D6638">
        <v>4.8674379999999999</v>
      </c>
      <c r="E6638">
        <v>0.53218390000000004</v>
      </c>
      <c r="F6638" t="s">
        <v>107</v>
      </c>
      <c r="G6638">
        <v>-231.18709999999999</v>
      </c>
      <c r="H6638" s="1">
        <v>-1.7376210000000001E-7</v>
      </c>
      <c r="I6638">
        <v>-62.929310000000001</v>
      </c>
      <c r="J6638">
        <v>-261.2122</v>
      </c>
      <c r="K6638">
        <v>1.110419</v>
      </c>
      <c r="L6638">
        <v>-62.9589199999999</v>
      </c>
      <c r="M6638">
        <v>0.99986529999999996</v>
      </c>
      <c r="N6638">
        <v>-8.6143999999999995E-3</v>
      </c>
      <c r="O6638">
        <v>-1.398083E-2</v>
      </c>
      <c r="P6638">
        <v>0.98151359999999999</v>
      </c>
      <c r="Q6638">
        <v>0.1712137</v>
      </c>
      <c r="R6638">
        <v>8.5541839999999994E-2</v>
      </c>
      <c r="S6638">
        <v>3.0759889999999999</v>
      </c>
      <c r="T6638">
        <v>-0.11327660000000001</v>
      </c>
      <c r="U6638">
        <v>2.8686520000000002E-3</v>
      </c>
      <c r="V6638">
        <v>-9.9463190000000007E-2</v>
      </c>
      <c r="W6638">
        <v>0.1795368</v>
      </c>
      <c r="X6638">
        <v>0.97871019999999997</v>
      </c>
      <c r="Y6638">
        <v>-1.4895820000000001E-2</v>
      </c>
      <c r="Z6638">
        <v>7.3263419999999998E-4</v>
      </c>
      <c r="AA6638">
        <v>0.99988880000000002</v>
      </c>
      <c r="AB6638">
        <v>26</v>
      </c>
      <c r="AC6638">
        <v>30.025099999999998</v>
      </c>
      <c r="AD6638">
        <v>-1.1104191737621001</v>
      </c>
      <c r="AE6638">
        <v>2.9609999999991001E-2</v>
      </c>
      <c r="AF6638">
        <v>-0.44878461794652802</v>
      </c>
      <c r="AG6638">
        <v>-1.1104191737621001</v>
      </c>
      <c r="AH6638">
        <v>29.980745284984899</v>
      </c>
      <c r="AI6638">
        <v>92.120899467983904</v>
      </c>
      <c r="AJ6638">
        <v>90.857601902863493</v>
      </c>
      <c r="AK6638">
        <v>30.004658408619001</v>
      </c>
      <c r="AL6638">
        <v>79.657219346097605</v>
      </c>
      <c r="AM6638">
        <v>95.802864356725195</v>
      </c>
      <c r="AN6638">
        <v>1.0000000221516201</v>
      </c>
    </row>
    <row r="6639" spans="1:40" x14ac:dyDescent="0.25">
      <c r="A6639" t="str">
        <f>"20190304155235090"</f>
        <v>20190304155235090</v>
      </c>
      <c r="B6639" t="str">
        <f>"1551685955083728"</f>
        <v>1551685955083728</v>
      </c>
      <c r="C6639" t="s">
        <v>40</v>
      </c>
      <c r="D6639">
        <v>4.7794080000000001</v>
      </c>
      <c r="E6639">
        <v>0.53229510000000002</v>
      </c>
      <c r="F6639" t="s">
        <v>107</v>
      </c>
      <c r="G6639">
        <v>-230.93459999999999</v>
      </c>
      <c r="H6639" s="1">
        <v>-6.9303499999999996E-8</v>
      </c>
      <c r="I6639">
        <v>-62.943840000000002</v>
      </c>
      <c r="J6639">
        <v>-261.0838</v>
      </c>
      <c r="K6639">
        <v>1.1103989999999999</v>
      </c>
      <c r="L6639">
        <v>-62.960360000000001</v>
      </c>
      <c r="M6639">
        <v>0.99986989999999998</v>
      </c>
      <c r="N6639">
        <v>-8.6155409999999905E-3</v>
      </c>
      <c r="O6639">
        <v>-1.363339E-2</v>
      </c>
      <c r="P6639">
        <v>0.98151770000000005</v>
      </c>
      <c r="Q6639">
        <v>0.17140569999999999</v>
      </c>
      <c r="R6639">
        <v>8.5108340000000005E-2</v>
      </c>
      <c r="S6639">
        <v>3.0760190000000001</v>
      </c>
      <c r="T6639">
        <v>-0.112812</v>
      </c>
      <c r="U6639">
        <v>1.525879E-3</v>
      </c>
      <c r="V6639">
        <v>-9.8681069999999996E-2</v>
      </c>
      <c r="W6639">
        <v>0.1797357</v>
      </c>
      <c r="X6639">
        <v>0.97875290000000004</v>
      </c>
      <c r="Y6639">
        <v>-1.411283E-2</v>
      </c>
      <c r="Z6639">
        <v>7.0191359999999996E-4</v>
      </c>
      <c r="AA6639">
        <v>0.99990020000000002</v>
      </c>
      <c r="AB6639">
        <v>26</v>
      </c>
      <c r="AC6639">
        <v>30.1492</v>
      </c>
      <c r="AD6639">
        <v>-1.1103990693035</v>
      </c>
      <c r="AE6639">
        <v>1.65199999999927E-2</v>
      </c>
      <c r="AF6639">
        <v>-0.42699034536135699</v>
      </c>
      <c r="AG6639">
        <v>-1.1103990693035</v>
      </c>
      <c r="AH6639">
        <v>30.105335889716699</v>
      </c>
      <c r="AI6639">
        <v>92.112116076128004</v>
      </c>
      <c r="AJ6639">
        <v>90.8125836728248</v>
      </c>
      <c r="AK6639">
        <v>30.128832633887502</v>
      </c>
      <c r="AL6639">
        <v>79.645635139116195</v>
      </c>
      <c r="AM6639">
        <v>95.757292310049905</v>
      </c>
      <c r="AN6639">
        <v>1.0000000573446199</v>
      </c>
    </row>
    <row r="6640" spans="1:40" x14ac:dyDescent="0.25">
      <c r="A6640" t="str">
        <f>"20190304155235102"</f>
        <v>20190304155235102</v>
      </c>
      <c r="B6640" t="str">
        <f>"1551685955093487"</f>
        <v>1551685955093487</v>
      </c>
      <c r="C6640" t="s">
        <v>40</v>
      </c>
      <c r="D6640">
        <v>4.8825760000000002</v>
      </c>
      <c r="E6640">
        <v>0.53245259999999905</v>
      </c>
      <c r="F6640" t="s">
        <v>107</v>
      </c>
      <c r="G6640">
        <v>-230.96469999999999</v>
      </c>
      <c r="H6640" s="1">
        <v>-8.786878E-8</v>
      </c>
      <c r="I6640">
        <v>-62.96508</v>
      </c>
      <c r="J6640">
        <v>-260.93950000000001</v>
      </c>
      <c r="K6640">
        <v>1.110384</v>
      </c>
      <c r="L6640">
        <v>-62.961880000000001</v>
      </c>
      <c r="M6640">
        <v>0.99987499999999996</v>
      </c>
      <c r="N6640">
        <v>-8.6170180000000006E-3</v>
      </c>
      <c r="O6640">
        <v>-1.326272E-2</v>
      </c>
      <c r="P6640">
        <v>0.98150029999999999</v>
      </c>
      <c r="Q6640">
        <v>0.17160230000000001</v>
      </c>
      <c r="R6640">
        <v>8.4913059999999999E-2</v>
      </c>
      <c r="S6640">
        <v>3.0763850000000001</v>
      </c>
      <c r="T6640">
        <v>-0.113417</v>
      </c>
      <c r="U6640">
        <v>-4.8828130000000002E-4</v>
      </c>
      <c r="V6640">
        <v>-9.8114510000000002E-2</v>
      </c>
      <c r="W6640">
        <v>0.179939299999999</v>
      </c>
      <c r="X6640">
        <v>0.97877239999999999</v>
      </c>
      <c r="Y6640">
        <v>-1.3088239999999999E-2</v>
      </c>
      <c r="Z6640">
        <v>6.7211479999999997E-4</v>
      </c>
      <c r="AA6640">
        <v>0.99991410000000003</v>
      </c>
      <c r="AB6640">
        <v>26</v>
      </c>
      <c r="AC6640">
        <v>29.974799999999998</v>
      </c>
      <c r="AD6640">
        <v>-1.1103840878687801</v>
      </c>
      <c r="AE6640">
        <v>-3.1999999999996402E-3</v>
      </c>
      <c r="AF6640">
        <v>-0.39382196485191501</v>
      </c>
      <c r="AG6640">
        <v>-1.1103840878687801</v>
      </c>
      <c r="AH6640">
        <v>29.931132794961201</v>
      </c>
      <c r="AI6640">
        <v>92.124398752311905</v>
      </c>
      <c r="AJ6640">
        <v>90.753831624876398</v>
      </c>
      <c r="AK6640">
        <v>29.9543111914161</v>
      </c>
      <c r="AL6640">
        <v>79.633775880292703</v>
      </c>
      <c r="AM6640">
        <v>95.724344696692398</v>
      </c>
      <c r="AN6640">
        <v>1.00000000987939</v>
      </c>
    </row>
    <row r="6641" spans="1:40" x14ac:dyDescent="0.25">
      <c r="A6641" t="str">
        <f>"20190304155235113"</f>
        <v>20190304155235113</v>
      </c>
      <c r="B6641" t="str">
        <f>"1551685955103248"</f>
        <v>1551685955103248</v>
      </c>
      <c r="C6641" t="s">
        <v>40</v>
      </c>
      <c r="D6641">
        <v>4.8826710000000002</v>
      </c>
      <c r="E6641">
        <v>0.53260769999999902</v>
      </c>
      <c r="F6641" t="s">
        <v>107</v>
      </c>
      <c r="G6641">
        <v>-230.45599999999999</v>
      </c>
      <c r="H6641" s="1">
        <v>1.2566889999999999E-7</v>
      </c>
      <c r="I6641">
        <v>-62.982689999999998</v>
      </c>
      <c r="J6641">
        <v>-260.81700000000001</v>
      </c>
      <c r="K6641">
        <v>1.110371</v>
      </c>
      <c r="L6641">
        <v>-62.963169999999998</v>
      </c>
      <c r="M6641">
        <v>0.99987899999999996</v>
      </c>
      <c r="N6641">
        <v>-8.6183930000000002E-3</v>
      </c>
      <c r="O6641">
        <v>-1.295864E-2</v>
      </c>
      <c r="P6641">
        <v>0.98153480000000004</v>
      </c>
      <c r="Q6641">
        <v>0.17151820000000001</v>
      </c>
      <c r="R6641">
        <v>8.4682289999999993E-2</v>
      </c>
      <c r="S6641">
        <v>3.0763240000000001</v>
      </c>
      <c r="T6641">
        <v>-0.11205759999999999</v>
      </c>
      <c r="U6641">
        <v>-2.1057129999999999E-3</v>
      </c>
      <c r="V6641">
        <v>-9.7579180000000001E-2</v>
      </c>
      <c r="W6641">
        <v>0.17986089999999999</v>
      </c>
      <c r="X6641">
        <v>0.9788403</v>
      </c>
      <c r="Y6641">
        <v>-1.2259620000000001E-2</v>
      </c>
      <c r="Z6641">
        <v>6.3626389999999996E-4</v>
      </c>
      <c r="AA6641">
        <v>0.9999247</v>
      </c>
      <c r="AB6641">
        <v>26</v>
      </c>
      <c r="AC6641">
        <v>30.361000000000001</v>
      </c>
      <c r="AD6641">
        <v>-1.1103708743311</v>
      </c>
      <c r="AE6641">
        <v>-1.9520000000007001E-2</v>
      </c>
      <c r="AF6641">
        <v>-0.37343399830364898</v>
      </c>
      <c r="AG6641">
        <v>-1.1103708743311</v>
      </c>
      <c r="AH6641">
        <v>30.3181519973372</v>
      </c>
      <c r="AI6641">
        <v>92.097302108369206</v>
      </c>
      <c r="AJ6641">
        <v>90.705686484597507</v>
      </c>
      <c r="AK6641">
        <v>30.340776472649701</v>
      </c>
      <c r="AL6641">
        <v>79.638342125296901</v>
      </c>
      <c r="AM6641">
        <v>95.6929250722402</v>
      </c>
      <c r="AN6641">
        <v>0.99999998631118603</v>
      </c>
    </row>
    <row r="6642" spans="1:40" x14ac:dyDescent="0.25">
      <c r="A6642" t="str">
        <f>"20190304155235125"</f>
        <v>20190304155235125</v>
      </c>
      <c r="B6642" t="str">
        <f>"1551685955113984"</f>
        <v>1551685955113984</v>
      </c>
      <c r="C6642" t="s">
        <v>40</v>
      </c>
      <c r="D6642">
        <v>4.8768630000000002</v>
      </c>
      <c r="E6642">
        <v>0.5327307</v>
      </c>
      <c r="F6642" t="s">
        <v>107</v>
      </c>
      <c r="G6642">
        <v>-230.2518</v>
      </c>
      <c r="H6642" s="1">
        <v>2.085033E-7</v>
      </c>
      <c r="I6642">
        <v>-63.000700000000002</v>
      </c>
      <c r="J6642">
        <v>-260.68020000000001</v>
      </c>
      <c r="K6642">
        <v>1.110355</v>
      </c>
      <c r="L6642">
        <v>-62.964599999999997</v>
      </c>
      <c r="M6642">
        <v>0.99988310000000002</v>
      </c>
      <c r="N6642">
        <v>-8.6200329999999992E-3</v>
      </c>
      <c r="O6642">
        <v>-1.2628220000000001E-2</v>
      </c>
      <c r="P6642">
        <v>0.98157910000000004</v>
      </c>
      <c r="Q6642">
        <v>0.1714676</v>
      </c>
      <c r="R6642">
        <v>8.4270330000000004E-2</v>
      </c>
      <c r="S6642">
        <v>3.0762939999999999</v>
      </c>
      <c r="T6642">
        <v>-0.1117554</v>
      </c>
      <c r="U6642">
        <v>-3.7841799999999998E-3</v>
      </c>
      <c r="V6642">
        <v>-9.683783E-2</v>
      </c>
      <c r="W6642">
        <v>0.179816899999999</v>
      </c>
      <c r="X6642">
        <v>0.97892199999999996</v>
      </c>
      <c r="Y6642">
        <v>-1.138454E-2</v>
      </c>
      <c r="Z6642">
        <v>6.0557150000000001E-4</v>
      </c>
      <c r="AA6642">
        <v>0.99993500000000002</v>
      </c>
      <c r="AB6642">
        <v>26</v>
      </c>
      <c r="AC6642">
        <v>30.4284</v>
      </c>
      <c r="AD6642">
        <v>-1.11035479149669</v>
      </c>
      <c r="AE6642">
        <v>-3.6100000000004601E-2</v>
      </c>
      <c r="AF6642">
        <v>-0.34771068507840802</v>
      </c>
      <c r="AG6642">
        <v>-1.11035479149669</v>
      </c>
      <c r="AH6642">
        <v>30.385968272064598</v>
      </c>
      <c r="AI6642">
        <v>92.092616879260603</v>
      </c>
      <c r="AJ6642">
        <v>90.655614626361995</v>
      </c>
      <c r="AK6642">
        <v>30.408236685385699</v>
      </c>
      <c r="AL6642">
        <v>79.640904883005405</v>
      </c>
      <c r="AM6642">
        <v>95.649485940698995</v>
      </c>
      <c r="AN6642">
        <v>0.99999998246435895</v>
      </c>
    </row>
    <row r="6643" spans="1:40" x14ac:dyDescent="0.25">
      <c r="A6643" t="str">
        <f>"20190304155235138"</f>
        <v>20190304155235138</v>
      </c>
      <c r="B6643" t="str">
        <f>"1551685955133504"</f>
        <v>1551685955133504</v>
      </c>
      <c r="C6643" t="s">
        <v>40</v>
      </c>
      <c r="D6643">
        <v>4.8787390000000004</v>
      </c>
      <c r="E6643">
        <v>0.53302260000000001</v>
      </c>
      <c r="F6643" t="s">
        <v>106</v>
      </c>
      <c r="G6643">
        <v>-229.94880000000001</v>
      </c>
      <c r="H6643" s="1">
        <v>-3.747372E-6</v>
      </c>
      <c r="I6643">
        <v>-63.024659999999997</v>
      </c>
      <c r="J6643">
        <v>-260.54020000000003</v>
      </c>
      <c r="K6643">
        <v>1.110341</v>
      </c>
      <c r="L6643">
        <v>-62.966000000000001</v>
      </c>
      <c r="M6643">
        <v>0.99988710000000003</v>
      </c>
      <c r="N6643">
        <v>-8.6218419999999994E-3</v>
      </c>
      <c r="O6643">
        <v>-1.230591E-2</v>
      </c>
      <c r="P6643">
        <v>0.98158599999999996</v>
      </c>
      <c r="Q6643">
        <v>0.17150699999999999</v>
      </c>
      <c r="R6643">
        <v>8.4108379999999996E-2</v>
      </c>
      <c r="S6643">
        <v>3.076263</v>
      </c>
      <c r="T6643">
        <v>-0.11114880000000001</v>
      </c>
      <c r="U6643">
        <v>-6.0119630000000004E-3</v>
      </c>
      <c r="V6643">
        <v>-9.6353400000000006E-2</v>
      </c>
      <c r="W6643">
        <v>0.17986279999999999</v>
      </c>
      <c r="X6643">
        <v>0.97896139999999998</v>
      </c>
      <c r="Y6643">
        <v>-1.033918E-2</v>
      </c>
      <c r="Z6643">
        <v>5.6970580000000005E-4</v>
      </c>
      <c r="AA6643">
        <v>0.99994640000000001</v>
      </c>
      <c r="AB6643">
        <v>26</v>
      </c>
      <c r="AC6643">
        <v>30.5914</v>
      </c>
      <c r="AD6643">
        <v>-1.1103447473720001</v>
      </c>
      <c r="AE6643">
        <v>-5.8659999999996097E-2</v>
      </c>
      <c r="AF6643">
        <v>-0.31739531871293702</v>
      </c>
      <c r="AG6643">
        <v>-1.1103447473720001</v>
      </c>
      <c r="AH6643">
        <v>30.549559542028501</v>
      </c>
      <c r="AI6643">
        <v>92.081426013630406</v>
      </c>
      <c r="AJ6643">
        <v>90.595254340494094</v>
      </c>
      <c r="AK6643">
        <v>30.5713786646645</v>
      </c>
      <c r="AL6643">
        <v>79.638231744459603</v>
      </c>
      <c r="AM6643">
        <v>95.621181129998007</v>
      </c>
      <c r="AN6643">
        <v>1.0000000136026701</v>
      </c>
    </row>
    <row r="6644" spans="1:40" x14ac:dyDescent="0.25">
      <c r="A6644" t="str">
        <f>"20190304155235148"</f>
        <v>20190304155235148</v>
      </c>
      <c r="B6644" t="str">
        <f>"1551685955143264"</f>
        <v>1551685955143264</v>
      </c>
      <c r="C6644" t="s">
        <v>40</v>
      </c>
      <c r="D6644">
        <v>4.2580049999999998</v>
      </c>
      <c r="E6644">
        <v>0.53289259999999905</v>
      </c>
      <c r="F6644" t="s">
        <v>106</v>
      </c>
      <c r="G6644">
        <v>-229.49379999999999</v>
      </c>
      <c r="H6644" s="1">
        <v>-3.5962540000000002E-6</v>
      </c>
      <c r="I6644">
        <v>-63.052549999999997</v>
      </c>
      <c r="J6644">
        <v>-260.42099999999999</v>
      </c>
      <c r="K6644">
        <v>1.110328</v>
      </c>
      <c r="L6644">
        <v>-62.967190000000002</v>
      </c>
      <c r="M6644">
        <v>0.99989039999999996</v>
      </c>
      <c r="N6644">
        <v>-8.6234150000000006E-3</v>
      </c>
      <c r="O6644">
        <v>-1.203483E-2</v>
      </c>
      <c r="P6644">
        <v>0.9816201</v>
      </c>
      <c r="Q6644">
        <v>0.1714571</v>
      </c>
      <c r="R6644">
        <v>8.3813940000000003E-2</v>
      </c>
      <c r="S6644">
        <v>3.0762330000000002</v>
      </c>
      <c r="T6644">
        <v>-0.11001859999999999</v>
      </c>
      <c r="U6644">
        <v>-8.5754390000000007E-3</v>
      </c>
      <c r="V6644">
        <v>-9.5788419999999999E-2</v>
      </c>
      <c r="W6644">
        <v>0.17981829999999999</v>
      </c>
      <c r="X6644">
        <v>0.97902500000000003</v>
      </c>
      <c r="Y6644">
        <v>-9.2360389999999997E-3</v>
      </c>
      <c r="Z6644">
        <v>5.314521E-4</v>
      </c>
      <c r="AA6644">
        <v>0.99995719999999999</v>
      </c>
      <c r="AB6644">
        <v>26</v>
      </c>
      <c r="AC6644">
        <v>30.927199999999999</v>
      </c>
      <c r="AD6644">
        <v>-1.1103315962539999</v>
      </c>
      <c r="AE6644">
        <v>-8.5359999999994302E-2</v>
      </c>
      <c r="AF6644">
        <v>-0.28649435032868598</v>
      </c>
      <c r="AG6644">
        <v>-1.1103315962539999</v>
      </c>
      <c r="AH6644">
        <v>30.8861780331681</v>
      </c>
      <c r="AI6644">
        <v>92.058759011045595</v>
      </c>
      <c r="AJ6644">
        <v>90.531449580824201</v>
      </c>
      <c r="AK6644">
        <v>30.907457170769799</v>
      </c>
      <c r="AL6644">
        <v>79.640823486998997</v>
      </c>
      <c r="AM6644">
        <v>95.588069157954394</v>
      </c>
      <c r="AN6644">
        <v>0.99999999652299298</v>
      </c>
    </row>
    <row r="6645" spans="1:40" x14ac:dyDescent="0.25">
      <c r="A6645" t="str">
        <f>"20190304155235157"</f>
        <v>20190304155235157</v>
      </c>
      <c r="B6645" t="str">
        <f>"1551685955154000"</f>
        <v>1551685955154000</v>
      </c>
      <c r="C6645" t="s">
        <v>40</v>
      </c>
      <c r="D6645">
        <v>4.9855429999999998</v>
      </c>
      <c r="E6645">
        <v>0.53289259999999905</v>
      </c>
      <c r="F6645" t="s">
        <v>106</v>
      </c>
      <c r="G6645">
        <v>-229.34950000000001</v>
      </c>
      <c r="H6645" s="1">
        <v>-3.54672E-6</v>
      </c>
      <c r="I6645">
        <v>-63.049500000000002</v>
      </c>
      <c r="J6645">
        <v>-260.30380000000002</v>
      </c>
      <c r="K6645">
        <v>1.1103160000000001</v>
      </c>
      <c r="L6645">
        <v>-62.968350000000001</v>
      </c>
      <c r="M6645">
        <v>0.99989340000000004</v>
      </c>
      <c r="N6645">
        <v>-8.6249619999999999E-3</v>
      </c>
      <c r="O6645">
        <v>-1.1782809999999999E-2</v>
      </c>
      <c r="P6645">
        <v>0.98167649999999995</v>
      </c>
      <c r="Q6645">
        <v>0.17127729999999999</v>
      </c>
      <c r="R6645">
        <v>8.3519239999999995E-2</v>
      </c>
      <c r="S6645">
        <v>3.0760800000000001</v>
      </c>
      <c r="T6645">
        <v>-0.1099228</v>
      </c>
      <c r="U6645">
        <v>-8.1481929999999998E-3</v>
      </c>
      <c r="V6645">
        <v>-9.5242019999999997E-2</v>
      </c>
      <c r="W6645">
        <v>0.17964379999999999</v>
      </c>
      <c r="X6645">
        <v>0.97911040000000005</v>
      </c>
      <c r="Y6645">
        <v>-9.1229569999999992E-3</v>
      </c>
      <c r="Z6645">
        <v>5.2161519999999997E-4</v>
      </c>
      <c r="AA6645">
        <v>0.99995829999999997</v>
      </c>
      <c r="AB6645">
        <v>26</v>
      </c>
      <c r="AC6645">
        <v>30.9543</v>
      </c>
      <c r="AD6645">
        <v>-1.11031954672</v>
      </c>
      <c r="AE6645">
        <v>-8.1150000000000902E-2</v>
      </c>
      <c r="AF6645">
        <v>-0.28323341531363699</v>
      </c>
      <c r="AG6645">
        <v>-1.11031954672</v>
      </c>
      <c r="AH6645">
        <v>30.9133334337001</v>
      </c>
      <c r="AI6645">
        <v>92.056931925707701</v>
      </c>
      <c r="AJ6645">
        <v>90.524939352817896</v>
      </c>
      <c r="AK6645">
        <v>30.934563430675698</v>
      </c>
      <c r="AL6645">
        <v>79.650987732789403</v>
      </c>
      <c r="AM6645">
        <v>95.555911913915395</v>
      </c>
      <c r="AN6645">
        <v>1.0000000563201299</v>
      </c>
    </row>
    <row r="6646" spans="1:40" x14ac:dyDescent="0.25">
      <c r="A6646" t="str">
        <f>"20190304155235168"</f>
        <v>20190304155235168</v>
      </c>
      <c r="B6646" t="str">
        <f>"1551685955163759"</f>
        <v>1551685955163759</v>
      </c>
      <c r="C6646" t="s">
        <v>40</v>
      </c>
      <c r="D6646">
        <v>4.9124059999999998</v>
      </c>
      <c r="E6646">
        <v>0.49146400000000001</v>
      </c>
      <c r="F6646" t="s">
        <v>106</v>
      </c>
      <c r="G6646">
        <v>-229.4049</v>
      </c>
      <c r="H6646" s="1">
        <v>-3.5667009999999999E-6</v>
      </c>
      <c r="I6646">
        <v>-63.057870000000001</v>
      </c>
      <c r="J6646">
        <v>-260.18639999999999</v>
      </c>
      <c r="K6646">
        <v>1.1103000000000001</v>
      </c>
      <c r="L6646">
        <v>-62.969450000000002</v>
      </c>
      <c r="M6646">
        <v>0.99989640000000002</v>
      </c>
      <c r="N6646">
        <v>-8.6265290000000008E-3</v>
      </c>
      <c r="O6646">
        <v>-1.153127E-2</v>
      </c>
      <c r="P6646">
        <v>0.98174150000000004</v>
      </c>
      <c r="Q6646">
        <v>0.1710479</v>
      </c>
      <c r="R6646">
        <v>8.3225640000000004E-2</v>
      </c>
      <c r="S6646">
        <v>3.0760190000000001</v>
      </c>
      <c r="T6646">
        <v>-0.1105336</v>
      </c>
      <c r="U6646">
        <v>-8.9111329999999999E-3</v>
      </c>
      <c r="V6646">
        <v>-9.4697829999999997E-2</v>
      </c>
      <c r="W6646">
        <v>0.17941960000000001</v>
      </c>
      <c r="X6646">
        <v>0.97920419999999997</v>
      </c>
      <c r="Y6646">
        <v>-8.6236869999999997E-3</v>
      </c>
      <c r="Z6646">
        <v>5.0687029999999997E-4</v>
      </c>
      <c r="AA6646">
        <v>0.99996269999999998</v>
      </c>
      <c r="AB6646">
        <v>26</v>
      </c>
      <c r="AC6646">
        <v>30.781499999999902</v>
      </c>
      <c r="AD6646">
        <v>-1.1103035667009999</v>
      </c>
      <c r="AE6646">
        <v>-8.8419999999992102E-2</v>
      </c>
      <c r="AF6646">
        <v>-0.26620249169696603</v>
      </c>
      <c r="AG6646">
        <v>-1.1103035667009999</v>
      </c>
      <c r="AH6646">
        <v>30.740477419808698</v>
      </c>
      <c r="AI6646">
        <v>92.068467698120202</v>
      </c>
      <c r="AJ6646">
        <v>90.496150330494899</v>
      </c>
      <c r="AK6646">
        <v>30.761674040510002</v>
      </c>
      <c r="AL6646">
        <v>79.664044690926801</v>
      </c>
      <c r="AM6646">
        <v>95.523837791064295</v>
      </c>
      <c r="AN6646">
        <v>0.999999968584254</v>
      </c>
    </row>
    <row r="6647" spans="1:40" x14ac:dyDescent="0.25">
      <c r="A6647" t="str">
        <f>"20190304155235179"</f>
        <v>20190304155235179</v>
      </c>
      <c r="B6647" t="str">
        <f>"1551685955173520"</f>
        <v>1551685955173520</v>
      </c>
      <c r="C6647" t="s">
        <v>40</v>
      </c>
      <c r="D6647">
        <v>4.855289</v>
      </c>
      <c r="E6647">
        <v>0.48420029999999997</v>
      </c>
      <c r="F6647" t="s">
        <v>106</v>
      </c>
      <c r="G6647">
        <v>-222.73419999999999</v>
      </c>
      <c r="H6647" s="1">
        <v>-5.8810959999999896E-7</v>
      </c>
      <c r="I6647">
        <v>-59.03989</v>
      </c>
      <c r="J6647">
        <v>-260.05790000000002</v>
      </c>
      <c r="K6647">
        <v>1.1102879999999999</v>
      </c>
      <c r="L6647">
        <v>-62.970640000000003</v>
      </c>
      <c r="M6647">
        <v>0.99989930000000005</v>
      </c>
      <c r="N6647">
        <v>-8.6283799999999997E-3</v>
      </c>
      <c r="O6647">
        <v>-1.1267569999999999E-2</v>
      </c>
      <c r="P6647">
        <v>0.9817844</v>
      </c>
      <c r="Q6647">
        <v>0.17092539999999901</v>
      </c>
      <c r="R6647">
        <v>8.2969840000000003E-2</v>
      </c>
      <c r="S6647">
        <v>3.0444339999999999</v>
      </c>
      <c r="T6647">
        <v>-9.025466E-2</v>
      </c>
      <c r="U6647">
        <v>0.31942749999999998</v>
      </c>
      <c r="V6647">
        <v>-9.4179260000000001E-2</v>
      </c>
      <c r="W6647">
        <v>0.17930179999999901</v>
      </c>
      <c r="X6647">
        <v>0.97927580000000003</v>
      </c>
      <c r="Y6647">
        <v>-0.1154815</v>
      </c>
      <c r="Z6647">
        <v>2.4425990000000002E-3</v>
      </c>
      <c r="AA6647">
        <v>0.99330660000000004</v>
      </c>
      <c r="AB6647">
        <v>26</v>
      </c>
      <c r="AC6647">
        <v>37.323700000000002</v>
      </c>
      <c r="AD6647">
        <v>-1.1102885881095901</v>
      </c>
      <c r="AE6647">
        <v>3.9307500000000002</v>
      </c>
      <c r="AF6647">
        <v>-4.3472587454473999</v>
      </c>
      <c r="AG6647">
        <v>-1.1102885881095901</v>
      </c>
      <c r="AH6647">
        <v>37.244442137063203</v>
      </c>
      <c r="AI6647">
        <v>91.696022839053896</v>
      </c>
      <c r="AJ6647">
        <v>96.657572504787495</v>
      </c>
      <c r="AK6647">
        <v>37.513729079495697</v>
      </c>
      <c r="AL6647">
        <v>79.670905515583499</v>
      </c>
      <c r="AM6647">
        <v>95.493375326067195</v>
      </c>
      <c r="AN6647">
        <v>0.99999998048151295</v>
      </c>
    </row>
    <row r="6648" spans="1:40" x14ac:dyDescent="0.25">
      <c r="A6648" t="str">
        <f>"20190304155235191"</f>
        <v>20190304155235191</v>
      </c>
      <c r="B6648" t="str">
        <f>"1551685955183280"</f>
        <v>1551685955183280</v>
      </c>
      <c r="C6648" t="s">
        <v>40</v>
      </c>
      <c r="D6648">
        <v>4.7600259999999999</v>
      </c>
      <c r="E6648">
        <v>0.48131299999999999</v>
      </c>
      <c r="F6648" t="s">
        <v>106</v>
      </c>
      <c r="G6648">
        <v>-227.4006</v>
      </c>
      <c r="H6648" s="1">
        <v>-2.614296E-6</v>
      </c>
      <c r="I6648">
        <v>-58.92989</v>
      </c>
      <c r="J6648">
        <v>-259.92689999999999</v>
      </c>
      <c r="K6648">
        <v>1.110277</v>
      </c>
      <c r="L6648">
        <v>-62.971829999999997</v>
      </c>
      <c r="M6648">
        <v>0.99990230000000002</v>
      </c>
      <c r="N6648">
        <v>-8.6302959999999904E-3</v>
      </c>
      <c r="O6648">
        <v>-1.1001830000000001E-2</v>
      </c>
      <c r="P6648">
        <v>0.9817977</v>
      </c>
      <c r="Q6648">
        <v>0.17086479999999901</v>
      </c>
      <c r="R6648">
        <v>8.2937880000000005E-2</v>
      </c>
      <c r="S6648">
        <v>3.0418400000000001</v>
      </c>
      <c r="T6648">
        <v>-0.1034173</v>
      </c>
      <c r="U6648">
        <v>0.37637330000000002</v>
      </c>
      <c r="V6648">
        <v>-9.3883240000000007E-2</v>
      </c>
      <c r="W6648">
        <v>0.17924599999999999</v>
      </c>
      <c r="X6648">
        <v>0.97931440000000003</v>
      </c>
      <c r="Y6648">
        <v>-0.13360820000000001</v>
      </c>
      <c r="Z6648">
        <v>3.1189149999999999E-3</v>
      </c>
      <c r="AA6648">
        <v>0.9910293</v>
      </c>
      <c r="AB6648">
        <v>26</v>
      </c>
      <c r="AC6648">
        <v>32.5262999999999</v>
      </c>
      <c r="AD6648">
        <v>-1.1102796142960001</v>
      </c>
      <c r="AE6648">
        <v>4.0419400000000003</v>
      </c>
      <c r="AF6648">
        <v>-4.3945149220495301</v>
      </c>
      <c r="AG6648">
        <v>-1.1102796142960001</v>
      </c>
      <c r="AH6648">
        <v>32.442634058375603</v>
      </c>
      <c r="AI6648">
        <v>91.942336015787404</v>
      </c>
      <c r="AJ6648">
        <v>97.714045592017399</v>
      </c>
      <c r="AK6648">
        <v>32.757731711272598</v>
      </c>
      <c r="AL6648">
        <v>79.674154873899099</v>
      </c>
      <c r="AM6648">
        <v>95.475999388685096</v>
      </c>
      <c r="AN6648">
        <v>0.99999994265812697</v>
      </c>
    </row>
    <row r="6649" spans="1:40" x14ac:dyDescent="0.25">
      <c r="A6649" t="str">
        <f>"20190304155235201"</f>
        <v>20190304155235201</v>
      </c>
      <c r="B6649" t="str">
        <f>"1551685955194016"</f>
        <v>1551685955194016</v>
      </c>
      <c r="C6649" t="s">
        <v>40</v>
      </c>
      <c r="D6649">
        <v>4.846838</v>
      </c>
      <c r="E6649">
        <v>0.47908089999999998</v>
      </c>
      <c r="F6649" t="s">
        <v>107</v>
      </c>
      <c r="G6649">
        <v>-231.87379999999999</v>
      </c>
      <c r="H6649" s="1">
        <v>1.4973809999999899E-8</v>
      </c>
      <c r="I6649">
        <v>-59.289960000000001</v>
      </c>
      <c r="J6649">
        <v>-259.79300000000001</v>
      </c>
      <c r="K6649">
        <v>1.1102700000000001</v>
      </c>
      <c r="L6649">
        <v>-62.973019999999998</v>
      </c>
      <c r="M6649">
        <v>0.99990520000000005</v>
      </c>
      <c r="N6649">
        <v>-8.6323119999999996E-3</v>
      </c>
      <c r="O6649">
        <v>-1.073823E-2</v>
      </c>
      <c r="P6649">
        <v>0.9818211</v>
      </c>
      <c r="Q6649">
        <v>0.17082449999999999</v>
      </c>
      <c r="R6649">
        <v>8.2743689999999995E-2</v>
      </c>
      <c r="S6649">
        <v>3.0428160000000002</v>
      </c>
      <c r="T6649">
        <v>-0.1204276</v>
      </c>
      <c r="U6649">
        <v>0.39935300000000001</v>
      </c>
      <c r="V6649">
        <v>-9.3426679999999998E-2</v>
      </c>
      <c r="W6649">
        <v>0.17921029999999999</v>
      </c>
      <c r="X6649">
        <v>0.97936460000000003</v>
      </c>
      <c r="Y6649">
        <v>-0.14063110000000001</v>
      </c>
      <c r="Z6649">
        <v>3.7106750000000001E-3</v>
      </c>
      <c r="AA6649">
        <v>0.99005509999999997</v>
      </c>
      <c r="AB6649">
        <v>26</v>
      </c>
      <c r="AC6649">
        <v>27.9192</v>
      </c>
      <c r="AD6649">
        <v>-1.1102699850261899</v>
      </c>
      <c r="AE6649">
        <v>3.68305999999999</v>
      </c>
      <c r="AF6649">
        <v>-3.9764805787745598</v>
      </c>
      <c r="AG6649">
        <v>-1.1102699850261899</v>
      </c>
      <c r="AH6649">
        <v>27.834773203807501</v>
      </c>
      <c r="AI6649">
        <v>92.2612617168366</v>
      </c>
      <c r="AJ6649">
        <v>98.130272624213603</v>
      </c>
      <c r="AK6649">
        <v>28.139290974372901</v>
      </c>
      <c r="AL6649">
        <v>79.676234054718506</v>
      </c>
      <c r="AM6649">
        <v>95.449252317074198</v>
      </c>
      <c r="AN6649">
        <v>0.999999947947534</v>
      </c>
    </row>
    <row r="6650" spans="1:40" x14ac:dyDescent="0.25">
      <c r="A6650" t="str">
        <f>"20190304155235213"</f>
        <v>20190304155235213</v>
      </c>
      <c r="B6650" t="str">
        <f>"1551685955203776"</f>
        <v>1551685955203776</v>
      </c>
      <c r="C6650" t="s">
        <v>40</v>
      </c>
      <c r="D6650">
        <v>4.8500269999999999</v>
      </c>
      <c r="E6650">
        <v>0.47790290000000002</v>
      </c>
      <c r="F6650" t="s">
        <v>107</v>
      </c>
      <c r="G6650">
        <v>-232.58189999999999</v>
      </c>
      <c r="H6650" s="1">
        <v>-2.9670130000000001E-7</v>
      </c>
      <c r="I6650">
        <v>-59.245399999999997</v>
      </c>
      <c r="J6650">
        <v>-259.65969999999999</v>
      </c>
      <c r="K6650">
        <v>1.1102609999999999</v>
      </c>
      <c r="L6650">
        <v>-62.974179999999997</v>
      </c>
      <c r="M6650">
        <v>0.99990780000000001</v>
      </c>
      <c r="N6650">
        <v>-8.6343719999999995E-3</v>
      </c>
      <c r="O6650">
        <v>-1.048082E-2</v>
      </c>
      <c r="P6650">
        <v>0.98180540000000005</v>
      </c>
      <c r="Q6650">
        <v>0.17093069999999999</v>
      </c>
      <c r="R6650">
        <v>8.2709039999999998E-2</v>
      </c>
      <c r="S6650">
        <v>3.0420229999999999</v>
      </c>
      <c r="T6650">
        <v>-0.1241212</v>
      </c>
      <c r="U6650">
        <v>0.41671750000000002</v>
      </c>
      <c r="V6650">
        <v>-9.3136170000000004E-2</v>
      </c>
      <c r="W6650">
        <v>0.17932010000000001</v>
      </c>
      <c r="X6650">
        <v>0.97937220000000003</v>
      </c>
      <c r="Y6650">
        <v>-0.1459461</v>
      </c>
      <c r="Z6650">
        <v>3.9312510000000002E-3</v>
      </c>
      <c r="AA6650">
        <v>0.98928479999999996</v>
      </c>
      <c r="AB6650">
        <v>26</v>
      </c>
      <c r="AC6650">
        <v>27.0778</v>
      </c>
      <c r="AD6650">
        <v>-1.1102612967012999</v>
      </c>
      <c r="AE6650">
        <v>3.72878</v>
      </c>
      <c r="AF6650">
        <v>-4.0057740638899597</v>
      </c>
      <c r="AG6650">
        <v>-1.1102612967012999</v>
      </c>
      <c r="AH6650">
        <v>26.9926944763282</v>
      </c>
      <c r="AI6650">
        <v>92.3298703153216</v>
      </c>
      <c r="AJ6650">
        <v>98.441209529900405</v>
      </c>
      <c r="AK6650">
        <v>27.310885395575902</v>
      </c>
      <c r="AL6650">
        <v>79.669839674680304</v>
      </c>
      <c r="AM6650">
        <v>95.432367501666604</v>
      </c>
      <c r="AN6650">
        <v>0.99999997527955897</v>
      </c>
    </row>
    <row r="6651" spans="1:40" x14ac:dyDescent="0.25">
      <c r="A6651" t="str">
        <f>"20190304155235224"</f>
        <v>20190304155235224</v>
      </c>
      <c r="B6651" t="str">
        <f>"1551685955213536"</f>
        <v>1551685955213536</v>
      </c>
      <c r="C6651" t="s">
        <v>40</v>
      </c>
      <c r="D6651">
        <v>4.8361470000000004</v>
      </c>
      <c r="E6651">
        <v>0.47686600000000001</v>
      </c>
      <c r="F6651" t="s">
        <v>107</v>
      </c>
      <c r="G6651">
        <v>-232.303</v>
      </c>
      <c r="H6651" s="1">
        <v>-1.957492E-7</v>
      </c>
      <c r="I6651">
        <v>-59.139949999999999</v>
      </c>
      <c r="J6651">
        <v>-259.53500000000003</v>
      </c>
      <c r="K6651">
        <v>1.110255</v>
      </c>
      <c r="L6651">
        <v>-62.975219999999901</v>
      </c>
      <c r="M6651">
        <v>0.99991030000000003</v>
      </c>
      <c r="N6651">
        <v>-8.6363529999999994E-3</v>
      </c>
      <c r="O6651">
        <v>-1.0244619999999999E-2</v>
      </c>
      <c r="P6651">
        <v>0.98179450000000001</v>
      </c>
      <c r="Q6651">
        <v>0.17110510000000001</v>
      </c>
      <c r="R6651">
        <v>8.2479040000000003E-2</v>
      </c>
      <c r="S6651">
        <v>3.0411990000000002</v>
      </c>
      <c r="T6651">
        <v>-0.1234261</v>
      </c>
      <c r="U6651">
        <v>0.42623899999999998</v>
      </c>
      <c r="V6651">
        <v>-9.2672160000000003E-2</v>
      </c>
      <c r="W6651">
        <v>0.1794983</v>
      </c>
      <c r="X6651">
        <v>0.97938360000000002</v>
      </c>
      <c r="Y6651">
        <v>-0.14878559999999999</v>
      </c>
      <c r="Z6651">
        <v>3.9748889999999997E-3</v>
      </c>
      <c r="AA6651">
        <v>0.98886149999999995</v>
      </c>
      <c r="AB6651">
        <v>26</v>
      </c>
      <c r="AC6651">
        <v>27.231999999999999</v>
      </c>
      <c r="AD6651">
        <v>-1.1102551957492</v>
      </c>
      <c r="AE6651">
        <v>3.8352699999999902</v>
      </c>
      <c r="AF6651">
        <v>-4.1073660665507603</v>
      </c>
      <c r="AG6651">
        <v>-1.1102551957492</v>
      </c>
      <c r="AH6651">
        <v>27.147031974174102</v>
      </c>
      <c r="AI6651">
        <v>92.315643329521194</v>
      </c>
      <c r="AJ6651">
        <v>98.603638703578397</v>
      </c>
      <c r="AK6651">
        <v>27.478436411323901</v>
      </c>
      <c r="AL6651">
        <v>79.659461454455197</v>
      </c>
      <c r="AM6651">
        <v>95.405401278511306</v>
      </c>
      <c r="AN6651">
        <v>1.0000000024454501</v>
      </c>
    </row>
    <row r="6652" spans="1:40" x14ac:dyDescent="0.25">
      <c r="A6652" t="str">
        <f>"20190304155235235"</f>
        <v>20190304155235235</v>
      </c>
      <c r="B6652" t="str">
        <f>"1551685955223297"</f>
        <v>1551685955223297</v>
      </c>
      <c r="C6652" t="s">
        <v>40</v>
      </c>
      <c r="D6652">
        <v>4.8447979999999999</v>
      </c>
      <c r="E6652">
        <v>0.47627209999999998</v>
      </c>
      <c r="F6652" t="s">
        <v>107</v>
      </c>
      <c r="G6652">
        <v>-232.34360000000001</v>
      </c>
      <c r="H6652" s="1">
        <v>-2.2096620000000001E-7</v>
      </c>
      <c r="I6652">
        <v>-59.09601</v>
      </c>
      <c r="J6652">
        <v>-259.4083</v>
      </c>
      <c r="K6652">
        <v>1.110247</v>
      </c>
      <c r="L6652">
        <v>-62.976289999999999</v>
      </c>
      <c r="M6652">
        <v>0.99991260000000004</v>
      </c>
      <c r="N6652">
        <v>-8.6384110000000004E-3</v>
      </c>
      <c r="O6652">
        <v>-1.001091E-2</v>
      </c>
      <c r="P6652">
        <v>0.98177460000000005</v>
      </c>
      <c r="Q6652">
        <v>0.1711608</v>
      </c>
      <c r="R6652">
        <v>8.2599019999999995E-2</v>
      </c>
      <c r="S6652">
        <v>3.0408330000000001</v>
      </c>
      <c r="T6652">
        <v>-0.1241606</v>
      </c>
      <c r="U6652">
        <v>0.43380740000000001</v>
      </c>
      <c r="V6652">
        <v>-9.2560480000000001E-2</v>
      </c>
      <c r="W6652">
        <v>0.17955750000000001</v>
      </c>
      <c r="X6652">
        <v>0.97938329999999996</v>
      </c>
      <c r="Y6652">
        <v>-0.15097969999999999</v>
      </c>
      <c r="Z6652">
        <v>4.0418820000000001E-3</v>
      </c>
      <c r="AA6652">
        <v>0.98852859999999998</v>
      </c>
      <c r="AB6652">
        <v>26</v>
      </c>
      <c r="AC6652">
        <v>27.064699999999899</v>
      </c>
      <c r="AD6652">
        <v>-1.1102472209662</v>
      </c>
      <c r="AE6652">
        <v>3.88028</v>
      </c>
      <c r="AF6652">
        <v>-4.1442045090578601</v>
      </c>
      <c r="AG6652">
        <v>-1.1102472209662</v>
      </c>
      <c r="AH6652">
        <v>26.9800095324076</v>
      </c>
      <c r="AI6652">
        <v>92.329147979380707</v>
      </c>
      <c r="AJ6652">
        <v>98.732539965681298</v>
      </c>
      <c r="AK6652">
        <v>27.319004269434199</v>
      </c>
      <c r="AL6652">
        <v>79.656013429675497</v>
      </c>
      <c r="AM6652">
        <v>95.398927342095902</v>
      </c>
      <c r="AN6652">
        <v>0.99999999329148503</v>
      </c>
    </row>
    <row r="6653" spans="1:40" x14ac:dyDescent="0.25">
      <c r="A6653" t="str">
        <f>"20190304155235245"</f>
        <v>20190304155235245</v>
      </c>
      <c r="B6653" t="str">
        <f>"1551685955243793"</f>
        <v>1551685955243793</v>
      </c>
      <c r="C6653" t="s">
        <v>40</v>
      </c>
      <c r="D6653">
        <v>4.8249389999999996</v>
      </c>
      <c r="E6653">
        <v>0.47542580000000001</v>
      </c>
      <c r="F6653" t="s">
        <v>107</v>
      </c>
      <c r="G6653">
        <v>-232.5455</v>
      </c>
      <c r="H6653" s="1">
        <v>-3.0728020000000002E-7</v>
      </c>
      <c r="I6653">
        <v>-59.097659999999998</v>
      </c>
      <c r="J6653">
        <v>-259.279</v>
      </c>
      <c r="K6653">
        <v>1.110244</v>
      </c>
      <c r="L6653">
        <v>-62.977330000000002</v>
      </c>
      <c r="M6653">
        <v>0.99991490000000005</v>
      </c>
      <c r="N6653">
        <v>-8.6405359999999903E-3</v>
      </c>
      <c r="O6653">
        <v>-9.7752970000000005E-3</v>
      </c>
      <c r="P6653">
        <v>0.98177219999999998</v>
      </c>
      <c r="Q6653">
        <v>0.17118649999999999</v>
      </c>
      <c r="R6653">
        <v>8.2575229999999999E-2</v>
      </c>
      <c r="S6653">
        <v>3.04068</v>
      </c>
      <c r="T6653">
        <v>-0.12567220000000001</v>
      </c>
      <c r="U6653">
        <v>0.43902590000000002</v>
      </c>
      <c r="V6653">
        <v>-9.2303120000000002E-2</v>
      </c>
      <c r="W6653">
        <v>0.179587</v>
      </c>
      <c r="X6653">
        <v>0.9794022</v>
      </c>
      <c r="Y6653">
        <v>-0.15241109999999999</v>
      </c>
      <c r="Z6653">
        <v>4.1120760000000001E-3</v>
      </c>
      <c r="AA6653">
        <v>0.98830870000000004</v>
      </c>
      <c r="AB6653">
        <v>26</v>
      </c>
      <c r="AC6653">
        <v>26.7334999999999</v>
      </c>
      <c r="AD6653">
        <v>-1.1102443072802</v>
      </c>
      <c r="AE6653">
        <v>3.87967</v>
      </c>
      <c r="AF6653">
        <v>-4.1338395084156598</v>
      </c>
      <c r="AG6653">
        <v>-1.1102443072802</v>
      </c>
      <c r="AH6653">
        <v>26.649281041507599</v>
      </c>
      <c r="AI6653">
        <v>92.357476284927301</v>
      </c>
      <c r="AJ6653">
        <v>98.817453417492004</v>
      </c>
      <c r="AK6653">
        <v>26.990840141285801</v>
      </c>
      <c r="AL6653">
        <v>79.654295480799703</v>
      </c>
      <c r="AM6653">
        <v>95.383900929228901</v>
      </c>
      <c r="AN6653">
        <v>1.00000001294778</v>
      </c>
    </row>
    <row r="6654" spans="1:40" x14ac:dyDescent="0.25">
      <c r="A6654" t="str">
        <f>"20190304155235257"</f>
        <v>20190304155235257</v>
      </c>
      <c r="B6654" t="str">
        <f>"1551685955253553"</f>
        <v>1551685955253553</v>
      </c>
      <c r="C6654" t="s">
        <v>40</v>
      </c>
      <c r="D6654">
        <v>4.8268680000000002</v>
      </c>
      <c r="E6654">
        <v>0.47514840000000003</v>
      </c>
      <c r="F6654" t="s">
        <v>107</v>
      </c>
      <c r="G6654">
        <v>-232.9427</v>
      </c>
      <c r="H6654" s="1">
        <v>-4.7419139999999998E-7</v>
      </c>
      <c r="I6654">
        <v>-59.117199999999997</v>
      </c>
      <c r="J6654">
        <v>-259.14620000000002</v>
      </c>
      <c r="K6654">
        <v>1.1102369999999999</v>
      </c>
      <c r="L6654">
        <v>-62.978360000000002</v>
      </c>
      <c r="M6654">
        <v>0.9999171</v>
      </c>
      <c r="N6654">
        <v>-8.6427550000000002E-3</v>
      </c>
      <c r="O6654">
        <v>-9.5420699999999997E-3</v>
      </c>
      <c r="P6654">
        <v>0.98169790000000001</v>
      </c>
      <c r="Q6654">
        <v>0.17153260000000001</v>
      </c>
      <c r="R6654">
        <v>8.2740229999999998E-2</v>
      </c>
      <c r="S6654">
        <v>3.0405579999999999</v>
      </c>
      <c r="T6654">
        <v>-0.12817880000000001</v>
      </c>
      <c r="U6654">
        <v>0.44564819999999999</v>
      </c>
      <c r="V6654">
        <v>-9.2236410000000005E-2</v>
      </c>
      <c r="W6654">
        <v>0.17993599999999901</v>
      </c>
      <c r="X6654">
        <v>0.9793444</v>
      </c>
      <c r="Y6654">
        <v>-0.15428610000000001</v>
      </c>
      <c r="Z6654">
        <v>4.2220290000000004E-3</v>
      </c>
      <c r="AA6654">
        <v>0.98801719999999904</v>
      </c>
      <c r="AB6654">
        <v>26</v>
      </c>
      <c r="AC6654">
        <v>26.203499999999998</v>
      </c>
      <c r="AD6654">
        <v>-1.1102374741914001</v>
      </c>
      <c r="AE6654">
        <v>3.8611599999999902</v>
      </c>
      <c r="AF6654">
        <v>-4.1038185599350596</v>
      </c>
      <c r="AG6654">
        <v>-1.1102374741914001</v>
      </c>
      <c r="AH6654">
        <v>26.119568712022598</v>
      </c>
      <c r="AI6654">
        <v>92.404485320931698</v>
      </c>
      <c r="AJ6654">
        <v>98.929123489497798</v>
      </c>
      <c r="AK6654">
        <v>26.463292004662499</v>
      </c>
      <c r="AL6654">
        <v>79.633967849877806</v>
      </c>
      <c r="AM6654">
        <v>95.380348337323696</v>
      </c>
      <c r="AN6654">
        <v>0.99999998661852296</v>
      </c>
    </row>
    <row r="6655" spans="1:40" x14ac:dyDescent="0.25">
      <c r="A6655" t="str">
        <f>"20190304155235269"</f>
        <v>20190304155235269</v>
      </c>
      <c r="B6655" t="str">
        <f>"1551685955263312"</f>
        <v>1551685955263312</v>
      </c>
      <c r="C6655" t="s">
        <v>40</v>
      </c>
      <c r="D6655">
        <v>4.8817750000000002</v>
      </c>
      <c r="E6655">
        <v>0.47489039999999999</v>
      </c>
      <c r="F6655" t="s">
        <v>107</v>
      </c>
      <c r="G6655">
        <v>-232.8477</v>
      </c>
      <c r="H6655" s="1">
        <v>-4.3639029999999998E-7</v>
      </c>
      <c r="I6655">
        <v>-59.100589999999997</v>
      </c>
      <c r="J6655">
        <v>-259.01670000000001</v>
      </c>
      <c r="K6655">
        <v>1.1102320000000001</v>
      </c>
      <c r="L6655">
        <v>-62.979370000000003</v>
      </c>
      <c r="M6655">
        <v>0.99991940000000001</v>
      </c>
      <c r="N6655">
        <v>-8.6449309999999998E-3</v>
      </c>
      <c r="O6655">
        <v>-9.3167110000000001E-3</v>
      </c>
      <c r="P6655">
        <v>0.98165400000000003</v>
      </c>
      <c r="Q6655">
        <v>0.17169470000000001</v>
      </c>
      <c r="R6655">
        <v>8.2924369999999997E-2</v>
      </c>
      <c r="S6655">
        <v>3.0405880000000001</v>
      </c>
      <c r="T6655">
        <v>-0.12836349999999999</v>
      </c>
      <c r="U6655">
        <v>0.4483337</v>
      </c>
      <c r="V6655">
        <v>-9.2197169999999995E-2</v>
      </c>
      <c r="W6655">
        <v>0.18010109999999999</v>
      </c>
      <c r="X6655">
        <v>0.97931780000000002</v>
      </c>
      <c r="Y6655">
        <v>-0.1549151</v>
      </c>
      <c r="Z6655">
        <v>4.2356E-3</v>
      </c>
      <c r="AA6655">
        <v>0.98791870000000004</v>
      </c>
      <c r="AB6655">
        <v>26</v>
      </c>
      <c r="AC6655">
        <v>26.169</v>
      </c>
      <c r="AD6655">
        <v>-1.11023243639029</v>
      </c>
      <c r="AE6655">
        <v>3.8787799999999901</v>
      </c>
      <c r="AF6655">
        <v>-4.11518194603544</v>
      </c>
      <c r="AG6655">
        <v>-1.11023243639029</v>
      </c>
      <c r="AH6655">
        <v>26.085782300121799</v>
      </c>
      <c r="AI6655">
        <v>92.407348944488902</v>
      </c>
      <c r="AJ6655">
        <v>98.964856353000201</v>
      </c>
      <c r="AK6655">
        <v>26.4317115738111</v>
      </c>
      <c r="AL6655">
        <v>79.624351759917005</v>
      </c>
      <c r="AM6655">
        <v>95.378218028998106</v>
      </c>
      <c r="AN6655">
        <v>1.00000003888702</v>
      </c>
    </row>
    <row r="6656" spans="1:40" x14ac:dyDescent="0.25">
      <c r="A6656" t="str">
        <f>"20190304155235279"</f>
        <v>20190304155235279</v>
      </c>
      <c r="B6656" t="str">
        <f>"1551685955274049"</f>
        <v>1551685955274049</v>
      </c>
      <c r="C6656" t="s">
        <v>40</v>
      </c>
      <c r="D6656">
        <v>4.8484639999999999</v>
      </c>
      <c r="E6656">
        <v>0.47471550000000001</v>
      </c>
      <c r="F6656" t="s">
        <v>107</v>
      </c>
      <c r="G6656">
        <v>-232.47980000000001</v>
      </c>
      <c r="H6656" s="1">
        <v>-2.8858260000000002E-7</v>
      </c>
      <c r="I6656">
        <v>-59.044130000000003</v>
      </c>
      <c r="J6656">
        <v>-258.88</v>
      </c>
      <c r="K6656">
        <v>1.1102240000000001</v>
      </c>
      <c r="L6656">
        <v>-62.980409999999999</v>
      </c>
      <c r="M6656">
        <v>0.99992139999999996</v>
      </c>
      <c r="N6656">
        <v>-8.6472479999999997E-3</v>
      </c>
      <c r="O6656">
        <v>-9.0883820000000008E-3</v>
      </c>
      <c r="P6656">
        <v>0.98156379999999999</v>
      </c>
      <c r="Q6656">
        <v>0.17209199999999999</v>
      </c>
      <c r="R6656">
        <v>8.316867E-2</v>
      </c>
      <c r="S6656">
        <v>3.040222</v>
      </c>
      <c r="T6656">
        <v>-0.12719459999999999</v>
      </c>
      <c r="U6656">
        <v>0.45083620000000002</v>
      </c>
      <c r="V6656">
        <v>-9.2213619999999996E-2</v>
      </c>
      <c r="W6656">
        <v>0.18050169999999999</v>
      </c>
      <c r="X6656">
        <v>0.97924239999999996</v>
      </c>
      <c r="Y6656">
        <v>-0.155504799999999</v>
      </c>
      <c r="Z6656">
        <v>4.2101669999999999E-3</v>
      </c>
      <c r="AA6656">
        <v>0.98782619999999999</v>
      </c>
      <c r="AB6656">
        <v>26</v>
      </c>
      <c r="AC6656">
        <v>26.400199999999899</v>
      </c>
      <c r="AD6656">
        <v>-1.1102242885825999</v>
      </c>
      <c r="AE6656">
        <v>3.9362799999999898</v>
      </c>
      <c r="AF6656">
        <v>-4.1688491640974501</v>
      </c>
      <c r="AG6656">
        <v>-1.1102242885825999</v>
      </c>
      <c r="AH6656">
        <v>26.3178027885508</v>
      </c>
      <c r="AI6656">
        <v>92.385894326252398</v>
      </c>
      <c r="AJ6656">
        <v>99.001101607363694</v>
      </c>
      <c r="AK6656">
        <v>26.669057818772099</v>
      </c>
      <c r="AL6656">
        <v>79.601015672244102</v>
      </c>
      <c r="AM6656">
        <v>95.379583750188402</v>
      </c>
      <c r="AN6656">
        <v>0.99999994668707504</v>
      </c>
    </row>
    <row r="6657" spans="1:40" x14ac:dyDescent="0.25">
      <c r="A6657" t="str">
        <f>"20190304155235291"</f>
        <v>20190304155235291</v>
      </c>
      <c r="B6657" t="str">
        <f>"1551685955283809"</f>
        <v>1551685955283809</v>
      </c>
      <c r="C6657" t="s">
        <v>40</v>
      </c>
      <c r="D6657">
        <v>4.8837359999999999</v>
      </c>
      <c r="E6657">
        <v>0.47445510000000002</v>
      </c>
      <c r="F6657" t="s">
        <v>107</v>
      </c>
      <c r="G6657">
        <v>-232.04859999999999</v>
      </c>
      <c r="H6657" s="1">
        <v>-1.142116E-7</v>
      </c>
      <c r="I6657">
        <v>-58.984290000000001</v>
      </c>
      <c r="J6657">
        <v>-258.75380000000001</v>
      </c>
      <c r="K6657">
        <v>1.1102179999999999</v>
      </c>
      <c r="L6657">
        <v>-62.981319999999997</v>
      </c>
      <c r="M6657">
        <v>0.99992329999999996</v>
      </c>
      <c r="N6657">
        <v>-8.6493830000000001E-3</v>
      </c>
      <c r="O6657">
        <v>-8.8806719999999992E-3</v>
      </c>
      <c r="P6657">
        <v>0.98145570000000004</v>
      </c>
      <c r="Q6657">
        <v>0.17255570000000001</v>
      </c>
      <c r="R6657">
        <v>8.3483639999999998E-2</v>
      </c>
      <c r="S6657">
        <v>3.0400390000000002</v>
      </c>
      <c r="T6657">
        <v>-0.12579000000000001</v>
      </c>
      <c r="U6657">
        <v>0.45275880000000002</v>
      </c>
      <c r="V6657">
        <v>-9.2321379999999995E-2</v>
      </c>
      <c r="W6657">
        <v>0.18096780000000001</v>
      </c>
      <c r="X6657">
        <v>0.97914619999999997</v>
      </c>
      <c r="Y6657">
        <v>-0.15592249999999999</v>
      </c>
      <c r="Z6657">
        <v>4.1741829999999997E-3</v>
      </c>
      <c r="AA6657">
        <v>0.98776050000000004</v>
      </c>
      <c r="AB6657">
        <v>26</v>
      </c>
      <c r="AC6657">
        <v>26.705200000000001</v>
      </c>
      <c r="AD6657">
        <v>-1.1102181142116001</v>
      </c>
      <c r="AE6657">
        <v>3.9970299999999899</v>
      </c>
      <c r="AF6657">
        <v>-4.2268959566327098</v>
      </c>
      <c r="AG6657">
        <v>-1.1102181142116001</v>
      </c>
      <c r="AH6657">
        <v>26.623643152877602</v>
      </c>
      <c r="AI6657">
        <v>92.358372870142901</v>
      </c>
      <c r="AJ6657">
        <v>99.021255452237995</v>
      </c>
      <c r="AK6657">
        <v>26.9799482657229</v>
      </c>
      <c r="AL6657">
        <v>79.573862792228695</v>
      </c>
      <c r="AM6657">
        <v>95.386359377400098</v>
      </c>
      <c r="AN6657">
        <v>0.99999993140818899</v>
      </c>
    </row>
    <row r="6658" spans="1:40" x14ac:dyDescent="0.25">
      <c r="A6658" t="str">
        <f>"20190304155235303"</f>
        <v>20190304155235303</v>
      </c>
      <c r="B6658" t="str">
        <f>"1551685955293568"</f>
        <v>1551685955293568</v>
      </c>
      <c r="C6658" t="s">
        <v>40</v>
      </c>
      <c r="D6658">
        <v>4.7867119999999996</v>
      </c>
      <c r="E6658">
        <v>0.47420180000000001</v>
      </c>
      <c r="F6658" t="s">
        <v>107</v>
      </c>
      <c r="G6658">
        <v>-231.64689999999999</v>
      </c>
      <c r="H6658" s="1">
        <v>4.6726089999999901E-8</v>
      </c>
      <c r="I6658">
        <v>-58.920250000000003</v>
      </c>
      <c r="J6658">
        <v>-258.61669999999998</v>
      </c>
      <c r="K6658">
        <v>1.1102179999999999</v>
      </c>
      <c r="L6658">
        <v>-62.982329999999997</v>
      </c>
      <c r="M6658">
        <v>0.99992510000000001</v>
      </c>
      <c r="N6658">
        <v>-8.6516819999999904E-3</v>
      </c>
      <c r="O6658">
        <v>-8.6614090000000001E-3</v>
      </c>
      <c r="P6658">
        <v>0.98130919999999999</v>
      </c>
      <c r="Q6658">
        <v>0.173155</v>
      </c>
      <c r="R6658">
        <v>8.3962759999999997E-2</v>
      </c>
      <c r="S6658">
        <v>3.039841</v>
      </c>
      <c r="T6658">
        <v>-0.1245033</v>
      </c>
      <c r="U6658">
        <v>0.45541379999999998</v>
      </c>
      <c r="V6658">
        <v>-9.2581739999999996E-2</v>
      </c>
      <c r="W6658">
        <v>0.18157000000000001</v>
      </c>
      <c r="X6658">
        <v>0.97901020000000005</v>
      </c>
      <c r="Y6658">
        <v>-0.1565617</v>
      </c>
      <c r="Z6658">
        <v>4.1466259999999996E-3</v>
      </c>
      <c r="AA6658">
        <v>0.98765950000000002</v>
      </c>
      <c r="AB6658">
        <v>26</v>
      </c>
      <c r="AC6658">
        <v>26.9697999999999</v>
      </c>
      <c r="AD6658">
        <v>-1.1102179532739</v>
      </c>
      <c r="AE6658">
        <v>4.0620799999999999</v>
      </c>
      <c r="AF6658">
        <v>-4.2884269519744098</v>
      </c>
      <c r="AG6658">
        <v>-1.1102179532739</v>
      </c>
      <c r="AH6658">
        <v>26.889048812742899</v>
      </c>
      <c r="AI6658">
        <v>92.334859265295904</v>
      </c>
      <c r="AJ6658">
        <v>99.061559926835102</v>
      </c>
      <c r="AK6658">
        <v>27.251497861223399</v>
      </c>
      <c r="AL6658">
        <v>79.538778847647606</v>
      </c>
      <c r="AM6658">
        <v>95.402205902834496</v>
      </c>
      <c r="AN6658">
        <v>1.00000000759273</v>
      </c>
    </row>
    <row r="6659" spans="1:40" x14ac:dyDescent="0.25">
      <c r="A6659" t="str">
        <f>"20190304155235316"</f>
        <v>20190304155235316</v>
      </c>
      <c r="B6659" t="str">
        <f>"1551685955303328"</f>
        <v>1551685955303328</v>
      </c>
      <c r="C6659" t="s">
        <v>40</v>
      </c>
      <c r="D6659">
        <v>5.0277849999999997</v>
      </c>
      <c r="E6659">
        <v>0.47428359999999897</v>
      </c>
      <c r="F6659" t="s">
        <v>107</v>
      </c>
      <c r="G6659">
        <v>-231.8382</v>
      </c>
      <c r="H6659" s="1">
        <v>-3.1411669999999998E-8</v>
      </c>
      <c r="I6659">
        <v>-58.942329999999998</v>
      </c>
      <c r="J6659">
        <v>-258.47750000000002</v>
      </c>
      <c r="K6659">
        <v>1.1102129999999999</v>
      </c>
      <c r="L6659">
        <v>-62.983310000000003</v>
      </c>
      <c r="M6659">
        <v>0.99992689999999995</v>
      </c>
      <c r="N6659">
        <v>-8.6540360000000004E-3</v>
      </c>
      <c r="O6659">
        <v>-8.44596699999999E-3</v>
      </c>
      <c r="P6659">
        <v>0.98119000000000001</v>
      </c>
      <c r="Q6659">
        <v>0.17370429999999901</v>
      </c>
      <c r="R6659">
        <v>8.4219299999999997E-2</v>
      </c>
      <c r="S6659">
        <v>3.0401310000000001</v>
      </c>
      <c r="T6659">
        <v>-0.12604169999999901</v>
      </c>
      <c r="U6659">
        <v>0.45864870000000002</v>
      </c>
      <c r="V6659">
        <v>-9.2622999999999997E-2</v>
      </c>
      <c r="W6659">
        <v>0.1821218</v>
      </c>
      <c r="X6659">
        <v>0.97890379999999999</v>
      </c>
      <c r="Y6659">
        <v>-0.15735839999999901</v>
      </c>
      <c r="Z6659">
        <v>4.2027970000000003E-3</v>
      </c>
      <c r="AA6659">
        <v>0.98753259999999998</v>
      </c>
      <c r="AB6659">
        <v>26</v>
      </c>
      <c r="AC6659">
        <v>26.639299999999999</v>
      </c>
      <c r="AD6659">
        <v>-1.1102130314116601</v>
      </c>
      <c r="AE6659">
        <v>4.0409799999999896</v>
      </c>
      <c r="AF6659">
        <v>-4.2586086551960696</v>
      </c>
      <c r="AG6659">
        <v>-1.1102130314116601</v>
      </c>
      <c r="AH6659">
        <v>26.559126379323999</v>
      </c>
      <c r="AI6659">
        <v>92.363504124477302</v>
      </c>
      <c r="AJ6659">
        <v>99.109519100448495</v>
      </c>
      <c r="AK6659">
        <v>26.921283674560001</v>
      </c>
      <c r="AL6659">
        <v>79.506626993924002</v>
      </c>
      <c r="AM6659">
        <v>95.405183161662194</v>
      </c>
      <c r="AN6659">
        <v>1.00000000990934</v>
      </c>
    </row>
    <row r="6660" spans="1:40" x14ac:dyDescent="0.25">
      <c r="A6660" t="str">
        <f>"20190304155235328"</f>
        <v>20190304155235328</v>
      </c>
      <c r="B6660" t="str">
        <f>"1551685955323826"</f>
        <v>1551685955323826</v>
      </c>
      <c r="C6660" t="s">
        <v>40</v>
      </c>
      <c r="D6660">
        <v>4.8782209999999999</v>
      </c>
      <c r="E6660">
        <v>0.4740453</v>
      </c>
      <c r="F6660" t="s">
        <v>107</v>
      </c>
      <c r="G6660">
        <v>-230.92339999999999</v>
      </c>
      <c r="H6660" s="1">
        <v>2.83156599999999E-7</v>
      </c>
      <c r="I6660">
        <v>-58.822249999999997</v>
      </c>
      <c r="J6660">
        <v>-258.3252</v>
      </c>
      <c r="K6660">
        <v>1.1102069999999999</v>
      </c>
      <c r="L6660">
        <v>-62.984340000000003</v>
      </c>
      <c r="M6660">
        <v>0.99992890000000001</v>
      </c>
      <c r="N6660">
        <v>-8.6566319999999992E-3</v>
      </c>
      <c r="O6660">
        <v>-8.2157549999999999E-3</v>
      </c>
      <c r="P6660">
        <v>0.98108379999999995</v>
      </c>
      <c r="Q6660">
        <v>0.17419560000000001</v>
      </c>
      <c r="R6660">
        <v>8.4444050000000007E-2</v>
      </c>
      <c r="S6660">
        <v>3.0397949999999998</v>
      </c>
      <c r="T6660">
        <v>-0.1224797</v>
      </c>
      <c r="U6660">
        <v>0.45904539999999999</v>
      </c>
      <c r="V6660">
        <v>-9.2617610000000003E-2</v>
      </c>
      <c r="W6660">
        <v>0.18261740000000001</v>
      </c>
      <c r="X6660">
        <v>0.97881200000000002</v>
      </c>
      <c r="Y6660">
        <v>-0.1572818</v>
      </c>
      <c r="Z6660">
        <v>4.0928240000000001E-3</v>
      </c>
      <c r="AA6660">
        <v>0.98754529999999996</v>
      </c>
      <c r="AB6660">
        <v>26</v>
      </c>
      <c r="AC6660">
        <v>27.401800000000001</v>
      </c>
      <c r="AD6660">
        <v>-1.11020671684339</v>
      </c>
      <c r="AE6660">
        <v>4.1620900000000001</v>
      </c>
      <c r="AF6660">
        <v>-4.3800565369478397</v>
      </c>
      <c r="AG6660">
        <v>-1.11020671684339</v>
      </c>
      <c r="AH6660">
        <v>27.3228392291803</v>
      </c>
      <c r="AI6660">
        <v>92.297512775773299</v>
      </c>
      <c r="AJ6660">
        <v>99.107455770385499</v>
      </c>
      <c r="AK6660">
        <v>27.693952368064298</v>
      </c>
      <c r="AL6660">
        <v>79.477747142944494</v>
      </c>
      <c r="AM6660">
        <v>95.405374386374007</v>
      </c>
      <c r="AN6660">
        <v>1.0000000339044299</v>
      </c>
    </row>
    <row r="6661" spans="1:40" x14ac:dyDescent="0.25">
      <c r="A6661" t="str">
        <f>"20190304155235339"</f>
        <v>20190304155235339</v>
      </c>
      <c r="B6661" t="str">
        <f>"1551685955333584"</f>
        <v>1551685955333584</v>
      </c>
      <c r="C6661" t="s">
        <v>40</v>
      </c>
      <c r="D6661">
        <v>4.8553169999999897</v>
      </c>
      <c r="E6661">
        <v>0.47384349999999997</v>
      </c>
      <c r="F6661" t="s">
        <v>107</v>
      </c>
      <c r="G6661">
        <v>-230.5042</v>
      </c>
      <c r="H6661" s="1">
        <v>4.0830319999999998E-7</v>
      </c>
      <c r="I6661">
        <v>-58.756500000000003</v>
      </c>
      <c r="J6661">
        <v>-258.18830000000003</v>
      </c>
      <c r="K6661">
        <v>1.1102000000000001</v>
      </c>
      <c r="L6661">
        <v>-62.985230000000001</v>
      </c>
      <c r="M6661">
        <v>0.99993030000000005</v>
      </c>
      <c r="N6661">
        <v>-8.6590369999999996E-3</v>
      </c>
      <c r="O6661">
        <v>-8.0223810000000003E-3</v>
      </c>
      <c r="P6661">
        <v>0.98099789999999998</v>
      </c>
      <c r="Q6661">
        <v>0.17462549999999999</v>
      </c>
      <c r="R6661">
        <v>8.4552810000000006E-2</v>
      </c>
      <c r="S6661">
        <v>3.0396269999999999</v>
      </c>
      <c r="T6661">
        <v>-0.1212975</v>
      </c>
      <c r="U6661">
        <v>0.46191409999999999</v>
      </c>
      <c r="V6661">
        <v>-9.2532069999999994E-2</v>
      </c>
      <c r="W6661">
        <v>0.18305099999999999</v>
      </c>
      <c r="X6661">
        <v>0.97873909999999997</v>
      </c>
      <c r="Y6661">
        <v>-0.15801200000000001</v>
      </c>
      <c r="Z6661">
        <v>4.0710939999999999E-3</v>
      </c>
      <c r="AA6661">
        <v>0.9874288</v>
      </c>
      <c r="AB6661">
        <v>26</v>
      </c>
      <c r="AC6661">
        <v>27.684100000000001</v>
      </c>
      <c r="AD6661">
        <v>-1.1101995916967999</v>
      </c>
      <c r="AE6661">
        <v>4.2287299999999899</v>
      </c>
      <c r="AF6661">
        <v>-4.4437111846444797</v>
      </c>
      <c r="AG6661">
        <v>-1.1101995916967999</v>
      </c>
      <c r="AH6661">
        <v>27.605899617154201</v>
      </c>
      <c r="AI6661">
        <v>92.273729720538697</v>
      </c>
      <c r="AJ6661">
        <v>99.144437161510695</v>
      </c>
      <c r="AK6661">
        <v>27.983295122239099</v>
      </c>
      <c r="AL6661">
        <v>79.452477803371906</v>
      </c>
      <c r="AM6661">
        <v>95.400811469857899</v>
      </c>
      <c r="AN6661">
        <v>1.0000000392241399</v>
      </c>
    </row>
    <row r="6662" spans="1:40" x14ac:dyDescent="0.25">
      <c r="A6662" t="str">
        <f>"20190304155235350"</f>
        <v>20190304155235350</v>
      </c>
      <c r="B6662" t="str">
        <f>"1551685955343344"</f>
        <v>1551685955343344</v>
      </c>
      <c r="C6662" t="s">
        <v>40</v>
      </c>
      <c r="D6662">
        <v>5.0903830000000001</v>
      </c>
      <c r="E6662">
        <v>0.47338659999999999</v>
      </c>
      <c r="F6662" t="s">
        <v>107</v>
      </c>
      <c r="G6662">
        <v>-230.071</v>
      </c>
      <c r="H6662" s="1">
        <v>5.3819919999999899E-7</v>
      </c>
      <c r="I6662">
        <v>-58.690660000000001</v>
      </c>
      <c r="J6662">
        <v>-258.06650000000002</v>
      </c>
      <c r="K6662">
        <v>1.1101939999999999</v>
      </c>
      <c r="L6662">
        <v>-62.986020000000003</v>
      </c>
      <c r="M6662">
        <v>0.99993160000000003</v>
      </c>
      <c r="N6662">
        <v>-8.6611859999999995E-3</v>
      </c>
      <c r="O6662">
        <v>-7.8528399999999998E-3</v>
      </c>
      <c r="P6662">
        <v>0.98097350000000005</v>
      </c>
      <c r="Q6662">
        <v>0.17466509999999999</v>
      </c>
      <c r="R6662">
        <v>8.4753019999999998E-2</v>
      </c>
      <c r="S6662">
        <v>3.0394589999999999</v>
      </c>
      <c r="T6662">
        <v>-0.1200118</v>
      </c>
      <c r="U6662">
        <v>0.46423340000000002</v>
      </c>
      <c r="V6662">
        <v>-9.2562110000000003E-2</v>
      </c>
      <c r="W6662">
        <v>0.1830946</v>
      </c>
      <c r="X6662">
        <v>0.97872809999999999</v>
      </c>
      <c r="Y6662">
        <v>-0.1585916</v>
      </c>
      <c r="Z6662">
        <v>4.043418E-3</v>
      </c>
      <c r="AA6662">
        <v>0.98733599999999999</v>
      </c>
      <c r="AB6662">
        <v>26</v>
      </c>
      <c r="AC6662">
        <v>27.9955</v>
      </c>
      <c r="AD6662">
        <v>-1.1101934618008</v>
      </c>
      <c r="AE6662">
        <v>4.2953599999999899</v>
      </c>
      <c r="AF6662">
        <v>-4.5081534792106703</v>
      </c>
      <c r="AG6662">
        <v>-1.1101934618008</v>
      </c>
      <c r="AH6662">
        <v>27.918010323986898</v>
      </c>
      <c r="AI6662">
        <v>92.248144751732696</v>
      </c>
      <c r="AJ6662">
        <v>99.172845232744194</v>
      </c>
      <c r="AK6662">
        <v>28.301435966483801</v>
      </c>
      <c r="AL6662">
        <v>79.449936719782698</v>
      </c>
      <c r="AM6662">
        <v>95.402614799865205</v>
      </c>
      <c r="AN6662">
        <v>1.0000000352432099</v>
      </c>
    </row>
    <row r="6663" spans="1:40" x14ac:dyDescent="0.25">
      <c r="A6663" t="str">
        <f>"20190304155235358"</f>
        <v>20190304155235358</v>
      </c>
      <c r="B6663" t="str">
        <f>"1551685955354081"</f>
        <v>1551685955354081</v>
      </c>
      <c r="C6663" t="s">
        <v>40</v>
      </c>
      <c r="D6663">
        <v>4.8948359999999997</v>
      </c>
      <c r="E6663">
        <v>0.47326109999999999</v>
      </c>
      <c r="F6663" t="s">
        <v>107</v>
      </c>
      <c r="G6663">
        <v>-230.36850000000001</v>
      </c>
      <c r="H6663" s="1">
        <v>4.442368E-7</v>
      </c>
      <c r="I6663">
        <v>-58.717880000000001</v>
      </c>
      <c r="J6663">
        <v>-257.9579</v>
      </c>
      <c r="K6663">
        <v>1.1101859999999999</v>
      </c>
      <c r="L6663">
        <v>-62.986719999999998</v>
      </c>
      <c r="M6663">
        <v>0.99993279999999995</v>
      </c>
      <c r="N6663">
        <v>-8.6631350000000006E-3</v>
      </c>
      <c r="O6663">
        <v>-7.7109509999999997E-3</v>
      </c>
      <c r="P6663">
        <v>0.98095120000000002</v>
      </c>
      <c r="Q6663">
        <v>0.17473939999999999</v>
      </c>
      <c r="R6663">
        <v>8.4857180000000004E-2</v>
      </c>
      <c r="S6663">
        <v>3.0394130000000001</v>
      </c>
      <c r="T6663">
        <v>-0.1218259</v>
      </c>
      <c r="U6663">
        <v>0.46835329999999997</v>
      </c>
      <c r="V6663">
        <v>-9.2523419999999995E-2</v>
      </c>
      <c r="W6663">
        <v>0.18317240000000001</v>
      </c>
      <c r="X6663">
        <v>0.97871710000000001</v>
      </c>
      <c r="Y6663">
        <v>-0.15975590000000001</v>
      </c>
      <c r="Z6663">
        <v>4.1188300000000004E-3</v>
      </c>
      <c r="AA6663">
        <v>0.98714800000000003</v>
      </c>
      <c r="AB6663">
        <v>26</v>
      </c>
      <c r="AC6663">
        <v>27.589399999999898</v>
      </c>
      <c r="AD6663">
        <v>-1.1101855557631899</v>
      </c>
      <c r="AE6663">
        <v>4.2688399999999902</v>
      </c>
      <c r="AF6663">
        <v>-4.4743859285165097</v>
      </c>
      <c r="AG6663">
        <v>-1.1101855557631899</v>
      </c>
      <c r="AH6663">
        <v>27.512154927921099</v>
      </c>
      <c r="AI6663">
        <v>92.280842556074901</v>
      </c>
      <c r="AJ6663">
        <v>99.237313697881504</v>
      </c>
      <c r="AK6663">
        <v>27.895722076753401</v>
      </c>
      <c r="AL6663">
        <v>79.445401371475796</v>
      </c>
      <c r="AM6663">
        <v>95.400430253632805</v>
      </c>
      <c r="AN6663">
        <v>0.99999993660133102</v>
      </c>
    </row>
    <row r="6664" spans="1:40" x14ac:dyDescent="0.25">
      <c r="A6664" t="str">
        <f>"20190304155235381"</f>
        <v>20190304155235381</v>
      </c>
      <c r="B6664" t="str">
        <f>"1551685955373601"</f>
        <v>1551685955373601</v>
      </c>
      <c r="C6664" t="s">
        <v>40</v>
      </c>
      <c r="D6664">
        <v>4.9268010000000002</v>
      </c>
      <c r="E6664">
        <v>0.47303640000000002</v>
      </c>
      <c r="F6664" t="s">
        <v>107</v>
      </c>
      <c r="G6664">
        <v>-230.31229999999999</v>
      </c>
      <c r="H6664" s="1">
        <v>4.6325410000000002E-7</v>
      </c>
      <c r="I6664">
        <v>-58.717480000000002</v>
      </c>
      <c r="J6664">
        <v>-257.70119999999997</v>
      </c>
      <c r="K6664">
        <v>1.1101650000000001</v>
      </c>
      <c r="L6664">
        <v>-62.988370000000003</v>
      </c>
      <c r="M6664">
        <v>0.99993520000000002</v>
      </c>
      <c r="N6664">
        <v>-8.6677519999999904E-3</v>
      </c>
      <c r="O6664">
        <v>-7.3952799999999997E-3</v>
      </c>
      <c r="P6664">
        <v>0.98094309999999996</v>
      </c>
      <c r="Q6664">
        <v>0.1747136</v>
      </c>
      <c r="R6664">
        <v>8.5005720000000007E-2</v>
      </c>
      <c r="S6664">
        <v>3.0393979999999998</v>
      </c>
      <c r="T6664">
        <v>-0.122055399999999</v>
      </c>
      <c r="U6664">
        <v>0.46936040000000001</v>
      </c>
      <c r="V6664">
        <v>-9.2353359999999995E-2</v>
      </c>
      <c r="W6664">
        <v>0.18315600000000001</v>
      </c>
      <c r="X6664">
        <v>0.9787363</v>
      </c>
      <c r="Y6664">
        <v>-0.15976409999999999</v>
      </c>
      <c r="Z6664">
        <v>4.1159999999999999E-3</v>
      </c>
      <c r="AA6664">
        <v>0.98714659999999999</v>
      </c>
      <c r="AB6664">
        <v>26</v>
      </c>
      <c r="AC6664">
        <v>27.3888999999999</v>
      </c>
      <c r="AD6664">
        <v>-1.1101645367458901</v>
      </c>
      <c r="AE6664">
        <v>4.2708899999999899</v>
      </c>
      <c r="AF6664">
        <v>-4.4661658519918497</v>
      </c>
      <c r="AG6664">
        <v>-1.1101645367458901</v>
      </c>
      <c r="AH6664">
        <v>27.312756989719698</v>
      </c>
      <c r="AI6664">
        <v>92.297109609036397</v>
      </c>
      <c r="AJ6664">
        <v>99.286782163809306</v>
      </c>
      <c r="AK6664">
        <v>27.697757979584299</v>
      </c>
      <c r="AL6664">
        <v>79.446357914052101</v>
      </c>
      <c r="AM6664">
        <v>95.390457548771096</v>
      </c>
      <c r="AN6664">
        <v>1.00000000418848</v>
      </c>
    </row>
    <row r="6665" spans="1:40" x14ac:dyDescent="0.25">
      <c r="A6665" t="str">
        <f>"20190304155235392"</f>
        <v>20190304155235392</v>
      </c>
      <c r="B6665" t="str">
        <f>"1551685955383360"</f>
        <v>1551685955383360</v>
      </c>
      <c r="C6665" t="s">
        <v>40</v>
      </c>
      <c r="D6665">
        <v>4.8211930000000001</v>
      </c>
      <c r="E6665">
        <v>0.47320109999999899</v>
      </c>
      <c r="F6665" t="s">
        <v>107</v>
      </c>
      <c r="G6665">
        <v>-230.10149999999999</v>
      </c>
      <c r="H6665" s="1">
        <v>5.3356509999999999E-7</v>
      </c>
      <c r="I6665">
        <v>-58.712200000000003</v>
      </c>
      <c r="J6665">
        <v>-257.57040000000001</v>
      </c>
      <c r="K6665">
        <v>1.1101529999999999</v>
      </c>
      <c r="L6665">
        <v>-62.989170000000001</v>
      </c>
      <c r="M6665">
        <v>0.9999363</v>
      </c>
      <c r="N6665">
        <v>-8.6700800000000001E-3</v>
      </c>
      <c r="O6665">
        <v>-7.2479490000000001E-3</v>
      </c>
      <c r="P6665">
        <v>0.9808983</v>
      </c>
      <c r="Q6665">
        <v>0.17489360000000001</v>
      </c>
      <c r="R6665">
        <v>8.515412E-2</v>
      </c>
      <c r="S6665">
        <v>3.0392760000000001</v>
      </c>
      <c r="T6665">
        <v>-0.1222514</v>
      </c>
      <c r="U6665">
        <v>0.47088619999999998</v>
      </c>
      <c r="V6665">
        <v>-9.2351520000000006E-2</v>
      </c>
      <c r="W6665">
        <v>0.1833407</v>
      </c>
      <c r="X6665">
        <v>0.97870190000000001</v>
      </c>
      <c r="Y6665">
        <v>-0.1601079</v>
      </c>
      <c r="Z6665">
        <v>4.1255429999999997E-3</v>
      </c>
      <c r="AA6665">
        <v>0.98709089999999999</v>
      </c>
      <c r="AB6665">
        <v>26</v>
      </c>
      <c r="AC6665">
        <v>27.468900000000001</v>
      </c>
      <c r="AD6665">
        <v>-1.1101524664348901</v>
      </c>
      <c r="AE6665">
        <v>4.2769699999999897</v>
      </c>
      <c r="AF6665">
        <v>-4.4688318320744802</v>
      </c>
      <c r="AG6665">
        <v>-1.1101524664348901</v>
      </c>
      <c r="AH6665">
        <v>27.393493538721199</v>
      </c>
      <c r="AI6665">
        <v>92.290461699004297</v>
      </c>
      <c r="AJ6665">
        <v>99.265317791792896</v>
      </c>
      <c r="AK6665">
        <v>27.777803813441601</v>
      </c>
      <c r="AL6665">
        <v>79.435593185854401</v>
      </c>
      <c r="AM6665">
        <v>95.390539131951897</v>
      </c>
      <c r="AN6665">
        <v>1.0000000122932</v>
      </c>
    </row>
    <row r="6666" spans="1:40" x14ac:dyDescent="0.25">
      <c r="A6666" t="str">
        <f>"20190304155235402"</f>
        <v>20190304155235402</v>
      </c>
      <c r="B6666" t="str">
        <f>"1551685955393120"</f>
        <v>1551685955393120</v>
      </c>
      <c r="C6666" t="s">
        <v>40</v>
      </c>
      <c r="D6666">
        <v>4.8314029999999999</v>
      </c>
      <c r="E6666">
        <v>0.47304659999999898</v>
      </c>
      <c r="F6666" t="s">
        <v>106</v>
      </c>
      <c r="G6666">
        <v>-229.94669999999999</v>
      </c>
      <c r="H6666" s="1">
        <v>-3.7531289999999999E-6</v>
      </c>
      <c r="I6666">
        <v>-58.719230000000003</v>
      </c>
      <c r="J6666">
        <v>-257.43380000000002</v>
      </c>
      <c r="K6666">
        <v>1.1101350000000001</v>
      </c>
      <c r="L6666">
        <v>-62.989989999999999</v>
      </c>
      <c r="M6666">
        <v>0.99993719999999997</v>
      </c>
      <c r="N6666">
        <v>-8.6724650000000007E-3</v>
      </c>
      <c r="O6666">
        <v>-7.1055240000000002E-3</v>
      </c>
      <c r="P6666">
        <v>0.98088500000000001</v>
      </c>
      <c r="Q6666">
        <v>0.1748835</v>
      </c>
      <c r="R6666">
        <v>8.5324800000000006E-2</v>
      </c>
      <c r="S6666">
        <v>3.0394130000000001</v>
      </c>
      <c r="T6666">
        <v>-0.1221497</v>
      </c>
      <c r="U6666">
        <v>0.46981810000000002</v>
      </c>
      <c r="V6666">
        <v>-9.2376810000000004E-2</v>
      </c>
      <c r="W6666">
        <v>0.18333650000000001</v>
      </c>
      <c r="X6666">
        <v>0.97870029999999997</v>
      </c>
      <c r="Y6666">
        <v>-0.1596225</v>
      </c>
      <c r="Z6666">
        <v>4.1064630000000003E-3</v>
      </c>
      <c r="AA6666">
        <v>0.98716959999999998</v>
      </c>
      <c r="AB6666">
        <v>26</v>
      </c>
      <c r="AC6666">
        <v>27.487100000000002</v>
      </c>
      <c r="AD6666">
        <v>-1.1101387531289999</v>
      </c>
      <c r="AE6666">
        <v>4.2707599999999903</v>
      </c>
      <c r="AF6666">
        <v>-4.4588680737911304</v>
      </c>
      <c r="AG6666">
        <v>-1.1101387531289999</v>
      </c>
      <c r="AH6666">
        <v>27.412398890195998</v>
      </c>
      <c r="AI6666">
        <v>92.289028191121204</v>
      </c>
      <c r="AJ6666">
        <v>99.238750848971193</v>
      </c>
      <c r="AK6666">
        <v>27.794847102761501</v>
      </c>
      <c r="AL6666">
        <v>79.435837976806098</v>
      </c>
      <c r="AM6666">
        <v>95.392015367961307</v>
      </c>
      <c r="AN6666">
        <v>1.00000001223905</v>
      </c>
    </row>
    <row r="6667" spans="1:40" x14ac:dyDescent="0.25">
      <c r="A6667" t="str">
        <f>"20190304155235415"</f>
        <v>20190304155235415</v>
      </c>
      <c r="B6667" t="str">
        <f>"1551685955403858"</f>
        <v>1551685955403858</v>
      </c>
      <c r="C6667" t="s">
        <v>40</v>
      </c>
      <c r="D6667">
        <v>5.1803629999999998</v>
      </c>
      <c r="E6667">
        <v>0.47270709999999999</v>
      </c>
      <c r="F6667" t="s">
        <v>107</v>
      </c>
      <c r="G6667">
        <v>-230.60069999999999</v>
      </c>
      <c r="H6667" s="1">
        <v>3.9492949999999999E-7</v>
      </c>
      <c r="I6667">
        <v>-58.829599999999999</v>
      </c>
      <c r="J6667">
        <v>-257.29939999999999</v>
      </c>
      <c r="K6667">
        <v>1.1101190000000001</v>
      </c>
      <c r="L6667">
        <v>-62.990810000000003</v>
      </c>
      <c r="M6667">
        <v>0.99993799999999999</v>
      </c>
      <c r="N6667">
        <v>-8.6748659999999998E-3</v>
      </c>
      <c r="O6667">
        <v>-6.9774090000000004E-3</v>
      </c>
      <c r="P6667">
        <v>0.98084590000000005</v>
      </c>
      <c r="Q6667">
        <v>0.175126799999999</v>
      </c>
      <c r="R6667">
        <v>8.5276179999999993E-2</v>
      </c>
      <c r="S6667">
        <v>3.0398559999999999</v>
      </c>
      <c r="T6667">
        <v>-0.1257645</v>
      </c>
      <c r="U6667">
        <v>0.4713135</v>
      </c>
      <c r="V6667">
        <v>-9.2195589999999994E-2</v>
      </c>
      <c r="W6667">
        <v>0.18358450000000001</v>
      </c>
      <c r="X6667">
        <v>0.97867090000000001</v>
      </c>
      <c r="Y6667">
        <v>-0.15993979999999999</v>
      </c>
      <c r="Z6667">
        <v>4.2124149999999997E-3</v>
      </c>
      <c r="AA6667">
        <v>0.98711780000000005</v>
      </c>
      <c r="AB6667">
        <v>26</v>
      </c>
      <c r="AC6667">
        <v>26.698699999999999</v>
      </c>
      <c r="AD6667">
        <v>-1.1101186050704901</v>
      </c>
      <c r="AE6667">
        <v>4.1612099999999899</v>
      </c>
      <c r="AF6667">
        <v>-4.3400780457272097</v>
      </c>
      <c r="AG6667">
        <v>-1.1101186050704901</v>
      </c>
      <c r="AH6667">
        <v>26.624076930673699</v>
      </c>
      <c r="AI6667">
        <v>92.356554445898993</v>
      </c>
      <c r="AJ6667">
        <v>99.258535964870205</v>
      </c>
      <c r="AK6667">
        <v>26.998335377773898</v>
      </c>
      <c r="AL6667">
        <v>79.421383293281394</v>
      </c>
      <c r="AM6667">
        <v>95.381660470379003</v>
      </c>
      <c r="AN6667">
        <v>1.0000000129812501</v>
      </c>
    </row>
    <row r="6668" spans="1:40" x14ac:dyDescent="0.25">
      <c r="A6668" t="str">
        <f>"20190304155235426"</f>
        <v>20190304155235426</v>
      </c>
      <c r="B6668" t="str">
        <f>"1551685955423377"</f>
        <v>1551685955423377</v>
      </c>
      <c r="C6668" t="s">
        <v>40</v>
      </c>
      <c r="D6668">
        <v>4.9317729999999997</v>
      </c>
      <c r="E6668">
        <v>0.47252300000000003</v>
      </c>
      <c r="F6668" t="s">
        <v>107</v>
      </c>
      <c r="G6668">
        <v>-230.63560000000001</v>
      </c>
      <c r="H6668" s="1">
        <v>3.844659E-7</v>
      </c>
      <c r="I6668">
        <v>-58.834919999999997</v>
      </c>
      <c r="J6668">
        <v>-257.15820000000002</v>
      </c>
      <c r="K6668">
        <v>1.1101019999999999</v>
      </c>
      <c r="L6668">
        <v>-62.991639999999997</v>
      </c>
      <c r="M6668">
        <v>0.99993900000000002</v>
      </c>
      <c r="N6668">
        <v>-8.6774209999999994E-3</v>
      </c>
      <c r="O6668">
        <v>-6.8508559999999998E-3</v>
      </c>
      <c r="P6668">
        <v>0.98079680000000002</v>
      </c>
      <c r="Q6668">
        <v>0.17536109999999999</v>
      </c>
      <c r="R6668">
        <v>8.5360270000000002E-2</v>
      </c>
      <c r="S6668">
        <v>3.0399929999999999</v>
      </c>
      <c r="T6668">
        <v>-0.12656689999999901</v>
      </c>
      <c r="U6668">
        <v>0.47381590000000001</v>
      </c>
      <c r="V6668">
        <v>-9.2148450000000007E-2</v>
      </c>
      <c r="W6668">
        <v>0.18382490000000001</v>
      </c>
      <c r="X6668">
        <v>0.97863020000000001</v>
      </c>
      <c r="Y6668">
        <v>-0.16059889999999999</v>
      </c>
      <c r="Z6668">
        <v>4.2474210000000004E-3</v>
      </c>
      <c r="AA6668">
        <v>0.98701059999999996</v>
      </c>
      <c r="AB6668">
        <v>27</v>
      </c>
      <c r="AC6668">
        <v>26.522600000000001</v>
      </c>
      <c r="AD6668">
        <v>-1.1101016155340999</v>
      </c>
      <c r="AE6668">
        <v>4.15672</v>
      </c>
      <c r="AF6668">
        <v>-4.3309265967695696</v>
      </c>
      <c r="AG6668">
        <v>-1.1101016155340999</v>
      </c>
      <c r="AH6668">
        <v>26.448277115689699</v>
      </c>
      <c r="AI6668">
        <v>92.3718861213043</v>
      </c>
      <c r="AJ6668">
        <v>99.299694341296799</v>
      </c>
      <c r="AK6668">
        <v>26.823508591750901</v>
      </c>
      <c r="AL6668">
        <v>79.407370773911097</v>
      </c>
      <c r="AM6668">
        <v>95.3791473382867</v>
      </c>
      <c r="AN6668">
        <v>0.99999999952472596</v>
      </c>
    </row>
    <row r="6669" spans="1:40" x14ac:dyDescent="0.25">
      <c r="A6669" t="str">
        <f>"20190304155235437"</f>
        <v>20190304155235437</v>
      </c>
      <c r="B6669" t="str">
        <f>"1551685955433137"</f>
        <v>1551685955433137</v>
      </c>
      <c r="C6669" t="s">
        <v>40</v>
      </c>
      <c r="D6669">
        <v>4.932893</v>
      </c>
      <c r="E6669">
        <v>0.47240749999999998</v>
      </c>
      <c r="F6669" t="s">
        <v>107</v>
      </c>
      <c r="G6669">
        <v>-230.4795</v>
      </c>
      <c r="H6669" s="1">
        <v>4.3324809999999998E-7</v>
      </c>
      <c r="I6669">
        <v>-58.818660000000001</v>
      </c>
      <c r="J6669">
        <v>-257.03440000000001</v>
      </c>
      <c r="K6669">
        <v>1.1100890000000001</v>
      </c>
      <c r="L6669">
        <v>-62.992400000000004</v>
      </c>
      <c r="M6669">
        <v>0.99993949999999998</v>
      </c>
      <c r="N6669">
        <v>-8.679684E-3</v>
      </c>
      <c r="O6669">
        <v>-6.7561180000000002E-3</v>
      </c>
      <c r="P6669">
        <v>0.98080500000000004</v>
      </c>
      <c r="Q6669">
        <v>0.17522480000000001</v>
      </c>
      <c r="R6669">
        <v>8.5544270000000006E-2</v>
      </c>
      <c r="S6669">
        <v>3.0399780000000001</v>
      </c>
      <c r="T6669">
        <v>-0.12649360000000001</v>
      </c>
      <c r="U6669">
        <v>0.47549439999999998</v>
      </c>
      <c r="V6669">
        <v>-9.2233800000000005E-2</v>
      </c>
      <c r="W6669">
        <v>0.1836942</v>
      </c>
      <c r="X6669">
        <v>0.97864669999999998</v>
      </c>
      <c r="Y6669">
        <v>-0.16103789999999901</v>
      </c>
      <c r="Z6669">
        <v>4.2532910000000002E-3</v>
      </c>
      <c r="AA6669">
        <v>0.98693909999999996</v>
      </c>
      <c r="AB6669">
        <v>27</v>
      </c>
      <c r="AC6669">
        <v>26.5549</v>
      </c>
      <c r="AD6669">
        <v>-1.11008856675189</v>
      </c>
      <c r="AE6669">
        <v>4.1737399999999996</v>
      </c>
      <c r="AF6669">
        <v>-4.3456484416279704</v>
      </c>
      <c r="AG6669">
        <v>-1.11008856675189</v>
      </c>
      <c r="AH6669">
        <v>26.480933827144401</v>
      </c>
      <c r="AI6669">
        <v>92.368802876297195</v>
      </c>
      <c r="AJ6669">
        <v>99.3194463334505</v>
      </c>
      <c r="AK6669">
        <v>26.8580865543668</v>
      </c>
      <c r="AL6669">
        <v>79.414989048229501</v>
      </c>
      <c r="AM6669">
        <v>95.384010119606998</v>
      </c>
      <c r="AN6669">
        <v>0.99999999819848495</v>
      </c>
    </row>
    <row r="6670" spans="1:40" x14ac:dyDescent="0.25">
      <c r="A6670" t="str">
        <f>"20190304155235448"</f>
        <v>20190304155235448</v>
      </c>
      <c r="B6670" t="str">
        <f>"1551685955443874"</f>
        <v>1551685955443874</v>
      </c>
      <c r="C6670" t="s">
        <v>40</v>
      </c>
      <c r="D6670">
        <v>4.9304079999999999</v>
      </c>
      <c r="E6670">
        <v>0.47232220000000003</v>
      </c>
      <c r="F6670" t="s">
        <v>107</v>
      </c>
      <c r="G6670">
        <v>-230.51249999999999</v>
      </c>
      <c r="H6670" s="1">
        <v>4.2580610000000001E-7</v>
      </c>
      <c r="I6670">
        <v>-58.8328699999999</v>
      </c>
      <c r="J6670">
        <v>-256.904</v>
      </c>
      <c r="K6670">
        <v>1.110069</v>
      </c>
      <c r="L6670">
        <v>-62.993160000000003</v>
      </c>
      <c r="M6670">
        <v>0.9999401</v>
      </c>
      <c r="N6670">
        <v>-8.6820749999999992E-3</v>
      </c>
      <c r="O6670">
        <v>-6.6590059999999899E-3</v>
      </c>
      <c r="P6670">
        <v>0.98076300000000005</v>
      </c>
      <c r="Q6670">
        <v>0.17530570000000001</v>
      </c>
      <c r="R6670">
        <v>8.586009E-2</v>
      </c>
      <c r="S6670">
        <v>3.0398559999999999</v>
      </c>
      <c r="T6670">
        <v>-0.12723509999999999</v>
      </c>
      <c r="U6670">
        <v>0.47674559999999999</v>
      </c>
      <c r="V6670">
        <v>-9.2447409999999994E-2</v>
      </c>
      <c r="W6670">
        <v>0.1837799</v>
      </c>
      <c r="X6670">
        <v>0.97861050000000005</v>
      </c>
      <c r="Y6670">
        <v>-0.1613425</v>
      </c>
      <c r="Z6670">
        <v>4.27912E-3</v>
      </c>
      <c r="AA6670">
        <v>0.98688920000000002</v>
      </c>
      <c r="AB6670">
        <v>27</v>
      </c>
      <c r="AC6670">
        <v>26.391500000000001</v>
      </c>
      <c r="AD6670">
        <v>-1.1100685741939</v>
      </c>
      <c r="AE6670">
        <v>4.1602899999999998</v>
      </c>
      <c r="AF6670">
        <v>-4.3284733821405501</v>
      </c>
      <c r="AG6670">
        <v>-1.1100685741939</v>
      </c>
      <c r="AH6670">
        <v>26.317778512195801</v>
      </c>
      <c r="AI6670">
        <v>92.383289443929797</v>
      </c>
      <c r="AJ6670">
        <v>99.339795948467298</v>
      </c>
      <c r="AK6670">
        <v>26.694445112725401</v>
      </c>
      <c r="AL6670">
        <v>79.409994236999395</v>
      </c>
      <c r="AM6670">
        <v>95.396604198803402</v>
      </c>
      <c r="AN6670">
        <v>1.00000004298498</v>
      </c>
    </row>
    <row r="6671" spans="1:40" x14ac:dyDescent="0.25">
      <c r="A6671" t="str">
        <f>"20190304155235459"</f>
        <v>20190304155235459</v>
      </c>
      <c r="B6671" t="str">
        <f>"1551685955453164"</f>
        <v>1551685955453164</v>
      </c>
      <c r="C6671" t="s">
        <v>40</v>
      </c>
      <c r="D6671">
        <v>4.9236559999999896</v>
      </c>
      <c r="E6671">
        <v>0.47224240000000001</v>
      </c>
      <c r="F6671" t="s">
        <v>107</v>
      </c>
      <c r="G6671">
        <v>-230.3426</v>
      </c>
      <c r="H6671" s="1">
        <v>4.7814220000000001E-7</v>
      </c>
      <c r="I6671">
        <v>-58.812280000000001</v>
      </c>
      <c r="J6671">
        <v>-256.7715</v>
      </c>
      <c r="K6671">
        <v>1.110052</v>
      </c>
      <c r="L6671">
        <v>-62.993989999999997</v>
      </c>
      <c r="M6671">
        <v>0.99994070000000002</v>
      </c>
      <c r="N6671">
        <v>-8.6845120000000001E-3</v>
      </c>
      <c r="O6671">
        <v>-6.5794190000000004E-3</v>
      </c>
      <c r="P6671">
        <v>0.98070919999999895</v>
      </c>
      <c r="Q6671">
        <v>0.1754192</v>
      </c>
      <c r="R6671">
        <v>8.6242260000000001E-2</v>
      </c>
      <c r="S6671">
        <v>3.0396879999999999</v>
      </c>
      <c r="T6671">
        <v>-0.1270366</v>
      </c>
      <c r="U6671">
        <v>0.47845460000000001</v>
      </c>
      <c r="V6671">
        <v>-9.2744430000000003E-2</v>
      </c>
      <c r="W6671">
        <v>0.18389849999999999</v>
      </c>
      <c r="X6671">
        <v>0.97856010000000004</v>
      </c>
      <c r="Y6671">
        <v>-0.16181379999999901</v>
      </c>
      <c r="Z6671">
        <v>4.2829390000000004E-3</v>
      </c>
      <c r="AA6671">
        <v>0.98681200000000002</v>
      </c>
      <c r="AB6671">
        <v>27</v>
      </c>
      <c r="AC6671">
        <v>26.428899999999999</v>
      </c>
      <c r="AD6671">
        <v>-1.1100515218578</v>
      </c>
      <c r="AE6671">
        <v>4.1817099999999998</v>
      </c>
      <c r="AF6671">
        <v>-4.3480297310590297</v>
      </c>
      <c r="AG6671">
        <v>-1.1100515218578</v>
      </c>
      <c r="AH6671">
        <v>26.355455031339499</v>
      </c>
      <c r="AI6671">
        <v>92.3796565739096</v>
      </c>
      <c r="AJ6671">
        <v>99.368072218580906</v>
      </c>
      <c r="AK6671">
        <v>26.734763638983399</v>
      </c>
      <c r="AL6671">
        <v>79.403080977442002</v>
      </c>
      <c r="AM6671">
        <v>95.414117023353</v>
      </c>
      <c r="AN6671">
        <v>1.00000002845514</v>
      </c>
    </row>
    <row r="6672" spans="1:40" x14ac:dyDescent="0.25">
      <c r="A6672" t="str">
        <f>"20190304155235470"</f>
        <v>20190304155235470</v>
      </c>
      <c r="B6672" t="str">
        <f>"1551685955463900"</f>
        <v>1551685955463900</v>
      </c>
      <c r="C6672" t="s">
        <v>40</v>
      </c>
      <c r="D6672">
        <v>4.8659410000000003</v>
      </c>
      <c r="E6672">
        <v>0.47219680000000003</v>
      </c>
      <c r="F6672" t="s">
        <v>107</v>
      </c>
      <c r="G6672">
        <v>-230.2407</v>
      </c>
      <c r="H6672" s="1">
        <v>5.1052899999999998E-7</v>
      </c>
      <c r="I6672">
        <v>-58.803600000000003</v>
      </c>
      <c r="J6672">
        <v>-256.63049999999998</v>
      </c>
      <c r="K6672">
        <v>1.1100289999999999</v>
      </c>
      <c r="L6672">
        <v>-62.994810000000001</v>
      </c>
      <c r="M6672">
        <v>0.99994119999999997</v>
      </c>
      <c r="N6672">
        <v>-8.6871150000000005E-3</v>
      </c>
      <c r="O6672">
        <v>-6.499243E-3</v>
      </c>
      <c r="P6672">
        <v>0.98069790000000001</v>
      </c>
      <c r="Q6672">
        <v>0.1752766</v>
      </c>
      <c r="R6672">
        <v>8.6659040000000007E-2</v>
      </c>
      <c r="S6672">
        <v>3.0395509999999999</v>
      </c>
      <c r="T6672">
        <v>-0.12717490000000001</v>
      </c>
      <c r="U6672">
        <v>0.480072</v>
      </c>
      <c r="V6672">
        <v>-9.3075340000000006E-2</v>
      </c>
      <c r="W6672">
        <v>0.18376210000000001</v>
      </c>
      <c r="X6672">
        <v>0.97855420000000004</v>
      </c>
      <c r="Y6672">
        <v>-0.16225319999999999</v>
      </c>
      <c r="Z6672">
        <v>4.2955409999999999E-3</v>
      </c>
      <c r="AA6672">
        <v>0.98673979999999994</v>
      </c>
      <c r="AB6672">
        <v>27</v>
      </c>
      <c r="AC6672">
        <v>26.389799999999902</v>
      </c>
      <c r="AD6672">
        <v>-1.110028489471</v>
      </c>
      <c r="AE6672">
        <v>4.1912099999999901</v>
      </c>
      <c r="AF6672">
        <v>-4.3551258081100102</v>
      </c>
      <c r="AG6672">
        <v>-1.110028489471</v>
      </c>
      <c r="AH6672">
        <v>26.316586073594401</v>
      </c>
      <c r="AI6672">
        <v>92.382921309281997</v>
      </c>
      <c r="AJ6672">
        <v>99.396701033263497</v>
      </c>
      <c r="AK6672">
        <v>26.6976026380798</v>
      </c>
      <c r="AL6672">
        <v>79.411030511722799</v>
      </c>
      <c r="AM6672">
        <v>95.433351634162406</v>
      </c>
      <c r="AN6672">
        <v>0.99999992532507997</v>
      </c>
    </row>
    <row r="6673" spans="1:40" x14ac:dyDescent="0.25">
      <c r="A6673" t="str">
        <f>"20190304155235480"</f>
        <v>20190304155235480</v>
      </c>
      <c r="B6673" t="str">
        <f>"1551685955473659"</f>
        <v>1551685955473659</v>
      </c>
      <c r="C6673" t="s">
        <v>40</v>
      </c>
      <c r="D6673">
        <v>5.1893279999999997</v>
      </c>
      <c r="E6673">
        <v>0.47197889999999998</v>
      </c>
      <c r="F6673" t="s">
        <v>107</v>
      </c>
      <c r="G6673">
        <v>-230.41050000000001</v>
      </c>
      <c r="H6673" s="1">
        <v>4.6286369999999998E-7</v>
      </c>
      <c r="I6673">
        <v>-58.841659999999997</v>
      </c>
      <c r="J6673">
        <v>-256.50810000000001</v>
      </c>
      <c r="K6673">
        <v>1.110015</v>
      </c>
      <c r="L6673">
        <v>-62.995510000000003</v>
      </c>
      <c r="M6673">
        <v>0.99994159999999999</v>
      </c>
      <c r="N6673">
        <v>-8.6893890000000005E-3</v>
      </c>
      <c r="O6673">
        <v>-6.440968E-3</v>
      </c>
      <c r="P6673">
        <v>0.98063210000000001</v>
      </c>
      <c r="Q6673">
        <v>0.17533499999999999</v>
      </c>
      <c r="R6673">
        <v>8.7284039999999993E-2</v>
      </c>
      <c r="S6673">
        <v>3.039536</v>
      </c>
      <c r="T6673">
        <v>-0.1286794</v>
      </c>
      <c r="U6673">
        <v>0.48144530000000002</v>
      </c>
      <c r="V6673">
        <v>-9.3637880000000007E-2</v>
      </c>
      <c r="W6673">
        <v>0.18382490000000001</v>
      </c>
      <c r="X6673">
        <v>0.97848880000000005</v>
      </c>
      <c r="Y6673">
        <v>-0.1626272</v>
      </c>
      <c r="Z6673">
        <v>4.3462400000000003E-3</v>
      </c>
      <c r="AA6673">
        <v>0.98667800000000006</v>
      </c>
      <c r="AB6673">
        <v>27</v>
      </c>
      <c r="AC6673">
        <v>26.0976</v>
      </c>
      <c r="AD6673">
        <v>-1.1100145371362999</v>
      </c>
      <c r="AE6673">
        <v>4.1538499999999896</v>
      </c>
      <c r="AF6673">
        <v>-4.3142520068926498</v>
      </c>
      <c r="AG6673">
        <v>-1.1100145371362999</v>
      </c>
      <c r="AH6673">
        <v>26.024386009660201</v>
      </c>
      <c r="AI6673">
        <v>92.409503424148397</v>
      </c>
      <c r="AJ6673">
        <v>99.412734384815494</v>
      </c>
      <c r="AK6673">
        <v>26.402908359334699</v>
      </c>
      <c r="AL6673">
        <v>79.407370661976401</v>
      </c>
      <c r="AM6673">
        <v>95.466355212667594</v>
      </c>
      <c r="AN6673">
        <v>0.999999989078172</v>
      </c>
    </row>
    <row r="6674" spans="1:40" x14ac:dyDescent="0.25">
      <c r="A6674" t="str">
        <f>"20190304155235492"</f>
        <v>20190304155235492</v>
      </c>
      <c r="B6674" t="str">
        <f>"1551685955483421"</f>
        <v>1551685955483421</v>
      </c>
      <c r="C6674" t="s">
        <v>40</v>
      </c>
      <c r="D6674">
        <v>4.9273470000000001</v>
      </c>
      <c r="E6674">
        <v>0.47190149999999997</v>
      </c>
      <c r="F6674" t="s">
        <v>107</v>
      </c>
      <c r="G6674">
        <v>-230.46270000000001</v>
      </c>
      <c r="H6674" s="1">
        <v>4.4483180000000001E-7</v>
      </c>
      <c r="I6674">
        <v>-58.84064</v>
      </c>
      <c r="J6674">
        <v>-256.37880000000001</v>
      </c>
      <c r="K6674">
        <v>1.1100019999999999</v>
      </c>
      <c r="L6674">
        <v>-62.996279999999999</v>
      </c>
      <c r="M6674">
        <v>0.99994190000000005</v>
      </c>
      <c r="N6674">
        <v>-8.6917950000000004E-3</v>
      </c>
      <c r="O6674">
        <v>-6.3845990000000004E-3</v>
      </c>
      <c r="P6674">
        <v>0.98054699999999995</v>
      </c>
      <c r="Q6674">
        <v>0.1754782</v>
      </c>
      <c r="R6674">
        <v>8.7951760000000004E-2</v>
      </c>
      <c r="S6674">
        <v>3.039291</v>
      </c>
      <c r="T6674">
        <v>-0.1295297</v>
      </c>
      <c r="U6674">
        <v>0.48483280000000001</v>
      </c>
      <c r="V6674">
        <v>-9.4244090000000003E-2</v>
      </c>
      <c r="W6674">
        <v>0.18397259999999999</v>
      </c>
      <c r="X6674">
        <v>0.97840289999999996</v>
      </c>
      <c r="Y6674">
        <v>-0.1636531</v>
      </c>
      <c r="Z6674">
        <v>4.3951329999999999E-3</v>
      </c>
      <c r="AA6674">
        <v>0.9865081</v>
      </c>
      <c r="AB6674">
        <v>27</v>
      </c>
      <c r="AC6674">
        <v>25.9161</v>
      </c>
      <c r="AD6674">
        <v>-1.1100015551682001</v>
      </c>
      <c r="AE6674">
        <v>4.15564</v>
      </c>
      <c r="AF6674">
        <v>-4.3133112003024898</v>
      </c>
      <c r="AG6674">
        <v>-1.1100015551682001</v>
      </c>
      <c r="AH6674">
        <v>25.8428194597033</v>
      </c>
      <c r="AI6674">
        <v>92.425941048263496</v>
      </c>
      <c r="AJ6674">
        <v>99.4756413784405</v>
      </c>
      <c r="AK6674">
        <v>26.223807400717899</v>
      </c>
      <c r="AL6674">
        <v>79.398761900748099</v>
      </c>
      <c r="AM6674">
        <v>95.502007922104497</v>
      </c>
      <c r="AN6674">
        <v>1.0000000503895401</v>
      </c>
    </row>
    <row r="6675" spans="1:40" x14ac:dyDescent="0.25">
      <c r="A6675" t="str">
        <f>"20190304155235503"</f>
        <v>20190304155235503</v>
      </c>
      <c r="B6675" t="str">
        <f>"1551685955493180"</f>
        <v>1551685955493180</v>
      </c>
      <c r="C6675" t="s">
        <v>40</v>
      </c>
      <c r="D6675">
        <v>4.9400019999999998</v>
      </c>
      <c r="E6675">
        <v>0.47185589999999999</v>
      </c>
      <c r="F6675" t="s">
        <v>107</v>
      </c>
      <c r="G6675">
        <v>-230.30410000000001</v>
      </c>
      <c r="H6675" s="1">
        <v>4.9199350000000004E-7</v>
      </c>
      <c r="I6675">
        <v>-58.815069999999999</v>
      </c>
      <c r="J6675">
        <v>-256.23360000000002</v>
      </c>
      <c r="K6675">
        <v>1.109993</v>
      </c>
      <c r="L6675">
        <v>-62.997129999999999</v>
      </c>
      <c r="M6675">
        <v>0.9999422</v>
      </c>
      <c r="N6675">
        <v>-8.6945019999999998E-3</v>
      </c>
      <c r="O6675">
        <v>-6.3304980000000004E-3</v>
      </c>
      <c r="P6675">
        <v>0.98051600000000005</v>
      </c>
      <c r="Q6675">
        <v>0.17538099999999901</v>
      </c>
      <c r="R6675">
        <v>8.8487629999999998E-2</v>
      </c>
      <c r="S6675">
        <v>3.0389560000000002</v>
      </c>
      <c r="T6675">
        <v>-0.12936839999999999</v>
      </c>
      <c r="U6675">
        <v>0.48730469999999998</v>
      </c>
      <c r="V6675">
        <v>-9.4721150000000004E-2</v>
      </c>
      <c r="W6675">
        <v>0.18388019999999999</v>
      </c>
      <c r="X6675">
        <v>0.97837410000000002</v>
      </c>
      <c r="Y6675">
        <v>-0.16439879999999901</v>
      </c>
      <c r="Z6675">
        <v>4.4081160000000001E-3</v>
      </c>
      <c r="AA6675">
        <v>0.98638409999999999</v>
      </c>
      <c r="AB6675">
        <v>27</v>
      </c>
      <c r="AC6675">
        <v>25.929500000000001</v>
      </c>
      <c r="AD6675">
        <v>-1.1099925080065001</v>
      </c>
      <c r="AE6675">
        <v>4.1820599999999999</v>
      </c>
      <c r="AF6675">
        <v>-4.3383803822727902</v>
      </c>
      <c r="AG6675">
        <v>-1.1099925080065001</v>
      </c>
      <c r="AH6675">
        <v>25.856323619144401</v>
      </c>
      <c r="AI6675">
        <v>92.424307967676597</v>
      </c>
      <c r="AJ6675">
        <v>99.524821102995404</v>
      </c>
      <c r="AK6675">
        <v>26.241248042100501</v>
      </c>
      <c r="AL6675">
        <v>79.4041468599642</v>
      </c>
      <c r="AM6675">
        <v>95.529848451856907</v>
      </c>
      <c r="AN6675">
        <v>0.99999995188008495</v>
      </c>
    </row>
    <row r="6676" spans="1:40" x14ac:dyDescent="0.25">
      <c r="A6676" t="str">
        <f>"20190304155235515"</f>
        <v>20190304155235515</v>
      </c>
      <c r="B6676" t="str">
        <f>"1551685955503918"</f>
        <v>1551685955503918</v>
      </c>
      <c r="C6676" t="s">
        <v>40</v>
      </c>
      <c r="D6676">
        <v>4.9600809999999997</v>
      </c>
      <c r="E6676">
        <v>0.47180349999999999</v>
      </c>
      <c r="F6676" t="s">
        <v>107</v>
      </c>
      <c r="G6676">
        <v>-230.2527</v>
      </c>
      <c r="H6676" s="1">
        <v>5.0945490000000004E-7</v>
      </c>
      <c r="I6676">
        <v>-58.814950000000003</v>
      </c>
      <c r="J6676">
        <v>-256.1028</v>
      </c>
      <c r="K6676">
        <v>1.1099829999999999</v>
      </c>
      <c r="L6676">
        <v>-62.997889999999998</v>
      </c>
      <c r="M6676">
        <v>0.99994240000000001</v>
      </c>
      <c r="N6676">
        <v>-8.6969330000000004E-3</v>
      </c>
      <c r="O6676">
        <v>-6.2886399999999999E-3</v>
      </c>
      <c r="P6676">
        <v>0.98044379999999998</v>
      </c>
      <c r="Q6676">
        <v>0.175451</v>
      </c>
      <c r="R6676">
        <v>8.9145530000000001E-2</v>
      </c>
      <c r="S6676">
        <v>3.0386959999999998</v>
      </c>
      <c r="T6676">
        <v>-0.1298232</v>
      </c>
      <c r="U6676">
        <v>0.48913570000000001</v>
      </c>
      <c r="V6676">
        <v>-9.5333730000000005E-2</v>
      </c>
      <c r="W6676">
        <v>0.18395429999999999</v>
      </c>
      <c r="X6676">
        <v>0.97830079999999997</v>
      </c>
      <c r="Y6676">
        <v>-0.16494829999999999</v>
      </c>
      <c r="Z6676">
        <v>4.434276E-3</v>
      </c>
      <c r="AA6676">
        <v>0.98629219999999895</v>
      </c>
      <c r="AB6676">
        <v>27</v>
      </c>
      <c r="AC6676">
        <v>25.850100000000001</v>
      </c>
      <c r="AD6676">
        <v>-1.1099824905450999</v>
      </c>
      <c r="AE6676">
        <v>4.1829400000000003</v>
      </c>
      <c r="AF6676">
        <v>-4.33763185629065</v>
      </c>
      <c r="AG6676">
        <v>-1.1099824905450999</v>
      </c>
      <c r="AH6676">
        <v>25.776968592891802</v>
      </c>
      <c r="AI6676">
        <v>92.431546905926396</v>
      </c>
      <c r="AJ6676">
        <v>99.5519858554173</v>
      </c>
      <c r="AK6676">
        <v>26.162936018133699</v>
      </c>
      <c r="AL6676">
        <v>79.399828935724202</v>
      </c>
      <c r="AM6676">
        <v>95.565801614160605</v>
      </c>
      <c r="AN6676">
        <v>1.00000007992241</v>
      </c>
    </row>
    <row r="6677" spans="1:40" x14ac:dyDescent="0.25">
      <c r="A6677" t="str">
        <f>"20190304155235527"</f>
        <v>20190304155235527</v>
      </c>
      <c r="B6677" t="str">
        <f>"1551685955523436"</f>
        <v>1551685955523436</v>
      </c>
      <c r="C6677" t="s">
        <v>40</v>
      </c>
      <c r="D6677">
        <v>5.2199730000000004</v>
      </c>
      <c r="E6677">
        <v>0.47187459999999998</v>
      </c>
      <c r="F6677" t="s">
        <v>107</v>
      </c>
      <c r="G6677">
        <v>-230.0641</v>
      </c>
      <c r="H6677" s="1">
        <v>5.6580140000000005E-7</v>
      </c>
      <c r="I6677">
        <v>-58.785510000000002</v>
      </c>
      <c r="J6677">
        <v>-255.95500000000001</v>
      </c>
      <c r="K6677">
        <v>1.109974</v>
      </c>
      <c r="L6677">
        <v>-62.998779999999996</v>
      </c>
      <c r="M6677">
        <v>0.99994269999999996</v>
      </c>
      <c r="N6677">
        <v>-8.6996680000000007E-3</v>
      </c>
      <c r="O6677">
        <v>-6.2451169999999997E-3</v>
      </c>
      <c r="P6677">
        <v>0.98038860000000005</v>
      </c>
      <c r="Q6677">
        <v>0.17563119999999999</v>
      </c>
      <c r="R6677">
        <v>8.9397920000000006E-2</v>
      </c>
      <c r="S6677">
        <v>3.0383300000000002</v>
      </c>
      <c r="T6677">
        <v>-0.12951869999999999</v>
      </c>
      <c r="U6677">
        <v>0.49151610000000001</v>
      </c>
      <c r="V6677">
        <v>-9.5538890000000001E-2</v>
      </c>
      <c r="W6677">
        <v>0.18413850000000001</v>
      </c>
      <c r="X6677">
        <v>0.97824599999999995</v>
      </c>
      <c r="Y6677">
        <v>-0.16567699999999999</v>
      </c>
      <c r="Z6677">
        <v>4.443074E-3</v>
      </c>
      <c r="AA6677">
        <v>0.98617010000000005</v>
      </c>
      <c r="AB6677">
        <v>27</v>
      </c>
      <c r="AC6677">
        <v>25.890899999999998</v>
      </c>
      <c r="AD6677">
        <v>-1.1099734341986001</v>
      </c>
      <c r="AE6677">
        <v>4.2132699999999996</v>
      </c>
      <c r="AF6677">
        <v>-4.3670663136586301</v>
      </c>
      <c r="AG6677">
        <v>-1.1099734341986001</v>
      </c>
      <c r="AH6677">
        <v>25.817854265833599</v>
      </c>
      <c r="AI6677">
        <v>92.427333622533993</v>
      </c>
      <c r="AJ6677">
        <v>99.600653994036705</v>
      </c>
      <c r="AK6677">
        <v>26.208107678814599</v>
      </c>
      <c r="AL6677">
        <v>79.389090257256797</v>
      </c>
      <c r="AM6677">
        <v>95.578014359233606</v>
      </c>
      <c r="AN6677">
        <v>0.99999995160033905</v>
      </c>
    </row>
    <row r="6678" spans="1:40" x14ac:dyDescent="0.25">
      <c r="A6678" t="str">
        <f>"20190304155235541"</f>
        <v>20190304155235541</v>
      </c>
      <c r="B6678" t="str">
        <f>"1551685955533195"</f>
        <v>1551685955533195</v>
      </c>
      <c r="C6678" t="s">
        <v>40</v>
      </c>
      <c r="D6678">
        <v>4.954135</v>
      </c>
      <c r="E6678">
        <v>0.47184029999999999</v>
      </c>
      <c r="F6678" t="s">
        <v>106</v>
      </c>
      <c r="G6678">
        <v>-229.62039999999999</v>
      </c>
      <c r="H6678" s="1">
        <v>-3.6097520000000001E-6</v>
      </c>
      <c r="I6678">
        <v>-58.734580000000001</v>
      </c>
      <c r="J6678">
        <v>-255.7962</v>
      </c>
      <c r="K6678">
        <v>1.109969</v>
      </c>
      <c r="L6678">
        <v>-62.999760000000002</v>
      </c>
      <c r="M6678">
        <v>0.99994289999999997</v>
      </c>
      <c r="N6678">
        <v>-8.7026099999999995E-3</v>
      </c>
      <c r="O6678">
        <v>-6.2063350000000003E-3</v>
      </c>
      <c r="P6678">
        <v>0.98029889999999997</v>
      </c>
      <c r="Q6678">
        <v>0.17586679999999999</v>
      </c>
      <c r="R6678">
        <v>8.9917440000000001E-2</v>
      </c>
      <c r="S6678">
        <v>3.038116</v>
      </c>
      <c r="T6678">
        <v>-0.12805339999999901</v>
      </c>
      <c r="U6678">
        <v>0.49194339999999998</v>
      </c>
      <c r="V6678">
        <v>-9.6016850000000001E-2</v>
      </c>
      <c r="W6678">
        <v>0.1843775</v>
      </c>
      <c r="X6678">
        <v>0.97815419999999997</v>
      </c>
      <c r="Y6678">
        <v>-0.16578850000000001</v>
      </c>
      <c r="Z6678">
        <v>4.4024210000000001E-3</v>
      </c>
      <c r="AA6678">
        <v>0.98615149999999996</v>
      </c>
      <c r="AB6678">
        <v>27</v>
      </c>
      <c r="AC6678">
        <v>26.175799999999999</v>
      </c>
      <c r="AD6678">
        <v>-1.109972609752</v>
      </c>
      <c r="AE6678">
        <v>4.2651799999999902</v>
      </c>
      <c r="AF6678">
        <v>-4.4198178613221</v>
      </c>
      <c r="AG6678">
        <v>-1.109972609752</v>
      </c>
      <c r="AH6678">
        <v>26.1031005232452</v>
      </c>
      <c r="AI6678">
        <v>92.400769882200606</v>
      </c>
      <c r="AJ6678">
        <v>99.610261518050194</v>
      </c>
      <c r="AK6678">
        <v>26.497899653525401</v>
      </c>
      <c r="AL6678">
        <v>79.375158197638697</v>
      </c>
      <c r="AM6678">
        <v>95.606265380171706</v>
      </c>
      <c r="AN6678">
        <v>0.99999996848390504</v>
      </c>
    </row>
    <row r="6679" spans="1:40" x14ac:dyDescent="0.25">
      <c r="A6679" t="str">
        <f>"20190304155235552"</f>
        <v>20190304155235552</v>
      </c>
      <c r="B6679" t="str">
        <f>"1551685955543932"</f>
        <v>1551685955543932</v>
      </c>
      <c r="C6679" t="s">
        <v>40</v>
      </c>
      <c r="D6679">
        <v>4.9823559999999896</v>
      </c>
      <c r="E6679">
        <v>0.4718097</v>
      </c>
      <c r="F6679" t="s">
        <v>106</v>
      </c>
      <c r="G6679">
        <v>-229.36449999999999</v>
      </c>
      <c r="H6679" s="1">
        <v>-3.5063350000000001E-6</v>
      </c>
      <c r="I6679">
        <v>-58.705759999999998</v>
      </c>
      <c r="J6679">
        <v>-255.65129999999999</v>
      </c>
      <c r="K6679">
        <v>1.1099669999999999</v>
      </c>
      <c r="L6679">
        <v>-63.000610000000002</v>
      </c>
      <c r="M6679">
        <v>0.99994309999999997</v>
      </c>
      <c r="N6679">
        <v>-8.7052850000000001E-3</v>
      </c>
      <c r="O6679">
        <v>-6.1728979999999996E-3</v>
      </c>
      <c r="P6679">
        <v>0.98022229999999999</v>
      </c>
      <c r="Q6679">
        <v>0.17600089999999999</v>
      </c>
      <c r="R6679">
        <v>9.0486469999999999E-2</v>
      </c>
      <c r="S6679">
        <v>3.0379330000000002</v>
      </c>
      <c r="T6679">
        <v>-0.12757460000000001</v>
      </c>
      <c r="U6679">
        <v>0.49353029999999998</v>
      </c>
      <c r="V6679">
        <v>-9.6550200000000003E-2</v>
      </c>
      <c r="W6679">
        <v>0.18451490000000001</v>
      </c>
      <c r="X6679">
        <v>0.97807580000000005</v>
      </c>
      <c r="Y6679">
        <v>-0.16626749999999901</v>
      </c>
      <c r="Z6679">
        <v>4.3997740000000004E-3</v>
      </c>
      <c r="AA6679">
        <v>0.98607089999999997</v>
      </c>
      <c r="AB6679">
        <v>27</v>
      </c>
      <c r="AC6679">
        <v>26.286799999999999</v>
      </c>
      <c r="AD6679">
        <v>-1.1099705063349901</v>
      </c>
      <c r="AE6679">
        <v>4.2948499999999896</v>
      </c>
      <c r="AF6679">
        <v>-4.4493132508171396</v>
      </c>
      <c r="AG6679">
        <v>-1.1099705063349901</v>
      </c>
      <c r="AH6679">
        <v>26.214262095792499</v>
      </c>
      <c r="AI6679">
        <v>92.390436523201501</v>
      </c>
      <c r="AJ6679">
        <v>99.632938232992998</v>
      </c>
      <c r="AK6679">
        <v>26.6123272217169</v>
      </c>
      <c r="AL6679">
        <v>79.367148452648195</v>
      </c>
      <c r="AM6679">
        <v>95.637655726952303</v>
      </c>
      <c r="AN6679">
        <v>0.99999997999384405</v>
      </c>
    </row>
    <row r="6680" spans="1:40" x14ac:dyDescent="0.25">
      <c r="A6680" t="str">
        <f>"20190304155235562"</f>
        <v>20190304155235562</v>
      </c>
      <c r="B6680" t="str">
        <f>"1551685955553692"</f>
        <v>1551685955553692</v>
      </c>
      <c r="C6680" t="s">
        <v>40</v>
      </c>
      <c r="D6680">
        <v>4.9877750000000001</v>
      </c>
      <c r="E6680">
        <v>0.47175400000000001</v>
      </c>
      <c r="F6680" t="s">
        <v>106</v>
      </c>
      <c r="G6680">
        <v>-229.17009999999999</v>
      </c>
      <c r="H6680" s="1">
        <v>-3.4281470000000001E-6</v>
      </c>
      <c r="I6680">
        <v>-58.682250000000003</v>
      </c>
      <c r="J6680">
        <v>-255.5264</v>
      </c>
      <c r="K6680">
        <v>1.109964</v>
      </c>
      <c r="L6680">
        <v>-63.001339999999999</v>
      </c>
      <c r="M6680">
        <v>0.99994329999999998</v>
      </c>
      <c r="N6680">
        <v>-8.7075780000000005E-3</v>
      </c>
      <c r="O6680">
        <v>-6.1459940000000001E-3</v>
      </c>
      <c r="P6680">
        <v>0.9800989</v>
      </c>
      <c r="Q6680">
        <v>0.1765342</v>
      </c>
      <c r="R6680">
        <v>9.0786549999999994E-2</v>
      </c>
      <c r="S6680">
        <v>3.037674</v>
      </c>
      <c r="T6680">
        <v>-0.12732539999999901</v>
      </c>
      <c r="U6680">
        <v>0.4953613</v>
      </c>
      <c r="V6680">
        <v>-9.6822909999999998E-2</v>
      </c>
      <c r="W6680">
        <v>0.18504999999999999</v>
      </c>
      <c r="X6680">
        <v>0.97794780000000003</v>
      </c>
      <c r="Y6680">
        <v>-0.16683339999999999</v>
      </c>
      <c r="Z6680">
        <v>4.4062260000000001E-3</v>
      </c>
      <c r="AA6680">
        <v>0.9859753</v>
      </c>
      <c r="AB6680">
        <v>27</v>
      </c>
      <c r="AC6680">
        <v>26.356300000000001</v>
      </c>
      <c r="AD6680">
        <v>-1.109967428147</v>
      </c>
      <c r="AE6680">
        <v>4.3190899999999903</v>
      </c>
      <c r="AF6680">
        <v>-4.4732739667519601</v>
      </c>
      <c r="AG6680">
        <v>-1.109967428147</v>
      </c>
      <c r="AH6680">
        <v>26.283858582014101</v>
      </c>
      <c r="AI6680">
        <v>92.383925838579202</v>
      </c>
      <c r="AJ6680">
        <v>99.658676410436797</v>
      </c>
      <c r="AK6680">
        <v>26.6848914112927</v>
      </c>
      <c r="AL6680">
        <v>79.335952900651193</v>
      </c>
      <c r="AM6680">
        <v>95.654211672648401</v>
      </c>
      <c r="AN6680">
        <v>1.0000000389628501</v>
      </c>
    </row>
    <row r="6681" spans="1:40" x14ac:dyDescent="0.25">
      <c r="A6681" t="str">
        <f>"20190304155235573"</f>
        <v>20190304155235573</v>
      </c>
      <c r="B6681" t="str">
        <f>"1551685955563453"</f>
        <v>1551685955563453</v>
      </c>
      <c r="C6681" t="s">
        <v>40</v>
      </c>
      <c r="D6681">
        <v>5.0148510000000002</v>
      </c>
      <c r="E6681">
        <v>0.47175400000000001</v>
      </c>
      <c r="F6681" t="s">
        <v>106</v>
      </c>
      <c r="G6681">
        <v>-228.78970000000001</v>
      </c>
      <c r="H6681" s="1">
        <v>-3.2766979999999998E-6</v>
      </c>
      <c r="I6681">
        <v>-58.629119999999901</v>
      </c>
      <c r="J6681">
        <v>-255.41200000000001</v>
      </c>
      <c r="K6681">
        <v>1.1099650000000001</v>
      </c>
      <c r="L6681">
        <v>-63.002009999999999</v>
      </c>
      <c r="M6681">
        <v>0.99994329999999998</v>
      </c>
      <c r="N6681">
        <v>-8.7096910000000003E-3</v>
      </c>
      <c r="O6681">
        <v>-6.1219400000000002E-3</v>
      </c>
      <c r="P6681">
        <v>0.98002420000000001</v>
      </c>
      <c r="Q6681">
        <v>0.1767251</v>
      </c>
      <c r="R6681">
        <v>9.1220720000000005E-2</v>
      </c>
      <c r="S6681">
        <v>3.037598</v>
      </c>
      <c r="T6681">
        <v>-0.12610499999999999</v>
      </c>
      <c r="U6681">
        <v>0.49673460000000003</v>
      </c>
      <c r="V6681">
        <v>-9.7232460000000007E-2</v>
      </c>
      <c r="W6681">
        <v>0.18524260000000001</v>
      </c>
      <c r="X6681">
        <v>0.97787060000000003</v>
      </c>
      <c r="Y6681">
        <v>-0.16725039999999999</v>
      </c>
      <c r="Z6681">
        <v>4.3803080000000003E-3</v>
      </c>
      <c r="AA6681">
        <v>0.98590469999999997</v>
      </c>
      <c r="AB6681">
        <v>27</v>
      </c>
      <c r="AC6681">
        <v>26.622299999999999</v>
      </c>
      <c r="AD6681">
        <v>-1.1099682766979999</v>
      </c>
      <c r="AE6681">
        <v>4.3728899999999999</v>
      </c>
      <c r="AF6681">
        <v>-4.5281298075218599</v>
      </c>
      <c r="AG6681">
        <v>-1.1099682766979999</v>
      </c>
      <c r="AH6681">
        <v>26.5500894093272</v>
      </c>
      <c r="AI6681">
        <v>92.359909684770201</v>
      </c>
      <c r="AJ6681">
        <v>99.678695360510901</v>
      </c>
      <c r="AK6681">
        <v>26.956320905722901</v>
      </c>
      <c r="AL6681">
        <v>79.324722534559996</v>
      </c>
      <c r="AM6681">
        <v>95.678417728442099</v>
      </c>
      <c r="AN6681">
        <v>0.99999994123838398</v>
      </c>
    </row>
    <row r="6682" spans="1:40" x14ac:dyDescent="0.25">
      <c r="A6682" t="str">
        <f>"20190304155235581"</f>
        <v>20190304155235581</v>
      </c>
      <c r="B6682" t="str">
        <f>"1551685955573213"</f>
        <v>1551685955573213</v>
      </c>
      <c r="C6682" t="s">
        <v>40</v>
      </c>
      <c r="D6682">
        <v>4.913767</v>
      </c>
      <c r="E6682">
        <v>0.45419219999999999</v>
      </c>
      <c r="F6682" t="s">
        <v>106</v>
      </c>
      <c r="G6682">
        <v>-228.5411</v>
      </c>
      <c r="H6682" s="1">
        <v>-3.1776860000000001E-6</v>
      </c>
      <c r="I6682">
        <v>-58.5946</v>
      </c>
      <c r="J6682">
        <v>-255.29069999999999</v>
      </c>
      <c r="K6682">
        <v>1.109964</v>
      </c>
      <c r="L6682">
        <v>-63.002690000000001</v>
      </c>
      <c r="M6682">
        <v>0.99994349999999999</v>
      </c>
      <c r="N6682">
        <v>-8.7119509999999904E-3</v>
      </c>
      <c r="O6682">
        <v>-6.0969259999999999E-3</v>
      </c>
      <c r="P6682">
        <v>0.97994930000000002</v>
      </c>
      <c r="Q6682">
        <v>0.1769859</v>
      </c>
      <c r="R6682">
        <v>9.1518710000000003E-2</v>
      </c>
      <c r="S6682">
        <v>3.0373990000000002</v>
      </c>
      <c r="T6682">
        <v>-0.12546689999999999</v>
      </c>
      <c r="U6682">
        <v>0.49819950000000002</v>
      </c>
      <c r="V6682">
        <v>-9.7504540000000001E-2</v>
      </c>
      <c r="W6682">
        <v>0.18550449999999999</v>
      </c>
      <c r="X6682">
        <v>0.97779389999999999</v>
      </c>
      <c r="Y6682">
        <v>-0.16770019999999999</v>
      </c>
      <c r="Z6682">
        <v>4.3722919999999998E-3</v>
      </c>
      <c r="AA6682">
        <v>0.98582829999999999</v>
      </c>
      <c r="AB6682">
        <v>27</v>
      </c>
      <c r="AC6682">
        <v>26.749599999999901</v>
      </c>
      <c r="AD6682">
        <v>-1.1099671776860001</v>
      </c>
      <c r="AE6682">
        <v>4.4080899999999996</v>
      </c>
      <c r="AF6682">
        <v>-4.5634549025156597</v>
      </c>
      <c r="AG6682">
        <v>-1.1099671776860001</v>
      </c>
      <c r="AH6682">
        <v>26.677506715899501</v>
      </c>
      <c r="AI6682">
        <v>92.348450202365001</v>
      </c>
      <c r="AJ6682">
        <v>99.707063846569099</v>
      </c>
      <c r="AK6682">
        <v>27.087755764546099</v>
      </c>
      <c r="AL6682">
        <v>79.309452553953406</v>
      </c>
      <c r="AM6682">
        <v>95.694646770605999</v>
      </c>
      <c r="AN6682">
        <v>0.99999998285903502</v>
      </c>
    </row>
    <row r="6683" spans="1:40" x14ac:dyDescent="0.25">
      <c r="A6683" t="str">
        <f>"20190304155235592"</f>
        <v>20190304155235592</v>
      </c>
      <c r="B6683" t="str">
        <f>"1551685955583947"</f>
        <v>1551685955583947</v>
      </c>
      <c r="C6683" t="s">
        <v>40</v>
      </c>
      <c r="D6683">
        <v>4.9222849999999996</v>
      </c>
      <c r="E6683">
        <v>0.45194010000000001</v>
      </c>
      <c r="F6683" t="s">
        <v>107</v>
      </c>
      <c r="G6683">
        <v>-231.24639999999999</v>
      </c>
      <c r="H6683" s="1">
        <v>-6.4436109999999997E-8</v>
      </c>
      <c r="I6683">
        <v>-57.928939999999997</v>
      </c>
      <c r="J6683">
        <v>-255.16550000000001</v>
      </c>
      <c r="K6683">
        <v>1.10996299999999</v>
      </c>
      <c r="L6683">
        <v>-63.003419999999998</v>
      </c>
      <c r="M6683">
        <v>0.99994360000000004</v>
      </c>
      <c r="N6683">
        <v>-8.7142869999999994E-3</v>
      </c>
      <c r="O6683">
        <v>-6.0708350000000001E-3</v>
      </c>
      <c r="P6683">
        <v>0.97990449999999996</v>
      </c>
      <c r="Q6683">
        <v>0.1772127</v>
      </c>
      <c r="R6683">
        <v>9.1556650000000003E-2</v>
      </c>
      <c r="S6683">
        <v>3.0269780000000002</v>
      </c>
      <c r="T6683">
        <v>-0.139735</v>
      </c>
      <c r="U6683">
        <v>0.63873290000000005</v>
      </c>
      <c r="V6683">
        <v>-9.7516560000000002E-2</v>
      </c>
      <c r="W6683">
        <v>0.18573410000000001</v>
      </c>
      <c r="X6683">
        <v>0.97774910000000004</v>
      </c>
      <c r="Y6683">
        <v>-0.21214060000000001</v>
      </c>
      <c r="Z6683">
        <v>6.0004979999999999E-3</v>
      </c>
      <c r="AA6683">
        <v>0.97722070000000005</v>
      </c>
      <c r="AB6683">
        <v>27</v>
      </c>
      <c r="AC6683">
        <v>23.9191</v>
      </c>
      <c r="AD6683">
        <v>-1.1099630644361</v>
      </c>
      <c r="AE6683">
        <v>5.0744799999999897</v>
      </c>
      <c r="AF6683">
        <v>-5.2088671698302598</v>
      </c>
      <c r="AG6683">
        <v>-1.1099630644361</v>
      </c>
      <c r="AH6683">
        <v>23.838728035259098</v>
      </c>
      <c r="AI6683">
        <v>92.6044809092393</v>
      </c>
      <c r="AJ6683">
        <v>102.32565782369301</v>
      </c>
      <c r="AK6683">
        <v>24.426405170151298</v>
      </c>
      <c r="AL6683">
        <v>79.296064636062994</v>
      </c>
      <c r="AM6683">
        <v>95.6956034129758</v>
      </c>
      <c r="AN6683">
        <v>0.99999996896392596</v>
      </c>
    </row>
    <row r="6684" spans="1:40" x14ac:dyDescent="0.25">
      <c r="A6684" t="str">
        <f>"20190304155235604"</f>
        <v>20190304155235604</v>
      </c>
      <c r="B6684" t="str">
        <f>"1551685955593709"</f>
        <v>1551685955593709</v>
      </c>
      <c r="C6684" t="s">
        <v>40</v>
      </c>
      <c r="D6684">
        <v>4.9933399999999999</v>
      </c>
      <c r="E6684">
        <v>0.45068710000000001</v>
      </c>
      <c r="F6684" t="s">
        <v>107</v>
      </c>
      <c r="G6684">
        <v>-234.20230000000001</v>
      </c>
      <c r="H6684" s="1">
        <v>-1.1311559999999999E-6</v>
      </c>
      <c r="I6684">
        <v>-58.459949999999999</v>
      </c>
      <c r="J6684">
        <v>-255.02440000000001</v>
      </c>
      <c r="K6684">
        <v>1.109964</v>
      </c>
      <c r="L6684">
        <v>-63.004240000000003</v>
      </c>
      <c r="M6684">
        <v>0.9999439</v>
      </c>
      <c r="N6684">
        <v>-8.7169269999999993E-3</v>
      </c>
      <c r="O6684">
        <v>-6.0414010000000001E-3</v>
      </c>
      <c r="P6684">
        <v>0.97988620000000004</v>
      </c>
      <c r="Q6684">
        <v>0.17715639999999999</v>
      </c>
      <c r="R6684">
        <v>9.186366E-2</v>
      </c>
      <c r="S6684">
        <v>3.0291899999999998</v>
      </c>
      <c r="T6684">
        <v>-0.16039039999999999</v>
      </c>
      <c r="U6684">
        <v>0.65652469999999996</v>
      </c>
      <c r="V6684">
        <v>-9.7794989999999998E-2</v>
      </c>
      <c r="W6684">
        <v>0.18567980000000001</v>
      </c>
      <c r="X6684">
        <v>0.97773160000000003</v>
      </c>
      <c r="Y6684">
        <v>-0.21736949999999999</v>
      </c>
      <c r="Z6684">
        <v>6.9078400000000002E-3</v>
      </c>
      <c r="AA6684">
        <v>0.97606499999999996</v>
      </c>
      <c r="AB6684">
        <v>27</v>
      </c>
      <c r="AC6684">
        <v>20.822099999999999</v>
      </c>
      <c r="AD6684">
        <v>-1.1099651311559999</v>
      </c>
      <c r="AE6684">
        <v>4.5442900000000002</v>
      </c>
      <c r="AF6684">
        <v>-4.6573735920077803</v>
      </c>
      <c r="AG6684">
        <v>-1.1099651311559999</v>
      </c>
      <c r="AH6684">
        <v>20.738014256765101</v>
      </c>
      <c r="AI6684">
        <v>92.989410077012906</v>
      </c>
      <c r="AJ6684">
        <v>102.657556581177</v>
      </c>
      <c r="AK6684">
        <v>21.283523831398501</v>
      </c>
      <c r="AL6684">
        <v>79.299230829326007</v>
      </c>
      <c r="AM6684">
        <v>95.711859722622407</v>
      </c>
      <c r="AN6684">
        <v>0.99999996491784904</v>
      </c>
    </row>
    <row r="6685" spans="1:40" x14ac:dyDescent="0.25">
      <c r="A6685" t="str">
        <f>"20190304155235615"</f>
        <v>20190304155235615</v>
      </c>
      <c r="B6685" t="str">
        <f>"1551685955603469"</f>
        <v>1551685955603469</v>
      </c>
      <c r="C6685" t="s">
        <v>40</v>
      </c>
      <c r="D6685">
        <v>4.9847140000000003</v>
      </c>
      <c r="E6685">
        <v>0.4497584</v>
      </c>
      <c r="F6685" t="s">
        <v>107</v>
      </c>
      <c r="G6685">
        <v>-234.13659999999999</v>
      </c>
      <c r="H6685" s="1">
        <v>-1.1134889999999999E-6</v>
      </c>
      <c r="I6685">
        <v>-58.400559999999999</v>
      </c>
      <c r="J6685">
        <v>-254.89850000000001</v>
      </c>
      <c r="K6685">
        <v>1.1099619999999999</v>
      </c>
      <c r="L6685">
        <v>-63.004969999999901</v>
      </c>
      <c r="M6685">
        <v>0.99994400000000006</v>
      </c>
      <c r="N6685">
        <v>-8.7192950000000002E-3</v>
      </c>
      <c r="O6685">
        <v>-6.0141090000000001E-3</v>
      </c>
      <c r="P6685">
        <v>0.97986609999999996</v>
      </c>
      <c r="Q6685">
        <v>0.1771877</v>
      </c>
      <c r="R6685">
        <v>9.201732E-2</v>
      </c>
      <c r="S6685">
        <v>3.0281220000000002</v>
      </c>
      <c r="T6685">
        <v>-0.160912</v>
      </c>
      <c r="U6685">
        <v>0.66738889999999995</v>
      </c>
      <c r="V6685">
        <v>-9.7921159999999993E-2</v>
      </c>
      <c r="W6685">
        <v>0.18571299999999999</v>
      </c>
      <c r="X6685">
        <v>0.97771269999999999</v>
      </c>
      <c r="Y6685">
        <v>-0.22074759999999999</v>
      </c>
      <c r="Z6685">
        <v>7.03011E-3</v>
      </c>
      <c r="AA6685">
        <v>0.97530559999999999</v>
      </c>
      <c r="AB6685">
        <v>27</v>
      </c>
      <c r="AC6685">
        <v>20.761900000000001</v>
      </c>
      <c r="AD6685">
        <v>-1.109963113489</v>
      </c>
      <c r="AE6685">
        <v>4.6044099999999899</v>
      </c>
      <c r="AF6685">
        <v>-4.7163477279780199</v>
      </c>
      <c r="AG6685">
        <v>-1.109963113489</v>
      </c>
      <c r="AH6685">
        <v>20.677503309532199</v>
      </c>
      <c r="AI6685">
        <v>92.995876618182805</v>
      </c>
      <c r="AJ6685">
        <v>102.848826693321</v>
      </c>
      <c r="AK6685">
        <v>21.2375868949423</v>
      </c>
      <c r="AL6685">
        <v>79.297295295303002</v>
      </c>
      <c r="AM6685">
        <v>95.719289869086296</v>
      </c>
      <c r="AN6685">
        <v>0.99999999784301696</v>
      </c>
    </row>
    <row r="6686" spans="1:40" x14ac:dyDescent="0.25">
      <c r="A6686" t="str">
        <f>"20190304155235625"</f>
        <v>20190304155235625</v>
      </c>
      <c r="B6686" t="str">
        <f>"1551685955613228"</f>
        <v>1551685955613228</v>
      </c>
      <c r="C6686" t="s">
        <v>40</v>
      </c>
      <c r="D6686">
        <v>4.9451070000000001</v>
      </c>
      <c r="E6686">
        <v>0.44945079999999998</v>
      </c>
      <c r="F6686" t="s">
        <v>107</v>
      </c>
      <c r="G6686">
        <v>-233.8526</v>
      </c>
      <c r="H6686" s="1">
        <v>-1.0073949999999999E-6</v>
      </c>
      <c r="I6686">
        <v>-58.311919999999901</v>
      </c>
      <c r="J6686">
        <v>-254.76689999999999</v>
      </c>
      <c r="K6686">
        <v>1.1099619999999999</v>
      </c>
      <c r="L6686">
        <v>-63.005740000000003</v>
      </c>
      <c r="M6686">
        <v>0.99994419999999995</v>
      </c>
      <c r="N6686">
        <v>-8.7217779999999995E-3</v>
      </c>
      <c r="O6686">
        <v>-5.9850279999999999E-3</v>
      </c>
      <c r="P6686">
        <v>0.97985540000000004</v>
      </c>
      <c r="Q6686">
        <v>0.17719679999999999</v>
      </c>
      <c r="R6686">
        <v>9.2114719999999997E-2</v>
      </c>
      <c r="S6686">
        <v>3.027145</v>
      </c>
      <c r="T6686">
        <v>-0.15965179999999901</v>
      </c>
      <c r="U6686">
        <v>0.67501829999999996</v>
      </c>
      <c r="V6686">
        <v>-9.7990889999999997E-2</v>
      </c>
      <c r="W6686">
        <v>0.18572420000000001</v>
      </c>
      <c r="X6686">
        <v>0.97770360000000001</v>
      </c>
      <c r="Y6686">
        <v>-0.22312899999999999</v>
      </c>
      <c r="Z6686">
        <v>7.0543969999999996E-3</v>
      </c>
      <c r="AA6686">
        <v>0.97476339999999995</v>
      </c>
      <c r="AB6686">
        <v>27</v>
      </c>
      <c r="AC6686">
        <v>20.914300000000001</v>
      </c>
      <c r="AD6686">
        <v>-1.109963007395</v>
      </c>
      <c r="AE6686">
        <v>4.6938199999999997</v>
      </c>
      <c r="AF6686">
        <v>-4.8060256695044403</v>
      </c>
      <c r="AG6686">
        <v>-1.109963007395</v>
      </c>
      <c r="AH6686">
        <v>20.8299747498695</v>
      </c>
      <c r="AI6686">
        <v>92.972281865222499</v>
      </c>
      <c r="AJ6686">
        <v>102.992288351074</v>
      </c>
      <c r="AK6686">
        <v>21.406021318636601</v>
      </c>
      <c r="AL6686">
        <v>79.296642365896105</v>
      </c>
      <c r="AM6686">
        <v>95.723388482957105</v>
      </c>
      <c r="AN6686">
        <v>1.0000000112207901</v>
      </c>
    </row>
    <row r="6687" spans="1:40" x14ac:dyDescent="0.25">
      <c r="A6687" t="str">
        <f>"20190304155235637"</f>
        <v>20190304155235637</v>
      </c>
      <c r="B6687" t="str">
        <f>"1551685955633725"</f>
        <v>1551685955633725</v>
      </c>
      <c r="C6687" t="s">
        <v>40</v>
      </c>
      <c r="D6687">
        <v>4.9761139999999999</v>
      </c>
      <c r="E6687">
        <v>0.4488258</v>
      </c>
      <c r="F6687" t="s">
        <v>107</v>
      </c>
      <c r="G6687">
        <v>-233.6687</v>
      </c>
      <c r="H6687" s="1">
        <v>-9.3373639999999996E-7</v>
      </c>
      <c r="I6687">
        <v>-58.282339999999998</v>
      </c>
      <c r="J6687">
        <v>-254.63069999999999</v>
      </c>
      <c r="K6687">
        <v>1.1099650000000001</v>
      </c>
      <c r="L6687">
        <v>-63.006529999999998</v>
      </c>
      <c r="M6687">
        <v>0.99994430000000001</v>
      </c>
      <c r="N6687">
        <v>-8.7243530000000007E-3</v>
      </c>
      <c r="O6687">
        <v>-5.9533229999999999E-3</v>
      </c>
      <c r="P6687">
        <v>0.97981879999999999</v>
      </c>
      <c r="Q6687">
        <v>0.17729529999999999</v>
      </c>
      <c r="R6687">
        <v>9.2311920000000006E-2</v>
      </c>
      <c r="S6687">
        <v>3.026764</v>
      </c>
      <c r="T6687">
        <v>-0.15923609999999999</v>
      </c>
      <c r="U6687">
        <v>0.67761229999999995</v>
      </c>
      <c r="V6687">
        <v>-9.8156809999999997E-2</v>
      </c>
      <c r="W6687">
        <v>0.18582499999999999</v>
      </c>
      <c r="X6687">
        <v>0.97766779999999998</v>
      </c>
      <c r="Y6687">
        <v>-0.22392029999999999</v>
      </c>
      <c r="Z6687">
        <v>7.0617079999999999E-3</v>
      </c>
      <c r="AA6687">
        <v>0.9745819</v>
      </c>
      <c r="AB6687">
        <v>27</v>
      </c>
      <c r="AC6687">
        <v>20.9619999999999</v>
      </c>
      <c r="AD6687">
        <v>-1.1099659337363901</v>
      </c>
      <c r="AE6687">
        <v>4.7241900000000001</v>
      </c>
      <c r="AF6687">
        <v>-4.8360005898155496</v>
      </c>
      <c r="AG6687">
        <v>-1.1099659337363901</v>
      </c>
      <c r="AH6687">
        <v>20.877794232785899</v>
      </c>
      <c r="AI6687">
        <v>92.964904660576394</v>
      </c>
      <c r="AJ6687">
        <v>103.04163361179801</v>
      </c>
      <c r="AK6687">
        <v>21.4592921156617</v>
      </c>
      <c r="AL6687">
        <v>79.290764605331304</v>
      </c>
      <c r="AM6687">
        <v>95.733223462108995</v>
      </c>
      <c r="AN6687">
        <v>1.0000000085656</v>
      </c>
    </row>
    <row r="6688" spans="1:40" x14ac:dyDescent="0.25">
      <c r="A6688" t="str">
        <f>"20190304155235648"</f>
        <v>20190304155235648</v>
      </c>
      <c r="B6688" t="str">
        <f>"1551685955643484"</f>
        <v>1551685955643484</v>
      </c>
      <c r="C6688" t="s">
        <v>40</v>
      </c>
      <c r="D6688">
        <v>4.952966</v>
      </c>
      <c r="E6688">
        <v>0.44862560000000001</v>
      </c>
      <c r="F6688" t="s">
        <v>107</v>
      </c>
      <c r="G6688">
        <v>-233.40870000000001</v>
      </c>
      <c r="H6688" s="1">
        <v>-8.3360119999999996E-7</v>
      </c>
      <c r="I6688">
        <v>-58.218029999999999</v>
      </c>
      <c r="J6688">
        <v>-254.4941</v>
      </c>
      <c r="K6688">
        <v>1.1099650000000001</v>
      </c>
      <c r="L6688">
        <v>-63.007319999999901</v>
      </c>
      <c r="M6688">
        <v>0.99994439999999996</v>
      </c>
      <c r="N6688">
        <v>-8.7269389999999995E-3</v>
      </c>
      <c r="O6688">
        <v>-5.9213790000000001E-3</v>
      </c>
      <c r="P6688">
        <v>0.97983379999999998</v>
      </c>
      <c r="Q6688">
        <v>0.17723549999999999</v>
      </c>
      <c r="R6688">
        <v>9.2268649999999994E-2</v>
      </c>
      <c r="S6688">
        <v>3.0261230000000001</v>
      </c>
      <c r="T6688">
        <v>-0.1582739</v>
      </c>
      <c r="U6688">
        <v>0.68280030000000003</v>
      </c>
      <c r="V6688">
        <v>-9.8082829999999996E-2</v>
      </c>
      <c r="W6688">
        <v>0.18576780000000001</v>
      </c>
      <c r="X6688">
        <v>0.9776861</v>
      </c>
      <c r="Y6688">
        <v>-0.2255249</v>
      </c>
      <c r="Z6688">
        <v>7.0724819999999997E-3</v>
      </c>
      <c r="AA6688">
        <v>0.97421179999999996</v>
      </c>
      <c r="AB6688">
        <v>27</v>
      </c>
      <c r="AC6688">
        <v>21.0854</v>
      </c>
      <c r="AD6688">
        <v>-1.1099658336011999</v>
      </c>
      <c r="AE6688">
        <v>4.7892899999999798</v>
      </c>
      <c r="AF6688">
        <v>-4.9011500700676303</v>
      </c>
      <c r="AG6688">
        <v>-1.1099658336011999</v>
      </c>
      <c r="AH6688">
        <v>21.001327986993701</v>
      </c>
      <c r="AI6688">
        <v>92.946366280213198</v>
      </c>
      <c r="AJ6688">
        <v>103.13619618020699</v>
      </c>
      <c r="AK6688">
        <v>21.594190732193901</v>
      </c>
      <c r="AL6688">
        <v>79.294100053365199</v>
      </c>
      <c r="AM6688">
        <v>95.728824612575195</v>
      </c>
      <c r="AN6688">
        <v>1.0000000135954199</v>
      </c>
    </row>
    <row r="6689" spans="1:40" x14ac:dyDescent="0.25">
      <c r="A6689" t="str">
        <f>"20190304155235660"</f>
        <v>20190304155235660</v>
      </c>
      <c r="B6689" t="str">
        <f>"1551685955653244"</f>
        <v>1551685955653244</v>
      </c>
      <c r="C6689" t="s">
        <v>40</v>
      </c>
      <c r="D6689">
        <v>4.9573320000000001</v>
      </c>
      <c r="E6689">
        <v>0.44839129999999999</v>
      </c>
      <c r="F6689" t="s">
        <v>107</v>
      </c>
      <c r="G6689">
        <v>-233.26230000000001</v>
      </c>
      <c r="H6689" s="1">
        <v>-7.7278979999999999E-7</v>
      </c>
      <c r="I6689">
        <v>-58.206870000000002</v>
      </c>
      <c r="J6689">
        <v>-254.3518</v>
      </c>
      <c r="K6689">
        <v>1.1099589999999999</v>
      </c>
      <c r="L6689">
        <v>-63.008119999999998</v>
      </c>
      <c r="M6689">
        <v>0.99994470000000002</v>
      </c>
      <c r="N6689">
        <v>-8.7296349999999995E-3</v>
      </c>
      <c r="O6689">
        <v>-5.8865740000000003E-3</v>
      </c>
      <c r="P6689">
        <v>0.97986340000000005</v>
      </c>
      <c r="Q6689">
        <v>0.1770774</v>
      </c>
      <c r="R6689">
        <v>9.2259030000000006E-2</v>
      </c>
      <c r="S6689">
        <v>3.025925</v>
      </c>
      <c r="T6689">
        <v>-0.15819040000000001</v>
      </c>
      <c r="U6689">
        <v>0.6841431</v>
      </c>
      <c r="V6689">
        <v>-9.8039619999999994E-2</v>
      </c>
      <c r="W6689">
        <v>0.18561230000000001</v>
      </c>
      <c r="X6689">
        <v>0.97772000000000003</v>
      </c>
      <c r="Y6689">
        <v>-0.2259157</v>
      </c>
      <c r="Z6689">
        <v>7.0800050000000003E-3</v>
      </c>
      <c r="AA6689">
        <v>0.97412120000000002</v>
      </c>
      <c r="AB6689">
        <v>27</v>
      </c>
      <c r="AC6689">
        <v>21.089499999999902</v>
      </c>
      <c r="AD6689">
        <v>-1.1099597727897901</v>
      </c>
      <c r="AE6689">
        <v>4.8012499999999996</v>
      </c>
      <c r="AF6689">
        <v>-4.9123795742658301</v>
      </c>
      <c r="AG6689">
        <v>-1.1099597727897901</v>
      </c>
      <c r="AH6689">
        <v>21.005552048082599</v>
      </c>
      <c r="AI6689">
        <v>92.945441117816998</v>
      </c>
      <c r="AJ6689">
        <v>103.162691427467</v>
      </c>
      <c r="AK6689">
        <v>21.600849534765601</v>
      </c>
      <c r="AL6689">
        <v>79.303167587606893</v>
      </c>
      <c r="AM6689">
        <v>95.726120351752598</v>
      </c>
      <c r="AN6689">
        <v>1.00000004570051</v>
      </c>
    </row>
    <row r="6690" spans="1:40" x14ac:dyDescent="0.25">
      <c r="A6690" t="str">
        <f>"20190304155235670"</f>
        <v>20190304155235670</v>
      </c>
      <c r="B6690" t="str">
        <f>"1551685955663980"</f>
        <v>1551685955663980</v>
      </c>
      <c r="C6690" t="s">
        <v>40</v>
      </c>
      <c r="D6690">
        <v>4.9701309999999896</v>
      </c>
      <c r="E6690">
        <v>0.44825409999999999</v>
      </c>
      <c r="F6690" t="s">
        <v>107</v>
      </c>
      <c r="G6690">
        <v>-233.14320000000001</v>
      </c>
      <c r="H6690" s="1">
        <v>-7.2301099999999999E-7</v>
      </c>
      <c r="I6690">
        <v>-58.1995199999999</v>
      </c>
      <c r="J6690">
        <v>-254.21789999999999</v>
      </c>
      <c r="K6690">
        <v>1.1099589999999999</v>
      </c>
      <c r="L6690">
        <v>-63.008850000000002</v>
      </c>
      <c r="M6690">
        <v>0.99994490000000003</v>
      </c>
      <c r="N6690">
        <v>-8.7321769999999903E-3</v>
      </c>
      <c r="O6690">
        <v>-5.8530810000000004E-3</v>
      </c>
      <c r="P6690">
        <v>0.97988019999999998</v>
      </c>
      <c r="Q6690">
        <v>0.17706179999999999</v>
      </c>
      <c r="R6690">
        <v>9.2110460000000005E-2</v>
      </c>
      <c r="S6690">
        <v>3.0256959999999999</v>
      </c>
      <c r="T6690">
        <v>-0.1583512</v>
      </c>
      <c r="U6690">
        <v>0.68600459999999996</v>
      </c>
      <c r="V6690">
        <v>-9.7858970000000003E-2</v>
      </c>
      <c r="W6690">
        <v>0.18559909999999999</v>
      </c>
      <c r="X6690">
        <v>0.97774050000000001</v>
      </c>
      <c r="Y6690">
        <v>-0.22646749999999999</v>
      </c>
      <c r="Z6690">
        <v>7.1018670000000004E-3</v>
      </c>
      <c r="AA6690">
        <v>0.97399279999999999</v>
      </c>
      <c r="AB6690">
        <v>27</v>
      </c>
      <c r="AC6690">
        <v>21.074699999999901</v>
      </c>
      <c r="AD6690">
        <v>-1.1099597230110001</v>
      </c>
      <c r="AE6690">
        <v>4.8093300000000099</v>
      </c>
      <c r="AF6690">
        <v>-4.9196331226503904</v>
      </c>
      <c r="AG6690">
        <v>-1.1099597230110001</v>
      </c>
      <c r="AH6690">
        <v>20.990844068601501</v>
      </c>
      <c r="AI6690">
        <v>92.947168519218806</v>
      </c>
      <c r="AJ6690">
        <v>103.19036243282</v>
      </c>
      <c r="AK6690">
        <v>21.5881989837162</v>
      </c>
      <c r="AL6690">
        <v>79.303936171814598</v>
      </c>
      <c r="AM6690">
        <v>95.715520152715698</v>
      </c>
      <c r="AN6690">
        <v>0.99999994463525799</v>
      </c>
    </row>
    <row r="6691" spans="1:40" x14ac:dyDescent="0.25">
      <c r="A6691" t="str">
        <f>"20190304155235681"</f>
        <v>20190304155235681</v>
      </c>
      <c r="B6691" t="str">
        <f>"1551685955673739"</f>
        <v>1551685955673739</v>
      </c>
      <c r="C6691" t="s">
        <v>40</v>
      </c>
      <c r="D6691">
        <v>4.9604589999999904</v>
      </c>
      <c r="E6691">
        <v>0.4480751</v>
      </c>
      <c r="F6691" t="s">
        <v>107</v>
      </c>
      <c r="G6691">
        <v>-233.11089999999999</v>
      </c>
      <c r="H6691" s="1">
        <v>-7.0589239999999995E-7</v>
      </c>
      <c r="I6691">
        <v>-58.2179199999999</v>
      </c>
      <c r="J6691">
        <v>-254.08330000000001</v>
      </c>
      <c r="K6691">
        <v>1.109961</v>
      </c>
      <c r="L6691">
        <v>-63.009610000000002</v>
      </c>
      <c r="M6691">
        <v>0.99994490000000003</v>
      </c>
      <c r="N6691">
        <v>-8.7347589999999999E-3</v>
      </c>
      <c r="O6691">
        <v>-5.8187539999999998E-3</v>
      </c>
      <c r="P6691">
        <v>0.97985169999999999</v>
      </c>
      <c r="Q6691">
        <v>0.17702889999999999</v>
      </c>
      <c r="R6691">
        <v>9.2474180000000003E-2</v>
      </c>
      <c r="S6691">
        <v>3.0258029999999998</v>
      </c>
      <c r="T6691">
        <v>-0.15911889999999901</v>
      </c>
      <c r="U6691">
        <v>0.68679809999999997</v>
      </c>
      <c r="V6691">
        <v>-9.8188700000000004E-2</v>
      </c>
      <c r="W6691">
        <v>0.1855687</v>
      </c>
      <c r="X6691">
        <v>0.97771330000000001</v>
      </c>
      <c r="Y6691">
        <v>-0.22666610000000001</v>
      </c>
      <c r="Z6691">
        <v>7.1361200000000001E-3</v>
      </c>
      <c r="AA6691">
        <v>0.97394639999999999</v>
      </c>
      <c r="AB6691">
        <v>27</v>
      </c>
      <c r="AC6691">
        <v>20.9724</v>
      </c>
      <c r="AD6691">
        <v>-1.1099617058923901</v>
      </c>
      <c r="AE6691">
        <v>4.79169</v>
      </c>
      <c r="AF6691">
        <v>-4.9006009836545301</v>
      </c>
      <c r="AG6691">
        <v>-1.1099617058923901</v>
      </c>
      <c r="AH6691">
        <v>20.888555220339001</v>
      </c>
      <c r="AI6691">
        <v>92.961424679775703</v>
      </c>
      <c r="AJ6691">
        <v>103.20320976327901</v>
      </c>
      <c r="AK6691">
        <v>21.484404673685901</v>
      </c>
      <c r="AL6691">
        <v>79.305709681079406</v>
      </c>
      <c r="AM6691">
        <v>95.734808589712699</v>
      </c>
      <c r="AN6691">
        <v>1.0000000301121299</v>
      </c>
    </row>
    <row r="6692" spans="1:40" x14ac:dyDescent="0.25">
      <c r="A6692" t="str">
        <f>"20190304155235693"</f>
        <v>20190304155235693</v>
      </c>
      <c r="B6692" t="str">
        <f>"1551685955683500"</f>
        <v>1551685955683500</v>
      </c>
      <c r="C6692" t="s">
        <v>40</v>
      </c>
      <c r="D6692">
        <v>4.9656440000000002</v>
      </c>
      <c r="E6692">
        <v>0.4480015</v>
      </c>
      <c r="F6692" t="s">
        <v>107</v>
      </c>
      <c r="G6692">
        <v>-232.9298</v>
      </c>
      <c r="H6692" s="1">
        <v>-6.3331139999999999E-7</v>
      </c>
      <c r="I6692">
        <v>-58.1890199999999</v>
      </c>
      <c r="J6692">
        <v>-253.94649999999999</v>
      </c>
      <c r="K6692">
        <v>1.109961</v>
      </c>
      <c r="L6692">
        <v>-63.010379999999998</v>
      </c>
      <c r="M6692">
        <v>0.99994519999999998</v>
      </c>
      <c r="N6692">
        <v>-8.7373869999999992E-3</v>
      </c>
      <c r="O6692">
        <v>-5.7835919999999997E-3</v>
      </c>
      <c r="P6692">
        <v>0.97984850000000001</v>
      </c>
      <c r="Q6692">
        <v>0.17715710000000001</v>
      </c>
      <c r="R6692">
        <v>9.2263289999999998E-2</v>
      </c>
      <c r="S6692">
        <v>3.0253299999999999</v>
      </c>
      <c r="T6692">
        <v>-0.15874460000000001</v>
      </c>
      <c r="U6692">
        <v>0.6894226</v>
      </c>
      <c r="V6692">
        <v>-9.7943810000000006E-2</v>
      </c>
      <c r="W6692">
        <v>0.18569939999999999</v>
      </c>
      <c r="X6692">
        <v>0.97771300000000005</v>
      </c>
      <c r="Y6692">
        <v>-0.22746839999999999</v>
      </c>
      <c r="Z6692">
        <v>7.1451350000000004E-3</v>
      </c>
      <c r="AA6692">
        <v>0.97375919999999905</v>
      </c>
      <c r="AB6692">
        <v>27</v>
      </c>
      <c r="AC6692">
        <v>21.016699999999901</v>
      </c>
      <c r="AD6692">
        <v>-1.1099616333114</v>
      </c>
      <c r="AE6692">
        <v>4.8213600000000101</v>
      </c>
      <c r="AF6692">
        <v>-4.9297731132086602</v>
      </c>
      <c r="AG6692">
        <v>-1.1099616333114</v>
      </c>
      <c r="AH6692">
        <v>20.932994477862</v>
      </c>
      <c r="AI6692">
        <v>92.954560359034801</v>
      </c>
      <c r="AJ6692">
        <v>103.251833995273</v>
      </c>
      <c r="AK6692">
        <v>21.5342735095786</v>
      </c>
      <c r="AL6692">
        <v>79.298088159294394</v>
      </c>
      <c r="AM6692">
        <v>95.720602272634594</v>
      </c>
      <c r="AN6692">
        <v>0.99999998372333798</v>
      </c>
    </row>
    <row r="6693" spans="1:40" x14ac:dyDescent="0.25">
      <c r="A6693" t="str">
        <f>"20190304155235703"</f>
        <v>20190304155235703</v>
      </c>
      <c r="B6693" t="str">
        <f>"1551685955693261"</f>
        <v>1551685955693261</v>
      </c>
      <c r="C6693" t="s">
        <v>40</v>
      </c>
      <c r="D6693">
        <v>4.9670249999999996</v>
      </c>
      <c r="E6693">
        <v>0.44794590000000001</v>
      </c>
      <c r="F6693" t="s">
        <v>107</v>
      </c>
      <c r="G6693">
        <v>-232.69810000000001</v>
      </c>
      <c r="H6693" s="1">
        <v>-5.3780600000000002E-7</v>
      </c>
      <c r="I6693">
        <v>-58.167050000000003</v>
      </c>
      <c r="J6693">
        <v>-253.81110000000001</v>
      </c>
      <c r="K6693">
        <v>1.10996299999999</v>
      </c>
      <c r="L6693">
        <v>-63.011139999999997</v>
      </c>
      <c r="M6693">
        <v>0.99994530000000004</v>
      </c>
      <c r="N6693">
        <v>-8.7399969999999993E-3</v>
      </c>
      <c r="O6693">
        <v>-5.7483109999999999E-3</v>
      </c>
      <c r="P6693">
        <v>0.97983500000000001</v>
      </c>
      <c r="Q6693">
        <v>0.17724589999999901</v>
      </c>
      <c r="R6693">
        <v>9.2234659999999996E-2</v>
      </c>
      <c r="S6693">
        <v>3.0253139999999998</v>
      </c>
      <c r="T6693">
        <v>-0.15803420000000001</v>
      </c>
      <c r="U6693">
        <v>0.68957519999999894</v>
      </c>
      <c r="V6693">
        <v>-9.7881029999999994E-2</v>
      </c>
      <c r="W6693">
        <v>0.18579029999999999</v>
      </c>
      <c r="X6693">
        <v>0.97770199999999996</v>
      </c>
      <c r="Y6693">
        <v>-0.22748470000000001</v>
      </c>
      <c r="Z6693">
        <v>7.1167419999999997E-3</v>
      </c>
      <c r="AA6693">
        <v>0.9737557</v>
      </c>
      <c r="AB6693">
        <v>27</v>
      </c>
      <c r="AC6693">
        <v>21.113</v>
      </c>
      <c r="AD6693">
        <v>-1.10996353780599</v>
      </c>
      <c r="AE6693">
        <v>4.8440899999999996</v>
      </c>
      <c r="AF6693">
        <v>-4.9523754686506098</v>
      </c>
      <c r="AG6693">
        <v>-1.10996353780599</v>
      </c>
      <c r="AH6693">
        <v>21.029588363378799</v>
      </c>
      <c r="AI6693">
        <v>92.941022820391495</v>
      </c>
      <c r="AJ6693">
        <v>103.251457763872</v>
      </c>
      <c r="AK6693">
        <v>21.633345293109699</v>
      </c>
      <c r="AL6693">
        <v>79.292787545142204</v>
      </c>
      <c r="AM6693">
        <v>95.717023674066496</v>
      </c>
      <c r="AN6693">
        <v>0.99999996620597398</v>
      </c>
    </row>
    <row r="6694" spans="1:40" x14ac:dyDescent="0.25">
      <c r="A6694" t="str">
        <f>"20190304155235716"</f>
        <v>20190304155235716</v>
      </c>
      <c r="B6694" t="str">
        <f>"1551685955713756"</f>
        <v>1551685955713756</v>
      </c>
      <c r="C6694" t="s">
        <v>40</v>
      </c>
      <c r="D6694">
        <v>4.9227489999999996</v>
      </c>
      <c r="E6694">
        <v>0.44794460000000003</v>
      </c>
      <c r="F6694" t="s">
        <v>107</v>
      </c>
      <c r="G6694">
        <v>-232.4359</v>
      </c>
      <c r="H6694" s="1">
        <v>-4.3123129999999998E-7</v>
      </c>
      <c r="I6694">
        <v>-58.133710000000001</v>
      </c>
      <c r="J6694">
        <v>-253.6653</v>
      </c>
      <c r="K6694">
        <v>1.10996299999999</v>
      </c>
      <c r="L6694">
        <v>-63.01193</v>
      </c>
      <c r="M6694">
        <v>0.99994550000000004</v>
      </c>
      <c r="N6694">
        <v>-8.7428060000000005E-3</v>
      </c>
      <c r="O6694">
        <v>-5.7100500000000004E-3</v>
      </c>
      <c r="P6694">
        <v>0.9797768</v>
      </c>
      <c r="Q6694">
        <v>0.177458</v>
      </c>
      <c r="R6694">
        <v>9.2444849999999995E-2</v>
      </c>
      <c r="S6694">
        <v>3.0251619999999999</v>
      </c>
      <c r="T6694">
        <v>-0.15708910000000001</v>
      </c>
      <c r="U6694">
        <v>0.69027709999999998</v>
      </c>
      <c r="V6694">
        <v>-9.8053189999999998E-2</v>
      </c>
      <c r="W6694">
        <v>0.18600439999999999</v>
      </c>
      <c r="X6694">
        <v>0.97764410000000002</v>
      </c>
      <c r="Y6694">
        <v>-0.2276765</v>
      </c>
      <c r="Z6694">
        <v>7.0845609999999996E-3</v>
      </c>
      <c r="AA6694">
        <v>0.97371110000000005</v>
      </c>
      <c r="AB6694">
        <v>27</v>
      </c>
      <c r="AC6694">
        <v>21.229399999999998</v>
      </c>
      <c r="AD6694">
        <v>-1.10996343123129</v>
      </c>
      <c r="AE6694">
        <v>4.8782199999999998</v>
      </c>
      <c r="AF6694">
        <v>-4.9864185874787701</v>
      </c>
      <c r="AG6694">
        <v>-1.10996343123129</v>
      </c>
      <c r="AH6694">
        <v>21.146290705691701</v>
      </c>
      <c r="AI6694">
        <v>92.924617642536504</v>
      </c>
      <c r="AJ6694">
        <v>103.268297545962</v>
      </c>
      <c r="AK6694">
        <v>21.754585717908999</v>
      </c>
      <c r="AL6694">
        <v>79.2803035445517</v>
      </c>
      <c r="AM6694">
        <v>95.727349311960495</v>
      </c>
      <c r="AN6694">
        <v>1.0000000255766699</v>
      </c>
    </row>
    <row r="6695" spans="1:40" x14ac:dyDescent="0.25">
      <c r="A6695" t="str">
        <f>"20190304155235728"</f>
        <v>20190304155235728</v>
      </c>
      <c r="B6695" t="str">
        <f>"1551685955723516"</f>
        <v>1551685955723516</v>
      </c>
      <c r="C6695" t="s">
        <v>40</v>
      </c>
      <c r="D6695">
        <v>4.9732849999999997</v>
      </c>
      <c r="E6695">
        <v>0.44790590000000002</v>
      </c>
      <c r="F6695" t="s">
        <v>107</v>
      </c>
      <c r="G6695">
        <v>-232.6968</v>
      </c>
      <c r="H6695" s="1">
        <v>-5.2755090000000002E-7</v>
      </c>
      <c r="I6695">
        <v>-58.22184</v>
      </c>
      <c r="J6695">
        <v>-253.52340000000001</v>
      </c>
      <c r="K6695">
        <v>1.109964</v>
      </c>
      <c r="L6695">
        <v>-63.012700000000002</v>
      </c>
      <c r="M6695">
        <v>0.9999458</v>
      </c>
      <c r="N6695">
        <v>-8.7455439999999992E-3</v>
      </c>
      <c r="O6695">
        <v>-5.6728619999999999E-3</v>
      </c>
      <c r="P6695">
        <v>0.97979830000000001</v>
      </c>
      <c r="Q6695">
        <v>0.177349799999999</v>
      </c>
      <c r="R6695">
        <v>9.2427930000000005E-2</v>
      </c>
      <c r="S6695">
        <v>3.0257109999999998</v>
      </c>
      <c r="T6695">
        <v>-0.16016540000000001</v>
      </c>
      <c r="U6695">
        <v>0.69119259999999905</v>
      </c>
      <c r="V6695">
        <v>-9.8000649999999995E-2</v>
      </c>
      <c r="W6695">
        <v>0.1858986</v>
      </c>
      <c r="X6695">
        <v>0.97766949999999997</v>
      </c>
      <c r="Y6695">
        <v>-0.22786899999999999</v>
      </c>
      <c r="Z6695">
        <v>7.2076569999999897E-3</v>
      </c>
      <c r="AA6695">
        <v>0.97366509999999995</v>
      </c>
      <c r="AB6695">
        <v>27</v>
      </c>
      <c r="AC6695">
        <v>20.826599999999999</v>
      </c>
      <c r="AD6695">
        <v>-1.10996452755089</v>
      </c>
      <c r="AE6695">
        <v>4.7908600000000003</v>
      </c>
      <c r="AF6695">
        <v>-4.8957268185682103</v>
      </c>
      <c r="AG6695">
        <v>-1.10996452755089</v>
      </c>
      <c r="AH6695">
        <v>20.743127982564999</v>
      </c>
      <c r="AI6695">
        <v>92.981221466748494</v>
      </c>
      <c r="AJ6695">
        <v>103.27974842567799</v>
      </c>
      <c r="AK6695">
        <v>21.341919333451202</v>
      </c>
      <c r="AL6695">
        <v>79.286473132433898</v>
      </c>
      <c r="AM6695">
        <v>95.724153072809798</v>
      </c>
      <c r="AN6695">
        <v>1.00000003405631</v>
      </c>
    </row>
    <row r="6696" spans="1:40" x14ac:dyDescent="0.25">
      <c r="A6696" t="str">
        <f>"20190304155235740"</f>
        <v>20190304155235740</v>
      </c>
      <c r="B6696" t="str">
        <f>"1551685955733276"</f>
        <v>1551685955733276</v>
      </c>
      <c r="C6696" t="s">
        <v>40</v>
      </c>
      <c r="D6696">
        <v>4.9802949999999999</v>
      </c>
      <c r="E6696">
        <v>0.44781520000000002</v>
      </c>
      <c r="F6696" t="s">
        <v>107</v>
      </c>
      <c r="G6696">
        <v>-232.60169999999999</v>
      </c>
      <c r="H6696" s="1">
        <v>-4.8528859999999998E-7</v>
      </c>
      <c r="I6696">
        <v>-58.230029999999999</v>
      </c>
      <c r="J6696">
        <v>-253.37549999999999</v>
      </c>
      <c r="K6696">
        <v>1.1099680000000001</v>
      </c>
      <c r="L6696">
        <v>-63.0135199999999</v>
      </c>
      <c r="M6696">
        <v>0.9999458</v>
      </c>
      <c r="N6696">
        <v>-8.7484599999999996E-3</v>
      </c>
      <c r="O6696">
        <v>-5.6336479999999998E-3</v>
      </c>
      <c r="P6696">
        <v>0.97975769999999995</v>
      </c>
      <c r="Q6696">
        <v>0.177453799999999</v>
      </c>
      <c r="R6696">
        <v>9.2656730000000007E-2</v>
      </c>
      <c r="S6696">
        <v>3.0256500000000002</v>
      </c>
      <c r="T6696">
        <v>-0.16052040000000001</v>
      </c>
      <c r="U6696">
        <v>0.6916504</v>
      </c>
      <c r="V6696">
        <v>-9.8191169999999994E-2</v>
      </c>
      <c r="W6696">
        <v>0.1860049</v>
      </c>
      <c r="X6696">
        <v>0.97763009999999995</v>
      </c>
      <c r="Y6696">
        <v>-0.2279735</v>
      </c>
      <c r="Z6696">
        <v>7.22333E-3</v>
      </c>
      <c r="AA6696">
        <v>0.97364059999999997</v>
      </c>
      <c r="AB6696">
        <v>27</v>
      </c>
      <c r="AC6696">
        <v>20.773799999999898</v>
      </c>
      <c r="AD6696">
        <v>-1.1099684852886</v>
      </c>
      <c r="AE6696">
        <v>4.78348999999998</v>
      </c>
      <c r="AF6696">
        <v>-4.8872009634719298</v>
      </c>
      <c r="AG6696">
        <v>-1.1099684852886</v>
      </c>
      <c r="AH6696">
        <v>20.690426148377199</v>
      </c>
      <c r="AI6696">
        <v>92.988685831753401</v>
      </c>
      <c r="AJ6696">
        <v>103.29001120973</v>
      </c>
      <c r="AK6696">
        <v>21.288741097048199</v>
      </c>
      <c r="AL6696">
        <v>79.280273791080504</v>
      </c>
      <c r="AM6696">
        <v>95.735436703119504</v>
      </c>
      <c r="AN6696">
        <v>0.99999997055799394</v>
      </c>
    </row>
    <row r="6697" spans="1:40" x14ac:dyDescent="0.25">
      <c r="A6697" t="str">
        <f>"20190304155235752"</f>
        <v>20190304155235752</v>
      </c>
      <c r="B6697" t="str">
        <f>"1551685955743036"</f>
        <v>1551685955743036</v>
      </c>
      <c r="C6697" t="s">
        <v>40</v>
      </c>
      <c r="D6697">
        <v>4.970205</v>
      </c>
      <c r="E6697">
        <v>0.44780419999999999</v>
      </c>
      <c r="F6697" t="s">
        <v>107</v>
      </c>
      <c r="G6697">
        <v>-232.39</v>
      </c>
      <c r="H6697" s="1">
        <v>-3.9882880000000002E-7</v>
      </c>
      <c r="I6697">
        <v>-58.205489999999998</v>
      </c>
      <c r="J6697">
        <v>-253.2302</v>
      </c>
      <c r="K6697">
        <v>1.1099669999999999</v>
      </c>
      <c r="L6697">
        <v>-63.014279999999999</v>
      </c>
      <c r="M6697">
        <v>0.99994609999999995</v>
      </c>
      <c r="N6697">
        <v>-8.7513090000000005E-3</v>
      </c>
      <c r="O6697">
        <v>-5.5955070000000004E-3</v>
      </c>
      <c r="P6697">
        <v>0.97974720000000004</v>
      </c>
      <c r="Q6697">
        <v>0.1774374</v>
      </c>
      <c r="R6697">
        <v>9.2797879999999999E-2</v>
      </c>
      <c r="S6697">
        <v>3.0253909999999999</v>
      </c>
      <c r="T6697">
        <v>-0.16001960000000001</v>
      </c>
      <c r="U6697">
        <v>0.69314580000000003</v>
      </c>
      <c r="V6697">
        <v>-9.8295389999999996E-2</v>
      </c>
      <c r="W6697">
        <v>0.1859913</v>
      </c>
      <c r="X6697">
        <v>0.9776222</v>
      </c>
      <c r="Y6697">
        <v>-0.22841320000000001</v>
      </c>
      <c r="Z6697">
        <v>7.2161279999999996E-3</v>
      </c>
      <c r="AA6697">
        <v>0.9735376</v>
      </c>
      <c r="AB6697">
        <v>27</v>
      </c>
      <c r="AC6697">
        <v>20.840199999999999</v>
      </c>
      <c r="AD6697">
        <v>-1.1099673988287999</v>
      </c>
      <c r="AE6697">
        <v>4.8087900000000001</v>
      </c>
      <c r="AF6697">
        <v>-4.9121008021703796</v>
      </c>
      <c r="AG6697">
        <v>-1.1099673988287999</v>
      </c>
      <c r="AH6697">
        <v>20.7570596873244</v>
      </c>
      <c r="AI6697">
        <v>92.978812221221304</v>
      </c>
      <c r="AJ6697">
        <v>103.31395864891699</v>
      </c>
      <c r="AK6697">
        <v>21.359220228751099</v>
      </c>
      <c r="AL6697">
        <v>79.281066701723503</v>
      </c>
      <c r="AM6697">
        <v>95.741529725676799</v>
      </c>
      <c r="AN6697">
        <v>0.99999995665189001</v>
      </c>
    </row>
    <row r="6698" spans="1:40" x14ac:dyDescent="0.25">
      <c r="A6698" t="str">
        <f>"20190304155235762"</f>
        <v>20190304155235762</v>
      </c>
      <c r="B6698" t="str">
        <f>"1551685955753772"</f>
        <v>1551685955753772</v>
      </c>
      <c r="C6698" t="s">
        <v>40</v>
      </c>
      <c r="D6698">
        <v>4.9675200000000004</v>
      </c>
      <c r="E6698">
        <v>0.44779000000000002</v>
      </c>
      <c r="F6698" t="s">
        <v>107</v>
      </c>
      <c r="G6698">
        <v>-232.24690000000001</v>
      </c>
      <c r="H6698" s="1">
        <v>-3.3804329999999998E-7</v>
      </c>
      <c r="I6698">
        <v>-58.201949999999997</v>
      </c>
      <c r="J6698">
        <v>-253.0908</v>
      </c>
      <c r="K6698">
        <v>1.1099669999999999</v>
      </c>
      <c r="L6698">
        <v>-63.015050000000002</v>
      </c>
      <c r="M6698">
        <v>0.99994620000000001</v>
      </c>
      <c r="N6698">
        <v>-8.754019E-3</v>
      </c>
      <c r="O6698">
        <v>-5.5586769999999997E-3</v>
      </c>
      <c r="P6698">
        <v>0.97971140000000001</v>
      </c>
      <c r="Q6698">
        <v>0.17749619999999999</v>
      </c>
      <c r="R6698">
        <v>9.3061939999999996E-2</v>
      </c>
      <c r="S6698">
        <v>3.0253139999999998</v>
      </c>
      <c r="T6698">
        <v>-0.16003139999999999</v>
      </c>
      <c r="U6698">
        <v>0.69381709999999996</v>
      </c>
      <c r="V6698">
        <v>-9.8523089999999994E-2</v>
      </c>
      <c r="W6698">
        <v>0.18605269999999999</v>
      </c>
      <c r="X6698">
        <v>0.9775876</v>
      </c>
      <c r="Y6698">
        <v>-0.2285876</v>
      </c>
      <c r="Z6698">
        <v>7.2206350000000004E-3</v>
      </c>
      <c r="AA6698">
        <v>0.97349660000000005</v>
      </c>
      <c r="AB6698">
        <v>27</v>
      </c>
      <c r="AC6698">
        <v>20.843899999999898</v>
      </c>
      <c r="AD6698">
        <v>-1.1099673380432999</v>
      </c>
      <c r="AE6698">
        <v>4.8131000000000004</v>
      </c>
      <c r="AF6698">
        <v>-4.9156608044935597</v>
      </c>
      <c r="AG6698">
        <v>-1.1099673380432999</v>
      </c>
      <c r="AH6698">
        <v>20.760930556360002</v>
      </c>
      <c r="AI6698">
        <v>92.978172795564205</v>
      </c>
      <c r="AJ6698">
        <v>103.32086829088</v>
      </c>
      <c r="AK6698">
        <v>21.363800836985</v>
      </c>
      <c r="AL6698">
        <v>79.277486293715299</v>
      </c>
      <c r="AM6698">
        <v>95.754943050856198</v>
      </c>
      <c r="AN6698">
        <v>0.99999996105709799</v>
      </c>
    </row>
    <row r="6699" spans="1:40" x14ac:dyDescent="0.25">
      <c r="A6699" t="str">
        <f>"20190304155235774"</f>
        <v>20190304155235774</v>
      </c>
      <c r="B6699" t="str">
        <f>"1551685955763534"</f>
        <v>1551685955763534</v>
      </c>
      <c r="C6699" t="s">
        <v>40</v>
      </c>
      <c r="D6699">
        <v>4.9767760000000001</v>
      </c>
      <c r="E6699">
        <v>0.44771680000000003</v>
      </c>
      <c r="F6699" t="s">
        <v>107</v>
      </c>
      <c r="G6699">
        <v>-232.09469999999999</v>
      </c>
      <c r="H6699" s="1">
        <v>-2.8322589999999998E-7</v>
      </c>
      <c r="I6699">
        <v>-58.191600000000001</v>
      </c>
      <c r="J6699">
        <v>-252.95570000000001</v>
      </c>
      <c r="K6699">
        <v>1.10996299999999</v>
      </c>
      <c r="L6699">
        <v>-63.015749999999997</v>
      </c>
      <c r="M6699">
        <v>0.99994649999999996</v>
      </c>
      <c r="N6699">
        <v>-8.7566469999999993E-3</v>
      </c>
      <c r="O6699">
        <v>-5.523516E-3</v>
      </c>
      <c r="P6699">
        <v>0.97968980000000006</v>
      </c>
      <c r="Q6699">
        <v>0.17749670000000001</v>
      </c>
      <c r="R6699">
        <v>9.3290139999999994E-2</v>
      </c>
      <c r="S6699">
        <v>3.0251009999999998</v>
      </c>
      <c r="T6699">
        <v>-0.1599227</v>
      </c>
      <c r="U6699">
        <v>0.69494630000000002</v>
      </c>
      <c r="V6699">
        <v>-9.8717449999999998E-2</v>
      </c>
      <c r="W6699">
        <v>0.186055</v>
      </c>
      <c r="X6699">
        <v>0.97756759999999998</v>
      </c>
      <c r="Y6699">
        <v>-0.22891349999999999</v>
      </c>
      <c r="Z6699">
        <v>7.2253109999999999E-3</v>
      </c>
      <c r="AA6699">
        <v>0.97341999999999995</v>
      </c>
      <c r="AB6699">
        <v>27</v>
      </c>
      <c r="AC6699">
        <v>20.861000000000001</v>
      </c>
      <c r="AD6699">
        <v>-1.1099632832259001</v>
      </c>
      <c r="AE6699">
        <v>4.8241499999999897</v>
      </c>
      <c r="AF6699">
        <v>-4.9260688834189299</v>
      </c>
      <c r="AG6699">
        <v>-1.1099632832259001</v>
      </c>
      <c r="AH6699">
        <v>20.7781964969207</v>
      </c>
      <c r="AI6699">
        <v>92.975488967526303</v>
      </c>
      <c r="AJ6699">
        <v>103.33736923572199</v>
      </c>
      <c r="AK6699">
        <v>21.382975068940901</v>
      </c>
      <c r="AL6699">
        <v>79.277352651218607</v>
      </c>
      <c r="AM6699">
        <v>95.766336779204707</v>
      </c>
      <c r="AN6699">
        <v>1.0000000052646301</v>
      </c>
    </row>
    <row r="6700" spans="1:40" x14ac:dyDescent="0.25">
      <c r="A6700" t="str">
        <f>"20190304155235784"</f>
        <v>20190304155235784</v>
      </c>
      <c r="B6700" t="str">
        <f>"1551685955773292"</f>
        <v>1551685955773292</v>
      </c>
      <c r="C6700" t="s">
        <v>40</v>
      </c>
      <c r="D6700">
        <v>4.9828330000000003</v>
      </c>
      <c r="E6700">
        <v>0.44761620000000002</v>
      </c>
      <c r="F6700" t="s">
        <v>107</v>
      </c>
      <c r="G6700">
        <v>-231.9307</v>
      </c>
      <c r="H6700" s="1">
        <v>-2.3172650000000001E-7</v>
      </c>
      <c r="I6700">
        <v>-58.175469999999997</v>
      </c>
      <c r="J6700">
        <v>-252.82599999999999</v>
      </c>
      <c r="K6700">
        <v>1.1099650000000001</v>
      </c>
      <c r="L6700">
        <v>-63.016419999999997</v>
      </c>
      <c r="M6700">
        <v>0.99994660000000002</v>
      </c>
      <c r="N6700">
        <v>-8.7591709999999996E-3</v>
      </c>
      <c r="O6700">
        <v>-5.4893099999999998E-3</v>
      </c>
      <c r="P6700">
        <v>0.97967400000000004</v>
      </c>
      <c r="Q6700">
        <v>0.17739820000000001</v>
      </c>
      <c r="R6700">
        <v>9.3641539999999995E-2</v>
      </c>
      <c r="S6700">
        <v>3.0248110000000001</v>
      </c>
      <c r="T6700">
        <v>-0.15968779999999999</v>
      </c>
      <c r="U6700">
        <v>0.69635009999999997</v>
      </c>
      <c r="V6700">
        <v>-9.9035319999999996E-2</v>
      </c>
      <c r="W6700">
        <v>0.18595900000000001</v>
      </c>
      <c r="X6700">
        <v>0.97755369999999997</v>
      </c>
      <c r="Y6700">
        <v>-0.2293299</v>
      </c>
      <c r="Z6700">
        <v>7.2279329999999998E-3</v>
      </c>
      <c r="AA6700">
        <v>0.97332189999999996</v>
      </c>
      <c r="AB6700">
        <v>27</v>
      </c>
      <c r="AC6700">
        <v>20.895299999999899</v>
      </c>
      <c r="AD6700">
        <v>-1.1099652317265001</v>
      </c>
      <c r="AE6700">
        <v>4.8409499999999897</v>
      </c>
      <c r="AF6700">
        <v>-4.94234648818985</v>
      </c>
      <c r="AG6700">
        <v>-1.1099652317265001</v>
      </c>
      <c r="AH6700">
        <v>20.812673723108901</v>
      </c>
      <c r="AI6700">
        <v>92.970314625800896</v>
      </c>
      <c r="AJ6700">
        <v>103.358489338789</v>
      </c>
      <c r="AK6700">
        <v>21.420228736630001</v>
      </c>
      <c r="AL6700">
        <v>79.282950579668196</v>
      </c>
      <c r="AM6700">
        <v>95.784860345779094</v>
      </c>
      <c r="AN6700">
        <v>0.99999999033609599</v>
      </c>
    </row>
    <row r="6701" spans="1:40" x14ac:dyDescent="0.25">
      <c r="A6701" t="str">
        <f>"20190304155235794"</f>
        <v>20190304155235794</v>
      </c>
      <c r="B6701" t="str">
        <f>"1551685955783053"</f>
        <v>1551685955783053</v>
      </c>
      <c r="C6701" t="s">
        <v>40</v>
      </c>
      <c r="D6701">
        <v>4.9905569999999999</v>
      </c>
      <c r="E6701">
        <v>0.4475594</v>
      </c>
      <c r="F6701" t="s">
        <v>107</v>
      </c>
      <c r="G6701">
        <v>-231.83940000000001</v>
      </c>
      <c r="H6701" s="1">
        <v>-2.018189E-7</v>
      </c>
      <c r="I6701">
        <v>-58.17109</v>
      </c>
      <c r="J6701">
        <v>-252.70349999999999</v>
      </c>
      <c r="K6701">
        <v>1.1099650000000001</v>
      </c>
      <c r="L6701">
        <v>-63.017090000000003</v>
      </c>
      <c r="M6701">
        <v>0.99994680000000002</v>
      </c>
      <c r="N6701">
        <v>-8.7631269999999904E-3</v>
      </c>
      <c r="O6701">
        <v>-5.4570180000000001E-3</v>
      </c>
      <c r="P6701">
        <v>0.97964419999999997</v>
      </c>
      <c r="Q6701">
        <v>0.1773826</v>
      </c>
      <c r="R6701">
        <v>9.3983410000000003E-2</v>
      </c>
      <c r="S6701">
        <v>3.0244749999999998</v>
      </c>
      <c r="T6701">
        <v>-0.15996179999999999</v>
      </c>
      <c r="U6701">
        <v>0.69827269999999997</v>
      </c>
      <c r="V6701">
        <v>-9.934598E-2</v>
      </c>
      <c r="W6701">
        <v>0.1859468</v>
      </c>
      <c r="X6701">
        <v>0.97752450000000002</v>
      </c>
      <c r="Y6701">
        <v>-0.22990749999999999</v>
      </c>
      <c r="Z6701">
        <v>7.2556359999999898E-3</v>
      </c>
      <c r="AA6701">
        <v>0.97318539999999998</v>
      </c>
      <c r="AB6701">
        <v>27</v>
      </c>
      <c r="AC6701">
        <v>20.864099999999901</v>
      </c>
      <c r="AD6701">
        <v>-1.1099652018188999</v>
      </c>
      <c r="AE6701">
        <v>4.8460000000000001</v>
      </c>
      <c r="AF6701">
        <v>-4.9465048817425501</v>
      </c>
      <c r="AG6701">
        <v>-1.1099652018188999</v>
      </c>
      <c r="AH6701">
        <v>20.7815379262261</v>
      </c>
      <c r="AI6701">
        <v>92.974385393936998</v>
      </c>
      <c r="AJ6701">
        <v>103.3886352785</v>
      </c>
      <c r="AK6701">
        <v>21.390938545877901</v>
      </c>
      <c r="AL6701">
        <v>79.283662015764094</v>
      </c>
      <c r="AM6701">
        <v>95.803055158918397</v>
      </c>
      <c r="AN6701">
        <v>0.99999999213632496</v>
      </c>
    </row>
    <row r="6702" spans="1:40" x14ac:dyDescent="0.25">
      <c r="A6702" t="str">
        <f>"20190304155235805"</f>
        <v>20190304155235805</v>
      </c>
      <c r="B6702" t="str">
        <f>"1551685955793788"</f>
        <v>1551685955793788</v>
      </c>
      <c r="C6702" t="s">
        <v>40</v>
      </c>
      <c r="D6702">
        <v>4.9471210000000001</v>
      </c>
      <c r="E6702">
        <v>0.44748260000000001</v>
      </c>
      <c r="F6702" t="s">
        <v>107</v>
      </c>
      <c r="G6702">
        <v>-231.76220000000001</v>
      </c>
      <c r="H6702" s="1">
        <v>-1.7555359999999999E-7</v>
      </c>
      <c r="I6702">
        <v>-58.171030000000002</v>
      </c>
      <c r="J6702">
        <v>-252.56970000000001</v>
      </c>
      <c r="K6702">
        <v>1.109972</v>
      </c>
      <c r="L6702">
        <v>-63.017760000000003</v>
      </c>
      <c r="M6702">
        <v>0.99994689999999997</v>
      </c>
      <c r="N6702">
        <v>-8.7681970000000001E-3</v>
      </c>
      <c r="O6702">
        <v>-5.4217509999999998E-3</v>
      </c>
      <c r="P6702">
        <v>0.97963659999999997</v>
      </c>
      <c r="Q6702">
        <v>0.17732000000000001</v>
      </c>
      <c r="R6702">
        <v>9.4180490000000006E-2</v>
      </c>
      <c r="S6702">
        <v>3.024216</v>
      </c>
      <c r="T6702">
        <v>-0.1602944</v>
      </c>
      <c r="U6702">
        <v>0.69982909999999998</v>
      </c>
      <c r="V6702">
        <v>-9.9508369999999999E-2</v>
      </c>
      <c r="W6702">
        <v>0.1858892</v>
      </c>
      <c r="X6702">
        <v>0.97751900000000003</v>
      </c>
      <c r="Y6702">
        <v>-0.23036480000000001</v>
      </c>
      <c r="Z6702">
        <v>7.2819190000000004E-3</v>
      </c>
      <c r="AA6702">
        <v>0.97307710000000003</v>
      </c>
      <c r="AB6702">
        <v>28</v>
      </c>
      <c r="AC6702">
        <v>20.807500000000001</v>
      </c>
      <c r="AD6702">
        <v>-1.1099721755536001</v>
      </c>
      <c r="AE6702">
        <v>4.8467299999999902</v>
      </c>
      <c r="AF6702">
        <v>-4.9461255092032701</v>
      </c>
      <c r="AG6702">
        <v>-1.1099721755536001</v>
      </c>
      <c r="AH6702">
        <v>20.724974179948902</v>
      </c>
      <c r="AI6702">
        <v>92.982083462844002</v>
      </c>
      <c r="AJ6702">
        <v>103.42286309376099</v>
      </c>
      <c r="AK6702">
        <v>21.335902852770101</v>
      </c>
      <c r="AL6702">
        <v>79.287021470741607</v>
      </c>
      <c r="AM6702">
        <v>95.812508363597104</v>
      </c>
      <c r="AN6702">
        <v>1.00000005286884</v>
      </c>
    </row>
    <row r="6703" spans="1:40" x14ac:dyDescent="0.25">
      <c r="A6703" t="str">
        <f>"20190304155235816"</f>
        <v>20190304155235816</v>
      </c>
      <c r="B6703" t="str">
        <f>"1551685955813308"</f>
        <v>1551685955813308</v>
      </c>
      <c r="C6703" t="s">
        <v>40</v>
      </c>
      <c r="D6703">
        <v>5.0148630000000001</v>
      </c>
      <c r="E6703">
        <v>0.44734030000000002</v>
      </c>
      <c r="F6703" t="s">
        <v>107</v>
      </c>
      <c r="G6703">
        <v>-231.6713</v>
      </c>
      <c r="H6703" s="1">
        <v>-1.4396859999999999E-7</v>
      </c>
      <c r="I6703">
        <v>-58.173569999999998</v>
      </c>
      <c r="J6703">
        <v>-252.4359</v>
      </c>
      <c r="K6703">
        <v>1.109974</v>
      </c>
      <c r="L6703">
        <v>-63.018459999999997</v>
      </c>
      <c r="M6703">
        <v>0.99994700000000003</v>
      </c>
      <c r="N6703">
        <v>-8.7748389999999996E-3</v>
      </c>
      <c r="O6703">
        <v>-5.3870890000000003E-3</v>
      </c>
      <c r="P6703">
        <v>0.97953380000000001</v>
      </c>
      <c r="Q6703">
        <v>0.17767869999999999</v>
      </c>
      <c r="R6703">
        <v>9.4572970000000006E-2</v>
      </c>
      <c r="S6703">
        <v>3.0240480000000001</v>
      </c>
      <c r="T6703">
        <v>-0.1606158</v>
      </c>
      <c r="U6703">
        <v>0.70095830000000003</v>
      </c>
      <c r="V6703">
        <v>-9.9866319999999995E-2</v>
      </c>
      <c r="W6703">
        <v>0.18625320000000001</v>
      </c>
      <c r="X6703">
        <v>0.97741310000000003</v>
      </c>
      <c r="Y6703">
        <v>-0.2306858</v>
      </c>
      <c r="Z6703">
        <v>7.3037309999999999E-3</v>
      </c>
      <c r="AA6703">
        <v>0.97300089999999995</v>
      </c>
      <c r="AB6703">
        <v>28</v>
      </c>
      <c r="AC6703">
        <v>20.764600000000002</v>
      </c>
      <c r="AD6703">
        <v>-1.1099741439685999</v>
      </c>
      <c r="AE6703">
        <v>4.8448900000000004</v>
      </c>
      <c r="AF6703">
        <v>-4.9432888261465999</v>
      </c>
      <c r="AG6703">
        <v>-1.1099741439685999</v>
      </c>
      <c r="AH6703">
        <v>20.682150826191901</v>
      </c>
      <c r="AI6703">
        <v>92.988011528146203</v>
      </c>
      <c r="AJ6703">
        <v>103.442213390487</v>
      </c>
      <c r="AK6703">
        <v>21.293649518491002</v>
      </c>
      <c r="AL6703">
        <v>79.265794023298298</v>
      </c>
      <c r="AM6703">
        <v>95.833900763077693</v>
      </c>
      <c r="AN6703">
        <v>0.99999995221609495</v>
      </c>
    </row>
    <row r="6704" spans="1:40" x14ac:dyDescent="0.25">
      <c r="A6704" t="str">
        <f>"20190304155235826"</f>
        <v>20190304155235826</v>
      </c>
      <c r="B6704" t="str">
        <f>"1551685955824045"</f>
        <v>1551685955824045</v>
      </c>
      <c r="C6704" t="s">
        <v>40</v>
      </c>
      <c r="D6704">
        <v>4.9756839999999896</v>
      </c>
      <c r="E6704">
        <v>0.44725989999999999</v>
      </c>
      <c r="F6704" t="s">
        <v>107</v>
      </c>
      <c r="G6704">
        <v>-231.33369999999999</v>
      </c>
      <c r="H6704" s="1">
        <v>-4.6051130000000002E-8</v>
      </c>
      <c r="I6704">
        <v>-58.109740000000002</v>
      </c>
      <c r="J6704">
        <v>-252.29570000000001</v>
      </c>
      <c r="K6704">
        <v>1.1099730000000001</v>
      </c>
      <c r="L6704">
        <v>-63.019170000000003</v>
      </c>
      <c r="M6704">
        <v>0.99994720000000004</v>
      </c>
      <c r="N6704">
        <v>-8.7822300000000002E-3</v>
      </c>
      <c r="O6704">
        <v>-5.35112E-3</v>
      </c>
      <c r="P6704">
        <v>0.97950280000000001</v>
      </c>
      <c r="Q6704">
        <v>0.1777302</v>
      </c>
      <c r="R6704">
        <v>9.4798010000000002E-2</v>
      </c>
      <c r="S6704">
        <v>3.0236360000000002</v>
      </c>
      <c r="T6704">
        <v>-0.15904279999999901</v>
      </c>
      <c r="U6704">
        <v>0.70333859999999904</v>
      </c>
      <c r="V6704">
        <v>-0.1000563</v>
      </c>
      <c r="W6704">
        <v>0.1863118</v>
      </c>
      <c r="X6704">
        <v>0.97738250000000004</v>
      </c>
      <c r="Y6704">
        <v>-0.23141220000000001</v>
      </c>
      <c r="Z6704">
        <v>7.2635850000000004E-3</v>
      </c>
      <c r="AA6704">
        <v>0.97282869999999999</v>
      </c>
      <c r="AB6704">
        <v>28</v>
      </c>
      <c r="AC6704">
        <v>20.962</v>
      </c>
      <c r="AD6704">
        <v>-1.1099730460511299</v>
      </c>
      <c r="AE6704">
        <v>4.9094299999999897</v>
      </c>
      <c r="AF6704">
        <v>-5.0082219553653404</v>
      </c>
      <c r="AG6704">
        <v>-1.1099730460511299</v>
      </c>
      <c r="AH6704">
        <v>20.879927426033699</v>
      </c>
      <c r="AI6704">
        <v>92.959190557739603</v>
      </c>
      <c r="AJ6704">
        <v>103.48805135946</v>
      </c>
      <c r="AK6704">
        <v>21.500830138243401</v>
      </c>
      <c r="AL6704">
        <v>79.2623766568924</v>
      </c>
      <c r="AM6704">
        <v>95.845103806266494</v>
      </c>
      <c r="AN6704">
        <v>0.99999995064758795</v>
      </c>
    </row>
    <row r="6705" spans="1:40" x14ac:dyDescent="0.25">
      <c r="A6705" t="str">
        <f>"20190304155235839"</f>
        <v>20190304155235839</v>
      </c>
      <c r="B6705" t="str">
        <f>"1551685955833807"</f>
        <v>1551685955833807</v>
      </c>
      <c r="C6705" t="s">
        <v>40</v>
      </c>
      <c r="D6705">
        <v>4.9836679999999998</v>
      </c>
      <c r="E6705">
        <v>0.44730789999999998</v>
      </c>
      <c r="F6705" t="s">
        <v>107</v>
      </c>
      <c r="G6705">
        <v>-231.18899999999999</v>
      </c>
      <c r="H6705" s="1">
        <v>8.5788090000000002E-10</v>
      </c>
      <c r="I6705">
        <v>-58.101019999999998</v>
      </c>
      <c r="J6705">
        <v>-252.1534</v>
      </c>
      <c r="K6705">
        <v>1.1099749999999999</v>
      </c>
      <c r="L6705">
        <v>-63.0199</v>
      </c>
      <c r="M6705">
        <v>0.99994729999999998</v>
      </c>
      <c r="N6705">
        <v>-8.7900589999999994E-3</v>
      </c>
      <c r="O6705">
        <v>-5.3153949999999997E-3</v>
      </c>
      <c r="P6705">
        <v>0.9794505</v>
      </c>
      <c r="Q6705">
        <v>0.17783389999999999</v>
      </c>
      <c r="R6705">
        <v>9.5140929999999999E-2</v>
      </c>
      <c r="S6705">
        <v>3.0234529999999999</v>
      </c>
      <c r="T6705">
        <v>-0.1589999</v>
      </c>
      <c r="U6705">
        <v>0.70449830000000002</v>
      </c>
      <c r="V6705">
        <v>-0.1003631</v>
      </c>
      <c r="W6705">
        <v>0.18642230000000001</v>
      </c>
      <c r="X6705">
        <v>0.97733000000000003</v>
      </c>
      <c r="Y6705">
        <v>-0.23174410000000001</v>
      </c>
      <c r="Z6705">
        <v>7.2714590000000001E-3</v>
      </c>
      <c r="AA6705">
        <v>0.97274959999999999</v>
      </c>
      <c r="AB6705">
        <v>28</v>
      </c>
      <c r="AC6705">
        <v>20.964399999999898</v>
      </c>
      <c r="AD6705">
        <v>-1.10997499914211</v>
      </c>
      <c r="AE6705">
        <v>4.9188799999999997</v>
      </c>
      <c r="AF6705">
        <v>-5.0169190289747201</v>
      </c>
      <c r="AG6705">
        <v>-1.10997499914211</v>
      </c>
      <c r="AH6705">
        <v>20.8824727497304</v>
      </c>
      <c r="AI6705">
        <v>92.958576117872198</v>
      </c>
      <c r="AJ6705">
        <v>103.509029775274</v>
      </c>
      <c r="AK6705">
        <v>21.505329320548402</v>
      </c>
      <c r="AL6705">
        <v>79.255932864002602</v>
      </c>
      <c r="AM6705">
        <v>95.863214582806293</v>
      </c>
      <c r="AN6705">
        <v>0.99999997733944901</v>
      </c>
    </row>
    <row r="6706" spans="1:40" x14ac:dyDescent="0.25">
      <c r="A6706" t="str">
        <f>"20190304155235850"</f>
        <v>20190304155235850</v>
      </c>
      <c r="B6706" t="str">
        <f>"1551685955843564"</f>
        <v>1551685955843564</v>
      </c>
      <c r="C6706" t="s">
        <v>40</v>
      </c>
      <c r="D6706">
        <v>4.9126539999999999</v>
      </c>
      <c r="E6706">
        <v>0.44742100000000001</v>
      </c>
      <c r="F6706" t="s">
        <v>107</v>
      </c>
      <c r="G6706">
        <v>-230.8383</v>
      </c>
      <c r="H6706" s="1">
        <v>1.06099E-7</v>
      </c>
      <c r="I6706">
        <v>-58.04795</v>
      </c>
      <c r="J6706">
        <v>-252.01580000000001</v>
      </c>
      <c r="K6706">
        <v>1.109972</v>
      </c>
      <c r="L6706">
        <v>-63.020600000000002</v>
      </c>
      <c r="M6706">
        <v>0.99994749999999999</v>
      </c>
      <c r="N6706">
        <v>-8.7975599999999994E-3</v>
      </c>
      <c r="O6706">
        <v>-5.2812199999999997E-3</v>
      </c>
      <c r="P6706">
        <v>0.9794079</v>
      </c>
      <c r="Q6706">
        <v>0.1779686</v>
      </c>
      <c r="R6706">
        <v>9.5328250000000003E-2</v>
      </c>
      <c r="S6706">
        <v>3.0230260000000002</v>
      </c>
      <c r="T6706">
        <v>-0.15742249999999999</v>
      </c>
      <c r="U6706">
        <v>0.70513919999999997</v>
      </c>
      <c r="V6706">
        <v>-0.10051649999999999</v>
      </c>
      <c r="W6706">
        <v>0.18656429999999999</v>
      </c>
      <c r="X6706">
        <v>0.97728720000000002</v>
      </c>
      <c r="Y6706">
        <v>-0.23194310000000001</v>
      </c>
      <c r="Z6706">
        <v>7.2152930000000002E-3</v>
      </c>
      <c r="AA6706">
        <v>0.97270259999999997</v>
      </c>
      <c r="AB6706">
        <v>28</v>
      </c>
      <c r="AC6706">
        <v>21.177499999999998</v>
      </c>
      <c r="AD6706">
        <v>-1.1099718939009999</v>
      </c>
      <c r="AE6706">
        <v>4.9726499999999998</v>
      </c>
      <c r="AF6706">
        <v>-5.07122478801542</v>
      </c>
      <c r="AG6706">
        <v>-1.1099718939009999</v>
      </c>
      <c r="AH6706">
        <v>21.096017347926001</v>
      </c>
      <c r="AI6706">
        <v>92.928577594070205</v>
      </c>
      <c r="AJ6706">
        <v>103.516739550658</v>
      </c>
      <c r="AK6706">
        <v>21.725360903787699</v>
      </c>
      <c r="AL6706">
        <v>79.247652238662994</v>
      </c>
      <c r="AM6706">
        <v>95.872369009831104</v>
      </c>
      <c r="AN6706">
        <v>1.00000003804528</v>
      </c>
    </row>
    <row r="6707" spans="1:40" x14ac:dyDescent="0.25">
      <c r="A6707" t="str">
        <f>"20190304155235861"</f>
        <v>20190304155235861</v>
      </c>
      <c r="B6707" t="str">
        <f>"1551685955853325"</f>
        <v>1551685955853325</v>
      </c>
      <c r="C6707" t="s">
        <v>40</v>
      </c>
      <c r="D6707">
        <v>4.9128629999999998</v>
      </c>
      <c r="E6707">
        <v>0.44754169999999999</v>
      </c>
      <c r="F6707" t="s">
        <v>107</v>
      </c>
      <c r="G6707">
        <v>-230.7362</v>
      </c>
      <c r="H6707" s="1">
        <v>1.4406940000000001E-7</v>
      </c>
      <c r="I6707">
        <v>-58.060110000000002</v>
      </c>
      <c r="J6707">
        <v>-251.87809999999999</v>
      </c>
      <c r="K6707">
        <v>1.109972</v>
      </c>
      <c r="L6707">
        <v>-63.021270000000001</v>
      </c>
      <c r="M6707">
        <v>0.99994749999999999</v>
      </c>
      <c r="N6707">
        <v>-8.8048090000000002E-3</v>
      </c>
      <c r="O6707">
        <v>-5.248361E-3</v>
      </c>
      <c r="P6707">
        <v>0.97931979999999996</v>
      </c>
      <c r="Q6707">
        <v>0.17819979999999999</v>
      </c>
      <c r="R6707">
        <v>9.5801999999999998E-2</v>
      </c>
      <c r="S6707">
        <v>3.0231170000000001</v>
      </c>
      <c r="T6707">
        <v>-0.15769</v>
      </c>
      <c r="U6707">
        <v>0.70471189999999995</v>
      </c>
      <c r="V6707">
        <v>-0.1009578</v>
      </c>
      <c r="W6707">
        <v>0.18680179999999999</v>
      </c>
      <c r="X6707">
        <v>0.97719630000000002</v>
      </c>
      <c r="Y6707">
        <v>-0.23177329999999999</v>
      </c>
      <c r="Z6707">
        <v>7.2200440000000001E-3</v>
      </c>
      <c r="AA6707">
        <v>0.97274300000000002</v>
      </c>
      <c r="AB6707">
        <v>28</v>
      </c>
      <c r="AC6707">
        <v>21.1419</v>
      </c>
      <c r="AD6707">
        <v>-1.1099718559306</v>
      </c>
      <c r="AE6707">
        <v>4.9611599999999996</v>
      </c>
      <c r="AF6707">
        <v>-5.0588400595651102</v>
      </c>
      <c r="AG6707">
        <v>-1.1099718559306</v>
      </c>
      <c r="AH6707">
        <v>21.060549112950198</v>
      </c>
      <c r="AI6707">
        <v>92.933622815416399</v>
      </c>
      <c r="AJ6707">
        <v>103.506815187627</v>
      </c>
      <c r="AK6707">
        <v>21.688029629457098</v>
      </c>
      <c r="AL6707">
        <v>79.233800567128398</v>
      </c>
      <c r="AM6707">
        <v>95.898514030233997</v>
      </c>
      <c r="AN6707">
        <v>0.99999999929888495</v>
      </c>
    </row>
    <row r="6708" spans="1:40" x14ac:dyDescent="0.25">
      <c r="A6708" t="str">
        <f>"20190304155235872"</f>
        <v>20190304155235872</v>
      </c>
      <c r="B6708" t="str">
        <f>"1551685955863084"</f>
        <v>1551685955863084</v>
      </c>
      <c r="C6708" t="s">
        <v>40</v>
      </c>
      <c r="D6708">
        <v>4.9591240000000001</v>
      </c>
      <c r="E6708">
        <v>0.44766400000000001</v>
      </c>
      <c r="F6708" t="s">
        <v>107</v>
      </c>
      <c r="G6708">
        <v>-230.48220000000001</v>
      </c>
      <c r="H6708" s="1">
        <v>2.2262690000000001E-7</v>
      </c>
      <c r="I6708">
        <v>-58.03049</v>
      </c>
      <c r="J6708">
        <v>-251.74039999999999</v>
      </c>
      <c r="K6708">
        <v>1.109972</v>
      </c>
      <c r="L6708">
        <v>-63.021970000000003</v>
      </c>
      <c r="M6708">
        <v>0.99994760000000005</v>
      </c>
      <c r="N6708">
        <v>-8.8119400000000007E-3</v>
      </c>
      <c r="O6708">
        <v>-5.2164589999999997E-3</v>
      </c>
      <c r="P6708">
        <v>0.9793113</v>
      </c>
      <c r="Q6708">
        <v>0.17825839999999901</v>
      </c>
      <c r="R6708">
        <v>9.5777520000000005E-2</v>
      </c>
      <c r="S6708">
        <v>3.0229029999999999</v>
      </c>
      <c r="T6708">
        <v>-0.1568213</v>
      </c>
      <c r="U6708">
        <v>0.70510859999999997</v>
      </c>
      <c r="V6708">
        <v>-0.10090109999999999</v>
      </c>
      <c r="W6708">
        <v>0.1868678</v>
      </c>
      <c r="X6708">
        <v>0.97718950000000004</v>
      </c>
      <c r="Y6708">
        <v>-0.231882</v>
      </c>
      <c r="Z6708">
        <v>7.1888150000000003E-3</v>
      </c>
      <c r="AA6708">
        <v>0.97271730000000001</v>
      </c>
      <c r="AB6708">
        <v>28</v>
      </c>
      <c r="AC6708">
        <v>21.258199999999899</v>
      </c>
      <c r="AD6708">
        <v>-1.1099717773730999</v>
      </c>
      <c r="AE6708">
        <v>4.9914799999999904</v>
      </c>
      <c r="AF6708">
        <v>-5.0891593877798504</v>
      </c>
      <c r="AG6708">
        <v>-1.1099717773730999</v>
      </c>
      <c r="AH6708">
        <v>21.177153708520901</v>
      </c>
      <c r="AI6708">
        <v>92.917425451312496</v>
      </c>
      <c r="AJ6708">
        <v>103.512724873606</v>
      </c>
      <c r="AK6708">
        <v>21.8083337239486</v>
      </c>
      <c r="AL6708">
        <v>79.229950866679204</v>
      </c>
      <c r="AM6708">
        <v>95.895265373780106</v>
      </c>
      <c r="AN6708">
        <v>0.99999996278414904</v>
      </c>
    </row>
    <row r="6709" spans="1:40" x14ac:dyDescent="0.25">
      <c r="A6709" t="str">
        <f>"20190304155235882"</f>
        <v>20190304155235882</v>
      </c>
      <c r="B6709" t="str">
        <f>"1551685955873821"</f>
        <v>1551685955873821</v>
      </c>
      <c r="C6709" t="s">
        <v>40</v>
      </c>
      <c r="D6709">
        <v>4.8653370000000002</v>
      </c>
      <c r="E6709">
        <v>0.44782850000000002</v>
      </c>
      <c r="F6709" t="s">
        <v>107</v>
      </c>
      <c r="G6709">
        <v>-230.2199</v>
      </c>
      <c r="H6709" s="1">
        <v>3.0654770000000002E-7</v>
      </c>
      <c r="I6709">
        <v>-58.010449999999999</v>
      </c>
      <c r="J6709">
        <v>-251.6036</v>
      </c>
      <c r="K6709">
        <v>1.109972</v>
      </c>
      <c r="L6709">
        <v>-63.022669999999998</v>
      </c>
      <c r="M6709">
        <v>0.99994780000000005</v>
      </c>
      <c r="N6709">
        <v>-8.8188590000000001E-3</v>
      </c>
      <c r="O6709">
        <v>-5.1863489999999998E-3</v>
      </c>
      <c r="P6709">
        <v>0.97925249999999997</v>
      </c>
      <c r="Q6709">
        <v>0.17838499999999999</v>
      </c>
      <c r="R6709">
        <v>9.6142939999999996E-2</v>
      </c>
      <c r="S6709">
        <v>3.0229339999999998</v>
      </c>
      <c r="T6709">
        <v>-0.15591529999999901</v>
      </c>
      <c r="U6709">
        <v>0.70394899999999905</v>
      </c>
      <c r="V6709">
        <v>-0.1012358</v>
      </c>
      <c r="W6709">
        <v>0.18700130000000001</v>
      </c>
      <c r="X6709">
        <v>0.97712940000000004</v>
      </c>
      <c r="Y6709">
        <v>-0.23150090000000001</v>
      </c>
      <c r="Z6709">
        <v>7.1413129999999998E-3</v>
      </c>
      <c r="AA6709">
        <v>0.97280849999999996</v>
      </c>
      <c r="AB6709">
        <v>28</v>
      </c>
      <c r="AC6709">
        <v>21.383700000000001</v>
      </c>
      <c r="AD6709">
        <v>-1.1099716934523001</v>
      </c>
      <c r="AE6709">
        <v>5.0122199999999903</v>
      </c>
      <c r="AF6709">
        <v>-5.1100089755981397</v>
      </c>
      <c r="AG6709">
        <v>-1.1099716934523001</v>
      </c>
      <c r="AH6709">
        <v>21.303007228785098</v>
      </c>
      <c r="AI6709">
        <v>92.900509095777394</v>
      </c>
      <c r="AJ6709">
        <v>103.488834313498</v>
      </c>
      <c r="AK6709">
        <v>21.935413054707499</v>
      </c>
      <c r="AL6709">
        <v>79.222165238618999</v>
      </c>
      <c r="AM6709">
        <v>95.915043422489703</v>
      </c>
      <c r="AN6709">
        <v>1.00000001887384</v>
      </c>
    </row>
    <row r="6710" spans="1:40" x14ac:dyDescent="0.25">
      <c r="A6710" t="str">
        <f>"20190304155235894"</f>
        <v>20190304155235894</v>
      </c>
      <c r="B6710" t="str">
        <f>"1551685955883581"</f>
        <v>1551685955883581</v>
      </c>
      <c r="C6710" t="s">
        <v>40</v>
      </c>
      <c r="D6710">
        <v>4.9576029999999998</v>
      </c>
      <c r="E6710">
        <v>0.44793139999999998</v>
      </c>
      <c r="F6710" t="s">
        <v>107</v>
      </c>
      <c r="G6710">
        <v>-230.1566</v>
      </c>
      <c r="H6710" s="1">
        <v>3.3319879999999998E-7</v>
      </c>
      <c r="I6710">
        <v>-58.029609999999998</v>
      </c>
      <c r="J6710">
        <v>-251.46799999999999</v>
      </c>
      <c r="K6710">
        <v>1.10997099999999</v>
      </c>
      <c r="L6710">
        <v>-63.023350000000001</v>
      </c>
      <c r="M6710">
        <v>0.99994780000000005</v>
      </c>
      <c r="N6710">
        <v>-8.8271310000000002E-3</v>
      </c>
      <c r="O6710">
        <v>-5.1587530000000003E-3</v>
      </c>
      <c r="P6710">
        <v>0.97917339999999997</v>
      </c>
      <c r="Q6710">
        <v>0.17870910000000001</v>
      </c>
      <c r="R6710">
        <v>9.6345449999999999E-2</v>
      </c>
      <c r="S6710">
        <v>3.022964</v>
      </c>
      <c r="T6710">
        <v>-0.1564509</v>
      </c>
      <c r="U6710">
        <v>0.70376590000000006</v>
      </c>
      <c r="V6710">
        <v>-0.1014101</v>
      </c>
      <c r="W6710">
        <v>0.18733349999999999</v>
      </c>
      <c r="X6710">
        <v>0.97704769999999996</v>
      </c>
      <c r="Y6710">
        <v>-0.23141390000000001</v>
      </c>
      <c r="Z6710">
        <v>7.159548E-3</v>
      </c>
      <c r="AA6710">
        <v>0.97282900000000005</v>
      </c>
      <c r="AB6710">
        <v>28</v>
      </c>
      <c r="AC6710">
        <v>21.3113999999999</v>
      </c>
      <c r="AD6710">
        <v>-1.1099706668011899</v>
      </c>
      <c r="AE6710">
        <v>4.9937399999999998</v>
      </c>
      <c r="AF6710">
        <v>-5.0905278286249098</v>
      </c>
      <c r="AG6710">
        <v>-1.1099706668011899</v>
      </c>
      <c r="AH6710">
        <v>21.230759238063801</v>
      </c>
      <c r="AI6710">
        <v>92.910426610955497</v>
      </c>
      <c r="AJ6710">
        <v>103.483345522466</v>
      </c>
      <c r="AK6710">
        <v>21.860710104655599</v>
      </c>
      <c r="AL6710">
        <v>79.202789271082196</v>
      </c>
      <c r="AM6710">
        <v>95.925647029011898</v>
      </c>
      <c r="AN6710">
        <v>1.0000000283397701</v>
      </c>
    </row>
    <row r="6711" spans="1:40" x14ac:dyDescent="0.25">
      <c r="A6711" t="str">
        <f>"20190304155235905"</f>
        <v>20190304155235905</v>
      </c>
      <c r="B6711" t="str">
        <f>"1551685955893341"</f>
        <v>1551685955893341</v>
      </c>
      <c r="C6711" t="s">
        <v>40</v>
      </c>
      <c r="D6711">
        <v>4.8555339999999996</v>
      </c>
      <c r="E6711">
        <v>0.44804500000000003</v>
      </c>
      <c r="F6711" t="s">
        <v>106</v>
      </c>
      <c r="G6711">
        <v>-229.80269999999999</v>
      </c>
      <c r="H6711" s="1">
        <v>-3.8544949999999998E-6</v>
      </c>
      <c r="I6711">
        <v>-57.981310000000001</v>
      </c>
      <c r="J6711">
        <v>-251.32429999999999</v>
      </c>
      <c r="K6711">
        <v>1.109972</v>
      </c>
      <c r="L6711">
        <v>-63.024050000000003</v>
      </c>
      <c r="M6711">
        <v>0.99994780000000005</v>
      </c>
      <c r="N6711">
        <v>-8.8368460000000006E-3</v>
      </c>
      <c r="O6711">
        <v>-5.1310510000000002E-3</v>
      </c>
      <c r="P6711">
        <v>0.97915300000000005</v>
      </c>
      <c r="Q6711">
        <v>0.1787842</v>
      </c>
      <c r="R6711">
        <v>9.6415100000000004E-2</v>
      </c>
      <c r="S6711">
        <v>3.0228579999999998</v>
      </c>
      <c r="T6711">
        <v>-0.1548696</v>
      </c>
      <c r="U6711">
        <v>0.70349119999999998</v>
      </c>
      <c r="V6711">
        <v>-0.10145120000000001</v>
      </c>
      <c r="W6711">
        <v>0.18741820000000001</v>
      </c>
      <c r="X6711">
        <v>0.97702719999999998</v>
      </c>
      <c r="Y6711">
        <v>-0.2313173</v>
      </c>
      <c r="Z6711">
        <v>7.0945820000000003E-3</v>
      </c>
      <c r="AA6711">
        <v>0.97285250000000001</v>
      </c>
      <c r="AB6711">
        <v>28</v>
      </c>
      <c r="AC6711">
        <v>21.521599999999999</v>
      </c>
      <c r="AD6711">
        <v>-1.109975854495</v>
      </c>
      <c r="AE6711">
        <v>5.0427400000000002</v>
      </c>
      <c r="AF6711">
        <v>-5.14014526301131</v>
      </c>
      <c r="AG6711">
        <v>-1.109975854495</v>
      </c>
      <c r="AH6711">
        <v>21.4413757925822</v>
      </c>
      <c r="AI6711">
        <v>92.881926495132106</v>
      </c>
      <c r="AJ6711">
        <v>103.481115783513</v>
      </c>
      <c r="AK6711">
        <v>22.076814435084302</v>
      </c>
      <c r="AL6711">
        <v>79.197848927017702</v>
      </c>
      <c r="AM6711">
        <v>95.928155002845799</v>
      </c>
      <c r="AN6711">
        <v>1.00000003860625</v>
      </c>
    </row>
    <row r="6712" spans="1:40" x14ac:dyDescent="0.25">
      <c r="A6712" t="str">
        <f>"20190304155235917"</f>
        <v>20190304155235917</v>
      </c>
      <c r="B6712" t="str">
        <f>"1551685955913799"</f>
        <v>1551685955913799</v>
      </c>
      <c r="C6712" t="s">
        <v>40</v>
      </c>
      <c r="D6712">
        <v>4.8630649999999997</v>
      </c>
      <c r="E6712">
        <v>0.44823229999999997</v>
      </c>
      <c r="F6712" t="s">
        <v>106</v>
      </c>
      <c r="G6712">
        <v>-229.77099999999999</v>
      </c>
      <c r="H6712" s="1">
        <v>-3.8336299999999996E-6</v>
      </c>
      <c r="I6712">
        <v>-58.014150000000001</v>
      </c>
      <c r="J6712">
        <v>-251.1799</v>
      </c>
      <c r="K6712">
        <v>1.10997099999999</v>
      </c>
      <c r="L6712">
        <v>-63.024749999999997</v>
      </c>
      <c r="M6712">
        <v>0.99994780000000005</v>
      </c>
      <c r="N6712">
        <v>-8.8481089999999998E-3</v>
      </c>
      <c r="O6712">
        <v>-5.1074170000000004E-3</v>
      </c>
      <c r="P6712">
        <v>0.97908079999999997</v>
      </c>
      <c r="Q6712">
        <v>0.17906</v>
      </c>
      <c r="R6712">
        <v>9.6636239999999998E-2</v>
      </c>
      <c r="S6712">
        <v>3.0231170000000001</v>
      </c>
      <c r="T6712">
        <v>-0.15568709999999999</v>
      </c>
      <c r="U6712">
        <v>0.70269780000000004</v>
      </c>
      <c r="V6712">
        <v>-0.1016473</v>
      </c>
      <c r="W6712">
        <v>0.18770529999999999</v>
      </c>
      <c r="X6712">
        <v>0.97695169999999998</v>
      </c>
      <c r="Y6712">
        <v>-0.23103070000000001</v>
      </c>
      <c r="Z6712">
        <v>7.1181069999999898E-3</v>
      </c>
      <c r="AA6712">
        <v>0.97292040000000002</v>
      </c>
      <c r="AB6712">
        <v>28</v>
      </c>
      <c r="AC6712">
        <v>21.408899999999999</v>
      </c>
      <c r="AD6712">
        <v>-1.1099748336299899</v>
      </c>
      <c r="AE6712">
        <v>5.0105999999999904</v>
      </c>
      <c r="AF6712">
        <v>-5.1068684692196804</v>
      </c>
      <c r="AG6712">
        <v>-1.1099748336299899</v>
      </c>
      <c r="AH6712">
        <v>21.328673312576001</v>
      </c>
      <c r="AI6712">
        <v>92.897318595357305</v>
      </c>
      <c r="AJ6712">
        <v>103.46521578841801</v>
      </c>
      <c r="AK6712">
        <v>21.959609626944498</v>
      </c>
      <c r="AL6712">
        <v>79.181102101164996</v>
      </c>
      <c r="AM6712">
        <v>95.939987717806801</v>
      </c>
      <c r="AN6712">
        <v>1.0000000386891299</v>
      </c>
    </row>
    <row r="6713" spans="1:40" x14ac:dyDescent="0.25">
      <c r="A6713" t="str">
        <f>"20190304155235929"</f>
        <v>20190304155235929</v>
      </c>
      <c r="B6713" t="str">
        <f>"1551685955923893"</f>
        <v>1551685955923893</v>
      </c>
      <c r="C6713" t="s">
        <v>40</v>
      </c>
      <c r="D6713">
        <v>4.8974469999999997</v>
      </c>
      <c r="E6713">
        <v>0.44831660000000001</v>
      </c>
      <c r="F6713" t="s">
        <v>106</v>
      </c>
      <c r="G6713">
        <v>-229.78800000000001</v>
      </c>
      <c r="H6713" s="1">
        <v>-3.8308419999999997E-6</v>
      </c>
      <c r="I6713">
        <v>-58.05979</v>
      </c>
      <c r="J6713">
        <v>-251.0265</v>
      </c>
      <c r="K6713">
        <v>1.10997099999999</v>
      </c>
      <c r="L6713">
        <v>-63.025509999999997</v>
      </c>
      <c r="M6713">
        <v>0.9999479</v>
      </c>
      <c r="N6713">
        <v>-8.8603789999999998E-3</v>
      </c>
      <c r="O6713">
        <v>-5.0841519999999998E-3</v>
      </c>
      <c r="P6713">
        <v>0.9790295</v>
      </c>
      <c r="Q6713">
        <v>0.17935279999999901</v>
      </c>
      <c r="R6713">
        <v>9.6612459999999997E-2</v>
      </c>
      <c r="S6713">
        <v>3.0235439999999998</v>
      </c>
      <c r="T6713">
        <v>-0.15688460000000001</v>
      </c>
      <c r="U6713">
        <v>0.70175169999999998</v>
      </c>
      <c r="V6713">
        <v>-0.10159840000000001</v>
      </c>
      <c r="W6713">
        <v>0.18801119999999999</v>
      </c>
      <c r="X6713">
        <v>0.97689800000000004</v>
      </c>
      <c r="Y6713">
        <v>-0.23068440000000001</v>
      </c>
      <c r="Z6713">
        <v>7.1544759999999999E-3</v>
      </c>
      <c r="AA6713">
        <v>0.97300229999999999</v>
      </c>
      <c r="AB6713">
        <v>28</v>
      </c>
      <c r="AC6713">
        <v>21.238499999999998</v>
      </c>
      <c r="AD6713">
        <v>-1.1099748308420001</v>
      </c>
      <c r="AE6713">
        <v>4.9657199999999904</v>
      </c>
      <c r="AF6713">
        <v>-5.0605341147710101</v>
      </c>
      <c r="AG6713">
        <v>-1.1099748308420001</v>
      </c>
      <c r="AH6713">
        <v>21.1581828811455</v>
      </c>
      <c r="AI6713">
        <v>92.9207965643145</v>
      </c>
      <c r="AJ6713">
        <v>103.45109620315699</v>
      </c>
      <c r="AK6713">
        <v>21.7832447648155</v>
      </c>
      <c r="AL6713">
        <v>79.163258013060897</v>
      </c>
      <c r="AM6713">
        <v>95.937474586810694</v>
      </c>
      <c r="AN6713">
        <v>1.00000007430599</v>
      </c>
    </row>
    <row r="6714" spans="1:40" x14ac:dyDescent="0.25">
      <c r="A6714" t="str">
        <f>"20190304155235941"</f>
        <v>20190304155235941</v>
      </c>
      <c r="B6714" t="str">
        <f>"1551685955933653"</f>
        <v>1551685955933653</v>
      </c>
      <c r="C6714" t="s">
        <v>40</v>
      </c>
      <c r="D6714">
        <v>4.930466</v>
      </c>
      <c r="E6714">
        <v>0.4483646</v>
      </c>
      <c r="F6714" t="s">
        <v>106</v>
      </c>
      <c r="G6714">
        <v>-229.52959999999999</v>
      </c>
      <c r="H6714" s="1">
        <v>-3.7237189999999999E-6</v>
      </c>
      <c r="I6714">
        <v>-58.042920000000002</v>
      </c>
      <c r="J6714">
        <v>-250.87620000000001</v>
      </c>
      <c r="K6714">
        <v>1.109969</v>
      </c>
      <c r="L6714">
        <v>-63.026249999999997</v>
      </c>
      <c r="M6714">
        <v>0.9999479</v>
      </c>
      <c r="N6714">
        <v>-8.8725149999999992E-3</v>
      </c>
      <c r="O6714">
        <v>-5.0664990000000003E-3</v>
      </c>
      <c r="P6714">
        <v>0.97900580000000004</v>
      </c>
      <c r="Q6714">
        <v>0.1794027</v>
      </c>
      <c r="R6714">
        <v>9.6760869999999999E-2</v>
      </c>
      <c r="S6714">
        <v>3.023682</v>
      </c>
      <c r="T6714">
        <v>-0.1561254</v>
      </c>
      <c r="U6714">
        <v>0.70083619999999902</v>
      </c>
      <c r="V6714">
        <v>-0.1017271</v>
      </c>
      <c r="W6714">
        <v>0.18807389999999999</v>
      </c>
      <c r="X6714">
        <v>0.97687239999999997</v>
      </c>
      <c r="Y6714">
        <v>-0.23038139999999999</v>
      </c>
      <c r="Z6714">
        <v>7.1161210000000004E-3</v>
      </c>
      <c r="AA6714">
        <v>0.97307440000000001</v>
      </c>
      <c r="AB6714">
        <v>28</v>
      </c>
      <c r="AC6714">
        <v>21.346599999999999</v>
      </c>
      <c r="AD6714">
        <v>-1.109972723719</v>
      </c>
      <c r="AE6714">
        <v>4.9833299999999996</v>
      </c>
      <c r="AF6714">
        <v>-5.0784016872172204</v>
      </c>
      <c r="AG6714">
        <v>-1.109972723719</v>
      </c>
      <c r="AH6714">
        <v>21.2665491202151</v>
      </c>
      <c r="AI6714">
        <v>92.906181659363398</v>
      </c>
      <c r="AJ6714">
        <v>103.430577200846</v>
      </c>
      <c r="AK6714">
        <v>21.892654353153599</v>
      </c>
      <c r="AL6714">
        <v>79.159598847739403</v>
      </c>
      <c r="AM6714">
        <v>95.945096741239993</v>
      </c>
      <c r="AN6714">
        <v>0.999999940308688</v>
      </c>
    </row>
    <row r="6715" spans="1:40" x14ac:dyDescent="0.25">
      <c r="A6715" t="str">
        <f>"20190304155235954"</f>
        <v>20190304155235954</v>
      </c>
      <c r="B6715" t="str">
        <f>"1551685955943413"</f>
        <v>1551685955943413</v>
      </c>
      <c r="C6715" t="s">
        <v>40</v>
      </c>
      <c r="D6715">
        <v>4.9505439999999998</v>
      </c>
      <c r="E6715">
        <v>0.44838430000000001</v>
      </c>
      <c r="F6715" t="s">
        <v>106</v>
      </c>
      <c r="G6715">
        <v>-229.30930000000001</v>
      </c>
      <c r="H6715" s="1">
        <v>-3.6324850000000002E-6</v>
      </c>
      <c r="I6715">
        <v>-58.028129999999997</v>
      </c>
      <c r="J6715">
        <v>-250.73070000000001</v>
      </c>
      <c r="K6715">
        <v>1.10996299999999</v>
      </c>
      <c r="L6715">
        <v>-63.026980000000002</v>
      </c>
      <c r="M6715">
        <v>0.99994780000000005</v>
      </c>
      <c r="N6715">
        <v>-8.8839350000000008E-3</v>
      </c>
      <c r="O6715">
        <v>-5.0521799999999999E-3</v>
      </c>
      <c r="P6715">
        <v>0.97897140000000005</v>
      </c>
      <c r="Q6715">
        <v>0.17962910000000001</v>
      </c>
      <c r="R6715">
        <v>9.6686830000000001E-2</v>
      </c>
      <c r="S6715">
        <v>3.02359</v>
      </c>
      <c r="T6715">
        <v>-0.15561340000000001</v>
      </c>
      <c r="U6715">
        <v>0.70071410000000001</v>
      </c>
      <c r="V6715">
        <v>-0.1016367</v>
      </c>
      <c r="W6715">
        <v>0.18831229999999999</v>
      </c>
      <c r="X6715">
        <v>0.97683600000000004</v>
      </c>
      <c r="Y6715">
        <v>-0.23033880000000001</v>
      </c>
      <c r="Z6715">
        <v>7.0956619999999896E-3</v>
      </c>
      <c r="AA6715">
        <v>0.97308459999999997</v>
      </c>
      <c r="AB6715">
        <v>28</v>
      </c>
      <c r="AC6715">
        <v>21.421399999999998</v>
      </c>
      <c r="AD6715">
        <v>-1.1099666324849899</v>
      </c>
      <c r="AE6715">
        <v>4.9988499999999902</v>
      </c>
      <c r="AF6715">
        <v>-5.0940446817229601</v>
      </c>
      <c r="AG6715">
        <v>-1.1099666324849899</v>
      </c>
      <c r="AH6715">
        <v>21.341530296285399</v>
      </c>
      <c r="AI6715">
        <v>92.896041871521305</v>
      </c>
      <c r="AJ6715">
        <v>103.42483102296499</v>
      </c>
      <c r="AK6715">
        <v>21.969119976273301</v>
      </c>
      <c r="AL6715">
        <v>79.145692299828994</v>
      </c>
      <c r="AM6715">
        <v>95.940071162454501</v>
      </c>
      <c r="AN6715">
        <v>1.0000000560070801</v>
      </c>
    </row>
    <row r="6716" spans="1:40" x14ac:dyDescent="0.25">
      <c r="A6716" t="str">
        <f>"20190304155235963"</f>
        <v>20190304155235963</v>
      </c>
      <c r="B6716" t="str">
        <f>"1551685955953173"</f>
        <v>1551685955953173</v>
      </c>
      <c r="C6716" t="s">
        <v>40</v>
      </c>
      <c r="D6716">
        <v>4.9657720000000003</v>
      </c>
      <c r="E6716">
        <v>0.44837759999999999</v>
      </c>
      <c r="F6716" t="s">
        <v>106</v>
      </c>
      <c r="G6716">
        <v>-228.98179999999999</v>
      </c>
      <c r="H6716" s="1">
        <v>-3.5000879999999998E-6</v>
      </c>
      <c r="I6716">
        <v>-57.991520000000001</v>
      </c>
      <c r="J6716">
        <v>-250.5941</v>
      </c>
      <c r="K6716">
        <v>1.1099570000000001</v>
      </c>
      <c r="L6716">
        <v>-63.027650000000001</v>
      </c>
      <c r="M6716">
        <v>0.99994780000000005</v>
      </c>
      <c r="N6716">
        <v>-8.8943519999999995E-3</v>
      </c>
      <c r="O6716">
        <v>-5.041907E-3</v>
      </c>
      <c r="P6716">
        <v>0.97894060000000005</v>
      </c>
      <c r="Q6716">
        <v>0.17974209999999999</v>
      </c>
      <c r="R6716">
        <v>9.6789189999999997E-2</v>
      </c>
      <c r="S6716">
        <v>3.02359</v>
      </c>
      <c r="T6716">
        <v>-0.15431059999999999</v>
      </c>
      <c r="U6716">
        <v>0.70004270000000002</v>
      </c>
      <c r="V6716">
        <v>-0.10172639999999999</v>
      </c>
      <c r="W6716">
        <v>0.1884364</v>
      </c>
      <c r="X6716">
        <v>0.97680259999999997</v>
      </c>
      <c r="Y6716">
        <v>-0.23012940000000001</v>
      </c>
      <c r="Z6716">
        <v>7.0392679999999996E-3</v>
      </c>
      <c r="AA6716">
        <v>0.97313459999999996</v>
      </c>
      <c r="AB6716">
        <v>28</v>
      </c>
      <c r="AC6716">
        <v>21.612300000000001</v>
      </c>
      <c r="AD6716">
        <v>-1.109960500088</v>
      </c>
      <c r="AE6716">
        <v>5.03613</v>
      </c>
      <c r="AF6716">
        <v>-5.1321978584108097</v>
      </c>
      <c r="AG6716">
        <v>-1.109960500088</v>
      </c>
      <c r="AH6716">
        <v>21.5327623195945</v>
      </c>
      <c r="AI6716">
        <v>92.870574579845197</v>
      </c>
      <c r="AJ6716">
        <v>103.40596812666401</v>
      </c>
      <c r="AK6716">
        <v>22.163738860620501</v>
      </c>
      <c r="AL6716">
        <v>79.138450874474799</v>
      </c>
      <c r="AM6716">
        <v>95.945477901806299</v>
      </c>
      <c r="AN6716">
        <v>0.99999992833433704</v>
      </c>
    </row>
    <row r="6717" spans="1:40" x14ac:dyDescent="0.25">
      <c r="A6717" t="str">
        <f>"20190304155235974"</f>
        <v>20190304155235974</v>
      </c>
      <c r="B6717" t="str">
        <f>"1551685955963910"</f>
        <v>1551685955963910</v>
      </c>
      <c r="C6717" t="s">
        <v>40</v>
      </c>
      <c r="D6717">
        <v>4.9249799999999997</v>
      </c>
      <c r="E6717">
        <v>0.44838450000000002</v>
      </c>
      <c r="F6717" t="s">
        <v>106</v>
      </c>
      <c r="G6717">
        <v>-228.69659999999999</v>
      </c>
      <c r="H6717" s="1">
        <v>-3.385599E-6</v>
      </c>
      <c r="I6717">
        <v>-57.95599</v>
      </c>
      <c r="J6717">
        <v>-250.46950000000001</v>
      </c>
      <c r="K6717">
        <v>1.1099540000000001</v>
      </c>
      <c r="L6717">
        <v>-63.028260000000003</v>
      </c>
      <c r="M6717">
        <v>0.99994780000000005</v>
      </c>
      <c r="N6717">
        <v>-8.9050359999999999E-3</v>
      </c>
      <c r="O6717">
        <v>-5.0349660000000001E-3</v>
      </c>
      <c r="P6717">
        <v>0.97887939999999996</v>
      </c>
      <c r="Q6717">
        <v>0.18008969999999999</v>
      </c>
      <c r="R6717">
        <v>9.6763909999999995E-2</v>
      </c>
      <c r="S6717">
        <v>3.0234380000000001</v>
      </c>
      <c r="T6717">
        <v>-0.15325510000000001</v>
      </c>
      <c r="U6717">
        <v>0.70025630000000005</v>
      </c>
      <c r="V6717">
        <v>-0.1016923</v>
      </c>
      <c r="W6717">
        <v>0.18879460000000001</v>
      </c>
      <c r="X6717">
        <v>0.97673699999999997</v>
      </c>
      <c r="Y6717">
        <v>-0.23020280000000001</v>
      </c>
      <c r="Z6717">
        <v>7.0012869999999897E-3</v>
      </c>
      <c r="AA6717">
        <v>0.97311749999999997</v>
      </c>
      <c r="AB6717">
        <v>28</v>
      </c>
      <c r="AC6717">
        <v>21.7729</v>
      </c>
      <c r="AD6717">
        <v>-1.1099573855989999</v>
      </c>
      <c r="AE6717">
        <v>5.0722699999999898</v>
      </c>
      <c r="AF6717">
        <v>-5.1690937171015898</v>
      </c>
      <c r="AG6717">
        <v>-1.1099573855989999</v>
      </c>
      <c r="AH6717">
        <v>21.6936082236465</v>
      </c>
      <c r="AI6717">
        <v>92.8493607088663</v>
      </c>
      <c r="AJ6717">
        <v>103.402367410433</v>
      </c>
      <c r="AK6717">
        <v>22.328550625042599</v>
      </c>
      <c r="AL6717">
        <v>79.117552613295501</v>
      </c>
      <c r="AM6717">
        <v>95.943895491885002</v>
      </c>
      <c r="AN6717">
        <v>0.999999946018723</v>
      </c>
    </row>
    <row r="6718" spans="1:40" x14ac:dyDescent="0.25">
      <c r="A6718" t="str">
        <f>"20190304155235983"</f>
        <v>20190304155235983</v>
      </c>
      <c r="B6718" t="str">
        <f>"1551685955973669"</f>
        <v>1551685955973669</v>
      </c>
      <c r="C6718" t="s">
        <v>40</v>
      </c>
      <c r="D6718">
        <v>4.9462760000000001</v>
      </c>
      <c r="E6718">
        <v>0.44838119999999998</v>
      </c>
      <c r="F6718" t="s">
        <v>106</v>
      </c>
      <c r="G6718">
        <v>-228.3604</v>
      </c>
      <c r="H6718" s="1">
        <v>-3.2515600000000001E-6</v>
      </c>
      <c r="I6718">
        <v>-57.9099</v>
      </c>
      <c r="J6718">
        <v>-250.3434</v>
      </c>
      <c r="K6718">
        <v>1.109952</v>
      </c>
      <c r="L6718">
        <v>-63.0289</v>
      </c>
      <c r="M6718">
        <v>0.99994769999999999</v>
      </c>
      <c r="N6718">
        <v>-8.9164529999999995E-3</v>
      </c>
      <c r="O6718">
        <v>-5.0293380000000004E-3</v>
      </c>
      <c r="P6718">
        <v>0.9788268</v>
      </c>
      <c r="Q6718">
        <v>0.18040610000000001</v>
      </c>
      <c r="R6718">
        <v>9.6706550000000002E-2</v>
      </c>
      <c r="S6718">
        <v>3.0234830000000001</v>
      </c>
      <c r="T6718">
        <v>-0.15179000000000001</v>
      </c>
      <c r="U6718">
        <v>0.6999512</v>
      </c>
      <c r="V6718">
        <v>-0.101627</v>
      </c>
      <c r="W6718">
        <v>0.18912329999999999</v>
      </c>
      <c r="X6718">
        <v>0.9766802</v>
      </c>
      <c r="Y6718">
        <v>-0.2301068</v>
      </c>
      <c r="Z6718">
        <v>6.9421250000000004E-3</v>
      </c>
      <c r="AA6718">
        <v>0.97314060000000002</v>
      </c>
      <c r="AB6718">
        <v>28</v>
      </c>
      <c r="AC6718">
        <v>21.983000000000001</v>
      </c>
      <c r="AD6718">
        <v>-1.10995525156</v>
      </c>
      <c r="AE6718">
        <v>5.1189999999999998</v>
      </c>
      <c r="AF6718">
        <v>-5.2168837682304599</v>
      </c>
      <c r="AG6718">
        <v>-1.10995525156</v>
      </c>
      <c r="AH6718">
        <v>21.9040060629933</v>
      </c>
      <c r="AI6718">
        <v>92.822098295529898</v>
      </c>
      <c r="AJ6718">
        <v>103.396567870091</v>
      </c>
      <c r="AK6718">
        <v>22.544031549821302</v>
      </c>
      <c r="AL6718">
        <v>79.0983739352599</v>
      </c>
      <c r="AM6718">
        <v>95.940449002386899</v>
      </c>
      <c r="AN6718">
        <v>0.99999994140196302</v>
      </c>
    </row>
    <row r="6719" spans="1:40" x14ac:dyDescent="0.25">
      <c r="A6719" t="str">
        <f>"20190304155235995"</f>
        <v>20190304155235995</v>
      </c>
      <c r="B6719" t="str">
        <f>"1551685955983429"</f>
        <v>1551685955983429</v>
      </c>
      <c r="C6719" t="s">
        <v>40</v>
      </c>
      <c r="D6719">
        <v>4.8592690000000003</v>
      </c>
      <c r="E6719">
        <v>0.44841900000000001</v>
      </c>
      <c r="F6719" t="s">
        <v>106</v>
      </c>
      <c r="G6719">
        <v>-227.98990000000001</v>
      </c>
      <c r="H6719" s="1">
        <v>-3.1047589999999998E-6</v>
      </c>
      <c r="I6719">
        <v>-57.854970000000002</v>
      </c>
      <c r="J6719">
        <v>-250.20869999999999</v>
      </c>
      <c r="K6719">
        <v>1.109944</v>
      </c>
      <c r="L6719">
        <v>-63.0295699999999</v>
      </c>
      <c r="M6719">
        <v>0.99994749999999999</v>
      </c>
      <c r="N6719">
        <v>-8.9313650000000001E-3</v>
      </c>
      <c r="O6719">
        <v>-5.0256279999999999E-3</v>
      </c>
      <c r="P6719">
        <v>0.97877099999999995</v>
      </c>
      <c r="Q6719">
        <v>0.18069940000000001</v>
      </c>
      <c r="R6719">
        <v>9.6723160000000002E-2</v>
      </c>
      <c r="S6719">
        <v>3.0234220000000001</v>
      </c>
      <c r="T6719">
        <v>-0.15012690000000001</v>
      </c>
      <c r="U6719">
        <v>0.69979859999999905</v>
      </c>
      <c r="V6719">
        <v>-0.1016381</v>
      </c>
      <c r="W6719">
        <v>0.18943099999999999</v>
      </c>
      <c r="X6719">
        <v>0.97661949999999997</v>
      </c>
      <c r="Y6719">
        <v>-0.23006750000000001</v>
      </c>
      <c r="Z6719">
        <v>6.8775559999999999E-3</v>
      </c>
      <c r="AA6719">
        <v>0.97315039999999997</v>
      </c>
      <c r="AB6719">
        <v>28</v>
      </c>
      <c r="AC6719">
        <v>22.218799999999899</v>
      </c>
      <c r="AD6719">
        <v>-1.1099471047589999</v>
      </c>
      <c r="AE6719">
        <v>5.1745999999999901</v>
      </c>
      <c r="AF6719">
        <v>-5.2737188830517301</v>
      </c>
      <c r="AG6719">
        <v>-1.1099471047589999</v>
      </c>
      <c r="AH6719">
        <v>22.140103972028299</v>
      </c>
      <c r="AI6719">
        <v>92.792014255120705</v>
      </c>
      <c r="AJ6719">
        <v>103.39804606107</v>
      </c>
      <c r="AK6719">
        <v>22.786581519066001</v>
      </c>
      <c r="AL6719">
        <v>79.080420423793399</v>
      </c>
      <c r="AM6719">
        <v>95.941459811532894</v>
      </c>
      <c r="AN6719">
        <v>1.00000002745642</v>
      </c>
    </row>
    <row r="6720" spans="1:40" x14ac:dyDescent="0.25">
      <c r="A6720" t="str">
        <f>"20190304155236005"</f>
        <v>20190304155236005</v>
      </c>
      <c r="B6720" t="str">
        <f>"1551685956003925"</f>
        <v>1551685956003925</v>
      </c>
      <c r="C6720" t="s">
        <v>40</v>
      </c>
      <c r="D6720">
        <v>4.9439659999999996</v>
      </c>
      <c r="E6720">
        <v>0.44850050000000002</v>
      </c>
      <c r="F6720" t="s">
        <v>106</v>
      </c>
      <c r="G6720">
        <v>-227.83670000000001</v>
      </c>
      <c r="H6720" s="1">
        <v>-3.0391529999999998E-6</v>
      </c>
      <c r="I6720">
        <v>-57.8544699999999</v>
      </c>
      <c r="J6720">
        <v>-250.07490000000001</v>
      </c>
      <c r="K6720">
        <v>1.109942</v>
      </c>
      <c r="L6720">
        <v>-63.030239999999999</v>
      </c>
      <c r="M6720">
        <v>0.99994749999999999</v>
      </c>
      <c r="N6720">
        <v>-8.9473729999999998E-3</v>
      </c>
      <c r="O6720">
        <v>-5.0231109999999898E-3</v>
      </c>
      <c r="P6720">
        <v>0.97867009999999999</v>
      </c>
      <c r="Q6720">
        <v>0.18117030000000001</v>
      </c>
      <c r="R6720">
        <v>9.686227E-2</v>
      </c>
      <c r="S6720">
        <v>3.0236510000000001</v>
      </c>
      <c r="T6720">
        <v>-0.15001320000000001</v>
      </c>
      <c r="U6720">
        <v>0.69943239999999995</v>
      </c>
      <c r="V6720">
        <v>-0.10177319999999999</v>
      </c>
      <c r="W6720">
        <v>0.18991739999999999</v>
      </c>
      <c r="X6720">
        <v>0.97651089999999996</v>
      </c>
      <c r="Y6720">
        <v>-0.22993759999999999</v>
      </c>
      <c r="Z6720">
        <v>6.8706549999999998E-3</v>
      </c>
      <c r="AA6720">
        <v>0.97318110000000002</v>
      </c>
      <c r="AB6720">
        <v>28</v>
      </c>
      <c r="AC6720">
        <v>22.238199999999999</v>
      </c>
      <c r="AD6720">
        <v>-1.1099450391529999</v>
      </c>
      <c r="AE6720">
        <v>5.17577</v>
      </c>
      <c r="AF6720">
        <v>-5.2749485434662304</v>
      </c>
      <c r="AG6720">
        <v>-1.1099450391529999</v>
      </c>
      <c r="AH6720">
        <v>22.1595533092983</v>
      </c>
      <c r="AI6720">
        <v>92.789658793478594</v>
      </c>
      <c r="AJ6720">
        <v>103.38971908862899</v>
      </c>
      <c r="AK6720">
        <v>22.805763810795501</v>
      </c>
      <c r="AL6720">
        <v>79.052035874341797</v>
      </c>
      <c r="AM6720">
        <v>95.949957636713293</v>
      </c>
      <c r="AN6720">
        <v>0.99999997043990396</v>
      </c>
    </row>
    <row r="6721" spans="1:40" x14ac:dyDescent="0.25">
      <c r="A6721" t="str">
        <f>"20190304155236017"</f>
        <v>20190304155236017</v>
      </c>
      <c r="B6721" t="str">
        <f>"1551685956013685"</f>
        <v>1551685956013685</v>
      </c>
      <c r="C6721" t="s">
        <v>40</v>
      </c>
      <c r="D6721">
        <v>5.0260280000000002</v>
      </c>
      <c r="E6721">
        <v>0.44861250000000003</v>
      </c>
      <c r="F6721" t="s">
        <v>106</v>
      </c>
      <c r="G6721">
        <v>-227.42769999999999</v>
      </c>
      <c r="H6721" s="1">
        <v>-2.877088E-6</v>
      </c>
      <c r="I6721">
        <v>-57.793909999999997</v>
      </c>
      <c r="J6721">
        <v>-249.9297</v>
      </c>
      <c r="K6721">
        <v>1.1099460000000001</v>
      </c>
      <c r="L6721">
        <v>-63.030940000000001</v>
      </c>
      <c r="M6721">
        <v>0.99994720000000004</v>
      </c>
      <c r="N6721">
        <v>-8.9685340000000002E-3</v>
      </c>
      <c r="O6721">
        <v>-5.0223960000000002E-3</v>
      </c>
      <c r="P6721">
        <v>0.97861799999999999</v>
      </c>
      <c r="Q6721">
        <v>0.1814818</v>
      </c>
      <c r="R6721">
        <v>9.6805890000000006E-2</v>
      </c>
      <c r="S6721">
        <v>3.0236049999999999</v>
      </c>
      <c r="T6721">
        <v>-0.1481876</v>
      </c>
      <c r="U6721">
        <v>0.69909670000000002</v>
      </c>
      <c r="V6721">
        <v>-0.101714399999999</v>
      </c>
      <c r="W6721">
        <v>0.1902498</v>
      </c>
      <c r="X6721">
        <v>0.9764524</v>
      </c>
      <c r="Y6721">
        <v>-0.22984479999999999</v>
      </c>
      <c r="Z6721">
        <v>6.7990739999999996E-3</v>
      </c>
      <c r="AA6721">
        <v>0.9732035</v>
      </c>
      <c r="AB6721">
        <v>28</v>
      </c>
      <c r="AC6721">
        <v>22.501999999999999</v>
      </c>
      <c r="AD6721">
        <v>-1.1099488770879999</v>
      </c>
      <c r="AE6721">
        <v>5.2370299999999999</v>
      </c>
      <c r="AF6721">
        <v>-5.3376625805222302</v>
      </c>
      <c r="AG6721">
        <v>-1.1099488770879999</v>
      </c>
      <c r="AH6721">
        <v>22.423656634130801</v>
      </c>
      <c r="AI6721">
        <v>92.756867274574702</v>
      </c>
      <c r="AJ6721">
        <v>103.389346278722</v>
      </c>
      <c r="AK6721">
        <v>23.0768933173132</v>
      </c>
      <c r="AL6721">
        <v>79.032637931671999</v>
      </c>
      <c r="AM6721">
        <v>95.946898366283406</v>
      </c>
      <c r="AN6721">
        <v>1.00000004751657</v>
      </c>
    </row>
    <row r="6722" spans="1:40" x14ac:dyDescent="0.25">
      <c r="A6722" t="str">
        <f>"20190304155236028"</f>
        <v>20190304155236028</v>
      </c>
      <c r="B6722" t="str">
        <f>"1551685956023445"</f>
        <v>1551685956023445</v>
      </c>
      <c r="C6722" t="s">
        <v>40</v>
      </c>
      <c r="D6722">
        <v>4.9159600000000001</v>
      </c>
      <c r="E6722">
        <v>0.44861250000000003</v>
      </c>
      <c r="F6722" t="s">
        <v>106</v>
      </c>
      <c r="G6722">
        <v>-227.05629999999999</v>
      </c>
      <c r="H6722" s="1">
        <v>-2.72748E-6</v>
      </c>
      <c r="I6722">
        <v>-57.749859999999998</v>
      </c>
      <c r="J6722">
        <v>-249.79329999999999</v>
      </c>
      <c r="K6722">
        <v>1.1099509999999999</v>
      </c>
      <c r="L6722">
        <v>-63.031619999999997</v>
      </c>
      <c r="M6722">
        <v>0.99994700000000003</v>
      </c>
      <c r="N6722">
        <v>-8.9892789999999993E-3</v>
      </c>
      <c r="O6722">
        <v>-5.0221520000000002E-3</v>
      </c>
      <c r="P6722">
        <v>0.97858599999999996</v>
      </c>
      <c r="Q6722">
        <v>0.18183060000000001</v>
      </c>
      <c r="R6722">
        <v>9.6472020000000006E-2</v>
      </c>
      <c r="S6722">
        <v>3.0236969999999999</v>
      </c>
      <c r="T6722">
        <v>-0.146727</v>
      </c>
      <c r="U6722">
        <v>0.69812010000000002</v>
      </c>
      <c r="V6722">
        <v>-0.1013792</v>
      </c>
      <c r="W6722">
        <v>0.1906187</v>
      </c>
      <c r="X6722">
        <v>0.97641529999999999</v>
      </c>
      <c r="Y6722">
        <v>-0.22954569999999999</v>
      </c>
      <c r="Z6722">
        <v>6.7357500000000004E-3</v>
      </c>
      <c r="AA6722">
        <v>0.97327459999999999</v>
      </c>
      <c r="AB6722">
        <v>28</v>
      </c>
      <c r="AC6722">
        <v>22.736999999999899</v>
      </c>
      <c r="AD6722">
        <v>-1.10995372748</v>
      </c>
      <c r="AE6722">
        <v>5.2817599999999896</v>
      </c>
      <c r="AF6722">
        <v>-5.3837135938487704</v>
      </c>
      <c r="AG6722">
        <v>-1.10995372748</v>
      </c>
      <c r="AH6722">
        <v>22.6589523795434</v>
      </c>
      <c r="AI6722">
        <v>92.728564210309798</v>
      </c>
      <c r="AJ6722">
        <v>103.365513941283</v>
      </c>
      <c r="AK6722">
        <v>23.316185199902499</v>
      </c>
      <c r="AL6722">
        <v>79.011107367299601</v>
      </c>
      <c r="AM6722">
        <v>95.927663729596603</v>
      </c>
      <c r="AN6722">
        <v>1.0000000345282001</v>
      </c>
    </row>
    <row r="6723" spans="1:40" x14ac:dyDescent="0.25">
      <c r="A6723" t="str">
        <f>"20190304155236039"</f>
        <v>20190304155236039</v>
      </c>
      <c r="B6723" t="str">
        <f>"1551685956033205"</f>
        <v>1551685956033205</v>
      </c>
      <c r="C6723" t="s">
        <v>40</v>
      </c>
      <c r="D6723">
        <v>5.0248790000000003</v>
      </c>
      <c r="E6723">
        <v>0.45003460000000001</v>
      </c>
      <c r="F6723" t="s">
        <v>106</v>
      </c>
      <c r="G6723">
        <v>-226.72720000000001</v>
      </c>
      <c r="H6723" s="1">
        <v>-2.5944979999999998E-6</v>
      </c>
      <c r="I6723">
        <v>-57.712780000000002</v>
      </c>
      <c r="J6723">
        <v>-249.64599999999999</v>
      </c>
      <c r="K6723">
        <v>1.1099570000000001</v>
      </c>
      <c r="L6723">
        <v>-63.032350000000001</v>
      </c>
      <c r="M6723">
        <v>0.99994680000000002</v>
      </c>
      <c r="N6723">
        <v>-9.0156609999999995E-3</v>
      </c>
      <c r="O6723">
        <v>-5.0240700000000003E-3</v>
      </c>
      <c r="P6723">
        <v>0.97850910000000002</v>
      </c>
      <c r="Q6723">
        <v>0.1822725</v>
      </c>
      <c r="R6723">
        <v>9.6420359999999997E-2</v>
      </c>
      <c r="S6723">
        <v>3.0239560000000001</v>
      </c>
      <c r="T6723">
        <v>-0.14551410000000001</v>
      </c>
      <c r="U6723">
        <v>0.69729609999999997</v>
      </c>
      <c r="V6723">
        <v>-0.1013284</v>
      </c>
      <c r="W6723">
        <v>0.19108629999999999</v>
      </c>
      <c r="X6723">
        <v>0.97632909999999995</v>
      </c>
      <c r="Y6723">
        <v>-0.2292824</v>
      </c>
      <c r="Z6723">
        <v>6.6836109999999999E-3</v>
      </c>
      <c r="AA6723">
        <v>0.97333700000000001</v>
      </c>
      <c r="AB6723">
        <v>28</v>
      </c>
      <c r="AC6723">
        <v>22.918799999999901</v>
      </c>
      <c r="AD6723">
        <v>-1.1099595944980001</v>
      </c>
      <c r="AE6723">
        <v>5.3195699999999899</v>
      </c>
      <c r="AF6723">
        <v>-5.4225848119512401</v>
      </c>
      <c r="AG6723">
        <v>-1.1099595944980001</v>
      </c>
      <c r="AH6723">
        <v>22.840949481900001</v>
      </c>
      <c r="AI6723">
        <v>92.706985996749694</v>
      </c>
      <c r="AJ6723">
        <v>103.355135206727</v>
      </c>
      <c r="AK6723">
        <v>23.502029903370602</v>
      </c>
      <c r="AL6723">
        <v>78.983813403490203</v>
      </c>
      <c r="AM6723">
        <v>95.925233947398297</v>
      </c>
      <c r="AN6723">
        <v>0.99999996510052902</v>
      </c>
    </row>
    <row r="6724" spans="1:40" x14ac:dyDescent="0.25">
      <c r="A6724" t="str">
        <f>"20190304155236051"</f>
        <v>20190304155236051</v>
      </c>
      <c r="B6724" t="str">
        <f>"1551685956043941"</f>
        <v>1551685956043941</v>
      </c>
      <c r="C6724" t="s">
        <v>40</v>
      </c>
      <c r="D6724">
        <v>4.9026209999999999</v>
      </c>
      <c r="E6724">
        <v>0.45003460000000001</v>
      </c>
      <c r="F6724" t="s">
        <v>106</v>
      </c>
      <c r="G6724">
        <v>-226.5943</v>
      </c>
      <c r="H6724" s="1">
        <v>-2.5170990000000002E-6</v>
      </c>
      <c r="I6724">
        <v>-57.805</v>
      </c>
      <c r="J6724">
        <v>-249.5</v>
      </c>
      <c r="K6724">
        <v>1.1099619999999999</v>
      </c>
      <c r="L6724">
        <v>-63.033079999999998</v>
      </c>
      <c r="M6724">
        <v>0.99994649999999996</v>
      </c>
      <c r="N6724">
        <v>-9.0430949999999993E-3</v>
      </c>
      <c r="O6724">
        <v>-5.0256340000000002E-3</v>
      </c>
      <c r="P6724">
        <v>0.97851690000000002</v>
      </c>
      <c r="Q6724">
        <v>0.1825329</v>
      </c>
      <c r="R6724">
        <v>9.5845420000000001E-2</v>
      </c>
      <c r="S6724">
        <v>3.025436</v>
      </c>
      <c r="T6724">
        <v>-0.1456771</v>
      </c>
      <c r="U6724">
        <v>0.686065699999999</v>
      </c>
      <c r="V6724">
        <v>-0.1007547</v>
      </c>
      <c r="W6724">
        <v>0.1913736</v>
      </c>
      <c r="X6724">
        <v>0.97633219999999998</v>
      </c>
      <c r="Y6724">
        <v>-0.22574849999999999</v>
      </c>
      <c r="Z6724">
        <v>6.5920839999999998E-3</v>
      </c>
      <c r="AA6724">
        <v>0.97416329999999995</v>
      </c>
      <c r="AB6724">
        <v>28</v>
      </c>
      <c r="AC6724">
        <v>22.9057</v>
      </c>
      <c r="AD6724">
        <v>-1.109964517099</v>
      </c>
      <c r="AE6724">
        <v>5.2280800000000003</v>
      </c>
      <c r="AF6724">
        <v>-5.3312355209192397</v>
      </c>
      <c r="AG6724">
        <v>-1.109964517099</v>
      </c>
      <c r="AH6724">
        <v>22.828184840833199</v>
      </c>
      <c r="AI6724">
        <v>92.710844735732806</v>
      </c>
      <c r="AJ6724">
        <v>103.14511165541801</v>
      </c>
      <c r="AK6724">
        <v>23.468705045996401</v>
      </c>
      <c r="AL6724">
        <v>78.967042822737696</v>
      </c>
      <c r="AM6724">
        <v>95.891904615789102</v>
      </c>
      <c r="AN6724">
        <v>0.99999996455294404</v>
      </c>
    </row>
    <row r="6725" spans="1:40" x14ac:dyDescent="0.25">
      <c r="A6725" t="str">
        <f>"20190304155236061"</f>
        <v>20190304155236061</v>
      </c>
      <c r="B6725" t="str">
        <f>"1551685956053702"</f>
        <v>1551685956053702</v>
      </c>
      <c r="C6725" t="s">
        <v>40</v>
      </c>
      <c r="D6725">
        <v>4.8896579999999998</v>
      </c>
      <c r="E6725">
        <v>0.52269200000000005</v>
      </c>
      <c r="F6725" t="s">
        <v>106</v>
      </c>
      <c r="G6725">
        <v>-226.30250000000001</v>
      </c>
      <c r="H6725" s="1">
        <v>-2.396214E-6</v>
      </c>
      <c r="I6725">
        <v>-57.785530000000001</v>
      </c>
      <c r="J6725">
        <v>-249.3708</v>
      </c>
      <c r="K6725">
        <v>1.109972</v>
      </c>
      <c r="L6725">
        <v>-63.033749999999998</v>
      </c>
      <c r="M6725">
        <v>0.99994629999999995</v>
      </c>
      <c r="N6725">
        <v>-9.0696979999999993E-3</v>
      </c>
      <c r="O6725">
        <v>-5.0277849999999999E-3</v>
      </c>
      <c r="P6725">
        <v>0.97852499999999998</v>
      </c>
      <c r="Q6725">
        <v>0.18254770000000001</v>
      </c>
      <c r="R6725">
        <v>9.5736390000000005E-2</v>
      </c>
      <c r="S6725">
        <v>3.025833</v>
      </c>
      <c r="T6725">
        <v>-0.14478150000000001</v>
      </c>
      <c r="U6725">
        <v>0.68447880000000005</v>
      </c>
      <c r="V6725">
        <v>-0.10064770000000001</v>
      </c>
      <c r="W6725">
        <v>0.19141440000000001</v>
      </c>
      <c r="X6725">
        <v>0.97633530000000002</v>
      </c>
      <c r="Y6725">
        <v>-0.225241</v>
      </c>
      <c r="Z6725">
        <v>6.5458900000000004E-3</v>
      </c>
      <c r="AA6725">
        <v>0.97428110000000001</v>
      </c>
      <c r="AB6725">
        <v>28</v>
      </c>
      <c r="AC6725">
        <v>23.068299999999901</v>
      </c>
      <c r="AD6725">
        <v>-1.1099743962139901</v>
      </c>
      <c r="AE6725">
        <v>5.2482199999999901</v>
      </c>
      <c r="AF6725">
        <v>-5.3523587572332101</v>
      </c>
      <c r="AG6725">
        <v>-1.1099743962139901</v>
      </c>
      <c r="AH6725">
        <v>22.991010415520201</v>
      </c>
      <c r="AI6725">
        <v>92.692135425734406</v>
      </c>
      <c r="AJ6725">
        <v>103.10516075817</v>
      </c>
      <c r="AK6725">
        <v>23.631892589315399</v>
      </c>
      <c r="AL6725">
        <v>78.964661800901894</v>
      </c>
      <c r="AM6725">
        <v>95.885672892120098</v>
      </c>
      <c r="AN6725">
        <v>1.0000000250343599</v>
      </c>
    </row>
    <row r="6726" spans="1:40" x14ac:dyDescent="0.25">
      <c r="A6726" t="str">
        <f>"20190304155236073"</f>
        <v>20190304155236073</v>
      </c>
      <c r="B6726" t="str">
        <f>"1551685956063461"</f>
        <v>1551685956063461</v>
      </c>
      <c r="C6726" t="s">
        <v>40</v>
      </c>
      <c r="D6726">
        <v>4.9320649999999997</v>
      </c>
      <c r="E6726">
        <v>0.52343649999999997</v>
      </c>
      <c r="F6726" t="s">
        <v>105</v>
      </c>
      <c r="G6726">
        <v>-210.9238</v>
      </c>
      <c r="H6726" s="1">
        <v>2.8727439999999998E-7</v>
      </c>
      <c r="I6726">
        <v>-61.689219999999999</v>
      </c>
      <c r="J6726">
        <v>-249.22980000000001</v>
      </c>
      <c r="K6726">
        <v>1.109977</v>
      </c>
      <c r="L6726">
        <v>-63.03445</v>
      </c>
      <c r="M6726">
        <v>0.999946</v>
      </c>
      <c r="N6726">
        <v>-9.1003960000000002E-3</v>
      </c>
      <c r="O6726">
        <v>-5.0301920000000002E-3</v>
      </c>
      <c r="P6726">
        <v>0.97853250000000003</v>
      </c>
      <c r="Q6726">
        <v>0.1826798</v>
      </c>
      <c r="R6726">
        <v>9.5405790000000004E-2</v>
      </c>
      <c r="S6726">
        <v>3.071869</v>
      </c>
      <c r="T6726">
        <v>-8.8685509999999995E-2</v>
      </c>
      <c r="U6726">
        <v>0.1074219</v>
      </c>
      <c r="V6726">
        <v>-0.10031950000000001</v>
      </c>
      <c r="W6726">
        <v>0.1915772</v>
      </c>
      <c r="X6726">
        <v>0.97633709999999996</v>
      </c>
      <c r="Y6726">
        <v>-3.9952219999999997E-2</v>
      </c>
      <c r="Z6726">
        <v>8.5771259999999896E-4</v>
      </c>
      <c r="AA6726">
        <v>0.99920120000000001</v>
      </c>
      <c r="AB6726">
        <v>28</v>
      </c>
      <c r="AC6726">
        <v>38.305999999999997</v>
      </c>
      <c r="AD6726">
        <v>-1.1099767127255999</v>
      </c>
      <c r="AE6726">
        <v>1.3452299999999999</v>
      </c>
      <c r="AF6726">
        <v>-1.5366188612732701</v>
      </c>
      <c r="AG6726">
        <v>-1.1099767127255999</v>
      </c>
      <c r="AH6726">
        <v>38.266657572564803</v>
      </c>
      <c r="AI6726">
        <v>91.660139367234393</v>
      </c>
      <c r="AJ6726">
        <v>92.299508377555398</v>
      </c>
      <c r="AK6726">
        <v>38.313578893174999</v>
      </c>
      <c r="AL6726">
        <v>78.955157656447199</v>
      </c>
      <c r="AM6726">
        <v>95.8666037618692</v>
      </c>
      <c r="AN6726">
        <v>0.99999997923824901</v>
      </c>
    </row>
    <row r="6727" spans="1:40" x14ac:dyDescent="0.25">
      <c r="A6727" t="str">
        <f>"20190304155236084"</f>
        <v>20190304155236084</v>
      </c>
      <c r="B6727" t="str">
        <f>"1551685956073222"</f>
        <v>1551685956073222</v>
      </c>
      <c r="C6727" t="s">
        <v>40</v>
      </c>
      <c r="D6727">
        <v>4.9137570000000004</v>
      </c>
      <c r="E6727">
        <v>0.52360949999999995</v>
      </c>
      <c r="F6727" t="s">
        <v>77</v>
      </c>
      <c r="G6727">
        <v>-206.82249999999999</v>
      </c>
      <c r="H6727" s="1">
        <v>-2.1676600000000002E-6</v>
      </c>
      <c r="I6727">
        <v>-61.650550000000003</v>
      </c>
      <c r="J6727">
        <v>-249.07980000000001</v>
      </c>
      <c r="K6727">
        <v>1.109982</v>
      </c>
      <c r="L6727">
        <v>-63.035220000000002</v>
      </c>
      <c r="M6727">
        <v>0.99994559999999999</v>
      </c>
      <c r="N6727">
        <v>-9.1351069999999999E-3</v>
      </c>
      <c r="O6727">
        <v>-5.0324970000000004E-3</v>
      </c>
      <c r="P6727">
        <v>0.97852939999999999</v>
      </c>
      <c r="Q6727">
        <v>0.1826023</v>
      </c>
      <c r="R6727">
        <v>9.5587340000000007E-2</v>
      </c>
      <c r="S6727">
        <v>3.0710449999999998</v>
      </c>
      <c r="T6727">
        <v>-8.0382350000000005E-2</v>
      </c>
      <c r="U6727">
        <v>0.10021969999999999</v>
      </c>
      <c r="V6727">
        <v>-0.10050340000000001</v>
      </c>
      <c r="W6727">
        <v>0.19153319999999999</v>
      </c>
      <c r="X6727">
        <v>0.97632680000000005</v>
      </c>
      <c r="Y6727">
        <v>-3.7627910000000001E-2</v>
      </c>
      <c r="Z6727">
        <v>7.4989410000000001E-4</v>
      </c>
      <c r="AA6727">
        <v>0.9992915</v>
      </c>
      <c r="AB6727">
        <v>28</v>
      </c>
      <c r="AC6727">
        <v>42.257300000000001</v>
      </c>
      <c r="AD6727">
        <v>-1.10998416766</v>
      </c>
      <c r="AE6727">
        <v>1.3846699999999901</v>
      </c>
      <c r="AF6727">
        <v>-1.59622091287173</v>
      </c>
      <c r="AG6727">
        <v>-1.10998416766</v>
      </c>
      <c r="AH6727">
        <v>42.220696448299897</v>
      </c>
      <c r="AI6727">
        <v>91.5048873252627</v>
      </c>
      <c r="AJ6727">
        <v>92.165127349459198</v>
      </c>
      <c r="AK6727">
        <v>42.265437352932103</v>
      </c>
      <c r="AL6727">
        <v>78.957726023925304</v>
      </c>
      <c r="AM6727">
        <v>95.877344442959497</v>
      </c>
      <c r="AN6727">
        <v>0.999999960256019</v>
      </c>
    </row>
    <row r="6728" spans="1:40" x14ac:dyDescent="0.25">
      <c r="A6728" t="str">
        <f>"20190304155236094"</f>
        <v>20190304155236094</v>
      </c>
      <c r="B6728" t="str">
        <f>"1551685956083957"</f>
        <v>1551685956083957</v>
      </c>
      <c r="C6728" t="s">
        <v>40</v>
      </c>
      <c r="D6728">
        <v>4.867432</v>
      </c>
      <c r="E6728">
        <v>0.52365010000000001</v>
      </c>
      <c r="F6728" t="s">
        <v>77</v>
      </c>
      <c r="G6728">
        <v>-204.8064</v>
      </c>
      <c r="H6728" s="1">
        <v>-3.399069E-6</v>
      </c>
      <c r="I6728">
        <v>-61.604259999999996</v>
      </c>
      <c r="J6728">
        <v>-248.9478</v>
      </c>
      <c r="K6728">
        <v>1.1099840000000001</v>
      </c>
      <c r="L6728">
        <v>-63.035890000000002</v>
      </c>
      <c r="M6728">
        <v>0.99994530000000004</v>
      </c>
      <c r="N6728">
        <v>-9.1679499999999994E-3</v>
      </c>
      <c r="O6728">
        <v>-5.0341969999999998E-3</v>
      </c>
      <c r="P6728">
        <v>0.97857609999999995</v>
      </c>
      <c r="Q6728">
        <v>0.18232509999999999</v>
      </c>
      <c r="R6728">
        <v>9.5638589999999996E-2</v>
      </c>
      <c r="S6728">
        <v>3.0705110000000002</v>
      </c>
      <c r="T6728">
        <v>-7.6981309999999997E-2</v>
      </c>
      <c r="U6728">
        <v>9.9243159999999997E-2</v>
      </c>
      <c r="V6728">
        <v>-0.1005562</v>
      </c>
      <c r="W6728">
        <v>0.1912885</v>
      </c>
      <c r="X6728">
        <v>0.97636940000000005</v>
      </c>
      <c r="Y6728">
        <v>-3.7319249999999998E-2</v>
      </c>
      <c r="Z6728">
        <v>7.188044E-4</v>
      </c>
      <c r="AA6728">
        <v>0.99930319999999995</v>
      </c>
      <c r="AB6728">
        <v>28</v>
      </c>
      <c r="AC6728">
        <v>44.141399999999997</v>
      </c>
      <c r="AD6728">
        <v>-1.1099873990689999</v>
      </c>
      <c r="AE6728">
        <v>1.43163</v>
      </c>
      <c r="AF6728">
        <v>-1.6527936873859399</v>
      </c>
      <c r="AG6728">
        <v>-1.1099873990689999</v>
      </c>
      <c r="AH6728">
        <v>44.105773093777202</v>
      </c>
      <c r="AI6728">
        <v>91.440618515218205</v>
      </c>
      <c r="AJ6728">
        <v>92.146064031037497</v>
      </c>
      <c r="AK6728">
        <v>44.150685376321299</v>
      </c>
      <c r="AL6728">
        <v>78.972011114408204</v>
      </c>
      <c r="AM6728">
        <v>95.880155735372995</v>
      </c>
      <c r="AN6728">
        <v>1.0000000224235199</v>
      </c>
    </row>
    <row r="6729" spans="1:40" x14ac:dyDescent="0.25">
      <c r="A6729" t="str">
        <f>"20190304155236106"</f>
        <v>20190304155236106</v>
      </c>
      <c r="B6729" t="str">
        <f>"1551685956103477"</f>
        <v>1551685956103477</v>
      </c>
      <c r="C6729" t="s">
        <v>40</v>
      </c>
      <c r="D6729">
        <v>4.9387379999999999</v>
      </c>
      <c r="E6729">
        <v>0.52382419999999996</v>
      </c>
      <c r="F6729" t="s">
        <v>77</v>
      </c>
      <c r="G6729">
        <v>-207.0034</v>
      </c>
      <c r="H6729" s="1">
        <v>-2.0575530000000002E-6</v>
      </c>
      <c r="I6729">
        <v>-61.685470000000002</v>
      </c>
      <c r="J6729">
        <v>-248.80160000000001</v>
      </c>
      <c r="K6729">
        <v>1.109988</v>
      </c>
      <c r="L6729">
        <v>-63.0366199999999</v>
      </c>
      <c r="M6729">
        <v>0.99994499999999997</v>
      </c>
      <c r="N6729">
        <v>-9.2053099999999995E-3</v>
      </c>
      <c r="O6729">
        <v>-5.0356810000000002E-3</v>
      </c>
      <c r="P6729">
        <v>0.97852530000000004</v>
      </c>
      <c r="Q6729">
        <v>0.18253469999999999</v>
      </c>
      <c r="R6729">
        <v>9.5757220000000004E-2</v>
      </c>
      <c r="S6729">
        <v>3.0711360000000001</v>
      </c>
      <c r="T6729">
        <v>-8.1272360000000002E-2</v>
      </c>
      <c r="U6729">
        <v>9.8876950000000005E-2</v>
      </c>
      <c r="V6729">
        <v>-0.100676</v>
      </c>
      <c r="W6729">
        <v>0.19153419999999999</v>
      </c>
      <c r="X6729">
        <v>0.97630890000000004</v>
      </c>
      <c r="Y6729">
        <v>-3.7193480000000001E-2</v>
      </c>
      <c r="Z6729">
        <v>7.5006159999999999E-4</v>
      </c>
      <c r="AA6729">
        <v>0.99930779999999997</v>
      </c>
      <c r="AB6729">
        <v>28</v>
      </c>
      <c r="AC6729">
        <v>41.798200000000001</v>
      </c>
      <c r="AD6729">
        <v>-1.109990057553</v>
      </c>
      <c r="AE6729">
        <v>1.3511499999999901</v>
      </c>
      <c r="AF6729">
        <v>-1.56052481630927</v>
      </c>
      <c r="AG6729">
        <v>-1.109990057553</v>
      </c>
      <c r="AH6729">
        <v>41.761445586666703</v>
      </c>
      <c r="AI6729">
        <v>91.521461971298095</v>
      </c>
      <c r="AJ6729">
        <v>92.140009838763007</v>
      </c>
      <c r="AK6729">
        <v>41.805330439051801</v>
      </c>
      <c r="AL6729">
        <v>78.957668510838701</v>
      </c>
      <c r="AM6729">
        <v>95.887474274552005</v>
      </c>
      <c r="AN6729">
        <v>1.0000000374824201</v>
      </c>
    </row>
    <row r="6730" spans="1:40" x14ac:dyDescent="0.25">
      <c r="A6730" t="str">
        <f>"20190304155236119"</f>
        <v>20190304155236119</v>
      </c>
      <c r="B6730" t="str">
        <f>"1551685956113237"</f>
        <v>1551685956113237</v>
      </c>
      <c r="C6730" t="s">
        <v>40</v>
      </c>
      <c r="D6730">
        <v>4.8966849999999997</v>
      </c>
      <c r="E6730">
        <v>0.5236729</v>
      </c>
      <c r="F6730" t="s">
        <v>77</v>
      </c>
      <c r="G6730">
        <v>-206.87350000000001</v>
      </c>
      <c r="H6730" s="1">
        <v>-2.1424239999999998E-6</v>
      </c>
      <c r="I6730">
        <v>-61.70185</v>
      </c>
      <c r="J6730">
        <v>-248.65860000000001</v>
      </c>
      <c r="K6730">
        <v>1.1099920000000001</v>
      </c>
      <c r="L6730">
        <v>-63.037350000000004</v>
      </c>
      <c r="M6730">
        <v>0.99994459999999996</v>
      </c>
      <c r="N6730">
        <v>-9.2447139999999994E-3</v>
      </c>
      <c r="O6730">
        <v>-5.036698E-3</v>
      </c>
      <c r="P6730">
        <v>0.97847890000000004</v>
      </c>
      <c r="Q6730">
        <v>0.18272559999999999</v>
      </c>
      <c r="R6730">
        <v>9.5866199999999999E-2</v>
      </c>
      <c r="S6730">
        <v>3.0714419999999998</v>
      </c>
      <c r="T6730">
        <v>-8.1312300000000004E-2</v>
      </c>
      <c r="U6730">
        <v>9.7778320000000002E-2</v>
      </c>
      <c r="V6730">
        <v>-0.100786</v>
      </c>
      <c r="W6730">
        <v>0.19176299999999999</v>
      </c>
      <c r="X6730">
        <v>0.97625260000000003</v>
      </c>
      <c r="Y6730">
        <v>-3.6834359999999997E-2</v>
      </c>
      <c r="Z6730">
        <v>7.4444889999999997E-4</v>
      </c>
      <c r="AA6730">
        <v>0.99932109999999996</v>
      </c>
      <c r="AB6730">
        <v>28</v>
      </c>
      <c r="AC6730">
        <v>41.7851</v>
      </c>
      <c r="AD6730">
        <v>-1.1099941424240001</v>
      </c>
      <c r="AE6730">
        <v>1.3354999999999999</v>
      </c>
      <c r="AF6730">
        <v>-1.54486193624171</v>
      </c>
      <c r="AG6730">
        <v>-1.1099941424240001</v>
      </c>
      <c r="AH6730">
        <v>41.748412821067397</v>
      </c>
      <c r="AI6730">
        <v>91.5219628416218</v>
      </c>
      <c r="AJ6730">
        <v>92.119211131943899</v>
      </c>
      <c r="AK6730">
        <v>41.791729546365097</v>
      </c>
      <c r="AL6730">
        <v>78.944311257151597</v>
      </c>
      <c r="AM6730">
        <v>95.894199255040306</v>
      </c>
      <c r="AN6730">
        <v>1.0000000024858799</v>
      </c>
    </row>
    <row r="6731" spans="1:40" x14ac:dyDescent="0.25">
      <c r="A6731" t="str">
        <f>"20190304155236129"</f>
        <v>20190304155236129</v>
      </c>
      <c r="B6731" t="str">
        <f>"1551685956123972"</f>
        <v>1551685956123972</v>
      </c>
      <c r="C6731" t="s">
        <v>40</v>
      </c>
      <c r="D6731">
        <v>4.9119250000000001</v>
      </c>
      <c r="E6731">
        <v>0.52378709999999995</v>
      </c>
      <c r="F6731" t="s">
        <v>77</v>
      </c>
      <c r="G6731">
        <v>-208.33320000000001</v>
      </c>
      <c r="H6731" s="1">
        <v>-1.2192229999999999E-6</v>
      </c>
      <c r="I6731">
        <v>-61.735019999999999</v>
      </c>
      <c r="J6731">
        <v>-248.50710000000001</v>
      </c>
      <c r="K6731">
        <v>1.109996</v>
      </c>
      <c r="L6731">
        <v>-63.038089999999997</v>
      </c>
      <c r="M6731">
        <v>0.99994419999999995</v>
      </c>
      <c r="N6731">
        <v>-9.2872990000000006E-3</v>
      </c>
      <c r="O6731">
        <v>-5.0374920000000002E-3</v>
      </c>
      <c r="P6731">
        <v>0.97847569999999995</v>
      </c>
      <c r="Q6731">
        <v>0.18266189999999999</v>
      </c>
      <c r="R6731">
        <v>9.6021280000000001E-2</v>
      </c>
      <c r="S6731">
        <v>3.0720519999999998</v>
      </c>
      <c r="T6731">
        <v>-8.4560990000000003E-2</v>
      </c>
      <c r="U6731">
        <v>9.9212649999999999E-2</v>
      </c>
      <c r="V6731">
        <v>-0.1009419</v>
      </c>
      <c r="W6731">
        <v>0.19174060000000001</v>
      </c>
      <c r="X6731">
        <v>0.97624089999999997</v>
      </c>
      <c r="Y6731">
        <v>-3.7293369999999999E-2</v>
      </c>
      <c r="Z6731">
        <v>7.7814050000000004E-4</v>
      </c>
      <c r="AA6731">
        <v>0.99930410000000003</v>
      </c>
      <c r="AB6731">
        <v>28</v>
      </c>
      <c r="AC6731">
        <v>40.173900000000003</v>
      </c>
      <c r="AD6731">
        <v>-1.1099972192230001</v>
      </c>
      <c r="AE6731">
        <v>1.30307</v>
      </c>
      <c r="AF6731">
        <v>-1.50429071157321</v>
      </c>
      <c r="AG6731">
        <v>-1.1099972192230001</v>
      </c>
      <c r="AH6731">
        <v>40.136217688921398</v>
      </c>
      <c r="AI6731">
        <v>91.583043073566998</v>
      </c>
      <c r="AJ6731">
        <v>92.146420126661894</v>
      </c>
      <c r="AK6731">
        <v>40.179733134306602</v>
      </c>
      <c r="AL6731">
        <v>78.945619031267896</v>
      </c>
      <c r="AM6731">
        <v>95.903322560977102</v>
      </c>
      <c r="AN6731">
        <v>1.0000000098483799</v>
      </c>
    </row>
    <row r="6732" spans="1:40" x14ac:dyDescent="0.25">
      <c r="A6732" t="str">
        <f>"20190304155236141"</f>
        <v>20190304155236141</v>
      </c>
      <c r="B6732" t="str">
        <f>"1551685956133733"</f>
        <v>1551685956133733</v>
      </c>
      <c r="C6732" t="s">
        <v>40</v>
      </c>
      <c r="D6732">
        <v>4.9045829999999997</v>
      </c>
      <c r="E6732">
        <v>0.52401920000000002</v>
      </c>
      <c r="F6732" t="s">
        <v>77</v>
      </c>
      <c r="G6732">
        <v>-207.71549999999999</v>
      </c>
      <c r="H6732" s="1">
        <v>-1.6108600000000001E-6</v>
      </c>
      <c r="I6732">
        <v>-61.727939999999997</v>
      </c>
      <c r="J6732">
        <v>-248.36160000000001</v>
      </c>
      <c r="K6732">
        <v>1.1100019999999999</v>
      </c>
      <c r="L6732">
        <v>-63.038820000000001</v>
      </c>
      <c r="M6732">
        <v>0.9999439</v>
      </c>
      <c r="N6732">
        <v>-9.3305609999999994E-3</v>
      </c>
      <c r="O6732">
        <v>-5.0378139999999998E-3</v>
      </c>
      <c r="P6732">
        <v>0.97847969999999895</v>
      </c>
      <c r="Q6732">
        <v>0.18247650000000001</v>
      </c>
      <c r="R6732">
        <v>9.6333799999999997E-2</v>
      </c>
      <c r="S6732">
        <v>3.0718839999999998</v>
      </c>
      <c r="T6732">
        <v>-8.3590269999999994E-2</v>
      </c>
      <c r="U6732">
        <v>9.8663329999999994E-2</v>
      </c>
      <c r="V6732">
        <v>-0.10125480000000001</v>
      </c>
      <c r="W6732">
        <v>0.19159780000000001</v>
      </c>
      <c r="X6732">
        <v>0.97623649999999995</v>
      </c>
      <c r="Y6732">
        <v>-3.7117410000000003E-2</v>
      </c>
      <c r="Z6732">
        <v>7.6807899999999996E-4</v>
      </c>
      <c r="AA6732">
        <v>0.99931060000000005</v>
      </c>
      <c r="AB6732">
        <v>28</v>
      </c>
      <c r="AC6732">
        <v>40.646099999999997</v>
      </c>
      <c r="AD6732">
        <v>-1.11000361086</v>
      </c>
      <c r="AE6732">
        <v>1.3108799999999901</v>
      </c>
      <c r="AF6732">
        <v>-1.5145114250681899</v>
      </c>
      <c r="AG6732">
        <v>-1.11000361086</v>
      </c>
      <c r="AH6732">
        <v>40.6087261773215</v>
      </c>
      <c r="AI6732">
        <v>91.564652337699002</v>
      </c>
      <c r="AJ6732">
        <v>92.135868853432299</v>
      </c>
      <c r="AK6732">
        <v>40.652115499903097</v>
      </c>
      <c r="AL6732">
        <v>78.953955069306801</v>
      </c>
      <c r="AM6732">
        <v>95.921518369969107</v>
      </c>
      <c r="AN6732">
        <v>0.99999997771006399</v>
      </c>
    </row>
    <row r="6733" spans="1:40" x14ac:dyDescent="0.25">
      <c r="A6733" t="str">
        <f>"20190304155236153"</f>
        <v>20190304155236153</v>
      </c>
      <c r="B6733" t="str">
        <f>"1551685956143493"</f>
        <v>1551685956143493</v>
      </c>
      <c r="C6733" t="s">
        <v>40</v>
      </c>
      <c r="D6733">
        <v>4.9411379999999996</v>
      </c>
      <c r="E6733">
        <v>0.52406330000000001</v>
      </c>
      <c r="F6733" t="s">
        <v>77</v>
      </c>
      <c r="G6733">
        <v>-209.41560000000001</v>
      </c>
      <c r="H6733" s="1">
        <v>-5.8253100000000004E-7</v>
      </c>
      <c r="I6733">
        <v>-61.800660000000001</v>
      </c>
      <c r="J6733">
        <v>-248.22059999999999</v>
      </c>
      <c r="K6733">
        <v>1.1100099999999999</v>
      </c>
      <c r="L6733">
        <v>-63.039549999999998</v>
      </c>
      <c r="M6733">
        <v>0.99994329999999998</v>
      </c>
      <c r="N6733">
        <v>-9.3736029999999994E-3</v>
      </c>
      <c r="O6733">
        <v>-5.0376580000000004E-3</v>
      </c>
      <c r="P6733">
        <v>0.97846359999999999</v>
      </c>
      <c r="Q6733">
        <v>0.1823756</v>
      </c>
      <c r="R6733">
        <v>9.668446E-2</v>
      </c>
      <c r="S6733">
        <v>3.072708</v>
      </c>
      <c r="T6733">
        <v>-8.7575440000000004E-2</v>
      </c>
      <c r="U6733">
        <v>9.7686770000000006E-2</v>
      </c>
      <c r="V6733">
        <v>-0.1016046</v>
      </c>
      <c r="W6733">
        <v>0.19153890000000001</v>
      </c>
      <c r="X6733">
        <v>0.97621170000000002</v>
      </c>
      <c r="Y6733">
        <v>-3.6789870000000002E-2</v>
      </c>
      <c r="Z6733">
        <v>7.928697E-4</v>
      </c>
      <c r="AA6733">
        <v>0.99932270000000001</v>
      </c>
      <c r="AB6733">
        <v>28</v>
      </c>
      <c r="AC6733">
        <v>38.8049999999999</v>
      </c>
      <c r="AD6733">
        <v>-1.1100105825309901</v>
      </c>
      <c r="AE6733">
        <v>1.2388899999999901</v>
      </c>
      <c r="AF6733">
        <v>-1.4331977001040099</v>
      </c>
      <c r="AG6733">
        <v>-1.1100105825309901</v>
      </c>
      <c r="AH6733">
        <v>38.766578246395902</v>
      </c>
      <c r="AI6733">
        <v>91.638993421785003</v>
      </c>
      <c r="AJ6733">
        <v>92.117256727802001</v>
      </c>
      <c r="AK6733">
        <v>38.808939280465403</v>
      </c>
      <c r="AL6733">
        <v>78.957393320178895</v>
      </c>
      <c r="AM6733">
        <v>95.941978912041094</v>
      </c>
      <c r="AN6733">
        <v>0.99999996408562897</v>
      </c>
    </row>
    <row r="6734" spans="1:40" x14ac:dyDescent="0.25">
      <c r="A6734" t="str">
        <f>"20190304155236164"</f>
        <v>20190304155236164</v>
      </c>
      <c r="B6734" t="str">
        <f>"1551685956153253"</f>
        <v>1551685956153253</v>
      </c>
      <c r="C6734" t="s">
        <v>40</v>
      </c>
      <c r="D6734">
        <v>5.0169839999999999</v>
      </c>
      <c r="E6734">
        <v>0.52475989999999995</v>
      </c>
      <c r="F6734" t="s">
        <v>77</v>
      </c>
      <c r="G6734">
        <v>-208.7482</v>
      </c>
      <c r="H6734" s="1">
        <v>-9.6104469999999993E-7</v>
      </c>
      <c r="I6734">
        <v>-61.775539999999999</v>
      </c>
      <c r="J6734">
        <v>-248.0642</v>
      </c>
      <c r="K6734">
        <v>1.1100209999999999</v>
      </c>
      <c r="L6734">
        <v>-63.04034</v>
      </c>
      <c r="M6734">
        <v>0.99994300000000003</v>
      </c>
      <c r="N6734">
        <v>-9.4229009999999992E-3</v>
      </c>
      <c r="O6734">
        <v>-5.0377709999999999E-3</v>
      </c>
      <c r="P6734">
        <v>0.97841789999999995</v>
      </c>
      <c r="Q6734">
        <v>0.18251200000000001</v>
      </c>
      <c r="R6734">
        <v>9.6892039999999999E-2</v>
      </c>
      <c r="S6734">
        <v>3.0724330000000002</v>
      </c>
      <c r="T6734">
        <v>-8.640051E-2</v>
      </c>
      <c r="U6734">
        <v>9.8388669999999998E-2</v>
      </c>
      <c r="V6734">
        <v>-0.10181270000000001</v>
      </c>
      <c r="W6734">
        <v>0.1917228</v>
      </c>
      <c r="X6734">
        <v>0.97615399999999997</v>
      </c>
      <c r="Y6734">
        <v>-3.7021239999999997E-2</v>
      </c>
      <c r="Z6734">
        <v>7.8897699999999995E-4</v>
      </c>
      <c r="AA6734">
        <v>0.99931420000000004</v>
      </c>
      <c r="AB6734">
        <v>28</v>
      </c>
      <c r="AC6734">
        <v>39.316000000000003</v>
      </c>
      <c r="AD6734">
        <v>-1.1100219610447</v>
      </c>
      <c r="AE6734">
        <v>1.2647999999999999</v>
      </c>
      <c r="AF6734">
        <v>-1.46169378708242</v>
      </c>
      <c r="AG6734">
        <v>-1.1100219610447</v>
      </c>
      <c r="AH6734">
        <v>39.277852145363703</v>
      </c>
      <c r="AI6734">
        <v>91.617672246039902</v>
      </c>
      <c r="AJ6734">
        <v>92.131233030324793</v>
      </c>
      <c r="AK6734">
        <v>39.320711675073298</v>
      </c>
      <c r="AL6734">
        <v>78.946658566378503</v>
      </c>
      <c r="AM6734">
        <v>95.954410966010201</v>
      </c>
      <c r="AN6734">
        <v>1.00000004481856</v>
      </c>
    </row>
    <row r="6735" spans="1:40" x14ac:dyDescent="0.25">
      <c r="A6735" t="str">
        <f>"20190304155236175"</f>
        <v>20190304155236175</v>
      </c>
      <c r="B6735" t="str">
        <f>"1551685956173749"</f>
        <v>1551685956173749</v>
      </c>
      <c r="C6735" t="s">
        <v>40</v>
      </c>
      <c r="D6735">
        <v>4.9014800000000003</v>
      </c>
      <c r="E6735">
        <v>0.52545799999999998</v>
      </c>
      <c r="F6735" t="s">
        <v>77</v>
      </c>
      <c r="G6735">
        <v>-207.65549999999999</v>
      </c>
      <c r="H6735" s="1">
        <v>-1.6603049999999999E-6</v>
      </c>
      <c r="I6735">
        <v>-61.809440000000002</v>
      </c>
      <c r="J6735">
        <v>-247.92840000000001</v>
      </c>
      <c r="K6735">
        <v>1.110028</v>
      </c>
      <c r="L6735">
        <v>-63.041020000000003</v>
      </c>
      <c r="M6735">
        <v>0.99994249999999996</v>
      </c>
      <c r="N6735">
        <v>-9.4654730000000003E-3</v>
      </c>
      <c r="O6735">
        <v>-5.037494E-3</v>
      </c>
      <c r="P6735">
        <v>0.97843309999999994</v>
      </c>
      <c r="Q6735">
        <v>0.18241460000000001</v>
      </c>
      <c r="R6735">
        <v>9.692249E-2</v>
      </c>
      <c r="S6735">
        <v>3.0726469999999999</v>
      </c>
      <c r="T6735">
        <v>-8.4405419999999995E-2</v>
      </c>
      <c r="U6735">
        <v>9.3597410000000006E-2</v>
      </c>
      <c r="V6735">
        <v>-0.10184269999999999</v>
      </c>
      <c r="W6735">
        <v>0.19166710000000001</v>
      </c>
      <c r="X6735">
        <v>0.97616179999999997</v>
      </c>
      <c r="Y6735">
        <v>-3.546357E-2</v>
      </c>
      <c r="Z6735">
        <v>7.4546919999999997E-4</v>
      </c>
      <c r="AA6735">
        <v>0.99937069999999995</v>
      </c>
      <c r="AB6735">
        <v>28</v>
      </c>
      <c r="AC6735">
        <v>40.2729</v>
      </c>
      <c r="AD6735">
        <v>-1.1100296603049999</v>
      </c>
      <c r="AE6735">
        <v>1.2315799999999899</v>
      </c>
      <c r="AF6735">
        <v>-1.4333600462475899</v>
      </c>
      <c r="AG6735">
        <v>-1.1100296603049999</v>
      </c>
      <c r="AH6735">
        <v>40.235646058781199</v>
      </c>
      <c r="AI6735">
        <v>91.579286156115401</v>
      </c>
      <c r="AJ6735">
        <v>92.040249738834902</v>
      </c>
      <c r="AK6735">
        <v>40.276468323780001</v>
      </c>
      <c r="AL6735">
        <v>78.9499101493479</v>
      </c>
      <c r="AM6735">
        <v>95.956105623696402</v>
      </c>
      <c r="AN6735">
        <v>1.0000000362724599</v>
      </c>
    </row>
    <row r="6736" spans="1:40" x14ac:dyDescent="0.25">
      <c r="A6736" t="str">
        <f>"20190304155236185"</f>
        <v>20190304155236185</v>
      </c>
      <c r="B6736" t="str">
        <f>"1551685956183510"</f>
        <v>1551685956183510</v>
      </c>
      <c r="C6736" t="s">
        <v>40</v>
      </c>
      <c r="D6736">
        <v>4.960356</v>
      </c>
      <c r="E6736">
        <v>0.52570260000000002</v>
      </c>
      <c r="F6736" t="s">
        <v>77</v>
      </c>
      <c r="G6736">
        <v>-206.1583</v>
      </c>
      <c r="H6736" s="1">
        <v>-2.6170020000000002E-6</v>
      </c>
      <c r="I6736">
        <v>-61.845390000000002</v>
      </c>
      <c r="J6736">
        <v>-247.7954</v>
      </c>
      <c r="K6736">
        <v>1.110034</v>
      </c>
      <c r="L6736">
        <v>-63.041690000000003</v>
      </c>
      <c r="M6736">
        <v>0.9999422</v>
      </c>
      <c r="N6736">
        <v>-9.5071080000000002E-3</v>
      </c>
      <c r="O6736">
        <v>-5.0373329999999997E-3</v>
      </c>
      <c r="P6736">
        <v>0.97840150000000004</v>
      </c>
      <c r="Q6736">
        <v>0.18252199999999999</v>
      </c>
      <c r="R6736">
        <v>9.7039029999999998E-2</v>
      </c>
      <c r="S6736">
        <v>3.0726469999999999</v>
      </c>
      <c r="T6736">
        <v>-8.1654790000000005E-2</v>
      </c>
      <c r="U6736">
        <v>8.7951660000000001E-2</v>
      </c>
      <c r="V6736">
        <v>-0.10195890000000001</v>
      </c>
      <c r="W6736">
        <v>0.19181490000000001</v>
      </c>
      <c r="X6736">
        <v>0.9761206</v>
      </c>
      <c r="Y6736">
        <v>-3.3630640000000003E-2</v>
      </c>
      <c r="Z6736">
        <v>6.9257330000000003E-4</v>
      </c>
      <c r="AA6736">
        <v>0.99943409999999999</v>
      </c>
      <c r="AB6736">
        <v>28</v>
      </c>
      <c r="AC6736">
        <v>41.637099999999997</v>
      </c>
      <c r="AD6736">
        <v>-1.110036617002</v>
      </c>
      <c r="AE6736">
        <v>1.1962999999999999</v>
      </c>
      <c r="AF6736">
        <v>-1.40503642212894</v>
      </c>
      <c r="AG6736">
        <v>-1.110036617002</v>
      </c>
      <c r="AH6736">
        <v>41.601001944892502</v>
      </c>
      <c r="AI6736">
        <v>91.527586002427498</v>
      </c>
      <c r="AJ6736">
        <v>91.934378132708204</v>
      </c>
      <c r="AK6736">
        <v>41.639520547882697</v>
      </c>
      <c r="AL6736">
        <v>78.941281325747497</v>
      </c>
      <c r="AM6736">
        <v>95.963102323242296</v>
      </c>
      <c r="AN6736">
        <v>0.99999999944778994</v>
      </c>
    </row>
    <row r="6737" spans="1:40" x14ac:dyDescent="0.25">
      <c r="A6737" t="str">
        <f>"20190304155236196"</f>
        <v>20190304155236196</v>
      </c>
      <c r="B6737" t="str">
        <f>"1551685956193270"</f>
        <v>1551685956193270</v>
      </c>
      <c r="C6737" t="s">
        <v>40</v>
      </c>
      <c r="D6737">
        <v>4.8841039999999998</v>
      </c>
      <c r="E6737">
        <v>0.52541070000000001</v>
      </c>
      <c r="F6737" t="s">
        <v>77</v>
      </c>
      <c r="G6737">
        <v>-206.9357</v>
      </c>
      <c r="H6737" s="1">
        <v>-2.1293090000000001E-6</v>
      </c>
      <c r="I6737">
        <v>-61.891820000000003</v>
      </c>
      <c r="J6737">
        <v>-247.67230000000001</v>
      </c>
      <c r="K6737">
        <v>1.1100410000000001</v>
      </c>
      <c r="L6737">
        <v>-63.042299999999997</v>
      </c>
      <c r="M6737">
        <v>0.99994190000000005</v>
      </c>
      <c r="N6737">
        <v>-9.5456389999999999E-3</v>
      </c>
      <c r="O6737">
        <v>-5.0371569999999996E-3</v>
      </c>
      <c r="P6737">
        <v>0.97837079999999998</v>
      </c>
      <c r="Q6737">
        <v>0.18262790000000001</v>
      </c>
      <c r="R6737">
        <v>9.7148929999999994E-2</v>
      </c>
      <c r="S6737">
        <v>3.073242</v>
      </c>
      <c r="T6737">
        <v>-8.3490729999999999E-2</v>
      </c>
      <c r="U6737">
        <v>8.6486820000000006E-2</v>
      </c>
      <c r="V6737">
        <v>-0.1020686</v>
      </c>
      <c r="W6737">
        <v>0.1919582</v>
      </c>
      <c r="X6737">
        <v>0.97608099999999998</v>
      </c>
      <c r="Y6737">
        <v>-3.3148480000000001E-2</v>
      </c>
      <c r="Z6737">
        <v>6.9711220000000002E-4</v>
      </c>
      <c r="AA6737">
        <v>0.99945019999999996</v>
      </c>
      <c r="AB6737">
        <v>28</v>
      </c>
      <c r="AC6737">
        <v>40.736600000000003</v>
      </c>
      <c r="AD6737">
        <v>-1.1100431293089901</v>
      </c>
      <c r="AE6737">
        <v>1.1504799999999999</v>
      </c>
      <c r="AF6737">
        <v>-1.35466630209505</v>
      </c>
      <c r="AG6737">
        <v>-1.1100431293089901</v>
      </c>
      <c r="AH6737">
        <v>40.7000910491236</v>
      </c>
      <c r="AI6737">
        <v>91.561417867639506</v>
      </c>
      <c r="AJ6737">
        <v>91.906335261719505</v>
      </c>
      <c r="AK6737">
        <v>40.737755558522203</v>
      </c>
      <c r="AL6737">
        <v>78.932915765481098</v>
      </c>
      <c r="AM6737">
        <v>95.969712297855494</v>
      </c>
      <c r="AN6737">
        <v>1.00000003410709</v>
      </c>
    </row>
    <row r="6738" spans="1:40" x14ac:dyDescent="0.25">
      <c r="A6738" t="str">
        <f>"20190304155236205"</f>
        <v>20190304155236205</v>
      </c>
      <c r="B6738" t="str">
        <f>"1551685956203030"</f>
        <v>1551685956203030</v>
      </c>
      <c r="C6738" t="s">
        <v>40</v>
      </c>
      <c r="D6738">
        <v>4.9239069999999998</v>
      </c>
      <c r="E6738">
        <v>0.5253776</v>
      </c>
      <c r="F6738" t="s">
        <v>77</v>
      </c>
      <c r="G6738">
        <v>-207.51589999999999</v>
      </c>
      <c r="H6738" s="1">
        <v>-1.758769E-6</v>
      </c>
      <c r="I6738">
        <v>-61.879179999999998</v>
      </c>
      <c r="J6738">
        <v>-247.53280000000001</v>
      </c>
      <c r="K6738">
        <v>1.1100479999999999</v>
      </c>
      <c r="L6738">
        <v>-63.042999999999999</v>
      </c>
      <c r="M6738">
        <v>0.99994130000000003</v>
      </c>
      <c r="N6738">
        <v>-9.5892670000000003E-3</v>
      </c>
      <c r="O6738">
        <v>-5.0368879999999998E-3</v>
      </c>
      <c r="P6738">
        <v>0.97836350000000005</v>
      </c>
      <c r="Q6738">
        <v>0.18266760000000001</v>
      </c>
      <c r="R6738">
        <v>9.7146499999999997E-2</v>
      </c>
      <c r="S6738">
        <v>3.0733640000000002</v>
      </c>
      <c r="T6738">
        <v>-8.4957000000000005E-2</v>
      </c>
      <c r="U6738">
        <v>8.9019780000000007E-2</v>
      </c>
      <c r="V6738">
        <v>-0.1020655</v>
      </c>
      <c r="W6738">
        <v>0.19204009999999999</v>
      </c>
      <c r="X6738">
        <v>0.97606519999999997</v>
      </c>
      <c r="Y6738">
        <v>-3.396913E-2</v>
      </c>
      <c r="Z6738">
        <v>7.2316239999999999E-4</v>
      </c>
      <c r="AA6738">
        <v>0.99942260000000005</v>
      </c>
      <c r="AB6738">
        <v>28</v>
      </c>
      <c r="AC6738">
        <v>40.0169</v>
      </c>
      <c r="AD6738">
        <v>-1.1100497587689999</v>
      </c>
      <c r="AE6738">
        <v>1.1638199999999901</v>
      </c>
      <c r="AF6738">
        <v>-1.3643262176992701</v>
      </c>
      <c r="AG6738">
        <v>-1.1100497587689999</v>
      </c>
      <c r="AH6738">
        <v>39.979792330800997</v>
      </c>
      <c r="AI6738">
        <v>91.589499448246002</v>
      </c>
      <c r="AJ6738">
        <v>91.9544826681622</v>
      </c>
      <c r="AK6738">
        <v>40.018463130275499</v>
      </c>
      <c r="AL6738">
        <v>78.928134129403503</v>
      </c>
      <c r="AM6738">
        <v>95.969628230303698</v>
      </c>
      <c r="AN6738">
        <v>1.00000002047464</v>
      </c>
    </row>
    <row r="6739" spans="1:40" x14ac:dyDescent="0.25">
      <c r="A6739" t="str">
        <f>"20190304155236218"</f>
        <v>20190304155236218</v>
      </c>
      <c r="B6739" t="str">
        <f>"1551685956213765"</f>
        <v>1551685956213765</v>
      </c>
      <c r="C6739" t="s">
        <v>40</v>
      </c>
      <c r="D6739">
        <v>4.9246239999999997</v>
      </c>
      <c r="E6739">
        <v>0.52552119999999902</v>
      </c>
      <c r="F6739" t="s">
        <v>77</v>
      </c>
      <c r="G6739">
        <v>-207.3056</v>
      </c>
      <c r="H6739" s="1">
        <v>-1.8919400000000001E-6</v>
      </c>
      <c r="I6739">
        <v>-61.875399999999999</v>
      </c>
      <c r="J6739">
        <v>-247.3853</v>
      </c>
      <c r="K6739">
        <v>1.1100559999999999</v>
      </c>
      <c r="L6739">
        <v>-63.043759999999999</v>
      </c>
      <c r="M6739">
        <v>0.99994090000000002</v>
      </c>
      <c r="N6739">
        <v>-9.6368530000000008E-3</v>
      </c>
      <c r="O6739">
        <v>-5.0367570000000002E-3</v>
      </c>
      <c r="P6739">
        <v>0.97827330000000001</v>
      </c>
      <c r="Q6739">
        <v>0.18314359999999999</v>
      </c>
      <c r="R6739">
        <v>9.7158220000000003E-2</v>
      </c>
      <c r="S6739">
        <v>3.073318</v>
      </c>
      <c r="T6739">
        <v>-8.4806560000000003E-2</v>
      </c>
      <c r="U6739">
        <v>8.9202879999999998E-2</v>
      </c>
      <c r="V6739">
        <v>-0.1020768</v>
      </c>
      <c r="W6739">
        <v>0.19256180000000001</v>
      </c>
      <c r="X6739">
        <v>0.97596119999999997</v>
      </c>
      <c r="Y6739">
        <v>-3.4028940000000001E-2</v>
      </c>
      <c r="Z6739">
        <v>7.2377369999999995E-4</v>
      </c>
      <c r="AA6739">
        <v>0.99942059999999999</v>
      </c>
      <c r="AB6739">
        <v>28</v>
      </c>
      <c r="AC6739">
        <v>40.079700000000003</v>
      </c>
      <c r="AD6739">
        <v>-1.1100578919399999</v>
      </c>
      <c r="AE6739">
        <v>1.1683599999999901</v>
      </c>
      <c r="AF6739">
        <v>-1.36917687782215</v>
      </c>
      <c r="AG6739">
        <v>-1.1100578919399999</v>
      </c>
      <c r="AH6739">
        <v>40.042616612482</v>
      </c>
      <c r="AI6739">
        <v>91.587014865951403</v>
      </c>
      <c r="AJ6739">
        <v>91.9583511711662</v>
      </c>
      <c r="AK6739">
        <v>40.081392428662497</v>
      </c>
      <c r="AL6739">
        <v>78.897674100334399</v>
      </c>
      <c r="AM6739">
        <v>95.970915980785506</v>
      </c>
      <c r="AN6739">
        <v>0.99999999191146005</v>
      </c>
    </row>
    <row r="6740" spans="1:40" x14ac:dyDescent="0.25">
      <c r="A6740" t="str">
        <f>"20190304155236229"</f>
        <v>20190304155236229</v>
      </c>
      <c r="B6740" t="str">
        <f>"1551685956223525"</f>
        <v>1551685956223525</v>
      </c>
      <c r="C6740" t="s">
        <v>40</v>
      </c>
      <c r="D6740">
        <v>5.1537899999999999</v>
      </c>
      <c r="E6740">
        <v>0.52552119999999902</v>
      </c>
      <c r="F6740" t="s">
        <v>77</v>
      </c>
      <c r="G6740">
        <v>-207.33850000000001</v>
      </c>
      <c r="H6740" s="1">
        <v>-1.87348E-6</v>
      </c>
      <c r="I6740">
        <v>-61.893120000000003</v>
      </c>
      <c r="J6740">
        <v>-247.2439</v>
      </c>
      <c r="K6740">
        <v>1.110061</v>
      </c>
      <c r="L6740">
        <v>-63.044460000000001</v>
      </c>
      <c r="M6740">
        <v>0.99994050000000001</v>
      </c>
      <c r="N6740">
        <v>-9.6824230000000008E-3</v>
      </c>
      <c r="O6740">
        <v>-5.0364980000000004E-3</v>
      </c>
      <c r="P6740">
        <v>0.97827889999999995</v>
      </c>
      <c r="Q6740">
        <v>0.18318960000000001</v>
      </c>
      <c r="R6740">
        <v>9.7014779999999995E-2</v>
      </c>
      <c r="S6740">
        <v>3.073807</v>
      </c>
      <c r="T6740">
        <v>-8.5202929999999996E-2</v>
      </c>
      <c r="U6740">
        <v>8.8317870000000007E-2</v>
      </c>
      <c r="V6740">
        <v>-0.10193339999999999</v>
      </c>
      <c r="W6740">
        <v>0.19265209999999999</v>
      </c>
      <c r="X6740">
        <v>0.97595829999999995</v>
      </c>
      <c r="Y6740">
        <v>-3.3736549999999997E-2</v>
      </c>
      <c r="Z6740">
        <v>7.215953E-4</v>
      </c>
      <c r="AA6740">
        <v>0.9994305</v>
      </c>
      <c r="AB6740">
        <v>28</v>
      </c>
      <c r="AC6740">
        <v>39.905399999999901</v>
      </c>
      <c r="AD6740">
        <v>-1.11006287348</v>
      </c>
      <c r="AE6740">
        <v>1.15134</v>
      </c>
      <c r="AF6740">
        <v>-1.35127351970013</v>
      </c>
      <c r="AG6740">
        <v>-1.11006287348</v>
      </c>
      <c r="AH6740">
        <v>39.868270201790203</v>
      </c>
      <c r="AI6740">
        <v>91.593974783709896</v>
      </c>
      <c r="AJ6740">
        <v>91.941208960666202</v>
      </c>
      <c r="AK6740">
        <v>39.906605325322701</v>
      </c>
      <c r="AL6740">
        <v>78.892400832687898</v>
      </c>
      <c r="AM6740">
        <v>95.962605953354796</v>
      </c>
      <c r="AN6740">
        <v>0.99999992650442704</v>
      </c>
    </row>
    <row r="6741" spans="1:40" x14ac:dyDescent="0.25">
      <c r="A6741" t="str">
        <f>"20190304155236240"</f>
        <v>20190304155236240</v>
      </c>
      <c r="B6741" t="str">
        <f>"1551685956233286"</f>
        <v>1551685956233286</v>
      </c>
      <c r="C6741" t="s">
        <v>40</v>
      </c>
      <c r="D6741">
        <v>4.9371</v>
      </c>
      <c r="E6741">
        <v>0.52612780000000003</v>
      </c>
      <c r="F6741" t="s">
        <v>77</v>
      </c>
      <c r="G6741">
        <v>-207.1405</v>
      </c>
      <c r="H6741" s="1">
        <v>-1.9999009999999999E-6</v>
      </c>
      <c r="I6741">
        <v>-61.897379999999998</v>
      </c>
      <c r="J6741">
        <v>-247.102</v>
      </c>
      <c r="K6741">
        <v>1.1100680000000001</v>
      </c>
      <c r="L6741">
        <v>-63.045169999999999</v>
      </c>
      <c r="M6741">
        <v>0.99994000000000005</v>
      </c>
      <c r="N6741">
        <v>-9.7275130000000001E-3</v>
      </c>
      <c r="O6741">
        <v>-5.0363580000000003E-3</v>
      </c>
      <c r="P6741">
        <v>0.97821100000000005</v>
      </c>
      <c r="Q6741">
        <v>0.18360799999999999</v>
      </c>
      <c r="R6741">
        <v>9.6910629999999998E-2</v>
      </c>
      <c r="S6741">
        <v>3.0738219999999998</v>
      </c>
      <c r="T6741">
        <v>-8.5083599999999995E-2</v>
      </c>
      <c r="U6741">
        <v>8.7921139999999995E-2</v>
      </c>
      <c r="V6741">
        <v>-0.10182910000000001</v>
      </c>
      <c r="W6741">
        <v>0.1931139</v>
      </c>
      <c r="X6741">
        <v>0.97587800000000002</v>
      </c>
      <c r="Y6741">
        <v>-3.3607480000000002E-2</v>
      </c>
      <c r="Z6741">
        <v>7.1886089999999997E-4</v>
      </c>
      <c r="AA6741">
        <v>0.99943479999999996</v>
      </c>
      <c r="AB6741">
        <v>28</v>
      </c>
      <c r="AC6741">
        <v>39.961500000000001</v>
      </c>
      <c r="AD6741">
        <v>-1.110069999901</v>
      </c>
      <c r="AE6741">
        <v>1.1477899999999901</v>
      </c>
      <c r="AF6741">
        <v>-1.3480060616051901</v>
      </c>
      <c r="AG6741">
        <v>-1.110069999901</v>
      </c>
      <c r="AH6741">
        <v>39.924430118571102</v>
      </c>
      <c r="AI6741">
        <v>91.591750940644005</v>
      </c>
      <c r="AJ6741">
        <v>91.933796637838896</v>
      </c>
      <c r="AK6741">
        <v>39.9626012171314</v>
      </c>
      <c r="AL6741">
        <v>78.865436186372904</v>
      </c>
      <c r="AM6741">
        <v>95.957035409557406</v>
      </c>
      <c r="AN6741">
        <v>1.0000000074320099</v>
      </c>
    </row>
    <row r="6742" spans="1:40" x14ac:dyDescent="0.25">
      <c r="A6742" t="str">
        <f>"20190304155236251"</f>
        <v>20190304155236251</v>
      </c>
      <c r="B6742" t="str">
        <f>"1551685956243045"</f>
        <v>1551685956243045</v>
      </c>
      <c r="C6742" t="s">
        <v>40</v>
      </c>
      <c r="D6742">
        <v>4.9242860000000004</v>
      </c>
      <c r="E6742">
        <v>0.52611790000000003</v>
      </c>
      <c r="F6742" t="s">
        <v>77</v>
      </c>
      <c r="G6742">
        <v>-208.0669</v>
      </c>
      <c r="H6742" s="1">
        <v>-1.4242639999999999E-6</v>
      </c>
      <c r="I6742">
        <v>-61.992220000000003</v>
      </c>
      <c r="J6742">
        <v>-246.96369999999999</v>
      </c>
      <c r="K6742">
        <v>1.1100730000000001</v>
      </c>
      <c r="L6742">
        <v>-63.045900000000003</v>
      </c>
      <c r="M6742">
        <v>0.99993969999999999</v>
      </c>
      <c r="N6742">
        <v>-9.7704330000000002E-3</v>
      </c>
      <c r="O6742">
        <v>-5.0362080000000004E-3</v>
      </c>
      <c r="P6742">
        <v>0.978159</v>
      </c>
      <c r="Q6742">
        <v>0.1839691</v>
      </c>
      <c r="R6742">
        <v>9.6749660000000001E-2</v>
      </c>
      <c r="S6742">
        <v>3.075027</v>
      </c>
      <c r="T6742">
        <v>-8.744681E-2</v>
      </c>
      <c r="U6742">
        <v>8.2946779999999998E-2</v>
      </c>
      <c r="V6742">
        <v>-0.1016673</v>
      </c>
      <c r="W6742">
        <v>0.19351670000000001</v>
      </c>
      <c r="X6742">
        <v>0.97581510000000005</v>
      </c>
      <c r="Y6742">
        <v>-3.1980540000000002E-2</v>
      </c>
      <c r="Z6742">
        <v>7.0483340000000001E-4</v>
      </c>
      <c r="AA6742">
        <v>0.99948820000000005</v>
      </c>
      <c r="AB6742">
        <v>28</v>
      </c>
      <c r="AC6742">
        <v>38.896799999999899</v>
      </c>
      <c r="AD6742">
        <v>-1.1100744242639999</v>
      </c>
      <c r="AE6742">
        <v>1.0536799999999999</v>
      </c>
      <c r="AF6742">
        <v>-1.2485521741252199</v>
      </c>
      <c r="AG6742">
        <v>-1.1100744242639999</v>
      </c>
      <c r="AH6742">
        <v>38.859373184151003</v>
      </c>
      <c r="AI6742">
        <v>91.635448654391396</v>
      </c>
      <c r="AJ6742">
        <v>91.840281063568398</v>
      </c>
      <c r="AK6742">
        <v>38.895270046935401</v>
      </c>
      <c r="AL6742">
        <v>78.841914003900598</v>
      </c>
      <c r="AM6742">
        <v>95.948018590898698</v>
      </c>
      <c r="AN6742">
        <v>1.0000000312280899</v>
      </c>
    </row>
    <row r="6743" spans="1:40" x14ac:dyDescent="0.25">
      <c r="A6743" t="str">
        <f>"20190304155236262"</f>
        <v>20190304155236262</v>
      </c>
      <c r="B6743" t="str">
        <f>"1551685956253321"</f>
        <v>1551685956253321</v>
      </c>
      <c r="C6743" t="s">
        <v>40</v>
      </c>
      <c r="D6743">
        <v>4.9218729999999997</v>
      </c>
      <c r="E6743">
        <v>0.52608779999999999</v>
      </c>
      <c r="F6743" t="s">
        <v>77</v>
      </c>
      <c r="G6743">
        <v>-207.02260000000001</v>
      </c>
      <c r="H6743" s="1">
        <v>-2.0859919999999998E-6</v>
      </c>
      <c r="I6743">
        <v>-61.97719</v>
      </c>
      <c r="J6743">
        <v>-246.8201</v>
      </c>
      <c r="K6743">
        <v>1.1100719999999999</v>
      </c>
      <c r="L6743">
        <v>-63.046599999999998</v>
      </c>
      <c r="M6743">
        <v>0.99993920000000003</v>
      </c>
      <c r="N6743">
        <v>-9.8130140000000001E-3</v>
      </c>
      <c r="O6743">
        <v>-5.036057E-3</v>
      </c>
      <c r="P6743">
        <v>0.97809140000000006</v>
      </c>
      <c r="Q6743">
        <v>0.18431429999999999</v>
      </c>
      <c r="R6743">
        <v>9.677579E-2</v>
      </c>
      <c r="S6743">
        <v>3.0749209999999998</v>
      </c>
      <c r="T6743">
        <v>-8.5460659999999994E-2</v>
      </c>
      <c r="U6743">
        <v>8.2275390000000004E-2</v>
      </c>
      <c r="V6743">
        <v>-0.1016934</v>
      </c>
      <c r="W6743">
        <v>0.1939022</v>
      </c>
      <c r="X6743">
        <v>0.97573580000000004</v>
      </c>
      <c r="Y6743">
        <v>-3.1764100000000003E-2</v>
      </c>
      <c r="Z6743">
        <v>6.876772E-4</v>
      </c>
      <c r="AA6743">
        <v>0.99949509999999997</v>
      </c>
      <c r="AB6743">
        <v>28</v>
      </c>
      <c r="AC6743">
        <v>39.7974999999999</v>
      </c>
      <c r="AD6743">
        <v>-1.110074085992</v>
      </c>
      <c r="AE6743">
        <v>1.06940999999999</v>
      </c>
      <c r="AF6743">
        <v>-1.2688420845950901</v>
      </c>
      <c r="AG6743">
        <v>-1.110074085992</v>
      </c>
      <c r="AH6743">
        <v>39.760697000274497</v>
      </c>
      <c r="AI6743">
        <v>91.598405249772597</v>
      </c>
      <c r="AJ6743">
        <v>91.8278007810882</v>
      </c>
      <c r="AK6743">
        <v>39.7964225862032</v>
      </c>
      <c r="AL6743">
        <v>78.819399475380607</v>
      </c>
      <c r="AM6743">
        <v>95.950014674985496</v>
      </c>
      <c r="AN6743">
        <v>0.99999998108501897</v>
      </c>
    </row>
    <row r="6744" spans="1:40" x14ac:dyDescent="0.25">
      <c r="A6744" t="str">
        <f>"20190304155236274"</f>
        <v>20190304155236274</v>
      </c>
      <c r="B6744" t="str">
        <f>"1551685956263057"</f>
        <v>1551685956263057</v>
      </c>
      <c r="C6744" t="s">
        <v>40</v>
      </c>
      <c r="D6744">
        <v>5.012689</v>
      </c>
      <c r="E6744">
        <v>0.52610800000000002</v>
      </c>
      <c r="F6744" t="s">
        <v>77</v>
      </c>
      <c r="G6744">
        <v>-206.20679999999999</v>
      </c>
      <c r="H6744" s="1">
        <v>-2.6013610000000002E-6</v>
      </c>
      <c r="I6744">
        <v>-61.954650000000001</v>
      </c>
      <c r="J6744">
        <v>-246.67080000000001</v>
      </c>
      <c r="K6744">
        <v>1.110077</v>
      </c>
      <c r="L6744">
        <v>-63.04739</v>
      </c>
      <c r="M6744">
        <v>0.99993900000000002</v>
      </c>
      <c r="N6744">
        <v>-9.8550430000000008E-3</v>
      </c>
      <c r="O6744">
        <v>-5.0361440000000002E-3</v>
      </c>
      <c r="P6744">
        <v>0.97801559999999998</v>
      </c>
      <c r="Q6744">
        <v>0.1847377</v>
      </c>
      <c r="R6744">
        <v>9.6735630000000003E-2</v>
      </c>
      <c r="S6744">
        <v>3.0748600000000001</v>
      </c>
      <c r="T6744">
        <v>-8.4044579999999994E-2</v>
      </c>
      <c r="U6744">
        <v>8.2672120000000002E-2</v>
      </c>
      <c r="V6744">
        <v>-0.1016527</v>
      </c>
      <c r="W6744">
        <v>0.19436619999999999</v>
      </c>
      <c r="X6744">
        <v>0.97564770000000001</v>
      </c>
      <c r="Y6744">
        <v>-3.1894020000000002E-2</v>
      </c>
      <c r="Z6744">
        <v>6.8093339999999905E-4</v>
      </c>
      <c r="AA6744">
        <v>0.99949100000000002</v>
      </c>
      <c r="AB6744">
        <v>28</v>
      </c>
      <c r="AC6744">
        <v>40.463999999999999</v>
      </c>
      <c r="AD6744">
        <v>-1.1100796013609999</v>
      </c>
      <c r="AE6744">
        <v>1.0927399999999901</v>
      </c>
      <c r="AF6744">
        <v>-1.2955441883950101</v>
      </c>
      <c r="AG6744">
        <v>-1.1100796013609999</v>
      </c>
      <c r="AH6744">
        <v>40.427579274343898</v>
      </c>
      <c r="AI6744">
        <v>91.572052812784193</v>
      </c>
      <c r="AJ6744">
        <v>91.835475219296598</v>
      </c>
      <c r="AK6744">
        <v>40.463562342542197</v>
      </c>
      <c r="AL6744">
        <v>78.792298431557001</v>
      </c>
      <c r="AM6744">
        <v>95.948183634440298</v>
      </c>
      <c r="AN6744">
        <v>0.99999996281750902</v>
      </c>
    </row>
    <row r="6745" spans="1:40" x14ac:dyDescent="0.25">
      <c r="A6745" t="str">
        <f>"20190304155236285"</f>
        <v>20190304155236285</v>
      </c>
      <c r="B6745" t="str">
        <f>"1551685956273794"</f>
        <v>1551685956273794</v>
      </c>
      <c r="C6745" t="s">
        <v>40</v>
      </c>
      <c r="D6745">
        <v>4.9256070000000003</v>
      </c>
      <c r="E6745">
        <v>0.52610210000000002</v>
      </c>
      <c r="F6745" t="s">
        <v>77</v>
      </c>
      <c r="G6745">
        <v>-205.87729999999999</v>
      </c>
      <c r="H6745" s="1">
        <v>-2.810891E-6</v>
      </c>
      <c r="I6745">
        <v>-61.95514</v>
      </c>
      <c r="J6745">
        <v>-246.5325</v>
      </c>
      <c r="K6745">
        <v>1.110082</v>
      </c>
      <c r="L6745">
        <v>-63.048070000000003</v>
      </c>
      <c r="M6745">
        <v>0.99993849999999995</v>
      </c>
      <c r="N6745">
        <v>-9.8925179999999995E-3</v>
      </c>
      <c r="O6745">
        <v>-5.0359699999999999E-3</v>
      </c>
      <c r="P6745">
        <v>0.9779388</v>
      </c>
      <c r="Q6745">
        <v>0.18525649999999999</v>
      </c>
      <c r="R6745">
        <v>9.6517500000000006E-2</v>
      </c>
      <c r="S6745">
        <v>3.0751040000000001</v>
      </c>
      <c r="T6745">
        <v>-8.3680149999999995E-2</v>
      </c>
      <c r="U6745">
        <v>8.2336430000000002E-2</v>
      </c>
      <c r="V6745">
        <v>-0.1014338</v>
      </c>
      <c r="W6745">
        <v>0.1949205</v>
      </c>
      <c r="X6745">
        <v>0.97555990000000004</v>
      </c>
      <c r="Y6745">
        <v>-3.1782869999999998E-2</v>
      </c>
      <c r="Z6745">
        <v>6.7674759999999999E-4</v>
      </c>
      <c r="AA6745">
        <v>0.99949460000000001</v>
      </c>
      <c r="AB6745">
        <v>28</v>
      </c>
      <c r="AC6745">
        <v>40.655200000000001</v>
      </c>
      <c r="AD6745">
        <v>-1.110084810891</v>
      </c>
      <c r="AE6745">
        <v>1.09292999999999</v>
      </c>
      <c r="AF6745">
        <v>-1.2966984399800601</v>
      </c>
      <c r="AG6745">
        <v>-1.110084810891</v>
      </c>
      <c r="AH6745">
        <v>40.618918389106298</v>
      </c>
      <c r="AI6745">
        <v>91.564664666976796</v>
      </c>
      <c r="AJ6745">
        <v>91.828461413782193</v>
      </c>
      <c r="AK6745">
        <v>40.654769046601402</v>
      </c>
      <c r="AL6745">
        <v>78.759920170937406</v>
      </c>
      <c r="AM6745">
        <v>95.935996669222405</v>
      </c>
      <c r="AN6745">
        <v>0.99999996779534905</v>
      </c>
    </row>
    <row r="6746" spans="1:40" x14ac:dyDescent="0.25">
      <c r="A6746" t="str">
        <f>"20190304155236296"</f>
        <v>20190304155236296</v>
      </c>
      <c r="B6746" t="str">
        <f>"1551685956293312"</f>
        <v>1551685956293312</v>
      </c>
      <c r="C6746" t="s">
        <v>40</v>
      </c>
      <c r="D6746">
        <v>4.8869980000000002</v>
      </c>
      <c r="E6746">
        <v>0.52591730000000003</v>
      </c>
      <c r="F6746" t="s">
        <v>77</v>
      </c>
      <c r="G6746">
        <v>-204.97380000000001</v>
      </c>
      <c r="H6746" s="1">
        <v>-3.3830090000000001E-6</v>
      </c>
      <c r="I6746">
        <v>-61.939450000000001</v>
      </c>
      <c r="J6746">
        <v>-246.39680000000001</v>
      </c>
      <c r="K6746">
        <v>1.1100920000000001</v>
      </c>
      <c r="L6746">
        <v>-63.048769999999998</v>
      </c>
      <c r="M6746">
        <v>0.99993810000000005</v>
      </c>
      <c r="N6746">
        <v>-9.9268619999999998E-3</v>
      </c>
      <c r="O6746">
        <v>-5.0357819999999999E-3</v>
      </c>
      <c r="P6746">
        <v>0.97784579999999999</v>
      </c>
      <c r="Q6746">
        <v>0.18572810000000001</v>
      </c>
      <c r="R6746">
        <v>9.6554699999999993E-2</v>
      </c>
      <c r="S6746">
        <v>3.0751499999999998</v>
      </c>
      <c r="T6746">
        <v>-8.2141039999999998E-2</v>
      </c>
      <c r="U6746">
        <v>8.203125E-2</v>
      </c>
      <c r="V6746">
        <v>-0.1014704</v>
      </c>
      <c r="W6746">
        <v>0.1954246</v>
      </c>
      <c r="X6746">
        <v>0.97545530000000003</v>
      </c>
      <c r="Y6746">
        <v>-3.1683749999999997E-2</v>
      </c>
      <c r="Z6746">
        <v>6.6482599999999998E-4</v>
      </c>
      <c r="AA6746">
        <v>0.99949770000000004</v>
      </c>
      <c r="AB6746">
        <v>28</v>
      </c>
      <c r="AC6746">
        <v>41.423000000000002</v>
      </c>
      <c r="AD6746">
        <v>-1.1100953830089999</v>
      </c>
      <c r="AE6746">
        <v>1.1093199999999901</v>
      </c>
      <c r="AF6746">
        <v>-1.31696824671015</v>
      </c>
      <c r="AG6746">
        <v>-1.1100953830089999</v>
      </c>
      <c r="AH6746">
        <v>41.387185717707403</v>
      </c>
      <c r="AI6746">
        <v>91.5356535924616</v>
      </c>
      <c r="AJ6746">
        <v>91.822575476060194</v>
      </c>
      <c r="AK6746">
        <v>41.423011222679399</v>
      </c>
      <c r="AL6746">
        <v>78.730471730911304</v>
      </c>
      <c r="AM6746">
        <v>95.938755438174297</v>
      </c>
      <c r="AN6746">
        <v>1.0000000293297</v>
      </c>
    </row>
    <row r="6747" spans="1:40" x14ac:dyDescent="0.25">
      <c r="A6747" t="str">
        <f>"20190304155236306"</f>
        <v>20190304155236306</v>
      </c>
      <c r="B6747" t="str">
        <f>"1551685956303073"</f>
        <v>1551685956303073</v>
      </c>
      <c r="C6747" t="s">
        <v>40</v>
      </c>
      <c r="D6747">
        <v>4.925414</v>
      </c>
      <c r="E6747">
        <v>0.52588449999999998</v>
      </c>
      <c r="F6747" t="s">
        <v>77</v>
      </c>
      <c r="G6747">
        <v>-204.6224</v>
      </c>
      <c r="H6747" s="1">
        <v>-3.505441E-6</v>
      </c>
      <c r="I6747">
        <v>-61.909559999999999</v>
      </c>
      <c r="J6747">
        <v>-246.24870000000001</v>
      </c>
      <c r="K6747">
        <v>1.1100969999999999</v>
      </c>
      <c r="L6747">
        <v>-63.049500000000002</v>
      </c>
      <c r="M6747">
        <v>0.99993779999999999</v>
      </c>
      <c r="N6747">
        <v>-9.9635959999999999E-3</v>
      </c>
      <c r="O6747">
        <v>-5.0356059999999998E-3</v>
      </c>
      <c r="P6747">
        <v>0.97785330000000004</v>
      </c>
      <c r="Q6747">
        <v>0.18580949999999999</v>
      </c>
      <c r="R6747">
        <v>9.6321180000000006E-2</v>
      </c>
      <c r="S6747">
        <v>3.0751949999999999</v>
      </c>
      <c r="T6747">
        <v>-8.1719040000000007E-2</v>
      </c>
      <c r="U6747">
        <v>8.3862300000000001E-2</v>
      </c>
      <c r="V6747">
        <v>-0.1012368</v>
      </c>
      <c r="W6747">
        <v>0.19554250000000001</v>
      </c>
      <c r="X6747">
        <v>0.97545590000000004</v>
      </c>
      <c r="Y6747">
        <v>-3.2277710000000001E-2</v>
      </c>
      <c r="Z6747">
        <v>6.7319549999999998E-4</v>
      </c>
      <c r="AA6747">
        <v>0.99947870000000005</v>
      </c>
      <c r="AB6747">
        <v>29</v>
      </c>
      <c r="AC6747">
        <v>41.626300000000001</v>
      </c>
      <c r="AD6747">
        <v>-1.11010050544099</v>
      </c>
      <c r="AE6747">
        <v>1.13994</v>
      </c>
      <c r="AF6747">
        <v>-1.3485911791162799</v>
      </c>
      <c r="AG6747">
        <v>-1.11010050544099</v>
      </c>
      <c r="AH6747">
        <v>41.590474814206203</v>
      </c>
      <c r="AI6747">
        <v>91.528128479300804</v>
      </c>
      <c r="AJ6747">
        <v>91.857192539867498</v>
      </c>
      <c r="AK6747">
        <v>41.6271379819907</v>
      </c>
      <c r="AL6747">
        <v>78.723583171150494</v>
      </c>
      <c r="AM6747">
        <v>95.925177296669006</v>
      </c>
      <c r="AN6747">
        <v>0.99999998591265005</v>
      </c>
    </row>
    <row r="6748" spans="1:40" x14ac:dyDescent="0.25">
      <c r="A6748" t="str">
        <f>"20190304155236319"</f>
        <v>20190304155236319</v>
      </c>
      <c r="B6748" t="str">
        <f>"1551685956313809"</f>
        <v>1551685956313809</v>
      </c>
      <c r="C6748" t="s">
        <v>40</v>
      </c>
      <c r="D6748">
        <v>4.8872030000000004</v>
      </c>
      <c r="E6748">
        <v>0.52592519999999998</v>
      </c>
      <c r="F6748" t="s">
        <v>77</v>
      </c>
      <c r="G6748">
        <v>-204.4049</v>
      </c>
      <c r="H6748" s="1">
        <v>-3.5813159999999999E-6</v>
      </c>
      <c r="I6748">
        <v>-61.912140000000001</v>
      </c>
      <c r="J6748">
        <v>-246.10050000000001</v>
      </c>
      <c r="K6748">
        <v>1.1101000000000001</v>
      </c>
      <c r="L6748">
        <v>-63.050260000000002</v>
      </c>
      <c r="M6748">
        <v>0.99993739999999998</v>
      </c>
      <c r="N6748">
        <v>-9.9997479999999993E-3</v>
      </c>
      <c r="O6748">
        <v>-5.0354279999999998E-3</v>
      </c>
      <c r="P6748">
        <v>0.97776010000000002</v>
      </c>
      <c r="Q6748">
        <v>0.1864432</v>
      </c>
      <c r="R6748">
        <v>9.6042879999999997E-2</v>
      </c>
      <c r="S6748">
        <v>3.0751949999999999</v>
      </c>
      <c r="T6748">
        <v>-8.1583859999999994E-2</v>
      </c>
      <c r="U6748">
        <v>8.3587649999999999E-2</v>
      </c>
      <c r="V6748">
        <v>-0.10095800000000001</v>
      </c>
      <c r="W6748">
        <v>0.1962102</v>
      </c>
      <c r="X6748">
        <v>0.97535070000000001</v>
      </c>
      <c r="Y6748">
        <v>-3.2188410000000001E-2</v>
      </c>
      <c r="Z6748">
        <v>6.7103360000000001E-4</v>
      </c>
      <c r="AA6748">
        <v>0.99948159999999997</v>
      </c>
      <c r="AB6748">
        <v>29</v>
      </c>
      <c r="AC6748">
        <v>41.695599999999999</v>
      </c>
      <c r="AD6748">
        <v>-1.1101035813160001</v>
      </c>
      <c r="AE6748">
        <v>1.13811999999999</v>
      </c>
      <c r="AF6748">
        <v>-1.34711706729322</v>
      </c>
      <c r="AG6748">
        <v>-1.1101035813160001</v>
      </c>
      <c r="AH6748">
        <v>41.6598320726483</v>
      </c>
      <c r="AI6748">
        <v>91.525594215203895</v>
      </c>
      <c r="AJ6748">
        <v>91.852077495966498</v>
      </c>
      <c r="AK6748">
        <v>41.696386686084701</v>
      </c>
      <c r="AL6748">
        <v>78.684570923995906</v>
      </c>
      <c r="AM6748">
        <v>95.909608156420106</v>
      </c>
      <c r="AN6748">
        <v>0.99999997416926401</v>
      </c>
    </row>
    <row r="6749" spans="1:40" x14ac:dyDescent="0.25">
      <c r="A6749" t="str">
        <f>"20190304155236331"</f>
        <v>20190304155236331</v>
      </c>
      <c r="B6749" t="str">
        <f>"1551685956323570"</f>
        <v>1551685956323570</v>
      </c>
      <c r="C6749" t="s">
        <v>40</v>
      </c>
      <c r="D6749">
        <v>4.8876359999999996</v>
      </c>
      <c r="E6749">
        <v>0.52590019999999904</v>
      </c>
      <c r="F6749" t="s">
        <v>77</v>
      </c>
      <c r="G6749">
        <v>-204.36660000000001</v>
      </c>
      <c r="H6749" s="1">
        <v>-3.597343E-6</v>
      </c>
      <c r="I6749">
        <v>-61.931840000000001</v>
      </c>
      <c r="J6749">
        <v>-245.95599999999999</v>
      </c>
      <c r="K6749">
        <v>1.1101049999999999</v>
      </c>
      <c r="L6749">
        <v>-63.050989999999999</v>
      </c>
      <c r="M6749">
        <v>0.99993710000000002</v>
      </c>
      <c r="N6749">
        <v>-1.003537E-2</v>
      </c>
      <c r="O6749">
        <v>-5.0352490000000003E-3</v>
      </c>
      <c r="P6749">
        <v>0.97774779999999994</v>
      </c>
      <c r="Q6749">
        <v>0.18665039999999999</v>
      </c>
      <c r="R6749">
        <v>9.5766309999999993E-2</v>
      </c>
      <c r="S6749">
        <v>3.0757599999999998</v>
      </c>
      <c r="T6749">
        <v>-8.1813930000000007E-2</v>
      </c>
      <c r="U6749">
        <v>8.2427979999999998E-2</v>
      </c>
      <c r="V6749">
        <v>-0.1006814</v>
      </c>
      <c r="W6749">
        <v>0.19645190000000001</v>
      </c>
      <c r="X6749">
        <v>0.97533069999999999</v>
      </c>
      <c r="Y6749">
        <v>-3.1806790000000001E-2</v>
      </c>
      <c r="Z6749">
        <v>6.6591399999999998E-4</v>
      </c>
      <c r="AA6749">
        <v>0.99949379999999999</v>
      </c>
      <c r="AB6749">
        <v>29</v>
      </c>
      <c r="AC6749">
        <v>41.589399999999898</v>
      </c>
      <c r="AD6749">
        <v>-1.1101085973429901</v>
      </c>
      <c r="AE6749">
        <v>1.1191500000000001</v>
      </c>
      <c r="AF6749">
        <v>-1.3276141149856699</v>
      </c>
      <c r="AG6749">
        <v>-1.1101085973429901</v>
      </c>
      <c r="AH6749">
        <v>41.553652995355698</v>
      </c>
      <c r="AI6749">
        <v>91.529516498812299</v>
      </c>
      <c r="AJ6749">
        <v>91.829943071838898</v>
      </c>
      <c r="AK6749">
        <v>41.5896739298908</v>
      </c>
      <c r="AL6749">
        <v>78.670448347072494</v>
      </c>
      <c r="AM6749">
        <v>95.893651408332005</v>
      </c>
      <c r="AN6749">
        <v>1.00000003384102</v>
      </c>
    </row>
    <row r="6750" spans="1:40" x14ac:dyDescent="0.25">
      <c r="A6750" t="str">
        <f>"20190304155236343"</f>
        <v>20190304155236343</v>
      </c>
      <c r="B6750" t="str">
        <f>"1551685956333328"</f>
        <v>1551685956333328</v>
      </c>
      <c r="C6750" t="s">
        <v>40</v>
      </c>
      <c r="D6750">
        <v>4.8803369999999999</v>
      </c>
      <c r="E6750">
        <v>0.52590309999999996</v>
      </c>
      <c r="F6750" t="s">
        <v>77</v>
      </c>
      <c r="G6750">
        <v>-203.95179999999999</v>
      </c>
      <c r="H6750" s="1">
        <v>-3.7789459999999999E-6</v>
      </c>
      <c r="I6750">
        <v>-61.931130000000003</v>
      </c>
      <c r="J6750">
        <v>-245.7971</v>
      </c>
      <c r="K6750">
        <v>1.110109</v>
      </c>
      <c r="L6750">
        <v>-63.051789999999997</v>
      </c>
      <c r="M6750">
        <v>0.99993659999999995</v>
      </c>
      <c r="N6750">
        <v>-1.0075860000000001E-2</v>
      </c>
      <c r="O6750">
        <v>-5.035215E-3</v>
      </c>
      <c r="P6750">
        <v>0.97775919999999905</v>
      </c>
      <c r="Q6750">
        <v>0.18675340000000001</v>
      </c>
      <c r="R6750">
        <v>9.5447969999999993E-2</v>
      </c>
      <c r="S6750">
        <v>3.0757750000000001</v>
      </c>
      <c r="T6750">
        <v>-8.1288100000000002E-2</v>
      </c>
      <c r="U6750">
        <v>8.2000729999999994E-2</v>
      </c>
      <c r="V6750">
        <v>-0.1003631</v>
      </c>
      <c r="W6750">
        <v>0.19659450000000001</v>
      </c>
      <c r="X6750">
        <v>0.97533479999999995</v>
      </c>
      <c r="Y6750">
        <v>-3.1668130000000003E-2</v>
      </c>
      <c r="Z6750">
        <v>6.6024369999999897E-4</v>
      </c>
      <c r="AA6750">
        <v>0.9994982</v>
      </c>
      <c r="AB6750">
        <v>29</v>
      </c>
      <c r="AC6750">
        <v>41.845300000000002</v>
      </c>
      <c r="AD6750">
        <v>-1.1101127789459999</v>
      </c>
      <c r="AE6750">
        <v>1.12066</v>
      </c>
      <c r="AF6750">
        <v>-1.3304209012599999</v>
      </c>
      <c r="AG6750">
        <v>-1.1101127789459999</v>
      </c>
      <c r="AH6750">
        <v>41.809722410229199</v>
      </c>
      <c r="AI6750">
        <v>91.520165117941602</v>
      </c>
      <c r="AJ6750">
        <v>91.822585402953294</v>
      </c>
      <c r="AK6750">
        <v>41.8456121735232</v>
      </c>
      <c r="AL6750">
        <v>78.662115779587594</v>
      </c>
      <c r="AM6750">
        <v>95.875124892429994</v>
      </c>
      <c r="AN6750">
        <v>1.0000000606814401</v>
      </c>
    </row>
    <row r="6751" spans="1:40" x14ac:dyDescent="0.25">
      <c r="A6751" t="str">
        <f>"20190304155236354"</f>
        <v>20190304155236354</v>
      </c>
      <c r="B6751" t="str">
        <f>"1551685956343089"</f>
        <v>1551685956343089</v>
      </c>
      <c r="C6751" t="s">
        <v>40</v>
      </c>
      <c r="D6751">
        <v>4.8988709999999998</v>
      </c>
      <c r="E6751">
        <v>0.52590749999999997</v>
      </c>
      <c r="F6751" t="s">
        <v>77</v>
      </c>
      <c r="G6751">
        <v>-203.65020000000001</v>
      </c>
      <c r="H6751" s="1">
        <v>-3.9332090000000003E-6</v>
      </c>
      <c r="I6751">
        <v>-61.941099999999999</v>
      </c>
      <c r="J6751">
        <v>-245.6439</v>
      </c>
      <c r="K6751">
        <v>1.1101110000000001</v>
      </c>
      <c r="L6751">
        <v>-63.052549999999997</v>
      </c>
      <c r="M6751">
        <v>0.9999363</v>
      </c>
      <c r="N6751">
        <v>-1.011455E-2</v>
      </c>
      <c r="O6751">
        <v>-5.0350530000000003E-3</v>
      </c>
      <c r="P6751">
        <v>0.97774019999999995</v>
      </c>
      <c r="Q6751">
        <v>0.18694939999999999</v>
      </c>
      <c r="R6751">
        <v>9.5258720000000005E-2</v>
      </c>
      <c r="S6751">
        <v>3.07579</v>
      </c>
      <c r="T6751">
        <v>-8.1013680000000005E-2</v>
      </c>
      <c r="U6751">
        <v>8.1054689999999999E-2</v>
      </c>
      <c r="V6751">
        <v>-0.1001732</v>
      </c>
      <c r="W6751">
        <v>0.19682830000000001</v>
      </c>
      <c r="X6751">
        <v>0.97530709999999998</v>
      </c>
      <c r="Y6751">
        <v>-3.1360850000000003E-2</v>
      </c>
      <c r="Z6751">
        <v>6.5319680000000004E-4</v>
      </c>
      <c r="AA6751">
        <v>0.9995079</v>
      </c>
      <c r="AB6751">
        <v>29</v>
      </c>
      <c r="AC6751">
        <v>41.993699999999897</v>
      </c>
      <c r="AD6751">
        <v>-1.1101149332089999</v>
      </c>
      <c r="AE6751">
        <v>1.1114499999999901</v>
      </c>
      <c r="AF6751">
        <v>-1.321964030927</v>
      </c>
      <c r="AG6751">
        <v>-1.1101149332089999</v>
      </c>
      <c r="AH6751">
        <v>41.958270233054698</v>
      </c>
      <c r="AI6751">
        <v>91.514803669132107</v>
      </c>
      <c r="AJ6751">
        <v>91.804600418294896</v>
      </c>
      <c r="AK6751">
        <v>41.993766025614399</v>
      </c>
      <c r="AL6751">
        <v>78.648452316244402</v>
      </c>
      <c r="AM6751">
        <v>95.864251321904405</v>
      </c>
      <c r="AN6751">
        <v>0.99999999449476995</v>
      </c>
    </row>
    <row r="6752" spans="1:40" x14ac:dyDescent="0.25">
      <c r="A6752" t="str">
        <f>"20190304155236366"</f>
        <v>20190304155236366</v>
      </c>
      <c r="B6752" t="str">
        <f>"1551685956363585"</f>
        <v>1551685956363585</v>
      </c>
      <c r="C6752" t="s">
        <v>40</v>
      </c>
      <c r="D6752">
        <v>4.8521190000000001</v>
      </c>
      <c r="E6752">
        <v>0.52598990000000001</v>
      </c>
      <c r="F6752" t="s">
        <v>77</v>
      </c>
      <c r="G6752">
        <v>-203.0932</v>
      </c>
      <c r="H6752" s="1">
        <v>-4.2169539999999996E-6</v>
      </c>
      <c r="I6752">
        <v>-61.939660000000003</v>
      </c>
      <c r="J6752">
        <v>-245.4888</v>
      </c>
      <c r="K6752">
        <v>1.1101080000000001</v>
      </c>
      <c r="L6752">
        <v>-63.053310000000003</v>
      </c>
      <c r="M6752">
        <v>0.99993589999999999</v>
      </c>
      <c r="N6752">
        <v>-1.015346E-2</v>
      </c>
      <c r="O6752">
        <v>-5.0347739999999997E-3</v>
      </c>
      <c r="P6752">
        <v>0.97776430000000003</v>
      </c>
      <c r="Q6752">
        <v>0.18701019999999999</v>
      </c>
      <c r="R6752">
        <v>9.4891080000000003E-2</v>
      </c>
      <c r="S6752">
        <v>3.075806</v>
      </c>
      <c r="T6752">
        <v>-8.0245380000000005E-2</v>
      </c>
      <c r="U6752">
        <v>8.0444340000000003E-2</v>
      </c>
      <c r="V6752">
        <v>-9.9805679999999994E-2</v>
      </c>
      <c r="W6752">
        <v>0.1969274</v>
      </c>
      <c r="X6752">
        <v>0.97532479999999999</v>
      </c>
      <c r="Y6752">
        <v>-3.1162579999999999E-2</v>
      </c>
      <c r="Z6752">
        <v>6.4484099999999995E-4</v>
      </c>
      <c r="AA6752">
        <v>0.99951409999999996</v>
      </c>
      <c r="AB6752">
        <v>29</v>
      </c>
      <c r="AC6752">
        <v>42.395600000000002</v>
      </c>
      <c r="AD6752">
        <v>-1.1101122169540001</v>
      </c>
      <c r="AE6752">
        <v>1.11364999999999</v>
      </c>
      <c r="AF6752">
        <v>-1.3261904714518999</v>
      </c>
      <c r="AG6752">
        <v>-1.1101122169540001</v>
      </c>
      <c r="AH6752">
        <v>42.360431619708699</v>
      </c>
      <c r="AI6752">
        <v>91.500434745130406</v>
      </c>
      <c r="AJ6752">
        <v>91.793190083545497</v>
      </c>
      <c r="AK6752">
        <v>42.395722629869397</v>
      </c>
      <c r="AL6752">
        <v>78.642661250355005</v>
      </c>
      <c r="AM6752">
        <v>95.842780111339806</v>
      </c>
      <c r="AN6752">
        <v>1.0000000200630299</v>
      </c>
    </row>
    <row r="6753" spans="1:40" x14ac:dyDescent="0.25">
      <c r="A6753" t="str">
        <f>"20190304155236377"</f>
        <v>20190304155236377</v>
      </c>
      <c r="B6753" t="str">
        <f>"1551685956373345"</f>
        <v>1551685956373345</v>
      </c>
      <c r="C6753" t="s">
        <v>40</v>
      </c>
      <c r="D6753">
        <v>4.8876580000000001</v>
      </c>
      <c r="E6753">
        <v>0.52598990000000001</v>
      </c>
      <c r="F6753" t="s">
        <v>77</v>
      </c>
      <c r="G6753">
        <v>-203.08349999999999</v>
      </c>
      <c r="H6753" s="1">
        <v>-4.2235159999999999E-6</v>
      </c>
      <c r="I6753">
        <v>-61.968319999999999</v>
      </c>
      <c r="J6753">
        <v>-245.3596</v>
      </c>
      <c r="K6753">
        <v>1.1101129999999999</v>
      </c>
      <c r="L6753">
        <v>-63.053989999999999</v>
      </c>
      <c r="M6753">
        <v>0.99993549999999998</v>
      </c>
      <c r="N6753">
        <v>-1.0185710000000001E-2</v>
      </c>
      <c r="O6753">
        <v>-5.0346990000000001E-3</v>
      </c>
      <c r="P6753">
        <v>0.97781459999999998</v>
      </c>
      <c r="Q6753">
        <v>0.18685889999999999</v>
      </c>
      <c r="R6753">
        <v>9.4670760000000007E-2</v>
      </c>
      <c r="S6753">
        <v>3.0760190000000001</v>
      </c>
      <c r="T6753">
        <v>-8.0525990000000006E-2</v>
      </c>
      <c r="U6753">
        <v>7.8704830000000003E-2</v>
      </c>
      <c r="V6753">
        <v>-9.9585350000000003E-2</v>
      </c>
      <c r="W6753">
        <v>0.1968077</v>
      </c>
      <c r="X6753">
        <v>0.97537149999999995</v>
      </c>
      <c r="Y6753">
        <v>-3.059601E-2</v>
      </c>
      <c r="Z6753">
        <v>6.3672459999999996E-4</v>
      </c>
      <c r="AA6753">
        <v>0.99953159999999996</v>
      </c>
      <c r="AB6753">
        <v>29</v>
      </c>
      <c r="AC6753">
        <v>42.2761</v>
      </c>
      <c r="AD6753">
        <v>-1.110117223516</v>
      </c>
      <c r="AE6753">
        <v>1.0856699999999999</v>
      </c>
      <c r="AF6753">
        <v>-1.2976205607472999</v>
      </c>
      <c r="AG6753">
        <v>-1.110117223516</v>
      </c>
      <c r="AH6753">
        <v>42.240990946444299</v>
      </c>
      <c r="AI6753">
        <v>91.504709603912801</v>
      </c>
      <c r="AJ6753">
        <v>91.759542236343407</v>
      </c>
      <c r="AK6753">
        <v>42.275495213033402</v>
      </c>
      <c r="AL6753">
        <v>78.649656655159305</v>
      </c>
      <c r="AM6753">
        <v>95.829693380468001</v>
      </c>
      <c r="AN6753">
        <v>1.00000003786308</v>
      </c>
    </row>
    <row r="6754" spans="1:40" x14ac:dyDescent="0.25">
      <c r="A6754" t="str">
        <f>"20190304155236387"</f>
        <v>20190304155236387</v>
      </c>
      <c r="B6754" t="str">
        <f>"1551685956383106"</f>
        <v>1551685956383106</v>
      </c>
      <c r="C6754" t="s">
        <v>40</v>
      </c>
      <c r="D6754">
        <v>5.1574260000000001</v>
      </c>
      <c r="E6754">
        <v>0.55225709999999995</v>
      </c>
      <c r="F6754" t="s">
        <v>77</v>
      </c>
      <c r="G6754">
        <v>-203.2441</v>
      </c>
      <c r="H6754" s="1">
        <v>-4.1425130000000003E-6</v>
      </c>
      <c r="I6754">
        <v>-61.98265</v>
      </c>
      <c r="J6754">
        <v>-245.22790000000001</v>
      </c>
      <c r="K6754">
        <v>1.110115</v>
      </c>
      <c r="L6754">
        <v>-63.054659999999998</v>
      </c>
      <c r="M6754">
        <v>0.99993520000000002</v>
      </c>
      <c r="N6754">
        <v>-1.021853E-2</v>
      </c>
      <c r="O6754">
        <v>-5.0345090000000004E-3</v>
      </c>
      <c r="P6754">
        <v>0.9778403</v>
      </c>
      <c r="Q6754">
        <v>0.18695580000000001</v>
      </c>
      <c r="R6754">
        <v>9.4210970000000005E-2</v>
      </c>
      <c r="S6754">
        <v>3.0759889999999999</v>
      </c>
      <c r="T6754">
        <v>-8.1079719999999994E-2</v>
      </c>
      <c r="U6754">
        <v>7.8247070000000002E-2</v>
      </c>
      <c r="V6754">
        <v>-9.9125530000000003E-2</v>
      </c>
      <c r="W6754">
        <v>0.19693720000000001</v>
      </c>
      <c r="X6754">
        <v>0.97539219999999904</v>
      </c>
      <c r="Y6754">
        <v>-3.0447289999999998E-2</v>
      </c>
      <c r="Z6754">
        <v>6.3800360000000004E-4</v>
      </c>
      <c r="AA6754">
        <v>0.99953619999999999</v>
      </c>
      <c r="AB6754">
        <v>29</v>
      </c>
      <c r="AC6754">
        <v>41.983800000000002</v>
      </c>
      <c r="AD6754">
        <v>-1.1101191425129999</v>
      </c>
      <c r="AE6754">
        <v>1.0720099999999899</v>
      </c>
      <c r="AF6754">
        <v>-1.28247917797166</v>
      </c>
      <c r="AG6754">
        <v>-1.1101191425129999</v>
      </c>
      <c r="AH6754">
        <v>41.948560962005899</v>
      </c>
      <c r="AI6754">
        <v>91.515203722265696</v>
      </c>
      <c r="AJ6754">
        <v>91.751139050777795</v>
      </c>
      <c r="AK6754">
        <v>41.982840353359101</v>
      </c>
      <c r="AL6754">
        <v>78.642088738513195</v>
      </c>
      <c r="AM6754">
        <v>95.802837480374095</v>
      </c>
      <c r="AN6754">
        <v>1.0000000376312199</v>
      </c>
    </row>
    <row r="6755" spans="1:40" x14ac:dyDescent="0.25">
      <c r="A6755" t="str">
        <f>"20190304155236398"</f>
        <v>20190304155236398</v>
      </c>
      <c r="B6755" t="str">
        <f>"1551685956393842"</f>
        <v>1551685956393842</v>
      </c>
      <c r="C6755" t="s">
        <v>40</v>
      </c>
      <c r="D6755">
        <v>4.8747389999999999</v>
      </c>
      <c r="E6755">
        <v>0.56426359999999998</v>
      </c>
      <c r="F6755" t="s">
        <v>108</v>
      </c>
      <c r="G6755">
        <v>-168.45060000000001</v>
      </c>
      <c r="H6755">
        <v>0.8400822</v>
      </c>
      <c r="I6755">
        <v>-66.335070000000002</v>
      </c>
      <c r="J6755">
        <v>-245.09540000000001</v>
      </c>
      <c r="K6755">
        <v>1.1101219999999901</v>
      </c>
      <c r="L6755">
        <v>-63.055329999999998</v>
      </c>
      <c r="M6755">
        <v>0.99993480000000001</v>
      </c>
      <c r="N6755">
        <v>-1.025306E-2</v>
      </c>
      <c r="O6755">
        <v>-5.0345659999999999E-3</v>
      </c>
      <c r="P6755">
        <v>0.97783980000000004</v>
      </c>
      <c r="Q6755">
        <v>0.18703710000000001</v>
      </c>
      <c r="R6755">
        <v>9.4055860000000005E-2</v>
      </c>
      <c r="S6755">
        <v>3.0827330000000002</v>
      </c>
      <c r="T6755">
        <v>-1.084304E-2</v>
      </c>
      <c r="U6755">
        <v>-0.13171389999999999</v>
      </c>
      <c r="V6755">
        <v>-9.8970169999999996E-2</v>
      </c>
      <c r="W6755">
        <v>0.19705220000000001</v>
      </c>
      <c r="X6755">
        <v>0.97538469999999999</v>
      </c>
      <c r="Y6755">
        <v>3.7655800000000003E-2</v>
      </c>
      <c r="Z6755">
        <v>-2.9323259999999997E-4</v>
      </c>
      <c r="AA6755">
        <v>0.99929069999999998</v>
      </c>
      <c r="AB6755">
        <v>29</v>
      </c>
      <c r="AC6755">
        <v>76.644800000000004</v>
      </c>
      <c r="AD6755">
        <v>-0.270039799999999</v>
      </c>
      <c r="AE6755">
        <v>-3.2797399999999901</v>
      </c>
      <c r="AF6755">
        <v>2.89376900047924</v>
      </c>
      <c r="AG6755">
        <v>-0.270039799999999</v>
      </c>
      <c r="AH6755">
        <v>76.659391611223299</v>
      </c>
      <c r="AI6755">
        <v>90.201685207471897</v>
      </c>
      <c r="AJ6755">
        <v>87.838202700570804</v>
      </c>
      <c r="AK6755">
        <v>76.714465016218497</v>
      </c>
      <c r="AL6755">
        <v>78.635367463412393</v>
      </c>
      <c r="AM6755">
        <v>95.793848828109702</v>
      </c>
      <c r="AN6755">
        <v>0.99999998853437899</v>
      </c>
    </row>
    <row r="6756" spans="1:40" x14ac:dyDescent="0.25">
      <c r="A6756" t="str">
        <f>"20190304155236410"</f>
        <v>20190304155236410</v>
      </c>
      <c r="B6756" t="str">
        <f>"1551685956403602"</f>
        <v>1551685956403602</v>
      </c>
      <c r="C6756" t="s">
        <v>40</v>
      </c>
      <c r="D6756">
        <v>4.7127919999999897</v>
      </c>
      <c r="E6756">
        <v>0.57148489999999996</v>
      </c>
      <c r="F6756" t="s">
        <v>108</v>
      </c>
      <c r="G6756">
        <v>-157.93819999999999</v>
      </c>
      <c r="H6756">
        <v>1.1775230000000001</v>
      </c>
      <c r="I6756">
        <v>-69.468590000000006</v>
      </c>
      <c r="J6756">
        <v>-244.93430000000001</v>
      </c>
      <c r="K6756">
        <v>1.1101259999999999</v>
      </c>
      <c r="L6756">
        <v>-63.056150000000002</v>
      </c>
      <c r="M6756">
        <v>0.99993430000000005</v>
      </c>
      <c r="N6756">
        <v>-1.0294960000000001E-2</v>
      </c>
      <c r="O6756">
        <v>-5.0343030000000004E-3</v>
      </c>
      <c r="P6756">
        <v>0.97786280000000003</v>
      </c>
      <c r="Q6756">
        <v>0.1871341</v>
      </c>
      <c r="R6756">
        <v>9.3623049999999999E-2</v>
      </c>
      <c r="S6756">
        <v>3.0893860000000002</v>
      </c>
      <c r="T6756">
        <v>2.3883580000000001E-3</v>
      </c>
      <c r="U6756">
        <v>-0.22732540000000001</v>
      </c>
      <c r="V6756">
        <v>-9.8537150000000004E-2</v>
      </c>
      <c r="W6756">
        <v>0.19719010000000001</v>
      </c>
      <c r="X6756">
        <v>0.97540070000000001</v>
      </c>
      <c r="Y6756">
        <v>6.8362969999999995E-2</v>
      </c>
      <c r="Z6756">
        <v>-3.816394E-4</v>
      </c>
      <c r="AA6756">
        <v>0.99766049999999995</v>
      </c>
      <c r="AB6756">
        <v>29</v>
      </c>
      <c r="AC6756">
        <v>86.996099999999998</v>
      </c>
      <c r="AD6756">
        <v>6.7396999999999901E-2</v>
      </c>
      <c r="AE6756">
        <v>-6.4124400000000001</v>
      </c>
      <c r="AF6756">
        <v>5.9743672129754604</v>
      </c>
      <c r="AG6756">
        <v>6.7396999999999901E-2</v>
      </c>
      <c r="AH6756">
        <v>87.027229380608404</v>
      </c>
      <c r="AI6756">
        <v>89.955732295795102</v>
      </c>
      <c r="AJ6756">
        <v>86.072840520412299</v>
      </c>
      <c r="AK6756">
        <v>87.232082742624698</v>
      </c>
      <c r="AL6756">
        <v>78.627308557454</v>
      </c>
      <c r="AM6756">
        <v>95.768576593817599</v>
      </c>
      <c r="AN6756">
        <v>1.0000000155143101</v>
      </c>
    </row>
    <row r="6757" spans="1:40" x14ac:dyDescent="0.25">
      <c r="A6757" t="str">
        <f>"20190304155236422"</f>
        <v>20190304155236422</v>
      </c>
      <c r="B6757" t="str">
        <f>"1551685956413361"</f>
        <v>1551685956413361</v>
      </c>
      <c r="C6757" t="s">
        <v>40</v>
      </c>
      <c r="D6757">
        <v>4.8088059999999997</v>
      </c>
      <c r="E6757">
        <v>0.57766809999999902</v>
      </c>
      <c r="F6757" t="s">
        <v>108</v>
      </c>
      <c r="G6757">
        <v>-157.9383</v>
      </c>
      <c r="H6757">
        <v>1.7454799999999999</v>
      </c>
      <c r="I6757">
        <v>-71.102549999999994</v>
      </c>
      <c r="J6757">
        <v>-244.78309999999999</v>
      </c>
      <c r="K6757">
        <v>1.1101299999999901</v>
      </c>
      <c r="L6757">
        <v>-63.056919999999998</v>
      </c>
      <c r="M6757">
        <v>0.99993410000000005</v>
      </c>
      <c r="N6757">
        <v>-1.033391E-2</v>
      </c>
      <c r="O6757">
        <v>-5.0342649999999996E-3</v>
      </c>
      <c r="P6757">
        <v>0.97783819999999999</v>
      </c>
      <c r="Q6757">
        <v>0.18738460000000001</v>
      </c>
      <c r="R6757">
        <v>9.3378450000000002E-2</v>
      </c>
      <c r="S6757">
        <v>3.090973</v>
      </c>
      <c r="T6757">
        <v>2.2573470000000002E-2</v>
      </c>
      <c r="U6757">
        <v>-0.2858887</v>
      </c>
      <c r="V6757">
        <v>-9.8292740000000003E-2</v>
      </c>
      <c r="W6757">
        <v>0.19747809999999999</v>
      </c>
      <c r="X6757">
        <v>0.97536710000000004</v>
      </c>
      <c r="Y6757">
        <v>8.7085830000000003E-2</v>
      </c>
      <c r="Z6757">
        <v>-2.222227E-4</v>
      </c>
      <c r="AA6757">
        <v>0.9962008</v>
      </c>
      <c r="AB6757">
        <v>29</v>
      </c>
      <c r="AC6757">
        <v>86.844799999999907</v>
      </c>
      <c r="AD6757">
        <v>0.63534999999999997</v>
      </c>
      <c r="AE6757">
        <v>-8.0456299999999903</v>
      </c>
      <c r="AF6757">
        <v>7.6079012950554104</v>
      </c>
      <c r="AG6757">
        <v>0.63534999999999997</v>
      </c>
      <c r="AH6757">
        <v>86.8795949117915</v>
      </c>
      <c r="AI6757">
        <v>89.582600987730402</v>
      </c>
      <c r="AJ6757">
        <v>84.995469982955299</v>
      </c>
      <c r="AK6757">
        <v>87.214378652690002</v>
      </c>
      <c r="AL6757">
        <v>78.610476456479304</v>
      </c>
      <c r="AM6757">
        <v>95.754561346097802</v>
      </c>
      <c r="AN6757">
        <v>1.00000002123936</v>
      </c>
    </row>
    <row r="6758" spans="1:40" x14ac:dyDescent="0.25">
      <c r="A6758" t="str">
        <f>"20190304155236433"</f>
        <v>20190304155236433</v>
      </c>
      <c r="B6758" t="str">
        <f>"1551685956423121"</f>
        <v>1551685956423121</v>
      </c>
      <c r="C6758" t="s">
        <v>40</v>
      </c>
      <c r="D6758">
        <v>4.749358</v>
      </c>
      <c r="E6758">
        <v>0.58108319999999902</v>
      </c>
      <c r="F6758" t="s">
        <v>53</v>
      </c>
      <c r="G6758">
        <v>0</v>
      </c>
      <c r="H6758">
        <v>0</v>
      </c>
      <c r="I6758">
        <v>0</v>
      </c>
      <c r="J6758">
        <v>-244.63570000000001</v>
      </c>
      <c r="K6758">
        <v>1.1101399999999999</v>
      </c>
      <c r="L6758">
        <v>-63.057650000000002</v>
      </c>
      <c r="M6758">
        <v>0.99993359999999998</v>
      </c>
      <c r="N6758">
        <v>-1.0370620000000001E-2</v>
      </c>
      <c r="O6758">
        <v>-5.034335E-3</v>
      </c>
      <c r="P6758">
        <v>0.97783609999999999</v>
      </c>
      <c r="Q6758">
        <v>0.18747150000000001</v>
      </c>
      <c r="R6758">
        <v>9.3226970000000006E-2</v>
      </c>
      <c r="S6758">
        <v>3.09491</v>
      </c>
      <c r="T6758">
        <v>2.66856E-2</v>
      </c>
      <c r="U6758">
        <v>-0.33560180000000001</v>
      </c>
      <c r="V6758">
        <v>-9.8141419999999993E-2</v>
      </c>
      <c r="W6758">
        <v>0.197601</v>
      </c>
      <c r="X6758">
        <v>0.97535740000000004</v>
      </c>
      <c r="Y6758">
        <v>0.1027998</v>
      </c>
      <c r="Z6758">
        <v>-1.8806770000000001E-4</v>
      </c>
      <c r="AA6758">
        <v>0.99470199999999998</v>
      </c>
      <c r="AB6758">
        <v>29</v>
      </c>
      <c r="AC6758">
        <v>3.09491</v>
      </c>
      <c r="AD6758">
        <v>2.66856E-2</v>
      </c>
      <c r="AE6758">
        <v>-0.33560180000000001</v>
      </c>
      <c r="AF6758">
        <v>0.31999238210806502</v>
      </c>
      <c r="AG6758">
        <v>2.66856E-2</v>
      </c>
      <c r="AH6758">
        <v>3.0963328739220199</v>
      </c>
      <c r="AI6758">
        <v>89.508827075525403</v>
      </c>
      <c r="AJ6758">
        <v>84.099679488255006</v>
      </c>
      <c r="AK6758">
        <v>3.1129382441649498</v>
      </c>
      <c r="AL6758">
        <v>78.603292733059902</v>
      </c>
      <c r="AM6758">
        <v>95.745818376844994</v>
      </c>
      <c r="AN6758">
        <v>0.99999997562768705</v>
      </c>
    </row>
    <row r="6759" spans="1:40" x14ac:dyDescent="0.25">
      <c r="A6759" t="str">
        <f>"20190304155236444"</f>
        <v>20190304155236444</v>
      </c>
      <c r="B6759" t="str">
        <f>"1551685956433858"</f>
        <v>1551685956433858</v>
      </c>
      <c r="C6759" t="s">
        <v>40</v>
      </c>
      <c r="D6759">
        <v>4.7170110000000003</v>
      </c>
      <c r="E6759">
        <v>0.58353630000000001</v>
      </c>
      <c r="F6759" t="s">
        <v>53</v>
      </c>
      <c r="G6759">
        <v>0</v>
      </c>
      <c r="H6759">
        <v>0</v>
      </c>
      <c r="I6759">
        <v>0</v>
      </c>
      <c r="J6759">
        <v>-244.4853</v>
      </c>
      <c r="K6759">
        <v>1.1101449999999999</v>
      </c>
      <c r="L6759">
        <v>-63.058410000000002</v>
      </c>
      <c r="M6759">
        <v>0.99993339999999997</v>
      </c>
      <c r="N6759">
        <v>-1.0406820000000001E-2</v>
      </c>
      <c r="O6759">
        <v>-5.034284E-3</v>
      </c>
      <c r="P6759">
        <v>0.97784139999999997</v>
      </c>
      <c r="Q6759">
        <v>0.1876311</v>
      </c>
      <c r="R6759">
        <v>9.285177E-2</v>
      </c>
      <c r="S6759">
        <v>3.0962070000000002</v>
      </c>
      <c r="T6759">
        <v>3.3552999999999999E-2</v>
      </c>
      <c r="U6759">
        <v>-0.36322019999999999</v>
      </c>
      <c r="V6759">
        <v>-9.7765920000000006E-2</v>
      </c>
      <c r="W6759">
        <v>0.19779550000000001</v>
      </c>
      <c r="X6759">
        <v>0.97535570000000005</v>
      </c>
      <c r="Y6759">
        <v>0.1115116</v>
      </c>
      <c r="Z6759" s="1">
        <v>-8.6683899999999897E-5</v>
      </c>
      <c r="AA6759">
        <v>0.99376310000000001</v>
      </c>
      <c r="AB6759">
        <v>29</v>
      </c>
      <c r="AC6759">
        <v>3.0962070000000002</v>
      </c>
      <c r="AD6759">
        <v>3.3552999999999999E-2</v>
      </c>
      <c r="AE6759">
        <v>-0.36322019999999999</v>
      </c>
      <c r="AF6759">
        <v>0.34758730549151701</v>
      </c>
      <c r="AG6759">
        <v>3.3552999999999999E-2</v>
      </c>
      <c r="AH6759">
        <v>3.0976375755027399</v>
      </c>
      <c r="AI6759">
        <v>89.383277857601797</v>
      </c>
      <c r="AJ6759">
        <v>83.597596460837195</v>
      </c>
      <c r="AK6759">
        <v>3.1172586174256298</v>
      </c>
      <c r="AL6759">
        <v>78.591924470184793</v>
      </c>
      <c r="AM6759">
        <v>95.723990406757196</v>
      </c>
      <c r="AN6759">
        <v>0.999999988228093</v>
      </c>
    </row>
    <row r="6760" spans="1:40" x14ac:dyDescent="0.25">
      <c r="A6760" t="str">
        <f>"20190304155236456"</f>
        <v>20190304155236456</v>
      </c>
      <c r="B6760" t="str">
        <f>"1551685956453377"</f>
        <v>1551685956453377</v>
      </c>
      <c r="C6760" t="s">
        <v>40</v>
      </c>
      <c r="D6760">
        <v>4.7876580000000004</v>
      </c>
      <c r="E6760">
        <v>0.58694389999999996</v>
      </c>
      <c r="F6760" t="s">
        <v>53</v>
      </c>
      <c r="G6760">
        <v>0</v>
      </c>
      <c r="H6760">
        <v>0</v>
      </c>
      <c r="I6760">
        <v>0</v>
      </c>
      <c r="J6760">
        <v>-244.34370000000001</v>
      </c>
      <c r="K6760">
        <v>1.1101510000000001</v>
      </c>
      <c r="L6760">
        <v>-63.059139999999999</v>
      </c>
      <c r="M6760">
        <v>0.99993290000000001</v>
      </c>
      <c r="N6760">
        <v>-1.0440659999999999E-2</v>
      </c>
      <c r="O6760">
        <v>-5.0342219999999997E-3</v>
      </c>
      <c r="P6760">
        <v>0.97784550000000003</v>
      </c>
      <c r="Q6760">
        <v>0.18776770000000001</v>
      </c>
      <c r="R6760">
        <v>9.2528609999999997E-2</v>
      </c>
      <c r="S6760">
        <v>3.0968019999999998</v>
      </c>
      <c r="T6760">
        <v>3.9892440000000001E-2</v>
      </c>
      <c r="U6760">
        <v>-0.38385010000000003</v>
      </c>
      <c r="V6760">
        <v>-9.7442490000000007E-2</v>
      </c>
      <c r="W6760">
        <v>0.19796610000000001</v>
      </c>
      <c r="X6760">
        <v>0.97535349999999998</v>
      </c>
      <c r="Y6760">
        <v>0.1180109</v>
      </c>
      <c r="Z6760" s="1">
        <v>2.1786549999999999E-5</v>
      </c>
      <c r="AA6760">
        <v>0.99301229999999996</v>
      </c>
      <c r="AB6760">
        <v>29</v>
      </c>
      <c r="AC6760">
        <v>3.0968019999999998</v>
      </c>
      <c r="AD6760">
        <v>3.9892440000000001E-2</v>
      </c>
      <c r="AE6760">
        <v>-0.38385010000000003</v>
      </c>
      <c r="AF6760">
        <v>0.36819422397239199</v>
      </c>
      <c r="AG6760">
        <v>3.9892440000000001E-2</v>
      </c>
      <c r="AH6760">
        <v>3.0981889074831299</v>
      </c>
      <c r="AI6760">
        <v>89.267451676087504</v>
      </c>
      <c r="AJ6760">
        <v>83.222655710927</v>
      </c>
      <c r="AK6760">
        <v>3.1202456473468998</v>
      </c>
      <c r="AL6760">
        <v>78.581953143348798</v>
      </c>
      <c r="AM6760">
        <v>95.705192164778595</v>
      </c>
      <c r="AN6760">
        <v>1.0000000327844201</v>
      </c>
    </row>
    <row r="6761" spans="1:40" x14ac:dyDescent="0.25">
      <c r="A6761" t="str">
        <f>"20190304155236468"</f>
        <v>20190304155236468</v>
      </c>
      <c r="B6761" t="str">
        <f>"1551685956464113"</f>
        <v>1551685956464113</v>
      </c>
      <c r="C6761" t="s">
        <v>40</v>
      </c>
      <c r="D6761">
        <v>4.7935499999999998</v>
      </c>
      <c r="E6761">
        <v>0.58808349999999998</v>
      </c>
      <c r="F6761" t="s">
        <v>53</v>
      </c>
      <c r="G6761">
        <v>0</v>
      </c>
      <c r="H6761">
        <v>0</v>
      </c>
      <c r="I6761">
        <v>0</v>
      </c>
      <c r="J6761">
        <v>-244.1884</v>
      </c>
      <c r="K6761">
        <v>1.1101570000000001</v>
      </c>
      <c r="L6761">
        <v>-63.059910000000002</v>
      </c>
      <c r="M6761">
        <v>0.99993259999999995</v>
      </c>
      <c r="N6761">
        <v>-1.047786E-2</v>
      </c>
      <c r="O6761">
        <v>-5.0341780000000003E-3</v>
      </c>
      <c r="P6761">
        <v>0.97788200000000003</v>
      </c>
      <c r="Q6761">
        <v>0.18784480000000001</v>
      </c>
      <c r="R6761">
        <v>9.1987769999999996E-2</v>
      </c>
      <c r="S6761">
        <v>3.0980989999999999</v>
      </c>
      <c r="T6761">
        <v>4.6005249999999998E-2</v>
      </c>
      <c r="U6761">
        <v>-0.4118347</v>
      </c>
      <c r="V6761">
        <v>-9.6902589999999997E-2</v>
      </c>
      <c r="W6761">
        <v>0.19807920000000001</v>
      </c>
      <c r="X6761">
        <v>0.97538429999999998</v>
      </c>
      <c r="Y6761">
        <v>0.12677769999999999</v>
      </c>
      <c r="Z6761">
        <v>1.4306900000000001E-4</v>
      </c>
      <c r="AA6761">
        <v>0.99193109999999995</v>
      </c>
      <c r="AB6761">
        <v>29</v>
      </c>
      <c r="AC6761">
        <v>3.0980989999999999</v>
      </c>
      <c r="AD6761">
        <v>4.6005249999999998E-2</v>
      </c>
      <c r="AE6761">
        <v>-0.4118347</v>
      </c>
      <c r="AF6761">
        <v>0.39614640878881102</v>
      </c>
      <c r="AG6761">
        <v>4.6005249999999998E-2</v>
      </c>
      <c r="AH6761">
        <v>3.0994615122741598</v>
      </c>
      <c r="AI6761">
        <v>89.156483074414794</v>
      </c>
      <c r="AJ6761">
        <v>82.7164376707846</v>
      </c>
      <c r="AK6761">
        <v>3.1250136201771501</v>
      </c>
      <c r="AL6761">
        <v>78.5753417769306</v>
      </c>
      <c r="AM6761">
        <v>95.673610207574896</v>
      </c>
      <c r="AN6761">
        <v>1.0000000070539099</v>
      </c>
    </row>
    <row r="6762" spans="1:40" x14ac:dyDescent="0.25">
      <c r="A6762" t="str">
        <f>"20190304155236478"</f>
        <v>20190304155236478</v>
      </c>
      <c r="B6762" t="str">
        <f>"1551685956473874"</f>
        <v>1551685956473874</v>
      </c>
      <c r="C6762" t="s">
        <v>40</v>
      </c>
      <c r="D6762">
        <v>4.7831140000000003</v>
      </c>
      <c r="E6762">
        <v>0.58904709999999905</v>
      </c>
      <c r="F6762" t="s">
        <v>53</v>
      </c>
      <c r="G6762">
        <v>0</v>
      </c>
      <c r="H6762">
        <v>0</v>
      </c>
      <c r="I6762">
        <v>0</v>
      </c>
      <c r="J6762">
        <v>-244.04750000000001</v>
      </c>
      <c r="K6762">
        <v>1.1101620000000001</v>
      </c>
      <c r="L6762">
        <v>-63.060609999999997</v>
      </c>
      <c r="M6762">
        <v>0.99993220000000005</v>
      </c>
      <c r="N6762">
        <v>-1.051327E-2</v>
      </c>
      <c r="O6762">
        <v>-5.0340050000000003E-3</v>
      </c>
      <c r="P6762">
        <v>0.97790650000000001</v>
      </c>
      <c r="Q6762">
        <v>0.187888</v>
      </c>
      <c r="R6762">
        <v>9.1636640000000005E-2</v>
      </c>
      <c r="S6762">
        <v>3.0985260000000001</v>
      </c>
      <c r="T6762">
        <v>4.7070620000000001E-2</v>
      </c>
      <c r="U6762">
        <v>-0.42233280000000001</v>
      </c>
      <c r="V6762">
        <v>-9.6550810000000001E-2</v>
      </c>
      <c r="W6762">
        <v>0.19815769999999999</v>
      </c>
      <c r="X6762">
        <v>0.97540320000000003</v>
      </c>
      <c r="Y6762">
        <v>0.1300598</v>
      </c>
      <c r="Z6762">
        <v>1.6764110000000001E-4</v>
      </c>
      <c r="AA6762">
        <v>0.9915062</v>
      </c>
      <c r="AB6762">
        <v>29</v>
      </c>
      <c r="AC6762">
        <v>3.0985260000000001</v>
      </c>
      <c r="AD6762">
        <v>4.7070620000000001E-2</v>
      </c>
      <c r="AE6762">
        <v>-0.42233280000000001</v>
      </c>
      <c r="AF6762">
        <v>0.406636462739278</v>
      </c>
      <c r="AG6762">
        <v>4.7070620000000001E-2</v>
      </c>
      <c r="AH6762">
        <v>3.0999105427066098</v>
      </c>
      <c r="AI6762">
        <v>89.137446916549393</v>
      </c>
      <c r="AJ6762">
        <v>82.526790623470902</v>
      </c>
      <c r="AK6762">
        <v>3.1268217456196501</v>
      </c>
      <c r="AL6762">
        <v>78.570752646976004</v>
      </c>
      <c r="AM6762">
        <v>95.653038443721499</v>
      </c>
      <c r="AN6762">
        <v>0.99999996777559197</v>
      </c>
    </row>
    <row r="6763" spans="1:40" x14ac:dyDescent="0.25">
      <c r="A6763" t="str">
        <f>"20190304155236488"</f>
        <v>20190304155236488</v>
      </c>
      <c r="B6763" t="str">
        <f>"1551685956483633"</f>
        <v>1551685956483633</v>
      </c>
      <c r="C6763" t="s">
        <v>40</v>
      </c>
      <c r="D6763">
        <v>4.7919499999999999</v>
      </c>
      <c r="E6763">
        <v>0.58975200000000005</v>
      </c>
      <c r="F6763" t="s">
        <v>53</v>
      </c>
      <c r="G6763">
        <v>0</v>
      </c>
      <c r="H6763">
        <v>0</v>
      </c>
      <c r="I6763">
        <v>0</v>
      </c>
      <c r="J6763">
        <v>-243.929</v>
      </c>
      <c r="K6763">
        <v>1.110168</v>
      </c>
      <c r="L6763">
        <v>-63.061219999999999</v>
      </c>
      <c r="M6763">
        <v>0.99993180000000004</v>
      </c>
      <c r="N6763">
        <v>-1.054327E-2</v>
      </c>
      <c r="O6763">
        <v>-5.033806E-3</v>
      </c>
      <c r="P6763">
        <v>0.97786550000000005</v>
      </c>
      <c r="Q6763">
        <v>0.18836149999999999</v>
      </c>
      <c r="R6763">
        <v>9.1099630000000001E-2</v>
      </c>
      <c r="S6763">
        <v>3.0988769999999999</v>
      </c>
      <c r="T6763">
        <v>4.829907E-2</v>
      </c>
      <c r="U6763">
        <v>-0.43099979999999899</v>
      </c>
      <c r="V6763">
        <v>-9.6013870000000001E-2</v>
      </c>
      <c r="W6763">
        <v>0.19865959999999999</v>
      </c>
      <c r="X6763">
        <v>0.9753541</v>
      </c>
      <c r="Y6763">
        <v>0.13276540000000001</v>
      </c>
      <c r="Z6763">
        <v>1.9545829999999999E-4</v>
      </c>
      <c r="AA6763">
        <v>0.99114749999999996</v>
      </c>
      <c r="AB6763">
        <v>29</v>
      </c>
      <c r="AC6763">
        <v>3.0988769999999999</v>
      </c>
      <c r="AD6763">
        <v>4.829907E-2</v>
      </c>
      <c r="AE6763">
        <v>-0.43099979999999899</v>
      </c>
      <c r="AF6763">
        <v>0.415295356497975</v>
      </c>
      <c r="AG6763">
        <v>4.829907E-2</v>
      </c>
      <c r="AH6763">
        <v>3.10026858877678</v>
      </c>
      <c r="AI6763">
        <v>89.115361862772005</v>
      </c>
      <c r="AJ6763">
        <v>82.370383148928497</v>
      </c>
      <c r="AK6763">
        <v>3.1283331593434198</v>
      </c>
      <c r="AL6763">
        <v>78.541412507024802</v>
      </c>
      <c r="AM6763">
        <v>95.622083806706897</v>
      </c>
      <c r="AN6763">
        <v>0.99999996014567205</v>
      </c>
    </row>
    <row r="6764" spans="1:40" x14ac:dyDescent="0.25">
      <c r="A6764" t="str">
        <f>"20190304155236498"</f>
        <v>20190304155236498</v>
      </c>
      <c r="B6764" t="str">
        <f>"1551685956493393"</f>
        <v>1551685956493393</v>
      </c>
      <c r="C6764" t="s">
        <v>40</v>
      </c>
      <c r="D6764">
        <v>4.8065730000000002</v>
      </c>
      <c r="E6764">
        <v>0.59064830000000001</v>
      </c>
      <c r="F6764" t="s">
        <v>53</v>
      </c>
      <c r="G6764">
        <v>0</v>
      </c>
      <c r="H6764">
        <v>0</v>
      </c>
      <c r="I6764">
        <v>0</v>
      </c>
      <c r="J6764">
        <v>-243.8073</v>
      </c>
      <c r="K6764">
        <v>1.110174</v>
      </c>
      <c r="L6764">
        <v>-63.06183</v>
      </c>
      <c r="M6764">
        <v>0.99993149999999997</v>
      </c>
      <c r="N6764">
        <v>-1.057598E-2</v>
      </c>
      <c r="O6764">
        <v>-5.0338589999999999E-3</v>
      </c>
      <c r="P6764">
        <v>0.97790100000000002</v>
      </c>
      <c r="Q6764">
        <v>0.18847120000000001</v>
      </c>
      <c r="R6764">
        <v>9.0490539999999994E-2</v>
      </c>
      <c r="S6764">
        <v>3.0991819999999999</v>
      </c>
      <c r="T6764">
        <v>4.960001E-2</v>
      </c>
      <c r="U6764">
        <v>-0.43792720000000002</v>
      </c>
      <c r="V6764">
        <v>-9.5404559999999999E-2</v>
      </c>
      <c r="W6764">
        <v>0.1988017</v>
      </c>
      <c r="X6764">
        <v>0.97538499999999995</v>
      </c>
      <c r="Y6764">
        <v>0.13492390000000001</v>
      </c>
      <c r="Z6764">
        <v>2.2410689999999999E-4</v>
      </c>
      <c r="AA6764">
        <v>0.99085590000000001</v>
      </c>
      <c r="AB6764">
        <v>29</v>
      </c>
      <c r="AC6764">
        <v>3.0991819999999999</v>
      </c>
      <c r="AD6764">
        <v>4.960001E-2</v>
      </c>
      <c r="AE6764">
        <v>-0.43792720000000002</v>
      </c>
      <c r="AF6764">
        <v>0.422213907782646</v>
      </c>
      <c r="AG6764">
        <v>4.960001E-2</v>
      </c>
      <c r="AH6764">
        <v>3.1005686975923901</v>
      </c>
      <c r="AI6764">
        <v>89.091893122506207</v>
      </c>
      <c r="AJ6764">
        <v>82.245554493510596</v>
      </c>
      <c r="AK6764">
        <v>3.1295768073985499</v>
      </c>
      <c r="AL6764">
        <v>78.533105797795301</v>
      </c>
      <c r="AM6764">
        <v>95.586456266350297</v>
      </c>
      <c r="AN6764">
        <v>1.00000002210834</v>
      </c>
    </row>
    <row r="6765" spans="1:40" x14ac:dyDescent="0.25">
      <c r="A6765" t="str">
        <f>"20190304155236509"</f>
        <v>20190304155236509</v>
      </c>
      <c r="B6765" t="str">
        <f>"1551685956504129"</f>
        <v>1551685956504129</v>
      </c>
      <c r="C6765" t="s">
        <v>40</v>
      </c>
      <c r="D6765">
        <v>4.8028729999999999</v>
      </c>
      <c r="E6765">
        <v>0.59119069999999996</v>
      </c>
      <c r="F6765" t="s">
        <v>53</v>
      </c>
      <c r="G6765">
        <v>0</v>
      </c>
      <c r="H6765">
        <v>0</v>
      </c>
      <c r="I6765">
        <v>0</v>
      </c>
      <c r="J6765">
        <v>-243.6694</v>
      </c>
      <c r="K6765">
        <v>1.1101799999999999</v>
      </c>
      <c r="L6765">
        <v>-63.062530000000002</v>
      </c>
      <c r="M6765">
        <v>0.99993100000000001</v>
      </c>
      <c r="N6765">
        <v>-1.0613569999999999E-2</v>
      </c>
      <c r="O6765">
        <v>-5.0337000000000003E-3</v>
      </c>
      <c r="P6765">
        <v>0.97790500000000002</v>
      </c>
      <c r="Q6765">
        <v>0.18875349999999999</v>
      </c>
      <c r="R6765">
        <v>8.9855889999999994E-2</v>
      </c>
      <c r="S6765">
        <v>3.0994869999999999</v>
      </c>
      <c r="T6765">
        <v>5.0213220000000003E-2</v>
      </c>
      <c r="U6765">
        <v>-0.4468994</v>
      </c>
      <c r="V6765">
        <v>-9.4770400000000005E-2</v>
      </c>
      <c r="W6765">
        <v>0.1991204</v>
      </c>
      <c r="X6765">
        <v>0.97538179999999997</v>
      </c>
      <c r="Y6765">
        <v>0.1377207</v>
      </c>
      <c r="Z6765">
        <v>2.4084320000000001E-4</v>
      </c>
      <c r="AA6765">
        <v>0.99047110000000005</v>
      </c>
      <c r="AB6765">
        <v>29</v>
      </c>
      <c r="AC6765">
        <v>3.0994869999999999</v>
      </c>
      <c r="AD6765">
        <v>5.0213220000000003E-2</v>
      </c>
      <c r="AE6765">
        <v>-0.4468994</v>
      </c>
      <c r="AF6765">
        <v>0.43118010982703903</v>
      </c>
      <c r="AG6765">
        <v>5.0213220000000003E-2</v>
      </c>
      <c r="AH6765">
        <v>3.1009001368956701</v>
      </c>
      <c r="AI6765">
        <v>89.0811232936164</v>
      </c>
      <c r="AJ6765">
        <v>82.083782188789797</v>
      </c>
      <c r="AK6765">
        <v>3.1311370640029201</v>
      </c>
      <c r="AL6765">
        <v>78.514472965898705</v>
      </c>
      <c r="AM6765">
        <v>95.549573417017896</v>
      </c>
      <c r="AN6765">
        <v>1.00000000909178</v>
      </c>
    </row>
    <row r="6766" spans="1:40" x14ac:dyDescent="0.25">
      <c r="A6766" t="str">
        <f>"20190304155236519"</f>
        <v>20190304155236519</v>
      </c>
      <c r="B6766" t="str">
        <f>"1551685956513889"</f>
        <v>1551685956513889</v>
      </c>
      <c r="C6766" t="s">
        <v>40</v>
      </c>
      <c r="D6766">
        <v>5.2431799999999997</v>
      </c>
      <c r="E6766">
        <v>0.58905390000000002</v>
      </c>
      <c r="F6766" t="s">
        <v>53</v>
      </c>
      <c r="G6766">
        <v>0</v>
      </c>
      <c r="H6766">
        <v>0</v>
      </c>
      <c r="I6766">
        <v>0</v>
      </c>
      <c r="J6766">
        <v>-243.52440000000001</v>
      </c>
      <c r="K6766">
        <v>1.110187</v>
      </c>
      <c r="L6766">
        <v>-63.063229999999997</v>
      </c>
      <c r="M6766">
        <v>0.9999306</v>
      </c>
      <c r="N6766">
        <v>-1.065729E-2</v>
      </c>
      <c r="O6766">
        <v>-5.0335739999999999E-3</v>
      </c>
      <c r="P6766">
        <v>0.97789930000000003</v>
      </c>
      <c r="Q6766">
        <v>0.1891004</v>
      </c>
      <c r="R6766">
        <v>8.9187959999999997E-2</v>
      </c>
      <c r="S6766">
        <v>3.0993189999999999</v>
      </c>
      <c r="T6766">
        <v>5.2401660000000003E-2</v>
      </c>
      <c r="U6766">
        <v>-0.4532776</v>
      </c>
      <c r="V6766">
        <v>-9.4102320000000003E-2</v>
      </c>
      <c r="W6766">
        <v>0.1995101</v>
      </c>
      <c r="X6766">
        <v>0.97536679999999998</v>
      </c>
      <c r="Y6766">
        <v>0.13972329999999999</v>
      </c>
      <c r="Z6766">
        <v>2.8833549999999998E-4</v>
      </c>
      <c r="AA6766">
        <v>0.99019060000000003</v>
      </c>
      <c r="AB6766">
        <v>29</v>
      </c>
      <c r="AC6766">
        <v>3.0993189999999999</v>
      </c>
      <c r="AD6766">
        <v>5.2401660000000003E-2</v>
      </c>
      <c r="AE6766">
        <v>-0.4532776</v>
      </c>
      <c r="AF6766">
        <v>0.43754786106199101</v>
      </c>
      <c r="AG6766">
        <v>5.2401660000000003E-2</v>
      </c>
      <c r="AH6766">
        <v>3.1006936566625498</v>
      </c>
      <c r="AI6766">
        <v>89.041291118043702</v>
      </c>
      <c r="AJ6766">
        <v>81.967860704072194</v>
      </c>
      <c r="AK6766">
        <v>3.1318517233671899</v>
      </c>
      <c r="AL6766">
        <v>78.491687056523602</v>
      </c>
      <c r="AM6766">
        <v>95.510777819719806</v>
      </c>
      <c r="AN6766">
        <v>0.99999996058681495</v>
      </c>
    </row>
    <row r="6767" spans="1:40" x14ac:dyDescent="0.25">
      <c r="A6767" t="str">
        <f>"20190304155236531"</f>
        <v>20190304155236531</v>
      </c>
      <c r="B6767" t="str">
        <f>"1551685956523650"</f>
        <v>1551685956523650</v>
      </c>
      <c r="C6767" t="s">
        <v>40</v>
      </c>
      <c r="D6767">
        <v>4.7875940000000003</v>
      </c>
      <c r="E6767">
        <v>0.58959779999999995</v>
      </c>
      <c r="F6767" t="s">
        <v>53</v>
      </c>
      <c r="G6767">
        <v>0</v>
      </c>
      <c r="H6767">
        <v>0</v>
      </c>
      <c r="I6767">
        <v>0</v>
      </c>
      <c r="J6767">
        <v>-243.38200000000001</v>
      </c>
      <c r="K6767">
        <v>1.1101920000000001</v>
      </c>
      <c r="L6767">
        <v>-63.063999999999901</v>
      </c>
      <c r="M6767">
        <v>0.99993019999999999</v>
      </c>
      <c r="N6767">
        <v>-1.0701530000000001E-2</v>
      </c>
      <c r="O6767">
        <v>-5.0336900000000004E-3</v>
      </c>
      <c r="P6767">
        <v>0.97794309999999995</v>
      </c>
      <c r="Q6767">
        <v>0.18911220000000001</v>
      </c>
      <c r="R6767">
        <v>8.8678679999999996E-2</v>
      </c>
      <c r="S6767">
        <v>3.1007229999999999</v>
      </c>
      <c r="T6767">
        <v>3.6503550000000003E-2</v>
      </c>
      <c r="U6767">
        <v>-0.43841550000000001</v>
      </c>
      <c r="V6767">
        <v>-9.3592889999999998E-2</v>
      </c>
      <c r="W6767">
        <v>0.1995653</v>
      </c>
      <c r="X6767">
        <v>0.97540459999999995</v>
      </c>
      <c r="Y6767">
        <v>0.1350132</v>
      </c>
      <c r="Z6767" s="1">
        <v>-4.7817359999999998E-5</v>
      </c>
      <c r="AA6767">
        <v>0.99084380000000005</v>
      </c>
      <c r="AB6767">
        <v>29</v>
      </c>
      <c r="AC6767">
        <v>3.1007229999999999</v>
      </c>
      <c r="AD6767">
        <v>3.6503550000000003E-2</v>
      </c>
      <c r="AE6767">
        <v>-0.43841550000000001</v>
      </c>
      <c r="AF6767">
        <v>0.42274353358064898</v>
      </c>
      <c r="AG6767">
        <v>3.6503550000000003E-2</v>
      </c>
      <c r="AH6767">
        <v>3.1024691300536098</v>
      </c>
      <c r="AI6767">
        <v>89.332062517895906</v>
      </c>
      <c r="AJ6767">
        <v>82.240643826892594</v>
      </c>
      <c r="AK6767">
        <v>3.1313510354609599</v>
      </c>
      <c r="AL6767">
        <v>78.488460300504002</v>
      </c>
      <c r="AM6767">
        <v>95.480915860172999</v>
      </c>
      <c r="AN6767">
        <v>1.0000000358618999</v>
      </c>
    </row>
    <row r="6768" spans="1:40" x14ac:dyDescent="0.25">
      <c r="A6768" t="str">
        <f>"20190304155236543"</f>
        <v>20190304155236543</v>
      </c>
      <c r="B6768" t="str">
        <f>"1551685956533410"</f>
        <v>1551685956533410</v>
      </c>
      <c r="C6768" t="s">
        <v>40</v>
      </c>
      <c r="D6768">
        <v>4.8352320000000004</v>
      </c>
      <c r="E6768">
        <v>0.59009239999999996</v>
      </c>
      <c r="F6768" t="s">
        <v>53</v>
      </c>
      <c r="G6768">
        <v>0</v>
      </c>
      <c r="H6768">
        <v>0</v>
      </c>
      <c r="I6768">
        <v>0</v>
      </c>
      <c r="J6768">
        <v>-243.2285</v>
      </c>
      <c r="K6768">
        <v>1.1102000000000001</v>
      </c>
      <c r="L6768">
        <v>-63.06476</v>
      </c>
      <c r="M6768">
        <v>0.99992950000000003</v>
      </c>
      <c r="N6768">
        <v>-1.0752090000000001E-2</v>
      </c>
      <c r="O6768">
        <v>-5.0334840000000004E-3</v>
      </c>
      <c r="P6768">
        <v>0.97801130000000003</v>
      </c>
      <c r="Q6768">
        <v>0.18908510000000001</v>
      </c>
      <c r="R6768">
        <v>8.7981859999999995E-2</v>
      </c>
      <c r="S6768">
        <v>3.1005099999999999</v>
      </c>
      <c r="T6768">
        <v>3.8502099999999997E-2</v>
      </c>
      <c r="U6768">
        <v>-0.4443665</v>
      </c>
      <c r="V6768">
        <v>-9.2896629999999994E-2</v>
      </c>
      <c r="W6768">
        <v>0.19958809999999999</v>
      </c>
      <c r="X6768">
        <v>0.97546639999999996</v>
      </c>
      <c r="Y6768">
        <v>0.13688620000000001</v>
      </c>
      <c r="Z6768" s="1">
        <v>-1.0126389999999999E-5</v>
      </c>
      <c r="AA6768">
        <v>0.99058679999999999</v>
      </c>
      <c r="AB6768">
        <v>29</v>
      </c>
      <c r="AC6768">
        <v>3.1005099999999999</v>
      </c>
      <c r="AD6768">
        <v>3.8502099999999997E-2</v>
      </c>
      <c r="AE6768">
        <v>-0.4443665</v>
      </c>
      <c r="AF6768">
        <v>0.428688823986204</v>
      </c>
      <c r="AG6768">
        <v>3.8502099999999997E-2</v>
      </c>
      <c r="AH6768">
        <v>3.10223880239039</v>
      </c>
      <c r="AI6768">
        <v>89.295627363125902</v>
      </c>
      <c r="AJ6768">
        <v>82.132299779179505</v>
      </c>
      <c r="AK6768">
        <v>3.1319549975329601</v>
      </c>
      <c r="AL6768">
        <v>78.487126082232507</v>
      </c>
      <c r="AM6768">
        <v>95.440044950445298</v>
      </c>
      <c r="AN6768">
        <v>0.99999994552796201</v>
      </c>
    </row>
    <row r="6769" spans="1:40" x14ac:dyDescent="0.25">
      <c r="A6769" t="str">
        <f>"20190304155236553"</f>
        <v>20190304155236553</v>
      </c>
      <c r="B6769" t="str">
        <f>"1551685956544146"</f>
        <v>1551685956544146</v>
      </c>
      <c r="C6769" t="s">
        <v>40</v>
      </c>
      <c r="D6769">
        <v>4.8025479999999998</v>
      </c>
      <c r="E6769">
        <v>0.59062250000000005</v>
      </c>
      <c r="F6769" t="s">
        <v>53</v>
      </c>
      <c r="G6769">
        <v>0</v>
      </c>
      <c r="H6769">
        <v>0</v>
      </c>
      <c r="I6769">
        <v>0</v>
      </c>
      <c r="J6769">
        <v>-243.0873</v>
      </c>
      <c r="K6769">
        <v>1.1102080000000001</v>
      </c>
      <c r="L6769">
        <v>-63.065489999999997</v>
      </c>
      <c r="M6769">
        <v>0.99992910000000002</v>
      </c>
      <c r="N6769">
        <v>-1.0799949999999999E-2</v>
      </c>
      <c r="O6769">
        <v>-5.0335029999999999E-3</v>
      </c>
      <c r="P6769">
        <v>0.97800450000000005</v>
      </c>
      <c r="Q6769">
        <v>0.18941810000000001</v>
      </c>
      <c r="R6769">
        <v>8.7338609999999997E-2</v>
      </c>
      <c r="S6769">
        <v>3.100311</v>
      </c>
      <c r="T6769">
        <v>3.975737E-2</v>
      </c>
      <c r="U6769">
        <v>-0.45059199999999999</v>
      </c>
      <c r="V6769">
        <v>-9.2253009999999996E-2</v>
      </c>
      <c r="W6769">
        <v>0.19996800000000001</v>
      </c>
      <c r="X6769">
        <v>0.97544969999999998</v>
      </c>
      <c r="Y6769">
        <v>0.13884299999999999</v>
      </c>
      <c r="Z6769" s="1">
        <v>1.3575309999999999E-5</v>
      </c>
      <c r="AA6769">
        <v>0.99031440000000004</v>
      </c>
      <c r="AB6769">
        <v>29</v>
      </c>
      <c r="AC6769">
        <v>3.100311</v>
      </c>
      <c r="AD6769">
        <v>3.975737E-2</v>
      </c>
      <c r="AE6769">
        <v>-0.45059199999999999</v>
      </c>
      <c r="AF6769">
        <v>0.43490991769249399</v>
      </c>
      <c r="AG6769">
        <v>3.975737E-2</v>
      </c>
      <c r="AH6769">
        <v>3.10204034100795</v>
      </c>
      <c r="AI6769">
        <v>89.272818876631604</v>
      </c>
      <c r="AJ6769">
        <v>82.019081085191999</v>
      </c>
      <c r="AK6769">
        <v>3.1326317310238299</v>
      </c>
      <c r="AL6769">
        <v>78.464911859710497</v>
      </c>
      <c r="AM6769">
        <v>95.402670164045901</v>
      </c>
      <c r="AN6769">
        <v>0.99999996805407398</v>
      </c>
    </row>
    <row r="6770" spans="1:40" x14ac:dyDescent="0.25">
      <c r="A6770" t="str">
        <f>"20190304155236565"</f>
        <v>20190304155236565</v>
      </c>
      <c r="B6770" t="str">
        <f>"1551685956553906"</f>
        <v>1551685956553906</v>
      </c>
      <c r="C6770" t="s">
        <v>40</v>
      </c>
      <c r="D6770">
        <v>4.8052190000000001</v>
      </c>
      <c r="E6770">
        <v>0.59098329999999999</v>
      </c>
      <c r="F6770" t="s">
        <v>53</v>
      </c>
      <c r="G6770">
        <v>0</v>
      </c>
      <c r="H6770">
        <v>0</v>
      </c>
      <c r="I6770">
        <v>0</v>
      </c>
      <c r="J6770">
        <v>-242.9348</v>
      </c>
      <c r="K6770">
        <v>1.1102179999999999</v>
      </c>
      <c r="L6770">
        <v>-63.066249999999997</v>
      </c>
      <c r="M6770">
        <v>0.9999285</v>
      </c>
      <c r="N6770">
        <v>-1.085266E-2</v>
      </c>
      <c r="O6770">
        <v>-5.0333110000000004E-3</v>
      </c>
      <c r="P6770">
        <v>0.97808450000000002</v>
      </c>
      <c r="Q6770">
        <v>0.18938949999999999</v>
      </c>
      <c r="R6770">
        <v>8.6501919999999996E-2</v>
      </c>
      <c r="S6770">
        <v>3.100082</v>
      </c>
      <c r="T6770">
        <v>4.2262199999999903E-2</v>
      </c>
      <c r="U6770">
        <v>-0.45684809999999998</v>
      </c>
      <c r="V6770">
        <v>-9.1416670000000005E-2</v>
      </c>
      <c r="W6770">
        <v>0.1999918</v>
      </c>
      <c r="X6770">
        <v>0.97552360000000005</v>
      </c>
      <c r="Y6770">
        <v>0.1408092</v>
      </c>
      <c r="Z6770" s="1">
        <v>6.3816090000000007E-5</v>
      </c>
      <c r="AA6770">
        <v>0.99003669999999999</v>
      </c>
      <c r="AB6770">
        <v>29</v>
      </c>
      <c r="AC6770">
        <v>3.100082</v>
      </c>
      <c r="AD6770">
        <v>4.2262199999999903E-2</v>
      </c>
      <c r="AE6770">
        <v>-0.45684809999999998</v>
      </c>
      <c r="AF6770">
        <v>0.44115747191362398</v>
      </c>
      <c r="AG6770">
        <v>4.2262199999999903E-2</v>
      </c>
      <c r="AH6770">
        <v>3.1017781135177001</v>
      </c>
      <c r="AI6770">
        <v>89.227161196823403</v>
      </c>
      <c r="AJ6770">
        <v>81.9052673352395</v>
      </c>
      <c r="AK6770">
        <v>3.1332783907708399</v>
      </c>
      <c r="AL6770">
        <v>78.463520607654502</v>
      </c>
      <c r="AM6770">
        <v>95.353573749025998</v>
      </c>
      <c r="AN6770">
        <v>1.0000000108890399</v>
      </c>
    </row>
    <row r="6771" spans="1:40" x14ac:dyDescent="0.25">
      <c r="A6771" t="str">
        <f>"20190304155236578"</f>
        <v>20190304155236578</v>
      </c>
      <c r="B6771" t="str">
        <f>"1551685956573425"</f>
        <v>1551685956573425</v>
      </c>
      <c r="C6771" t="s">
        <v>40</v>
      </c>
      <c r="D6771">
        <v>5.1894999999999998</v>
      </c>
      <c r="E6771">
        <v>0.58995929999999996</v>
      </c>
      <c r="F6771" t="s">
        <v>53</v>
      </c>
      <c r="G6771">
        <v>0</v>
      </c>
      <c r="H6771">
        <v>0</v>
      </c>
      <c r="I6771">
        <v>0</v>
      </c>
      <c r="J6771">
        <v>-242.78559999999999</v>
      </c>
      <c r="K6771">
        <v>1.1102270000000001</v>
      </c>
      <c r="L6771">
        <v>-63.066989999999997</v>
      </c>
      <c r="M6771">
        <v>0.99992789999999998</v>
      </c>
      <c r="N6771">
        <v>-1.0905649999999999E-2</v>
      </c>
      <c r="O6771">
        <v>-5.0332409999999999E-3</v>
      </c>
      <c r="P6771">
        <v>0.9780993</v>
      </c>
      <c r="Q6771">
        <v>0.18949579999999999</v>
      </c>
      <c r="R6771">
        <v>8.6099510000000004E-2</v>
      </c>
      <c r="S6771">
        <v>3.0996860000000002</v>
      </c>
      <c r="T6771">
        <v>4.3396589999999999E-2</v>
      </c>
      <c r="U6771">
        <v>-0.46231080000000002</v>
      </c>
      <c r="V6771">
        <v>-9.1014100000000001E-2</v>
      </c>
      <c r="W6771">
        <v>0.20014970000000001</v>
      </c>
      <c r="X6771">
        <v>0.97552879999999997</v>
      </c>
      <c r="Y6771">
        <v>0.1425342</v>
      </c>
      <c r="Z6771" s="1">
        <v>8.604606E-5</v>
      </c>
      <c r="AA6771">
        <v>0.98978980000000005</v>
      </c>
      <c r="AB6771">
        <v>29</v>
      </c>
      <c r="AC6771">
        <v>3.0996860000000002</v>
      </c>
      <c r="AD6771">
        <v>4.3396589999999999E-2</v>
      </c>
      <c r="AE6771">
        <v>-0.46231080000000002</v>
      </c>
      <c r="AF6771">
        <v>0.44661691341705001</v>
      </c>
      <c r="AG6771">
        <v>4.3396589999999999E-2</v>
      </c>
      <c r="AH6771">
        <v>3.1013791225887899</v>
      </c>
      <c r="AI6771">
        <v>89.206515341438305</v>
      </c>
      <c r="AJ6771">
        <v>81.805405096414901</v>
      </c>
      <c r="AK6771">
        <v>3.13367234940148</v>
      </c>
      <c r="AL6771">
        <v>78.454286248956905</v>
      </c>
      <c r="AM6771">
        <v>95.330106142358801</v>
      </c>
      <c r="AN6771">
        <v>0.99999995421916898</v>
      </c>
    </row>
    <row r="6772" spans="1:40" x14ac:dyDescent="0.25">
      <c r="A6772" t="str">
        <f>"20190304155236590"</f>
        <v>20190304155236590</v>
      </c>
      <c r="B6772" t="str">
        <f>"1551685956584161"</f>
        <v>1551685956584161</v>
      </c>
      <c r="C6772" t="s">
        <v>40</v>
      </c>
      <c r="D6772">
        <v>5.1951029999999996</v>
      </c>
      <c r="E6772">
        <v>0.58864240000000001</v>
      </c>
      <c r="F6772" t="s">
        <v>53</v>
      </c>
      <c r="G6772">
        <v>0</v>
      </c>
      <c r="H6772">
        <v>0</v>
      </c>
      <c r="I6772">
        <v>0</v>
      </c>
      <c r="J6772">
        <v>-242.62729999999999</v>
      </c>
      <c r="K6772">
        <v>1.110233</v>
      </c>
      <c r="L6772">
        <v>-63.067779999999999</v>
      </c>
      <c r="M6772">
        <v>0.99992729999999996</v>
      </c>
      <c r="N6772">
        <v>-1.096245E-2</v>
      </c>
      <c r="O6772">
        <v>-5.033193E-3</v>
      </c>
      <c r="P6772">
        <v>0.9781299</v>
      </c>
      <c r="Q6772">
        <v>0.18977869999999999</v>
      </c>
      <c r="R6772">
        <v>8.5125049999999994E-2</v>
      </c>
      <c r="S6772">
        <v>3.1002200000000002</v>
      </c>
      <c r="T6772">
        <v>3.6461710000000001E-2</v>
      </c>
      <c r="U6772">
        <v>-0.45547490000000002</v>
      </c>
      <c r="V6772">
        <v>-9.0040140000000005E-2</v>
      </c>
      <c r="W6772">
        <v>0.20048840000000001</v>
      </c>
      <c r="X6772">
        <v>0.97554969999999996</v>
      </c>
      <c r="Y6772">
        <v>0.14037549999999999</v>
      </c>
      <c r="Z6772" s="1">
        <v>-6.6275240000000001E-5</v>
      </c>
      <c r="AA6772">
        <v>0.99009840000000005</v>
      </c>
      <c r="AB6772">
        <v>29</v>
      </c>
      <c r="AC6772">
        <v>3.1002200000000002</v>
      </c>
      <c r="AD6772">
        <v>3.6461710000000001E-2</v>
      </c>
      <c r="AE6772">
        <v>-0.45547490000000002</v>
      </c>
      <c r="AF6772">
        <v>0.439804638577318</v>
      </c>
      <c r="AG6772">
        <v>3.6461710000000001E-2</v>
      </c>
      <c r="AH6772">
        <v>3.1020533425694601</v>
      </c>
      <c r="AI6772">
        <v>89.333240552837907</v>
      </c>
      <c r="AJ6772">
        <v>81.930469364923297</v>
      </c>
      <c r="AK6772">
        <v>3.1332878125950399</v>
      </c>
      <c r="AL6772">
        <v>78.434479468273096</v>
      </c>
      <c r="AM6772">
        <v>95.273278569987099</v>
      </c>
      <c r="AN6772">
        <v>1.0000000212579301</v>
      </c>
    </row>
    <row r="6773" spans="1:40" x14ac:dyDescent="0.25">
      <c r="A6773" t="str">
        <f>"20190304155236600"</f>
        <v>20190304155236600</v>
      </c>
      <c r="B6773" t="str">
        <f>"1551685956593922"</f>
        <v>1551685956593922</v>
      </c>
      <c r="C6773" t="s">
        <v>40</v>
      </c>
      <c r="D6773">
        <v>4.7984770000000001</v>
      </c>
      <c r="E6773">
        <v>0.58918119999999996</v>
      </c>
      <c r="F6773" t="s">
        <v>53</v>
      </c>
      <c r="G6773">
        <v>0</v>
      </c>
      <c r="H6773">
        <v>0</v>
      </c>
      <c r="I6773">
        <v>0</v>
      </c>
      <c r="J6773">
        <v>-242.489</v>
      </c>
      <c r="K6773">
        <v>1.1102369999999999</v>
      </c>
      <c r="L6773">
        <v>-63.068480000000001</v>
      </c>
      <c r="M6773">
        <v>0.99992669999999995</v>
      </c>
      <c r="N6773">
        <v>-1.101325E-2</v>
      </c>
      <c r="O6773">
        <v>-5.0332329999999998E-3</v>
      </c>
      <c r="P6773">
        <v>0.97818689999999997</v>
      </c>
      <c r="Q6773">
        <v>0.18977060000000001</v>
      </c>
      <c r="R6773">
        <v>8.4485829999999998E-2</v>
      </c>
      <c r="S6773">
        <v>3.0999910000000002</v>
      </c>
      <c r="T6773">
        <v>3.1534189999999997E-2</v>
      </c>
      <c r="U6773">
        <v>-0.44805909999999899</v>
      </c>
      <c r="V6773">
        <v>-8.9401110000000006E-2</v>
      </c>
      <c r="W6773">
        <v>0.20053099999999999</v>
      </c>
      <c r="X6773">
        <v>0.97559969999999996</v>
      </c>
      <c r="Y6773">
        <v>0.138067299999999</v>
      </c>
      <c r="Z6773">
        <v>-1.7172819999999999E-4</v>
      </c>
      <c r="AA6773">
        <v>0.99042280000000005</v>
      </c>
      <c r="AB6773">
        <v>29</v>
      </c>
      <c r="AC6773">
        <v>3.0999910000000002</v>
      </c>
      <c r="AD6773">
        <v>3.1534189999999997E-2</v>
      </c>
      <c r="AE6773">
        <v>-0.44805909999999899</v>
      </c>
      <c r="AF6773">
        <v>0.43240567242602901</v>
      </c>
      <c r="AG6773">
        <v>3.1534189999999997E-2</v>
      </c>
      <c r="AH6773">
        <v>3.1018926454159002</v>
      </c>
      <c r="AI6773">
        <v>89.423122459567793</v>
      </c>
      <c r="AJ6773">
        <v>82.064075704968303</v>
      </c>
      <c r="AK6773">
        <v>3.1320451871533401</v>
      </c>
      <c r="AL6773">
        <v>78.431987911203805</v>
      </c>
      <c r="AM6773">
        <v>95.235795127420701</v>
      </c>
      <c r="AN6773">
        <v>1.0000000075351601</v>
      </c>
    </row>
    <row r="6774" spans="1:40" x14ac:dyDescent="0.25">
      <c r="A6774" t="str">
        <f>"20190304155236610"</f>
        <v>20190304155236610</v>
      </c>
      <c r="B6774" t="str">
        <f>"1551685956603681"</f>
        <v>1551685956603681</v>
      </c>
      <c r="C6774" t="s">
        <v>40</v>
      </c>
      <c r="D6774">
        <v>5.1235179999999998</v>
      </c>
      <c r="E6774">
        <v>0.58805160000000001</v>
      </c>
      <c r="F6774" t="s">
        <v>53</v>
      </c>
      <c r="G6774">
        <v>0</v>
      </c>
      <c r="H6774">
        <v>0</v>
      </c>
      <c r="I6774">
        <v>0</v>
      </c>
      <c r="J6774">
        <v>-242.36060000000001</v>
      </c>
      <c r="K6774">
        <v>1.1102449999999999</v>
      </c>
      <c r="L6774">
        <v>-63.069119999999998</v>
      </c>
      <c r="M6774">
        <v>0.99992619999999999</v>
      </c>
      <c r="N6774">
        <v>-1.1060840000000001E-2</v>
      </c>
      <c r="O6774">
        <v>-5.0331380000000004E-3</v>
      </c>
      <c r="P6774">
        <v>0.97826120000000005</v>
      </c>
      <c r="Q6774">
        <v>0.18963959999999999</v>
      </c>
      <c r="R6774">
        <v>8.3916889999999994E-2</v>
      </c>
      <c r="S6774">
        <v>3.099548</v>
      </c>
      <c r="T6774">
        <v>3.390932E-2</v>
      </c>
      <c r="U6774">
        <v>-0.45428469999999999</v>
      </c>
      <c r="V6774">
        <v>-8.8832309999999998E-2</v>
      </c>
      <c r="W6774">
        <v>0.20044680000000001</v>
      </c>
      <c r="X6774">
        <v>0.97566900000000001</v>
      </c>
      <c r="Y6774">
        <v>0.14003479999999999</v>
      </c>
      <c r="Z6774">
        <v>-1.2682739999999901E-4</v>
      </c>
      <c r="AA6774">
        <v>0.99014659999999999</v>
      </c>
      <c r="AB6774">
        <v>29</v>
      </c>
      <c r="AC6774">
        <v>3.099548</v>
      </c>
      <c r="AD6774">
        <v>3.390932E-2</v>
      </c>
      <c r="AE6774">
        <v>-0.45428469999999999</v>
      </c>
      <c r="AF6774">
        <v>0.43862614541383599</v>
      </c>
      <c r="AG6774">
        <v>3.390932E-2</v>
      </c>
      <c r="AH6774">
        <v>3.10143196244324</v>
      </c>
      <c r="AI6774">
        <v>89.379756722941593</v>
      </c>
      <c r="AJ6774">
        <v>81.950217318824301</v>
      </c>
      <c r="AK6774">
        <v>3.1324787238045202</v>
      </c>
      <c r="AL6774">
        <v>78.436912675899507</v>
      </c>
      <c r="AM6774">
        <v>95.202299115057698</v>
      </c>
      <c r="AN6774">
        <v>1.00000004824558</v>
      </c>
    </row>
    <row r="6775" spans="1:40" x14ac:dyDescent="0.25">
      <c r="A6775" t="str">
        <f>"20190304155236619"</f>
        <v>20190304155236619</v>
      </c>
      <c r="B6775" t="str">
        <f>"1551685956613441"</f>
        <v>1551685956613441</v>
      </c>
      <c r="C6775" t="s">
        <v>40</v>
      </c>
      <c r="D6775">
        <v>4.7238819999999997</v>
      </c>
      <c r="E6775">
        <v>0.58839169999999996</v>
      </c>
      <c r="F6775" t="s">
        <v>53</v>
      </c>
      <c r="G6775">
        <v>0</v>
      </c>
      <c r="H6775">
        <v>0</v>
      </c>
      <c r="I6775">
        <v>0</v>
      </c>
      <c r="J6775">
        <v>-242.2363</v>
      </c>
      <c r="K6775">
        <v>1.1102529999999999</v>
      </c>
      <c r="L6775">
        <v>-63.069760000000002</v>
      </c>
      <c r="M6775">
        <v>0.99992570000000003</v>
      </c>
      <c r="N6775">
        <v>-1.1107769999999999E-2</v>
      </c>
      <c r="O6775">
        <v>-5.0330409999999898E-3</v>
      </c>
      <c r="P6775">
        <v>0.97829250000000001</v>
      </c>
      <c r="Q6775">
        <v>0.18989790000000001</v>
      </c>
      <c r="R6775">
        <v>8.2960759999999995E-2</v>
      </c>
      <c r="S6775">
        <v>3.0997620000000001</v>
      </c>
      <c r="T6775">
        <v>2.7081729999999998E-2</v>
      </c>
      <c r="U6775">
        <v>-0.447052</v>
      </c>
      <c r="V6775">
        <v>-8.7876199999999904E-2</v>
      </c>
      <c r="W6775">
        <v>0.2007514</v>
      </c>
      <c r="X6775">
        <v>0.97569289999999997</v>
      </c>
      <c r="Y6775">
        <v>0.13776340000000001</v>
      </c>
      <c r="Z6775">
        <v>-2.6975190000000002E-4</v>
      </c>
      <c r="AA6775">
        <v>0.99046520000000005</v>
      </c>
      <c r="AB6775">
        <v>29</v>
      </c>
      <c r="AC6775">
        <v>3.0997620000000001</v>
      </c>
      <c r="AD6775">
        <v>2.7081729999999998E-2</v>
      </c>
      <c r="AE6775">
        <v>-0.447052</v>
      </c>
      <c r="AF6775">
        <v>0.43141188740728997</v>
      </c>
      <c r="AG6775">
        <v>2.7081729999999998E-2</v>
      </c>
      <c r="AH6775">
        <v>3.1017409716254201</v>
      </c>
      <c r="AI6775">
        <v>89.504524661529601</v>
      </c>
      <c r="AJ6775">
        <v>82.0817007433198</v>
      </c>
      <c r="AK6775">
        <v>3.13171625339141</v>
      </c>
      <c r="AL6775">
        <v>78.419097629111405</v>
      </c>
      <c r="AM6775">
        <v>95.146483243046603</v>
      </c>
      <c r="AN6775">
        <v>0.99999999311940402</v>
      </c>
    </row>
    <row r="6776" spans="1:40" x14ac:dyDescent="0.25">
      <c r="A6776" t="str">
        <f>"20190304155236631"</f>
        <v>20190304155236631</v>
      </c>
      <c r="B6776" t="str">
        <f>"1551685956624178"</f>
        <v>1551685956624178</v>
      </c>
      <c r="C6776" t="s">
        <v>40</v>
      </c>
      <c r="D6776">
        <v>4.7875100000000002</v>
      </c>
      <c r="E6776">
        <v>0.58851450000000005</v>
      </c>
      <c r="F6776" t="s">
        <v>53</v>
      </c>
      <c r="G6776">
        <v>0</v>
      </c>
      <c r="H6776">
        <v>0</v>
      </c>
      <c r="I6776">
        <v>0</v>
      </c>
      <c r="J6776">
        <v>-242.0958</v>
      </c>
      <c r="K6776">
        <v>1.110258</v>
      </c>
      <c r="L6776">
        <v>-63.070469999999901</v>
      </c>
      <c r="M6776">
        <v>0.99992499999999995</v>
      </c>
      <c r="N6776">
        <v>-1.116208E-2</v>
      </c>
      <c r="O6776">
        <v>-5.0329850000000002E-3</v>
      </c>
      <c r="P6776">
        <v>0.97833579999999998</v>
      </c>
      <c r="Q6776">
        <v>0.19004309999999999</v>
      </c>
      <c r="R6776">
        <v>8.2115250000000001E-2</v>
      </c>
      <c r="S6776">
        <v>3.0995330000000001</v>
      </c>
      <c r="T6776">
        <v>2.7993560000000001E-2</v>
      </c>
      <c r="U6776">
        <v>-0.45278930000000001</v>
      </c>
      <c r="V6776">
        <v>-8.7031380000000005E-2</v>
      </c>
      <c r="W6776">
        <v>0.2009504</v>
      </c>
      <c r="X6776">
        <v>0.97572769999999998</v>
      </c>
      <c r="Y6776">
        <v>0.139569</v>
      </c>
      <c r="Z6776">
        <v>-2.5724750000000001E-4</v>
      </c>
      <c r="AA6776">
        <v>0.99021230000000005</v>
      </c>
      <c r="AB6776">
        <v>29</v>
      </c>
      <c r="AC6776">
        <v>3.0995330000000001</v>
      </c>
      <c r="AD6776">
        <v>2.7993560000000001E-2</v>
      </c>
      <c r="AE6776">
        <v>-0.45278930000000001</v>
      </c>
      <c r="AF6776">
        <v>0.43714777635533802</v>
      </c>
      <c r="AG6776">
        <v>2.7993560000000001E-2</v>
      </c>
      <c r="AH6776">
        <v>3.1015250601668201</v>
      </c>
      <c r="AI6776">
        <v>89.487938182117205</v>
      </c>
      <c r="AJ6776">
        <v>81.977232571659002</v>
      </c>
      <c r="AK6776">
        <v>3.13230578274483</v>
      </c>
      <c r="AL6776">
        <v>78.407459072256302</v>
      </c>
      <c r="AM6776">
        <v>95.097087291525696</v>
      </c>
      <c r="AN6776">
        <v>1.00000003445607</v>
      </c>
    </row>
    <row r="6777" spans="1:40" x14ac:dyDescent="0.25">
      <c r="A6777" t="str">
        <f>"20190304155236641"</f>
        <v>20190304155236641</v>
      </c>
      <c r="B6777" t="str">
        <f>"1551685956633938"</f>
        <v>1551685956633938</v>
      </c>
      <c r="C6777" t="s">
        <v>40</v>
      </c>
      <c r="D6777">
        <v>4.722194</v>
      </c>
      <c r="E6777">
        <v>0.58880059999999901</v>
      </c>
      <c r="F6777" t="s">
        <v>53</v>
      </c>
      <c r="G6777">
        <v>0</v>
      </c>
      <c r="H6777">
        <v>0</v>
      </c>
      <c r="I6777">
        <v>0</v>
      </c>
      <c r="J6777">
        <v>-241.95359999999999</v>
      </c>
      <c r="K6777">
        <v>1.1102669999999999</v>
      </c>
      <c r="L6777">
        <v>-63.071199999999997</v>
      </c>
      <c r="M6777">
        <v>0.99992449999999999</v>
      </c>
      <c r="N6777">
        <v>-1.1219659999999999E-2</v>
      </c>
      <c r="O6777">
        <v>-5.0331890000000004E-3</v>
      </c>
      <c r="P6777">
        <v>0.97835870000000003</v>
      </c>
      <c r="Q6777">
        <v>0.19022720000000001</v>
      </c>
      <c r="R6777">
        <v>8.1412380000000006E-2</v>
      </c>
      <c r="S6777">
        <v>3.099091</v>
      </c>
      <c r="T6777">
        <v>2.917051E-2</v>
      </c>
      <c r="U6777">
        <v>-0.45657350000000002</v>
      </c>
      <c r="V6777">
        <v>-8.6328180000000004E-2</v>
      </c>
      <c r="W6777">
        <v>0.20119100000000001</v>
      </c>
      <c r="X6777">
        <v>0.97574059999999996</v>
      </c>
      <c r="Y6777">
        <v>0.14077239999999999</v>
      </c>
      <c r="Z6777">
        <v>-2.3831079999999999E-4</v>
      </c>
      <c r="AA6777">
        <v>0.99004199999999998</v>
      </c>
      <c r="AB6777">
        <v>29</v>
      </c>
      <c r="AC6777">
        <v>3.099091</v>
      </c>
      <c r="AD6777">
        <v>2.917051E-2</v>
      </c>
      <c r="AE6777">
        <v>-0.45657350000000002</v>
      </c>
      <c r="AF6777">
        <v>0.44093018993174998</v>
      </c>
      <c r="AG6777">
        <v>2.917051E-2</v>
      </c>
      <c r="AH6777">
        <v>3.1010809952046099</v>
      </c>
      <c r="AI6777">
        <v>89.466425895191094</v>
      </c>
      <c r="AJ6777">
        <v>81.907587798192097</v>
      </c>
      <c r="AK6777">
        <v>3.1324070121659</v>
      </c>
      <c r="AL6777">
        <v>78.393386429760895</v>
      </c>
      <c r="AM6777">
        <v>95.056051457669895</v>
      </c>
      <c r="AN6777">
        <v>1.0000000458157301</v>
      </c>
    </row>
    <row r="6778" spans="1:40" x14ac:dyDescent="0.25">
      <c r="A6778" t="str">
        <f>"20190304155236654"</f>
        <v>20190304155236654</v>
      </c>
      <c r="B6778" t="str">
        <f>"1551685956643698"</f>
        <v>1551685956643698</v>
      </c>
      <c r="C6778" t="s">
        <v>40</v>
      </c>
      <c r="D6778">
        <v>4.7829610000000002</v>
      </c>
      <c r="E6778">
        <v>0.58904619999999996</v>
      </c>
      <c r="F6778" t="s">
        <v>53</v>
      </c>
      <c r="G6778">
        <v>0</v>
      </c>
      <c r="H6778">
        <v>0</v>
      </c>
      <c r="I6778">
        <v>0</v>
      </c>
      <c r="J6778">
        <v>-241.8039</v>
      </c>
      <c r="K6778">
        <v>1.1102780000000001</v>
      </c>
      <c r="L6778">
        <v>-63.071930000000002</v>
      </c>
      <c r="M6778">
        <v>0.99992380000000003</v>
      </c>
      <c r="N6778">
        <v>-1.1281970000000001E-2</v>
      </c>
      <c r="O6778">
        <v>-5.0329440000000001E-3</v>
      </c>
      <c r="P6778">
        <v>0.97841659999999997</v>
      </c>
      <c r="Q6778">
        <v>0.19020680000000001</v>
      </c>
      <c r="R6778">
        <v>8.0760730000000003E-2</v>
      </c>
      <c r="S6778">
        <v>3.0989840000000002</v>
      </c>
      <c r="T6778">
        <v>2.9540540000000001E-2</v>
      </c>
      <c r="U6778">
        <v>-0.46099849999999998</v>
      </c>
      <c r="V6778">
        <v>-8.5676500000000003E-2</v>
      </c>
      <c r="W6778">
        <v>0.2012321</v>
      </c>
      <c r="X6778">
        <v>0.97578949999999998</v>
      </c>
      <c r="Y6778">
        <v>0.1421608</v>
      </c>
      <c r="Z6778">
        <v>-2.3667999999999999E-4</v>
      </c>
      <c r="AA6778">
        <v>0.98984349999999999</v>
      </c>
      <c r="AB6778">
        <v>29</v>
      </c>
      <c r="AC6778">
        <v>3.0989840000000002</v>
      </c>
      <c r="AD6778">
        <v>2.9540540000000001E-2</v>
      </c>
      <c r="AE6778">
        <v>-0.46099849999999998</v>
      </c>
      <c r="AF6778">
        <v>0.44535506540157699</v>
      </c>
      <c r="AG6778">
        <v>2.9540540000000001E-2</v>
      </c>
      <c r="AH6778">
        <v>3.1009894002840199</v>
      </c>
      <c r="AI6778">
        <v>89.4597501887514</v>
      </c>
      <c r="AJ6778">
        <v>81.827231416309601</v>
      </c>
      <c r="AK6778">
        <v>3.1329457445758901</v>
      </c>
      <c r="AL6778">
        <v>78.390981684254896</v>
      </c>
      <c r="AM6778">
        <v>95.017829420527505</v>
      </c>
      <c r="AN6778">
        <v>0.999999984516454</v>
      </c>
    </row>
    <row r="6779" spans="1:40" x14ac:dyDescent="0.25">
      <c r="A6779" t="str">
        <f>"20190304155236665"</f>
        <v>20190304155236665</v>
      </c>
      <c r="B6779" t="str">
        <f>"1551685956653458"</f>
        <v>1551685956653458</v>
      </c>
      <c r="C6779" t="s">
        <v>40</v>
      </c>
      <c r="D6779">
        <v>4.6956949999999997</v>
      </c>
      <c r="E6779">
        <v>0.5893079</v>
      </c>
      <c r="F6779" t="s">
        <v>53</v>
      </c>
      <c r="G6779">
        <v>0</v>
      </c>
      <c r="H6779">
        <v>0</v>
      </c>
      <c r="I6779">
        <v>0</v>
      </c>
      <c r="J6779">
        <v>-241.65719999999999</v>
      </c>
      <c r="K6779">
        <v>1.110287</v>
      </c>
      <c r="L6779">
        <v>-63.072659999999999</v>
      </c>
      <c r="M6779">
        <v>0.99992309999999995</v>
      </c>
      <c r="N6779">
        <v>-1.1344480000000001E-2</v>
      </c>
      <c r="O6779">
        <v>-5.0330590000000003E-3</v>
      </c>
      <c r="P6779">
        <v>0.97844869999999995</v>
      </c>
      <c r="Q6779">
        <v>0.19041259999999999</v>
      </c>
      <c r="R6779">
        <v>7.9882969999999998E-2</v>
      </c>
      <c r="S6779">
        <v>3.098557</v>
      </c>
      <c r="T6779">
        <v>3.097343E-2</v>
      </c>
      <c r="U6779">
        <v>-0.46499629999999997</v>
      </c>
      <c r="V6779">
        <v>-8.479884E-2</v>
      </c>
      <c r="W6779">
        <v>0.20149929999999999</v>
      </c>
      <c r="X6779">
        <v>0.97581110000000004</v>
      </c>
      <c r="Y6779">
        <v>0.14342949999999999</v>
      </c>
      <c r="Z6779">
        <v>-2.1206980000000001E-4</v>
      </c>
      <c r="AA6779">
        <v>0.98966050000000005</v>
      </c>
      <c r="AB6779">
        <v>29</v>
      </c>
      <c r="AC6779">
        <v>3.098557</v>
      </c>
      <c r="AD6779">
        <v>3.097343E-2</v>
      </c>
      <c r="AE6779">
        <v>-0.46499629999999997</v>
      </c>
      <c r="AF6779">
        <v>0.44935027672104499</v>
      </c>
      <c r="AG6779">
        <v>3.097343E-2</v>
      </c>
      <c r="AH6779">
        <v>3.10055526390863</v>
      </c>
      <c r="AI6779">
        <v>89.433572018051294</v>
      </c>
      <c r="AJ6779">
        <v>81.753779791428997</v>
      </c>
      <c r="AK6779">
        <v>3.1331003764812202</v>
      </c>
      <c r="AL6779">
        <v>78.375352951927894</v>
      </c>
      <c r="AM6779">
        <v>94.966576408801203</v>
      </c>
      <c r="AN6779">
        <v>1.00000005702452</v>
      </c>
    </row>
    <row r="6780" spans="1:40" x14ac:dyDescent="0.25">
      <c r="A6780" t="str">
        <f>"20190304155236675"</f>
        <v>20190304155236675</v>
      </c>
      <c r="B6780" t="str">
        <f>"1551685956664194"</f>
        <v>1551685956664194</v>
      </c>
      <c r="C6780" t="s">
        <v>40</v>
      </c>
      <c r="D6780">
        <v>4.7812769999999896</v>
      </c>
      <c r="E6780">
        <v>0.589441199999999</v>
      </c>
      <c r="F6780" t="s">
        <v>53</v>
      </c>
      <c r="G6780">
        <v>0</v>
      </c>
      <c r="H6780">
        <v>0</v>
      </c>
      <c r="I6780">
        <v>0</v>
      </c>
      <c r="J6780">
        <v>-241.52369999999999</v>
      </c>
      <c r="K6780">
        <v>1.1102959999999999</v>
      </c>
      <c r="L6780">
        <v>-63.073329999999999</v>
      </c>
      <c r="M6780">
        <v>0.99992250000000005</v>
      </c>
      <c r="N6780">
        <v>-1.1402290000000001E-2</v>
      </c>
      <c r="O6780">
        <v>-5.0330289999999996E-3</v>
      </c>
      <c r="P6780">
        <v>0.97849470000000005</v>
      </c>
      <c r="Q6780">
        <v>0.19042400000000001</v>
      </c>
      <c r="R6780">
        <v>7.929195E-2</v>
      </c>
      <c r="S6780">
        <v>3.0982669999999999</v>
      </c>
      <c r="T6780">
        <v>3.1663299999999998E-2</v>
      </c>
      <c r="U6780">
        <v>-0.46981810000000002</v>
      </c>
      <c r="V6780">
        <v>-8.4208530000000004E-2</v>
      </c>
      <c r="W6780">
        <v>0.20156740000000001</v>
      </c>
      <c r="X6780">
        <v>0.9758481</v>
      </c>
      <c r="Y6780">
        <v>0.14494879999999999</v>
      </c>
      <c r="Z6780">
        <v>-2.028613E-4</v>
      </c>
      <c r="AA6780">
        <v>0.98943910000000002</v>
      </c>
      <c r="AB6780">
        <v>29</v>
      </c>
      <c r="AC6780">
        <v>3.0982669999999999</v>
      </c>
      <c r="AD6780">
        <v>3.1663299999999998E-2</v>
      </c>
      <c r="AE6780">
        <v>-0.46981810000000002</v>
      </c>
      <c r="AF6780">
        <v>0.45417110163062502</v>
      </c>
      <c r="AG6780">
        <v>3.1663299999999998E-2</v>
      </c>
      <c r="AH6780">
        <v>3.1002759939581099</v>
      </c>
      <c r="AI6780">
        <v>89.4210342184914</v>
      </c>
      <c r="AJ6780">
        <v>81.665806602167095</v>
      </c>
      <c r="AK6780">
        <v>3.13352600002557</v>
      </c>
      <c r="AL6780">
        <v>78.371368745206397</v>
      </c>
      <c r="AM6780">
        <v>94.931987645478699</v>
      </c>
      <c r="AN6780">
        <v>1.0000000037705601</v>
      </c>
    </row>
    <row r="6781" spans="1:40" x14ac:dyDescent="0.25">
      <c r="A6781" t="str">
        <f>"20190304155236686"</f>
        <v>20190304155236686</v>
      </c>
      <c r="B6781" t="str">
        <f>"1551685956683713"</f>
        <v>1551685956683713</v>
      </c>
      <c r="C6781" t="s">
        <v>40</v>
      </c>
      <c r="D6781">
        <v>4.7003339999999998</v>
      </c>
      <c r="E6781">
        <v>0.58970990000000001</v>
      </c>
      <c r="F6781" t="s">
        <v>53</v>
      </c>
      <c r="G6781">
        <v>0</v>
      </c>
      <c r="H6781">
        <v>0</v>
      </c>
      <c r="I6781">
        <v>0</v>
      </c>
      <c r="J6781">
        <v>-241.38</v>
      </c>
      <c r="K6781">
        <v>1.110304</v>
      </c>
      <c r="L6781">
        <v>-63.074100000000001</v>
      </c>
      <c r="M6781">
        <v>0.99992170000000002</v>
      </c>
      <c r="N6781">
        <v>-1.1464719999999999E-2</v>
      </c>
      <c r="O6781">
        <v>-5.0330269999999998E-3</v>
      </c>
      <c r="P6781">
        <v>0.97849509999999995</v>
      </c>
      <c r="Q6781">
        <v>0.19073909999999999</v>
      </c>
      <c r="R6781">
        <v>7.8524899999999995E-2</v>
      </c>
      <c r="S6781">
        <v>3.097839</v>
      </c>
      <c r="T6781">
        <v>3.291678E-2</v>
      </c>
      <c r="U6781">
        <v>-0.47283940000000002</v>
      </c>
      <c r="V6781">
        <v>-8.3441589999999996E-2</v>
      </c>
      <c r="W6781">
        <v>0.20194300000000001</v>
      </c>
      <c r="X6781">
        <v>0.97583629999999999</v>
      </c>
      <c r="Y6781">
        <v>0.14591199999999999</v>
      </c>
      <c r="Z6781">
        <v>-1.81075E-4</v>
      </c>
      <c r="AA6781">
        <v>0.9892976</v>
      </c>
      <c r="AB6781">
        <v>29</v>
      </c>
      <c r="AC6781">
        <v>3.097839</v>
      </c>
      <c r="AD6781">
        <v>3.291678E-2</v>
      </c>
      <c r="AE6781">
        <v>-0.47283940000000002</v>
      </c>
      <c r="AF6781">
        <v>0.457190435309621</v>
      </c>
      <c r="AG6781">
        <v>3.291678E-2</v>
      </c>
      <c r="AH6781">
        <v>3.0998377060357498</v>
      </c>
      <c r="AI6781">
        <v>89.398116948412905</v>
      </c>
      <c r="AJ6781">
        <v>81.610017464882205</v>
      </c>
      <c r="AK6781">
        <v>3.13354438492662</v>
      </c>
      <c r="AL6781">
        <v>78.349396325876199</v>
      </c>
      <c r="AM6781">
        <v>94.887346306274097</v>
      </c>
      <c r="AN6781">
        <v>0.99999997929420803</v>
      </c>
    </row>
    <row r="6782" spans="1:40" x14ac:dyDescent="0.25">
      <c r="A6782" t="str">
        <f>"20190304155236698"</f>
        <v>20190304155236698</v>
      </c>
      <c r="B6782" t="str">
        <f>"1551685956693477"</f>
        <v>1551685956693477</v>
      </c>
      <c r="C6782" t="s">
        <v>40</v>
      </c>
      <c r="D6782">
        <v>4.7760199999999999</v>
      </c>
      <c r="E6782">
        <v>0.5897734</v>
      </c>
      <c r="F6782" t="s">
        <v>53</v>
      </c>
      <c r="G6782">
        <v>0</v>
      </c>
      <c r="H6782">
        <v>0</v>
      </c>
      <c r="I6782">
        <v>0</v>
      </c>
      <c r="J6782">
        <v>-241.2337</v>
      </c>
      <c r="K6782">
        <v>1.1103179999999999</v>
      </c>
      <c r="L6782">
        <v>-63.074829999999999</v>
      </c>
      <c r="M6782">
        <v>0.99992099999999995</v>
      </c>
      <c r="N6782">
        <v>-1.153116E-2</v>
      </c>
      <c r="O6782">
        <v>-5.0331680000000002E-3</v>
      </c>
      <c r="P6782">
        <v>0.97849660000000005</v>
      </c>
      <c r="Q6782">
        <v>0.1910355</v>
      </c>
      <c r="R6782">
        <v>7.7784649999999997E-2</v>
      </c>
      <c r="S6782">
        <v>3.097458</v>
      </c>
      <c r="T6782">
        <v>3.4828190000000002E-2</v>
      </c>
      <c r="U6782">
        <v>-0.4775085</v>
      </c>
      <c r="V6782">
        <v>-8.2701449999999996E-2</v>
      </c>
      <c r="W6782">
        <v>0.2023044</v>
      </c>
      <c r="X6782">
        <v>0.97582449999999998</v>
      </c>
      <c r="Y6782">
        <v>0.1473865</v>
      </c>
      <c r="Z6782">
        <v>-1.4501609999999999E-4</v>
      </c>
      <c r="AA6782">
        <v>0.98907889999999998</v>
      </c>
      <c r="AB6782">
        <v>29</v>
      </c>
      <c r="AC6782">
        <v>3.097458</v>
      </c>
      <c r="AD6782">
        <v>3.4828190000000002E-2</v>
      </c>
      <c r="AE6782">
        <v>-0.4775085</v>
      </c>
      <c r="AF6782">
        <v>0.46185435333288499</v>
      </c>
      <c r="AG6782">
        <v>3.4828190000000002E-2</v>
      </c>
      <c r="AH6782">
        <v>3.09943953471151</v>
      </c>
      <c r="AI6782">
        <v>89.363228578713802</v>
      </c>
      <c r="AJ6782">
        <v>81.524592865065799</v>
      </c>
      <c r="AK6782">
        <v>3.1338551140478601</v>
      </c>
      <c r="AL6782">
        <v>78.328253807153501</v>
      </c>
      <c r="AM6782">
        <v>94.844260288769902</v>
      </c>
      <c r="AN6782">
        <v>1.00000002744585</v>
      </c>
    </row>
    <row r="6783" spans="1:40" x14ac:dyDescent="0.25">
      <c r="A6783" t="str">
        <f>"20190304155236710"</f>
        <v>20190304155236710</v>
      </c>
      <c r="B6783" t="str">
        <f>"1551685956704210"</f>
        <v>1551685956704210</v>
      </c>
      <c r="C6783" t="s">
        <v>40</v>
      </c>
      <c r="D6783">
        <v>4.7469130000000002</v>
      </c>
      <c r="E6783">
        <v>0.58984139999999996</v>
      </c>
      <c r="F6783" t="s">
        <v>53</v>
      </c>
      <c r="G6783">
        <v>0</v>
      </c>
      <c r="H6783">
        <v>0</v>
      </c>
      <c r="I6783">
        <v>0</v>
      </c>
      <c r="J6783">
        <v>-241.0838</v>
      </c>
      <c r="K6783">
        <v>1.11032999999999</v>
      </c>
      <c r="L6783">
        <v>-63.075589999999998</v>
      </c>
      <c r="M6783">
        <v>0.99992009999999998</v>
      </c>
      <c r="N6783">
        <v>-1.1599999999999999E-2</v>
      </c>
      <c r="O6783">
        <v>-5.033325E-3</v>
      </c>
      <c r="P6783">
        <v>0.97849390000000003</v>
      </c>
      <c r="Q6783">
        <v>0.19128319999999999</v>
      </c>
      <c r="R6783">
        <v>7.7203830000000001E-2</v>
      </c>
      <c r="S6783">
        <v>3.0969389999999999</v>
      </c>
      <c r="T6783">
        <v>3.6831379999999997E-2</v>
      </c>
      <c r="U6783">
        <v>-0.4803772</v>
      </c>
      <c r="V6783">
        <v>-8.2120869999999999E-2</v>
      </c>
      <c r="W6783">
        <v>0.2026191</v>
      </c>
      <c r="X6783">
        <v>0.97580820000000001</v>
      </c>
      <c r="Y6783">
        <v>0.14830560000000001</v>
      </c>
      <c r="Z6783">
        <v>-1.062393E-4</v>
      </c>
      <c r="AA6783">
        <v>0.98894159999999998</v>
      </c>
      <c r="AB6783">
        <v>29</v>
      </c>
      <c r="AC6783">
        <v>3.0969389999999999</v>
      </c>
      <c r="AD6783">
        <v>3.6831379999999997E-2</v>
      </c>
      <c r="AE6783">
        <v>-0.4803772</v>
      </c>
      <c r="AF6783">
        <v>0.46471798038677498</v>
      </c>
      <c r="AG6783">
        <v>3.6831379999999997E-2</v>
      </c>
      <c r="AH6783">
        <v>3.0988898146889099</v>
      </c>
      <c r="AI6783">
        <v>89.326581246964693</v>
      </c>
      <c r="AJ6783">
        <v>81.471322756791295</v>
      </c>
      <c r="AK6783">
        <v>3.1337577180487601</v>
      </c>
      <c r="AL6783">
        <v>78.3098410672889</v>
      </c>
      <c r="AM6783">
        <v>94.810492776319407</v>
      </c>
      <c r="AN6783">
        <v>0.99999999008080298</v>
      </c>
    </row>
    <row r="6784" spans="1:40" x14ac:dyDescent="0.25">
      <c r="A6784" t="str">
        <f>"20190304155236719"</f>
        <v>20190304155236719</v>
      </c>
      <c r="B6784" t="str">
        <f>"1551685956713969"</f>
        <v>1551685956713969</v>
      </c>
      <c r="C6784" t="s">
        <v>40</v>
      </c>
      <c r="D6784">
        <v>4.8152499999999998</v>
      </c>
      <c r="E6784">
        <v>0.59004209999999901</v>
      </c>
      <c r="F6784" t="s">
        <v>53</v>
      </c>
      <c r="G6784">
        <v>0</v>
      </c>
      <c r="H6784">
        <v>0</v>
      </c>
      <c r="I6784">
        <v>0</v>
      </c>
      <c r="J6784">
        <v>-240.94540000000001</v>
      </c>
      <c r="K6784">
        <v>1.110341</v>
      </c>
      <c r="L6784">
        <v>-63.07629</v>
      </c>
      <c r="M6784">
        <v>0.99991940000000001</v>
      </c>
      <c r="N6784">
        <v>-1.1665409999999999E-2</v>
      </c>
      <c r="O6784">
        <v>-5.0333490000000003E-3</v>
      </c>
      <c r="P6784">
        <v>0.97843720000000001</v>
      </c>
      <c r="Q6784">
        <v>0.19178729999999999</v>
      </c>
      <c r="R6784">
        <v>7.667272E-2</v>
      </c>
      <c r="S6784">
        <v>3.0965579999999999</v>
      </c>
      <c r="T6784">
        <v>3.8233759999999999E-2</v>
      </c>
      <c r="U6784">
        <v>-0.48284909999999998</v>
      </c>
      <c r="V6784">
        <v>-8.158899E-2</v>
      </c>
      <c r="W6784">
        <v>0.20318639999999999</v>
      </c>
      <c r="X6784">
        <v>0.97573489999999996</v>
      </c>
      <c r="Y6784">
        <v>0.14909449999999999</v>
      </c>
      <c r="Z6784" s="1">
        <v>-8.0124239999999997E-5</v>
      </c>
      <c r="AA6784">
        <v>0.98882289999999995</v>
      </c>
      <c r="AB6784">
        <v>29</v>
      </c>
      <c r="AC6784">
        <v>3.0965579999999999</v>
      </c>
      <c r="AD6784">
        <v>3.8233759999999999E-2</v>
      </c>
      <c r="AE6784">
        <v>-0.48284909999999998</v>
      </c>
      <c r="AF6784">
        <v>0.46718633353087602</v>
      </c>
      <c r="AG6784">
        <v>3.8233759999999999E-2</v>
      </c>
      <c r="AH6784">
        <v>3.0984881220146199</v>
      </c>
      <c r="AI6784">
        <v>89.300936131576293</v>
      </c>
      <c r="AJ6784">
        <v>81.425599102603897</v>
      </c>
      <c r="AK6784">
        <v>3.1337443311328799</v>
      </c>
      <c r="AL6784">
        <v>78.276647234049605</v>
      </c>
      <c r="AM6784">
        <v>94.779838389391401</v>
      </c>
      <c r="AN6784">
        <v>1.0000000357560901</v>
      </c>
    </row>
    <row r="6785" spans="1:40" x14ac:dyDescent="0.25">
      <c r="A6785" t="str">
        <f>"20190304155236732"</f>
        <v>20190304155236732</v>
      </c>
      <c r="B6785" t="str">
        <f>"1551685956723729"</f>
        <v>1551685956723729</v>
      </c>
      <c r="C6785" t="s">
        <v>40</v>
      </c>
      <c r="D6785">
        <v>4.7464490000000001</v>
      </c>
      <c r="E6785">
        <v>0.58997630000000001</v>
      </c>
      <c r="F6785" t="s">
        <v>53</v>
      </c>
      <c r="G6785">
        <v>0</v>
      </c>
      <c r="H6785">
        <v>0</v>
      </c>
      <c r="I6785">
        <v>0</v>
      </c>
      <c r="J6785">
        <v>-240.8032</v>
      </c>
      <c r="K6785">
        <v>1.110358</v>
      </c>
      <c r="L6785">
        <v>-63.076999999999998</v>
      </c>
      <c r="M6785">
        <v>0.99991859999999999</v>
      </c>
      <c r="N6785">
        <v>-1.1731979999999999E-2</v>
      </c>
      <c r="O6785">
        <v>-5.0332620000000002E-3</v>
      </c>
      <c r="P6785">
        <v>0.97842450000000003</v>
      </c>
      <c r="Q6785">
        <v>0.19213730000000001</v>
      </c>
      <c r="R6785">
        <v>7.595375E-2</v>
      </c>
      <c r="S6785">
        <v>3.0964969999999998</v>
      </c>
      <c r="T6785">
        <v>3.9383170000000002E-2</v>
      </c>
      <c r="U6785">
        <v>-0.48605350000000003</v>
      </c>
      <c r="V6785">
        <v>-8.0869999999999997E-2</v>
      </c>
      <c r="W6785">
        <v>0.203601</v>
      </c>
      <c r="X6785">
        <v>0.97570829999999997</v>
      </c>
      <c r="Y6785">
        <v>0.15009610000000001</v>
      </c>
      <c r="Z6785" s="1">
        <v>-5.9502079999999999E-5</v>
      </c>
      <c r="AA6785">
        <v>0.98867139999999998</v>
      </c>
      <c r="AB6785">
        <v>29</v>
      </c>
      <c r="AC6785">
        <v>3.0964969999999998</v>
      </c>
      <c r="AD6785">
        <v>3.9383170000000002E-2</v>
      </c>
      <c r="AE6785">
        <v>-0.48605350000000003</v>
      </c>
      <c r="AF6785">
        <v>0.47038652882629101</v>
      </c>
      <c r="AG6785">
        <v>3.9383170000000002E-2</v>
      </c>
      <c r="AH6785">
        <v>3.0984152167935899</v>
      </c>
      <c r="AI6785">
        <v>89.280015990847801</v>
      </c>
      <c r="AJ6785">
        <v>81.3675468029179</v>
      </c>
      <c r="AK6785">
        <v>3.1341651801139299</v>
      </c>
      <c r="AL6785">
        <v>78.252384895529005</v>
      </c>
      <c r="AM6785">
        <v>94.738038003221405</v>
      </c>
      <c r="AN6785">
        <v>1.0000000053949401</v>
      </c>
    </row>
    <row r="6786" spans="1:40" x14ac:dyDescent="0.25">
      <c r="A6786" t="str">
        <f>"20190304155236743"</f>
        <v>20190304155236743</v>
      </c>
      <c r="B6786" t="str">
        <f>"1551685956733489"</f>
        <v>1551685956733489</v>
      </c>
      <c r="C6786" t="s">
        <v>40</v>
      </c>
      <c r="D6786">
        <v>4.7627090000000001</v>
      </c>
      <c r="E6786">
        <v>0.59015819999999997</v>
      </c>
      <c r="F6786" t="s">
        <v>53</v>
      </c>
      <c r="G6786">
        <v>0</v>
      </c>
      <c r="H6786">
        <v>0</v>
      </c>
      <c r="I6786">
        <v>0</v>
      </c>
      <c r="J6786">
        <v>-240.65289999999999</v>
      </c>
      <c r="K6786">
        <v>1.1103670000000001</v>
      </c>
      <c r="L6786">
        <v>-63.077759999999998</v>
      </c>
      <c r="M6786">
        <v>0.99991770000000002</v>
      </c>
      <c r="N6786">
        <v>-1.180106E-2</v>
      </c>
      <c r="O6786">
        <v>-5.0329540000000001E-3</v>
      </c>
      <c r="P6786">
        <v>0.9783908</v>
      </c>
      <c r="Q6786">
        <v>0.19252710000000001</v>
      </c>
      <c r="R6786">
        <v>7.5397220000000001E-2</v>
      </c>
      <c r="S6786">
        <v>3.0959629999999998</v>
      </c>
      <c r="T6786">
        <v>4.1139719999999998E-2</v>
      </c>
      <c r="U6786">
        <v>-0.48782350000000002</v>
      </c>
      <c r="V6786">
        <v>-8.0312679999999997E-2</v>
      </c>
      <c r="W6786">
        <v>0.2040585</v>
      </c>
      <c r="X6786">
        <v>0.97565880000000005</v>
      </c>
      <c r="Y6786">
        <v>0.15067359999999999</v>
      </c>
      <c r="Z6786" s="1">
        <v>-2.5123940000000001E-5</v>
      </c>
      <c r="AA6786">
        <v>0.98858360000000001</v>
      </c>
      <c r="AB6786">
        <v>29</v>
      </c>
      <c r="AC6786">
        <v>3.0959629999999998</v>
      </c>
      <c r="AD6786">
        <v>4.1139719999999998E-2</v>
      </c>
      <c r="AE6786">
        <v>-0.48782350000000002</v>
      </c>
      <c r="AF6786">
        <v>0.47215304515520601</v>
      </c>
      <c r="AG6786">
        <v>4.1139719999999998E-2</v>
      </c>
      <c r="AH6786">
        <v>3.09784539446028</v>
      </c>
      <c r="AI6786">
        <v>89.247835767109706</v>
      </c>
      <c r="AJ6786">
        <v>81.334049534364596</v>
      </c>
      <c r="AK6786">
        <v>3.1338900846375899</v>
      </c>
      <c r="AL6786">
        <v>78.225610457917597</v>
      </c>
      <c r="AM6786">
        <v>94.705770350716506</v>
      </c>
      <c r="AN6786">
        <v>1.00000004600423</v>
      </c>
    </row>
    <row r="6787" spans="1:40" x14ac:dyDescent="0.25">
      <c r="A6787" t="str">
        <f>"20190304155236755"</f>
        <v>20190304155236755</v>
      </c>
      <c r="B6787" t="str">
        <f>"1551685956744226"</f>
        <v>1551685956744226</v>
      </c>
      <c r="C6787" t="s">
        <v>40</v>
      </c>
      <c r="D6787">
        <v>5.1118980000000001</v>
      </c>
      <c r="E6787">
        <v>0.59015819999999997</v>
      </c>
      <c r="F6787" t="s">
        <v>53</v>
      </c>
      <c r="G6787">
        <v>0</v>
      </c>
      <c r="H6787">
        <v>0</v>
      </c>
      <c r="I6787">
        <v>0</v>
      </c>
      <c r="J6787">
        <v>-240.5016</v>
      </c>
      <c r="K6787">
        <v>1.1103769999999999</v>
      </c>
      <c r="L6787">
        <v>-63.078519999999997</v>
      </c>
      <c r="M6787">
        <v>0.99991699999999994</v>
      </c>
      <c r="N6787">
        <v>-1.186919E-2</v>
      </c>
      <c r="O6787">
        <v>-5.0330000000000001E-3</v>
      </c>
      <c r="P6787">
        <v>0.97845740000000003</v>
      </c>
      <c r="Q6787">
        <v>0.1924894</v>
      </c>
      <c r="R6787">
        <v>7.4628040000000007E-2</v>
      </c>
      <c r="S6787">
        <v>3.0957340000000002</v>
      </c>
      <c r="T6787">
        <v>4.2353870000000002E-2</v>
      </c>
      <c r="U6787">
        <v>-0.49072270000000001</v>
      </c>
      <c r="V6787">
        <v>-7.9544100000000006E-2</v>
      </c>
      <c r="W6787">
        <v>0.20408750000000001</v>
      </c>
      <c r="X6787">
        <v>0.97571560000000002</v>
      </c>
      <c r="Y6787">
        <v>0.15158769999999999</v>
      </c>
      <c r="Z6787" s="1">
        <v>-2.5373880000000001E-6</v>
      </c>
      <c r="AA6787">
        <v>0.98844379999999998</v>
      </c>
      <c r="AB6787">
        <v>29</v>
      </c>
      <c r="AC6787">
        <v>3.0957340000000002</v>
      </c>
      <c r="AD6787">
        <v>4.2353870000000002E-2</v>
      </c>
      <c r="AE6787">
        <v>-0.49072270000000001</v>
      </c>
      <c r="AF6787">
        <v>0.47504781885160802</v>
      </c>
      <c r="AG6787">
        <v>4.2353870000000002E-2</v>
      </c>
      <c r="AH6787">
        <v>3.0975991701050098</v>
      </c>
      <c r="AI6787">
        <v>89.225687882423699</v>
      </c>
      <c r="AJ6787">
        <v>81.281050068104705</v>
      </c>
      <c r="AK6787">
        <v>3.1341003332910198</v>
      </c>
      <c r="AL6787">
        <v>78.223912036600794</v>
      </c>
      <c r="AM6787">
        <v>94.660666082025898</v>
      </c>
      <c r="AN6787">
        <v>0.99999995179220802</v>
      </c>
    </row>
    <row r="6788" spans="1:40" x14ac:dyDescent="0.25">
      <c r="A6788" t="str">
        <f>"20190304155236767"</f>
        <v>20190304155236767</v>
      </c>
      <c r="B6788" t="str">
        <f>"1551685956763745"</f>
        <v>1551685956763745</v>
      </c>
      <c r="C6788" t="s">
        <v>40</v>
      </c>
      <c r="D6788">
        <v>5.2215089999999904</v>
      </c>
      <c r="E6788">
        <v>0.58951569999999998</v>
      </c>
      <c r="F6788" t="s">
        <v>53</v>
      </c>
      <c r="G6788">
        <v>0</v>
      </c>
      <c r="H6788">
        <v>0</v>
      </c>
      <c r="I6788">
        <v>0</v>
      </c>
      <c r="J6788">
        <v>-240.34530000000001</v>
      </c>
      <c r="K6788">
        <v>1.110385</v>
      </c>
      <c r="L6788">
        <v>-63.079320000000003</v>
      </c>
      <c r="M6788">
        <v>0.99991620000000003</v>
      </c>
      <c r="N6788">
        <v>-1.19387E-2</v>
      </c>
      <c r="O6788">
        <v>-5.0327000000000002E-3</v>
      </c>
      <c r="P6788">
        <v>0.97853460000000003</v>
      </c>
      <c r="Q6788">
        <v>0.19223019999999999</v>
      </c>
      <c r="R6788">
        <v>7.4281340000000001E-2</v>
      </c>
      <c r="S6788">
        <v>3.095383</v>
      </c>
      <c r="T6788">
        <v>4.2068599999999998E-2</v>
      </c>
      <c r="U6788">
        <v>-0.49307250000000002</v>
      </c>
      <c r="V6788">
        <v>-7.9197879999999998E-2</v>
      </c>
      <c r="W6788">
        <v>0.20389740000000001</v>
      </c>
      <c r="X6788">
        <v>0.97578350000000003</v>
      </c>
      <c r="Y6788">
        <v>0.15233729999999901</v>
      </c>
      <c r="Z6788" s="1">
        <v>-1.409953E-5</v>
      </c>
      <c r="AA6788">
        <v>0.9883286</v>
      </c>
      <c r="AB6788">
        <v>29</v>
      </c>
      <c r="AC6788">
        <v>3.095383</v>
      </c>
      <c r="AD6788">
        <v>4.2068599999999998E-2</v>
      </c>
      <c r="AE6788">
        <v>-0.49307250000000002</v>
      </c>
      <c r="AF6788">
        <v>0.47740101454678002</v>
      </c>
      <c r="AG6788">
        <v>4.2068599999999998E-2</v>
      </c>
      <c r="AH6788">
        <v>3.09726752157759</v>
      </c>
      <c r="AI6788">
        <v>89.230909863690897</v>
      </c>
      <c r="AJ6788">
        <v>81.237604837189593</v>
      </c>
      <c r="AK6788">
        <v>3.1341262890980701</v>
      </c>
      <c r="AL6788">
        <v>78.235037850310505</v>
      </c>
      <c r="AM6788">
        <v>94.640147570618794</v>
      </c>
      <c r="AN6788">
        <v>0.99999994639775003</v>
      </c>
    </row>
    <row r="6789" spans="1:40" x14ac:dyDescent="0.25">
      <c r="A6789" t="str">
        <f>"20190304155236779"</f>
        <v>20190304155236779</v>
      </c>
      <c r="B6789" t="str">
        <f>"1551685956773505"</f>
        <v>1551685956773505</v>
      </c>
      <c r="C6789" t="s">
        <v>40</v>
      </c>
      <c r="D6789">
        <v>8.0864770000000004</v>
      </c>
      <c r="E6789">
        <v>0.58928409999999998</v>
      </c>
      <c r="F6789" t="s">
        <v>53</v>
      </c>
      <c r="G6789">
        <v>0</v>
      </c>
      <c r="H6789">
        <v>0</v>
      </c>
      <c r="I6789">
        <v>0</v>
      </c>
      <c r="J6789">
        <v>-240.20079999999999</v>
      </c>
      <c r="K6789">
        <v>1.1103940000000001</v>
      </c>
      <c r="L6789">
        <v>-63.08005</v>
      </c>
      <c r="M6789">
        <v>0.99991529999999995</v>
      </c>
      <c r="N6789">
        <v>-1.2002489999999999E-2</v>
      </c>
      <c r="O6789">
        <v>-5.0326040000000004E-3</v>
      </c>
      <c r="P6789">
        <v>0.97859739999999995</v>
      </c>
      <c r="Q6789">
        <v>0.19200780000000001</v>
      </c>
      <c r="R6789">
        <v>7.4028880000000005E-2</v>
      </c>
      <c r="S6789">
        <v>3.095901</v>
      </c>
      <c r="T6789">
        <v>3.5927180000000003E-2</v>
      </c>
      <c r="U6789">
        <v>-0.4891663</v>
      </c>
      <c r="V6789">
        <v>-7.8945119999999994E-2</v>
      </c>
      <c r="W6789">
        <v>0.2037378</v>
      </c>
      <c r="X6789">
        <v>0.97583730000000002</v>
      </c>
      <c r="Y6789">
        <v>0.15109690000000001</v>
      </c>
      <c r="Z6789">
        <v>-1.5917270000000001E-4</v>
      </c>
      <c r="AA6789">
        <v>0.98851900000000004</v>
      </c>
      <c r="AB6789">
        <v>29</v>
      </c>
      <c r="AC6789">
        <v>3.095901</v>
      </c>
      <c r="AD6789">
        <v>3.5927180000000003E-2</v>
      </c>
      <c r="AE6789">
        <v>-0.4891663</v>
      </c>
      <c r="AF6789">
        <v>0.47351632290805001</v>
      </c>
      <c r="AG6789">
        <v>3.5927180000000003E-2</v>
      </c>
      <c r="AH6789">
        <v>3.0979167107851899</v>
      </c>
      <c r="AI6789">
        <v>89.343186419129495</v>
      </c>
      <c r="AJ6789">
        <v>81.309606268728203</v>
      </c>
      <c r="AK6789">
        <v>3.13410217084339</v>
      </c>
      <c r="AL6789">
        <v>78.244378123924406</v>
      </c>
      <c r="AM6789">
        <v>94.625148999227207</v>
      </c>
      <c r="AN6789">
        <v>0.99999992959596895</v>
      </c>
    </row>
    <row r="6790" spans="1:40" x14ac:dyDescent="0.25">
      <c r="A6790" t="str">
        <f>"20190304155236791"</f>
        <v>20190304155236791</v>
      </c>
      <c r="B6790" t="str">
        <f>"1551685956784242"</f>
        <v>1551685956784242</v>
      </c>
      <c r="C6790" t="s">
        <v>40</v>
      </c>
      <c r="D6790">
        <v>5.1721779999999997</v>
      </c>
      <c r="E6790">
        <v>0.58929309999999901</v>
      </c>
      <c r="F6790" t="s">
        <v>53</v>
      </c>
      <c r="G6790">
        <v>0</v>
      </c>
      <c r="H6790">
        <v>0</v>
      </c>
      <c r="I6790">
        <v>0</v>
      </c>
      <c r="J6790">
        <v>-240.0497</v>
      </c>
      <c r="K6790">
        <v>1.110401</v>
      </c>
      <c r="L6790">
        <v>-63.08081</v>
      </c>
      <c r="M6790">
        <v>0.99991450000000004</v>
      </c>
      <c r="N6790">
        <v>-1.2069180000000001E-2</v>
      </c>
      <c r="O6790">
        <v>-5.0325279999999997E-3</v>
      </c>
      <c r="P6790">
        <v>0.97862819999999995</v>
      </c>
      <c r="Q6790">
        <v>0.19190399999999999</v>
      </c>
      <c r="R6790">
        <v>7.3891079999999998E-2</v>
      </c>
      <c r="S6790">
        <v>3.0959629999999998</v>
      </c>
      <c r="T6790">
        <v>3.346002E-2</v>
      </c>
      <c r="U6790">
        <v>-0.48831180000000002</v>
      </c>
      <c r="V6790">
        <v>-7.8807550000000004E-2</v>
      </c>
      <c r="W6790">
        <v>0.20369950000000001</v>
      </c>
      <c r="X6790">
        <v>0.97585650000000002</v>
      </c>
      <c r="Y6790">
        <v>0.1508283</v>
      </c>
      <c r="Z6790">
        <v>-2.2020920000000001E-4</v>
      </c>
      <c r="AA6790">
        <v>0.98855999999999999</v>
      </c>
      <c r="AB6790">
        <v>29</v>
      </c>
      <c r="AC6790">
        <v>3.0959629999999998</v>
      </c>
      <c r="AD6790">
        <v>3.346002E-2</v>
      </c>
      <c r="AE6790">
        <v>-0.48831180000000002</v>
      </c>
      <c r="AF6790">
        <v>0.47267009007939098</v>
      </c>
      <c r="AG6790">
        <v>3.346002E-2</v>
      </c>
      <c r="AH6790">
        <v>3.0980283301140799</v>
      </c>
      <c r="AI6790">
        <v>89.388283597708394</v>
      </c>
      <c r="AJ6790">
        <v>81.325208409762894</v>
      </c>
      <c r="AK6790">
        <v>3.13405745339543</v>
      </c>
      <c r="AL6790">
        <v>78.246620543747696</v>
      </c>
      <c r="AM6790">
        <v>94.617033628910093</v>
      </c>
      <c r="AN6790">
        <v>1.0000000124147499</v>
      </c>
    </row>
    <row r="6791" spans="1:40" x14ac:dyDescent="0.25">
      <c r="A6791" t="str">
        <f>"20190304155236799"</f>
        <v>20190304155236799</v>
      </c>
      <c r="B6791" t="str">
        <f>"1551685956794002"</f>
        <v>1551685956794002</v>
      </c>
      <c r="C6791" t="s">
        <v>40</v>
      </c>
      <c r="D6791">
        <v>5.2115200000000002</v>
      </c>
      <c r="E6791">
        <v>0.58921969999999901</v>
      </c>
      <c r="F6791" t="s">
        <v>53</v>
      </c>
      <c r="G6791">
        <v>0</v>
      </c>
      <c r="H6791">
        <v>0</v>
      </c>
      <c r="I6791">
        <v>0</v>
      </c>
      <c r="J6791">
        <v>-239.92410000000001</v>
      </c>
      <c r="K6791">
        <v>1.1104050000000001</v>
      </c>
      <c r="L6791">
        <v>-63.081420000000001</v>
      </c>
      <c r="M6791">
        <v>0.99991390000000002</v>
      </c>
      <c r="N6791">
        <v>-1.21248E-2</v>
      </c>
      <c r="O6791">
        <v>-5.0325049999999996E-3</v>
      </c>
      <c r="P6791">
        <v>0.97868449999999996</v>
      </c>
      <c r="Q6791">
        <v>0.19171650000000001</v>
      </c>
      <c r="R6791">
        <v>7.3631479999999999E-2</v>
      </c>
      <c r="S6791">
        <v>3.0967099999999999</v>
      </c>
      <c r="T6791">
        <v>2.9419899999999999E-2</v>
      </c>
      <c r="U6791">
        <v>-0.4891663</v>
      </c>
      <c r="V6791">
        <v>-7.854825E-2</v>
      </c>
      <c r="W6791">
        <v>0.20356740000000001</v>
      </c>
      <c r="X6791">
        <v>0.97590489999999996</v>
      </c>
      <c r="Y6791">
        <v>0.15105839999999901</v>
      </c>
      <c r="Z6791">
        <v>-3.1648599999999999E-4</v>
      </c>
      <c r="AA6791">
        <v>0.98852479999999998</v>
      </c>
      <c r="AB6791">
        <v>29</v>
      </c>
      <c r="AC6791">
        <v>3.0967099999999999</v>
      </c>
      <c r="AD6791">
        <v>2.9419899999999999E-2</v>
      </c>
      <c r="AE6791">
        <v>-0.4891663</v>
      </c>
      <c r="AF6791">
        <v>0.47353305240943999</v>
      </c>
      <c r="AG6791">
        <v>2.9419899999999999E-2</v>
      </c>
      <c r="AH6791">
        <v>3.0988598079015901</v>
      </c>
      <c r="AI6791">
        <v>89.462303838326903</v>
      </c>
      <c r="AJ6791">
        <v>81.311908456923007</v>
      </c>
      <c r="AK6791">
        <v>3.13496908936406</v>
      </c>
      <c r="AL6791">
        <v>78.254350480639204</v>
      </c>
      <c r="AM6791">
        <v>94.601680336388597</v>
      </c>
      <c r="AN6791">
        <v>0.99999994388241398</v>
      </c>
    </row>
    <row r="6792" spans="1:40" x14ac:dyDescent="0.25">
      <c r="A6792" t="str">
        <f>"20190304155236811"</f>
        <v>20190304155236811</v>
      </c>
      <c r="B6792" t="str">
        <f>"1551685956803762"</f>
        <v>1551685956803762</v>
      </c>
      <c r="C6792" t="s">
        <v>40</v>
      </c>
      <c r="D6792">
        <v>7.4579179999999896</v>
      </c>
      <c r="E6792">
        <v>0.58937229999999996</v>
      </c>
      <c r="F6792" t="s">
        <v>53</v>
      </c>
      <c r="G6792">
        <v>0</v>
      </c>
      <c r="H6792">
        <v>0</v>
      </c>
      <c r="I6792">
        <v>0</v>
      </c>
      <c r="J6792">
        <v>-239.78579999999999</v>
      </c>
      <c r="K6792">
        <v>1.110412</v>
      </c>
      <c r="L6792">
        <v>-63.082120000000003</v>
      </c>
      <c r="M6792">
        <v>0.9999131</v>
      </c>
      <c r="N6792">
        <v>-1.218604E-2</v>
      </c>
      <c r="O6792">
        <v>-5.0325190000000001E-3</v>
      </c>
      <c r="P6792">
        <v>0.9787188</v>
      </c>
      <c r="Q6792">
        <v>0.1915692</v>
      </c>
      <c r="R6792">
        <v>7.3556570000000002E-2</v>
      </c>
      <c r="S6792">
        <v>3.0973359999999999</v>
      </c>
      <c r="T6792">
        <v>2.4673339999999998E-2</v>
      </c>
      <c r="U6792">
        <v>-0.48944090000000001</v>
      </c>
      <c r="V6792">
        <v>-7.8473860000000006E-2</v>
      </c>
      <c r="W6792">
        <v>0.2034801</v>
      </c>
      <c r="X6792">
        <v>0.97592909999999999</v>
      </c>
      <c r="Y6792">
        <v>0.15111359999999999</v>
      </c>
      <c r="Z6792">
        <v>-4.2906919999999998E-4</v>
      </c>
      <c r="AA6792">
        <v>0.98851630000000001</v>
      </c>
      <c r="AB6792">
        <v>29</v>
      </c>
      <c r="AC6792">
        <v>3.0973359999999999</v>
      </c>
      <c r="AD6792">
        <v>2.4673339999999998E-2</v>
      </c>
      <c r="AE6792">
        <v>-0.48944090000000001</v>
      </c>
      <c r="AF6792">
        <v>0.473816807208294</v>
      </c>
      <c r="AG6792">
        <v>2.4673339999999998E-2</v>
      </c>
      <c r="AH6792">
        <v>3.0995681780438802</v>
      </c>
      <c r="AI6792">
        <v>89.549157824453602</v>
      </c>
      <c r="AJ6792">
        <v>81.308738201599994</v>
      </c>
      <c r="AK6792">
        <v>3.1356712249281</v>
      </c>
      <c r="AL6792">
        <v>78.259459439393495</v>
      </c>
      <c r="AM6792">
        <v>94.597227442724602</v>
      </c>
      <c r="AN6792">
        <v>0.999999953013058</v>
      </c>
    </row>
    <row r="6793" spans="1:40" x14ac:dyDescent="0.25">
      <c r="A6793" t="str">
        <f>"20190304155236824"</f>
        <v>20190304155236824</v>
      </c>
      <c r="B6793" t="str">
        <f>"1551685956813522"</f>
        <v>1551685956813522</v>
      </c>
      <c r="C6793" t="s">
        <v>40</v>
      </c>
      <c r="D6793">
        <v>5.2325660000000003</v>
      </c>
      <c r="E6793">
        <v>0.58920329999999999</v>
      </c>
      <c r="F6793" t="s">
        <v>53</v>
      </c>
      <c r="G6793">
        <v>0</v>
      </c>
      <c r="H6793">
        <v>0</v>
      </c>
      <c r="I6793">
        <v>0</v>
      </c>
      <c r="J6793">
        <v>-239.62139999999999</v>
      </c>
      <c r="K6793">
        <v>1.1104210000000001</v>
      </c>
      <c r="L6793">
        <v>-63.082949999999997</v>
      </c>
      <c r="M6793">
        <v>0.99991229999999998</v>
      </c>
      <c r="N6793">
        <v>-1.225883E-2</v>
      </c>
      <c r="O6793">
        <v>-5.0326059999999898E-3</v>
      </c>
      <c r="P6793">
        <v>0.97871450000000004</v>
      </c>
      <c r="Q6793">
        <v>0.1915174</v>
      </c>
      <c r="R6793">
        <v>7.3753250000000006E-2</v>
      </c>
      <c r="S6793">
        <v>3.0978699999999999</v>
      </c>
      <c r="T6793">
        <v>2.1801350000000001E-2</v>
      </c>
      <c r="U6793">
        <v>-0.49099730000000003</v>
      </c>
      <c r="V6793">
        <v>-7.8670850000000001E-2</v>
      </c>
      <c r="W6793">
        <v>0.20349880000000001</v>
      </c>
      <c r="X6793">
        <v>0.97590940000000004</v>
      </c>
      <c r="Y6793">
        <v>0.15157190000000001</v>
      </c>
      <c r="Z6793">
        <v>-5.013153E-4</v>
      </c>
      <c r="AA6793">
        <v>0.98844609999999999</v>
      </c>
      <c r="AB6793">
        <v>29</v>
      </c>
      <c r="AC6793">
        <v>3.0978699999999999</v>
      </c>
      <c r="AD6793">
        <v>2.1801350000000001E-2</v>
      </c>
      <c r="AE6793">
        <v>-0.49099730000000003</v>
      </c>
      <c r="AF6793">
        <v>0.47537658524469001</v>
      </c>
      <c r="AG6793">
        <v>2.1801350000000001E-2</v>
      </c>
      <c r="AH6793">
        <v>3.1001521670508101</v>
      </c>
      <c r="AI6793">
        <v>89.601737592304303</v>
      </c>
      <c r="AJ6793">
        <v>81.282183345773007</v>
      </c>
      <c r="AK6793">
        <v>3.1364632399456802</v>
      </c>
      <c r="AL6793">
        <v>78.258365797886697</v>
      </c>
      <c r="AM6793">
        <v>94.608810671282299</v>
      </c>
      <c r="AN6793">
        <v>1.00000001062476</v>
      </c>
    </row>
    <row r="6794" spans="1:40" x14ac:dyDescent="0.25">
      <c r="A6794" t="str">
        <f>"20190304155236834"</f>
        <v>20190304155236834</v>
      </c>
      <c r="B6794" t="str">
        <f>"1551685956824258"</f>
        <v>1551685956824258</v>
      </c>
      <c r="C6794" t="s">
        <v>40</v>
      </c>
      <c r="D6794">
        <v>7.5332149999999896</v>
      </c>
      <c r="E6794">
        <v>0.58942190000000005</v>
      </c>
      <c r="F6794" t="s">
        <v>53</v>
      </c>
      <c r="G6794">
        <v>0</v>
      </c>
      <c r="H6794">
        <v>0</v>
      </c>
      <c r="I6794">
        <v>0</v>
      </c>
      <c r="J6794">
        <v>-239.48570000000001</v>
      </c>
      <c r="K6794">
        <v>1.1104290000000001</v>
      </c>
      <c r="L6794">
        <v>-63.083649999999999</v>
      </c>
      <c r="M6794">
        <v>0.99991140000000001</v>
      </c>
      <c r="N6794">
        <v>-1.2318859999999999E-2</v>
      </c>
      <c r="O6794">
        <v>-5.0324970000000004E-3</v>
      </c>
      <c r="P6794">
        <v>0.97872559999999997</v>
      </c>
      <c r="Q6794">
        <v>0.19147230000000001</v>
      </c>
      <c r="R6794">
        <v>7.3719880000000002E-2</v>
      </c>
      <c r="S6794">
        <v>3.098068</v>
      </c>
      <c r="T6794">
        <v>2.050424E-2</v>
      </c>
      <c r="U6794">
        <v>-0.48904419999999998</v>
      </c>
      <c r="V6794">
        <v>-7.8637109999999996E-2</v>
      </c>
      <c r="W6794">
        <v>0.20351279999999999</v>
      </c>
      <c r="X6794">
        <v>0.97590920000000003</v>
      </c>
      <c r="Y6794">
        <v>0.15095430000000001</v>
      </c>
      <c r="Z6794">
        <v>-5.337998E-4</v>
      </c>
      <c r="AA6794">
        <v>0.98854059999999999</v>
      </c>
      <c r="AB6794">
        <v>29</v>
      </c>
      <c r="AC6794">
        <v>3.098068</v>
      </c>
      <c r="AD6794">
        <v>2.050424E-2</v>
      </c>
      <c r="AE6794">
        <v>-0.48904419999999998</v>
      </c>
      <c r="AF6794">
        <v>0.47342557096196802</v>
      </c>
      <c r="AG6794">
        <v>2.050424E-2</v>
      </c>
      <c r="AH6794">
        <v>3.1003575595602499</v>
      </c>
      <c r="AI6794">
        <v>89.625421227607902</v>
      </c>
      <c r="AJ6794">
        <v>81.317982617861503</v>
      </c>
      <c r="AK6794">
        <v>3.1363624140429098</v>
      </c>
      <c r="AL6794">
        <v>78.257546513760104</v>
      </c>
      <c r="AM6794">
        <v>94.606843515195905</v>
      </c>
      <c r="AN6794">
        <v>1.0000000107388101</v>
      </c>
    </row>
    <row r="6795" spans="1:40" x14ac:dyDescent="0.25">
      <c r="A6795" t="str">
        <f>"20190304155236844"</f>
        <v>20190304155236844</v>
      </c>
      <c r="B6795" t="str">
        <f>"1551685956834017"</f>
        <v>1551685956834017</v>
      </c>
      <c r="C6795" t="s">
        <v>40</v>
      </c>
      <c r="D6795">
        <v>5.1315999999999997</v>
      </c>
      <c r="E6795">
        <v>0.58970210000000001</v>
      </c>
      <c r="F6795" t="s">
        <v>53</v>
      </c>
      <c r="G6795">
        <v>0</v>
      </c>
      <c r="H6795">
        <v>0</v>
      </c>
      <c r="I6795">
        <v>0</v>
      </c>
      <c r="J6795">
        <v>-239.35499999999999</v>
      </c>
      <c r="K6795">
        <v>1.1104339999999999</v>
      </c>
      <c r="L6795">
        <v>-63.084290000000003</v>
      </c>
      <c r="M6795">
        <v>0.99991079999999999</v>
      </c>
      <c r="N6795">
        <v>-1.237654E-2</v>
      </c>
      <c r="O6795">
        <v>-5.032496E-3</v>
      </c>
      <c r="P6795">
        <v>0.97871560000000002</v>
      </c>
      <c r="Q6795">
        <v>0.19146270000000001</v>
      </c>
      <c r="R6795">
        <v>7.3876990000000003E-2</v>
      </c>
      <c r="S6795">
        <v>3.0984189999999998</v>
      </c>
      <c r="T6795">
        <v>1.9199129999999998E-2</v>
      </c>
      <c r="U6795">
        <v>-0.49081419999999998</v>
      </c>
      <c r="V6795">
        <v>-7.8794089999999997E-2</v>
      </c>
      <c r="W6795">
        <v>0.2035595</v>
      </c>
      <c r="X6795">
        <v>0.97588680000000005</v>
      </c>
      <c r="Y6795">
        <v>0.15148789999999901</v>
      </c>
      <c r="Z6795">
        <v>-5.6974689999999997E-4</v>
      </c>
      <c r="AA6795">
        <v>0.98845890000000003</v>
      </c>
      <c r="AB6795">
        <v>29</v>
      </c>
      <c r="AC6795">
        <v>3.0984189999999998</v>
      </c>
      <c r="AD6795">
        <v>1.9199129999999998E-2</v>
      </c>
      <c r="AE6795">
        <v>-0.49081419999999998</v>
      </c>
      <c r="AF6795">
        <v>0.47519621022997899</v>
      </c>
      <c r="AG6795">
        <v>1.9199129999999998E-2</v>
      </c>
      <c r="AH6795">
        <v>3.1007338274185199</v>
      </c>
      <c r="AI6795">
        <v>89.649334348404395</v>
      </c>
      <c r="AJ6795">
        <v>81.287050068512997</v>
      </c>
      <c r="AK6795">
        <v>3.1369938338012702</v>
      </c>
      <c r="AL6795">
        <v>78.254813615271104</v>
      </c>
      <c r="AM6795">
        <v>94.616105758299597</v>
      </c>
      <c r="AN6795">
        <v>1.0000000125366999</v>
      </c>
    </row>
    <row r="6796" spans="1:40" x14ac:dyDescent="0.25">
      <c r="A6796" t="str">
        <f>"20190304155236855"</f>
        <v>20190304155236855</v>
      </c>
      <c r="B6796" t="str">
        <f>"1551685956843778"</f>
        <v>1551685956843778</v>
      </c>
      <c r="C6796" t="s">
        <v>40</v>
      </c>
      <c r="D6796">
        <v>5.1447079999999996</v>
      </c>
      <c r="E6796">
        <v>0.58966969999999996</v>
      </c>
      <c r="F6796" t="s">
        <v>53</v>
      </c>
      <c r="G6796">
        <v>0</v>
      </c>
      <c r="H6796">
        <v>0</v>
      </c>
      <c r="I6796">
        <v>0</v>
      </c>
      <c r="J6796">
        <v>-239.2261</v>
      </c>
      <c r="K6796">
        <v>1.11043799999999</v>
      </c>
      <c r="L6796">
        <v>-63.08493</v>
      </c>
      <c r="M6796">
        <v>0.99991019999999997</v>
      </c>
      <c r="N6796">
        <v>-1.2433359999999999E-2</v>
      </c>
      <c r="O6796">
        <v>-5.0324899999999997E-3</v>
      </c>
      <c r="P6796">
        <v>0.97877349999999996</v>
      </c>
      <c r="Q6796">
        <v>0.19110079999999999</v>
      </c>
      <c r="R6796">
        <v>7.4047970000000005E-2</v>
      </c>
      <c r="S6796">
        <v>3.098938</v>
      </c>
      <c r="T6796">
        <v>1.7804739999999999E-2</v>
      </c>
      <c r="U6796">
        <v>-0.49240109999999898</v>
      </c>
      <c r="V6796">
        <v>-7.896533E-2</v>
      </c>
      <c r="W6796">
        <v>0.20325360000000001</v>
      </c>
      <c r="X6796">
        <v>0.97593669999999999</v>
      </c>
      <c r="Y6796">
        <v>0.15195610000000001</v>
      </c>
      <c r="Z6796">
        <v>-6.0769440000000001E-4</v>
      </c>
      <c r="AA6796">
        <v>0.98838700000000002</v>
      </c>
      <c r="AB6796">
        <v>29</v>
      </c>
      <c r="AC6796">
        <v>3.098938</v>
      </c>
      <c r="AD6796">
        <v>1.7804739999999999E-2</v>
      </c>
      <c r="AE6796">
        <v>-0.49240109999999898</v>
      </c>
      <c r="AF6796">
        <v>0.47678293514764197</v>
      </c>
      <c r="AG6796">
        <v>1.7804739999999999E-2</v>
      </c>
      <c r="AH6796">
        <v>3.1012770945149701</v>
      </c>
      <c r="AI6796">
        <v>89.674882446232402</v>
      </c>
      <c r="AJ6796">
        <v>81.259913025759801</v>
      </c>
      <c r="AK6796">
        <v>3.13776331054108</v>
      </c>
      <c r="AL6796">
        <v>78.272714427379</v>
      </c>
      <c r="AM6796">
        <v>94.625858750766795</v>
      </c>
      <c r="AN6796">
        <v>0.99999999583092902</v>
      </c>
    </row>
    <row r="6797" spans="1:40" x14ac:dyDescent="0.25">
      <c r="A6797" t="str">
        <f>"20190304155236865"</f>
        <v>20190304155236865</v>
      </c>
      <c r="B6797" t="str">
        <f>"1551685956853537"</f>
        <v>1551685956853537</v>
      </c>
      <c r="C6797" t="s">
        <v>40</v>
      </c>
      <c r="D6797">
        <v>4.8797569999999997</v>
      </c>
      <c r="E6797">
        <v>0.58966969999999996</v>
      </c>
      <c r="F6797" t="s">
        <v>53</v>
      </c>
      <c r="G6797">
        <v>0</v>
      </c>
      <c r="H6797">
        <v>0</v>
      </c>
      <c r="I6797">
        <v>0</v>
      </c>
      <c r="J6797">
        <v>-239.09129999999999</v>
      </c>
      <c r="K6797">
        <v>1.1104449999999999</v>
      </c>
      <c r="L6797">
        <v>-63.085630000000002</v>
      </c>
      <c r="M6797">
        <v>0.99990939999999995</v>
      </c>
      <c r="N6797">
        <v>-1.249276E-2</v>
      </c>
      <c r="O6797">
        <v>-5.0326219999999996E-3</v>
      </c>
      <c r="P6797">
        <v>0.97880509999999998</v>
      </c>
      <c r="Q6797">
        <v>0.1907934</v>
      </c>
      <c r="R6797">
        <v>7.4423859999999994E-2</v>
      </c>
      <c r="S6797">
        <v>3.0990600000000001</v>
      </c>
      <c r="T6797">
        <v>1.6374349999999999E-2</v>
      </c>
      <c r="U6797">
        <v>-0.49163820000000003</v>
      </c>
      <c r="V6797">
        <v>-7.9341809999999999E-2</v>
      </c>
      <c r="W6797">
        <v>0.2030044</v>
      </c>
      <c r="X6797">
        <v>0.97595799999999999</v>
      </c>
      <c r="Y6797">
        <v>0.1517125</v>
      </c>
      <c r="Z6797">
        <v>-6.4417680000000005E-4</v>
      </c>
      <c r="AA6797">
        <v>0.98842450000000004</v>
      </c>
      <c r="AB6797">
        <v>29</v>
      </c>
      <c r="AC6797">
        <v>3.0990600000000001</v>
      </c>
      <c r="AD6797">
        <v>1.6374349999999999E-2</v>
      </c>
      <c r="AE6797">
        <v>-0.49163820000000003</v>
      </c>
      <c r="AF6797">
        <v>0.47602139708386099</v>
      </c>
      <c r="AG6797">
        <v>1.6374349999999999E-2</v>
      </c>
      <c r="AH6797">
        <v>3.1014107138598801</v>
      </c>
      <c r="AI6797">
        <v>89.701002680926607</v>
      </c>
      <c r="AJ6797">
        <v>81.274028190368597</v>
      </c>
      <c r="AK6797">
        <v>3.1377719652429299</v>
      </c>
      <c r="AL6797">
        <v>78.287296159863999</v>
      </c>
      <c r="AM6797">
        <v>94.647715891751105</v>
      </c>
      <c r="AN6797">
        <v>0.999999963498717</v>
      </c>
    </row>
    <row r="6798" spans="1:40" x14ac:dyDescent="0.25">
      <c r="A6798" t="str">
        <f>"20190304155236876"</f>
        <v>20190304155236876</v>
      </c>
      <c r="B6798" t="str">
        <f>"1551685956874033"</f>
        <v>1551685956874033</v>
      </c>
      <c r="C6798" t="s">
        <v>40</v>
      </c>
      <c r="D6798">
        <v>5.2209479999999999</v>
      </c>
      <c r="E6798">
        <v>0.58993169999999995</v>
      </c>
      <c r="F6798" t="s">
        <v>53</v>
      </c>
      <c r="G6798">
        <v>0</v>
      </c>
      <c r="H6798">
        <v>0</v>
      </c>
      <c r="I6798">
        <v>0</v>
      </c>
      <c r="J6798">
        <v>-238.94720000000001</v>
      </c>
      <c r="K6798">
        <v>1.1104529999999999</v>
      </c>
      <c r="L6798">
        <v>-63.086359999999999</v>
      </c>
      <c r="M6798">
        <v>0.99990860000000004</v>
      </c>
      <c r="N6798">
        <v>-1.255619E-2</v>
      </c>
      <c r="O6798">
        <v>-5.0324230000000003E-3</v>
      </c>
      <c r="P6798">
        <v>0.97880549999999999</v>
      </c>
      <c r="Q6798">
        <v>0.1906185</v>
      </c>
      <c r="R6798">
        <v>7.4863020000000002E-2</v>
      </c>
      <c r="S6798">
        <v>3.099243</v>
      </c>
      <c r="T6798">
        <v>1.5386459999999999E-2</v>
      </c>
      <c r="U6798">
        <v>-0.49041750000000001</v>
      </c>
      <c r="V6798">
        <v>-7.9780210000000004E-2</v>
      </c>
      <c r="W6798">
        <v>0.20289180000000001</v>
      </c>
      <c r="X6798">
        <v>0.97594570000000003</v>
      </c>
      <c r="Y6798">
        <v>0.15132379999999901</v>
      </c>
      <c r="Z6798">
        <v>-6.7025349999999995E-4</v>
      </c>
      <c r="AA6798">
        <v>0.98848400000000003</v>
      </c>
      <c r="AB6798">
        <v>29</v>
      </c>
      <c r="AC6798">
        <v>3.099243</v>
      </c>
      <c r="AD6798">
        <v>1.5386459999999999E-2</v>
      </c>
      <c r="AE6798">
        <v>-0.49041750000000001</v>
      </c>
      <c r="AF6798">
        <v>0.47480194248678398</v>
      </c>
      <c r="AG6798">
        <v>1.5386459999999999E-2</v>
      </c>
      <c r="AH6798">
        <v>3.1015973535487</v>
      </c>
      <c r="AI6798">
        <v>89.719041330625103</v>
      </c>
      <c r="AJ6798">
        <v>81.296555057199996</v>
      </c>
      <c r="AK6798">
        <v>3.1377666852844301</v>
      </c>
      <c r="AL6798">
        <v>78.293885054935402</v>
      </c>
      <c r="AM6798">
        <v>94.673341861287199</v>
      </c>
      <c r="AN6798">
        <v>0.99999998688168601</v>
      </c>
    </row>
    <row r="6799" spans="1:40" x14ac:dyDescent="0.25">
      <c r="A6799" t="str">
        <f>"20190304155236888"</f>
        <v>20190304155236888</v>
      </c>
      <c r="B6799" t="str">
        <f>"1551685956883793"</f>
        <v>1551685956883793</v>
      </c>
      <c r="C6799" t="s">
        <v>40</v>
      </c>
      <c r="D6799">
        <v>5.1979329999999999</v>
      </c>
      <c r="E6799">
        <v>0.589904599999999</v>
      </c>
      <c r="F6799" t="s">
        <v>53</v>
      </c>
      <c r="G6799">
        <v>0</v>
      </c>
      <c r="H6799">
        <v>0</v>
      </c>
      <c r="I6799">
        <v>0</v>
      </c>
      <c r="J6799">
        <v>-238.79320000000001</v>
      </c>
      <c r="K6799">
        <v>1.1104620000000001</v>
      </c>
      <c r="L6799">
        <v>-63.087130000000002</v>
      </c>
      <c r="M6799">
        <v>0.99990769999999995</v>
      </c>
      <c r="N6799">
        <v>-1.262421E-2</v>
      </c>
      <c r="O6799">
        <v>-5.032374E-3</v>
      </c>
      <c r="P6799">
        <v>0.97878659999999995</v>
      </c>
      <c r="Q6799">
        <v>0.19056190000000001</v>
      </c>
      <c r="R6799">
        <v>7.5252669999999994E-2</v>
      </c>
      <c r="S6799">
        <v>3.1007539999999998</v>
      </c>
      <c r="T6799">
        <v>9.1484789999999993E-3</v>
      </c>
      <c r="U6799">
        <v>-0.49121090000000001</v>
      </c>
      <c r="V6799">
        <v>-8.0170039999999998E-2</v>
      </c>
      <c r="W6799">
        <v>0.2029011</v>
      </c>
      <c r="X6799">
        <v>0.97591190000000005</v>
      </c>
      <c r="Y6799">
        <v>0.1514954</v>
      </c>
      <c r="Z6799">
        <v>-8.1800959999999995E-4</v>
      </c>
      <c r="AA6799">
        <v>0.98845760000000005</v>
      </c>
      <c r="AB6799">
        <v>29</v>
      </c>
      <c r="AC6799">
        <v>3.1007539999999998</v>
      </c>
      <c r="AD6799">
        <v>9.1484789999999993E-3</v>
      </c>
      <c r="AE6799">
        <v>-0.49121090000000001</v>
      </c>
      <c r="AF6799">
        <v>0.475595243844527</v>
      </c>
      <c r="AG6799">
        <v>9.1484789999999993E-3</v>
      </c>
      <c r="AH6799">
        <v>3.1031605330087801</v>
      </c>
      <c r="AI6799">
        <v>89.833035384032101</v>
      </c>
      <c r="AJ6799">
        <v>81.286560569638397</v>
      </c>
      <c r="AK6799">
        <v>3.1394075594383901</v>
      </c>
      <c r="AL6799">
        <v>78.293341802660393</v>
      </c>
      <c r="AM6799">
        <v>94.696237242478901</v>
      </c>
      <c r="AN6799">
        <v>1.0000000641282001</v>
      </c>
    </row>
    <row r="6800" spans="1:40" x14ac:dyDescent="0.25">
      <c r="A6800" t="str">
        <f>"20190304155236899"</f>
        <v>20190304155236899</v>
      </c>
      <c r="B6800" t="str">
        <f>"1551685956893554"</f>
        <v>1551685956893554</v>
      </c>
      <c r="C6800" t="s">
        <v>40</v>
      </c>
      <c r="D6800">
        <v>5.1910480000000003</v>
      </c>
      <c r="E6800">
        <v>0.59003859999999997</v>
      </c>
      <c r="F6800" t="s">
        <v>53</v>
      </c>
      <c r="G6800">
        <v>0</v>
      </c>
      <c r="H6800">
        <v>0</v>
      </c>
      <c r="I6800">
        <v>0</v>
      </c>
      <c r="J6800">
        <v>-238.6575</v>
      </c>
      <c r="K6800">
        <v>1.1104719999999999</v>
      </c>
      <c r="L6800">
        <v>-63.087800000000001</v>
      </c>
      <c r="M6800">
        <v>0.99990690000000004</v>
      </c>
      <c r="N6800">
        <v>-1.268642E-2</v>
      </c>
      <c r="O6800">
        <v>-5.03229E-3</v>
      </c>
      <c r="P6800">
        <v>0.97871770000000002</v>
      </c>
      <c r="Q6800">
        <v>0.1907288</v>
      </c>
      <c r="R6800">
        <v>7.5725790000000001E-2</v>
      </c>
      <c r="S6800">
        <v>3.1010439999999999</v>
      </c>
      <c r="T6800">
        <v>8.355856E-3</v>
      </c>
      <c r="U6800">
        <v>-0.48983759999999998</v>
      </c>
      <c r="V6800">
        <v>-8.0642660000000005E-2</v>
      </c>
      <c r="W6800">
        <v>0.20312810000000001</v>
      </c>
      <c r="X6800">
        <v>0.97582570000000002</v>
      </c>
      <c r="Y6800">
        <v>0.15105399999999999</v>
      </c>
      <c r="Z6800">
        <v>-8.3877859999999997E-4</v>
      </c>
      <c r="AA6800">
        <v>0.98852519999999999</v>
      </c>
      <c r="AB6800">
        <v>29</v>
      </c>
      <c r="AC6800">
        <v>3.1010439999999999</v>
      </c>
      <c r="AD6800">
        <v>8.355856E-3</v>
      </c>
      <c r="AE6800">
        <v>-0.48983759999999998</v>
      </c>
      <c r="AF6800">
        <v>0.47422142933105499</v>
      </c>
      <c r="AG6800">
        <v>8.355856E-3</v>
      </c>
      <c r="AH6800">
        <v>3.1034479472189802</v>
      </c>
      <c r="AI6800">
        <v>89.847504810125301</v>
      </c>
      <c r="AJ6800">
        <v>81.312138136065599</v>
      </c>
      <c r="AK6800">
        <v>3.1394816364272602</v>
      </c>
      <c r="AL6800">
        <v>78.280058654560094</v>
      </c>
      <c r="AM6800">
        <v>94.724213060618197</v>
      </c>
      <c r="AN6800">
        <v>1.0000000302009799</v>
      </c>
    </row>
    <row r="6801" spans="1:40" x14ac:dyDescent="0.25">
      <c r="A6801" t="str">
        <f>"20190304155236911"</f>
        <v>20190304155236911</v>
      </c>
      <c r="B6801" t="str">
        <f>"1551685956903314"</f>
        <v>1551685956903314</v>
      </c>
      <c r="C6801" t="s">
        <v>40</v>
      </c>
      <c r="D6801">
        <v>5.1613170000000004</v>
      </c>
      <c r="E6801">
        <v>0.59019630000000001</v>
      </c>
      <c r="F6801" t="s">
        <v>53</v>
      </c>
      <c r="G6801">
        <v>0</v>
      </c>
      <c r="H6801">
        <v>0</v>
      </c>
      <c r="I6801">
        <v>0</v>
      </c>
      <c r="J6801">
        <v>-238.51070000000001</v>
      </c>
      <c r="K6801">
        <v>1.1104810000000001</v>
      </c>
      <c r="L6801">
        <v>-63.088529999999999</v>
      </c>
      <c r="M6801">
        <v>0.99990610000000002</v>
      </c>
      <c r="N6801">
        <v>-1.275345E-2</v>
      </c>
      <c r="O6801">
        <v>-5.0324769999999996E-3</v>
      </c>
      <c r="P6801">
        <v>0.97868820000000001</v>
      </c>
      <c r="Q6801">
        <v>0.1908146</v>
      </c>
      <c r="R6801">
        <v>7.5889219999999993E-2</v>
      </c>
      <c r="S6801">
        <v>3.1013030000000001</v>
      </c>
      <c r="T6801">
        <v>9.3016620000000005E-3</v>
      </c>
      <c r="U6801">
        <v>-0.4894714</v>
      </c>
      <c r="V6801">
        <v>-8.0805730000000006E-2</v>
      </c>
      <c r="W6801">
        <v>0.20327890000000001</v>
      </c>
      <c r="X6801">
        <v>0.9757808</v>
      </c>
      <c r="Y6801">
        <v>0.15092729999999999</v>
      </c>
      <c r="Z6801">
        <v>-8.2222539999999905E-4</v>
      </c>
      <c r="AA6801">
        <v>0.98854450000000005</v>
      </c>
      <c r="AB6801">
        <v>29</v>
      </c>
      <c r="AC6801">
        <v>3.1013030000000001</v>
      </c>
      <c r="AD6801">
        <v>9.3016620000000005E-3</v>
      </c>
      <c r="AE6801">
        <v>-0.4894714</v>
      </c>
      <c r="AF6801">
        <v>0.47385253781661602</v>
      </c>
      <c r="AG6801">
        <v>9.3016620000000005E-3</v>
      </c>
      <c r="AH6801">
        <v>3.1036999342845499</v>
      </c>
      <c r="AI6801">
        <v>89.830254310666305</v>
      </c>
      <c r="AJ6801">
        <v>81.3194874133344</v>
      </c>
      <c r="AK6801">
        <v>3.1396776953357999</v>
      </c>
      <c r="AL6801">
        <v>78.2712342648407</v>
      </c>
      <c r="AM6801">
        <v>94.733939497582895</v>
      </c>
      <c r="AN6801">
        <v>1.0000000234173401</v>
      </c>
    </row>
    <row r="6802" spans="1:40" x14ac:dyDescent="0.25">
      <c r="A6802" t="str">
        <f>"20190304155236920"</f>
        <v>20190304155236920</v>
      </c>
      <c r="B6802" t="str">
        <f>"1551685956914050"</f>
        <v>1551685956914050</v>
      </c>
      <c r="C6802" t="s">
        <v>40</v>
      </c>
      <c r="D6802">
        <v>4.7944610000000001</v>
      </c>
      <c r="E6802">
        <v>0.590153699999999</v>
      </c>
      <c r="F6802" t="s">
        <v>53</v>
      </c>
      <c r="G6802">
        <v>0</v>
      </c>
      <c r="H6802">
        <v>0</v>
      </c>
      <c r="I6802">
        <v>0</v>
      </c>
      <c r="J6802">
        <v>-238.375</v>
      </c>
      <c r="K6802">
        <v>1.1104889999999901</v>
      </c>
      <c r="L6802">
        <v>-63.089230000000001</v>
      </c>
      <c r="M6802">
        <v>0.9999053</v>
      </c>
      <c r="N6802">
        <v>-1.2815099999999999E-2</v>
      </c>
      <c r="O6802">
        <v>-5.0323929999999996E-3</v>
      </c>
      <c r="P6802">
        <v>0.97862910000000003</v>
      </c>
      <c r="Q6802">
        <v>0.19098100000000001</v>
      </c>
      <c r="R6802">
        <v>7.6233309999999999E-2</v>
      </c>
      <c r="S6802">
        <v>3.1019290000000002</v>
      </c>
      <c r="T6802">
        <v>7.1611399999999999E-3</v>
      </c>
      <c r="U6802">
        <v>-0.49020390000000003</v>
      </c>
      <c r="V6802">
        <v>-8.1149879999999994E-2</v>
      </c>
      <c r="W6802">
        <v>0.20350480000000001</v>
      </c>
      <c r="X6802">
        <v>0.97570509999999999</v>
      </c>
      <c r="Y6802">
        <v>0.15112410000000001</v>
      </c>
      <c r="Z6802">
        <v>-8.7661960000000002E-4</v>
      </c>
      <c r="AA6802">
        <v>0.98851440000000002</v>
      </c>
      <c r="AB6802">
        <v>29</v>
      </c>
      <c r="AC6802">
        <v>3.1019290000000002</v>
      </c>
      <c r="AD6802">
        <v>7.1611399999999999E-3</v>
      </c>
      <c r="AE6802">
        <v>-0.49020390000000003</v>
      </c>
      <c r="AF6802">
        <v>0.47458381750362899</v>
      </c>
      <c r="AG6802">
        <v>7.1611399999999999E-3</v>
      </c>
      <c r="AH6802">
        <v>3.1043406742378701</v>
      </c>
      <c r="AI6802">
        <v>89.869347415909104</v>
      </c>
      <c r="AJ6802">
        <v>81.308062591934302</v>
      </c>
      <c r="AK6802">
        <v>3.1404159125010902</v>
      </c>
      <c r="AL6802">
        <v>78.258014244504807</v>
      </c>
      <c r="AM6802">
        <v>94.754376186225699</v>
      </c>
      <c r="AN6802">
        <v>0.99999997440653099</v>
      </c>
    </row>
    <row r="6803" spans="1:40" x14ac:dyDescent="0.25">
      <c r="A6803" t="str">
        <f>"20190304155236932"</f>
        <v>20190304155236932</v>
      </c>
      <c r="B6803" t="str">
        <f>"1551685956923810"</f>
        <v>1551685956923810</v>
      </c>
      <c r="C6803" t="s">
        <v>40</v>
      </c>
      <c r="D6803">
        <v>6.8238310000000002</v>
      </c>
      <c r="E6803">
        <v>0.58998569999999995</v>
      </c>
      <c r="F6803" t="s">
        <v>53</v>
      </c>
      <c r="G6803">
        <v>0</v>
      </c>
      <c r="H6803">
        <v>0</v>
      </c>
      <c r="I6803">
        <v>0</v>
      </c>
      <c r="J6803">
        <v>-238.2353</v>
      </c>
      <c r="K6803">
        <v>1.1104969999999901</v>
      </c>
      <c r="L6803">
        <v>-63.089939999999999</v>
      </c>
      <c r="M6803">
        <v>0.99990449999999997</v>
      </c>
      <c r="N6803">
        <v>-1.287772E-2</v>
      </c>
      <c r="O6803">
        <v>-5.0324360000000004E-3</v>
      </c>
      <c r="P6803">
        <v>0.97862700000000002</v>
      </c>
      <c r="Q6803">
        <v>0.1908725</v>
      </c>
      <c r="R6803">
        <v>7.6531399999999999E-2</v>
      </c>
      <c r="S6803">
        <v>3.1023100000000001</v>
      </c>
      <c r="T6803">
        <v>6.6136119999999996E-3</v>
      </c>
      <c r="U6803">
        <v>-0.48889159999999998</v>
      </c>
      <c r="V6803">
        <v>-8.1447989999999998E-2</v>
      </c>
      <c r="W6803">
        <v>0.2034572</v>
      </c>
      <c r="X6803">
        <v>0.97569019999999995</v>
      </c>
      <c r="Y6803">
        <v>0.1506971</v>
      </c>
      <c r="Z6803">
        <v>-8.9173729999999997E-4</v>
      </c>
      <c r="AA6803">
        <v>0.9885796</v>
      </c>
      <c r="AB6803">
        <v>29</v>
      </c>
      <c r="AC6803">
        <v>3.1023100000000001</v>
      </c>
      <c r="AD6803">
        <v>6.6136119999999996E-3</v>
      </c>
      <c r="AE6803">
        <v>-0.48889159999999998</v>
      </c>
      <c r="AF6803">
        <v>0.47326983960034302</v>
      </c>
      <c r="AG6803">
        <v>6.6136119999999996E-3</v>
      </c>
      <c r="AH6803">
        <v>3.1047174609664099</v>
      </c>
      <c r="AI6803">
        <v>89.879343540990106</v>
      </c>
      <c r="AJ6803">
        <v>81.332797883458198</v>
      </c>
      <c r="AK6803">
        <v>3.1405888927665702</v>
      </c>
      <c r="AL6803">
        <v>78.2607999486479</v>
      </c>
      <c r="AM6803">
        <v>94.771833765163507</v>
      </c>
      <c r="AN6803">
        <v>0.99999998684145996</v>
      </c>
    </row>
    <row r="6804" spans="1:40" x14ac:dyDescent="0.25">
      <c r="A6804" t="str">
        <f>"20190304155236943"</f>
        <v>20190304155236943</v>
      </c>
      <c r="B6804" t="str">
        <f>"1551685956933569"</f>
        <v>1551685956933569</v>
      </c>
      <c r="C6804" t="s">
        <v>40</v>
      </c>
      <c r="D6804">
        <v>5.297936</v>
      </c>
      <c r="E6804">
        <v>0.58994599999999997</v>
      </c>
      <c r="F6804" t="s">
        <v>53</v>
      </c>
      <c r="G6804">
        <v>0</v>
      </c>
      <c r="H6804">
        <v>0</v>
      </c>
      <c r="I6804">
        <v>0</v>
      </c>
      <c r="J6804">
        <v>-238.09010000000001</v>
      </c>
      <c r="K6804">
        <v>1.1105050000000001</v>
      </c>
      <c r="L6804">
        <v>-63.090670000000003</v>
      </c>
      <c r="M6804">
        <v>0.99990369999999995</v>
      </c>
      <c r="N6804">
        <v>-1.2941859999999999E-2</v>
      </c>
      <c r="O6804">
        <v>-5.0323729999999997E-3</v>
      </c>
      <c r="P6804">
        <v>0.97862959999999999</v>
      </c>
      <c r="Q6804">
        <v>0.19076299999999999</v>
      </c>
      <c r="R6804">
        <v>7.6769870000000004E-2</v>
      </c>
      <c r="S6804">
        <v>3.1025239999999998</v>
      </c>
      <c r="T6804">
        <v>5.3668020000000004E-3</v>
      </c>
      <c r="U6804">
        <v>-0.48666379999999998</v>
      </c>
      <c r="V6804">
        <v>-8.1686090000000003E-2</v>
      </c>
      <c r="W6804">
        <v>0.20341010000000001</v>
      </c>
      <c r="X6804">
        <v>0.97568010000000005</v>
      </c>
      <c r="Y6804">
        <v>0.14999370000000001</v>
      </c>
      <c r="Z6804">
        <v>-9.2098340000000003E-4</v>
      </c>
      <c r="AA6804">
        <v>0.98868650000000002</v>
      </c>
      <c r="AB6804">
        <v>28</v>
      </c>
      <c r="AC6804">
        <v>3.1025239999999998</v>
      </c>
      <c r="AD6804">
        <v>5.3668020000000004E-3</v>
      </c>
      <c r="AE6804">
        <v>-0.48666379999999998</v>
      </c>
      <c r="AF6804">
        <v>0.471041897027073</v>
      </c>
      <c r="AG6804">
        <v>5.3668020000000004E-3</v>
      </c>
      <c r="AH6804">
        <v>3.1049249187663901</v>
      </c>
      <c r="AI6804">
        <v>89.902085815149903</v>
      </c>
      <c r="AJ6804">
        <v>81.373551634982704</v>
      </c>
      <c r="AK6804">
        <v>3.1404566582736102</v>
      </c>
      <c r="AL6804">
        <v>78.263556038018393</v>
      </c>
      <c r="AM6804">
        <v>94.785768060883697</v>
      </c>
      <c r="AN6804">
        <v>0.999999971808753</v>
      </c>
    </row>
    <row r="6805" spans="1:40" x14ac:dyDescent="0.25">
      <c r="A6805" t="str">
        <f>"20190304155236956"</f>
        <v>20190304155236956</v>
      </c>
      <c r="B6805" t="str">
        <f>"1551685956943330"</f>
        <v>1551685956943330</v>
      </c>
      <c r="C6805" t="s">
        <v>40</v>
      </c>
      <c r="D6805">
        <v>5.298915</v>
      </c>
      <c r="E6805">
        <v>0.59014739999999999</v>
      </c>
      <c r="F6805" t="s">
        <v>53</v>
      </c>
      <c r="G6805">
        <v>0</v>
      </c>
      <c r="H6805">
        <v>0</v>
      </c>
      <c r="I6805">
        <v>0</v>
      </c>
      <c r="J6805">
        <v>-237.94200000000001</v>
      </c>
      <c r="K6805">
        <v>1.1105119999999999</v>
      </c>
      <c r="L6805">
        <v>-63.091369999999998</v>
      </c>
      <c r="M6805">
        <v>0.99990279999999998</v>
      </c>
      <c r="N6805">
        <v>-1.300484E-2</v>
      </c>
      <c r="O6805">
        <v>-5.0323030000000001E-3</v>
      </c>
      <c r="P6805">
        <v>0.97856279999999995</v>
      </c>
      <c r="Q6805">
        <v>0.1909477</v>
      </c>
      <c r="R6805">
        <v>7.7163549999999997E-2</v>
      </c>
      <c r="S6805">
        <v>3.1027830000000001</v>
      </c>
      <c r="T6805">
        <v>4.2111869999999999E-3</v>
      </c>
      <c r="U6805">
        <v>-0.4856567</v>
      </c>
      <c r="V6805">
        <v>-8.2079579999999999E-2</v>
      </c>
      <c r="W6805">
        <v>0.20365520000000001</v>
      </c>
      <c r="X6805">
        <v>0.97559600000000002</v>
      </c>
      <c r="Y6805">
        <v>0.14966760000000001</v>
      </c>
      <c r="Z6805">
        <v>-9.5002119999999996E-4</v>
      </c>
      <c r="AA6805">
        <v>0.9887359</v>
      </c>
      <c r="AB6805">
        <v>28</v>
      </c>
      <c r="AC6805">
        <v>3.1027830000000001</v>
      </c>
      <c r="AD6805">
        <v>4.2111869999999999E-3</v>
      </c>
      <c r="AE6805">
        <v>-0.4856567</v>
      </c>
      <c r="AF6805">
        <v>0.47003424010643402</v>
      </c>
      <c r="AG6805">
        <v>4.2111869999999999E-3</v>
      </c>
      <c r="AH6805">
        <v>3.1051823006669301</v>
      </c>
      <c r="AI6805">
        <v>89.923171842809595</v>
      </c>
      <c r="AJ6805">
        <v>81.392431500449106</v>
      </c>
      <c r="AK6805">
        <v>3.1405583964230899</v>
      </c>
      <c r="AL6805">
        <v>78.249213260363206</v>
      </c>
      <c r="AM6805">
        <v>94.809126317298094</v>
      </c>
      <c r="AN6805">
        <v>1.000000026578</v>
      </c>
    </row>
    <row r="6806" spans="1:40" x14ac:dyDescent="0.25">
      <c r="A6806" t="str">
        <f>"20190304155236966"</f>
        <v>20190304155236966</v>
      </c>
      <c r="B6806" t="str">
        <f>"1551685956954067"</f>
        <v>1551685956954067</v>
      </c>
      <c r="C6806" t="s">
        <v>40</v>
      </c>
      <c r="D6806">
        <v>7.5285179999999903</v>
      </c>
      <c r="E6806">
        <v>0.58999169999999901</v>
      </c>
      <c r="F6806" t="s">
        <v>53</v>
      </c>
      <c r="G6806">
        <v>0</v>
      </c>
      <c r="H6806">
        <v>0</v>
      </c>
      <c r="I6806">
        <v>0</v>
      </c>
      <c r="J6806">
        <v>-237.79990000000001</v>
      </c>
      <c r="K6806">
        <v>1.110522</v>
      </c>
      <c r="L6806">
        <v>-63.0920699999999</v>
      </c>
      <c r="M6806">
        <v>0.99990199999999996</v>
      </c>
      <c r="N6806">
        <v>-1.306422E-2</v>
      </c>
      <c r="O6806">
        <v>-5.0323319999999996E-3</v>
      </c>
      <c r="P6806">
        <v>0.97854790000000003</v>
      </c>
      <c r="Q6806">
        <v>0.19091739999999999</v>
      </c>
      <c r="R6806">
        <v>7.7425720000000003E-2</v>
      </c>
      <c r="S6806">
        <v>3.1035919999999999</v>
      </c>
      <c r="T6806">
        <v>2.5458339999999999E-3</v>
      </c>
      <c r="U6806">
        <v>-0.48648069999999999</v>
      </c>
      <c r="V6806">
        <v>-8.2341919999999999E-2</v>
      </c>
      <c r="W6806">
        <v>0.20368320000000001</v>
      </c>
      <c r="X6806">
        <v>0.97556810000000005</v>
      </c>
      <c r="Y6806">
        <v>0.14988389999999999</v>
      </c>
      <c r="Z6806">
        <v>-9.9339510000000003E-4</v>
      </c>
      <c r="AA6806">
        <v>0.98870309999999995</v>
      </c>
      <c r="AB6806">
        <v>28</v>
      </c>
      <c r="AC6806">
        <v>3.1035919999999999</v>
      </c>
      <c r="AD6806">
        <v>2.5458339999999999E-3</v>
      </c>
      <c r="AE6806">
        <v>-0.48648069999999999</v>
      </c>
      <c r="AF6806">
        <v>0.47085459151166098</v>
      </c>
      <c r="AG6806">
        <v>2.5458339999999999E-3</v>
      </c>
      <c r="AH6806">
        <v>3.105998996307</v>
      </c>
      <c r="AI6806">
        <v>89.953567988164494</v>
      </c>
      <c r="AJ6806">
        <v>81.379867409860097</v>
      </c>
      <c r="AK6806">
        <v>3.14148695567537</v>
      </c>
      <c r="AL6806">
        <v>78.247575242462403</v>
      </c>
      <c r="AM6806">
        <v>94.824561971849903</v>
      </c>
      <c r="AN6806">
        <v>1.0000000777445599</v>
      </c>
    </row>
    <row r="6807" spans="1:40" x14ac:dyDescent="0.25">
      <c r="A6807" t="str">
        <f>"20190304155236981"</f>
        <v>20190304155236981</v>
      </c>
      <c r="B6807" t="str">
        <f>"1551685956973585"</f>
        <v>1551685956973585</v>
      </c>
      <c r="C6807" t="s">
        <v>40</v>
      </c>
      <c r="D6807">
        <v>5.2631480000000002</v>
      </c>
      <c r="E6807">
        <v>0.59026709999999905</v>
      </c>
      <c r="F6807" t="s">
        <v>53</v>
      </c>
      <c r="G6807">
        <v>0</v>
      </c>
      <c r="H6807">
        <v>0</v>
      </c>
      <c r="I6807">
        <v>0</v>
      </c>
      <c r="J6807">
        <v>-237.63980000000001</v>
      </c>
      <c r="K6807">
        <v>1.11053</v>
      </c>
      <c r="L6807">
        <v>-63.0929</v>
      </c>
      <c r="M6807">
        <v>0.99990129999999999</v>
      </c>
      <c r="N6807">
        <v>-1.31261E-2</v>
      </c>
      <c r="O6807">
        <v>-5.0323779999999997E-3</v>
      </c>
      <c r="P6807">
        <v>0.97848959999999996</v>
      </c>
      <c r="Q6807">
        <v>0.19108459999999999</v>
      </c>
      <c r="R6807">
        <v>7.775087E-2</v>
      </c>
      <c r="S6807">
        <v>3.1038060000000001</v>
      </c>
      <c r="T6807">
        <v>1.5093089999999999E-3</v>
      </c>
      <c r="U6807">
        <v>-0.4845276</v>
      </c>
      <c r="V6807">
        <v>-8.2666829999999997E-2</v>
      </c>
      <c r="W6807">
        <v>0.20391010000000001</v>
      </c>
      <c r="X6807">
        <v>0.9754931</v>
      </c>
      <c r="Y6807">
        <v>0.1492658</v>
      </c>
      <c r="Z6807">
        <v>-1.017603E-3</v>
      </c>
      <c r="AA6807">
        <v>0.98879660000000003</v>
      </c>
      <c r="AB6807">
        <v>28</v>
      </c>
      <c r="AC6807">
        <v>3.1038060000000001</v>
      </c>
      <c r="AD6807">
        <v>1.5093089999999999E-3</v>
      </c>
      <c r="AE6807">
        <v>-0.4845276</v>
      </c>
      <c r="AF6807">
        <v>0.46890048638103798</v>
      </c>
      <c r="AG6807">
        <v>1.5093089999999999E-3</v>
      </c>
      <c r="AH6807">
        <v>3.1062045101125602</v>
      </c>
      <c r="AI6807">
        <v>89.972471790941697</v>
      </c>
      <c r="AJ6807">
        <v>81.415667444907399</v>
      </c>
      <c r="AK6807">
        <v>3.1413972055099402</v>
      </c>
      <c r="AL6807">
        <v>78.234294751565997</v>
      </c>
      <c r="AM6807">
        <v>94.843879264791298</v>
      </c>
      <c r="AN6807">
        <v>0.99999996090593302</v>
      </c>
    </row>
    <row r="6808" spans="1:40" x14ac:dyDescent="0.25">
      <c r="A6808" t="str">
        <f>"20190304155236994"</f>
        <v>20190304155236994</v>
      </c>
      <c r="B6808" t="str">
        <f>"1551685956983346"</f>
        <v>1551685956983346</v>
      </c>
      <c r="C6808" t="s">
        <v>40</v>
      </c>
      <c r="D6808">
        <v>4.8899540000000004</v>
      </c>
      <c r="E6808">
        <v>0.59026709999999905</v>
      </c>
      <c r="F6808" t="s">
        <v>53</v>
      </c>
      <c r="G6808">
        <v>0</v>
      </c>
      <c r="H6808">
        <v>0</v>
      </c>
      <c r="I6808">
        <v>0</v>
      </c>
      <c r="J6808">
        <v>-237.45650000000001</v>
      </c>
      <c r="K6808">
        <v>1.1105389999999999</v>
      </c>
      <c r="L6808">
        <v>-63.093809999999998</v>
      </c>
      <c r="M6808">
        <v>0.99990040000000002</v>
      </c>
      <c r="N6808">
        <v>-1.319377E-2</v>
      </c>
      <c r="O6808">
        <v>-5.032346E-3</v>
      </c>
      <c r="P6808">
        <v>0.97842079999999998</v>
      </c>
      <c r="Q6808">
        <v>0.19124060000000001</v>
      </c>
      <c r="R6808">
        <v>7.8231629999999996E-2</v>
      </c>
      <c r="S6808">
        <v>3.1048429999999998</v>
      </c>
      <c r="T6808">
        <v>-1.4418359999999999E-3</v>
      </c>
      <c r="U6808">
        <v>-0.48587039999999998</v>
      </c>
      <c r="V6808">
        <v>-8.3147120000000005E-2</v>
      </c>
      <c r="W6808">
        <v>0.2041308</v>
      </c>
      <c r="X6808">
        <v>0.9754062</v>
      </c>
      <c r="Y6808">
        <v>0.14963189999999901</v>
      </c>
      <c r="Z6808">
        <v>-1.0913349999999999E-3</v>
      </c>
      <c r="AA6808">
        <v>0.98874119999999999</v>
      </c>
      <c r="AB6808">
        <v>28</v>
      </c>
      <c r="AC6808">
        <v>3.1048429999999998</v>
      </c>
      <c r="AD6808">
        <v>-1.4418359999999999E-3</v>
      </c>
      <c r="AE6808">
        <v>-0.48587039999999998</v>
      </c>
      <c r="AF6808">
        <v>0.47023814497091099</v>
      </c>
      <c r="AG6808">
        <v>-1.4418359999999999E-3</v>
      </c>
      <c r="AH6808">
        <v>3.1072483050890298</v>
      </c>
      <c r="AI6808">
        <v>90.026287263405493</v>
      </c>
      <c r="AJ6808">
        <v>81.394393284266798</v>
      </c>
      <c r="AK6808">
        <v>3.1426291574659899</v>
      </c>
      <c r="AL6808">
        <v>78.221378844593403</v>
      </c>
      <c r="AM6808">
        <v>94.872318837828203</v>
      </c>
      <c r="AN6808">
        <v>1.00000004103568</v>
      </c>
    </row>
    <row r="6809" spans="1:40" x14ac:dyDescent="0.25">
      <c r="A6809" t="str">
        <f>"20190304155237003"</f>
        <v>20190304155237003</v>
      </c>
      <c r="B6809" t="str">
        <f>"1551685956994082"</f>
        <v>1551685956994082</v>
      </c>
      <c r="C6809" t="s">
        <v>40</v>
      </c>
      <c r="D6809">
        <v>4.844805</v>
      </c>
      <c r="E6809">
        <v>0.54287669999999999</v>
      </c>
      <c r="F6809" t="s">
        <v>53</v>
      </c>
      <c r="G6809">
        <v>0</v>
      </c>
      <c r="H6809">
        <v>0</v>
      </c>
      <c r="I6809">
        <v>0</v>
      </c>
      <c r="J6809">
        <v>-237.32419999999999</v>
      </c>
      <c r="K6809">
        <v>1.1105499999999999</v>
      </c>
      <c r="L6809">
        <v>-63.094479999999997</v>
      </c>
      <c r="M6809">
        <v>0.99989969999999995</v>
      </c>
      <c r="N6809">
        <v>-1.323999E-2</v>
      </c>
      <c r="O6809">
        <v>-5.0322930000000002E-3</v>
      </c>
      <c r="P6809">
        <v>0.97832509999999995</v>
      </c>
      <c r="Q6809">
        <v>0.19161049999999999</v>
      </c>
      <c r="R6809">
        <v>7.8521179999999996E-2</v>
      </c>
      <c r="S6809">
        <v>3.1050420000000001</v>
      </c>
      <c r="T6809">
        <v>-9.9027160000000002E-4</v>
      </c>
      <c r="U6809">
        <v>-0.4842224</v>
      </c>
      <c r="V6809">
        <v>-8.3436049999999998E-2</v>
      </c>
      <c r="W6809">
        <v>0.20454439999999999</v>
      </c>
      <c r="X6809">
        <v>0.97529480000000002</v>
      </c>
      <c r="Y6809">
        <v>0.1491102</v>
      </c>
      <c r="Z6809">
        <v>-1.08136E-3</v>
      </c>
      <c r="AA6809">
        <v>0.98882000000000003</v>
      </c>
      <c r="AB6809">
        <v>28</v>
      </c>
      <c r="AC6809">
        <v>3.1050420000000001</v>
      </c>
      <c r="AD6809">
        <v>-9.9027160000000002E-4</v>
      </c>
      <c r="AE6809">
        <v>-0.4842224</v>
      </c>
      <c r="AF6809">
        <v>0.46858937053033101</v>
      </c>
      <c r="AG6809">
        <v>-9.9027160000000002E-4</v>
      </c>
      <c r="AH6809">
        <v>3.1074393308601098</v>
      </c>
      <c r="AI6809">
        <v>90.018054762679498</v>
      </c>
      <c r="AJ6809">
        <v>81.424636669124595</v>
      </c>
      <c r="AK6809">
        <v>3.1425715861039998</v>
      </c>
      <c r="AL6809">
        <v>78.197169634184903</v>
      </c>
      <c r="AM6809">
        <v>94.889723593950706</v>
      </c>
      <c r="AN6809">
        <v>0.99999996645900002</v>
      </c>
    </row>
    <row r="6810" spans="1:40" x14ac:dyDescent="0.25">
      <c r="A6810" t="str">
        <f>"20190304155237013"</f>
        <v>20190304155237013</v>
      </c>
      <c r="B6810" t="str">
        <f>"1551685957003842"</f>
        <v>1551685957003842</v>
      </c>
      <c r="C6810" t="s">
        <v>40</v>
      </c>
      <c r="D6810">
        <v>4.180218</v>
      </c>
      <c r="E6810">
        <v>0.52842630000000002</v>
      </c>
      <c r="F6810" t="s">
        <v>108</v>
      </c>
      <c r="G6810">
        <v>-168.45060000000001</v>
      </c>
      <c r="H6810">
        <v>1.71662599999999</v>
      </c>
      <c r="I6810">
        <v>-65.483419999999995</v>
      </c>
      <c r="J6810">
        <v>-237.20760000000001</v>
      </c>
      <c r="K6810">
        <v>1.1105529999999999</v>
      </c>
      <c r="L6810">
        <v>-63.095059999999997</v>
      </c>
      <c r="M6810">
        <v>0.99989930000000005</v>
      </c>
      <c r="N6810">
        <v>-1.3278140000000001E-2</v>
      </c>
      <c r="O6810">
        <v>-5.0324269999999999E-3</v>
      </c>
      <c r="P6810">
        <v>0.97829549999999998</v>
      </c>
      <c r="Q6810">
        <v>0.19168789999999999</v>
      </c>
      <c r="R6810">
        <v>7.8703229999999999E-2</v>
      </c>
      <c r="S6810">
        <v>3.0697169999999998</v>
      </c>
      <c r="T6810">
        <v>2.7012109999999999E-2</v>
      </c>
      <c r="U6810">
        <v>-0.1064758</v>
      </c>
      <c r="V6810">
        <v>-8.3618159999999997E-2</v>
      </c>
      <c r="W6810">
        <v>0.2046588</v>
      </c>
      <c r="X6810">
        <v>0.97525530000000005</v>
      </c>
      <c r="Y6810">
        <v>2.9636559999999999E-2</v>
      </c>
      <c r="Z6810">
        <v>-1.775429E-4</v>
      </c>
      <c r="AA6810">
        <v>0.99956069999999997</v>
      </c>
      <c r="AB6810">
        <v>28</v>
      </c>
      <c r="AC6810">
        <v>68.757000000000005</v>
      </c>
      <c r="AD6810">
        <v>0.60607299999999897</v>
      </c>
      <c r="AE6810">
        <v>-2.3883599999999898</v>
      </c>
      <c r="AF6810">
        <v>2.0421262236160098</v>
      </c>
      <c r="AG6810">
        <v>0.60607299999999897</v>
      </c>
      <c r="AH6810">
        <v>68.762813129801998</v>
      </c>
      <c r="AI6810">
        <v>89.495232641192999</v>
      </c>
      <c r="AJ6810">
        <v>88.298923094794603</v>
      </c>
      <c r="AK6810">
        <v>68.795799824688302</v>
      </c>
      <c r="AL6810">
        <v>78.190474467114896</v>
      </c>
      <c r="AM6810">
        <v>94.900541645115098</v>
      </c>
      <c r="AN6810">
        <v>1.0000000606386501</v>
      </c>
    </row>
    <row r="6811" spans="1:40" x14ac:dyDescent="0.25">
      <c r="A6811" t="str">
        <f>"20190304155237025"</f>
        <v>20190304155237025</v>
      </c>
      <c r="B6811" t="str">
        <f>"1551685957013603"</f>
        <v>1551685957013603</v>
      </c>
      <c r="C6811" t="s">
        <v>40</v>
      </c>
      <c r="D6811">
        <v>4.9313449999999897</v>
      </c>
      <c r="E6811">
        <v>0.52012570000000002</v>
      </c>
      <c r="F6811" t="s">
        <v>108</v>
      </c>
      <c r="G6811">
        <v>-157.3501</v>
      </c>
      <c r="H6811">
        <v>1.6310960000000001</v>
      </c>
      <c r="I6811">
        <v>-62.861849999999997</v>
      </c>
      <c r="J6811">
        <v>-237.0583</v>
      </c>
      <c r="K6811">
        <v>1.110557</v>
      </c>
      <c r="L6811">
        <v>-63.095829999999999</v>
      </c>
      <c r="M6811">
        <v>0.99989859999999997</v>
      </c>
      <c r="N6811">
        <v>-1.332526E-2</v>
      </c>
      <c r="O6811">
        <v>-5.032145E-3</v>
      </c>
      <c r="P6811">
        <v>0.97822569999999998</v>
      </c>
      <c r="Q6811">
        <v>0.1918484</v>
      </c>
      <c r="R6811">
        <v>7.9175490000000001E-2</v>
      </c>
      <c r="S6811">
        <v>3.0619510000000001</v>
      </c>
      <c r="T6811">
        <v>1.9958259999999999E-2</v>
      </c>
      <c r="U6811">
        <v>8.9416500000000006E-3</v>
      </c>
      <c r="V6811">
        <v>-8.4089259999999999E-2</v>
      </c>
      <c r="W6811">
        <v>0.20486460000000001</v>
      </c>
      <c r="X6811">
        <v>0.97517149999999997</v>
      </c>
      <c r="Y6811">
        <v>-7.9519540000000007E-3</v>
      </c>
      <c r="Z6811" s="1">
        <v>-7.2788140000000005E-5</v>
      </c>
      <c r="AA6811">
        <v>0.99996839999999998</v>
      </c>
      <c r="AB6811">
        <v>28</v>
      </c>
      <c r="AC6811">
        <v>79.708200000000005</v>
      </c>
      <c r="AD6811">
        <v>0.52053899999999897</v>
      </c>
      <c r="AE6811">
        <v>0.23398000000000899</v>
      </c>
      <c r="AF6811">
        <v>-0.63508876799543101</v>
      </c>
      <c r="AG6811">
        <v>0.52053899999999897</v>
      </c>
      <c r="AH6811">
        <v>79.702613941462502</v>
      </c>
      <c r="AI6811">
        <v>89.625817579630194</v>
      </c>
      <c r="AJ6811">
        <v>90.4565362932304</v>
      </c>
      <c r="AK6811">
        <v>79.706843920052293</v>
      </c>
      <c r="AL6811">
        <v>78.178426796100496</v>
      </c>
      <c r="AM6811">
        <v>94.928436831517899</v>
      </c>
      <c r="AN6811">
        <v>0.99999998119637801</v>
      </c>
    </row>
    <row r="6812" spans="1:40" x14ac:dyDescent="0.25">
      <c r="A6812" t="str">
        <f>"20190304155237035"</f>
        <v>20190304155237035</v>
      </c>
      <c r="B6812" t="str">
        <f>"1551685957023362"</f>
        <v>1551685957023362</v>
      </c>
      <c r="C6812" t="s">
        <v>40</v>
      </c>
      <c r="D6812">
        <v>4.9710159999999997</v>
      </c>
      <c r="E6812">
        <v>0.51552949999999997</v>
      </c>
      <c r="F6812" t="s">
        <v>108</v>
      </c>
      <c r="G6812">
        <v>-157.3501</v>
      </c>
      <c r="H6812">
        <v>0.93624019999999997</v>
      </c>
      <c r="I6812">
        <v>-61.111310000000003</v>
      </c>
      <c r="J6812">
        <v>-236.9348</v>
      </c>
      <c r="K6812">
        <v>1.1105609999999999</v>
      </c>
      <c r="L6812">
        <v>-63.096440000000001</v>
      </c>
      <c r="M6812">
        <v>0.99989810000000001</v>
      </c>
      <c r="N6812">
        <v>-1.336117E-2</v>
      </c>
      <c r="O6812">
        <v>-5.032145E-3</v>
      </c>
      <c r="P6812">
        <v>0.97824080000000002</v>
      </c>
      <c r="Q6812">
        <v>0.19164790000000001</v>
      </c>
      <c r="R6812">
        <v>7.9474719999999999E-2</v>
      </c>
      <c r="S6812">
        <v>3.0619049999999999</v>
      </c>
      <c r="T6812">
        <v>-6.6969389999999998E-3</v>
      </c>
      <c r="U6812">
        <v>7.6232910000000001E-2</v>
      </c>
      <c r="V6812">
        <v>-8.4388899999999906E-2</v>
      </c>
      <c r="W6812">
        <v>0.2046994</v>
      </c>
      <c r="X6812">
        <v>0.9751803</v>
      </c>
      <c r="Y6812">
        <v>-2.9919399999999999E-2</v>
      </c>
      <c r="Z6812">
        <v>1.764123E-4</v>
      </c>
      <c r="AA6812">
        <v>0.99955229999999995</v>
      </c>
      <c r="AB6812">
        <v>28</v>
      </c>
      <c r="AC6812">
        <v>79.584699999999998</v>
      </c>
      <c r="AD6812">
        <v>-0.1743208</v>
      </c>
      <c r="AE6812">
        <v>1.9851300000000001</v>
      </c>
      <c r="AF6812">
        <v>-2.3856109140330801</v>
      </c>
      <c r="AG6812">
        <v>-0.1743208</v>
      </c>
      <c r="AH6812">
        <v>79.573320282166307</v>
      </c>
      <c r="AI6812">
        <v>90.125460953530805</v>
      </c>
      <c r="AJ6812">
        <v>91.717215109908594</v>
      </c>
      <c r="AK6812">
        <v>79.609263455345996</v>
      </c>
      <c r="AL6812">
        <v>78.188096909336906</v>
      </c>
      <c r="AM6812">
        <v>94.945867239448901</v>
      </c>
      <c r="AN6812">
        <v>0.99999997415582897</v>
      </c>
    </row>
    <row r="6813" spans="1:40" x14ac:dyDescent="0.25">
      <c r="A6813" t="str">
        <f>"20190304155237044"</f>
        <v>20190304155237044</v>
      </c>
      <c r="B6813" t="str">
        <f>"1551685957034097"</f>
        <v>1551685957034097</v>
      </c>
      <c r="C6813" t="s">
        <v>40</v>
      </c>
      <c r="D6813">
        <v>4.949878</v>
      </c>
      <c r="E6813">
        <v>0.51125859999999901</v>
      </c>
      <c r="F6813" t="s">
        <v>108</v>
      </c>
      <c r="G6813">
        <v>-157.3501</v>
      </c>
      <c r="H6813">
        <v>0.5121713</v>
      </c>
      <c r="I6813">
        <v>-60.148169999999901</v>
      </c>
      <c r="J6813">
        <v>-236.8091</v>
      </c>
      <c r="K6813">
        <v>1.110565</v>
      </c>
      <c r="L6813">
        <v>-63.097079999999998</v>
      </c>
      <c r="M6813">
        <v>0.99989760000000005</v>
      </c>
      <c r="N6813">
        <v>-1.339684E-2</v>
      </c>
      <c r="O6813">
        <v>-5.0320259999999898E-3</v>
      </c>
      <c r="P6813">
        <v>0.97820680000000004</v>
      </c>
      <c r="Q6813">
        <v>0.19160089999999999</v>
      </c>
      <c r="R6813">
        <v>8.0005560000000003E-2</v>
      </c>
      <c r="S6813">
        <v>3.0620120000000002</v>
      </c>
      <c r="T6813">
        <v>-2.3023720000000001E-2</v>
      </c>
      <c r="U6813">
        <v>0.1134338</v>
      </c>
      <c r="V6813">
        <v>-8.4919229999999998E-2</v>
      </c>
      <c r="W6813">
        <v>0.20468629999999999</v>
      </c>
      <c r="X6813">
        <v>0.97513709999999998</v>
      </c>
      <c r="Y6813">
        <v>-4.2045300000000001E-2</v>
      </c>
      <c r="Z6813">
        <v>4.1020459999999999E-4</v>
      </c>
      <c r="AA6813">
        <v>0.99911559999999999</v>
      </c>
      <c r="AB6813">
        <v>28</v>
      </c>
      <c r="AC6813">
        <v>79.459000000000003</v>
      </c>
      <c r="AD6813">
        <v>-0.59839370000000003</v>
      </c>
      <c r="AE6813">
        <v>2.9489100000000099</v>
      </c>
      <c r="AF6813">
        <v>-3.3485586481165099</v>
      </c>
      <c r="AG6813">
        <v>-0.59839370000000003</v>
      </c>
      <c r="AH6813">
        <v>79.438654425680497</v>
      </c>
      <c r="AI6813">
        <v>90.431205279264702</v>
      </c>
      <c r="AJ6813">
        <v>92.413746375366898</v>
      </c>
      <c r="AK6813">
        <v>79.511450351523393</v>
      </c>
      <c r="AL6813">
        <v>78.188864753816603</v>
      </c>
      <c r="AM6813">
        <v>94.977012588951993</v>
      </c>
      <c r="AN6813">
        <v>1.0000000604139401</v>
      </c>
    </row>
    <row r="6814" spans="1:40" x14ac:dyDescent="0.25">
      <c r="A6814" t="str">
        <f>"20190304155237055"</f>
        <v>20190304155237055</v>
      </c>
      <c r="B6814" t="str">
        <f>"1551685957043857"</f>
        <v>1551685957043857</v>
      </c>
      <c r="C6814" t="s">
        <v>40</v>
      </c>
      <c r="D6814">
        <v>5.3708179999999999</v>
      </c>
      <c r="E6814">
        <v>0.50895859999999904</v>
      </c>
      <c r="F6814" t="s">
        <v>108</v>
      </c>
      <c r="G6814">
        <v>-157.3501</v>
      </c>
      <c r="H6814">
        <v>8.6697099999999999E-2</v>
      </c>
      <c r="I6814">
        <v>-59.234520000000003</v>
      </c>
      <c r="J6814">
        <v>-236.6789</v>
      </c>
      <c r="K6814">
        <v>1.110568</v>
      </c>
      <c r="L6814">
        <v>-63.097720000000002</v>
      </c>
      <c r="M6814">
        <v>0.99989720000000004</v>
      </c>
      <c r="N6814">
        <v>-1.343079E-2</v>
      </c>
      <c r="O6814">
        <v>-5.0320139999999996E-3</v>
      </c>
      <c r="P6814">
        <v>0.97816029999999998</v>
      </c>
      <c r="Q6814">
        <v>0.19163859999999999</v>
      </c>
      <c r="R6814">
        <v>8.0482929999999994E-2</v>
      </c>
      <c r="S6814">
        <v>3.0623930000000001</v>
      </c>
      <c r="T6814">
        <v>-3.9461139999999999E-2</v>
      </c>
      <c r="U6814">
        <v>0.14886469999999999</v>
      </c>
      <c r="V6814">
        <v>-8.5396860000000005E-2</v>
      </c>
      <c r="W6814">
        <v>0.20475679999999999</v>
      </c>
      <c r="X6814">
        <v>0.97508050000000002</v>
      </c>
      <c r="Y6814">
        <v>-5.3570109999999997E-2</v>
      </c>
      <c r="Z6814">
        <v>7.0218679999999901E-4</v>
      </c>
      <c r="AA6814">
        <v>0.9985638</v>
      </c>
      <c r="AB6814">
        <v>28</v>
      </c>
      <c r="AC6814">
        <v>79.328800000000001</v>
      </c>
      <c r="AD6814">
        <v>-1.0238708999999999</v>
      </c>
      <c r="AE6814">
        <v>3.8631999999999902</v>
      </c>
      <c r="AF6814">
        <v>-4.2616624601026398</v>
      </c>
      <c r="AG6814">
        <v>-1.0238708999999999</v>
      </c>
      <c r="AH6814">
        <v>79.295176120942799</v>
      </c>
      <c r="AI6814">
        <v>90.738704399119797</v>
      </c>
      <c r="AJ6814">
        <v>93.076360950833504</v>
      </c>
      <c r="AK6814">
        <v>79.416213927604602</v>
      </c>
      <c r="AL6814">
        <v>78.1847369881568</v>
      </c>
      <c r="AM6814">
        <v>95.005153154391806</v>
      </c>
      <c r="AN6814">
        <v>0.99999997616217395</v>
      </c>
    </row>
    <row r="6815" spans="1:40" x14ac:dyDescent="0.25">
      <c r="A6815" t="str">
        <f>"20190304155237066"</f>
        <v>20190304155237066</v>
      </c>
      <c r="B6815" t="str">
        <f>"1551685957063378"</f>
        <v>1551685957063378</v>
      </c>
      <c r="C6815" t="s">
        <v>40</v>
      </c>
      <c r="D6815">
        <v>4.8823670000000003</v>
      </c>
      <c r="E6815">
        <v>0.5046332</v>
      </c>
      <c r="F6815" t="s">
        <v>108</v>
      </c>
      <c r="G6815">
        <v>-157.3501</v>
      </c>
      <c r="H6815">
        <v>0.1444588</v>
      </c>
      <c r="I6815">
        <v>-58.733559999999997</v>
      </c>
      <c r="J6815">
        <v>-236.5394</v>
      </c>
      <c r="K6815">
        <v>1.1105719999999999</v>
      </c>
      <c r="L6815">
        <v>-63.098419999999997</v>
      </c>
      <c r="M6815">
        <v>0.99989669999999997</v>
      </c>
      <c r="N6815">
        <v>-1.346616E-2</v>
      </c>
      <c r="O6815">
        <v>-5.031893E-3</v>
      </c>
      <c r="P6815">
        <v>0.97820119999999999</v>
      </c>
      <c r="Q6815">
        <v>0.19129850000000001</v>
      </c>
      <c r="R6815">
        <v>8.0794290000000005E-2</v>
      </c>
      <c r="S6815">
        <v>3.0604399999999998</v>
      </c>
      <c r="T6815">
        <v>-3.7272449999999999E-2</v>
      </c>
      <c r="U6815">
        <v>0.1683655</v>
      </c>
      <c r="V6815">
        <v>-8.5707920000000007E-2</v>
      </c>
      <c r="W6815">
        <v>0.20445150000000001</v>
      </c>
      <c r="X6815">
        <v>0.97511729999999996</v>
      </c>
      <c r="Y6815">
        <v>-5.9945129999999999E-2</v>
      </c>
      <c r="Z6815">
        <v>7.6223580000000005E-4</v>
      </c>
      <c r="AA6815">
        <v>0.99820140000000002</v>
      </c>
      <c r="AB6815">
        <v>28</v>
      </c>
      <c r="AC6815">
        <v>79.189300000000003</v>
      </c>
      <c r="AD6815">
        <v>-0.96611320000000001</v>
      </c>
      <c r="AE6815">
        <v>4.3648600000000002</v>
      </c>
      <c r="AF6815">
        <v>-4.7626062106000404</v>
      </c>
      <c r="AG6815">
        <v>-0.96611320000000001</v>
      </c>
      <c r="AH6815">
        <v>79.154586003535201</v>
      </c>
      <c r="AI6815">
        <v>90.698020816783099</v>
      </c>
      <c r="AJ6815">
        <v>93.443245287231605</v>
      </c>
      <c r="AK6815">
        <v>79.303620838039393</v>
      </c>
      <c r="AL6815">
        <v>78.202607801254601</v>
      </c>
      <c r="AM6815">
        <v>95.023102821077501</v>
      </c>
      <c r="AN6815">
        <v>1.00000000608113</v>
      </c>
    </row>
    <row r="6816" spans="1:40" x14ac:dyDescent="0.25">
      <c r="A6816" t="str">
        <f>"20190304155237078"</f>
        <v>20190304155237078</v>
      </c>
      <c r="B6816" t="str">
        <f>"1551685957074114"</f>
        <v>1551685957074114</v>
      </c>
      <c r="C6816" t="s">
        <v>40</v>
      </c>
      <c r="D6816">
        <v>4.9038329999999997</v>
      </c>
      <c r="E6816">
        <v>0.50294430000000001</v>
      </c>
      <c r="F6816" t="s">
        <v>77</v>
      </c>
      <c r="G6816">
        <v>-185.55459999999999</v>
      </c>
      <c r="H6816" s="1">
        <v>-1.364122E-5</v>
      </c>
      <c r="I6816">
        <v>-59.712859999999999</v>
      </c>
      <c r="J6816">
        <v>-236.39320000000001</v>
      </c>
      <c r="K6816">
        <v>1.110574</v>
      </c>
      <c r="L6816">
        <v>-63.099150000000002</v>
      </c>
      <c r="M6816">
        <v>0.99989629999999996</v>
      </c>
      <c r="N6816">
        <v>-1.349942E-2</v>
      </c>
      <c r="O6816">
        <v>-5.0319980000000002E-3</v>
      </c>
      <c r="P6816">
        <v>0.97813859999999997</v>
      </c>
      <c r="Q6816">
        <v>0.19134039999999999</v>
      </c>
      <c r="R6816">
        <v>8.1450549999999997E-2</v>
      </c>
      <c r="S6816">
        <v>3.0630950000000001</v>
      </c>
      <c r="T6816">
        <v>-6.6722509999999999E-2</v>
      </c>
      <c r="U6816">
        <v>0.20339969999999999</v>
      </c>
      <c r="V6816">
        <v>-8.636402E-2</v>
      </c>
      <c r="W6816">
        <v>0.20452529999999999</v>
      </c>
      <c r="X6816">
        <v>0.97504400000000002</v>
      </c>
      <c r="Y6816">
        <v>-7.1250480000000005E-2</v>
      </c>
      <c r="Z6816">
        <v>1.2982619999999999E-3</v>
      </c>
      <c r="AA6816">
        <v>0.99745760000000006</v>
      </c>
      <c r="AB6816">
        <v>28</v>
      </c>
      <c r="AC6816">
        <v>50.8386</v>
      </c>
      <c r="AD6816">
        <v>-1.11058764122</v>
      </c>
      <c r="AE6816">
        <v>3.3862899999999998</v>
      </c>
      <c r="AF6816">
        <v>-3.64036056610423</v>
      </c>
      <c r="AG6816">
        <v>-1.11058764122</v>
      </c>
      <c r="AH6816">
        <v>50.796780724356097</v>
      </c>
      <c r="AI6816">
        <v>91.249275021102093</v>
      </c>
      <c r="AJ6816">
        <v>94.0991045580855</v>
      </c>
      <c r="AK6816">
        <v>50.939165304492299</v>
      </c>
      <c r="AL6816">
        <v>78.198288883445102</v>
      </c>
      <c r="AM6816">
        <v>95.061734557402005</v>
      </c>
      <c r="AN6816">
        <v>1.00000007211332</v>
      </c>
    </row>
    <row r="6817" spans="1:40" x14ac:dyDescent="0.25">
      <c r="A6817" t="str">
        <f>"20190304155237089"</f>
        <v>20190304155237089</v>
      </c>
      <c r="B6817" t="str">
        <f>"1551685957083873"</f>
        <v>1551685957083873</v>
      </c>
      <c r="C6817" t="s">
        <v>40</v>
      </c>
      <c r="D6817">
        <v>4.9436929999999997</v>
      </c>
      <c r="E6817">
        <v>0.50149920000000003</v>
      </c>
      <c r="F6817" t="s">
        <v>77</v>
      </c>
      <c r="G6817">
        <v>-193.54810000000001</v>
      </c>
      <c r="H6817" s="1">
        <v>-6.6866560000000003E-6</v>
      </c>
      <c r="I6817">
        <v>-60.039790000000004</v>
      </c>
      <c r="J6817">
        <v>-236.25139999999999</v>
      </c>
      <c r="K6817">
        <v>1.110576</v>
      </c>
      <c r="L6817">
        <v>-63.099850000000004</v>
      </c>
      <c r="M6817">
        <v>0.99989589999999995</v>
      </c>
      <c r="N6817">
        <v>-1.3530739999999999E-2</v>
      </c>
      <c r="O6817">
        <v>-5.0318519999999999E-3</v>
      </c>
      <c r="P6817">
        <v>0.97813209999999995</v>
      </c>
      <c r="Q6817">
        <v>0.1912055</v>
      </c>
      <c r="R6817">
        <v>8.1842139999999994E-2</v>
      </c>
      <c r="S6817">
        <v>3.064362</v>
      </c>
      <c r="T6817">
        <v>-7.9430700000000007E-2</v>
      </c>
      <c r="U6817">
        <v>0.21881100000000001</v>
      </c>
      <c r="V6817">
        <v>-8.6755559999999995E-2</v>
      </c>
      <c r="W6817">
        <v>0.2044203</v>
      </c>
      <c r="X6817">
        <v>0.97503119999999999</v>
      </c>
      <c r="Y6817">
        <v>-7.6203170000000001E-2</v>
      </c>
      <c r="Z6817">
        <v>1.5648109999999999E-3</v>
      </c>
      <c r="AA6817">
        <v>0.99709110000000001</v>
      </c>
      <c r="AB6817">
        <v>28</v>
      </c>
      <c r="AC6817">
        <v>42.703299999999899</v>
      </c>
      <c r="AD6817">
        <v>-1.110582686656</v>
      </c>
      <c r="AE6817">
        <v>3.06006</v>
      </c>
      <c r="AF6817">
        <v>-3.2727153579094801</v>
      </c>
      <c r="AG6817">
        <v>-1.110582686656</v>
      </c>
      <c r="AH6817">
        <v>42.658654832461998</v>
      </c>
      <c r="AI6817">
        <v>91.486943716182395</v>
      </c>
      <c r="AJ6817">
        <v>94.387062538332501</v>
      </c>
      <c r="AK6817">
        <v>42.798421604457999</v>
      </c>
      <c r="AL6817">
        <v>78.204434089006995</v>
      </c>
      <c r="AM6817">
        <v>95.084628820221297</v>
      </c>
      <c r="AN6817">
        <v>1.0000000136082201</v>
      </c>
    </row>
    <row r="6818" spans="1:40" x14ac:dyDescent="0.25">
      <c r="A6818" t="str">
        <f>"20190304155237100"</f>
        <v>20190304155237100</v>
      </c>
      <c r="B6818" t="str">
        <f>"1551685957093634"</f>
        <v>1551685957093634</v>
      </c>
      <c r="C6818" t="s">
        <v>40</v>
      </c>
      <c r="D6818">
        <v>4.8673299999999999</v>
      </c>
      <c r="E6818">
        <v>0.5007355</v>
      </c>
      <c r="F6818" t="s">
        <v>77</v>
      </c>
      <c r="G6818">
        <v>-198.6497</v>
      </c>
      <c r="H6818" s="1">
        <v>-7.1823590000000004E-6</v>
      </c>
      <c r="I6818">
        <v>-60.262360000000001</v>
      </c>
      <c r="J6818">
        <v>-236.10499999999999</v>
      </c>
      <c r="K6818">
        <v>1.110571</v>
      </c>
      <c r="L6818">
        <v>-63.100589999999997</v>
      </c>
      <c r="M6818">
        <v>0.99989550000000005</v>
      </c>
      <c r="N6818">
        <v>-1.3559760000000001E-2</v>
      </c>
      <c r="O6818">
        <v>-5.0319279999999997E-3</v>
      </c>
      <c r="P6818">
        <v>0.97812209999999999</v>
      </c>
      <c r="Q6818">
        <v>0.190974</v>
      </c>
      <c r="R6818">
        <v>8.2499820000000001E-2</v>
      </c>
      <c r="S6818">
        <v>3.0654300000000001</v>
      </c>
      <c r="T6818">
        <v>-9.0538740000000006E-2</v>
      </c>
      <c r="U6818">
        <v>0.23132320000000001</v>
      </c>
      <c r="V6818">
        <v>-8.7413039999999997E-2</v>
      </c>
      <c r="W6818">
        <v>0.2042167</v>
      </c>
      <c r="X6818">
        <v>0.97501510000000002</v>
      </c>
      <c r="Y6818">
        <v>-8.0213670000000001E-2</v>
      </c>
      <c r="Z6818">
        <v>1.8076990000000001E-3</v>
      </c>
      <c r="AA6818">
        <v>0.996776</v>
      </c>
      <c r="AB6818">
        <v>28</v>
      </c>
      <c r="AC6818">
        <v>37.455300000000001</v>
      </c>
      <c r="AD6818">
        <v>-1.110578182359</v>
      </c>
      <c r="AE6818">
        <v>2.8382299999999998</v>
      </c>
      <c r="AF6818">
        <v>-3.0240402846518002</v>
      </c>
      <c r="AG6818">
        <v>-1.110578182359</v>
      </c>
      <c r="AH6818">
        <v>37.407842638901698</v>
      </c>
      <c r="AI6818">
        <v>91.694993096675205</v>
      </c>
      <c r="AJ6818">
        <v>94.621725664984695</v>
      </c>
      <c r="AK6818">
        <v>37.546303339199099</v>
      </c>
      <c r="AL6818">
        <v>78.216350411840295</v>
      </c>
      <c r="AM6818">
        <v>95.123042714704994</v>
      </c>
      <c r="AN6818">
        <v>0.99999997267447005</v>
      </c>
    </row>
    <row r="6819" spans="1:40" x14ac:dyDescent="0.25">
      <c r="A6819" t="str">
        <f>"20190304155237112"</f>
        <v>20190304155237112</v>
      </c>
      <c r="B6819" t="str">
        <f>"1551685957103394"</f>
        <v>1551685957103394</v>
      </c>
      <c r="C6819" t="s">
        <v>40</v>
      </c>
      <c r="D6819">
        <v>4.9230019999999897</v>
      </c>
      <c r="E6819">
        <v>0.50006329999999999</v>
      </c>
      <c r="F6819" t="s">
        <v>77</v>
      </c>
      <c r="G6819">
        <v>-200.93</v>
      </c>
      <c r="H6819" s="1">
        <v>-5.2350989999999998E-6</v>
      </c>
      <c r="I6819">
        <v>-60.355510000000002</v>
      </c>
      <c r="J6819">
        <v>-235.96430000000001</v>
      </c>
      <c r="K6819">
        <v>1.1105719999999999</v>
      </c>
      <c r="L6819">
        <v>-63.101289999999999</v>
      </c>
      <c r="M6819">
        <v>0.99989510000000004</v>
      </c>
      <c r="N6819">
        <v>-1.3586350000000001E-2</v>
      </c>
      <c r="O6819">
        <v>-5.0317499999999998E-3</v>
      </c>
      <c r="P6819">
        <v>0.97807820000000001</v>
      </c>
      <c r="Q6819">
        <v>0.19097249999999999</v>
      </c>
      <c r="R6819">
        <v>8.3021059999999994E-2</v>
      </c>
      <c r="S6819">
        <v>3.0658110000000001</v>
      </c>
      <c r="T6819">
        <v>-9.6796389999999996E-2</v>
      </c>
      <c r="U6819">
        <v>0.23925779999999999</v>
      </c>
      <c r="V6819">
        <v>-8.7934200000000004E-2</v>
      </c>
      <c r="W6819">
        <v>0.20424100000000001</v>
      </c>
      <c r="X6819">
        <v>0.97496320000000003</v>
      </c>
      <c r="Y6819">
        <v>-8.2760490000000006E-2</v>
      </c>
      <c r="Z6819">
        <v>1.9578149999999999E-3</v>
      </c>
      <c r="AA6819">
        <v>0.99656750000000005</v>
      </c>
      <c r="AB6819">
        <v>28</v>
      </c>
      <c r="AC6819">
        <v>35.034300000000002</v>
      </c>
      <c r="AD6819">
        <v>-1.110577235099</v>
      </c>
      <c r="AE6819">
        <v>2.7457800000000101</v>
      </c>
      <c r="AF6819">
        <v>-2.9191298915682902</v>
      </c>
      <c r="AG6819">
        <v>-1.110577235099</v>
      </c>
      <c r="AH6819">
        <v>34.985098141088599</v>
      </c>
      <c r="AI6819">
        <v>91.811911289058102</v>
      </c>
      <c r="AJ6819">
        <v>94.769667617891599</v>
      </c>
      <c r="AK6819">
        <v>35.124233700688301</v>
      </c>
      <c r="AL6819">
        <v>78.214928778811895</v>
      </c>
      <c r="AM6819">
        <v>95.153695369205394</v>
      </c>
      <c r="AN6819">
        <v>1.0000000254824299</v>
      </c>
    </row>
    <row r="6820" spans="1:40" x14ac:dyDescent="0.25">
      <c r="A6820" t="str">
        <f>"20190304155237121"</f>
        <v>20190304155237121</v>
      </c>
      <c r="B6820" t="str">
        <f>"1551685957114130"</f>
        <v>1551685957114130</v>
      </c>
      <c r="C6820" t="s">
        <v>40</v>
      </c>
      <c r="D6820">
        <v>4.9392930000000002</v>
      </c>
      <c r="E6820">
        <v>0.4995425</v>
      </c>
      <c r="F6820" t="s">
        <v>77</v>
      </c>
      <c r="G6820">
        <v>-201.39760000000001</v>
      </c>
      <c r="H6820" s="1">
        <v>-5.0033739999999999E-6</v>
      </c>
      <c r="I6820">
        <v>-60.326050000000002</v>
      </c>
      <c r="J6820">
        <v>-235.83109999999999</v>
      </c>
      <c r="K6820">
        <v>1.110573</v>
      </c>
      <c r="L6820">
        <v>-63.101959999999998</v>
      </c>
      <c r="M6820">
        <v>0.99989470000000003</v>
      </c>
      <c r="N6820">
        <v>-1.3609680000000001E-2</v>
      </c>
      <c r="O6820">
        <v>-5.0317890000000001E-3</v>
      </c>
      <c r="P6820">
        <v>0.97806439999999994</v>
      </c>
      <c r="Q6820">
        <v>0.1908445</v>
      </c>
      <c r="R6820">
        <v>8.3477759999999998E-2</v>
      </c>
      <c r="S6820">
        <v>3.065582</v>
      </c>
      <c r="T6820">
        <v>-9.8492380000000004E-2</v>
      </c>
      <c r="U6820">
        <v>0.24612429999999999</v>
      </c>
      <c r="V6820">
        <v>-8.8390860000000002E-2</v>
      </c>
      <c r="W6820">
        <v>0.2041355</v>
      </c>
      <c r="X6820">
        <v>0.97494400000000003</v>
      </c>
      <c r="Y6820">
        <v>-8.4980910000000007E-2</v>
      </c>
      <c r="Z6820">
        <v>2.0350670000000002E-3</v>
      </c>
      <c r="AA6820">
        <v>0.9963805</v>
      </c>
      <c r="AB6820">
        <v>28</v>
      </c>
      <c r="AC6820">
        <v>34.433499999999903</v>
      </c>
      <c r="AD6820">
        <v>-1.110578003374</v>
      </c>
      <c r="AE6820">
        <v>2.7759099999999899</v>
      </c>
      <c r="AF6820">
        <v>-2.9461081240987701</v>
      </c>
      <c r="AG6820">
        <v>-1.110578003374</v>
      </c>
      <c r="AH6820">
        <v>34.3835585337495</v>
      </c>
      <c r="AI6820">
        <v>91.843243088320094</v>
      </c>
      <c r="AJ6820">
        <v>94.897348844032194</v>
      </c>
      <c r="AK6820">
        <v>34.527409894520503</v>
      </c>
      <c r="AL6820">
        <v>78.221103568252005</v>
      </c>
      <c r="AM6820">
        <v>95.180415763126305</v>
      </c>
      <c r="AN6820">
        <v>1.0000000248138901</v>
      </c>
    </row>
    <row r="6821" spans="1:40" x14ac:dyDescent="0.25">
      <c r="A6821" t="str">
        <f>"20190304155237134"</f>
        <v>20190304155237134</v>
      </c>
      <c r="B6821" t="str">
        <f>"1551685957123890"</f>
        <v>1551685957123890</v>
      </c>
      <c r="C6821" t="s">
        <v>40</v>
      </c>
      <c r="D6821">
        <v>4.8914799999999996</v>
      </c>
      <c r="E6821">
        <v>0.49927719999999998</v>
      </c>
      <c r="F6821" t="s">
        <v>77</v>
      </c>
      <c r="G6821">
        <v>-201.9024</v>
      </c>
      <c r="H6821" s="1">
        <v>-4.7484600000000001E-6</v>
      </c>
      <c r="I6821">
        <v>-60.31561</v>
      </c>
      <c r="J6821">
        <v>-235.6807</v>
      </c>
      <c r="K6821">
        <v>1.1105769999999999</v>
      </c>
      <c r="L6821">
        <v>-63.102719999999998</v>
      </c>
      <c r="M6821">
        <v>0.99989439999999996</v>
      </c>
      <c r="N6821">
        <v>-1.363411E-2</v>
      </c>
      <c r="O6821">
        <v>-5.031598E-3</v>
      </c>
      <c r="P6821">
        <v>0.97811590000000004</v>
      </c>
      <c r="Q6821">
        <v>0.1903175</v>
      </c>
      <c r="R6821">
        <v>8.4076899999999996E-2</v>
      </c>
      <c r="S6821">
        <v>3.065369</v>
      </c>
      <c r="T6821">
        <v>-0.10033789999999999</v>
      </c>
      <c r="U6821">
        <v>0.2517395</v>
      </c>
      <c r="V6821">
        <v>-8.8989840000000001E-2</v>
      </c>
      <c r="W6821">
        <v>0.2036328</v>
      </c>
      <c r="X6821">
        <v>0.97499460000000004</v>
      </c>
      <c r="Y6821">
        <v>-8.6795890000000001E-2</v>
      </c>
      <c r="Z6821">
        <v>2.1066150000000001E-3</v>
      </c>
      <c r="AA6821">
        <v>0.99622390000000005</v>
      </c>
      <c r="AB6821">
        <v>28</v>
      </c>
      <c r="AC6821">
        <v>33.778300000000002</v>
      </c>
      <c r="AD6821">
        <v>-1.11058174846</v>
      </c>
      <c r="AE6821">
        <v>2.78710999999999</v>
      </c>
      <c r="AF6821">
        <v>-2.9538777890062402</v>
      </c>
      <c r="AG6821">
        <v>-1.11058174846</v>
      </c>
      <c r="AH6821">
        <v>33.727634405183302</v>
      </c>
      <c r="AI6821">
        <v>91.878764546101706</v>
      </c>
      <c r="AJ6821">
        <v>95.0052129028374</v>
      </c>
      <c r="AK6821">
        <v>33.874948094160999</v>
      </c>
      <c r="AL6821">
        <v>78.250523713067693</v>
      </c>
      <c r="AM6821">
        <v>95.215058699145104</v>
      </c>
      <c r="AN6821">
        <v>0.99999998944411195</v>
      </c>
    </row>
    <row r="6822" spans="1:40" x14ac:dyDescent="0.25">
      <c r="A6822" t="str">
        <f>"20190304155237144"</f>
        <v>20190304155237144</v>
      </c>
      <c r="B6822" t="str">
        <f>"1551685957133649"</f>
        <v>1551685957133649</v>
      </c>
      <c r="C6822" t="s">
        <v>40</v>
      </c>
      <c r="D6822">
        <v>4.9397229999999999</v>
      </c>
      <c r="E6822">
        <v>0.49921739999999998</v>
      </c>
      <c r="F6822" t="s">
        <v>77</v>
      </c>
      <c r="G6822">
        <v>-203.43960000000001</v>
      </c>
      <c r="H6822" s="1">
        <v>-3.9519560000000001E-6</v>
      </c>
      <c r="I6822">
        <v>-60.415140000000001</v>
      </c>
      <c r="J6822">
        <v>-235.5498</v>
      </c>
      <c r="K6822">
        <v>1.1105780000000001</v>
      </c>
      <c r="L6822">
        <v>-63.103389999999997</v>
      </c>
      <c r="M6822">
        <v>0.99989410000000001</v>
      </c>
      <c r="N6822">
        <v>-1.365419E-2</v>
      </c>
      <c r="O6822">
        <v>-5.0313780000000004E-3</v>
      </c>
      <c r="P6822">
        <v>0.97808830000000002</v>
      </c>
      <c r="Q6822">
        <v>0.19013369999999999</v>
      </c>
      <c r="R6822">
        <v>8.4808629999999996E-2</v>
      </c>
      <c r="S6822">
        <v>3.0657040000000002</v>
      </c>
      <c r="T6822">
        <v>-0.10560170000000001</v>
      </c>
      <c r="U6822">
        <v>0.25555420000000001</v>
      </c>
      <c r="V6822">
        <v>-8.9721449999999994E-2</v>
      </c>
      <c r="W6822">
        <v>0.20346890000000001</v>
      </c>
      <c r="X6822">
        <v>0.97496179999999999</v>
      </c>
      <c r="Y6822">
        <v>-8.8010729999999995E-2</v>
      </c>
      <c r="Z6822">
        <v>2.219319E-3</v>
      </c>
      <c r="AA6822">
        <v>0.99611709999999998</v>
      </c>
      <c r="AB6822">
        <v>28</v>
      </c>
      <c r="AC6822">
        <v>32.110199999999899</v>
      </c>
      <c r="AD6822">
        <v>-1.1105819519560001</v>
      </c>
      <c r="AE6822">
        <v>2.68825</v>
      </c>
      <c r="AF6822">
        <v>-2.8464083225154702</v>
      </c>
      <c r="AG6822">
        <v>-1.1105819519560001</v>
      </c>
      <c r="AH6822">
        <v>32.058184535756297</v>
      </c>
      <c r="AI6822">
        <v>91.976318220838706</v>
      </c>
      <c r="AJ6822">
        <v>95.073919136301697</v>
      </c>
      <c r="AK6822">
        <v>32.203456776239101</v>
      </c>
      <c r="AL6822">
        <v>78.260115680823702</v>
      </c>
      <c r="AM6822">
        <v>95.257869712833696</v>
      </c>
      <c r="AN6822">
        <v>1.0000000216582701</v>
      </c>
    </row>
    <row r="6823" spans="1:40" x14ac:dyDescent="0.25">
      <c r="A6823" t="str">
        <f>"20190304155237156"</f>
        <v>20190304155237156</v>
      </c>
      <c r="B6823" t="str">
        <f>"1551685957154146"</f>
        <v>1551685957154146</v>
      </c>
      <c r="C6823" t="s">
        <v>40</v>
      </c>
      <c r="D6823">
        <v>4.9322710000000001</v>
      </c>
      <c r="E6823">
        <v>0.4986158</v>
      </c>
      <c r="F6823" t="s">
        <v>77</v>
      </c>
      <c r="G6823">
        <v>-204.81620000000001</v>
      </c>
      <c r="H6823" s="1">
        <v>-3.2562950000000001E-6</v>
      </c>
      <c r="I6823">
        <v>-60.514490000000002</v>
      </c>
      <c r="J6823">
        <v>-235.41200000000001</v>
      </c>
      <c r="K6823">
        <v>1.110579</v>
      </c>
      <c r="L6823">
        <v>-63.104059999999997</v>
      </c>
      <c r="M6823">
        <v>0.9998939</v>
      </c>
      <c r="N6823">
        <v>-1.367327E-2</v>
      </c>
      <c r="O6823">
        <v>-5.03127E-3</v>
      </c>
      <c r="P6823">
        <v>0.97810240000000004</v>
      </c>
      <c r="Q6823">
        <v>0.18978129999999999</v>
      </c>
      <c r="R6823">
        <v>8.5433449999999994E-2</v>
      </c>
      <c r="S6823">
        <v>3.06636</v>
      </c>
      <c r="T6823">
        <v>-0.1108053</v>
      </c>
      <c r="U6823">
        <v>0.2583008</v>
      </c>
      <c r="V6823">
        <v>-9.0346599999999999E-2</v>
      </c>
      <c r="W6823">
        <v>0.20313500000000001</v>
      </c>
      <c r="X6823">
        <v>0.97497370000000005</v>
      </c>
      <c r="Y6823">
        <v>-8.8871749999999999E-2</v>
      </c>
      <c r="Z6823">
        <v>2.3241030000000001E-3</v>
      </c>
      <c r="AA6823">
        <v>0.99604029999999999</v>
      </c>
      <c r="AB6823">
        <v>28</v>
      </c>
      <c r="AC6823">
        <v>30.595800000000001</v>
      </c>
      <c r="AD6823">
        <v>-1.1105822562950001</v>
      </c>
      <c r="AE6823">
        <v>2.5895699999999899</v>
      </c>
      <c r="AF6823">
        <v>-2.7399029626451901</v>
      </c>
      <c r="AG6823">
        <v>-1.1105822562950001</v>
      </c>
      <c r="AH6823">
        <v>30.542426695817699</v>
      </c>
      <c r="AI6823">
        <v>92.074147054694507</v>
      </c>
      <c r="AJ6823">
        <v>95.126173672471396</v>
      </c>
      <c r="AK6823">
        <v>30.685180293785301</v>
      </c>
      <c r="AL6823">
        <v>78.279654846265203</v>
      </c>
      <c r="AM6823">
        <v>95.294233128740004</v>
      </c>
      <c r="AN6823">
        <v>1.00000002602412</v>
      </c>
    </row>
    <row r="6824" spans="1:40" x14ac:dyDescent="0.25">
      <c r="A6824" t="str">
        <f>"20190304155237167"</f>
        <v>20190304155237167</v>
      </c>
      <c r="B6824" t="str">
        <f>"1551685957163906"</f>
        <v>1551685957163906</v>
      </c>
      <c r="C6824" t="s">
        <v>40</v>
      </c>
      <c r="D6824">
        <v>4.9270110000000003</v>
      </c>
      <c r="E6824">
        <v>0.49849650000000001</v>
      </c>
      <c r="F6824" t="s">
        <v>77</v>
      </c>
      <c r="G6824">
        <v>-205.42519999999999</v>
      </c>
      <c r="H6824" s="1">
        <v>-2.8973659999999999E-6</v>
      </c>
      <c r="I6824">
        <v>-60.512140000000002</v>
      </c>
      <c r="J6824">
        <v>-235.2653</v>
      </c>
      <c r="K6824">
        <v>1.110582</v>
      </c>
      <c r="L6824">
        <v>-63.104799999999997</v>
      </c>
      <c r="M6824">
        <v>0.9998937</v>
      </c>
      <c r="N6824">
        <v>-1.3692930000000001E-2</v>
      </c>
      <c r="O6824">
        <v>-5.0312849999999999E-3</v>
      </c>
      <c r="P6824">
        <v>0.97810240000000004</v>
      </c>
      <c r="Q6824">
        <v>0.1895346</v>
      </c>
      <c r="R6824">
        <v>8.5978760000000001E-2</v>
      </c>
      <c r="S6824">
        <v>3.066055</v>
      </c>
      <c r="T6824">
        <v>-0.11355320000000001</v>
      </c>
      <c r="U6824">
        <v>0.26501459999999999</v>
      </c>
      <c r="V6824">
        <v>-9.0891189999999997E-2</v>
      </c>
      <c r="W6824">
        <v>0.2029077</v>
      </c>
      <c r="X6824">
        <v>0.97497040000000001</v>
      </c>
      <c r="Y6824">
        <v>-9.1039579999999995E-2</v>
      </c>
      <c r="Z6824">
        <v>2.424107E-3</v>
      </c>
      <c r="AA6824">
        <v>0.99584430000000002</v>
      </c>
      <c r="AB6824">
        <v>28</v>
      </c>
      <c r="AC6824">
        <v>29.8401</v>
      </c>
      <c r="AD6824">
        <v>-1.110584897366</v>
      </c>
      <c r="AE6824">
        <v>2.5926599999999902</v>
      </c>
      <c r="AF6824">
        <v>-2.7390097193518601</v>
      </c>
      <c r="AG6824">
        <v>-1.110584897366</v>
      </c>
      <c r="AH6824">
        <v>29.785727449631299</v>
      </c>
      <c r="AI6824">
        <v>92.126367047360105</v>
      </c>
      <c r="AJ6824">
        <v>95.253978720485406</v>
      </c>
      <c r="AK6824">
        <v>29.932008498607001</v>
      </c>
      <c r="AL6824">
        <v>78.292954998512002</v>
      </c>
      <c r="AM6824">
        <v>95.3259805884054</v>
      </c>
      <c r="AN6824">
        <v>1.0000000120075301</v>
      </c>
    </row>
    <row r="6825" spans="1:40" x14ac:dyDescent="0.25">
      <c r="A6825" t="str">
        <f>"20190304155237178"</f>
        <v>20190304155237178</v>
      </c>
      <c r="B6825" t="str">
        <f>"1551685957173667"</f>
        <v>1551685957173667</v>
      </c>
      <c r="C6825" t="s">
        <v>40</v>
      </c>
      <c r="D6825">
        <v>4.9194500000000003</v>
      </c>
      <c r="E6825">
        <v>0.49814310000000001</v>
      </c>
      <c r="F6825" t="s">
        <v>77</v>
      </c>
      <c r="G6825">
        <v>-205.99940000000001</v>
      </c>
      <c r="H6825" s="1">
        <v>-2.5377650000000002E-6</v>
      </c>
      <c r="I6825">
        <v>-60.55115</v>
      </c>
      <c r="J6825">
        <v>-235.12629999999999</v>
      </c>
      <c r="K6825">
        <v>1.1105830000000001</v>
      </c>
      <c r="L6825">
        <v>-63.105499999999999</v>
      </c>
      <c r="M6825">
        <v>0.99989349999999999</v>
      </c>
      <c r="N6825">
        <v>-1.3709239999999999E-2</v>
      </c>
      <c r="O6825">
        <v>-5.0312769999999998E-3</v>
      </c>
      <c r="P6825">
        <v>0.97807319999999998</v>
      </c>
      <c r="Q6825">
        <v>0.18935969999999999</v>
      </c>
      <c r="R6825">
        <v>8.6694899999999894E-2</v>
      </c>
      <c r="S6825">
        <v>3.066208</v>
      </c>
      <c r="T6825">
        <v>-0.116357</v>
      </c>
      <c r="U6825">
        <v>0.267547599999999</v>
      </c>
      <c r="V6825">
        <v>-9.1607419999999995E-2</v>
      </c>
      <c r="W6825">
        <v>0.20274800000000001</v>
      </c>
      <c r="X6825">
        <v>0.97493660000000004</v>
      </c>
      <c r="Y6825">
        <v>-9.1847200000000004E-2</v>
      </c>
      <c r="Z6825">
        <v>2.491577E-3</v>
      </c>
      <c r="AA6825">
        <v>0.99577000000000004</v>
      </c>
      <c r="AB6825">
        <v>28</v>
      </c>
      <c r="AC6825">
        <v>29.1268999999999</v>
      </c>
      <c r="AD6825">
        <v>-1.110585537765</v>
      </c>
      <c r="AE6825">
        <v>2.5543499999999901</v>
      </c>
      <c r="AF6825">
        <v>-2.6969858685658101</v>
      </c>
      <c r="AG6825">
        <v>-1.110585537765</v>
      </c>
      <c r="AH6825">
        <v>29.0717354566628</v>
      </c>
      <c r="AI6825">
        <v>92.178379414820498</v>
      </c>
      <c r="AJ6825">
        <v>95.300161227620706</v>
      </c>
      <c r="AK6825">
        <v>29.2176818976817</v>
      </c>
      <c r="AL6825">
        <v>78.302299486516901</v>
      </c>
      <c r="AM6825">
        <v>95.367890568433694</v>
      </c>
      <c r="AN6825">
        <v>1.0000000224612999</v>
      </c>
    </row>
    <row r="6826" spans="1:40" x14ac:dyDescent="0.25">
      <c r="A6826" t="str">
        <f>"20190304155237191"</f>
        <v>20190304155237191</v>
      </c>
      <c r="B6826" t="str">
        <f>"1551685957183425"</f>
        <v>1551685957183425</v>
      </c>
      <c r="C6826" t="s">
        <v>40</v>
      </c>
      <c r="D6826">
        <v>4.9196929999999996</v>
      </c>
      <c r="E6826">
        <v>0.49823410000000001</v>
      </c>
      <c r="F6826" t="s">
        <v>77</v>
      </c>
      <c r="G6826">
        <v>-206.78530000000001</v>
      </c>
      <c r="H6826" s="1">
        <v>-2.043222E-6</v>
      </c>
      <c r="I6826">
        <v>-60.586979999999997</v>
      </c>
      <c r="J6826">
        <v>-234.97630000000001</v>
      </c>
      <c r="K6826">
        <v>1.1105849999999999</v>
      </c>
      <c r="L6826">
        <v>-63.106259999999999</v>
      </c>
      <c r="M6826">
        <v>0.99989320000000004</v>
      </c>
      <c r="N6826">
        <v>-1.372629E-2</v>
      </c>
      <c r="O6826">
        <v>-5.0311540000000004E-3</v>
      </c>
      <c r="P6826">
        <v>0.97801360000000004</v>
      </c>
      <c r="Q6826">
        <v>0.18928239999999999</v>
      </c>
      <c r="R6826">
        <v>8.7531979999999995E-2</v>
      </c>
      <c r="S6826">
        <v>3.06636</v>
      </c>
      <c r="T6826">
        <v>-0.1201599</v>
      </c>
      <c r="U6826">
        <v>0.2724915</v>
      </c>
      <c r="V6826">
        <v>-9.244397E-2</v>
      </c>
      <c r="W6826">
        <v>0.20268639999999999</v>
      </c>
      <c r="X6826">
        <v>0.97487040000000003</v>
      </c>
      <c r="Y6826">
        <v>-9.3428849999999994E-2</v>
      </c>
      <c r="Z6826">
        <v>2.59691E-3</v>
      </c>
      <c r="AA6826">
        <v>0.99562260000000002</v>
      </c>
      <c r="AB6826">
        <v>28</v>
      </c>
      <c r="AC6826">
        <v>28.190999999999999</v>
      </c>
      <c r="AD6826">
        <v>-1.110587043222</v>
      </c>
      <c r="AE6826">
        <v>2.51927999999999</v>
      </c>
      <c r="AF6826">
        <v>-2.6570037967848399</v>
      </c>
      <c r="AG6826">
        <v>-1.110587043222</v>
      </c>
      <c r="AH6826">
        <v>28.134648777594499</v>
      </c>
      <c r="AI6826">
        <v>92.250516614264697</v>
      </c>
      <c r="AJ6826">
        <v>95.394946704525495</v>
      </c>
      <c r="AK6826">
        <v>28.2816466033239</v>
      </c>
      <c r="AL6826">
        <v>78.305903243553402</v>
      </c>
      <c r="AM6826">
        <v>95.416985015315305</v>
      </c>
      <c r="AN6826">
        <v>0.99999998056523998</v>
      </c>
    </row>
    <row r="6827" spans="1:40" x14ac:dyDescent="0.25">
      <c r="A6827" t="str">
        <f>"20190304155237201"</f>
        <v>20190304155237201</v>
      </c>
      <c r="B6827" t="str">
        <f>"1551685957194162"</f>
        <v>1551685957194162</v>
      </c>
      <c r="C6827" t="s">
        <v>40</v>
      </c>
      <c r="D6827">
        <v>4.9039539999999997</v>
      </c>
      <c r="E6827">
        <v>0.4980581</v>
      </c>
      <c r="F6827" t="s">
        <v>77</v>
      </c>
      <c r="G6827">
        <v>-206.4229</v>
      </c>
      <c r="H6827" s="1">
        <v>-2.2688260000000001E-6</v>
      </c>
      <c r="I6827">
        <v>-60.552639999999997</v>
      </c>
      <c r="J6827">
        <v>-234.833</v>
      </c>
      <c r="K6827">
        <v>1.110584</v>
      </c>
      <c r="L6827">
        <v>-63.106990000000003</v>
      </c>
      <c r="M6827">
        <v>0.99989300000000003</v>
      </c>
      <c r="N6827">
        <v>-1.37409E-2</v>
      </c>
      <c r="O6827">
        <v>-5.0311359999999899E-3</v>
      </c>
      <c r="P6827">
        <v>0.97798149999999995</v>
      </c>
      <c r="Q6827">
        <v>0.18908179999999999</v>
      </c>
      <c r="R6827">
        <v>8.8320140000000005E-2</v>
      </c>
      <c r="S6827">
        <v>3.065979</v>
      </c>
      <c r="T6827">
        <v>-0.1192516</v>
      </c>
      <c r="U6827">
        <v>0.27420040000000001</v>
      </c>
      <c r="V6827">
        <v>-9.3231839999999996E-2</v>
      </c>
      <c r="W6827">
        <v>0.2024996</v>
      </c>
      <c r="X6827">
        <v>0.97483419999999998</v>
      </c>
      <c r="Y6827">
        <v>-9.3991019999999995E-2</v>
      </c>
      <c r="Z6827">
        <v>2.5972320000000001E-3</v>
      </c>
      <c r="AA6827">
        <v>0.99556960000000005</v>
      </c>
      <c r="AB6827">
        <v>28</v>
      </c>
      <c r="AC6827">
        <v>28.4101</v>
      </c>
      <c r="AD6827">
        <v>-1.110586268826</v>
      </c>
      <c r="AE6827">
        <v>2.5543499999999901</v>
      </c>
      <c r="AF6827">
        <v>-2.6931837075012801</v>
      </c>
      <c r="AG6827">
        <v>-1.110586268826</v>
      </c>
      <c r="AH6827">
        <v>28.353906987409701</v>
      </c>
      <c r="AI6827">
        <v>92.233015426350093</v>
      </c>
      <c r="AJ6827">
        <v>95.4259364199076</v>
      </c>
      <c r="AK6827">
        <v>28.503169679766</v>
      </c>
      <c r="AL6827">
        <v>78.316832860620593</v>
      </c>
      <c r="AM6827">
        <v>95.463075739517095</v>
      </c>
      <c r="AN6827">
        <v>0.99999999073979196</v>
      </c>
    </row>
    <row r="6828" spans="1:40" x14ac:dyDescent="0.25">
      <c r="A6828" t="str">
        <f>"20190304155237212"</f>
        <v>20190304155237212</v>
      </c>
      <c r="B6828" t="str">
        <f>"1551685957203922"</f>
        <v>1551685957203922</v>
      </c>
      <c r="C6828" t="s">
        <v>40</v>
      </c>
      <c r="D6828">
        <v>4.9061890000000004</v>
      </c>
      <c r="E6828">
        <v>0.49798900000000001</v>
      </c>
      <c r="F6828" t="s">
        <v>77</v>
      </c>
      <c r="G6828">
        <v>-206.57570000000001</v>
      </c>
      <c r="H6828" s="1">
        <v>-2.1704180000000001E-6</v>
      </c>
      <c r="I6828">
        <v>-60.543349999999997</v>
      </c>
      <c r="J6828">
        <v>-234.69749999999999</v>
      </c>
      <c r="K6828">
        <v>1.1105860000000001</v>
      </c>
      <c r="L6828">
        <v>-63.107669999999999</v>
      </c>
      <c r="M6828">
        <v>0.99989300000000003</v>
      </c>
      <c r="N6828">
        <v>-1.375382E-2</v>
      </c>
      <c r="O6828">
        <v>-5.0309860000000003E-3</v>
      </c>
      <c r="P6828">
        <v>0.97785860000000002</v>
      </c>
      <c r="Q6828">
        <v>0.18932280000000001</v>
      </c>
      <c r="R6828">
        <v>8.9162210000000006E-2</v>
      </c>
      <c r="S6828">
        <v>3.0657199999999998</v>
      </c>
      <c r="T6828">
        <v>-0.1204908</v>
      </c>
      <c r="U6828">
        <v>0.27813719999999997</v>
      </c>
      <c r="V6828">
        <v>-9.4073729999999994E-2</v>
      </c>
      <c r="W6828">
        <v>0.20275170000000001</v>
      </c>
      <c r="X6828">
        <v>0.97470089999999998</v>
      </c>
      <c r="Y6828">
        <v>-9.5263280000000006E-2</v>
      </c>
      <c r="Z6828">
        <v>2.65255E-3</v>
      </c>
      <c r="AA6828">
        <v>0.99544860000000002</v>
      </c>
      <c r="AB6828">
        <v>28</v>
      </c>
      <c r="AC6828">
        <v>28.121799999999901</v>
      </c>
      <c r="AD6828">
        <v>-1.1105881704180001</v>
      </c>
      <c r="AE6828">
        <v>2.5643199999999999</v>
      </c>
      <c r="AF6828">
        <v>-2.7016025344822601</v>
      </c>
      <c r="AG6828">
        <v>-1.1105881704180001</v>
      </c>
      <c r="AH6828">
        <v>28.065131666499099</v>
      </c>
      <c r="AI6828">
        <v>92.255699459000994</v>
      </c>
      <c r="AJ6828">
        <v>95.498458072863997</v>
      </c>
      <c r="AK6828">
        <v>28.216726915014799</v>
      </c>
      <c r="AL6828">
        <v>78.302082509753404</v>
      </c>
      <c r="AM6828">
        <v>95.512854406459695</v>
      </c>
      <c r="AN6828">
        <v>0.99999998149490599</v>
      </c>
    </row>
    <row r="6829" spans="1:40" x14ac:dyDescent="0.25">
      <c r="A6829" t="str">
        <f>"20190304155237223"</f>
        <v>20190304155237223</v>
      </c>
      <c r="B6829" t="str">
        <f>"1551685957213683"</f>
        <v>1551685957213683</v>
      </c>
      <c r="C6829" t="s">
        <v>40</v>
      </c>
      <c r="D6829">
        <v>4.9641640000000002</v>
      </c>
      <c r="E6829">
        <v>0.49823020000000001</v>
      </c>
      <c r="F6829" t="s">
        <v>77</v>
      </c>
      <c r="G6829">
        <v>-206.56639999999999</v>
      </c>
      <c r="H6829" s="1">
        <v>-2.1741059999999998E-6</v>
      </c>
      <c r="I6829">
        <v>-60.527450000000002</v>
      </c>
      <c r="J6829">
        <v>-234.56319999999999</v>
      </c>
      <c r="K6829">
        <v>1.1105879999999999</v>
      </c>
      <c r="L6829">
        <v>-63.108310000000003</v>
      </c>
      <c r="M6829">
        <v>0.99989269999999997</v>
      </c>
      <c r="N6829">
        <v>-1.3765690000000001E-2</v>
      </c>
      <c r="O6829">
        <v>-5.0309480000000004E-3</v>
      </c>
      <c r="P6829">
        <v>0.97778560000000003</v>
      </c>
      <c r="Q6829">
        <v>0.18917129999999999</v>
      </c>
      <c r="R6829">
        <v>9.0275510000000003E-2</v>
      </c>
      <c r="S6829">
        <v>3.0657040000000002</v>
      </c>
      <c r="T6829">
        <v>-0.1210307</v>
      </c>
      <c r="U6829">
        <v>0.28118900000000002</v>
      </c>
      <c r="V6829">
        <v>-9.5186389999999996E-2</v>
      </c>
      <c r="W6829">
        <v>0.2026107</v>
      </c>
      <c r="X6829">
        <v>0.97462219999999999</v>
      </c>
      <c r="Y6829">
        <v>-9.6244560000000007E-2</v>
      </c>
      <c r="Z6829">
        <v>2.6883469999999998E-3</v>
      </c>
      <c r="AA6829">
        <v>0.99535410000000002</v>
      </c>
      <c r="AB6829">
        <v>28</v>
      </c>
      <c r="AC6829">
        <v>27.9968</v>
      </c>
      <c r="AD6829">
        <v>-1.11059017410599</v>
      </c>
      <c r="AE6829">
        <v>2.5808599999999902</v>
      </c>
      <c r="AF6829">
        <v>-2.7174509945891399</v>
      </c>
      <c r="AG6829">
        <v>-1.11059017410599</v>
      </c>
      <c r="AH6829">
        <v>27.9398648741942</v>
      </c>
      <c r="AI6829">
        <v>92.265589609812906</v>
      </c>
      <c r="AJ6829">
        <v>95.555155359641404</v>
      </c>
      <c r="AK6829">
        <v>28.093664759711299</v>
      </c>
      <c r="AL6829">
        <v>78.310332529053895</v>
      </c>
      <c r="AM6829">
        <v>95.578096632644701</v>
      </c>
      <c r="AN6829">
        <v>0.99999998866428097</v>
      </c>
    </row>
    <row r="6830" spans="1:40" x14ac:dyDescent="0.25">
      <c r="A6830" t="str">
        <f>"20190304155237235"</f>
        <v>20190304155237235</v>
      </c>
      <c r="B6830" t="str">
        <f>"1551685957223442"</f>
        <v>1551685957223442</v>
      </c>
      <c r="C6830" t="s">
        <v>40</v>
      </c>
      <c r="D6830">
        <v>4.901796</v>
      </c>
      <c r="E6830">
        <v>0.4982955</v>
      </c>
      <c r="F6830" t="s">
        <v>77</v>
      </c>
      <c r="G6830">
        <v>-206.76439999999999</v>
      </c>
      <c r="H6830" s="1">
        <v>-2.0504790000000002E-6</v>
      </c>
      <c r="I6830">
        <v>-60.543370000000003</v>
      </c>
      <c r="J6830">
        <v>-234.42250000000001</v>
      </c>
      <c r="K6830">
        <v>1.110587</v>
      </c>
      <c r="L6830">
        <v>-63.109009999999998</v>
      </c>
      <c r="M6830">
        <v>0.99989240000000001</v>
      </c>
      <c r="N6830">
        <v>-1.3777070000000001E-2</v>
      </c>
      <c r="O6830">
        <v>-5.0307870000000001E-3</v>
      </c>
      <c r="P6830">
        <v>0.97774989999999995</v>
      </c>
      <c r="Q6830">
        <v>0.18888650000000001</v>
      </c>
      <c r="R6830">
        <v>9.1252570000000005E-2</v>
      </c>
      <c r="S6830">
        <v>3.0657199999999998</v>
      </c>
      <c r="T6830">
        <v>-0.1224785</v>
      </c>
      <c r="U6830">
        <v>0.28286739999999999</v>
      </c>
      <c r="V6830">
        <v>-9.6163209999999999E-2</v>
      </c>
      <c r="W6830">
        <v>0.20233660000000001</v>
      </c>
      <c r="X6830">
        <v>0.97458330000000004</v>
      </c>
      <c r="Y6830">
        <v>-9.6781539999999999E-2</v>
      </c>
      <c r="Z6830">
        <v>2.7282259999999998E-3</v>
      </c>
      <c r="AA6830">
        <v>0.99530189999999996</v>
      </c>
      <c r="AB6830">
        <v>28</v>
      </c>
      <c r="AC6830">
        <v>27.658100000000001</v>
      </c>
      <c r="AD6830">
        <v>-1.1105890504789999</v>
      </c>
      <c r="AE6830">
        <v>2.5656400000000001</v>
      </c>
      <c r="AF6830">
        <v>-2.7004458043064599</v>
      </c>
      <c r="AG6830">
        <v>-1.1105890504789999</v>
      </c>
      <c r="AH6830">
        <v>27.600718889391199</v>
      </c>
      <c r="AI6830">
        <v>92.293268185839906</v>
      </c>
      <c r="AJ6830">
        <v>95.588016022238406</v>
      </c>
      <c r="AK6830">
        <v>27.754738312443799</v>
      </c>
      <c r="AL6830">
        <v>78.326370020281701</v>
      </c>
      <c r="AM6830">
        <v>95.635196982544798</v>
      </c>
      <c r="AN6830">
        <v>1.0000000356479699</v>
      </c>
    </row>
    <row r="6831" spans="1:40" x14ac:dyDescent="0.25">
      <c r="A6831" t="str">
        <f>"20190304155237244"</f>
        <v>20190304155237244</v>
      </c>
      <c r="B6831" t="str">
        <f>"1551685957234177"</f>
        <v>1551685957234177</v>
      </c>
      <c r="C6831" t="s">
        <v>40</v>
      </c>
      <c r="D6831">
        <v>4.8812329999999999</v>
      </c>
      <c r="E6831">
        <v>0.49815569999999998</v>
      </c>
      <c r="F6831" t="s">
        <v>77</v>
      </c>
      <c r="G6831">
        <v>-206.7929</v>
      </c>
      <c r="H6831" s="1">
        <v>-2.031594E-6</v>
      </c>
      <c r="I6831">
        <v>-60.537999999999997</v>
      </c>
      <c r="J6831">
        <v>-234.2927</v>
      </c>
      <c r="K6831">
        <v>1.11059</v>
      </c>
      <c r="L6831">
        <v>-63.109679999999997</v>
      </c>
      <c r="M6831">
        <v>0.99989240000000001</v>
      </c>
      <c r="N6831">
        <v>-1.378704E-2</v>
      </c>
      <c r="O6831">
        <v>-5.0308549999999999E-3</v>
      </c>
      <c r="P6831">
        <v>0.97767199999999999</v>
      </c>
      <c r="Q6831">
        <v>0.18872079999999999</v>
      </c>
      <c r="R6831">
        <v>9.2422500000000005E-2</v>
      </c>
      <c r="S6831">
        <v>3.065445</v>
      </c>
      <c r="T6831">
        <v>-0.1232172</v>
      </c>
      <c r="U6831">
        <v>0.2852478</v>
      </c>
      <c r="V6831">
        <v>-9.7332810000000006E-2</v>
      </c>
      <c r="W6831">
        <v>0.2021792</v>
      </c>
      <c r="X6831">
        <v>0.97449980000000003</v>
      </c>
      <c r="Y6831">
        <v>-9.7554059999999998E-2</v>
      </c>
      <c r="Z6831">
        <v>2.7624630000000002E-3</v>
      </c>
      <c r="AA6831">
        <v>0.99522639999999996</v>
      </c>
      <c r="AB6831">
        <v>28</v>
      </c>
      <c r="AC6831">
        <v>27.4998</v>
      </c>
      <c r="AD6831">
        <v>-1.1105920315940001</v>
      </c>
      <c r="AE6831">
        <v>2.5716800000000002</v>
      </c>
      <c r="AF6831">
        <v>-2.7056335012454702</v>
      </c>
      <c r="AG6831">
        <v>-1.1105920315940001</v>
      </c>
      <c r="AH6831">
        <v>27.442143246277698</v>
      </c>
      <c r="AI6831">
        <v>92.306342769871307</v>
      </c>
      <c r="AJ6831">
        <v>95.630827672724095</v>
      </c>
      <c r="AK6831">
        <v>27.597555928975499</v>
      </c>
      <c r="AL6831">
        <v>78.335578069335497</v>
      </c>
      <c r="AM6831">
        <v>95.703772246611607</v>
      </c>
      <c r="AN6831">
        <v>0.99999998250758704</v>
      </c>
    </row>
    <row r="6832" spans="1:40" x14ac:dyDescent="0.25">
      <c r="A6832" t="str">
        <f>"20190304155237256"</f>
        <v>20190304155237256</v>
      </c>
      <c r="B6832" t="str">
        <f>"1551685957253699"</f>
        <v>1551685957253699</v>
      </c>
      <c r="C6832" t="s">
        <v>40</v>
      </c>
      <c r="D6832">
        <v>4.9092349999999998</v>
      </c>
      <c r="E6832">
        <v>0.49804029999999999</v>
      </c>
      <c r="F6832" t="s">
        <v>77</v>
      </c>
      <c r="G6832">
        <v>-206.97810000000001</v>
      </c>
      <c r="H6832" s="1">
        <v>-1.9121599999999998E-6</v>
      </c>
      <c r="I6832">
        <v>-60.525579999999998</v>
      </c>
      <c r="J6832">
        <v>-234.1524</v>
      </c>
      <c r="K6832">
        <v>1.11059</v>
      </c>
      <c r="L6832">
        <v>-63.110379999999999</v>
      </c>
      <c r="M6832">
        <v>0.99989220000000001</v>
      </c>
      <c r="N6832">
        <v>-1.379668E-2</v>
      </c>
      <c r="O6832">
        <v>-5.030802E-3</v>
      </c>
      <c r="P6832">
        <v>0.97754819999999998</v>
      </c>
      <c r="Q6832">
        <v>0.18876100000000001</v>
      </c>
      <c r="R6832">
        <v>9.3641219999999997E-2</v>
      </c>
      <c r="S6832">
        <v>3.06514</v>
      </c>
      <c r="T6832">
        <v>-0.124626399999999</v>
      </c>
      <c r="U6832">
        <v>0.28997800000000001</v>
      </c>
      <c r="V6832">
        <v>-9.8550570000000004E-2</v>
      </c>
      <c r="W6832">
        <v>0.2022273</v>
      </c>
      <c r="X6832">
        <v>0.97436739999999999</v>
      </c>
      <c r="Y6832">
        <v>-9.9081619999999995E-2</v>
      </c>
      <c r="Z6832">
        <v>2.8291990000000001E-3</v>
      </c>
      <c r="AA6832">
        <v>0.9950753</v>
      </c>
      <c r="AB6832">
        <v>28</v>
      </c>
      <c r="AC6832">
        <v>27.174299999999899</v>
      </c>
      <c r="AD6832">
        <v>-1.1105919121600001</v>
      </c>
      <c r="AE6832">
        <v>2.5848</v>
      </c>
      <c r="AF6832">
        <v>-2.7169913393765799</v>
      </c>
      <c r="AG6832">
        <v>-1.1105919121600001</v>
      </c>
      <c r="AH6832">
        <v>27.116065577027499</v>
      </c>
      <c r="AI6832">
        <v>92.333678239647298</v>
      </c>
      <c r="AJ6832">
        <v>95.721858213813405</v>
      </c>
      <c r="AK6832">
        <v>27.274465507343301</v>
      </c>
      <c r="AL6832">
        <v>78.332763782560605</v>
      </c>
      <c r="AM6832">
        <v>95.775433896209293</v>
      </c>
      <c r="AN6832">
        <v>0.99999996294768601</v>
      </c>
    </row>
    <row r="6833" spans="1:40" x14ac:dyDescent="0.25">
      <c r="A6833" t="str">
        <f>"20190304155237268"</f>
        <v>20190304155237268</v>
      </c>
      <c r="B6833" t="str">
        <f>"1551685957263458"</f>
        <v>1551685957263458</v>
      </c>
      <c r="C6833" t="s">
        <v>40</v>
      </c>
      <c r="D6833">
        <v>4.913214</v>
      </c>
      <c r="E6833">
        <v>0.49796370000000001</v>
      </c>
      <c r="F6833" t="s">
        <v>77</v>
      </c>
      <c r="G6833">
        <v>-207.2516</v>
      </c>
      <c r="H6833" s="1">
        <v>-1.7380440000000001E-6</v>
      </c>
      <c r="I6833">
        <v>-60.523870000000002</v>
      </c>
      <c r="J6833">
        <v>-234.00700000000001</v>
      </c>
      <c r="K6833">
        <v>1.11059</v>
      </c>
      <c r="L6833">
        <v>-63.111109999999996</v>
      </c>
      <c r="M6833">
        <v>0.99989209999999995</v>
      </c>
      <c r="N6833">
        <v>-1.380631E-2</v>
      </c>
      <c r="O6833">
        <v>-5.0308690000000003E-3</v>
      </c>
      <c r="P6833">
        <v>0.97745280000000001</v>
      </c>
      <c r="Q6833">
        <v>0.18864520000000001</v>
      </c>
      <c r="R6833">
        <v>9.4864699999999996E-2</v>
      </c>
      <c r="S6833">
        <v>3.0650940000000002</v>
      </c>
      <c r="T6833">
        <v>-0.1265415</v>
      </c>
      <c r="U6833">
        <v>0.29470829999999998</v>
      </c>
      <c r="V6833">
        <v>-9.9773780000000006E-2</v>
      </c>
      <c r="W6833">
        <v>0.20211950000000001</v>
      </c>
      <c r="X6833">
        <v>0.9742653</v>
      </c>
      <c r="Y6833">
        <v>-0.10059999999999999</v>
      </c>
      <c r="Z6833">
        <v>2.9053149999999999E-3</v>
      </c>
      <c r="AA6833">
        <v>0.99492270000000005</v>
      </c>
      <c r="AB6833">
        <v>28</v>
      </c>
      <c r="AC6833">
        <v>26.755400000000002</v>
      </c>
      <c r="AD6833">
        <v>-1.110591738044</v>
      </c>
      <c r="AE6833">
        <v>2.58724</v>
      </c>
      <c r="AF6833">
        <v>-2.71718464195565</v>
      </c>
      <c r="AG6833">
        <v>-1.110591738044</v>
      </c>
      <c r="AH6833">
        <v>26.696472083385899</v>
      </c>
      <c r="AI6833">
        <v>92.3699407845465</v>
      </c>
      <c r="AJ6833">
        <v>95.811589586976993</v>
      </c>
      <c r="AK6833">
        <v>26.8573663654144</v>
      </c>
      <c r="AL6833">
        <v>78.339070789074199</v>
      </c>
      <c r="AM6833">
        <v>95.8472334869859</v>
      </c>
      <c r="AN6833">
        <v>0.999999987119914</v>
      </c>
    </row>
    <row r="6834" spans="1:40" x14ac:dyDescent="0.25">
      <c r="A6834" t="str">
        <f>"20190304155237279"</f>
        <v>20190304155237279</v>
      </c>
      <c r="B6834" t="str">
        <f>"1551685957274194"</f>
        <v>1551685957274194</v>
      </c>
      <c r="C6834" t="s">
        <v>40</v>
      </c>
      <c r="D6834">
        <v>4.9240740000000001</v>
      </c>
      <c r="E6834">
        <v>0.49790649999999997</v>
      </c>
      <c r="F6834" t="s">
        <v>77</v>
      </c>
      <c r="G6834">
        <v>-207.16630000000001</v>
      </c>
      <c r="H6834" s="1">
        <v>-1.78736E-6</v>
      </c>
      <c r="I6834">
        <v>-60.48856</v>
      </c>
      <c r="J6834">
        <v>-233.8672</v>
      </c>
      <c r="K6834">
        <v>1.1105910000000001</v>
      </c>
      <c r="L6834">
        <v>-63.111820000000002</v>
      </c>
      <c r="M6834">
        <v>0.99989189999999994</v>
      </c>
      <c r="N6834">
        <v>-1.381428E-2</v>
      </c>
      <c r="O6834">
        <v>-5.0308059999999996E-3</v>
      </c>
      <c r="P6834">
        <v>0.97733740000000002</v>
      </c>
      <c r="Q6834">
        <v>0.1885744</v>
      </c>
      <c r="R6834">
        <v>9.6183290000000005E-2</v>
      </c>
      <c r="S6834">
        <v>3.0646360000000001</v>
      </c>
      <c r="T6834">
        <v>-0.1268058</v>
      </c>
      <c r="U6834">
        <v>0.2994385</v>
      </c>
      <c r="V6834">
        <v>-0.1010916</v>
      </c>
      <c r="W6834">
        <v>0.2020545</v>
      </c>
      <c r="X6834">
        <v>0.97414290000000003</v>
      </c>
      <c r="Y6834">
        <v>-0.10213319999999999</v>
      </c>
      <c r="Z6834">
        <v>2.9529090000000001E-3</v>
      </c>
      <c r="AA6834">
        <v>0.99476640000000005</v>
      </c>
      <c r="AB6834">
        <v>28</v>
      </c>
      <c r="AC6834">
        <v>26.700899999999901</v>
      </c>
      <c r="AD6834">
        <v>-1.1105927873599999</v>
      </c>
      <c r="AE6834">
        <v>2.6232599999999899</v>
      </c>
      <c r="AF6834">
        <v>-2.7528496382659999</v>
      </c>
      <c r="AG6834">
        <v>-1.1105927873599999</v>
      </c>
      <c r="AH6834">
        <v>26.641712894976301</v>
      </c>
      <c r="AI6834">
        <v>92.374436009453802</v>
      </c>
      <c r="AJ6834">
        <v>95.899354037323704</v>
      </c>
      <c r="AK6834">
        <v>26.806575004065401</v>
      </c>
      <c r="AL6834">
        <v>78.3428731657132</v>
      </c>
      <c r="AM6834">
        <v>95.924657574025503</v>
      </c>
      <c r="AN6834">
        <v>0.99999996109060896</v>
      </c>
    </row>
    <row r="6835" spans="1:40" x14ac:dyDescent="0.25">
      <c r="A6835" t="str">
        <f>"20190304155237290"</f>
        <v>20190304155237290</v>
      </c>
      <c r="B6835" t="str">
        <f>"1551685957283954"</f>
        <v>1551685957283954</v>
      </c>
      <c r="C6835" t="s">
        <v>40</v>
      </c>
      <c r="D6835">
        <v>4.8531440000000003</v>
      </c>
      <c r="E6835">
        <v>0.4978688</v>
      </c>
      <c r="F6835" t="s">
        <v>77</v>
      </c>
      <c r="G6835">
        <v>-207.03970000000001</v>
      </c>
      <c r="H6835" s="1">
        <v>-1.8623050000000001E-6</v>
      </c>
      <c r="I6835">
        <v>-60.448709999999998</v>
      </c>
      <c r="J6835">
        <v>-233.7251</v>
      </c>
      <c r="K6835">
        <v>1.110592</v>
      </c>
      <c r="L6835">
        <v>-63.112490000000001</v>
      </c>
      <c r="M6835">
        <v>0.99989189999999994</v>
      </c>
      <c r="N6835">
        <v>-1.382133E-2</v>
      </c>
      <c r="O6835">
        <v>-5.0309739999999997E-3</v>
      </c>
      <c r="P6835">
        <v>0.97719089999999997</v>
      </c>
      <c r="Q6835">
        <v>0.18864919999999999</v>
      </c>
      <c r="R6835">
        <v>9.7518590000000002E-2</v>
      </c>
      <c r="S6835">
        <v>3.064117</v>
      </c>
      <c r="T6835">
        <v>-0.12684699999999999</v>
      </c>
      <c r="U6835">
        <v>0.30416870000000001</v>
      </c>
      <c r="V6835">
        <v>-0.1024262</v>
      </c>
      <c r="W6835">
        <v>0.20213439999999999</v>
      </c>
      <c r="X6835">
        <v>0.97398689999999999</v>
      </c>
      <c r="Y6835">
        <v>-0.1036686</v>
      </c>
      <c r="Z6835">
        <v>2.9965999999999999E-3</v>
      </c>
      <c r="AA6835">
        <v>0.99460740000000003</v>
      </c>
      <c r="AB6835">
        <v>28</v>
      </c>
      <c r="AC6835">
        <v>26.685399999999898</v>
      </c>
      <c r="AD6835">
        <v>-1.110593862305</v>
      </c>
      <c r="AE6835">
        <v>2.66378</v>
      </c>
      <c r="AF6835">
        <v>-2.7932223523187898</v>
      </c>
      <c r="AG6835">
        <v>-1.110593862305</v>
      </c>
      <c r="AH6835">
        <v>26.6259966919826</v>
      </c>
      <c r="AI6835">
        <v>92.375452723442393</v>
      </c>
      <c r="AJ6835">
        <v>95.988756339061197</v>
      </c>
      <c r="AK6835">
        <v>26.795134067176299</v>
      </c>
      <c r="AL6835">
        <v>78.338198789360604</v>
      </c>
      <c r="AM6835">
        <v>96.003261253321497</v>
      </c>
      <c r="AN6835">
        <v>0.99999996174070405</v>
      </c>
    </row>
    <row r="6836" spans="1:40" x14ac:dyDescent="0.25">
      <c r="A6836" t="str">
        <f>"20190304155237301"</f>
        <v>20190304155237301</v>
      </c>
      <c r="B6836" t="str">
        <f>"1551685957293714"</f>
        <v>1551685957293714</v>
      </c>
      <c r="C6836" t="s">
        <v>40</v>
      </c>
      <c r="D6836">
        <v>4.8816319999999997</v>
      </c>
      <c r="E6836">
        <v>0.49779190000000001</v>
      </c>
      <c r="F6836" t="s">
        <v>77</v>
      </c>
      <c r="G6836">
        <v>-207.03639999999999</v>
      </c>
      <c r="H6836" s="1">
        <v>-1.860708E-6</v>
      </c>
      <c r="I6836">
        <v>-60.42248</v>
      </c>
      <c r="J6836">
        <v>-233.59020000000001</v>
      </c>
      <c r="K6836">
        <v>1.110598</v>
      </c>
      <c r="L6836">
        <v>-63.113160000000001</v>
      </c>
      <c r="M6836">
        <v>0.99989170000000005</v>
      </c>
      <c r="N6836">
        <v>-1.3825280000000001E-2</v>
      </c>
      <c r="O6836">
        <v>-5.0306439999999999E-3</v>
      </c>
      <c r="P6836">
        <v>0.97705949999999997</v>
      </c>
      <c r="Q6836">
        <v>0.18866830000000001</v>
      </c>
      <c r="R6836">
        <v>9.8786949999999998E-2</v>
      </c>
      <c r="S6836">
        <v>3.063812</v>
      </c>
      <c r="T6836">
        <v>-0.1274941</v>
      </c>
      <c r="U6836">
        <v>0.30880740000000001</v>
      </c>
      <c r="V6836">
        <v>-0.1036936</v>
      </c>
      <c r="W6836">
        <v>0.20215540000000001</v>
      </c>
      <c r="X6836">
        <v>0.97384850000000001</v>
      </c>
      <c r="Y6836">
        <v>-0.105166</v>
      </c>
      <c r="Z6836">
        <v>3.0503069999999999E-3</v>
      </c>
      <c r="AA6836">
        <v>0.99444999999999995</v>
      </c>
      <c r="AB6836">
        <v>28</v>
      </c>
      <c r="AC6836">
        <v>26.553799999999999</v>
      </c>
      <c r="AD6836">
        <v>-1.1105998607080001</v>
      </c>
      <c r="AE6836">
        <v>2.6906799999999902</v>
      </c>
      <c r="AF6836">
        <v>-2.8193596844000002</v>
      </c>
      <c r="AG6836">
        <v>-1.1105998607080001</v>
      </c>
      <c r="AH6836">
        <v>26.494052021485199</v>
      </c>
      <c r="AI6836">
        <v>92.386906128726196</v>
      </c>
      <c r="AJ6836">
        <v>96.074260158082794</v>
      </c>
      <c r="AK6836">
        <v>26.6667773380622</v>
      </c>
      <c r="AL6836">
        <v>78.336971077561401</v>
      </c>
      <c r="AM6836">
        <v>96.077849019878798</v>
      </c>
      <c r="AN6836">
        <v>1.0000000346911799</v>
      </c>
    </row>
    <row r="6837" spans="1:40" x14ac:dyDescent="0.25">
      <c r="A6837" t="str">
        <f>"20190304155237313"</f>
        <v>20190304155237313</v>
      </c>
      <c r="B6837" t="str">
        <f>"1551685957303474"</f>
        <v>1551685957303474</v>
      </c>
      <c r="C6837" t="s">
        <v>40</v>
      </c>
      <c r="D6837">
        <v>4.8681380000000001</v>
      </c>
      <c r="E6837">
        <v>0.49758629999999998</v>
      </c>
      <c r="F6837" t="s">
        <v>77</v>
      </c>
      <c r="G6837">
        <v>-206.90690000000001</v>
      </c>
      <c r="H6837" s="1">
        <v>-1.9386080000000002E-6</v>
      </c>
      <c r="I6837">
        <v>-60.379959999999997</v>
      </c>
      <c r="J6837">
        <v>-233.4468</v>
      </c>
      <c r="K6837">
        <v>1.110598</v>
      </c>
      <c r="L6837">
        <v>-63.113889999999998</v>
      </c>
      <c r="M6837">
        <v>0.99989170000000005</v>
      </c>
      <c r="N6837">
        <v>-1.382797E-2</v>
      </c>
      <c r="O6837">
        <v>-5.030662E-3</v>
      </c>
      <c r="P6837">
        <v>0.9769101</v>
      </c>
      <c r="Q6837">
        <v>0.18849969999999999</v>
      </c>
      <c r="R6837">
        <v>0.10057099999999999</v>
      </c>
      <c r="S6837">
        <v>3.063339</v>
      </c>
      <c r="T6837">
        <v>-0.127501</v>
      </c>
      <c r="U6837">
        <v>0.3137817</v>
      </c>
      <c r="V6837">
        <v>-0.1054771</v>
      </c>
      <c r="W6837">
        <v>0.20198730000000001</v>
      </c>
      <c r="X6837">
        <v>0.9736918</v>
      </c>
      <c r="Y6837">
        <v>-0.1067777</v>
      </c>
      <c r="Z6837">
        <v>3.0954210000000001E-3</v>
      </c>
      <c r="AA6837">
        <v>0.99427810000000005</v>
      </c>
      <c r="AB6837">
        <v>28</v>
      </c>
      <c r="AC6837">
        <v>26.5398999999999</v>
      </c>
      <c r="AD6837">
        <v>-1.1105999386080001</v>
      </c>
      <c r="AE6837">
        <v>2.73393</v>
      </c>
      <c r="AF6837">
        <v>-2.8624615448358099</v>
      </c>
      <c r="AG6837">
        <v>-1.1105999386080001</v>
      </c>
      <c r="AH6837">
        <v>26.479926577877102</v>
      </c>
      <c r="AI6837">
        <v>92.3877520532088</v>
      </c>
      <c r="AJ6837">
        <v>96.169676295122798</v>
      </c>
      <c r="AK6837">
        <v>26.657337261794599</v>
      </c>
      <c r="AL6837">
        <v>78.346805016794605</v>
      </c>
      <c r="AM6837">
        <v>96.182570826001296</v>
      </c>
      <c r="AN6837">
        <v>1.0000000046864601</v>
      </c>
    </row>
    <row r="6838" spans="1:40" x14ac:dyDescent="0.25">
      <c r="A6838" t="str">
        <f>"20190304155237322"</f>
        <v>20190304155237322</v>
      </c>
      <c r="B6838" t="str">
        <f>"1551685957313234"</f>
        <v>1551685957313234</v>
      </c>
      <c r="C6838" t="s">
        <v>40</v>
      </c>
      <c r="D6838">
        <v>4.1973659999999997</v>
      </c>
      <c r="E6838">
        <v>0.49758629999999998</v>
      </c>
      <c r="F6838" t="s">
        <v>77</v>
      </c>
      <c r="G6838">
        <v>-207.33709999999999</v>
      </c>
      <c r="H6838" s="1">
        <v>-1.6656899999999999E-6</v>
      </c>
      <c r="I6838">
        <v>-60.378010000000003</v>
      </c>
      <c r="J6838">
        <v>-233.315</v>
      </c>
      <c r="K6838">
        <v>1.110598</v>
      </c>
      <c r="L6838">
        <v>-63.114559999999997</v>
      </c>
      <c r="M6838">
        <v>0.99989170000000005</v>
      </c>
      <c r="N6838">
        <v>-1.382886E-2</v>
      </c>
      <c r="O6838">
        <v>-5.0306680000000003E-3</v>
      </c>
      <c r="P6838">
        <v>0.97676680000000005</v>
      </c>
      <c r="Q6838">
        <v>0.18842990000000001</v>
      </c>
      <c r="R6838">
        <v>0.10208399999999999</v>
      </c>
      <c r="S6838">
        <v>3.0629879999999998</v>
      </c>
      <c r="T6838">
        <v>-0.13028689999999901</v>
      </c>
      <c r="U6838">
        <v>0.3209534</v>
      </c>
      <c r="V6838">
        <v>-0.1069898</v>
      </c>
      <c r="W6838">
        <v>0.20191629999999999</v>
      </c>
      <c r="X6838">
        <v>0.9735414</v>
      </c>
      <c r="Y6838">
        <v>-0.1090846</v>
      </c>
      <c r="Z6838">
        <v>3.2133970000000002E-3</v>
      </c>
      <c r="AA6838">
        <v>0.99402729999999995</v>
      </c>
      <c r="AB6838">
        <v>28</v>
      </c>
      <c r="AC6838">
        <v>25.977900000000002</v>
      </c>
      <c r="AD6838">
        <v>-1.1105996656899999</v>
      </c>
      <c r="AE6838">
        <v>2.7365499999999998</v>
      </c>
      <c r="AF6838">
        <v>-2.8620404899264602</v>
      </c>
      <c r="AG6838">
        <v>-1.1105996656899999</v>
      </c>
      <c r="AH6838">
        <v>25.916954451923601</v>
      </c>
      <c r="AI6838">
        <v>92.438943141538601</v>
      </c>
      <c r="AJ6838">
        <v>96.301708155439002</v>
      </c>
      <c r="AK6838">
        <v>26.098146207087101</v>
      </c>
      <c r="AL6838">
        <v>78.350957759048001</v>
      </c>
      <c r="AM6838">
        <v>96.271497795848902</v>
      </c>
      <c r="AN6838">
        <v>0.99999993351184202</v>
      </c>
    </row>
    <row r="6839" spans="1:40" x14ac:dyDescent="0.25">
      <c r="A6839" t="str">
        <f>"20190304155237334"</f>
        <v>20190304155237334</v>
      </c>
      <c r="B6839" t="str">
        <f>"1551685957323970"</f>
        <v>1551685957323970</v>
      </c>
      <c r="C6839" t="s">
        <v>40</v>
      </c>
      <c r="D6839">
        <v>5.9386099999999997</v>
      </c>
      <c r="E6839">
        <v>0.49725750000000002</v>
      </c>
      <c r="F6839" t="s">
        <v>77</v>
      </c>
      <c r="G6839">
        <v>-207.25559999999999</v>
      </c>
      <c r="H6839" s="1">
        <v>-1.726993E-6</v>
      </c>
      <c r="I6839">
        <v>-60.342219999999998</v>
      </c>
      <c r="J6839">
        <v>-233.17609999999999</v>
      </c>
      <c r="K6839">
        <v>1.1105959999999999</v>
      </c>
      <c r="L6839">
        <v>-63.115259999999999</v>
      </c>
      <c r="M6839">
        <v>0.9998918</v>
      </c>
      <c r="N6839">
        <v>-1.3827300000000001E-2</v>
      </c>
      <c r="O6839">
        <v>-5.0306580000000004E-3</v>
      </c>
      <c r="P6839">
        <v>0.97660880000000005</v>
      </c>
      <c r="Q6839">
        <v>0.1882577</v>
      </c>
      <c r="R6839">
        <v>0.10389660000000001</v>
      </c>
      <c r="S6839">
        <v>3.0624850000000001</v>
      </c>
      <c r="T6839">
        <v>-0.13051740000000001</v>
      </c>
      <c r="U6839">
        <v>0.32580569999999998</v>
      </c>
      <c r="V6839">
        <v>-0.1088013</v>
      </c>
      <c r="W6839">
        <v>0.2017407</v>
      </c>
      <c r="X6839">
        <v>0.9733771</v>
      </c>
      <c r="Y6839">
        <v>-0.1106567</v>
      </c>
      <c r="Z6839">
        <v>3.2623539999999999E-3</v>
      </c>
      <c r="AA6839">
        <v>0.99385330000000005</v>
      </c>
      <c r="AB6839">
        <v>28</v>
      </c>
      <c r="AC6839">
        <v>25.920500000000001</v>
      </c>
      <c r="AD6839">
        <v>-1.1105977269930001</v>
      </c>
      <c r="AE6839">
        <v>2.7730399999999999</v>
      </c>
      <c r="AF6839">
        <v>-2.89815428985067</v>
      </c>
      <c r="AG6839">
        <v>-1.1105977269930001</v>
      </c>
      <c r="AH6839">
        <v>25.859284949456899</v>
      </c>
      <c r="AI6839">
        <v>92.443930726321696</v>
      </c>
      <c r="AJ6839">
        <v>96.394684367011706</v>
      </c>
      <c r="AK6839">
        <v>26.044871735068899</v>
      </c>
      <c r="AL6839">
        <v>78.361231152318894</v>
      </c>
      <c r="AM6839">
        <v>96.377883768622695</v>
      </c>
      <c r="AN6839">
        <v>1.0000000058612899</v>
      </c>
    </row>
    <row r="6840" spans="1:40" x14ac:dyDescent="0.25">
      <c r="A6840" t="str">
        <f>"20190304155237345"</f>
        <v>20190304155237345</v>
      </c>
      <c r="B6840" t="str">
        <f>"1551685957333730"</f>
        <v>1551685957333730</v>
      </c>
      <c r="C6840" t="s">
        <v>40</v>
      </c>
      <c r="D6840">
        <v>4.9370510000000003</v>
      </c>
      <c r="E6840">
        <v>0.49725750000000002</v>
      </c>
      <c r="F6840" t="s">
        <v>77</v>
      </c>
      <c r="G6840">
        <v>-208.07830000000001</v>
      </c>
      <c r="H6840" s="1">
        <v>-1.194994E-6</v>
      </c>
      <c r="I6840">
        <v>-60.376379999999997</v>
      </c>
      <c r="J6840">
        <v>-233.0376</v>
      </c>
      <c r="K6840">
        <v>1.110592</v>
      </c>
      <c r="L6840">
        <v>-63.115969999999997</v>
      </c>
      <c r="M6840">
        <v>0.9998918</v>
      </c>
      <c r="N6840">
        <v>-1.3824360000000001E-2</v>
      </c>
      <c r="O6840">
        <v>-5.0305180000000003E-3</v>
      </c>
      <c r="P6840">
        <v>0.97641210000000001</v>
      </c>
      <c r="Q6840">
        <v>0.1882954</v>
      </c>
      <c r="R6840">
        <v>0.1056618</v>
      </c>
      <c r="S6840">
        <v>3.062424</v>
      </c>
      <c r="T6840">
        <v>-0.13551469999999999</v>
      </c>
      <c r="U6840">
        <v>0.334198</v>
      </c>
      <c r="V6840">
        <v>-0.1105651</v>
      </c>
      <c r="W6840">
        <v>0.20177249999999999</v>
      </c>
      <c r="X6840">
        <v>0.97317180000000003</v>
      </c>
      <c r="Y6840">
        <v>-0.11333790000000001</v>
      </c>
      <c r="Z6840">
        <v>3.4378199999999999E-3</v>
      </c>
      <c r="AA6840">
        <v>0.9935505</v>
      </c>
      <c r="AB6840">
        <v>28</v>
      </c>
      <c r="AC6840">
        <v>24.959299999999899</v>
      </c>
      <c r="AD6840">
        <v>-1.110593194994</v>
      </c>
      <c r="AE6840">
        <v>2.73958999999999</v>
      </c>
      <c r="AF6840">
        <v>-2.85953132073633</v>
      </c>
      <c r="AG6840">
        <v>-1.110593194994</v>
      </c>
      <c r="AH6840">
        <v>24.896495257490098</v>
      </c>
      <c r="AI6840">
        <v>92.537519894984598</v>
      </c>
      <c r="AJ6840">
        <v>96.552097569794</v>
      </c>
      <c r="AK6840">
        <v>25.0847725268791</v>
      </c>
      <c r="AL6840">
        <v>78.359371621533896</v>
      </c>
      <c r="AM6840">
        <v>96.481759806591697</v>
      </c>
      <c r="AN6840">
        <v>1.00000006770474</v>
      </c>
    </row>
    <row r="6841" spans="1:40" x14ac:dyDescent="0.25">
      <c r="A6841" t="str">
        <f>"20190304155237357"</f>
        <v>20190304155237357</v>
      </c>
      <c r="B6841" t="str">
        <f>"1551685957353250"</f>
        <v>1551685957353250</v>
      </c>
      <c r="C6841" t="s">
        <v>40</v>
      </c>
      <c r="D6841">
        <v>4.7778499999999999</v>
      </c>
      <c r="E6841">
        <v>0.43078270000000002</v>
      </c>
      <c r="F6841" t="s">
        <v>77</v>
      </c>
      <c r="G6841">
        <v>-207.922</v>
      </c>
      <c r="H6841" s="1">
        <v>-1.306901E-6</v>
      </c>
      <c r="I6841">
        <v>-60.329279999999997</v>
      </c>
      <c r="J6841">
        <v>-232.90020000000001</v>
      </c>
      <c r="K6841">
        <v>1.110592</v>
      </c>
      <c r="L6841">
        <v>-63.116610000000001</v>
      </c>
      <c r="M6841">
        <v>0.99989189999999994</v>
      </c>
      <c r="N6841">
        <v>-1.3819390000000001E-2</v>
      </c>
      <c r="O6841">
        <v>-5.0306029999999998E-3</v>
      </c>
      <c r="P6841">
        <v>0.97626259999999998</v>
      </c>
      <c r="Q6841">
        <v>0.18803919999999999</v>
      </c>
      <c r="R6841">
        <v>0.1074833</v>
      </c>
      <c r="S6841">
        <v>3.0618129999999999</v>
      </c>
      <c r="T6841">
        <v>-0.13539119999999999</v>
      </c>
      <c r="U6841">
        <v>0.33972170000000002</v>
      </c>
      <c r="V6841">
        <v>-0.1123855</v>
      </c>
      <c r="W6841">
        <v>0.20150950000000001</v>
      </c>
      <c r="X6841">
        <v>0.97301769999999999</v>
      </c>
      <c r="Y6841">
        <v>-0.1151281</v>
      </c>
      <c r="Z6841">
        <v>3.4872990000000001E-3</v>
      </c>
      <c r="AA6841">
        <v>0.99334449999999996</v>
      </c>
      <c r="AB6841">
        <v>28</v>
      </c>
      <c r="AC6841">
        <v>24.978200000000001</v>
      </c>
      <c r="AD6841">
        <v>-1.1105933069009899</v>
      </c>
      <c r="AE6841">
        <v>2.7873299999999901</v>
      </c>
      <c r="AF6841">
        <v>-2.9072853616048802</v>
      </c>
      <c r="AG6841">
        <v>-1.1105933069009899</v>
      </c>
      <c r="AH6841">
        <v>24.915211156146899</v>
      </c>
      <c r="AI6841">
        <v>92.535087034346702</v>
      </c>
      <c r="AJ6841">
        <v>96.655583754668498</v>
      </c>
      <c r="AK6841">
        <v>25.108832561919701</v>
      </c>
      <c r="AL6841">
        <v>78.374755763764796</v>
      </c>
      <c r="AM6841">
        <v>96.588582402059799</v>
      </c>
      <c r="AN6841">
        <v>1.0000000118568899</v>
      </c>
    </row>
    <row r="6842" spans="1:40" x14ac:dyDescent="0.25">
      <c r="A6842" t="str">
        <f>"20190304155237368"</f>
        <v>20190304155237368</v>
      </c>
      <c r="B6842" t="str">
        <f>"1551685957363986"</f>
        <v>1551685957363986</v>
      </c>
      <c r="C6842" t="s">
        <v>40</v>
      </c>
      <c r="D6842">
        <v>4.7896460000000003</v>
      </c>
      <c r="E6842">
        <v>0.42943779999999998</v>
      </c>
      <c r="F6842" t="s">
        <v>77</v>
      </c>
      <c r="G6842">
        <v>-196.96190000000001</v>
      </c>
      <c r="H6842" s="1">
        <v>-9.6749490000000002E-6</v>
      </c>
      <c r="I6842">
        <v>-52.646509999999999</v>
      </c>
      <c r="J6842">
        <v>-232.7516</v>
      </c>
      <c r="K6842">
        <v>1.1105879999999999</v>
      </c>
      <c r="L6842">
        <v>-63.117370000000001</v>
      </c>
      <c r="M6842">
        <v>0.99989209999999995</v>
      </c>
      <c r="N6842">
        <v>-1.3813509999999999E-2</v>
      </c>
      <c r="O6842">
        <v>-5.0305619999999997E-3</v>
      </c>
      <c r="P6842">
        <v>0.9760993</v>
      </c>
      <c r="Q6842">
        <v>0.18790029999999999</v>
      </c>
      <c r="R6842">
        <v>0.10919719999999999</v>
      </c>
      <c r="S6842">
        <v>2.99472</v>
      </c>
      <c r="T6842">
        <v>-9.2545749999999996E-2</v>
      </c>
      <c r="U6842">
        <v>0.87246699999999999</v>
      </c>
      <c r="V6842">
        <v>-0.11409900000000001</v>
      </c>
      <c r="W6842">
        <v>0.2013624</v>
      </c>
      <c r="X6842">
        <v>0.97284870000000001</v>
      </c>
      <c r="Y6842">
        <v>-0.28434739999999997</v>
      </c>
      <c r="Z6842">
        <v>6.3920309999999899E-3</v>
      </c>
      <c r="AA6842">
        <v>0.9587</v>
      </c>
      <c r="AB6842">
        <v>28</v>
      </c>
      <c r="AC6842">
        <v>35.789699999999897</v>
      </c>
      <c r="AD6842">
        <v>-1.1105976749490001</v>
      </c>
      <c r="AE6842">
        <v>10.470859999999901</v>
      </c>
      <c r="AF6842">
        <v>-10.6413479332866</v>
      </c>
      <c r="AG6842">
        <v>-1.1105976749490001</v>
      </c>
      <c r="AH6842">
        <v>35.704897049539902</v>
      </c>
      <c r="AI6842">
        <v>91.707433809022703</v>
      </c>
      <c r="AJ6842">
        <v>106.59595574716</v>
      </c>
      <c r="AK6842">
        <v>37.2734675922581</v>
      </c>
      <c r="AL6842">
        <v>78.383360159868801</v>
      </c>
      <c r="AM6842">
        <v>96.689284090497097</v>
      </c>
      <c r="AN6842">
        <v>0.99999999551322405</v>
      </c>
    </row>
    <row r="6843" spans="1:40" x14ac:dyDescent="0.25">
      <c r="A6843" t="str">
        <f>"20190304155237380"</f>
        <v>20190304155237380</v>
      </c>
      <c r="B6843" t="str">
        <f>"1551685957373745"</f>
        <v>1551685957373745</v>
      </c>
      <c r="C6843" t="s">
        <v>40</v>
      </c>
      <c r="D6843">
        <v>4.8418890000000001</v>
      </c>
      <c r="E6843">
        <v>0.42934099999999997</v>
      </c>
      <c r="F6843" t="s">
        <v>77</v>
      </c>
      <c r="G6843">
        <v>-193.2876</v>
      </c>
      <c r="H6843" s="1">
        <v>-9.7635579999999993E-6</v>
      </c>
      <c r="I6843">
        <v>-51.393279999999997</v>
      </c>
      <c r="J6843">
        <v>-232.60599999999999</v>
      </c>
      <c r="K6843">
        <v>1.110587</v>
      </c>
      <c r="L6843">
        <v>-63.118099999999998</v>
      </c>
      <c r="M6843">
        <v>0.99989209999999995</v>
      </c>
      <c r="N6843">
        <v>-1.3807099999999999E-2</v>
      </c>
      <c r="O6843">
        <v>-5.0305180000000003E-3</v>
      </c>
      <c r="P6843">
        <v>0.97593209999999997</v>
      </c>
      <c r="Q6843">
        <v>0.1878206</v>
      </c>
      <c r="R6843">
        <v>0.1108151</v>
      </c>
      <c r="S6843">
        <v>2.9902950000000001</v>
      </c>
      <c r="T6843">
        <v>-8.4153060000000002E-2</v>
      </c>
      <c r="U6843">
        <v>0.88836669999999995</v>
      </c>
      <c r="V6843">
        <v>-0.11571579999999999</v>
      </c>
      <c r="W6843">
        <v>0.20127410000000001</v>
      </c>
      <c r="X6843">
        <v>0.97267599999999999</v>
      </c>
      <c r="Y6843">
        <v>-0.28943940000000001</v>
      </c>
      <c r="Z6843">
        <v>6.0975279999999996E-3</v>
      </c>
      <c r="AA6843">
        <v>0.9571769</v>
      </c>
      <c r="AB6843">
        <v>28</v>
      </c>
      <c r="AC6843">
        <v>39.318399999999997</v>
      </c>
      <c r="AD6843">
        <v>-1.1105967635580001</v>
      </c>
      <c r="AE6843">
        <v>11.724819999999999</v>
      </c>
      <c r="AF6843">
        <v>-11.913753224166101</v>
      </c>
      <c r="AG6843">
        <v>-1.1105967635580001</v>
      </c>
      <c r="AH6843">
        <v>39.230171104546798</v>
      </c>
      <c r="AI6843">
        <v>91.551658852929805</v>
      </c>
      <c r="AJ6843">
        <v>106.89293451113301</v>
      </c>
      <c r="AK6843">
        <v>41.014354389037599</v>
      </c>
      <c r="AL6843">
        <v>78.388525240985103</v>
      </c>
      <c r="AM6843">
        <v>96.784388253669903</v>
      </c>
      <c r="AN6843">
        <v>1.0000000053382201</v>
      </c>
    </row>
    <row r="6844" spans="1:40" x14ac:dyDescent="0.25">
      <c r="A6844" t="str">
        <f>"20190304155237392"</f>
        <v>20190304155237392</v>
      </c>
      <c r="B6844" t="str">
        <f>"1551685957383507"</f>
        <v>1551685957383507</v>
      </c>
      <c r="C6844" t="s">
        <v>40</v>
      </c>
      <c r="D6844">
        <v>4.7708870000000001</v>
      </c>
      <c r="E6844">
        <v>0.42889339999999998</v>
      </c>
      <c r="F6844" t="s">
        <v>77</v>
      </c>
      <c r="G6844">
        <v>-195.4128</v>
      </c>
      <c r="H6844" s="1">
        <v>-9.7574069999999999E-6</v>
      </c>
      <c r="I6844">
        <v>-51.994109999999999</v>
      </c>
      <c r="J6844">
        <v>-232.4674</v>
      </c>
      <c r="K6844">
        <v>1.1105849999999999</v>
      </c>
      <c r="L6844">
        <v>-63.1188</v>
      </c>
      <c r="M6844">
        <v>0.99989220000000001</v>
      </c>
      <c r="N6844">
        <v>-1.380001E-2</v>
      </c>
      <c r="O6844">
        <v>-5.0307069999999997E-3</v>
      </c>
      <c r="P6844">
        <v>0.97580109999999998</v>
      </c>
      <c r="Q6844">
        <v>0.18760979999999999</v>
      </c>
      <c r="R6844">
        <v>0.1123156</v>
      </c>
      <c r="S6844">
        <v>2.989655</v>
      </c>
      <c r="T6844">
        <v>-8.9271660000000003E-2</v>
      </c>
      <c r="U6844">
        <v>0.89416499999999999</v>
      </c>
      <c r="V6844">
        <v>-0.117215899999999</v>
      </c>
      <c r="W6844">
        <v>0.2010546</v>
      </c>
      <c r="X6844">
        <v>0.97254169999999995</v>
      </c>
      <c r="Y6844">
        <v>-0.29118230000000001</v>
      </c>
      <c r="Z6844">
        <v>6.3853690000000001E-3</v>
      </c>
      <c r="AA6844">
        <v>0.95664629999999995</v>
      </c>
      <c r="AB6844">
        <v>28</v>
      </c>
      <c r="AC6844">
        <v>37.054599999999901</v>
      </c>
      <c r="AD6844">
        <v>-1.1105947574070001</v>
      </c>
      <c r="AE6844">
        <v>11.124689999999999</v>
      </c>
      <c r="AF6844">
        <v>-11.301664780783099</v>
      </c>
      <c r="AG6844">
        <v>-1.1105947574070001</v>
      </c>
      <c r="AH6844">
        <v>36.967697876872599</v>
      </c>
      <c r="AI6844">
        <v>91.645638124740401</v>
      </c>
      <c r="AJ6844">
        <v>106.999298832899</v>
      </c>
      <c r="AK6844">
        <v>38.6726225364676</v>
      </c>
      <c r="AL6844">
        <v>78.401363341067693</v>
      </c>
      <c r="AM6844">
        <v>96.872442940532693</v>
      </c>
      <c r="AN6844">
        <v>0.99999993881642801</v>
      </c>
    </row>
    <row r="6845" spans="1:40" x14ac:dyDescent="0.25">
      <c r="A6845" t="str">
        <f>"20190304155237405"</f>
        <v>20190304155237405</v>
      </c>
      <c r="B6845" t="str">
        <f>"1551685957394242"</f>
        <v>1551685957394242</v>
      </c>
      <c r="C6845" t="s">
        <v>40</v>
      </c>
      <c r="D6845">
        <v>4.7607390000000001</v>
      </c>
      <c r="E6845">
        <v>0.42861070000000001</v>
      </c>
      <c r="F6845" t="s">
        <v>77</v>
      </c>
      <c r="G6845">
        <v>-193.9931</v>
      </c>
      <c r="H6845" s="1">
        <v>-9.7960840000000005E-6</v>
      </c>
      <c r="I6845">
        <v>-51.497669999999999</v>
      </c>
      <c r="J6845">
        <v>-232.2989</v>
      </c>
      <c r="K6845">
        <v>1.1105879999999999</v>
      </c>
      <c r="L6845">
        <v>-63.119660000000003</v>
      </c>
      <c r="M6845">
        <v>0.99989220000000001</v>
      </c>
      <c r="N6845">
        <v>-1.3789330000000001E-2</v>
      </c>
      <c r="O6845">
        <v>-5.030395E-3</v>
      </c>
      <c r="P6845">
        <v>0.97562479999999996</v>
      </c>
      <c r="Q6845">
        <v>0.18756210000000001</v>
      </c>
      <c r="R6845">
        <v>0.1139155</v>
      </c>
      <c r="S6845">
        <v>2.9871059999999998</v>
      </c>
      <c r="T6845">
        <v>-8.6225389999999999E-2</v>
      </c>
      <c r="U6845">
        <v>0.90225219999999995</v>
      </c>
      <c r="V6845">
        <v>-0.1188149</v>
      </c>
      <c r="W6845">
        <v>0.2009939</v>
      </c>
      <c r="X6845">
        <v>0.97236029999999996</v>
      </c>
      <c r="Y6845">
        <v>-0.29378860000000001</v>
      </c>
      <c r="Z6845">
        <v>6.2915530000000001E-3</v>
      </c>
      <c r="AA6845">
        <v>0.95584970000000002</v>
      </c>
      <c r="AB6845">
        <v>28</v>
      </c>
      <c r="AC6845">
        <v>38.305799999999998</v>
      </c>
      <c r="AD6845">
        <v>-1.1105977960840001</v>
      </c>
      <c r="AE6845">
        <v>11.621989999999901</v>
      </c>
      <c r="AF6845">
        <v>-11.805467481608799</v>
      </c>
      <c r="AG6845">
        <v>-1.1105977960840001</v>
      </c>
      <c r="AH6845">
        <v>38.217429180003499</v>
      </c>
      <c r="AI6845">
        <v>91.590434899133498</v>
      </c>
      <c r="AJ6845">
        <v>107.16606047376099</v>
      </c>
      <c r="AK6845">
        <v>40.014677095442998</v>
      </c>
      <c r="AL6845">
        <v>78.404914867838798</v>
      </c>
      <c r="AM6845">
        <v>96.966565143169504</v>
      </c>
      <c r="AN6845">
        <v>1.0000000406576499</v>
      </c>
    </row>
    <row r="6846" spans="1:40" x14ac:dyDescent="0.25">
      <c r="A6846" t="str">
        <f>"20190304155237417"</f>
        <v>20190304155237417</v>
      </c>
      <c r="B6846" t="str">
        <f>"1551685957413762"</f>
        <v>1551685957413762</v>
      </c>
      <c r="C6846" t="s">
        <v>40</v>
      </c>
      <c r="D6846">
        <v>4.7625060000000001</v>
      </c>
      <c r="E6846">
        <v>0.42910359999999997</v>
      </c>
      <c r="F6846" t="s">
        <v>77</v>
      </c>
      <c r="G6846">
        <v>-192.69739999999999</v>
      </c>
      <c r="H6846" s="1">
        <v>-9.8278310000000008E-6</v>
      </c>
      <c r="I6846">
        <v>-51.054360000000003</v>
      </c>
      <c r="J6846">
        <v>-232.14789999999999</v>
      </c>
      <c r="K6846">
        <v>1.110587</v>
      </c>
      <c r="L6846">
        <v>-63.120359999999998</v>
      </c>
      <c r="M6846">
        <v>0.99989249999999996</v>
      </c>
      <c r="N6846">
        <v>-1.3777889999999999E-2</v>
      </c>
      <c r="O6846">
        <v>-5.0305549999999999E-3</v>
      </c>
      <c r="P6846">
        <v>0.97544620000000004</v>
      </c>
      <c r="Q6846">
        <v>0.1875201</v>
      </c>
      <c r="R6846">
        <v>0.11550390000000001</v>
      </c>
      <c r="S6846">
        <v>2.9848629999999998</v>
      </c>
      <c r="T6846">
        <v>-8.3708640000000001E-2</v>
      </c>
      <c r="U6846">
        <v>0.90939329999999996</v>
      </c>
      <c r="V6846">
        <v>-0.1204023</v>
      </c>
      <c r="W6846">
        <v>0.20093829999999999</v>
      </c>
      <c r="X6846">
        <v>0.9721765</v>
      </c>
      <c r="Y6846">
        <v>-0.29608759999999901</v>
      </c>
      <c r="Z6846">
        <v>6.214776E-3</v>
      </c>
      <c r="AA6846">
        <v>0.95514060000000001</v>
      </c>
      <c r="AB6846">
        <v>28</v>
      </c>
      <c r="AC6846">
        <v>39.450499999999998</v>
      </c>
      <c r="AD6846">
        <v>-1.1105968278310001</v>
      </c>
      <c r="AE6846">
        <v>12.066000000000001</v>
      </c>
      <c r="AF6846">
        <v>-12.2554422494385</v>
      </c>
      <c r="AG6846">
        <v>-1.1105968278310001</v>
      </c>
      <c r="AH6846">
        <v>39.3607706984114</v>
      </c>
      <c r="AI6846">
        <v>91.543184208217895</v>
      </c>
      <c r="AJ6846">
        <v>107.29459574092</v>
      </c>
      <c r="AK6846">
        <v>41.239538794902103</v>
      </c>
      <c r="AL6846">
        <v>78.408166742538299</v>
      </c>
      <c r="AM6846">
        <v>97.060028608895195</v>
      </c>
      <c r="AN6846">
        <v>1.0000000307022101</v>
      </c>
    </row>
    <row r="6847" spans="1:40" x14ac:dyDescent="0.25">
      <c r="A6847" t="str">
        <f>"20190304155237429"</f>
        <v>20190304155237429</v>
      </c>
      <c r="B6847" t="str">
        <f>"1551685957423522"</f>
        <v>1551685957423522</v>
      </c>
      <c r="C6847" t="s">
        <v>40</v>
      </c>
      <c r="D6847">
        <v>4.711347</v>
      </c>
      <c r="E6847">
        <v>0.42932179999999998</v>
      </c>
      <c r="F6847" t="s">
        <v>77</v>
      </c>
      <c r="G6847">
        <v>-193.70150000000001</v>
      </c>
      <c r="H6847" s="1">
        <v>-9.8040040000000006E-6</v>
      </c>
      <c r="I6847">
        <v>-51.395769999999999</v>
      </c>
      <c r="J6847">
        <v>-232.0026</v>
      </c>
      <c r="K6847">
        <v>1.1105849999999999</v>
      </c>
      <c r="L6847">
        <v>-63.121090000000002</v>
      </c>
      <c r="M6847">
        <v>0.99989269999999997</v>
      </c>
      <c r="N6847">
        <v>-1.376641E-2</v>
      </c>
      <c r="O6847">
        <v>-5.0304759999999999E-3</v>
      </c>
      <c r="P6847">
        <v>0.97529390000000005</v>
      </c>
      <c r="Q6847">
        <v>0.18752650000000001</v>
      </c>
      <c r="R6847">
        <v>0.11677319999999999</v>
      </c>
      <c r="S6847">
        <v>2.9843139999999999</v>
      </c>
      <c r="T6847">
        <v>-8.6207629999999993E-2</v>
      </c>
      <c r="U6847">
        <v>0.91009519999999999</v>
      </c>
      <c r="V6847">
        <v>-0.12167070000000001</v>
      </c>
      <c r="W6847">
        <v>0.20093130000000001</v>
      </c>
      <c r="X6847">
        <v>0.97202</v>
      </c>
      <c r="Y6847">
        <v>-0.29633369999999998</v>
      </c>
      <c r="Z6847">
        <v>6.3442749999999999E-3</v>
      </c>
      <c r="AA6847">
        <v>0.95506340000000001</v>
      </c>
      <c r="AB6847">
        <v>28</v>
      </c>
      <c r="AC6847">
        <v>38.301099999999899</v>
      </c>
      <c r="AD6847">
        <v>-1.1105948040039999</v>
      </c>
      <c r="AE6847">
        <v>11.72532</v>
      </c>
      <c r="AF6847">
        <v>-11.908707837956801</v>
      </c>
      <c r="AG6847">
        <v>-1.1105948040039999</v>
      </c>
      <c r="AH6847">
        <v>38.212250234129698</v>
      </c>
      <c r="AI6847">
        <v>91.589412002518898</v>
      </c>
      <c r="AJ6847">
        <v>107.30945409672201</v>
      </c>
      <c r="AK6847">
        <v>40.040314823240799</v>
      </c>
      <c r="AL6847">
        <v>78.408575960865093</v>
      </c>
      <c r="AM6847">
        <v>97.134778168709701</v>
      </c>
      <c r="AN6847">
        <v>1.0000000134790801</v>
      </c>
    </row>
    <row r="6848" spans="1:40" x14ac:dyDescent="0.25">
      <c r="A6848" t="str">
        <f>"20190304155237441"</f>
        <v>20190304155237441</v>
      </c>
      <c r="B6848" t="str">
        <f>"1551685957433283"</f>
        <v>1551685957433283</v>
      </c>
      <c r="C6848" t="s">
        <v>40</v>
      </c>
      <c r="D6848">
        <v>4.7189449999999997</v>
      </c>
      <c r="E6848">
        <v>0.4295271</v>
      </c>
      <c r="F6848" t="s">
        <v>77</v>
      </c>
      <c r="G6848">
        <v>-194.7355</v>
      </c>
      <c r="H6848" s="1">
        <v>-9.7852920000000008E-6</v>
      </c>
      <c r="I6848">
        <v>-51.731340000000003</v>
      </c>
      <c r="J6848">
        <v>-231.85419999999999</v>
      </c>
      <c r="K6848">
        <v>1.110582</v>
      </c>
      <c r="L6848">
        <v>-63.121859999999998</v>
      </c>
      <c r="M6848">
        <v>0.99989269999999997</v>
      </c>
      <c r="N6848">
        <v>-1.375444E-2</v>
      </c>
      <c r="O6848">
        <v>-5.0303939999999997E-3</v>
      </c>
      <c r="P6848">
        <v>0.97516139999999996</v>
      </c>
      <c r="Q6848">
        <v>0.1875387</v>
      </c>
      <c r="R6848">
        <v>0.1178527</v>
      </c>
      <c r="S6848">
        <v>2.9839020000000001</v>
      </c>
      <c r="T6848">
        <v>-8.8923340000000003E-2</v>
      </c>
      <c r="U6848">
        <v>0.91195680000000001</v>
      </c>
      <c r="V6848">
        <v>-0.1227492</v>
      </c>
      <c r="W6848">
        <v>0.20093030000000001</v>
      </c>
      <c r="X6848">
        <v>0.97188459999999999</v>
      </c>
      <c r="Y6848">
        <v>-0.2969059</v>
      </c>
      <c r="Z6848">
        <v>6.4915260000000001E-3</v>
      </c>
      <c r="AA6848">
        <v>0.95488459999999997</v>
      </c>
      <c r="AB6848">
        <v>28</v>
      </c>
      <c r="AC6848">
        <v>37.118699999999897</v>
      </c>
      <c r="AD6848">
        <v>-1.110591785292</v>
      </c>
      <c r="AE6848">
        <v>11.390519999999899</v>
      </c>
      <c r="AF6848">
        <v>-11.567650996362699</v>
      </c>
      <c r="AG6848">
        <v>-1.110591785292</v>
      </c>
      <c r="AH6848">
        <v>37.030628969270602</v>
      </c>
      <c r="AI6848">
        <v>91.639755090979406</v>
      </c>
      <c r="AJ6848">
        <v>107.347793218085</v>
      </c>
      <c r="AK6848">
        <v>38.811228343702197</v>
      </c>
      <c r="AL6848">
        <v>78.408634451360697</v>
      </c>
      <c r="AM6848">
        <v>97.198353330343195</v>
      </c>
      <c r="AN6848">
        <v>1.0000000136379401</v>
      </c>
    </row>
    <row r="6849" spans="1:40" x14ac:dyDescent="0.25">
      <c r="A6849" t="str">
        <f>"20190304155237452"</f>
        <v>20190304155237452</v>
      </c>
      <c r="B6849" t="str">
        <f>"1551685957444018"</f>
        <v>1551685957444018</v>
      </c>
      <c r="C6849" t="s">
        <v>40</v>
      </c>
      <c r="D6849">
        <v>4.670471</v>
      </c>
      <c r="E6849">
        <v>0.43005209999999999</v>
      </c>
      <c r="F6849" t="s">
        <v>77</v>
      </c>
      <c r="G6849">
        <v>-195.49019999999999</v>
      </c>
      <c r="H6849" s="1">
        <v>-9.7675829999999996E-6</v>
      </c>
      <c r="I6849">
        <v>-51.987389999999998</v>
      </c>
      <c r="J6849">
        <v>-231.7139</v>
      </c>
      <c r="K6849">
        <v>1.1105799999999999</v>
      </c>
      <c r="L6849">
        <v>-63.12256</v>
      </c>
      <c r="M6849">
        <v>0.99989300000000003</v>
      </c>
      <c r="N6849">
        <v>-1.3743389999999999E-2</v>
      </c>
      <c r="O6849">
        <v>-5.0303179999999998E-3</v>
      </c>
      <c r="P6849">
        <v>0.97496179999999999</v>
      </c>
      <c r="Q6849">
        <v>0.1877617</v>
      </c>
      <c r="R6849">
        <v>0.11914370000000001</v>
      </c>
      <c r="S6849">
        <v>2.983536</v>
      </c>
      <c r="T6849">
        <v>-9.1120119999999999E-2</v>
      </c>
      <c r="U6849">
        <v>0.91354369999999996</v>
      </c>
      <c r="V6849">
        <v>-0.12403889999999999</v>
      </c>
      <c r="W6849">
        <v>0.2011396</v>
      </c>
      <c r="X6849">
        <v>0.97167749999999997</v>
      </c>
      <c r="Y6849">
        <v>-0.29739520000000003</v>
      </c>
      <c r="Z6849">
        <v>6.6114290000000003E-3</v>
      </c>
      <c r="AA6849">
        <v>0.95473160000000001</v>
      </c>
      <c r="AB6849">
        <v>28</v>
      </c>
      <c r="AC6849">
        <v>36.223700000000001</v>
      </c>
      <c r="AD6849">
        <v>-1.1105897675830001</v>
      </c>
      <c r="AE6849">
        <v>11.135169999999899</v>
      </c>
      <c r="AF6849">
        <v>-11.3075517306817</v>
      </c>
      <c r="AG6849">
        <v>-1.1105897675830001</v>
      </c>
      <c r="AH6849">
        <v>36.136187976202201</v>
      </c>
      <c r="AI6849">
        <v>91.680060660754705</v>
      </c>
      <c r="AJ6849">
        <v>107.375679268909</v>
      </c>
      <c r="AK6849">
        <v>37.8803143760097</v>
      </c>
      <c r="AL6849">
        <v>78.396392068024198</v>
      </c>
      <c r="AM6849">
        <v>97.274712757668794</v>
      </c>
      <c r="AN6849">
        <v>0.99999997570380905</v>
      </c>
    </row>
    <row r="6850" spans="1:40" x14ac:dyDescent="0.25">
      <c r="A6850" t="str">
        <f>"20190304155237463"</f>
        <v>20190304155237463</v>
      </c>
      <c r="B6850" t="str">
        <f>"1551685957453779"</f>
        <v>1551685957453779</v>
      </c>
      <c r="C6850" t="s">
        <v>40</v>
      </c>
      <c r="D6850">
        <v>4.6862769999999996</v>
      </c>
      <c r="E6850">
        <v>0.43050159999999998</v>
      </c>
      <c r="F6850" t="s">
        <v>77</v>
      </c>
      <c r="G6850">
        <v>-196.83019999999999</v>
      </c>
      <c r="H6850" s="1">
        <v>-9.7326670000000006E-6</v>
      </c>
      <c r="I6850">
        <v>-52.45158</v>
      </c>
      <c r="J6850">
        <v>-231.577</v>
      </c>
      <c r="K6850">
        <v>1.110579</v>
      </c>
      <c r="L6850">
        <v>-63.12323</v>
      </c>
      <c r="M6850">
        <v>0.99989309999999998</v>
      </c>
      <c r="N6850">
        <v>-1.3732950000000001E-2</v>
      </c>
      <c r="O6850">
        <v>-5.0302469999999998E-3</v>
      </c>
      <c r="P6850">
        <v>0.97472170000000002</v>
      </c>
      <c r="Q6850">
        <v>0.1882373</v>
      </c>
      <c r="R6850">
        <v>0.1203528</v>
      </c>
      <c r="S6850">
        <v>2.9838100000000001</v>
      </c>
      <c r="T6850">
        <v>-9.4995140000000006E-2</v>
      </c>
      <c r="U6850">
        <v>0.91275019999999996</v>
      </c>
      <c r="V6850">
        <v>-0.1252471</v>
      </c>
      <c r="W6850">
        <v>0.201602</v>
      </c>
      <c r="X6850">
        <v>0.97142669999999998</v>
      </c>
      <c r="Y6850">
        <v>-0.29712499999999997</v>
      </c>
      <c r="Z6850">
        <v>6.7985669999999897E-3</v>
      </c>
      <c r="AA6850">
        <v>0.95481439999999995</v>
      </c>
      <c r="AB6850">
        <v>28</v>
      </c>
      <c r="AC6850">
        <v>34.7468</v>
      </c>
      <c r="AD6850">
        <v>-1.1105887326670001</v>
      </c>
      <c r="AE6850">
        <v>10.67165</v>
      </c>
      <c r="AF6850">
        <v>-10.8362004619693</v>
      </c>
      <c r="AG6850">
        <v>-1.1105887326670001</v>
      </c>
      <c r="AH6850">
        <v>34.660317638931197</v>
      </c>
      <c r="AI6850">
        <v>91.751691129121298</v>
      </c>
      <c r="AJ6850">
        <v>107.36133023128301</v>
      </c>
      <c r="AK6850">
        <v>36.331725345993597</v>
      </c>
      <c r="AL6850">
        <v>78.369344928474007</v>
      </c>
      <c r="AM6850">
        <v>97.346677520313705</v>
      </c>
      <c r="AN6850">
        <v>1.00000001796764</v>
      </c>
    </row>
    <row r="6851" spans="1:40" x14ac:dyDescent="0.25">
      <c r="A6851" t="str">
        <f>"20190304155237474"</f>
        <v>20190304155237474</v>
      </c>
      <c r="B6851" t="str">
        <f>"1551685957463539"</f>
        <v>1551685957463539</v>
      </c>
      <c r="C6851" t="s">
        <v>40</v>
      </c>
      <c r="D6851">
        <v>4.867604</v>
      </c>
      <c r="E6851">
        <v>0.43055700000000002</v>
      </c>
      <c r="F6851" t="s">
        <v>77</v>
      </c>
      <c r="G6851">
        <v>-197.5112</v>
      </c>
      <c r="H6851" s="1">
        <v>-9.7093759999999999E-6</v>
      </c>
      <c r="I6851">
        <v>-52.702739999999999</v>
      </c>
      <c r="J6851">
        <v>-231.4385</v>
      </c>
      <c r="K6851">
        <v>1.110576</v>
      </c>
      <c r="L6851">
        <v>-63.123899999999999</v>
      </c>
      <c r="M6851">
        <v>0.99989329999999998</v>
      </c>
      <c r="N6851">
        <v>-1.372284E-2</v>
      </c>
      <c r="O6851">
        <v>-5.0301779999999997E-3</v>
      </c>
      <c r="P6851">
        <v>0.97457280000000002</v>
      </c>
      <c r="Q6851">
        <v>0.1884817</v>
      </c>
      <c r="R6851">
        <v>0.1211728</v>
      </c>
      <c r="S6851">
        <v>2.9838870000000002</v>
      </c>
      <c r="T6851">
        <v>-9.7278589999999998E-2</v>
      </c>
      <c r="U6851">
        <v>0.91275019999999996</v>
      </c>
      <c r="V6851">
        <v>-0.1260664</v>
      </c>
      <c r="W6851">
        <v>0.20183409999999999</v>
      </c>
      <c r="X6851">
        <v>0.97127249999999998</v>
      </c>
      <c r="Y6851">
        <v>-0.29710979999999998</v>
      </c>
      <c r="Z6851">
        <v>6.9114709999999998E-3</v>
      </c>
      <c r="AA6851">
        <v>0.95481830000000001</v>
      </c>
      <c r="AB6851">
        <v>28</v>
      </c>
      <c r="AC6851">
        <v>33.927300000000002</v>
      </c>
      <c r="AD6851">
        <v>-1.1105857093760001</v>
      </c>
      <c r="AE6851">
        <v>10.421159999999899</v>
      </c>
      <c r="AF6851">
        <v>-10.581343800170499</v>
      </c>
      <c r="AG6851">
        <v>-1.1105857093760001</v>
      </c>
      <c r="AH6851">
        <v>33.8413096897511</v>
      </c>
      <c r="AI6851">
        <v>91.794034217943206</v>
      </c>
      <c r="AJ6851">
        <v>107.363177841135</v>
      </c>
      <c r="AK6851">
        <v>35.474391872911902</v>
      </c>
      <c r="AL6851">
        <v>78.355767324314499</v>
      </c>
      <c r="AM6851">
        <v>97.395366374598694</v>
      </c>
      <c r="AN6851">
        <v>1.0000000051939999</v>
      </c>
    </row>
    <row r="6852" spans="1:40" x14ac:dyDescent="0.25">
      <c r="A6852" t="str">
        <f>"20190304155237485"</f>
        <v>20190304155237485</v>
      </c>
      <c r="B6852" t="str">
        <f>"1551685957474274"</f>
        <v>1551685957474274</v>
      </c>
      <c r="C6852" t="s">
        <v>40</v>
      </c>
      <c r="D6852">
        <v>4.7530359999999998</v>
      </c>
      <c r="E6852">
        <v>0.43049169999999998</v>
      </c>
      <c r="F6852" t="s">
        <v>77</v>
      </c>
      <c r="G6852">
        <v>-197.62020000000001</v>
      </c>
      <c r="H6852" s="1">
        <v>-9.7021109999999999E-6</v>
      </c>
      <c r="I6852">
        <v>-52.753819999999997</v>
      </c>
      <c r="J6852">
        <v>-231.3064</v>
      </c>
      <c r="K6852">
        <v>1.1105780000000001</v>
      </c>
      <c r="L6852">
        <v>-63.124569999999999</v>
      </c>
      <c r="M6852">
        <v>0.99989340000000004</v>
      </c>
      <c r="N6852">
        <v>-1.3713410000000001E-2</v>
      </c>
      <c r="O6852">
        <v>-5.0301119999999998E-3</v>
      </c>
      <c r="P6852">
        <v>0.9744545</v>
      </c>
      <c r="Q6852">
        <v>0.18853349999999999</v>
      </c>
      <c r="R6852">
        <v>0.1220401</v>
      </c>
      <c r="S6852">
        <v>2.9834749999999999</v>
      </c>
      <c r="T6852">
        <v>-9.7976679999999997E-2</v>
      </c>
      <c r="U6852">
        <v>0.914856</v>
      </c>
      <c r="V6852">
        <v>-0.12693270000000001</v>
      </c>
      <c r="W6852">
        <v>0.2018752</v>
      </c>
      <c r="X6852">
        <v>0.97115110000000004</v>
      </c>
      <c r="Y6852">
        <v>-0.29775970000000002</v>
      </c>
      <c r="Z6852">
        <v>6.9605530000000004E-3</v>
      </c>
      <c r="AA6852">
        <v>0.95461549999999995</v>
      </c>
      <c r="AB6852">
        <v>28</v>
      </c>
      <c r="AC6852">
        <v>33.6861999999999</v>
      </c>
      <c r="AD6852">
        <v>-1.110587702111</v>
      </c>
      <c r="AE6852">
        <v>10.370749999999999</v>
      </c>
      <c r="AF6852">
        <v>-10.529625925721399</v>
      </c>
      <c r="AG6852">
        <v>-1.110587702111</v>
      </c>
      <c r="AH6852">
        <v>33.600243490277002</v>
      </c>
      <c r="AI6852">
        <v>91.806537897949696</v>
      </c>
      <c r="AJ6852">
        <v>107.39991907853199</v>
      </c>
      <c r="AK6852">
        <v>35.229004950262301</v>
      </c>
      <c r="AL6852">
        <v>78.353362711776299</v>
      </c>
      <c r="AM6852">
        <v>97.446537688022801</v>
      </c>
      <c r="AN6852">
        <v>0.99999998286776903</v>
      </c>
    </row>
    <row r="6853" spans="1:40" x14ac:dyDescent="0.25">
      <c r="A6853" t="str">
        <f>"20190304155237494"</f>
        <v>20190304155237494</v>
      </c>
      <c r="B6853" t="str">
        <f>"1551685957484034"</f>
        <v>1551685957484034</v>
      </c>
      <c r="C6853" t="s">
        <v>40</v>
      </c>
      <c r="D6853">
        <v>4.7112309999999997</v>
      </c>
      <c r="E6853">
        <v>0.43083769999999999</v>
      </c>
      <c r="F6853" t="s">
        <v>77</v>
      </c>
      <c r="G6853">
        <v>-196.97989999999999</v>
      </c>
      <c r="H6853" s="1">
        <v>-9.70781999999999E-6</v>
      </c>
      <c r="I6853">
        <v>-52.561070000000001</v>
      </c>
      <c r="J6853">
        <v>-231.19159999999999</v>
      </c>
      <c r="K6853">
        <v>1.110579</v>
      </c>
      <c r="L6853">
        <v>-63.125149999999998</v>
      </c>
      <c r="M6853">
        <v>0.99989340000000004</v>
      </c>
      <c r="N6853">
        <v>-1.3705439999999999E-2</v>
      </c>
      <c r="O6853">
        <v>-5.0298189999999996E-3</v>
      </c>
      <c r="P6853">
        <v>0.97432629999999998</v>
      </c>
      <c r="Q6853">
        <v>0.18855240000000001</v>
      </c>
      <c r="R6853">
        <v>0.1230303</v>
      </c>
      <c r="S6853">
        <v>2.9823759999999999</v>
      </c>
      <c r="T6853">
        <v>-9.6490859999999998E-2</v>
      </c>
      <c r="U6853">
        <v>0.91778559999999998</v>
      </c>
      <c r="V6853">
        <v>-0.12792239999999999</v>
      </c>
      <c r="W6853">
        <v>0.2018846</v>
      </c>
      <c r="X6853">
        <v>0.97101930000000003</v>
      </c>
      <c r="Y6853">
        <v>-0.29871930000000002</v>
      </c>
      <c r="Z6853">
        <v>6.9077299999999999E-3</v>
      </c>
      <c r="AA6853">
        <v>0.95431600000000005</v>
      </c>
      <c r="AB6853">
        <v>28</v>
      </c>
      <c r="AC6853">
        <v>34.2117</v>
      </c>
      <c r="AD6853">
        <v>-1.1105887078200001</v>
      </c>
      <c r="AE6853">
        <v>10.564080000000001</v>
      </c>
      <c r="AF6853">
        <v>-10.7257223174804</v>
      </c>
      <c r="AG6853">
        <v>-1.1105887078200001</v>
      </c>
      <c r="AH6853">
        <v>34.125295964217997</v>
      </c>
      <c r="AI6853">
        <v>91.778292511037193</v>
      </c>
      <c r="AJ6853">
        <v>107.448150019579</v>
      </c>
      <c r="AK6853">
        <v>35.788410849814298</v>
      </c>
      <c r="AL6853">
        <v>78.352813088861893</v>
      </c>
      <c r="AM6853">
        <v>97.504946457358002</v>
      </c>
      <c r="AN6853">
        <v>1.0000000065557</v>
      </c>
    </row>
    <row r="6854" spans="1:40" x14ac:dyDescent="0.25">
      <c r="A6854" t="str">
        <f>"20190304155237505"</f>
        <v>20190304155237505</v>
      </c>
      <c r="B6854" t="str">
        <f>"1551685957493794"</f>
        <v>1551685957493794</v>
      </c>
      <c r="C6854" t="s">
        <v>40</v>
      </c>
      <c r="D6854">
        <v>4.7931749999999997</v>
      </c>
      <c r="E6854">
        <v>0.43077280000000001</v>
      </c>
      <c r="F6854" t="s">
        <v>77</v>
      </c>
      <c r="G6854">
        <v>-197.99789999999999</v>
      </c>
      <c r="H6854" s="1">
        <v>-9.6897930000000008E-6</v>
      </c>
      <c r="I6854">
        <v>-52.909950000000002</v>
      </c>
      <c r="J6854">
        <v>-231.0624</v>
      </c>
      <c r="K6854">
        <v>1.1105860000000001</v>
      </c>
      <c r="L6854">
        <v>-63.125790000000002</v>
      </c>
      <c r="M6854">
        <v>0.99989349999999999</v>
      </c>
      <c r="N6854">
        <v>-1.369655E-2</v>
      </c>
      <c r="O6854">
        <v>-5.0297579999999996E-3</v>
      </c>
      <c r="P6854">
        <v>0.97420989999999996</v>
      </c>
      <c r="Q6854">
        <v>0.18853159999999999</v>
      </c>
      <c r="R6854">
        <v>0.1239797</v>
      </c>
      <c r="S6854">
        <v>2.9824830000000002</v>
      </c>
      <c r="T6854">
        <v>-9.9787470000000003E-2</v>
      </c>
      <c r="U6854">
        <v>0.91784670000000002</v>
      </c>
      <c r="V6854">
        <v>-0.12887100000000001</v>
      </c>
      <c r="W6854">
        <v>0.20185330000000001</v>
      </c>
      <c r="X6854">
        <v>0.9709004</v>
      </c>
      <c r="Y6854">
        <v>-0.29871540000000002</v>
      </c>
      <c r="Z6854">
        <v>7.0728509999999998E-3</v>
      </c>
      <c r="AA6854">
        <v>0.95431600000000005</v>
      </c>
      <c r="AB6854">
        <v>28</v>
      </c>
      <c r="AC6854">
        <v>33.064500000000002</v>
      </c>
      <c r="AD6854">
        <v>-1.1105956897930001</v>
      </c>
      <c r="AE6854">
        <v>10.21584</v>
      </c>
      <c r="AF6854">
        <v>-10.3713514331402</v>
      </c>
      <c r="AG6854">
        <v>-1.1105956897930001</v>
      </c>
      <c r="AH6854">
        <v>32.978729155023899</v>
      </c>
      <c r="AI6854">
        <v>91.839992212497705</v>
      </c>
      <c r="AJ6854">
        <v>107.457636199476</v>
      </c>
      <c r="AK6854">
        <v>34.588942308435897</v>
      </c>
      <c r="AL6854">
        <v>78.354644515301004</v>
      </c>
      <c r="AM6854">
        <v>97.560872635336807</v>
      </c>
      <c r="AN6854">
        <v>1.0000000380410199</v>
      </c>
    </row>
    <row r="6855" spans="1:40" x14ac:dyDescent="0.25">
      <c r="A6855" t="str">
        <f>"20190304155237515"</f>
        <v>20190304155237515</v>
      </c>
      <c r="B6855" t="str">
        <f>"1551685957503555"</f>
        <v>1551685957503555</v>
      </c>
      <c r="C6855" t="s">
        <v>40</v>
      </c>
      <c r="D6855">
        <v>4.7935349999999897</v>
      </c>
      <c r="E6855">
        <v>0.43069730000000001</v>
      </c>
      <c r="F6855" t="s">
        <v>77</v>
      </c>
      <c r="G6855">
        <v>-197.5301</v>
      </c>
      <c r="H6855" s="1">
        <v>-9.6882970000000002E-6</v>
      </c>
      <c r="I6855">
        <v>-52.765929999999997</v>
      </c>
      <c r="J6855">
        <v>-230.94460000000001</v>
      </c>
      <c r="K6855">
        <v>1.1105879999999999</v>
      </c>
      <c r="L6855">
        <v>-63.126370000000001</v>
      </c>
      <c r="M6855">
        <v>0.99989380000000005</v>
      </c>
      <c r="N6855">
        <v>-1.3688870000000001E-2</v>
      </c>
      <c r="O6855">
        <v>-5.0299430000000003E-3</v>
      </c>
      <c r="P6855">
        <v>0.97413119999999997</v>
      </c>
      <c r="Q6855">
        <v>0.188333</v>
      </c>
      <c r="R6855">
        <v>0.1248985</v>
      </c>
      <c r="S6855">
        <v>2.9813079999999998</v>
      </c>
      <c r="T6855">
        <v>-9.8741529999999994E-2</v>
      </c>
      <c r="U6855">
        <v>0.9210815</v>
      </c>
      <c r="V6855">
        <v>-0.1297896</v>
      </c>
      <c r="W6855">
        <v>0.2016464</v>
      </c>
      <c r="X6855">
        <v>0.97082100000000005</v>
      </c>
      <c r="Y6855">
        <v>-0.29976969999999997</v>
      </c>
      <c r="Z6855">
        <v>7.0447289999999996E-3</v>
      </c>
      <c r="AA6855">
        <v>0.95398559999999999</v>
      </c>
      <c r="AB6855">
        <v>28</v>
      </c>
      <c r="AC6855">
        <v>33.414499999999997</v>
      </c>
      <c r="AD6855">
        <v>-1.1105976882969999</v>
      </c>
      <c r="AE6855">
        <v>10.360439999999899</v>
      </c>
      <c r="AF6855">
        <v>-10.5177977154007</v>
      </c>
      <c r="AG6855">
        <v>-1.1105976882969999</v>
      </c>
      <c r="AH6855">
        <v>33.328371220193297</v>
      </c>
      <c r="AI6855">
        <v>91.820134711648606</v>
      </c>
      <c r="AJ6855">
        <v>107.51470151012801</v>
      </c>
      <c r="AK6855">
        <v>34.966238347845596</v>
      </c>
      <c r="AL6855">
        <v>78.366747590766906</v>
      </c>
      <c r="AM6855">
        <v>97.614752312075098</v>
      </c>
      <c r="AN6855">
        <v>1.00000001247106</v>
      </c>
    </row>
    <row r="6856" spans="1:40" x14ac:dyDescent="0.25">
      <c r="A6856" t="str">
        <f>"20190304155237525"</f>
        <v>20190304155237525</v>
      </c>
      <c r="B6856" t="str">
        <f>"1551685957514291"</f>
        <v>1551685957514291</v>
      </c>
      <c r="C6856" t="s">
        <v>40</v>
      </c>
      <c r="D6856">
        <v>4.8055629999999896</v>
      </c>
      <c r="E6856">
        <v>0.43068820000000002</v>
      </c>
      <c r="F6856" t="s">
        <v>77</v>
      </c>
      <c r="G6856">
        <v>-197.31610000000001</v>
      </c>
      <c r="H6856" s="1">
        <v>-9.6909079999999992E-6</v>
      </c>
      <c r="I6856">
        <v>-52.699939999999998</v>
      </c>
      <c r="J6856">
        <v>-230.81829999999999</v>
      </c>
      <c r="K6856">
        <v>1.110587</v>
      </c>
      <c r="L6856">
        <v>-63.127009999999999</v>
      </c>
      <c r="M6856">
        <v>0.9998937</v>
      </c>
      <c r="N6856">
        <v>-1.368078E-2</v>
      </c>
      <c r="O6856">
        <v>-5.0296489999999998E-3</v>
      </c>
      <c r="P6856">
        <v>0.97396850000000001</v>
      </c>
      <c r="Q6856">
        <v>0.18842010000000001</v>
      </c>
      <c r="R6856">
        <v>0.12602869999999999</v>
      </c>
      <c r="S6856">
        <v>2.9802249999999999</v>
      </c>
      <c r="T6856">
        <v>-9.8423360000000001E-2</v>
      </c>
      <c r="U6856">
        <v>0.92401120000000003</v>
      </c>
      <c r="V6856">
        <v>-0.1309187</v>
      </c>
      <c r="W6856">
        <v>0.2017234</v>
      </c>
      <c r="X6856">
        <v>0.9706534</v>
      </c>
      <c r="Y6856">
        <v>-0.30072339999999997</v>
      </c>
      <c r="Z6856">
        <v>7.050784E-3</v>
      </c>
      <c r="AA6856">
        <v>0.95368529999999996</v>
      </c>
      <c r="AB6856">
        <v>28</v>
      </c>
      <c r="AC6856">
        <v>33.502199999999903</v>
      </c>
      <c r="AD6856">
        <v>-1.1105966909080001</v>
      </c>
      <c r="AE6856">
        <v>10.427069999999899</v>
      </c>
      <c r="AF6856">
        <v>-10.584853513268699</v>
      </c>
      <c r="AG6856">
        <v>-1.1105966909080001</v>
      </c>
      <c r="AH6856">
        <v>33.415848365128298</v>
      </c>
      <c r="AI6856">
        <v>91.814755953164493</v>
      </c>
      <c r="AJ6856">
        <v>107.576195836153</v>
      </c>
      <c r="AK6856">
        <v>35.069808537664699</v>
      </c>
      <c r="AL6856">
        <v>78.362243454978596</v>
      </c>
      <c r="AM6856">
        <v>97.681519538316095</v>
      </c>
      <c r="AN6856">
        <v>1.0000000295244</v>
      </c>
    </row>
    <row r="6857" spans="1:40" x14ac:dyDescent="0.25">
      <c r="A6857" t="str">
        <f>"20190304155237535"</f>
        <v>20190304155237535</v>
      </c>
      <c r="B6857" t="str">
        <f>"1551685957533810"</f>
        <v>1551685957533810</v>
      </c>
      <c r="C6857" t="s">
        <v>40</v>
      </c>
      <c r="D6857">
        <v>4.7158899999999999</v>
      </c>
      <c r="E6857">
        <v>0.43140020000000001</v>
      </c>
      <c r="F6857" t="s">
        <v>77</v>
      </c>
      <c r="G6857">
        <v>-196.98769999999999</v>
      </c>
      <c r="H6857" s="1">
        <v>-9.6952690000000004E-6</v>
      </c>
      <c r="I6857">
        <v>-52.597720000000002</v>
      </c>
      <c r="J6857">
        <v>-230.68299999999999</v>
      </c>
      <c r="K6857">
        <v>1.1105860000000001</v>
      </c>
      <c r="L6857">
        <v>-63.127690000000001</v>
      </c>
      <c r="M6857">
        <v>0.99989399999999995</v>
      </c>
      <c r="N6857">
        <v>-1.367268E-2</v>
      </c>
      <c r="O6857">
        <v>-5.0295940000000001E-3</v>
      </c>
      <c r="P6857">
        <v>0.97391950000000005</v>
      </c>
      <c r="Q6857">
        <v>0.18803210000000001</v>
      </c>
      <c r="R6857">
        <v>0.1269846</v>
      </c>
      <c r="S6857">
        <v>2.9791409999999998</v>
      </c>
      <c r="T6857">
        <v>-9.7799659999999997E-2</v>
      </c>
      <c r="U6857">
        <v>0.92721560000000003</v>
      </c>
      <c r="V6857">
        <v>-0.1318743</v>
      </c>
      <c r="W6857">
        <v>0.2013269</v>
      </c>
      <c r="X6857">
        <v>0.97060630000000003</v>
      </c>
      <c r="Y6857">
        <v>-0.30175829999999998</v>
      </c>
      <c r="Z6857">
        <v>7.0429619999999998E-3</v>
      </c>
      <c r="AA6857">
        <v>0.95335840000000005</v>
      </c>
      <c r="AB6857">
        <v>28</v>
      </c>
      <c r="AC6857">
        <v>33.695300000000003</v>
      </c>
      <c r="AD6857">
        <v>-1.1105956952689999</v>
      </c>
      <c r="AE6857">
        <v>10.52997</v>
      </c>
      <c r="AF6857">
        <v>-10.6887475851756</v>
      </c>
      <c r="AG6857">
        <v>-1.1105956952689999</v>
      </c>
      <c r="AH6857">
        <v>33.6086446781256</v>
      </c>
      <c r="AI6857">
        <v>91.803688494932999</v>
      </c>
      <c r="AJ6857">
        <v>107.642519661365</v>
      </c>
      <c r="AK6857">
        <v>35.284894003502998</v>
      </c>
      <c r="AL6857">
        <v>78.385436393347803</v>
      </c>
      <c r="AM6857">
        <v>97.737282587245105</v>
      </c>
      <c r="AN6857">
        <v>0.99999997063189405</v>
      </c>
    </row>
    <row r="6858" spans="1:40" x14ac:dyDescent="0.25">
      <c r="A6858" t="str">
        <f>"20190304155237546"</f>
        <v>20190304155237546</v>
      </c>
      <c r="B6858" t="str">
        <f>"1551685957543571"</f>
        <v>1551685957543571</v>
      </c>
      <c r="C6858" t="s">
        <v>40</v>
      </c>
      <c r="D6858">
        <v>4.7960649999999996</v>
      </c>
      <c r="E6858">
        <v>0.43168260000000003</v>
      </c>
      <c r="F6858" t="s">
        <v>77</v>
      </c>
      <c r="G6858">
        <v>-199.1754</v>
      </c>
      <c r="H6858" s="1">
        <v>-9.6664529999999995E-6</v>
      </c>
      <c r="I6858">
        <v>-53.353749999999998</v>
      </c>
      <c r="J6858">
        <v>-230.54839999999999</v>
      </c>
      <c r="K6858">
        <v>1.1105860000000001</v>
      </c>
      <c r="L6858">
        <v>-63.128360000000001</v>
      </c>
      <c r="M6858">
        <v>0.99989410000000001</v>
      </c>
      <c r="N6858">
        <v>-1.366479E-2</v>
      </c>
      <c r="O6858">
        <v>-5.0297789999999998E-3</v>
      </c>
      <c r="P6858">
        <v>0.97377159999999996</v>
      </c>
      <c r="Q6858">
        <v>0.18803329999999999</v>
      </c>
      <c r="R6858">
        <v>0.12811139999999999</v>
      </c>
      <c r="S6858">
        <v>2.980057</v>
      </c>
      <c r="T6858">
        <v>-0.1050425</v>
      </c>
      <c r="U6858">
        <v>0.92443850000000005</v>
      </c>
      <c r="V6858">
        <v>-0.13300049999999999</v>
      </c>
      <c r="W6858">
        <v>0.201318</v>
      </c>
      <c r="X6858">
        <v>0.9704545</v>
      </c>
      <c r="Y6858">
        <v>-0.30083799999999999</v>
      </c>
      <c r="Z6858">
        <v>7.38842699999999E-3</v>
      </c>
      <c r="AA6858">
        <v>0.95364669999999896</v>
      </c>
      <c r="AB6858">
        <v>28</v>
      </c>
      <c r="AC6858">
        <v>31.372999999999902</v>
      </c>
      <c r="AD6858">
        <v>-1.1105956664529999</v>
      </c>
      <c r="AE6858">
        <v>9.7746099999999991</v>
      </c>
      <c r="AF6858">
        <v>-9.9209679714482295</v>
      </c>
      <c r="AG6858">
        <v>-1.1105956664529999</v>
      </c>
      <c r="AH6858">
        <v>31.2876956476013</v>
      </c>
      <c r="AI6858">
        <v>91.937918238319298</v>
      </c>
      <c r="AJ6858">
        <v>107.593221778463</v>
      </c>
      <c r="AK6858">
        <v>32.841725398671997</v>
      </c>
      <c r="AL6858">
        <v>78.385957370149498</v>
      </c>
      <c r="AM6858">
        <v>97.803753529770106</v>
      </c>
      <c r="AN6858">
        <v>1.00000000334725</v>
      </c>
    </row>
    <row r="6859" spans="1:40" x14ac:dyDescent="0.25">
      <c r="A6859" t="str">
        <f>"20190304155237558"</f>
        <v>20190304155237558</v>
      </c>
      <c r="B6859" t="str">
        <f>"1551685957553331"</f>
        <v>1551685957553331</v>
      </c>
      <c r="C6859" t="s">
        <v>40</v>
      </c>
      <c r="D6859">
        <v>4.8114650000000001</v>
      </c>
      <c r="E6859">
        <v>0.43164639999999999</v>
      </c>
      <c r="F6859" t="s">
        <v>77</v>
      </c>
      <c r="G6859">
        <v>-199.94560000000001</v>
      </c>
      <c r="H6859" s="1">
        <v>-9.6575420000000002E-6</v>
      </c>
      <c r="I6859">
        <v>-53.625959999999999</v>
      </c>
      <c r="J6859">
        <v>-230.40469999999999</v>
      </c>
      <c r="K6859">
        <v>1.110587</v>
      </c>
      <c r="L6859">
        <v>-63.129089999999998</v>
      </c>
      <c r="M6859">
        <v>0.99989410000000001</v>
      </c>
      <c r="N6859">
        <v>-1.365707E-2</v>
      </c>
      <c r="O6859">
        <v>-5.0282859999999999E-3</v>
      </c>
      <c r="P6859">
        <v>0.97367499999999996</v>
      </c>
      <c r="Q6859">
        <v>0.18788050000000001</v>
      </c>
      <c r="R6859">
        <v>0.12906619999999999</v>
      </c>
      <c r="S6859">
        <v>2.9799349999999998</v>
      </c>
      <c r="T6859">
        <v>-0.1081439</v>
      </c>
      <c r="U6859">
        <v>0.92529300000000003</v>
      </c>
      <c r="V6859">
        <v>-0.13395360000000001</v>
      </c>
      <c r="W6859">
        <v>0.20115640000000001</v>
      </c>
      <c r="X6859">
        <v>0.97035689999999997</v>
      </c>
      <c r="Y6859">
        <v>-0.30108449999999998</v>
      </c>
      <c r="Z6859">
        <v>7.5513799999999999E-3</v>
      </c>
      <c r="AA6859">
        <v>0.95356759999999996</v>
      </c>
      <c r="AB6859">
        <v>28</v>
      </c>
      <c r="AC6859">
        <v>30.4590999999999</v>
      </c>
      <c r="AD6859">
        <v>-1.1105966575419901</v>
      </c>
      <c r="AE6859">
        <v>9.5031300000000005</v>
      </c>
      <c r="AF6859">
        <v>-9.64449652585634</v>
      </c>
      <c r="AG6859">
        <v>-1.1105966575419901</v>
      </c>
      <c r="AH6859">
        <v>30.374126576531499</v>
      </c>
      <c r="AI6859">
        <v>91.995910663177497</v>
      </c>
      <c r="AJ6859">
        <v>107.61586223601201</v>
      </c>
      <c r="AK6859">
        <v>31.8878864690051</v>
      </c>
      <c r="AL6859">
        <v>78.395409568347802</v>
      </c>
      <c r="AM6859">
        <v>97.859760538691205</v>
      </c>
      <c r="AN6859">
        <v>0.99999998879576402</v>
      </c>
    </row>
    <row r="6860" spans="1:40" x14ac:dyDescent="0.25">
      <c r="A6860" t="str">
        <f>"20190304155237569"</f>
        <v>20190304155237569</v>
      </c>
      <c r="B6860" t="str">
        <f>"1551685957564066"</f>
        <v>1551685957564066</v>
      </c>
      <c r="C6860" t="s">
        <v>40</v>
      </c>
      <c r="D6860">
        <v>4.8048630000000001</v>
      </c>
      <c r="E6860">
        <v>0.4315676</v>
      </c>
      <c r="F6860" t="s">
        <v>77</v>
      </c>
      <c r="G6860">
        <v>-199.83160000000001</v>
      </c>
      <c r="H6860" s="1">
        <v>-9.6523459999999999E-6</v>
      </c>
      <c r="I6860">
        <v>-53.604230000000001</v>
      </c>
      <c r="J6860">
        <v>-230.26599999999999</v>
      </c>
      <c r="K6860">
        <v>1.1105849999999999</v>
      </c>
      <c r="L6860">
        <v>-63.129730000000002</v>
      </c>
      <c r="M6860">
        <v>0.99989419999999996</v>
      </c>
      <c r="N6860">
        <v>-1.364979E-2</v>
      </c>
      <c r="O6860">
        <v>-5.025837E-3</v>
      </c>
      <c r="P6860">
        <v>0.97352360000000004</v>
      </c>
      <c r="Q6860">
        <v>0.1879373</v>
      </c>
      <c r="R6860">
        <v>0.13012069999999901</v>
      </c>
      <c r="S6860">
        <v>2.9789430000000001</v>
      </c>
      <c r="T6860">
        <v>-0.1082127</v>
      </c>
      <c r="U6860">
        <v>0.92807010000000001</v>
      </c>
      <c r="V6860">
        <v>-0.13500529999999999</v>
      </c>
      <c r="W6860">
        <v>0.20120360000000001</v>
      </c>
      <c r="X6860">
        <v>0.97020139999999999</v>
      </c>
      <c r="Y6860">
        <v>-0.30198130000000001</v>
      </c>
      <c r="Z6860">
        <v>7.577238E-3</v>
      </c>
      <c r="AA6860">
        <v>0.95328369999999996</v>
      </c>
      <c r="AB6860">
        <v>28</v>
      </c>
      <c r="AC6860">
        <v>30.434399999999901</v>
      </c>
      <c r="AD6860">
        <v>-1.110594652346</v>
      </c>
      <c r="AE6860">
        <v>9.5254999999999992</v>
      </c>
      <c r="AF6860">
        <v>-9.6666284059241896</v>
      </c>
      <c r="AG6860">
        <v>-1.110594652346</v>
      </c>
      <c r="AH6860">
        <v>30.349329290829601</v>
      </c>
      <c r="AI6860">
        <v>91.996966692603195</v>
      </c>
      <c r="AJ6860">
        <v>107.667306283766</v>
      </c>
      <c r="AK6860">
        <v>31.870972900481799</v>
      </c>
      <c r="AL6860">
        <v>78.392649341358805</v>
      </c>
      <c r="AM6860">
        <v>97.9219424590313</v>
      </c>
      <c r="AN6860">
        <v>1.0000000381215</v>
      </c>
    </row>
    <row r="6861" spans="1:40" x14ac:dyDescent="0.25">
      <c r="A6861" t="str">
        <f>"20190304155237580"</f>
        <v>20190304155237580</v>
      </c>
      <c r="B6861" t="str">
        <f>"1551685957573826"</f>
        <v>1551685957573826</v>
      </c>
      <c r="C6861" t="s">
        <v>40</v>
      </c>
      <c r="D6861">
        <v>4.7153280000000004</v>
      </c>
      <c r="E6861">
        <v>0.43179650000000003</v>
      </c>
      <c r="F6861" t="s">
        <v>77</v>
      </c>
      <c r="G6861">
        <v>-199.4084</v>
      </c>
      <c r="H6861" s="1">
        <v>-9.650216E-6</v>
      </c>
      <c r="I6861">
        <v>-53.474699999999999</v>
      </c>
      <c r="J6861">
        <v>-230.1241</v>
      </c>
      <c r="K6861">
        <v>1.1105879999999999</v>
      </c>
      <c r="L6861">
        <v>-63.130459999999999</v>
      </c>
      <c r="M6861">
        <v>0.99989439999999996</v>
      </c>
      <c r="N6861">
        <v>-1.364288E-2</v>
      </c>
      <c r="O6861">
        <v>-5.0202650000000003E-3</v>
      </c>
      <c r="P6861">
        <v>0.97337530000000005</v>
      </c>
      <c r="Q6861">
        <v>0.187751</v>
      </c>
      <c r="R6861">
        <v>0.13149249999999901</v>
      </c>
      <c r="S6861">
        <v>2.977722</v>
      </c>
      <c r="T6861">
        <v>-0.1071713</v>
      </c>
      <c r="U6861">
        <v>0.93170169999999997</v>
      </c>
      <c r="V6861">
        <v>-0.1363723</v>
      </c>
      <c r="W6861">
        <v>0.2010083</v>
      </c>
      <c r="X6861">
        <v>0.97005059999999999</v>
      </c>
      <c r="Y6861">
        <v>-0.30314930000000001</v>
      </c>
      <c r="Z6861">
        <v>7.553092E-3</v>
      </c>
      <c r="AA6861">
        <v>0.95291320000000002</v>
      </c>
      <c r="AB6861">
        <v>28</v>
      </c>
      <c r="AC6861">
        <v>30.715699999999998</v>
      </c>
      <c r="AD6861">
        <v>-1.110597650216</v>
      </c>
      <c r="AE6861">
        <v>9.6557600000000008</v>
      </c>
      <c r="AF6861">
        <v>-9.7981959292892693</v>
      </c>
      <c r="AG6861">
        <v>-1.110597650216</v>
      </c>
      <c r="AH6861">
        <v>30.6303905533787</v>
      </c>
      <c r="AI6861">
        <v>91.977876678511095</v>
      </c>
      <c r="AJ6861">
        <v>107.738683333232</v>
      </c>
      <c r="AK6861">
        <v>32.178547140321903</v>
      </c>
      <c r="AL6861">
        <v>78.404071597072701</v>
      </c>
      <c r="AM6861">
        <v>98.002350348898403</v>
      </c>
      <c r="AN6861">
        <v>0.999999953718268</v>
      </c>
    </row>
    <row r="6862" spans="1:40" x14ac:dyDescent="0.25">
      <c r="A6862" t="str">
        <f>"20190304155237593"</f>
        <v>20190304155237593</v>
      </c>
      <c r="B6862" t="str">
        <f>"1551685957583586"</f>
        <v>1551685957583586</v>
      </c>
      <c r="C6862" t="s">
        <v>40</v>
      </c>
      <c r="D6862">
        <v>4.8014809999999999</v>
      </c>
      <c r="E6862">
        <v>0.43173220000000001</v>
      </c>
      <c r="F6862" t="s">
        <v>77</v>
      </c>
      <c r="G6862">
        <v>-200.0291</v>
      </c>
      <c r="H6862" s="1">
        <v>-6.7424799999999997E-6</v>
      </c>
      <c r="I6862">
        <v>-53.691699999999997</v>
      </c>
      <c r="J6862">
        <v>-229.98490000000001</v>
      </c>
      <c r="K6862">
        <v>1.11059</v>
      </c>
      <c r="L6862">
        <v>-63.131129999999999</v>
      </c>
      <c r="M6862">
        <v>0.99989439999999996</v>
      </c>
      <c r="N6862">
        <v>-1.363637E-2</v>
      </c>
      <c r="O6862">
        <v>-5.0112209999999997E-3</v>
      </c>
      <c r="P6862">
        <v>0.97324169999999999</v>
      </c>
      <c r="Q6862">
        <v>0.18771019999999999</v>
      </c>
      <c r="R6862">
        <v>0.13253409999999999</v>
      </c>
      <c r="S6862">
        <v>2.977112</v>
      </c>
      <c r="T6862">
        <v>-0.1098639</v>
      </c>
      <c r="U6862">
        <v>0.93371579999999998</v>
      </c>
      <c r="V6862">
        <v>-0.1374061</v>
      </c>
      <c r="W6862">
        <v>0.20095789999999999</v>
      </c>
      <c r="X6862">
        <v>0.96991519999999998</v>
      </c>
      <c r="Y6862">
        <v>-0.30377169999999998</v>
      </c>
      <c r="Z6862">
        <v>7.7064439999999998E-3</v>
      </c>
      <c r="AA6862">
        <v>0.9527137</v>
      </c>
      <c r="AB6862">
        <v>28</v>
      </c>
      <c r="AC6862">
        <v>29.9558</v>
      </c>
      <c r="AD6862">
        <v>-1.1105967424800001</v>
      </c>
      <c r="AE6862">
        <v>9.4394299999999998</v>
      </c>
      <c r="AF6862">
        <v>-9.5774652381827501</v>
      </c>
      <c r="AG6862">
        <v>-1.1105967424800001</v>
      </c>
      <c r="AH6862">
        <v>29.870766992454101</v>
      </c>
      <c r="AI6862">
        <v>92.027692983098007</v>
      </c>
      <c r="AJ6862">
        <v>107.777411167466</v>
      </c>
      <c r="AK6862">
        <v>31.3882778474782</v>
      </c>
      <c r="AL6862">
        <v>78.407020053781693</v>
      </c>
      <c r="AM6862">
        <v>98.063329943219699</v>
      </c>
      <c r="AN6862">
        <v>1.0000000045403299</v>
      </c>
    </row>
    <row r="6863" spans="1:40" x14ac:dyDescent="0.25">
      <c r="A6863" t="str">
        <f>"20190304155237605"</f>
        <v>20190304155237605</v>
      </c>
      <c r="B6863" t="str">
        <f>"1551685957593346"</f>
        <v>1551685957593346</v>
      </c>
      <c r="C6863" t="s">
        <v>40</v>
      </c>
      <c r="D6863">
        <v>4.8297220000000003</v>
      </c>
      <c r="E6863">
        <v>0.43166939999999998</v>
      </c>
      <c r="F6863" t="s">
        <v>77</v>
      </c>
      <c r="G6863">
        <v>-199.8519</v>
      </c>
      <c r="H6863" s="1">
        <v>-9.6408790000000004E-6</v>
      </c>
      <c r="I6863">
        <v>-53.643389999999997</v>
      </c>
      <c r="J6863">
        <v>-229.8329</v>
      </c>
      <c r="K6863">
        <v>1.1105969999999901</v>
      </c>
      <c r="L6863">
        <v>-63.1318699999999</v>
      </c>
      <c r="M6863">
        <v>0.99989479999999997</v>
      </c>
      <c r="N6863">
        <v>-1.362963E-2</v>
      </c>
      <c r="O6863">
        <v>-4.9974989999999999E-3</v>
      </c>
      <c r="P6863">
        <v>0.97313950000000005</v>
      </c>
      <c r="Q6863">
        <v>0.18749469999999999</v>
      </c>
      <c r="R6863">
        <v>0.13358699999999901</v>
      </c>
      <c r="S6863">
        <v>2.9760439999999999</v>
      </c>
      <c r="T6863">
        <v>-0.1096867</v>
      </c>
      <c r="U6863">
        <v>0.93704219999999905</v>
      </c>
      <c r="V6863">
        <v>-0.1384476</v>
      </c>
      <c r="W6863">
        <v>0.20073279999999999</v>
      </c>
      <c r="X6863">
        <v>0.9698137</v>
      </c>
      <c r="Y6863">
        <v>-0.30482500000000001</v>
      </c>
      <c r="Z6863">
        <v>7.7236900000000001E-3</v>
      </c>
      <c r="AA6863">
        <v>0.95237709999999998</v>
      </c>
      <c r="AB6863">
        <v>28</v>
      </c>
      <c r="AC6863">
        <v>29.980999999999899</v>
      </c>
      <c r="AD6863">
        <v>-1.1106066408790001</v>
      </c>
      <c r="AE6863">
        <v>9.4884799999999796</v>
      </c>
      <c r="AF6863">
        <v>-9.6261986167943903</v>
      </c>
      <c r="AG6863">
        <v>-1.1106066408790001</v>
      </c>
      <c r="AH6863">
        <v>29.8959132233907</v>
      </c>
      <c r="AI6863">
        <v>92.025205006437602</v>
      </c>
      <c r="AJ6863">
        <v>107.848062889826</v>
      </c>
      <c r="AK6863">
        <v>31.427102545116199</v>
      </c>
      <c r="AL6863">
        <v>78.420185600348105</v>
      </c>
      <c r="AM6863">
        <v>98.1244738035372</v>
      </c>
      <c r="AN6863">
        <v>1.0000000038246399</v>
      </c>
    </row>
    <row r="6864" spans="1:40" x14ac:dyDescent="0.25">
      <c r="A6864" t="str">
        <f>"20190304155237616"</f>
        <v>20190304155237616</v>
      </c>
      <c r="B6864" t="str">
        <f>"1551685957613842"</f>
        <v>1551685957613842</v>
      </c>
      <c r="C6864" t="s">
        <v>40</v>
      </c>
      <c r="D6864">
        <v>4.8424969999999998</v>
      </c>
      <c r="E6864">
        <v>0.43156699999999998</v>
      </c>
      <c r="F6864" t="s">
        <v>77</v>
      </c>
      <c r="G6864">
        <v>-199.8005</v>
      </c>
      <c r="H6864" s="1">
        <v>-9.6364619999999994E-6</v>
      </c>
      <c r="I6864">
        <v>-53.639530000000001</v>
      </c>
      <c r="J6864">
        <v>-229.68809999999999</v>
      </c>
      <c r="K6864">
        <v>1.1106049999999901</v>
      </c>
      <c r="L6864">
        <v>-63.132570000000001</v>
      </c>
      <c r="M6864">
        <v>0.99989490000000003</v>
      </c>
      <c r="N6864">
        <v>-1.3623680000000001E-2</v>
      </c>
      <c r="O6864">
        <v>-4.9749199999999999E-3</v>
      </c>
      <c r="P6864">
        <v>0.97300929999999997</v>
      </c>
      <c r="Q6864">
        <v>0.18722</v>
      </c>
      <c r="R6864">
        <v>0.13491410000000001</v>
      </c>
      <c r="S6864">
        <v>2.9748990000000002</v>
      </c>
      <c r="T6864">
        <v>-0.11001279999999999</v>
      </c>
      <c r="U6864">
        <v>0.94027709999999998</v>
      </c>
      <c r="V6864">
        <v>-0.1397562</v>
      </c>
      <c r="W6864">
        <v>0.20044780000000001</v>
      </c>
      <c r="X6864">
        <v>0.96968500000000002</v>
      </c>
      <c r="Y6864">
        <v>-0.3058478</v>
      </c>
      <c r="Z6864">
        <v>7.7662399999999998E-3</v>
      </c>
      <c r="AA6864">
        <v>0.95204869999999997</v>
      </c>
      <c r="AB6864">
        <v>28</v>
      </c>
      <c r="AC6864">
        <v>29.8875999999999</v>
      </c>
      <c r="AD6864">
        <v>-1.11061463646199</v>
      </c>
      <c r="AE6864">
        <v>9.4930399999999793</v>
      </c>
      <c r="AF6864">
        <v>-9.6295463373036601</v>
      </c>
      <c r="AG6864">
        <v>-1.11061463646199</v>
      </c>
      <c r="AH6864">
        <v>29.802617057314102</v>
      </c>
      <c r="AI6864">
        <v>92.030889885985502</v>
      </c>
      <c r="AJ6864">
        <v>107.906203123751</v>
      </c>
      <c r="AK6864">
        <v>31.339393915612199</v>
      </c>
      <c r="AL6864">
        <v>78.436854302776695</v>
      </c>
      <c r="AM6864">
        <v>98.201299913041098</v>
      </c>
      <c r="AN6864">
        <v>1.0000000575941299</v>
      </c>
    </row>
    <row r="6865" spans="1:40" x14ac:dyDescent="0.25">
      <c r="A6865" t="str">
        <f>"20190304155237627"</f>
        <v>20190304155237627</v>
      </c>
      <c r="B6865" t="str">
        <f>"1551685957623602"</f>
        <v>1551685957623602</v>
      </c>
      <c r="C6865" t="s">
        <v>40</v>
      </c>
      <c r="D6865">
        <v>4.8406570000000002</v>
      </c>
      <c r="E6865">
        <v>0.4315136</v>
      </c>
      <c r="F6865" t="s">
        <v>77</v>
      </c>
      <c r="G6865">
        <v>-199.5986</v>
      </c>
      <c r="H6865" s="1">
        <v>-9.6382229999999999E-6</v>
      </c>
      <c r="I6865">
        <v>-53.569819999999901</v>
      </c>
      <c r="J6865">
        <v>-229.55940000000001</v>
      </c>
      <c r="K6865">
        <v>1.1106119999999999</v>
      </c>
      <c r="L6865">
        <v>-63.133209999999998</v>
      </c>
      <c r="M6865">
        <v>0.99989510000000004</v>
      </c>
      <c r="N6865">
        <v>-1.361851E-2</v>
      </c>
      <c r="O6865">
        <v>-4.9530650000000004E-3</v>
      </c>
      <c r="P6865">
        <v>0.97290920000000003</v>
      </c>
      <c r="Q6865">
        <v>0.18698770000000001</v>
      </c>
      <c r="R6865">
        <v>0.13595370000000001</v>
      </c>
      <c r="S6865">
        <v>2.9732970000000001</v>
      </c>
      <c r="T6865">
        <v>-0.1097457</v>
      </c>
      <c r="U6865">
        <v>0.94494630000000002</v>
      </c>
      <c r="V6865">
        <v>-0.14077770000000001</v>
      </c>
      <c r="W6865">
        <v>0.2002062</v>
      </c>
      <c r="X6865">
        <v>0.96958710000000004</v>
      </c>
      <c r="Y6865">
        <v>-0.3073322</v>
      </c>
      <c r="Z6865">
        <v>7.7903569999999899E-3</v>
      </c>
      <c r="AA6865">
        <v>0.95157040000000004</v>
      </c>
      <c r="AB6865">
        <v>28</v>
      </c>
      <c r="AC6865">
        <v>29.960799999999999</v>
      </c>
      <c r="AD6865">
        <v>-1.1106216382230001</v>
      </c>
      <c r="AE6865">
        <v>9.5633900000000001</v>
      </c>
      <c r="AF6865">
        <v>-9.6995882042427795</v>
      </c>
      <c r="AG6865">
        <v>-1.1106216382230001</v>
      </c>
      <c r="AH6865">
        <v>29.875802914360001</v>
      </c>
      <c r="AI6865">
        <v>92.025010527290505</v>
      </c>
      <c r="AJ6865">
        <v>107.98673123476399</v>
      </c>
      <c r="AK6865">
        <v>31.430543926773801</v>
      </c>
      <c r="AL6865">
        <v>78.450982859928203</v>
      </c>
      <c r="AM6865">
        <v>98.261242783786003</v>
      </c>
      <c r="AN6865">
        <v>1.0000000139110701</v>
      </c>
    </row>
    <row r="6866" spans="1:40" x14ac:dyDescent="0.25">
      <c r="A6866" t="str">
        <f>"20190304155237637"</f>
        <v>20190304155237637</v>
      </c>
      <c r="B6866" t="str">
        <f>"1551685957633362"</f>
        <v>1551685957633362</v>
      </c>
      <c r="C6866" t="s">
        <v>40</v>
      </c>
      <c r="D6866">
        <v>4.8031649999999999</v>
      </c>
      <c r="E6866">
        <v>0.4314499</v>
      </c>
      <c r="F6866" t="s">
        <v>77</v>
      </c>
      <c r="G6866">
        <v>-199.5284</v>
      </c>
      <c r="H6866" s="1">
        <v>-9.6367709999999996E-6</v>
      </c>
      <c r="I6866">
        <v>-53.551439999999999</v>
      </c>
      <c r="J6866">
        <v>-229.43440000000001</v>
      </c>
      <c r="K6866">
        <v>1.1106210000000001</v>
      </c>
      <c r="L6866">
        <v>-63.133789999999998</v>
      </c>
      <c r="M6866">
        <v>0.99989530000000004</v>
      </c>
      <c r="N6866">
        <v>-1.3613979999999999E-2</v>
      </c>
      <c r="O6866">
        <v>-4.9158910000000004E-3</v>
      </c>
      <c r="P6866">
        <v>0.97273370000000003</v>
      </c>
      <c r="Q6866">
        <v>0.18694340000000001</v>
      </c>
      <c r="R6866">
        <v>0.137264</v>
      </c>
      <c r="S6866">
        <v>2.972153</v>
      </c>
      <c r="T6866">
        <v>-0.1099178</v>
      </c>
      <c r="U6866">
        <v>0.94830320000000001</v>
      </c>
      <c r="V6866">
        <v>-0.14205619999999999</v>
      </c>
      <c r="W6866">
        <v>0.2001511</v>
      </c>
      <c r="X6866">
        <v>0.96941200000000005</v>
      </c>
      <c r="Y6866">
        <v>-0.3083767</v>
      </c>
      <c r="Z6866">
        <v>7.8254250000000004E-3</v>
      </c>
      <c r="AA6866">
        <v>0.95123210000000002</v>
      </c>
      <c r="AB6866">
        <v>28</v>
      </c>
      <c r="AC6866">
        <v>29.905999999999999</v>
      </c>
      <c r="AD6866">
        <v>-1.1106306367709999</v>
      </c>
      <c r="AE6866">
        <v>9.5823499999999999</v>
      </c>
      <c r="AF6866">
        <v>-9.7171085482863209</v>
      </c>
      <c r="AG6866">
        <v>-1.1106306367709999</v>
      </c>
      <c r="AH6866">
        <v>29.821228830176601</v>
      </c>
      <c r="AI6866">
        <v>92.028025294585802</v>
      </c>
      <c r="AJ6866">
        <v>108.04795816095</v>
      </c>
      <c r="AK6866">
        <v>31.3840945048964</v>
      </c>
      <c r="AL6866">
        <v>78.454205221515593</v>
      </c>
      <c r="AM6866">
        <v>98.336703817428003</v>
      </c>
      <c r="AN6866">
        <v>1.0000000262668201</v>
      </c>
    </row>
    <row r="6867" spans="1:40" x14ac:dyDescent="0.25">
      <c r="A6867" t="str">
        <f>"20190304155237648"</f>
        <v>20190304155237648</v>
      </c>
      <c r="B6867" t="str">
        <f>"1551685957644099"</f>
        <v>1551685957644099</v>
      </c>
      <c r="C6867" t="s">
        <v>40</v>
      </c>
      <c r="D6867">
        <v>4.8664670000000001</v>
      </c>
      <c r="E6867">
        <v>0.43140240000000002</v>
      </c>
      <c r="F6867" t="s">
        <v>77</v>
      </c>
      <c r="G6867">
        <v>-199.24760000000001</v>
      </c>
      <c r="H6867" s="1">
        <v>-9.6402669999999996E-6</v>
      </c>
      <c r="I6867">
        <v>-53.451500000000003</v>
      </c>
      <c r="J6867">
        <v>-229.3108</v>
      </c>
      <c r="K6867">
        <v>1.110633</v>
      </c>
      <c r="L6867">
        <v>-63.134369999999997</v>
      </c>
      <c r="M6867">
        <v>0.99989550000000005</v>
      </c>
      <c r="N6867">
        <v>-1.360952E-2</v>
      </c>
      <c r="O6867">
        <v>-4.8784800000000001E-3</v>
      </c>
      <c r="P6867">
        <v>0.97260290000000005</v>
      </c>
      <c r="Q6867">
        <v>0.1866469</v>
      </c>
      <c r="R6867">
        <v>0.13858790000000001</v>
      </c>
      <c r="S6867">
        <v>2.9706419999999998</v>
      </c>
      <c r="T6867">
        <v>-0.1092955</v>
      </c>
      <c r="U6867">
        <v>0.95281979999999999</v>
      </c>
      <c r="V6867">
        <v>-0.143348799999999</v>
      </c>
      <c r="W6867">
        <v>0.19984460000000001</v>
      </c>
      <c r="X6867">
        <v>0.9692849</v>
      </c>
      <c r="Y6867">
        <v>-0.30979390000000001</v>
      </c>
      <c r="Z6867">
        <v>7.8287259999999994E-3</v>
      </c>
      <c r="AA6867">
        <v>0.95077149999999999</v>
      </c>
      <c r="AB6867">
        <v>27</v>
      </c>
      <c r="AC6867">
        <v>30.063199999999899</v>
      </c>
      <c r="AD6867">
        <v>-1.110642640267</v>
      </c>
      <c r="AE6867">
        <v>9.6828699999999905</v>
      </c>
      <c r="AF6867">
        <v>-9.8172914672635105</v>
      </c>
      <c r="AG6867">
        <v>-1.110642640267</v>
      </c>
      <c r="AH6867">
        <v>29.9785301207733</v>
      </c>
      <c r="AI6867">
        <v>92.016443769240595</v>
      </c>
      <c r="AJ6867">
        <v>108.132452603907</v>
      </c>
      <c r="AK6867">
        <v>31.56461637704</v>
      </c>
      <c r="AL6867">
        <v>78.472127952499207</v>
      </c>
      <c r="AM6867">
        <v>98.412567998384304</v>
      </c>
      <c r="AN6867">
        <v>0.99999997998930401</v>
      </c>
    </row>
    <row r="6868" spans="1:40" x14ac:dyDescent="0.25">
      <c r="A6868" t="str">
        <f>"20190304155237658"</f>
        <v>20190304155237658</v>
      </c>
      <c r="B6868" t="str">
        <f>"1551685957653858"</f>
        <v>1551685957653858</v>
      </c>
      <c r="C6868" t="s">
        <v>40</v>
      </c>
      <c r="D6868">
        <v>4.8016160000000001</v>
      </c>
      <c r="E6868">
        <v>0.43148989999999998</v>
      </c>
      <c r="F6868" t="s">
        <v>77</v>
      </c>
      <c r="G6868">
        <v>-199.20400000000001</v>
      </c>
      <c r="H6868" s="1">
        <v>-9.6432650000000006E-6</v>
      </c>
      <c r="I6868">
        <v>-53.428980000000003</v>
      </c>
      <c r="J6868">
        <v>-229.1721</v>
      </c>
      <c r="K6868">
        <v>1.1106529999999999</v>
      </c>
      <c r="L6868">
        <v>-63.134979999999999</v>
      </c>
      <c r="M6868">
        <v>0.99989600000000001</v>
      </c>
      <c r="N6868">
        <v>-1.3604969999999999E-2</v>
      </c>
      <c r="O6868">
        <v>-4.811386E-3</v>
      </c>
      <c r="P6868">
        <v>0.97245700000000002</v>
      </c>
      <c r="Q6868">
        <v>0.1865551</v>
      </c>
      <c r="R6868">
        <v>0.1397312</v>
      </c>
      <c r="S6868">
        <v>2.9691619999999999</v>
      </c>
      <c r="T6868">
        <v>-0.10953259999999999</v>
      </c>
      <c r="U6868">
        <v>0.95715329999999998</v>
      </c>
      <c r="V6868">
        <v>-0.1444357</v>
      </c>
      <c r="W6868">
        <v>0.19973949999999999</v>
      </c>
      <c r="X6868">
        <v>0.96914520000000004</v>
      </c>
      <c r="Y6868">
        <v>-0.31112299999999998</v>
      </c>
      <c r="Z6868">
        <v>7.8740900000000003E-3</v>
      </c>
      <c r="AA6868">
        <v>0.95033699999999999</v>
      </c>
      <c r="AB6868">
        <v>27</v>
      </c>
      <c r="AC6868">
        <v>29.9681</v>
      </c>
      <c r="AD6868">
        <v>-1.110662643265</v>
      </c>
      <c r="AE6868">
        <v>9.7059999999999995</v>
      </c>
      <c r="AF6868">
        <v>-9.8378591054639397</v>
      </c>
      <c r="AG6868">
        <v>-1.110662643265</v>
      </c>
      <c r="AH6868">
        <v>29.8838992059829</v>
      </c>
      <c r="AI6868">
        <v>92.021826933955097</v>
      </c>
      <c r="AJ6868">
        <v>108.221682385279</v>
      </c>
      <c r="AK6868">
        <v>31.481176519302</v>
      </c>
      <c r="AL6868">
        <v>78.4782736348767</v>
      </c>
      <c r="AM6868">
        <v>98.476634760151796</v>
      </c>
      <c r="AN6868">
        <v>0.99999997898888904</v>
      </c>
    </row>
    <row r="6869" spans="1:40" x14ac:dyDescent="0.25">
      <c r="A6869" t="str">
        <f>"20190304155237670"</f>
        <v>20190304155237670</v>
      </c>
      <c r="B6869" t="str">
        <f>"1551685957663959"</f>
        <v>1551685957663959</v>
      </c>
      <c r="C6869" t="s">
        <v>40</v>
      </c>
      <c r="D6869">
        <v>4.8687310000000004</v>
      </c>
      <c r="E6869">
        <v>0.43146879999999999</v>
      </c>
      <c r="F6869" t="s">
        <v>77</v>
      </c>
      <c r="G6869">
        <v>-199.29910000000001</v>
      </c>
      <c r="H6869" s="1">
        <v>-9.6380589999999996E-6</v>
      </c>
      <c r="I6869">
        <v>-53.474299999999999</v>
      </c>
      <c r="J6869">
        <v>-229.03319999999999</v>
      </c>
      <c r="K6869">
        <v>1.1106720000000001</v>
      </c>
      <c r="L6869">
        <v>-63.135590000000001</v>
      </c>
      <c r="M6869">
        <v>0.99989620000000001</v>
      </c>
      <c r="N6869">
        <v>-1.360051E-2</v>
      </c>
      <c r="O6869">
        <v>-4.7374829999999998E-3</v>
      </c>
      <c r="P6869">
        <v>0.97232289999999999</v>
      </c>
      <c r="Q6869">
        <v>0.18632280000000001</v>
      </c>
      <c r="R6869">
        <v>0.1409685</v>
      </c>
      <c r="S6869">
        <v>2.9682309999999998</v>
      </c>
      <c r="T6869">
        <v>-0.1103572</v>
      </c>
      <c r="U6869">
        <v>0.95989990000000003</v>
      </c>
      <c r="V6869">
        <v>-0.14560989999999999</v>
      </c>
      <c r="W6869">
        <v>0.19949420000000001</v>
      </c>
      <c r="X6869">
        <v>0.96901999999999999</v>
      </c>
      <c r="Y6869">
        <v>-0.31193179999999998</v>
      </c>
      <c r="Z6869">
        <v>7.9366599999999999E-3</v>
      </c>
      <c r="AA6869">
        <v>0.95007129999999995</v>
      </c>
      <c r="AB6869">
        <v>27</v>
      </c>
      <c r="AC6869">
        <v>29.734099999999899</v>
      </c>
      <c r="AD6869">
        <v>-1.1106816380590001</v>
      </c>
      <c r="AE6869">
        <v>9.6612899999999993</v>
      </c>
      <c r="AF6869">
        <v>-9.7897041624441297</v>
      </c>
      <c r="AG6869">
        <v>-1.1106816380590001</v>
      </c>
      <c r="AH6869">
        <v>29.6505709074079</v>
      </c>
      <c r="AI6869">
        <v>92.037173610792294</v>
      </c>
      <c r="AJ6869">
        <v>108.271629960265</v>
      </c>
      <c r="AK6869">
        <v>31.2446519651687</v>
      </c>
      <c r="AL6869">
        <v>78.492616853899307</v>
      </c>
      <c r="AM6869">
        <v>98.545620648366594</v>
      </c>
      <c r="AN6869">
        <v>0.99999996960582405</v>
      </c>
    </row>
    <row r="6870" spans="1:40" x14ac:dyDescent="0.25">
      <c r="A6870" t="str">
        <f>"20190304155237680"</f>
        <v>20190304155237680</v>
      </c>
      <c r="B6870" t="str">
        <f>"1551685957673719"</f>
        <v>1551685957673719</v>
      </c>
      <c r="C6870" t="s">
        <v>40</v>
      </c>
      <c r="D6870">
        <v>4.8742549999999998</v>
      </c>
      <c r="E6870">
        <v>0.43141839999999998</v>
      </c>
      <c r="F6870" t="s">
        <v>77</v>
      </c>
      <c r="G6870">
        <v>-199.25550000000001</v>
      </c>
      <c r="H6870" s="1">
        <v>-9.6375560000000003E-6</v>
      </c>
      <c r="I6870">
        <v>-53.461750000000002</v>
      </c>
      <c r="J6870">
        <v>-228.8998</v>
      </c>
      <c r="K6870">
        <v>1.1106959999999999</v>
      </c>
      <c r="L6870">
        <v>-63.136110000000002</v>
      </c>
      <c r="M6870">
        <v>0.99989689999999998</v>
      </c>
      <c r="N6870">
        <v>-1.3596560000000001E-2</v>
      </c>
      <c r="O6870">
        <v>-4.6462639999999998E-3</v>
      </c>
      <c r="P6870">
        <v>0.97211460000000005</v>
      </c>
      <c r="Q6870">
        <v>0.18645709999999999</v>
      </c>
      <c r="R6870">
        <v>0.14222290000000001</v>
      </c>
      <c r="S6870">
        <v>2.9668580000000002</v>
      </c>
      <c r="T6870">
        <v>-0.11066090000000001</v>
      </c>
      <c r="U6870">
        <v>0.96383669999999999</v>
      </c>
      <c r="V6870">
        <v>-0.1467849</v>
      </c>
      <c r="W6870">
        <v>0.19961380000000001</v>
      </c>
      <c r="X6870">
        <v>0.96881810000000002</v>
      </c>
      <c r="Y6870">
        <v>-0.313112</v>
      </c>
      <c r="Z6870">
        <v>7.9815200000000006E-3</v>
      </c>
      <c r="AA6870">
        <v>0.94968269999999999</v>
      </c>
      <c r="AB6870">
        <v>27</v>
      </c>
      <c r="AC6870">
        <v>29.644299999999902</v>
      </c>
      <c r="AD6870">
        <v>-1.1107056375559901</v>
      </c>
      <c r="AE6870">
        <v>9.6743599999999894</v>
      </c>
      <c r="AF6870">
        <v>-9.7995706853044204</v>
      </c>
      <c r="AG6870">
        <v>-1.1107056375559901</v>
      </c>
      <c r="AH6870">
        <v>29.561521135244501</v>
      </c>
      <c r="AI6870">
        <v>92.042540678939901</v>
      </c>
      <c r="AJ6870">
        <v>108.340230372072</v>
      </c>
      <c r="AK6870">
        <v>31.1632601705772</v>
      </c>
      <c r="AL6870">
        <v>78.485623900741999</v>
      </c>
      <c r="AM6870">
        <v>98.615317425288097</v>
      </c>
      <c r="AN6870">
        <v>0.99999999345302903</v>
      </c>
    </row>
    <row r="6871" spans="1:40" x14ac:dyDescent="0.25">
      <c r="A6871" t="str">
        <f>"20190304155237693"</f>
        <v>20190304155237693</v>
      </c>
      <c r="B6871" t="str">
        <f>"1551685957683479"</f>
        <v>1551685957683479</v>
      </c>
      <c r="C6871" t="s">
        <v>40</v>
      </c>
      <c r="D6871">
        <v>4.8778430000000004</v>
      </c>
      <c r="E6871">
        <v>0.4314364</v>
      </c>
      <c r="F6871" t="s">
        <v>77</v>
      </c>
      <c r="G6871">
        <v>-198.8288</v>
      </c>
      <c r="H6871" s="1">
        <v>-9.6395809999999997E-6</v>
      </c>
      <c r="I6871">
        <v>-53.31926</v>
      </c>
      <c r="J6871">
        <v>-228.7627</v>
      </c>
      <c r="K6871">
        <v>1.110722</v>
      </c>
      <c r="L6871">
        <v>-63.136659999999999</v>
      </c>
      <c r="M6871">
        <v>0.99989740000000005</v>
      </c>
      <c r="N6871">
        <v>-1.359263E-2</v>
      </c>
      <c r="O6871">
        <v>-4.5378409999999999E-3</v>
      </c>
      <c r="P6871">
        <v>0.97197120000000004</v>
      </c>
      <c r="Q6871">
        <v>0.1862489</v>
      </c>
      <c r="R6871">
        <v>0.14347089999999901</v>
      </c>
      <c r="S6871">
        <v>2.9654240000000001</v>
      </c>
      <c r="T6871">
        <v>-0.1095312</v>
      </c>
      <c r="U6871">
        <v>0.96807860000000001</v>
      </c>
      <c r="V6871">
        <v>-0.14793970000000001</v>
      </c>
      <c r="W6871">
        <v>0.19939090000000001</v>
      </c>
      <c r="X6871">
        <v>0.96868840000000001</v>
      </c>
      <c r="Y6871">
        <v>-0.31437559999999998</v>
      </c>
      <c r="Z6871">
        <v>7.9521119999999904E-3</v>
      </c>
      <c r="AA6871">
        <v>0.94926540000000004</v>
      </c>
      <c r="AB6871">
        <v>27</v>
      </c>
      <c r="AC6871">
        <v>29.933899999999898</v>
      </c>
      <c r="AD6871">
        <v>-1.1107316395810001</v>
      </c>
      <c r="AE6871">
        <v>9.8173999999999992</v>
      </c>
      <c r="AF6871">
        <v>-9.9407888450073099</v>
      </c>
      <c r="AG6871">
        <v>-1.1107316395810001</v>
      </c>
      <c r="AH6871">
        <v>29.851927459582601</v>
      </c>
      <c r="AI6871">
        <v>92.021823905138803</v>
      </c>
      <c r="AJ6871">
        <v>108.417925963288</v>
      </c>
      <c r="AK6871">
        <v>31.483179329419301</v>
      </c>
      <c r="AL6871">
        <v>78.498657804321596</v>
      </c>
      <c r="AM6871">
        <v>98.683212552874593</v>
      </c>
      <c r="AN6871">
        <v>1.00000005106672</v>
      </c>
    </row>
    <row r="6872" spans="1:40" x14ac:dyDescent="0.25">
      <c r="A6872" t="str">
        <f>"20190304155237703"</f>
        <v>20190304155237703</v>
      </c>
      <c r="B6872" t="str">
        <f>"1551685957693239"</f>
        <v>1551685957693239</v>
      </c>
      <c r="C6872" t="s">
        <v>40</v>
      </c>
      <c r="D6872">
        <v>4.8011350000000004</v>
      </c>
      <c r="E6872">
        <v>0.43155789999999999</v>
      </c>
      <c r="F6872" t="s">
        <v>77</v>
      </c>
      <c r="G6872">
        <v>-198.8373</v>
      </c>
      <c r="H6872" s="1">
        <v>-9.6382929999999997E-6</v>
      </c>
      <c r="I6872">
        <v>-53.325650000000003</v>
      </c>
      <c r="J6872">
        <v>-228.62190000000001</v>
      </c>
      <c r="K6872">
        <v>1.1107530000000001</v>
      </c>
      <c r="L6872">
        <v>-63.137180000000001</v>
      </c>
      <c r="M6872">
        <v>0.99989810000000001</v>
      </c>
      <c r="N6872">
        <v>-1.358878E-2</v>
      </c>
      <c r="O6872">
        <v>-4.4062440000000001E-3</v>
      </c>
      <c r="P6872">
        <v>0.97175480000000003</v>
      </c>
      <c r="Q6872">
        <v>0.18646799999999999</v>
      </c>
      <c r="R6872">
        <v>0.14464549999999901</v>
      </c>
      <c r="S6872">
        <v>2.964172</v>
      </c>
      <c r="T6872">
        <v>-0.1100204</v>
      </c>
      <c r="U6872">
        <v>0.97180180000000005</v>
      </c>
      <c r="V6872">
        <v>-0.1489984</v>
      </c>
      <c r="W6872">
        <v>0.1995933</v>
      </c>
      <c r="X6872">
        <v>0.96848440000000002</v>
      </c>
      <c r="Y6872">
        <v>-0.31544260000000002</v>
      </c>
      <c r="Z6872">
        <v>8.0028900000000004E-3</v>
      </c>
      <c r="AA6872">
        <v>0.9489109</v>
      </c>
      <c r="AB6872">
        <v>27</v>
      </c>
      <c r="AC6872">
        <v>29.784600000000001</v>
      </c>
      <c r="AD6872">
        <v>-1.110762638293</v>
      </c>
      <c r="AE6872">
        <v>9.8115299999999994</v>
      </c>
      <c r="AF6872">
        <v>-9.9302262425754808</v>
      </c>
      <c r="AG6872">
        <v>-1.110762638293</v>
      </c>
      <c r="AH6872">
        <v>29.703807394348601</v>
      </c>
      <c r="AI6872">
        <v>92.031158828332707</v>
      </c>
      <c r="AJ6872">
        <v>108.48520403944801</v>
      </c>
      <c r="AK6872">
        <v>31.339421829190201</v>
      </c>
      <c r="AL6872">
        <v>78.486822905134702</v>
      </c>
      <c r="AM6872">
        <v>98.746208496456006</v>
      </c>
      <c r="AN6872">
        <v>1.0000000208254001</v>
      </c>
    </row>
    <row r="6873" spans="1:40" x14ac:dyDescent="0.25">
      <c r="A6873" t="str">
        <f>"20190304155237714"</f>
        <v>20190304155237714</v>
      </c>
      <c r="B6873" t="str">
        <f>"1551685957703975"</f>
        <v>1551685957703975</v>
      </c>
      <c r="C6873" t="s">
        <v>40</v>
      </c>
      <c r="D6873">
        <v>4.7687720000000002</v>
      </c>
      <c r="E6873">
        <v>0.43169780000000002</v>
      </c>
      <c r="F6873" t="s">
        <v>77</v>
      </c>
      <c r="G6873">
        <v>-198.833</v>
      </c>
      <c r="H6873" s="1">
        <v>-9.6322510000000002E-6</v>
      </c>
      <c r="I6873">
        <v>-53.341479999999997</v>
      </c>
      <c r="J6873">
        <v>-228.48929999999999</v>
      </c>
      <c r="K6873">
        <v>1.1107819999999999</v>
      </c>
      <c r="L6873">
        <v>-63.137599999999999</v>
      </c>
      <c r="M6873">
        <v>0.99989879999999998</v>
      </c>
      <c r="N6873">
        <v>-1.3585399999999999E-2</v>
      </c>
      <c r="O6873">
        <v>-4.2545969999999997E-3</v>
      </c>
      <c r="P6873">
        <v>0.97155449999999999</v>
      </c>
      <c r="Q6873">
        <v>0.18679390000000001</v>
      </c>
      <c r="R6873">
        <v>0.14556820000000001</v>
      </c>
      <c r="S6873">
        <v>2.9633479999999999</v>
      </c>
      <c r="T6873">
        <v>-0.1104965</v>
      </c>
      <c r="U6873">
        <v>0.97445680000000001</v>
      </c>
      <c r="V6873">
        <v>-0.14978720000000001</v>
      </c>
      <c r="W6873">
        <v>0.19990260000000001</v>
      </c>
      <c r="X6873">
        <v>0.96829889999999996</v>
      </c>
      <c r="Y6873">
        <v>-0.31614140000000002</v>
      </c>
      <c r="Z6873">
        <v>8.0428519999999996E-3</v>
      </c>
      <c r="AA6873">
        <v>0.94867800000000002</v>
      </c>
      <c r="AB6873">
        <v>27</v>
      </c>
      <c r="AC6873">
        <v>29.656299999999899</v>
      </c>
      <c r="AD6873">
        <v>-1.1107916322510001</v>
      </c>
      <c r="AE6873">
        <v>9.7961199999999895</v>
      </c>
      <c r="AF6873">
        <v>-9.9096838089458501</v>
      </c>
      <c r="AG6873">
        <v>-1.1107916322510001</v>
      </c>
      <c r="AH6873">
        <v>29.5769373276243</v>
      </c>
      <c r="AI6873">
        <v>92.039463764259494</v>
      </c>
      <c r="AJ6873">
        <v>108.523304917552</v>
      </c>
      <c r="AK6873">
        <v>31.212672313113199</v>
      </c>
      <c r="AL6873">
        <v>78.468736679358599</v>
      </c>
      <c r="AM6873">
        <v>98.7934474769161</v>
      </c>
      <c r="AN6873">
        <v>1.0000000072559001</v>
      </c>
    </row>
    <row r="6874" spans="1:40" x14ac:dyDescent="0.25">
      <c r="A6874" t="str">
        <f>"20190304155237725"</f>
        <v>20190304155237725</v>
      </c>
      <c r="B6874" t="str">
        <f>"1551685957713735"</f>
        <v>1551685957713735</v>
      </c>
      <c r="C6874" t="s">
        <v>40</v>
      </c>
      <c r="D6874">
        <v>4.9049740000000002</v>
      </c>
      <c r="E6874">
        <v>0.431591</v>
      </c>
      <c r="F6874" t="s">
        <v>77</v>
      </c>
      <c r="G6874">
        <v>-198.6925</v>
      </c>
      <c r="H6874" s="1">
        <v>-9.6247520000000001E-6</v>
      </c>
      <c r="I6874">
        <v>-53.317819999999998</v>
      </c>
      <c r="J6874">
        <v>-228.35419999999999</v>
      </c>
      <c r="K6874">
        <v>1.1108150000000001</v>
      </c>
      <c r="L6874">
        <v>-63.137999999999998</v>
      </c>
      <c r="M6874">
        <v>0.99989939999999999</v>
      </c>
      <c r="N6874">
        <v>-1.358207E-2</v>
      </c>
      <c r="O6874">
        <v>-4.0850330000000001E-3</v>
      </c>
      <c r="P6874">
        <v>0.97136389999999995</v>
      </c>
      <c r="Q6874">
        <v>0.18691569999999999</v>
      </c>
      <c r="R6874">
        <v>0.1466787</v>
      </c>
      <c r="S6874">
        <v>2.9627840000000001</v>
      </c>
      <c r="T6874">
        <v>-0.1104493</v>
      </c>
      <c r="U6874">
        <v>0.97640990000000005</v>
      </c>
      <c r="V6874">
        <v>-0.15074799999999999</v>
      </c>
      <c r="W6874">
        <v>0.2000063</v>
      </c>
      <c r="X6874">
        <v>0.9681284</v>
      </c>
      <c r="Y6874">
        <v>-0.3165984</v>
      </c>
      <c r="Z6874">
        <v>8.0480810000000003E-3</v>
      </c>
      <c r="AA6874">
        <v>0.94852550000000002</v>
      </c>
      <c r="AB6874">
        <v>27</v>
      </c>
      <c r="AC6874">
        <v>29.6617</v>
      </c>
      <c r="AD6874">
        <v>-1.1108246247519999</v>
      </c>
      <c r="AE6874">
        <v>9.8201800000000006</v>
      </c>
      <c r="AF6874">
        <v>-9.9287288624612806</v>
      </c>
      <c r="AG6874">
        <v>-1.1108246247519999</v>
      </c>
      <c r="AH6874">
        <v>29.583940467816198</v>
      </c>
      <c r="AI6874">
        <v>92.038695287768206</v>
      </c>
      <c r="AJ6874">
        <v>108.552376551265</v>
      </c>
      <c r="AK6874">
        <v>31.225360234503601</v>
      </c>
      <c r="AL6874">
        <v>78.462673018857799</v>
      </c>
      <c r="AM6874">
        <v>98.850496304212101</v>
      </c>
      <c r="AN6874">
        <v>1.00000003921512</v>
      </c>
    </row>
    <row r="6875" spans="1:40" x14ac:dyDescent="0.25">
      <c r="A6875" t="str">
        <f>"20190304155237737"</f>
        <v>20190304155237737</v>
      </c>
      <c r="B6875" t="str">
        <f>"1551685957733255"</f>
        <v>1551685957733255</v>
      </c>
      <c r="C6875" t="s">
        <v>40</v>
      </c>
      <c r="D6875">
        <v>4.7501290000000003</v>
      </c>
      <c r="E6875">
        <v>0.43139359999999999</v>
      </c>
      <c r="F6875" t="s">
        <v>77</v>
      </c>
      <c r="G6875">
        <v>-198.23429999999999</v>
      </c>
      <c r="H6875" s="1">
        <v>-9.6282980000000002E-6</v>
      </c>
      <c r="I6875">
        <v>-53.160910000000001</v>
      </c>
      <c r="J6875">
        <v>-228.2183</v>
      </c>
      <c r="K6875">
        <v>1.110846</v>
      </c>
      <c r="L6875">
        <v>-63.138339999999999</v>
      </c>
      <c r="M6875">
        <v>0.99990040000000002</v>
      </c>
      <c r="N6875">
        <v>-1.357907E-2</v>
      </c>
      <c r="O6875">
        <v>-3.8723519999999999E-3</v>
      </c>
      <c r="P6875">
        <v>0.97121849999999998</v>
      </c>
      <c r="Q6875">
        <v>0.18681490000000001</v>
      </c>
      <c r="R6875">
        <v>0.14776700000000001</v>
      </c>
      <c r="S6875">
        <v>2.961319</v>
      </c>
      <c r="T6875">
        <v>-0.1092139</v>
      </c>
      <c r="U6875">
        <v>0.98092650000000003</v>
      </c>
      <c r="V6875">
        <v>-0.1516477</v>
      </c>
      <c r="W6875">
        <v>0.1998867</v>
      </c>
      <c r="X6875">
        <v>0.96801250000000005</v>
      </c>
      <c r="Y6875">
        <v>-0.31784420000000002</v>
      </c>
      <c r="Z6875">
        <v>8.0098430000000009E-3</v>
      </c>
      <c r="AA6875">
        <v>0.94810910000000004</v>
      </c>
      <c r="AB6875">
        <v>27</v>
      </c>
      <c r="AC6875">
        <v>29.984000000000002</v>
      </c>
      <c r="AD6875">
        <v>-1.110855628298</v>
      </c>
      <c r="AE6875">
        <v>9.9774299999999894</v>
      </c>
      <c r="AF6875">
        <v>-10.081016926537099</v>
      </c>
      <c r="AG6875">
        <v>-1.110855628298</v>
      </c>
      <c r="AH6875">
        <v>29.908176639088499</v>
      </c>
      <c r="AI6875">
        <v>92.015783521714994</v>
      </c>
      <c r="AJ6875">
        <v>108.627190672464</v>
      </c>
      <c r="AK6875">
        <v>31.581005879720902</v>
      </c>
      <c r="AL6875">
        <v>78.469665882809394</v>
      </c>
      <c r="AM6875">
        <v>98.903523377685104</v>
      </c>
      <c r="AN6875">
        <v>0.99999995895421401</v>
      </c>
    </row>
    <row r="6876" spans="1:40" x14ac:dyDescent="0.25">
      <c r="A6876" t="str">
        <f>"20190304155237748"</f>
        <v>20190304155237748</v>
      </c>
      <c r="B6876" t="str">
        <f>"1551685957743991"</f>
        <v>1551685957743991</v>
      </c>
      <c r="C6876" t="s">
        <v>40</v>
      </c>
      <c r="D6876">
        <v>4.844239</v>
      </c>
      <c r="E6876">
        <v>0.43114960000000002</v>
      </c>
      <c r="F6876" t="s">
        <v>77</v>
      </c>
      <c r="G6876">
        <v>-198.3672</v>
      </c>
      <c r="H6876" s="1">
        <v>-9.6308290000000004E-6</v>
      </c>
      <c r="I6876">
        <v>-53.196260000000002</v>
      </c>
      <c r="J6876">
        <v>-228.08179999999999</v>
      </c>
      <c r="K6876">
        <v>1.110886</v>
      </c>
      <c r="L6876">
        <v>-63.138669999999998</v>
      </c>
      <c r="M6876">
        <v>0.99990129999999999</v>
      </c>
      <c r="N6876">
        <v>-1.3576120000000001E-2</v>
      </c>
      <c r="O6876">
        <v>-3.647731E-3</v>
      </c>
      <c r="P6876">
        <v>0.97112560000000003</v>
      </c>
      <c r="Q6876">
        <v>0.18664420000000001</v>
      </c>
      <c r="R6876">
        <v>0.14859020000000001</v>
      </c>
      <c r="S6876">
        <v>2.960083</v>
      </c>
      <c r="T6876">
        <v>-0.110154</v>
      </c>
      <c r="U6876">
        <v>0.98587040000000004</v>
      </c>
      <c r="V6876">
        <v>-0.15227170000000001</v>
      </c>
      <c r="W6876">
        <v>0.1996975</v>
      </c>
      <c r="X6876">
        <v>0.96795359999999997</v>
      </c>
      <c r="Y6876">
        <v>-0.31917000000000001</v>
      </c>
      <c r="Z6876">
        <v>8.0891790000000002E-3</v>
      </c>
      <c r="AA6876">
        <v>0.94766289999999997</v>
      </c>
      <c r="AB6876">
        <v>27</v>
      </c>
      <c r="AC6876">
        <v>29.714599999999901</v>
      </c>
      <c r="AD6876">
        <v>-1.1108956308289999</v>
      </c>
      <c r="AE6876">
        <v>9.9424100000000006</v>
      </c>
      <c r="AF6876">
        <v>-10.0381272183627</v>
      </c>
      <c r="AG6876">
        <v>-1.1108956308289999</v>
      </c>
      <c r="AH6876">
        <v>29.640874469306102</v>
      </c>
      <c r="AI6876">
        <v>92.033038569841494</v>
      </c>
      <c r="AJ6876">
        <v>108.709095452824</v>
      </c>
      <c r="AK6876">
        <v>31.314206463836701</v>
      </c>
      <c r="AL6876">
        <v>78.480729395237205</v>
      </c>
      <c r="AM6876">
        <v>98.940104278625995</v>
      </c>
      <c r="AN6876">
        <v>0.999999966940049</v>
      </c>
    </row>
    <row r="6877" spans="1:40" x14ac:dyDescent="0.25">
      <c r="A6877" t="str">
        <f>"20190304155237761"</f>
        <v>20190304155237761</v>
      </c>
      <c r="B6877" t="str">
        <f>"1551685957753751"</f>
        <v>1551685957753751</v>
      </c>
      <c r="C6877" t="s">
        <v>40</v>
      </c>
      <c r="D6877">
        <v>4.8639650000000003</v>
      </c>
      <c r="E6877">
        <v>0.43094450000000001</v>
      </c>
      <c r="F6877" t="s">
        <v>77</v>
      </c>
      <c r="G6877">
        <v>-198.24700000000001</v>
      </c>
      <c r="H6877" s="1">
        <v>-9.6323159999999997E-6</v>
      </c>
      <c r="I6877">
        <v>-53.153530000000003</v>
      </c>
      <c r="J6877">
        <v>-227.91560000000001</v>
      </c>
      <c r="K6877">
        <v>1.110941</v>
      </c>
      <c r="L6877">
        <v>-63.138950000000001</v>
      </c>
      <c r="M6877">
        <v>0.99990250000000003</v>
      </c>
      <c r="N6877">
        <v>-1.357299E-2</v>
      </c>
      <c r="O6877">
        <v>-3.3075880000000002E-3</v>
      </c>
      <c r="P6877">
        <v>0.97095279999999995</v>
      </c>
      <c r="Q6877">
        <v>0.18663299999999999</v>
      </c>
      <c r="R6877">
        <v>0.149729799999999</v>
      </c>
      <c r="S6877">
        <v>2.9588320000000001</v>
      </c>
      <c r="T6877">
        <v>-0.110171699999999</v>
      </c>
      <c r="U6877">
        <v>0.9902649</v>
      </c>
      <c r="V6877">
        <v>-0.15310739999999901</v>
      </c>
      <c r="W6877">
        <v>0.19966010000000001</v>
      </c>
      <c r="X6877">
        <v>0.96782950000000001</v>
      </c>
      <c r="Y6877">
        <v>-0.32023289999999999</v>
      </c>
      <c r="Z6877">
        <v>8.1100129999999993E-3</v>
      </c>
      <c r="AA6877">
        <v>0.94730409999999998</v>
      </c>
      <c r="AB6877">
        <v>27</v>
      </c>
      <c r="AC6877">
        <v>29.668600000000001</v>
      </c>
      <c r="AD6877">
        <v>-1.1109506323160001</v>
      </c>
      <c r="AE6877">
        <v>9.9854199999999906</v>
      </c>
      <c r="AF6877">
        <v>-10.0708218715071</v>
      </c>
      <c r="AG6877">
        <v>-1.1109506323160001</v>
      </c>
      <c r="AH6877">
        <v>29.598128629043501</v>
      </c>
      <c r="AI6877">
        <v>92.035086327751202</v>
      </c>
      <c r="AJ6877">
        <v>108.79097359885</v>
      </c>
      <c r="AK6877">
        <v>31.284259345819201</v>
      </c>
      <c r="AL6877">
        <v>78.482916524277101</v>
      </c>
      <c r="AM6877">
        <v>98.989504293825107</v>
      </c>
      <c r="AN6877">
        <v>0.99999998626850894</v>
      </c>
    </row>
    <row r="6878" spans="1:40" x14ac:dyDescent="0.25">
      <c r="A6878" t="str">
        <f>"20190304155237771"</f>
        <v>20190304155237771</v>
      </c>
      <c r="B6878" t="str">
        <f>"1551685957763840"</f>
        <v>1551685957763840</v>
      </c>
      <c r="C6878" t="s">
        <v>40</v>
      </c>
      <c r="D6878">
        <v>4.8245969999999998</v>
      </c>
      <c r="E6878">
        <v>0.43074289999999998</v>
      </c>
      <c r="F6878" t="s">
        <v>77</v>
      </c>
      <c r="G6878">
        <v>-197.9622</v>
      </c>
      <c r="H6878" s="1">
        <v>-9.6350410000000006E-6</v>
      </c>
      <c r="I6878">
        <v>-53.054490000000001</v>
      </c>
      <c r="J6878">
        <v>-227.7954</v>
      </c>
      <c r="K6878">
        <v>1.110981</v>
      </c>
      <c r="L6878">
        <v>-63.139099999999999</v>
      </c>
      <c r="M6878">
        <v>0.99990349999999995</v>
      </c>
      <c r="N6878">
        <v>-1.3570850000000001E-2</v>
      </c>
      <c r="O6878">
        <v>-3.0425420000000001E-3</v>
      </c>
      <c r="P6878">
        <v>0.97078960000000003</v>
      </c>
      <c r="Q6878">
        <v>0.1866409</v>
      </c>
      <c r="R6878">
        <v>0.15077550000000001</v>
      </c>
      <c r="S6878">
        <v>2.9572910000000001</v>
      </c>
      <c r="T6878">
        <v>-0.1096839</v>
      </c>
      <c r="U6878">
        <v>0.99563599999999997</v>
      </c>
      <c r="V6878">
        <v>-0.15391529999999901</v>
      </c>
      <c r="W6878">
        <v>0.19964789999999999</v>
      </c>
      <c r="X6878">
        <v>0.96770389999999995</v>
      </c>
      <c r="Y6878">
        <v>-0.32167709999999999</v>
      </c>
      <c r="Z6878">
        <v>8.1154299999999999E-3</v>
      </c>
      <c r="AA6878">
        <v>0.94681470000000001</v>
      </c>
      <c r="AB6878">
        <v>27</v>
      </c>
      <c r="AC6878">
        <v>29.833200000000001</v>
      </c>
      <c r="AD6878">
        <v>-1.1109906350409999</v>
      </c>
      <c r="AE6878">
        <v>10.0846099999999</v>
      </c>
      <c r="AF6878">
        <v>-10.162691865277999</v>
      </c>
      <c r="AG6878">
        <v>-1.1109906350409999</v>
      </c>
      <c r="AH6878">
        <v>29.765330096934299</v>
      </c>
      <c r="AI6878">
        <v>92.023011433080399</v>
      </c>
      <c r="AJ6878">
        <v>108.851297973819</v>
      </c>
      <c r="AK6878">
        <v>31.4720428621848</v>
      </c>
      <c r="AL6878">
        <v>78.483630298743904</v>
      </c>
      <c r="AM6878">
        <v>99.037311919015394</v>
      </c>
      <c r="AN6878">
        <v>1.00000002081185</v>
      </c>
    </row>
    <row r="6879" spans="1:40" x14ac:dyDescent="0.25">
      <c r="A6879" t="str">
        <f>"20190304155237782"</f>
        <v>20190304155237782</v>
      </c>
      <c r="B6879" t="str">
        <f>"1551685957763840"</f>
        <v>1551685957763840</v>
      </c>
      <c r="C6879" t="s">
        <v>40</v>
      </c>
      <c r="D6879">
        <v>4.8245969999999998</v>
      </c>
      <c r="E6879">
        <v>0.43074289999999998</v>
      </c>
      <c r="F6879" t="s">
        <v>77</v>
      </c>
      <c r="G6879">
        <v>-197.7681</v>
      </c>
      <c r="H6879" s="1">
        <v>-9.6396539999999994E-6</v>
      </c>
      <c r="I6879">
        <v>-52.979140000000001</v>
      </c>
      <c r="J6879">
        <v>-227.66980000000001</v>
      </c>
      <c r="K6879">
        <v>1.1110260000000001</v>
      </c>
      <c r="L6879">
        <v>-63.139159999999997</v>
      </c>
      <c r="M6879">
        <v>0.99990420000000002</v>
      </c>
      <c r="N6879">
        <v>-1.3568790000000001E-2</v>
      </c>
      <c r="O6879">
        <v>-2.7348939999999999E-3</v>
      </c>
      <c r="P6879">
        <v>0.97065239999999997</v>
      </c>
      <c r="Q6879">
        <v>0.1865734</v>
      </c>
      <c r="R6879">
        <v>0.15173819999999999</v>
      </c>
      <c r="S6879">
        <v>2.955994</v>
      </c>
      <c r="T6879">
        <v>-0.10936989999999901</v>
      </c>
      <c r="U6879">
        <v>1.000183</v>
      </c>
      <c r="V6879">
        <v>-0.15460099999999999</v>
      </c>
      <c r="W6879">
        <v>0.19956009999999999</v>
      </c>
      <c r="X6879">
        <v>0.96761269999999999</v>
      </c>
      <c r="Y6879">
        <v>-0.32281900000000002</v>
      </c>
      <c r="Z6879">
        <v>8.1212739999999995E-3</v>
      </c>
      <c r="AA6879">
        <v>0.94642590000000004</v>
      </c>
      <c r="AB6879">
        <v>27</v>
      </c>
      <c r="AC6879">
        <v>29.901700000000002</v>
      </c>
      <c r="AD6879">
        <v>-1.111035639654</v>
      </c>
      <c r="AE6879">
        <v>10.1600199999999</v>
      </c>
      <c r="AF6879">
        <v>-10.229106987218</v>
      </c>
      <c r="AG6879">
        <v>-1.111035639654</v>
      </c>
      <c r="AH6879">
        <v>29.836870060903301</v>
      </c>
      <c r="AI6879">
        <v>92.017377539776305</v>
      </c>
      <c r="AJ6879">
        <v>108.923481052919</v>
      </c>
      <c r="AK6879">
        <v>31.561176229344898</v>
      </c>
      <c r="AL6879">
        <v>78.488764168988993</v>
      </c>
      <c r="AM6879">
        <v>99.077746027784301</v>
      </c>
      <c r="AN6879">
        <v>1.0000000199571399</v>
      </c>
    </row>
    <row r="6880" spans="1:40" x14ac:dyDescent="0.25">
      <c r="A6880" t="str">
        <f>"20190304155237794"</f>
        <v>20190304155237794</v>
      </c>
      <c r="B6880" t="str">
        <f>"1551685957783360"</f>
        <v>1551685957783360</v>
      </c>
      <c r="C6880" t="s">
        <v>40</v>
      </c>
      <c r="D6880">
        <v>4.8688039999999999</v>
      </c>
      <c r="E6880">
        <v>0.43055549999999998</v>
      </c>
      <c r="F6880" t="s">
        <v>77</v>
      </c>
      <c r="G6880">
        <v>-197.72890000000001</v>
      </c>
      <c r="H6880" s="1">
        <v>-9.6364020000000002E-6</v>
      </c>
      <c r="I6880">
        <v>-52.975830000000002</v>
      </c>
      <c r="J6880">
        <v>-227.52350000000001</v>
      </c>
      <c r="K6880">
        <v>1.1110789999999999</v>
      </c>
      <c r="L6880">
        <v>-63.139189999999999</v>
      </c>
      <c r="M6880">
        <v>0.99990520000000005</v>
      </c>
      <c r="N6880">
        <v>-1.3569589999999999E-2</v>
      </c>
      <c r="O6880">
        <v>-2.342509E-3</v>
      </c>
      <c r="P6880">
        <v>0.97047879999999997</v>
      </c>
      <c r="Q6880">
        <v>0.1865145</v>
      </c>
      <c r="R6880">
        <v>0.15291660000000001</v>
      </c>
      <c r="S6880">
        <v>2.954971</v>
      </c>
      <c r="T6880">
        <v>-0.1096517</v>
      </c>
      <c r="U6880">
        <v>1.0030520000000001</v>
      </c>
      <c r="V6880">
        <v>-0.15542400000000001</v>
      </c>
      <c r="W6880">
        <v>0.1994793</v>
      </c>
      <c r="X6880">
        <v>0.96749750000000001</v>
      </c>
      <c r="Y6880">
        <v>-0.32336930000000003</v>
      </c>
      <c r="Z6880">
        <v>8.142814E-3</v>
      </c>
      <c r="AA6880">
        <v>0.94623780000000002</v>
      </c>
      <c r="AB6880">
        <v>27</v>
      </c>
      <c r="AC6880">
        <v>29.794599999999999</v>
      </c>
      <c r="AD6880">
        <v>-1.1110886364020001</v>
      </c>
      <c r="AE6880">
        <v>10.1633599999999</v>
      </c>
      <c r="AF6880">
        <v>-10.220400954021301</v>
      </c>
      <c r="AG6880">
        <v>-1.1110886364020001</v>
      </c>
      <c r="AH6880">
        <v>29.733668626523901</v>
      </c>
      <c r="AI6880">
        <v>92.023913036520398</v>
      </c>
      <c r="AJ6880">
        <v>108.969464044657</v>
      </c>
      <c r="AK6880">
        <v>31.4608036072004</v>
      </c>
      <c r="AL6880">
        <v>78.493488563108102</v>
      </c>
      <c r="AM6880">
        <v>99.126327635780598</v>
      </c>
      <c r="AN6880">
        <v>1.00000001170537</v>
      </c>
    </row>
    <row r="6881" spans="1:40" x14ac:dyDescent="0.25">
      <c r="A6881" t="str">
        <f>"20190304155237806"</f>
        <v>20190304155237806</v>
      </c>
      <c r="B6881" t="str">
        <f>"1551685957803855"</f>
        <v>1551685957803855</v>
      </c>
      <c r="C6881" t="s">
        <v>40</v>
      </c>
      <c r="D6881">
        <v>4.5187439999999999</v>
      </c>
      <c r="E6881">
        <v>0.43037809999999999</v>
      </c>
      <c r="F6881" t="s">
        <v>77</v>
      </c>
      <c r="G6881">
        <v>-197.56960000000001</v>
      </c>
      <c r="H6881" s="1">
        <v>-9.6396470000000002E-6</v>
      </c>
      <c r="I6881">
        <v>-52.915570000000002</v>
      </c>
      <c r="J6881">
        <v>-227.36699999999999</v>
      </c>
      <c r="K6881">
        <v>1.111143</v>
      </c>
      <c r="L6881">
        <v>-63.139130000000002</v>
      </c>
      <c r="M6881">
        <v>0.99990610000000002</v>
      </c>
      <c r="N6881">
        <v>-1.357353E-2</v>
      </c>
      <c r="O6881">
        <v>-1.8895279999999999E-3</v>
      </c>
      <c r="P6881">
        <v>0.97032609999999997</v>
      </c>
      <c r="Q6881">
        <v>0.1865916</v>
      </c>
      <c r="R6881">
        <v>0.1537876</v>
      </c>
      <c r="S6881">
        <v>2.9534760000000002</v>
      </c>
      <c r="T6881">
        <v>-0.10955429999999999</v>
      </c>
      <c r="U6881">
        <v>1.008057</v>
      </c>
      <c r="V6881">
        <v>-0.15588299999999999</v>
      </c>
      <c r="W6881">
        <v>0.19953670000000001</v>
      </c>
      <c r="X6881">
        <v>0.96741180000000004</v>
      </c>
      <c r="Y6881">
        <v>-0.324522599999999</v>
      </c>
      <c r="Z6881">
        <v>8.1585830000000005E-3</v>
      </c>
      <c r="AA6881">
        <v>0.94584270000000004</v>
      </c>
      <c r="AB6881">
        <v>27</v>
      </c>
      <c r="AC6881">
        <v>29.7974</v>
      </c>
      <c r="AD6881">
        <v>-1.111152639647</v>
      </c>
      <c r="AE6881">
        <v>10.223560000000001</v>
      </c>
      <c r="AF6881">
        <v>-10.2670766057268</v>
      </c>
      <c r="AG6881">
        <v>-1.111152639647</v>
      </c>
      <c r="AH6881">
        <v>29.741026275953701</v>
      </c>
      <c r="AI6881">
        <v>92.022605267649794</v>
      </c>
      <c r="AJ6881">
        <v>109.045490527865</v>
      </c>
      <c r="AK6881">
        <v>31.482950404360501</v>
      </c>
      <c r="AL6881">
        <v>78.490132146928403</v>
      </c>
      <c r="AM6881">
        <v>99.1536211708774</v>
      </c>
      <c r="AN6881">
        <v>0.99999999755756497</v>
      </c>
    </row>
    <row r="6882" spans="1:40" x14ac:dyDescent="0.25">
      <c r="A6882" t="str">
        <f>"20190304155237819"</f>
        <v>20190304155237819</v>
      </c>
      <c r="B6882" t="str">
        <f>"1551685957813616"</f>
        <v>1551685957813616</v>
      </c>
      <c r="C6882" t="s">
        <v>40</v>
      </c>
      <c r="D6882">
        <v>4.829523</v>
      </c>
      <c r="E6882">
        <v>0.43017430000000001</v>
      </c>
      <c r="F6882" t="s">
        <v>77</v>
      </c>
      <c r="G6882">
        <v>-197.2929</v>
      </c>
      <c r="H6882" s="1">
        <v>-9.6414030000000004E-6</v>
      </c>
      <c r="I6882">
        <v>-52.829720000000002</v>
      </c>
      <c r="J6882">
        <v>-227.2184</v>
      </c>
      <c r="K6882">
        <v>1.111202</v>
      </c>
      <c r="L6882">
        <v>-63.138890000000004</v>
      </c>
      <c r="M6882">
        <v>0.99990690000000004</v>
      </c>
      <c r="N6882">
        <v>-1.3581970000000001E-2</v>
      </c>
      <c r="O6882">
        <v>-1.391439E-3</v>
      </c>
      <c r="P6882">
        <v>0.97016519999999995</v>
      </c>
      <c r="Q6882">
        <v>0.18659339999999999</v>
      </c>
      <c r="R6882">
        <v>0.1547991</v>
      </c>
      <c r="S6882">
        <v>2.9523160000000002</v>
      </c>
      <c r="T6882">
        <v>-0.1090796</v>
      </c>
      <c r="U6882">
        <v>1.012054</v>
      </c>
      <c r="V6882">
        <v>-0.15643789999999999</v>
      </c>
      <c r="W6882">
        <v>0.1995236</v>
      </c>
      <c r="X6882">
        <v>0.96732490000000004</v>
      </c>
      <c r="Y6882">
        <v>-0.32531290000000002</v>
      </c>
      <c r="Z6882">
        <v>8.1441729999999993E-3</v>
      </c>
      <c r="AA6882">
        <v>0.94557139999999995</v>
      </c>
      <c r="AB6882">
        <v>27</v>
      </c>
      <c r="AC6882">
        <v>29.9255</v>
      </c>
      <c r="AD6882">
        <v>-1.111211641403</v>
      </c>
      <c r="AE6882">
        <v>10.30917</v>
      </c>
      <c r="AF6882">
        <v>-10.3380611359845</v>
      </c>
      <c r="AG6882">
        <v>-1.111211641403</v>
      </c>
      <c r="AH6882">
        <v>29.874303406363001</v>
      </c>
      <c r="AI6882">
        <v>92.013176895828096</v>
      </c>
      <c r="AJ6882">
        <v>109.088278634763</v>
      </c>
      <c r="AK6882">
        <v>31.632013900141999</v>
      </c>
      <c r="AL6882">
        <v>78.490897835746793</v>
      </c>
      <c r="AM6882">
        <v>99.186462126338796</v>
      </c>
      <c r="AN6882">
        <v>0.99999997283668896</v>
      </c>
    </row>
    <row r="6883" spans="1:40" x14ac:dyDescent="0.25">
      <c r="A6883" t="str">
        <f>"20190304155237833"</f>
        <v>20190304155237833</v>
      </c>
      <c r="B6883" t="str">
        <f>"1551685957823376"</f>
        <v>1551685957823376</v>
      </c>
      <c r="C6883" t="s">
        <v>40</v>
      </c>
      <c r="D6883">
        <v>4.8535719999999998</v>
      </c>
      <c r="E6883">
        <v>0.4302551</v>
      </c>
      <c r="F6883" t="s">
        <v>77</v>
      </c>
      <c r="G6883">
        <v>-196.9974</v>
      </c>
      <c r="H6883" s="1">
        <v>-9.6500859999999993E-6</v>
      </c>
      <c r="I6883">
        <v>-52.724670000000003</v>
      </c>
      <c r="J6883">
        <v>-227.05080000000001</v>
      </c>
      <c r="K6883">
        <v>1.1112690000000001</v>
      </c>
      <c r="L6883">
        <v>-63.1385199999999</v>
      </c>
      <c r="M6883">
        <v>0.99990730000000005</v>
      </c>
      <c r="N6883">
        <v>-1.359229E-2</v>
      </c>
      <c r="O6883">
        <v>-7.8930220000000004E-4</v>
      </c>
      <c r="P6883">
        <v>0.96998680000000004</v>
      </c>
      <c r="Q6883">
        <v>0.18666550000000001</v>
      </c>
      <c r="R6883">
        <v>0.15582589999999999</v>
      </c>
      <c r="S6883">
        <v>2.9508670000000001</v>
      </c>
      <c r="T6883">
        <v>-0.1085021</v>
      </c>
      <c r="U6883">
        <v>1.0168759999999999</v>
      </c>
      <c r="V6883">
        <v>-0.15691160000000001</v>
      </c>
      <c r="W6883">
        <v>0.1995797</v>
      </c>
      <c r="X6883">
        <v>0.9672366</v>
      </c>
      <c r="Y6883">
        <v>-0.32626929999999998</v>
      </c>
      <c r="Z6883">
        <v>8.1267449999999995E-3</v>
      </c>
      <c r="AA6883">
        <v>0.94524189999999997</v>
      </c>
      <c r="AB6883">
        <v>27</v>
      </c>
      <c r="AC6883">
        <v>30.0534</v>
      </c>
      <c r="AD6883">
        <v>-1.1112786500859999</v>
      </c>
      <c r="AE6883">
        <v>10.413849999999901</v>
      </c>
      <c r="AF6883">
        <v>-10.424844422217101</v>
      </c>
      <c r="AG6883">
        <v>-1.1112786500859999</v>
      </c>
      <c r="AH6883">
        <v>30.008538399107401</v>
      </c>
      <c r="AI6883">
        <v>92.0034667163481</v>
      </c>
      <c r="AJ6883">
        <v>109.15701941261101</v>
      </c>
      <c r="AK6883">
        <v>31.787178206255899</v>
      </c>
      <c r="AL6883">
        <v>78.487617576579495</v>
      </c>
      <c r="AM6883">
        <v>99.214629403019998</v>
      </c>
      <c r="AN6883">
        <v>0.999999973623104</v>
      </c>
    </row>
    <row r="6884" spans="1:40" x14ac:dyDescent="0.25">
      <c r="A6884" t="str">
        <f>"20190304155237842"</f>
        <v>20190304155237842</v>
      </c>
      <c r="B6884" t="str">
        <f>"1551685957834112"</f>
        <v>1551685957834112</v>
      </c>
      <c r="C6884" t="s">
        <v>40</v>
      </c>
      <c r="D6884">
        <v>4.5419879999999999</v>
      </c>
      <c r="E6884">
        <v>0.4301796</v>
      </c>
      <c r="F6884" t="s">
        <v>77</v>
      </c>
      <c r="G6884">
        <v>-197.04859999999999</v>
      </c>
      <c r="H6884" s="1">
        <v>-9.6379160000000001E-6</v>
      </c>
      <c r="I6884">
        <v>-52.772190000000002</v>
      </c>
      <c r="J6884">
        <v>-226.9152</v>
      </c>
      <c r="K6884">
        <v>1.1113280000000001</v>
      </c>
      <c r="L6884">
        <v>-63.138120000000001</v>
      </c>
      <c r="M6884">
        <v>0.99990760000000001</v>
      </c>
      <c r="N6884">
        <v>-1.3601200000000001E-2</v>
      </c>
      <c r="O6884">
        <v>-2.5669670000000002E-4</v>
      </c>
      <c r="P6884">
        <v>0.96989289999999995</v>
      </c>
      <c r="Q6884">
        <v>0.1864777</v>
      </c>
      <c r="R6884">
        <v>0.15663369999999999</v>
      </c>
      <c r="S6884">
        <v>2.9501040000000001</v>
      </c>
      <c r="T6884">
        <v>-0.1092716</v>
      </c>
      <c r="U6884">
        <v>1.0193179999999999</v>
      </c>
      <c r="V6884">
        <v>-0.15722849999999999</v>
      </c>
      <c r="W6884">
        <v>0.19937930000000001</v>
      </c>
      <c r="X6884">
        <v>0.96722649999999999</v>
      </c>
      <c r="Y6884">
        <v>-0.32653660000000001</v>
      </c>
      <c r="Z6884">
        <v>8.1652870000000002E-3</v>
      </c>
      <c r="AA6884">
        <v>0.94514929999999997</v>
      </c>
      <c r="AB6884">
        <v>27</v>
      </c>
      <c r="AC6884">
        <v>29.866599999999998</v>
      </c>
      <c r="AD6884">
        <v>-1.111337637916</v>
      </c>
      <c r="AE6884">
        <v>10.365929999999899</v>
      </c>
      <c r="AF6884">
        <v>-10.3607938716215</v>
      </c>
      <c r="AG6884">
        <v>-1.111337637916</v>
      </c>
      <c r="AH6884">
        <v>29.827079627391399</v>
      </c>
      <c r="AI6884">
        <v>92.015773265053397</v>
      </c>
      <c r="AJ6884">
        <v>109.15528388068201</v>
      </c>
      <c r="AK6884">
        <v>31.594869838225701</v>
      </c>
      <c r="AL6884">
        <v>78.499335509631607</v>
      </c>
      <c r="AM6884">
        <v>99.233013910731501</v>
      </c>
      <c r="AN6884">
        <v>1.0000000043914901</v>
      </c>
    </row>
    <row r="6885" spans="1:40" x14ac:dyDescent="0.25">
      <c r="A6885" t="str">
        <f>"20190304155237854"</f>
        <v>20190304155237854</v>
      </c>
      <c r="B6885" t="str">
        <f>"1551685957843873"</f>
        <v>1551685957843873</v>
      </c>
      <c r="C6885" t="s">
        <v>40</v>
      </c>
      <c r="D6885">
        <v>5.0245369999999996</v>
      </c>
      <c r="E6885">
        <v>0.4301796</v>
      </c>
      <c r="F6885" t="s">
        <v>77</v>
      </c>
      <c r="G6885">
        <v>-196.49639999999999</v>
      </c>
      <c r="H6885" s="1">
        <v>-9.6493019999999997E-6</v>
      </c>
      <c r="I6885">
        <v>-52.58916</v>
      </c>
      <c r="J6885">
        <v>-226.78829999999999</v>
      </c>
      <c r="K6885">
        <v>1.1113789999999999</v>
      </c>
      <c r="L6885">
        <v>-63.137599999999999</v>
      </c>
      <c r="M6885">
        <v>0.9999074</v>
      </c>
      <c r="N6885">
        <v>-1.3610860000000001E-2</v>
      </c>
      <c r="O6885">
        <v>2.8252639999999999E-4</v>
      </c>
      <c r="P6885">
        <v>0.96975990000000001</v>
      </c>
      <c r="Q6885">
        <v>0.18653819999999999</v>
      </c>
      <c r="R6885">
        <v>0.15738289999999999</v>
      </c>
      <c r="S6885">
        <v>2.9487000000000001</v>
      </c>
      <c r="T6885">
        <v>-0.1077297</v>
      </c>
      <c r="U6885">
        <v>1.022583</v>
      </c>
      <c r="V6885">
        <v>-0.15747910000000001</v>
      </c>
      <c r="W6885">
        <v>0.1994292</v>
      </c>
      <c r="X6885">
        <v>0.96717540000000002</v>
      </c>
      <c r="Y6885">
        <v>-0.32710660000000003</v>
      </c>
      <c r="Z6885">
        <v>8.0880239999999992E-3</v>
      </c>
      <c r="AA6885">
        <v>0.94495280000000004</v>
      </c>
      <c r="AB6885">
        <v>27</v>
      </c>
      <c r="AC6885">
        <v>30.291899999999998</v>
      </c>
      <c r="AD6885">
        <v>-1.111388649302</v>
      </c>
      <c r="AE6885">
        <v>10.548439999999999</v>
      </c>
      <c r="AF6885">
        <v>-10.5272422869967</v>
      </c>
      <c r="AG6885">
        <v>-1.111388649302</v>
      </c>
      <c r="AH6885">
        <v>30.2585530705346</v>
      </c>
      <c r="AI6885">
        <v>91.986806357217901</v>
      </c>
      <c r="AJ6885">
        <v>109.183278453909</v>
      </c>
      <c r="AK6885">
        <v>32.056794113281001</v>
      </c>
      <c r="AL6885">
        <v>78.496417379772893</v>
      </c>
      <c r="AM6885">
        <v>99.247956130469404</v>
      </c>
      <c r="AN6885">
        <v>0.99999996355730403</v>
      </c>
    </row>
    <row r="6886" spans="1:40" x14ac:dyDescent="0.25">
      <c r="A6886" t="str">
        <f>"20190304155237863"</f>
        <v>20190304155237863</v>
      </c>
      <c r="B6886" t="str">
        <f>"1551685957853632"</f>
        <v>1551685957853632</v>
      </c>
      <c r="C6886" t="s">
        <v>40</v>
      </c>
      <c r="D6886">
        <v>4.9298890000000002</v>
      </c>
      <c r="E6886">
        <v>0.41273559999999998</v>
      </c>
      <c r="F6886" t="s">
        <v>77</v>
      </c>
      <c r="G6886">
        <v>-196.31890000000001</v>
      </c>
      <c r="H6886" s="1">
        <v>-9.6480029999999997E-6</v>
      </c>
      <c r="I6886">
        <v>-52.543950000000002</v>
      </c>
      <c r="J6886">
        <v>-226.66370000000001</v>
      </c>
      <c r="K6886">
        <v>1.1114269999999999</v>
      </c>
      <c r="L6886">
        <v>-63.137050000000002</v>
      </c>
      <c r="M6886">
        <v>0.99990690000000004</v>
      </c>
      <c r="N6886">
        <v>-1.362097E-2</v>
      </c>
      <c r="O6886">
        <v>8.3347079999999995E-4</v>
      </c>
      <c r="P6886">
        <v>0.96969780000000005</v>
      </c>
      <c r="Q6886">
        <v>0.18639520000000001</v>
      </c>
      <c r="R6886">
        <v>0.15793399999999999</v>
      </c>
      <c r="S6886">
        <v>2.9479060000000001</v>
      </c>
      <c r="T6886">
        <v>-0.1075265</v>
      </c>
      <c r="U6886">
        <v>1.0249330000000001</v>
      </c>
      <c r="V6886">
        <v>-0.1575191</v>
      </c>
      <c r="W6886">
        <v>0.1992778</v>
      </c>
      <c r="X6886">
        <v>0.96720010000000001</v>
      </c>
      <c r="Y6886">
        <v>-0.3273375</v>
      </c>
      <c r="Z6886">
        <v>8.0733319999999904E-3</v>
      </c>
      <c r="AA6886">
        <v>0.94487299999999996</v>
      </c>
      <c r="AB6886">
        <v>27</v>
      </c>
      <c r="AC6886">
        <v>30.3447999999999</v>
      </c>
      <c r="AD6886">
        <v>-1.111436648003</v>
      </c>
      <c r="AE6886">
        <v>10.5931</v>
      </c>
      <c r="AF6886">
        <v>-10.5551805298663</v>
      </c>
      <c r="AG6886">
        <v>-1.111436648003</v>
      </c>
      <c r="AH6886">
        <v>30.317365654610398</v>
      </c>
      <c r="AI6886">
        <v>91.982889117960099</v>
      </c>
      <c r="AJ6886">
        <v>109.195881945235</v>
      </c>
      <c r="AK6886">
        <v>32.121484829875897</v>
      </c>
      <c r="AL6886">
        <v>78.505269733019702</v>
      </c>
      <c r="AM6886">
        <v>99.250032382040999</v>
      </c>
      <c r="AN6886">
        <v>0.99999997093882897</v>
      </c>
    </row>
    <row r="6887" spans="1:40" x14ac:dyDescent="0.25">
      <c r="A6887" t="str">
        <f>"20190304155237874"</f>
        <v>20190304155237874</v>
      </c>
      <c r="B6887" t="str">
        <f>"1551685957863899"</f>
        <v>1551685957863899</v>
      </c>
      <c r="C6887" t="s">
        <v>40</v>
      </c>
      <c r="D6887">
        <v>4.8898970000000004</v>
      </c>
      <c r="E6887">
        <v>0.41417029999999999</v>
      </c>
      <c r="F6887" t="s">
        <v>108</v>
      </c>
      <c r="G6887">
        <v>-168.45060000000001</v>
      </c>
      <c r="H6887">
        <v>0.57528400000000002</v>
      </c>
      <c r="I6887">
        <v>-39.851909999999997</v>
      </c>
      <c r="J6887">
        <v>-226.5393</v>
      </c>
      <c r="K6887">
        <v>1.1114809999999999</v>
      </c>
      <c r="L6887">
        <v>-63.13635</v>
      </c>
      <c r="M6887">
        <v>0.99990610000000002</v>
      </c>
      <c r="N6887">
        <v>-1.363226E-2</v>
      </c>
      <c r="O6887">
        <v>1.4271399999999999E-3</v>
      </c>
      <c r="P6887">
        <v>0.96961010000000003</v>
      </c>
      <c r="Q6887">
        <v>0.1862501</v>
      </c>
      <c r="R6887">
        <v>0.15864220000000001</v>
      </c>
      <c r="S6887">
        <v>2.909332</v>
      </c>
      <c r="T6887">
        <v>-2.679598E-2</v>
      </c>
      <c r="U6887">
        <v>1.163727</v>
      </c>
      <c r="V6887">
        <v>-0.15767539999999999</v>
      </c>
      <c r="W6887">
        <v>0.1991241</v>
      </c>
      <c r="X6887">
        <v>0.96720629999999996</v>
      </c>
      <c r="Y6887">
        <v>-0.37002629999999997</v>
      </c>
      <c r="Z6887">
        <v>4.2628270000000003E-3</v>
      </c>
      <c r="AA6887">
        <v>0.92901149999999999</v>
      </c>
      <c r="AB6887">
        <v>27</v>
      </c>
      <c r="AC6887">
        <v>58.088699999999903</v>
      </c>
      <c r="AD6887">
        <v>-0.53619699999999904</v>
      </c>
      <c r="AE6887">
        <v>23.28444</v>
      </c>
      <c r="AF6887">
        <v>-23.199804779482101</v>
      </c>
      <c r="AG6887">
        <v>-0.53619699999999904</v>
      </c>
      <c r="AH6887">
        <v>58.1176076663807</v>
      </c>
      <c r="AI6887">
        <v>90.490931946296101</v>
      </c>
      <c r="AJ6887">
        <v>111.761251426341</v>
      </c>
      <c r="AK6887">
        <v>62.579347790562998</v>
      </c>
      <c r="AL6887">
        <v>78.514256334146097</v>
      </c>
      <c r="AM6887">
        <v>99.258993613628306</v>
      </c>
      <c r="AN6887">
        <v>0.99999998286282898</v>
      </c>
    </row>
    <row r="6888" spans="1:40" x14ac:dyDescent="0.25">
      <c r="A6888" t="str">
        <f>"20190304155237885"</f>
        <v>20190304155237885</v>
      </c>
      <c r="B6888" t="str">
        <f>"1551685957873658"</f>
        <v>1551685957873658</v>
      </c>
      <c r="C6888" t="s">
        <v>40</v>
      </c>
      <c r="D6888">
        <v>4.519857</v>
      </c>
      <c r="E6888">
        <v>0.41386499999999998</v>
      </c>
      <c r="F6888" t="s">
        <v>108</v>
      </c>
      <c r="G6888">
        <v>-168.45060000000001</v>
      </c>
      <c r="H6888">
        <v>0.37996580000000002</v>
      </c>
      <c r="I6888">
        <v>-40.106720000000003</v>
      </c>
      <c r="J6888">
        <v>-226.40729999999999</v>
      </c>
      <c r="K6888">
        <v>1.111537</v>
      </c>
      <c r="L6888">
        <v>-63.135530000000003</v>
      </c>
      <c r="M6888">
        <v>0.99990480000000004</v>
      </c>
      <c r="N6888">
        <v>-1.3644689999999999E-2</v>
      </c>
      <c r="O6888">
        <v>2.075258E-3</v>
      </c>
      <c r="P6888">
        <v>0.96947450000000002</v>
      </c>
      <c r="Q6888">
        <v>0.18632950000000001</v>
      </c>
      <c r="R6888">
        <v>0.15937670000000001</v>
      </c>
      <c r="S6888">
        <v>2.9121549999999998</v>
      </c>
      <c r="T6888">
        <v>-3.6673900000000002E-2</v>
      </c>
      <c r="U6888">
        <v>1.154541</v>
      </c>
      <c r="V6888">
        <v>-0.15780729999999901</v>
      </c>
      <c r="W6888">
        <v>0.1991947</v>
      </c>
      <c r="X6888">
        <v>0.96717019999999998</v>
      </c>
      <c r="Y6888">
        <v>-0.3665619</v>
      </c>
      <c r="Z6888">
        <v>4.8183180000000003E-3</v>
      </c>
      <c r="AA6888">
        <v>0.93038120000000002</v>
      </c>
      <c r="AB6888">
        <v>27</v>
      </c>
      <c r="AC6888">
        <v>57.956699999999898</v>
      </c>
      <c r="AD6888">
        <v>-0.73157119999999998</v>
      </c>
      <c r="AE6888">
        <v>23.02881</v>
      </c>
      <c r="AF6888">
        <v>-22.905322166729</v>
      </c>
      <c r="AG6888">
        <v>-0.73157119999999998</v>
      </c>
      <c r="AH6888">
        <v>57.996389623865703</v>
      </c>
      <c r="AI6888">
        <v>90.672176082605105</v>
      </c>
      <c r="AJ6888">
        <v>111.551240988781</v>
      </c>
      <c r="AK6888">
        <v>62.360004725669697</v>
      </c>
      <c r="AL6888">
        <v>78.510127992945897</v>
      </c>
      <c r="AM6888">
        <v>99.266944599251303</v>
      </c>
      <c r="AN6888">
        <v>0.999999934104707</v>
      </c>
    </row>
    <row r="6889" spans="1:40" x14ac:dyDescent="0.25">
      <c r="A6889" t="str">
        <f>"20190304155237896"</f>
        <v>20190304155237896</v>
      </c>
      <c r="B6889" t="str">
        <f>"1551685957883419"</f>
        <v>1551685957883419</v>
      </c>
      <c r="C6889" t="s">
        <v>40</v>
      </c>
      <c r="D6889">
        <v>5.0925339999999997</v>
      </c>
      <c r="E6889">
        <v>0.41344530000000002</v>
      </c>
      <c r="F6889" t="s">
        <v>108</v>
      </c>
      <c r="G6889">
        <v>-168.45060000000001</v>
      </c>
      <c r="H6889">
        <v>0.39707179999999997</v>
      </c>
      <c r="I6889">
        <v>-40.051879999999997</v>
      </c>
      <c r="J6889">
        <v>-226.28919999999999</v>
      </c>
      <c r="K6889">
        <v>1.111583</v>
      </c>
      <c r="L6889">
        <v>-63.134639999999997</v>
      </c>
      <c r="M6889">
        <v>0.99990319999999999</v>
      </c>
      <c r="N6889">
        <v>-1.3656039999999999E-2</v>
      </c>
      <c r="O6889">
        <v>2.7033360000000002E-3</v>
      </c>
      <c r="P6889">
        <v>0.96931230000000002</v>
      </c>
      <c r="Q6889">
        <v>0.1866128</v>
      </c>
      <c r="R6889">
        <v>0.16002910000000001</v>
      </c>
      <c r="S6889">
        <v>2.9107669999999999</v>
      </c>
      <c r="T6889">
        <v>-3.5883669999999999E-2</v>
      </c>
      <c r="U6889">
        <v>1.159332</v>
      </c>
      <c r="V6889">
        <v>-0.15787390000000001</v>
      </c>
      <c r="W6889">
        <v>0.19946990000000001</v>
      </c>
      <c r="X6889">
        <v>0.96710260000000003</v>
      </c>
      <c r="Y6889">
        <v>-0.36745339999999999</v>
      </c>
      <c r="Z6889">
        <v>4.7866319999999999E-3</v>
      </c>
      <c r="AA6889">
        <v>0.93002960000000001</v>
      </c>
      <c r="AB6889">
        <v>27</v>
      </c>
      <c r="AC6889">
        <v>57.8385999999999</v>
      </c>
      <c r="AD6889">
        <v>-0.71451119999999901</v>
      </c>
      <c r="AE6889">
        <v>23.08276</v>
      </c>
      <c r="AF6889">
        <v>-22.923286218851299</v>
      </c>
      <c r="AG6889">
        <v>-0.71451119999999901</v>
      </c>
      <c r="AH6889">
        <v>57.893173666524</v>
      </c>
      <c r="AI6889">
        <v>90.657444808951297</v>
      </c>
      <c r="AJ6889">
        <v>111.601503420486</v>
      </c>
      <c r="AK6889">
        <v>62.270435477107497</v>
      </c>
      <c r="AL6889">
        <v>78.494037167709394</v>
      </c>
      <c r="AM6889">
        <v>99.271424441300198</v>
      </c>
      <c r="AN6889">
        <v>0.99999992411698702</v>
      </c>
    </row>
    <row r="6890" spans="1:40" x14ac:dyDescent="0.25">
      <c r="A6890" t="str">
        <f>"20190304155237905"</f>
        <v>20190304155237905</v>
      </c>
      <c r="B6890" t="str">
        <f>"1551685957893179"</f>
        <v>1551685957893179</v>
      </c>
      <c r="C6890" t="s">
        <v>40</v>
      </c>
      <c r="D6890">
        <v>4.9005599999999996</v>
      </c>
      <c r="E6890">
        <v>0.41429909999999998</v>
      </c>
      <c r="F6890" t="s">
        <v>108</v>
      </c>
      <c r="G6890">
        <v>-168.45060000000001</v>
      </c>
      <c r="H6890">
        <v>0.47326849999999998</v>
      </c>
      <c r="I6890">
        <v>-39.978189999999998</v>
      </c>
      <c r="J6890">
        <v>-226.16399999999999</v>
      </c>
      <c r="K6890">
        <v>1.1116360000000001</v>
      </c>
      <c r="L6890">
        <v>-63.133670000000002</v>
      </c>
      <c r="M6890">
        <v>0.99990100000000004</v>
      </c>
      <c r="N6890">
        <v>-1.3668029999999999E-2</v>
      </c>
      <c r="O6890">
        <v>3.3796020000000002E-3</v>
      </c>
      <c r="P6890">
        <v>0.96915560000000001</v>
      </c>
      <c r="Q6890">
        <v>0.18667259999999999</v>
      </c>
      <c r="R6890">
        <v>0.16090689999999999</v>
      </c>
      <c r="S6890">
        <v>2.90889</v>
      </c>
      <c r="T6890">
        <v>-3.2103899999999998E-2</v>
      </c>
      <c r="U6890">
        <v>1.164612</v>
      </c>
      <c r="V6890">
        <v>-0.1581217</v>
      </c>
      <c r="W6890">
        <v>0.1995209</v>
      </c>
      <c r="X6890">
        <v>0.96705169999999996</v>
      </c>
      <c r="Y6890">
        <v>-0.36849389999999999</v>
      </c>
      <c r="Z6890">
        <v>4.5785579999999999E-3</v>
      </c>
      <c r="AA6890">
        <v>0.92961890000000003</v>
      </c>
      <c r="AB6890">
        <v>27</v>
      </c>
      <c r="AC6890">
        <v>57.7134</v>
      </c>
      <c r="AD6890">
        <v>-0.63836749999999998</v>
      </c>
      <c r="AE6890">
        <v>23.155479999999901</v>
      </c>
      <c r="AF6890">
        <v>-22.957861875245399</v>
      </c>
      <c r="AG6890">
        <v>-0.63836749999999998</v>
      </c>
      <c r="AH6890">
        <v>57.785244434827902</v>
      </c>
      <c r="AI6890">
        <v>90.588215010155693</v>
      </c>
      <c r="AJ6890">
        <v>111.66773983308001</v>
      </c>
      <c r="AK6890">
        <v>62.1820344580387</v>
      </c>
      <c r="AL6890">
        <v>78.491056328997502</v>
      </c>
      <c r="AM6890">
        <v>99.286203877042098</v>
      </c>
      <c r="AN6890">
        <v>1.0000000260102899</v>
      </c>
    </row>
    <row r="6891" spans="1:40" x14ac:dyDescent="0.25">
      <c r="A6891" t="str">
        <f>"20190304155237916"</f>
        <v>20190304155237916</v>
      </c>
      <c r="B6891" t="str">
        <f>"1551685957903914"</f>
        <v>1551685957903914</v>
      </c>
      <c r="C6891" t="s">
        <v>40</v>
      </c>
      <c r="D6891">
        <v>4.8551120000000001</v>
      </c>
      <c r="E6891">
        <v>0.41570390000000002</v>
      </c>
      <c r="F6891" t="s">
        <v>108</v>
      </c>
      <c r="G6891">
        <v>-168.45060000000001</v>
      </c>
      <c r="H6891">
        <v>0.3777237</v>
      </c>
      <c r="I6891">
        <v>-40.114249999999998</v>
      </c>
      <c r="J6891">
        <v>-226.03980000000001</v>
      </c>
      <c r="K6891">
        <v>1.111686</v>
      </c>
      <c r="L6891">
        <v>-63.132510000000003</v>
      </c>
      <c r="M6891">
        <v>0.99989810000000001</v>
      </c>
      <c r="N6891">
        <v>-1.3679449999999999E-2</v>
      </c>
      <c r="O6891">
        <v>4.1015660000000001E-3</v>
      </c>
      <c r="P6891">
        <v>0.96898459999999997</v>
      </c>
      <c r="Q6891">
        <v>0.18691759999999999</v>
      </c>
      <c r="R6891">
        <v>0.1616505</v>
      </c>
      <c r="S6891">
        <v>2.9099270000000002</v>
      </c>
      <c r="T6891">
        <v>-3.7005070000000001E-2</v>
      </c>
      <c r="U6891">
        <v>1.1606449999999999</v>
      </c>
      <c r="V6891">
        <v>-0.1581901</v>
      </c>
      <c r="W6891">
        <v>0.1997573</v>
      </c>
      <c r="X6891">
        <v>0.96699170000000001</v>
      </c>
      <c r="Y6891">
        <v>-0.3666045</v>
      </c>
      <c r="Z6891">
        <v>4.8490779999999997E-3</v>
      </c>
      <c r="AA6891">
        <v>0.93036430000000003</v>
      </c>
      <c r="AB6891">
        <v>27</v>
      </c>
      <c r="AC6891">
        <v>57.589199999999998</v>
      </c>
      <c r="AD6891">
        <v>-0.73396229999999996</v>
      </c>
      <c r="AE6891">
        <v>23.018260000000001</v>
      </c>
      <c r="AF6891">
        <v>-22.778648098553901</v>
      </c>
      <c r="AG6891">
        <v>-0.73396229999999996</v>
      </c>
      <c r="AH6891">
        <v>57.675057571317403</v>
      </c>
      <c r="AI6891">
        <v>90.678128775631393</v>
      </c>
      <c r="AJ6891">
        <v>111.551442148313</v>
      </c>
      <c r="AK6891">
        <v>62.014657748876999</v>
      </c>
      <c r="AL6891">
        <v>78.4772332411208</v>
      </c>
      <c r="AM6891">
        <v>99.290717249102201</v>
      </c>
      <c r="AN6891">
        <v>1.00000001725509</v>
      </c>
    </row>
    <row r="6892" spans="1:40" x14ac:dyDescent="0.25">
      <c r="A6892" t="str">
        <f>"20190304155237928"</f>
        <v>20190304155237928</v>
      </c>
      <c r="B6892" t="str">
        <f>"1551685957923436"</f>
        <v>1551685957923436</v>
      </c>
      <c r="C6892" t="s">
        <v>40</v>
      </c>
      <c r="D6892">
        <v>4.8687209999999999</v>
      </c>
      <c r="E6892">
        <v>0.41549659999999999</v>
      </c>
      <c r="F6892" t="s">
        <v>108</v>
      </c>
      <c r="G6892">
        <v>-168.45060000000001</v>
      </c>
      <c r="H6892">
        <v>0.2081528</v>
      </c>
      <c r="I6892">
        <v>-40.353490000000001</v>
      </c>
      <c r="J6892">
        <v>-225.8982</v>
      </c>
      <c r="K6892">
        <v>1.111747</v>
      </c>
      <c r="L6892">
        <v>-63.131129999999999</v>
      </c>
      <c r="M6892">
        <v>0.99989410000000001</v>
      </c>
      <c r="N6892">
        <v>-1.369226E-2</v>
      </c>
      <c r="O6892">
        <v>4.937327E-3</v>
      </c>
      <c r="P6892">
        <v>0.96883989999999998</v>
      </c>
      <c r="Q6892">
        <v>0.18701110000000001</v>
      </c>
      <c r="R6892">
        <v>0.16240779999999999</v>
      </c>
      <c r="S6892">
        <v>2.9126280000000002</v>
      </c>
      <c r="T6892">
        <v>-4.5698049999999997E-2</v>
      </c>
      <c r="U6892">
        <v>1.152069</v>
      </c>
      <c r="V6892">
        <v>-0.15816469999999999</v>
      </c>
      <c r="W6892">
        <v>0.19984189999999999</v>
      </c>
      <c r="X6892">
        <v>0.96697840000000002</v>
      </c>
      <c r="Y6892">
        <v>-0.3631413</v>
      </c>
      <c r="Z6892">
        <v>5.3124929999999997E-3</v>
      </c>
      <c r="AA6892">
        <v>0.93171890000000002</v>
      </c>
      <c r="AB6892">
        <v>27</v>
      </c>
      <c r="AC6892">
        <v>57.447600000000001</v>
      </c>
      <c r="AD6892">
        <v>-0.90359420000000001</v>
      </c>
      <c r="AE6892">
        <v>22.777640000000002</v>
      </c>
      <c r="AF6892">
        <v>-22.488890201334801</v>
      </c>
      <c r="AG6892">
        <v>-0.90359420000000001</v>
      </c>
      <c r="AH6892">
        <v>57.547067742925002</v>
      </c>
      <c r="AI6892">
        <v>90.837877269050196</v>
      </c>
      <c r="AJ6892">
        <v>111.34512291528399</v>
      </c>
      <c r="AK6892">
        <v>61.791841458033701</v>
      </c>
      <c r="AL6892">
        <v>78.472286557022599</v>
      </c>
      <c r="AM6892">
        <v>99.289377018134402</v>
      </c>
      <c r="AN6892">
        <v>1.0000000416941199</v>
      </c>
    </row>
    <row r="6893" spans="1:40" x14ac:dyDescent="0.25">
      <c r="A6893" t="str">
        <f>"20190304155237938"</f>
        <v>20190304155237938</v>
      </c>
      <c r="B6893" t="str">
        <f>"1551685957933195"</f>
        <v>1551685957933195</v>
      </c>
      <c r="C6893" t="s">
        <v>40</v>
      </c>
      <c r="D6893">
        <v>4.9284970000000001</v>
      </c>
      <c r="E6893">
        <v>0.41650189999999998</v>
      </c>
      <c r="F6893" t="s">
        <v>108</v>
      </c>
      <c r="G6893">
        <v>-168.45060000000001</v>
      </c>
      <c r="H6893">
        <v>0.23466870000000001</v>
      </c>
      <c r="I6893">
        <v>-40.317450000000001</v>
      </c>
      <c r="J6893">
        <v>-225.77619999999999</v>
      </c>
      <c r="K6893">
        <v>1.1117950000000001</v>
      </c>
      <c r="L6893">
        <v>-63.1297</v>
      </c>
      <c r="M6893">
        <v>0.9998899</v>
      </c>
      <c r="N6893">
        <v>-1.370266E-2</v>
      </c>
      <c r="O6893">
        <v>5.7114569999999996E-3</v>
      </c>
      <c r="P6893">
        <v>0.96865559999999995</v>
      </c>
      <c r="Q6893">
        <v>0.18704680000000001</v>
      </c>
      <c r="R6893">
        <v>0.163463</v>
      </c>
      <c r="S6893">
        <v>2.91127</v>
      </c>
      <c r="T6893">
        <v>-4.444861E-2</v>
      </c>
      <c r="U6893">
        <v>1.156128</v>
      </c>
      <c r="V6893">
        <v>-0.15849299999999999</v>
      </c>
      <c r="W6893">
        <v>0.19986799999999999</v>
      </c>
      <c r="X6893">
        <v>0.96691919999999998</v>
      </c>
      <c r="Y6893">
        <v>-0.36369400000000002</v>
      </c>
      <c r="Z6893">
        <v>5.2494539999999998E-3</v>
      </c>
      <c r="AA6893">
        <v>0.93150370000000005</v>
      </c>
      <c r="AB6893">
        <v>27</v>
      </c>
      <c r="AC6893">
        <v>57.325599999999902</v>
      </c>
      <c r="AD6893">
        <v>-0.87712630000000003</v>
      </c>
      <c r="AE6893">
        <v>22.812249999999999</v>
      </c>
      <c r="AF6893">
        <v>-22.479891066275599</v>
      </c>
      <c r="AG6893">
        <v>-0.87712630000000003</v>
      </c>
      <c r="AH6893">
        <v>57.443358435327703</v>
      </c>
      <c r="AI6893">
        <v>90.814654237290995</v>
      </c>
      <c r="AJ6893">
        <v>111.37239992785101</v>
      </c>
      <c r="AK6893">
        <v>61.691606246128103</v>
      </c>
      <c r="AL6893">
        <v>78.470759788123104</v>
      </c>
      <c r="AM6893">
        <v>99.308881612138293</v>
      </c>
      <c r="AN6893">
        <v>0.99999999390081995</v>
      </c>
    </row>
    <row r="6894" spans="1:40" x14ac:dyDescent="0.25">
      <c r="A6894" t="str">
        <f>"20190304155237949"</f>
        <v>20190304155237949</v>
      </c>
      <c r="B6894" t="str">
        <f>"1551685957943931"</f>
        <v>1551685957943931</v>
      </c>
      <c r="C6894" t="s">
        <v>40</v>
      </c>
      <c r="D6894">
        <v>4.874403</v>
      </c>
      <c r="E6894">
        <v>0.41743580000000002</v>
      </c>
      <c r="F6894" t="s">
        <v>108</v>
      </c>
      <c r="G6894">
        <v>-168.45060000000001</v>
      </c>
      <c r="H6894">
        <v>0.11326120000000001</v>
      </c>
      <c r="I6894">
        <v>-40.463149999999999</v>
      </c>
      <c r="J6894">
        <v>-225.63939999999999</v>
      </c>
      <c r="K6894">
        <v>1.111847</v>
      </c>
      <c r="L6894">
        <v>-63.128079999999997</v>
      </c>
      <c r="M6894">
        <v>0.99988429999999995</v>
      </c>
      <c r="N6894">
        <v>-1.371412E-2</v>
      </c>
      <c r="O6894">
        <v>6.5884530000000002E-3</v>
      </c>
      <c r="P6894">
        <v>0.96846350000000003</v>
      </c>
      <c r="Q6894">
        <v>0.1871642</v>
      </c>
      <c r="R6894">
        <v>0.16446350000000001</v>
      </c>
      <c r="S6894">
        <v>2.9125209999999999</v>
      </c>
      <c r="T6894">
        <v>-5.0733090000000002E-2</v>
      </c>
      <c r="U6894">
        <v>1.1516109999999999</v>
      </c>
      <c r="V6894">
        <v>-0.1586688</v>
      </c>
      <c r="W6894">
        <v>0.19997590000000001</v>
      </c>
      <c r="X6894">
        <v>0.96686799999999995</v>
      </c>
      <c r="Y6894">
        <v>-0.36147449999999998</v>
      </c>
      <c r="Z6894">
        <v>5.5793809999999996E-3</v>
      </c>
      <c r="AA6894">
        <v>0.93236529999999995</v>
      </c>
      <c r="AB6894">
        <v>27</v>
      </c>
      <c r="AC6894">
        <v>57.188799999999901</v>
      </c>
      <c r="AD6894">
        <v>-0.99858579999999997</v>
      </c>
      <c r="AE6894">
        <v>22.664929999999998</v>
      </c>
      <c r="AF6894">
        <v>-22.281745478608201</v>
      </c>
      <c r="AG6894">
        <v>-0.99858579999999997</v>
      </c>
      <c r="AH6894">
        <v>57.3217947780551</v>
      </c>
      <c r="AI6894">
        <v>90.930237659490004</v>
      </c>
      <c r="AJ6894">
        <v>111.241767382674</v>
      </c>
      <c r="AK6894">
        <v>61.508223123017501</v>
      </c>
      <c r="AL6894">
        <v>78.464449552856294</v>
      </c>
      <c r="AM6894">
        <v>99.3195107825957</v>
      </c>
      <c r="AN6894">
        <v>0.99999993904912299</v>
      </c>
    </row>
    <row r="6895" spans="1:40" x14ac:dyDescent="0.25">
      <c r="A6895" t="str">
        <f>"20190304155237960"</f>
        <v>20190304155237960</v>
      </c>
      <c r="B6895" t="str">
        <f>"1551685957953691"</f>
        <v>1551685957953691</v>
      </c>
      <c r="C6895" t="s">
        <v>40</v>
      </c>
      <c r="D6895">
        <v>4.9302440000000001</v>
      </c>
      <c r="E6895">
        <v>0.41826160000000001</v>
      </c>
      <c r="F6895" t="s">
        <v>42</v>
      </c>
      <c r="G6895">
        <v>-165.482</v>
      </c>
      <c r="H6895">
        <v>-0.05</v>
      </c>
      <c r="I6895">
        <v>-39.43788</v>
      </c>
      <c r="J6895">
        <v>-225.5076</v>
      </c>
      <c r="K6895">
        <v>1.111893</v>
      </c>
      <c r="L6895">
        <v>-63.126280000000001</v>
      </c>
      <c r="M6895">
        <v>0.99987800000000004</v>
      </c>
      <c r="N6895">
        <v>-1.372458E-2</v>
      </c>
      <c r="O6895">
        <v>7.4774739999999996E-3</v>
      </c>
      <c r="P6895">
        <v>0.96823320000000002</v>
      </c>
      <c r="Q6895">
        <v>0.1873254</v>
      </c>
      <c r="R6895">
        <v>0.16563220000000001</v>
      </c>
      <c r="S6895">
        <v>2.9137119999999999</v>
      </c>
      <c r="T6895">
        <v>-5.6273820000000002E-2</v>
      </c>
      <c r="U6895">
        <v>1.1474299999999999</v>
      </c>
      <c r="V6895">
        <v>-0.1589999</v>
      </c>
      <c r="W6895">
        <v>0.20012779999999999</v>
      </c>
      <c r="X6895">
        <v>0.96678229999999998</v>
      </c>
      <c r="Y6895">
        <v>-0.35934189999999999</v>
      </c>
      <c r="Z6895">
        <v>5.8598219999999998E-3</v>
      </c>
      <c r="AA6895">
        <v>0.93318760000000001</v>
      </c>
      <c r="AB6895">
        <v>27</v>
      </c>
      <c r="AC6895">
        <v>60.025599999999997</v>
      </c>
      <c r="AD6895">
        <v>-1.1618930000000001</v>
      </c>
      <c r="AE6895">
        <v>23.688400000000001</v>
      </c>
      <c r="AF6895">
        <v>-23.231324191205299</v>
      </c>
      <c r="AG6895">
        <v>-1.1618930000000001</v>
      </c>
      <c r="AH6895">
        <v>60.1815573739418</v>
      </c>
      <c r="AI6895">
        <v>91.031848930487698</v>
      </c>
      <c r="AJ6895">
        <v>111.10761825786599</v>
      </c>
      <c r="AK6895">
        <v>64.520262452762694</v>
      </c>
      <c r="AL6895">
        <v>78.455568176763506</v>
      </c>
      <c r="AM6895">
        <v>99.339429131023806</v>
      </c>
      <c r="AN6895">
        <v>1.0000000600630601</v>
      </c>
    </row>
    <row r="6896" spans="1:40" x14ac:dyDescent="0.25">
      <c r="A6896" t="str">
        <f>"20190304155237971"</f>
        <v>20190304155237971</v>
      </c>
      <c r="B6896" t="str">
        <f>"1551685957963957"</f>
        <v>1551685957963957</v>
      </c>
      <c r="C6896" t="s">
        <v>40</v>
      </c>
      <c r="D6896">
        <v>5.2370640000000002</v>
      </c>
      <c r="E6896">
        <v>0.41826160000000001</v>
      </c>
      <c r="F6896" t="s">
        <v>77</v>
      </c>
      <c r="G6896">
        <v>-176.25579999999999</v>
      </c>
      <c r="H6896">
        <v>7.9986810000000005E-2</v>
      </c>
      <c r="I6896">
        <v>-43.785719999999998</v>
      </c>
      <c r="J6896">
        <v>-225.37280000000001</v>
      </c>
      <c r="K6896">
        <v>1.1119380000000001</v>
      </c>
      <c r="L6896">
        <v>-63.12433</v>
      </c>
      <c r="M6896">
        <v>0.99987040000000005</v>
      </c>
      <c r="N6896">
        <v>-1.3734939999999999E-2</v>
      </c>
      <c r="O6896">
        <v>8.4059979999999996E-3</v>
      </c>
      <c r="P6896">
        <v>0.96802900000000003</v>
      </c>
      <c r="Q6896">
        <v>0.1872664</v>
      </c>
      <c r="R6896">
        <v>0.1668869</v>
      </c>
      <c r="S6896">
        <v>2.9144589999999999</v>
      </c>
      <c r="T6896">
        <v>-6.1062690000000003E-2</v>
      </c>
      <c r="U6896">
        <v>1.1444700000000001</v>
      </c>
      <c r="V6896">
        <v>-0.1593774</v>
      </c>
      <c r="W6896">
        <v>0.2000596</v>
      </c>
      <c r="X6896">
        <v>0.96673419999999999</v>
      </c>
      <c r="Y6896">
        <v>-0.3575586</v>
      </c>
      <c r="Z6896">
        <v>6.0968319999999999E-3</v>
      </c>
      <c r="AA6896">
        <v>0.9338708</v>
      </c>
      <c r="AB6896">
        <v>27</v>
      </c>
      <c r="AC6896">
        <v>49.116999999999997</v>
      </c>
      <c r="AD6896">
        <v>-1.03195118999999</v>
      </c>
      <c r="AE6896">
        <v>19.338609999999999</v>
      </c>
      <c r="AF6896">
        <v>-18.917780338224599</v>
      </c>
      <c r="AG6896">
        <v>-1.03195118999999</v>
      </c>
      <c r="AH6896">
        <v>49.259014267820604</v>
      </c>
      <c r="AI6896">
        <v>91.120381296318797</v>
      </c>
      <c r="AJ6896">
        <v>111.009139975099</v>
      </c>
      <c r="AK6896">
        <v>52.776868255147697</v>
      </c>
      <c r="AL6896">
        <v>78.459555774737694</v>
      </c>
      <c r="AM6896">
        <v>99.361668413162803</v>
      </c>
      <c r="AN6896">
        <v>1.0000000063162799</v>
      </c>
    </row>
    <row r="6897" spans="1:40" x14ac:dyDescent="0.25">
      <c r="A6897" t="str">
        <f>"20190304155237983"</f>
        <v>20190304155237983</v>
      </c>
      <c r="B6897" t="str">
        <f>"1551685957973717"</f>
        <v>1551685957973717</v>
      </c>
      <c r="C6897" t="s">
        <v>40</v>
      </c>
      <c r="D6897">
        <v>5.7942809999999998</v>
      </c>
      <c r="E6897">
        <v>0.46596270000000001</v>
      </c>
      <c r="F6897" t="s">
        <v>77</v>
      </c>
      <c r="G6897">
        <v>-176.48570000000001</v>
      </c>
      <c r="H6897">
        <v>7.9986799999999997E-2</v>
      </c>
      <c r="I6897">
        <v>-43.857289999999999</v>
      </c>
      <c r="J6897">
        <v>-225.23429999999999</v>
      </c>
      <c r="K6897">
        <v>1.1119840000000001</v>
      </c>
      <c r="L6897">
        <v>-63.122160000000001</v>
      </c>
      <c r="M6897">
        <v>0.99986140000000001</v>
      </c>
      <c r="N6897">
        <v>-1.374505E-2</v>
      </c>
      <c r="O6897">
        <v>9.3941570000000002E-3</v>
      </c>
      <c r="P6897">
        <v>0.967804</v>
      </c>
      <c r="Q6897">
        <v>0.18707199999999999</v>
      </c>
      <c r="R6897">
        <v>0.16840339999999901</v>
      </c>
      <c r="S6897">
        <v>2.9130549999999999</v>
      </c>
      <c r="T6897">
        <v>-6.1491249999999997E-2</v>
      </c>
      <c r="U6897">
        <v>1.1480709999999901</v>
      </c>
      <c r="V6897">
        <v>-0.15995799999999999</v>
      </c>
      <c r="W6897">
        <v>0.1998558</v>
      </c>
      <c r="X6897">
        <v>0.96668050000000005</v>
      </c>
      <c r="Y6897">
        <v>-0.35778700000000002</v>
      </c>
      <c r="Z6897">
        <v>6.1212710000000002E-3</v>
      </c>
      <c r="AA6897">
        <v>0.93378320000000004</v>
      </c>
      <c r="AB6897">
        <v>27</v>
      </c>
      <c r="AC6897">
        <v>48.748599999999897</v>
      </c>
      <c r="AD6897">
        <v>-1.0319971999999999</v>
      </c>
      <c r="AE6897">
        <v>19.264869999999998</v>
      </c>
      <c r="AF6897">
        <v>-18.798737662657501</v>
      </c>
      <c r="AG6897">
        <v>-1.0319971999999999</v>
      </c>
      <c r="AH6897">
        <v>48.908484762493998</v>
      </c>
      <c r="AI6897">
        <v>91.128339064563207</v>
      </c>
      <c r="AJ6897">
        <v>111.025041199055</v>
      </c>
      <c r="AK6897">
        <v>52.4070361468127</v>
      </c>
      <c r="AL6897">
        <v>78.471473796932898</v>
      </c>
      <c r="AM6897">
        <v>99.3956778993131</v>
      </c>
      <c r="AN6897">
        <v>1.00000004581894</v>
      </c>
    </row>
    <row r="6898" spans="1:40" x14ac:dyDescent="0.25">
      <c r="A6898" t="str">
        <f>"20190304155237996"</f>
        <v>20190304155237996</v>
      </c>
      <c r="B6898" t="str">
        <f>"1551685957983477"</f>
        <v>1551685957983477</v>
      </c>
      <c r="C6898" t="s">
        <v>40</v>
      </c>
      <c r="D6898">
        <v>5.0508069999999998</v>
      </c>
      <c r="E6898">
        <v>0.46086240000000001</v>
      </c>
      <c r="F6898" t="s">
        <v>77</v>
      </c>
      <c r="G6898">
        <v>-208.37870000000001</v>
      </c>
      <c r="H6898" s="1">
        <v>-1.4362229999999999E-6</v>
      </c>
      <c r="I6898">
        <v>-58.752130000000001</v>
      </c>
      <c r="J6898">
        <v>-225.08629999999999</v>
      </c>
      <c r="K6898">
        <v>1.1120300000000001</v>
      </c>
      <c r="L6898">
        <v>-63.119630000000001</v>
      </c>
      <c r="M6898">
        <v>0.99985049999999998</v>
      </c>
      <c r="N6898">
        <v>-1.37552E-2</v>
      </c>
      <c r="O6898">
        <v>1.048442E-2</v>
      </c>
      <c r="P6898">
        <v>0.96754859999999998</v>
      </c>
      <c r="Q6898">
        <v>0.18741389999999999</v>
      </c>
      <c r="R6898">
        <v>0.16948779999999999</v>
      </c>
      <c r="S6898">
        <v>3.0026250000000001</v>
      </c>
      <c r="T6898">
        <v>-0.19808780000000001</v>
      </c>
      <c r="U6898">
        <v>0.77847290000000002</v>
      </c>
      <c r="V6898">
        <v>-0.1600105</v>
      </c>
      <c r="W6898">
        <v>0.20018939999999999</v>
      </c>
      <c r="X6898">
        <v>0.96660270000000004</v>
      </c>
      <c r="Y6898">
        <v>-0.24021960000000001</v>
      </c>
      <c r="Z6898">
        <v>8.9303760000000003E-3</v>
      </c>
      <c r="AA6898">
        <v>0.97067749999999997</v>
      </c>
      <c r="AB6898">
        <v>27</v>
      </c>
      <c r="AC6898">
        <v>16.7075999999999</v>
      </c>
      <c r="AD6898">
        <v>-1.1120314362229999</v>
      </c>
      <c r="AE6898">
        <v>4.3674999999999997</v>
      </c>
      <c r="AF6898">
        <v>-4.1747625082800397</v>
      </c>
      <c r="AG6898">
        <v>-1.1120314362229999</v>
      </c>
      <c r="AH6898">
        <v>16.6832965277559</v>
      </c>
      <c r="AI6898">
        <v>93.699687477399294</v>
      </c>
      <c r="AJ6898">
        <v>104.048972779274</v>
      </c>
      <c r="AK6898">
        <v>17.233619438432498</v>
      </c>
      <c r="AL6898">
        <v>78.451964778743104</v>
      </c>
      <c r="AM6898">
        <v>99.399449636009393</v>
      </c>
      <c r="AN6898">
        <v>0.99999996781494904</v>
      </c>
    </row>
    <row r="6899" spans="1:40" x14ac:dyDescent="0.25">
      <c r="A6899" t="str">
        <f>"20190304155238006"</f>
        <v>20190304155238006</v>
      </c>
      <c r="B6899" t="str">
        <f>"1551685958003974"</f>
        <v>1551685958003974</v>
      </c>
      <c r="C6899" t="s">
        <v>40</v>
      </c>
      <c r="D6899">
        <v>4.8846360000000004</v>
      </c>
      <c r="E6899">
        <v>0.4487563</v>
      </c>
      <c r="F6899" t="s">
        <v>77</v>
      </c>
      <c r="G6899">
        <v>-209.83320000000001</v>
      </c>
      <c r="H6899" s="1">
        <v>-4.620248E-7</v>
      </c>
      <c r="I6899">
        <v>-58.938949999999998</v>
      </c>
      <c r="J6899">
        <v>-224.9419</v>
      </c>
      <c r="K6899">
        <v>1.1120719999999999</v>
      </c>
      <c r="L6899">
        <v>-63.117069999999998</v>
      </c>
      <c r="M6899">
        <v>0.99983840000000002</v>
      </c>
      <c r="N6899">
        <v>-1.3764719999999999E-2</v>
      </c>
      <c r="O6899">
        <v>1.156738E-2</v>
      </c>
      <c r="P6899">
        <v>0.96726540000000005</v>
      </c>
      <c r="Q6899">
        <v>0.18747269999999999</v>
      </c>
      <c r="R6899">
        <v>0.171031399999999</v>
      </c>
      <c r="S6899">
        <v>2.9990079999999999</v>
      </c>
      <c r="T6899">
        <v>-0.21864330000000001</v>
      </c>
      <c r="U6899">
        <v>0.82199100000000003</v>
      </c>
      <c r="V6899">
        <v>-0.16052739999999999</v>
      </c>
      <c r="W6899">
        <v>0.20023850000000001</v>
      </c>
      <c r="X6899">
        <v>0.9665068</v>
      </c>
      <c r="Y6899">
        <v>-0.25243470000000001</v>
      </c>
      <c r="Z6899">
        <v>1.012499E-2</v>
      </c>
      <c r="AA6899">
        <v>0.96756089999999995</v>
      </c>
      <c r="AB6899">
        <v>27</v>
      </c>
      <c r="AC6899">
        <v>15.108700000000001</v>
      </c>
      <c r="AD6899">
        <v>-1.1120724620247999</v>
      </c>
      <c r="AE6899">
        <v>4.1781199999999998</v>
      </c>
      <c r="AF6899">
        <v>-3.9830101316449702</v>
      </c>
      <c r="AG6899">
        <v>-1.1120724620247999</v>
      </c>
      <c r="AH6899">
        <v>15.0801283188969</v>
      </c>
      <c r="AI6899">
        <v>94.078242000028695</v>
      </c>
      <c r="AJ6899">
        <v>104.795270594366</v>
      </c>
      <c r="AK6899">
        <v>15.6368585394886</v>
      </c>
      <c r="AL6899">
        <v>78.449093193747899</v>
      </c>
      <c r="AM6899">
        <v>99.430188102510101</v>
      </c>
      <c r="AN6899">
        <v>0.99999994873962295</v>
      </c>
    </row>
    <row r="6900" spans="1:40" x14ac:dyDescent="0.25">
      <c r="A6900" t="str">
        <f>"20190304155238019"</f>
        <v>20190304155238019</v>
      </c>
      <c r="B6900" t="str">
        <f>"1551685958013734"</f>
        <v>1551685958013734</v>
      </c>
      <c r="C6900" t="s">
        <v>40</v>
      </c>
      <c r="D6900">
        <v>4.9252079999999996</v>
      </c>
      <c r="E6900">
        <v>0.44576339999999998</v>
      </c>
      <c r="F6900" t="s">
        <v>77</v>
      </c>
      <c r="G6900">
        <v>-207.10769999999999</v>
      </c>
      <c r="H6900" s="1">
        <v>-2.5523609999999999E-6</v>
      </c>
      <c r="I6900">
        <v>-57.593600000000002</v>
      </c>
      <c r="J6900">
        <v>-224.80410000000001</v>
      </c>
      <c r="K6900">
        <v>1.112109</v>
      </c>
      <c r="L6900">
        <v>-63.1143199999999</v>
      </c>
      <c r="M6900">
        <v>0.99982530000000003</v>
      </c>
      <c r="N6900">
        <v>-1.377309E-2</v>
      </c>
      <c r="O6900">
        <v>1.2648380000000001E-2</v>
      </c>
      <c r="P6900">
        <v>0.96698890000000004</v>
      </c>
      <c r="Q6900">
        <v>0.1875665</v>
      </c>
      <c r="R6900">
        <v>0.17248669999999999</v>
      </c>
      <c r="S6900">
        <v>2.9745789999999999</v>
      </c>
      <c r="T6900">
        <v>-0.18548410000000001</v>
      </c>
      <c r="U6900">
        <v>0.92126459999999999</v>
      </c>
      <c r="V6900">
        <v>-0.160956399999999</v>
      </c>
      <c r="W6900">
        <v>0.200323</v>
      </c>
      <c r="X6900">
        <v>0.966418</v>
      </c>
      <c r="Y6900">
        <v>-0.2831341</v>
      </c>
      <c r="Z6900">
        <v>1.0015019999999999E-2</v>
      </c>
      <c r="AA6900">
        <v>0.95902810000000005</v>
      </c>
      <c r="AB6900">
        <v>27</v>
      </c>
      <c r="AC6900">
        <v>17.696400000000001</v>
      </c>
      <c r="AD6900">
        <v>-1.1121115523609999</v>
      </c>
      <c r="AE6900">
        <v>5.5207199999999901</v>
      </c>
      <c r="AF6900">
        <v>-5.2774323861263204</v>
      </c>
      <c r="AG6900">
        <v>-1.1121115523609999</v>
      </c>
      <c r="AH6900">
        <v>17.701111141229902</v>
      </c>
      <c r="AI6900">
        <v>93.4455205702087</v>
      </c>
      <c r="AJ6900">
        <v>106.601492170824</v>
      </c>
      <c r="AK6900">
        <v>18.5045243205332</v>
      </c>
      <c r="AL6900">
        <v>78.444152280276896</v>
      </c>
      <c r="AM6900">
        <v>99.455788363878696</v>
      </c>
      <c r="AN6900">
        <v>1.00000000887698</v>
      </c>
    </row>
    <row r="6901" spans="1:40" x14ac:dyDescent="0.25">
      <c r="A6901" t="str">
        <f>"20190304155238040"</f>
        <v>20190304155238040</v>
      </c>
      <c r="B6901" t="str">
        <f>"1551685958033254"</f>
        <v>1551685958033254</v>
      </c>
      <c r="C6901" t="s">
        <v>40</v>
      </c>
      <c r="D6901">
        <v>4.9643269999999999</v>
      </c>
      <c r="E6901">
        <v>0.4392993</v>
      </c>
      <c r="F6901" t="s">
        <v>77</v>
      </c>
      <c r="G6901">
        <v>-206.22399999999999</v>
      </c>
      <c r="H6901" s="1">
        <v>-3.1957650000000001E-6</v>
      </c>
      <c r="I6901">
        <v>-57.173630000000003</v>
      </c>
      <c r="J6901">
        <v>-224.5549</v>
      </c>
      <c r="K6901">
        <v>1.112177</v>
      </c>
      <c r="L6901">
        <v>-63.108980000000003</v>
      </c>
      <c r="M6901">
        <v>0.99979770000000001</v>
      </c>
      <c r="N6901">
        <v>-1.3787239999999999E-2</v>
      </c>
      <c r="O6901">
        <v>1.4655339999999999E-2</v>
      </c>
      <c r="P6901">
        <v>0.96653120000000003</v>
      </c>
      <c r="Q6901">
        <v>0.18762039999999999</v>
      </c>
      <c r="R6901">
        <v>0.17497570000000001</v>
      </c>
      <c r="S6901">
        <v>2.9676360000000002</v>
      </c>
      <c r="T6901">
        <v>-0.177627799999999</v>
      </c>
      <c r="U6901">
        <v>0.94885249999999999</v>
      </c>
      <c r="V6901">
        <v>-0.161539299999999</v>
      </c>
      <c r="W6901">
        <v>0.2003614</v>
      </c>
      <c r="X6901">
        <v>0.96631279999999997</v>
      </c>
      <c r="Y6901">
        <v>-0.28997840000000003</v>
      </c>
      <c r="Z6901">
        <v>9.852441E-3</v>
      </c>
      <c r="AA6901">
        <v>0.95698240000000001</v>
      </c>
      <c r="AB6901">
        <v>27</v>
      </c>
      <c r="AC6901">
        <v>18.3308999999999</v>
      </c>
      <c r="AD6901">
        <v>-1.1121801957649999</v>
      </c>
      <c r="AE6901">
        <v>5.9353499999999997</v>
      </c>
      <c r="AF6901">
        <v>-5.6472257567030599</v>
      </c>
      <c r="AG6901">
        <v>-1.1121801957649999</v>
      </c>
      <c r="AH6901">
        <v>18.3547687346001</v>
      </c>
      <c r="AI6901">
        <v>93.314546704253502</v>
      </c>
      <c r="AJ6901">
        <v>107.101601461021</v>
      </c>
      <c r="AK6901">
        <v>19.236050499925199</v>
      </c>
      <c r="AL6901">
        <v>78.4419068612724</v>
      </c>
      <c r="AM6901">
        <v>99.4904248857504</v>
      </c>
      <c r="AN6901">
        <v>1.00000003174914</v>
      </c>
    </row>
    <row r="6902" spans="1:40" x14ac:dyDescent="0.25">
      <c r="A6902" t="str">
        <f>"20190304155238051"</f>
        <v>20190304155238051</v>
      </c>
      <c r="B6902" t="str">
        <f>"1551685958043990"</f>
        <v>1551685958043990</v>
      </c>
      <c r="C6902" t="s">
        <v>40</v>
      </c>
      <c r="D6902">
        <v>4.9197040000000003</v>
      </c>
      <c r="E6902">
        <v>0.43783460000000002</v>
      </c>
      <c r="F6902" t="s">
        <v>77</v>
      </c>
      <c r="G6902">
        <v>-202.8057</v>
      </c>
      <c r="H6902" s="1">
        <v>-5.3139489999999999E-6</v>
      </c>
      <c r="I6902">
        <v>-55.689439999999998</v>
      </c>
      <c r="J6902">
        <v>-224.41399999999999</v>
      </c>
      <c r="K6902">
        <v>1.112215</v>
      </c>
      <c r="L6902">
        <v>-63.105739999999997</v>
      </c>
      <c r="M6902">
        <v>0.99977959999999999</v>
      </c>
      <c r="N6902">
        <v>-1.379464E-2</v>
      </c>
      <c r="O6902">
        <v>1.5824789999999998E-2</v>
      </c>
      <c r="P6902">
        <v>0.96618349999999997</v>
      </c>
      <c r="Q6902">
        <v>0.18753500000000001</v>
      </c>
      <c r="R6902">
        <v>0.1769741</v>
      </c>
      <c r="S6902">
        <v>2.9509280000000002</v>
      </c>
      <c r="T6902">
        <v>-0.15090100000000001</v>
      </c>
      <c r="U6902">
        <v>1.006683</v>
      </c>
      <c r="V6902">
        <v>-0.1624273</v>
      </c>
      <c r="W6902">
        <v>0.2002632</v>
      </c>
      <c r="X6902">
        <v>0.9661843</v>
      </c>
      <c r="Y6902">
        <v>-0.3073959</v>
      </c>
      <c r="Z6902">
        <v>9.2454440000000002E-3</v>
      </c>
      <c r="AA6902">
        <v>0.95153679999999996</v>
      </c>
      <c r="AB6902">
        <v>27</v>
      </c>
      <c r="AC6902">
        <v>21.6083</v>
      </c>
      <c r="AD6902">
        <v>-1.1122203139489999</v>
      </c>
      <c r="AE6902">
        <v>7.4162999999999997</v>
      </c>
      <c r="AF6902">
        <v>-7.0566663743726004</v>
      </c>
      <c r="AG6902">
        <v>-1.1122203139489999</v>
      </c>
      <c r="AH6902">
        <v>21.671601103673801</v>
      </c>
      <c r="AI6902">
        <v>92.793799080230698</v>
      </c>
      <c r="AJ6902">
        <v>108.036188917185</v>
      </c>
      <c r="AK6902">
        <v>22.818673685004502</v>
      </c>
      <c r="AL6902">
        <v>78.447649790557804</v>
      </c>
      <c r="AM6902">
        <v>99.542883832565295</v>
      </c>
      <c r="AN6902">
        <v>1.000000039313</v>
      </c>
    </row>
    <row r="6903" spans="1:40" x14ac:dyDescent="0.25">
      <c r="A6903" t="str">
        <f>"20190304155238063"</f>
        <v>20190304155238063</v>
      </c>
      <c r="B6903" t="str">
        <f>"1551685958053749"</f>
        <v>1551685958053749</v>
      </c>
      <c r="C6903" t="s">
        <v>40</v>
      </c>
      <c r="D6903">
        <v>4.9511029999999998</v>
      </c>
      <c r="E6903">
        <v>0.43685439999999998</v>
      </c>
      <c r="F6903" t="s">
        <v>77</v>
      </c>
      <c r="G6903">
        <v>-202.13290000000001</v>
      </c>
      <c r="H6903" s="1">
        <v>-5.685231E-6</v>
      </c>
      <c r="I6903">
        <v>-55.3628199999999</v>
      </c>
      <c r="J6903">
        <v>-224.27959999999999</v>
      </c>
      <c r="K6903">
        <v>1.112249</v>
      </c>
      <c r="L6903">
        <v>-63.102420000000002</v>
      </c>
      <c r="M6903">
        <v>0.99976089999999995</v>
      </c>
      <c r="N6903">
        <v>-1.3801310000000001E-2</v>
      </c>
      <c r="O6903">
        <v>1.6967400000000001E-2</v>
      </c>
      <c r="P6903">
        <v>0.96594230000000003</v>
      </c>
      <c r="Q6903">
        <v>0.18724440000000001</v>
      </c>
      <c r="R6903">
        <v>0.1785919</v>
      </c>
      <c r="S6903">
        <v>2.9460139999999999</v>
      </c>
      <c r="T6903">
        <v>-0.1470582</v>
      </c>
      <c r="U6903">
        <v>1.023773</v>
      </c>
      <c r="V6903">
        <v>-0.1629572</v>
      </c>
      <c r="W6903">
        <v>0.1999629</v>
      </c>
      <c r="X6903">
        <v>0.9661573</v>
      </c>
      <c r="Y6903">
        <v>-0.31173810000000002</v>
      </c>
      <c r="Z6903">
        <v>9.1746129999999999E-3</v>
      </c>
      <c r="AA6903">
        <v>0.95012379999999996</v>
      </c>
      <c r="AB6903">
        <v>27</v>
      </c>
      <c r="AC6903">
        <v>22.1466999999999</v>
      </c>
      <c r="AD6903">
        <v>-1.112254685231</v>
      </c>
      <c r="AE6903">
        <v>7.7396000000000003</v>
      </c>
      <c r="AF6903">
        <v>-7.3461656230462404</v>
      </c>
      <c r="AG6903">
        <v>-1.112254685231</v>
      </c>
      <c r="AH6903">
        <v>22.224888659473201</v>
      </c>
      <c r="AI6903">
        <v>92.720476629702503</v>
      </c>
      <c r="AJ6903">
        <v>108.290672676344</v>
      </c>
      <c r="AK6903">
        <v>23.4339270241252</v>
      </c>
      <c r="AL6903">
        <v>78.465211276374404</v>
      </c>
      <c r="AM6903">
        <v>99.573703644673202</v>
      </c>
      <c r="AN6903">
        <v>1.00000006937576</v>
      </c>
    </row>
    <row r="6904" spans="1:40" x14ac:dyDescent="0.25">
      <c r="A6904" t="str">
        <f>"20190304155238073"</f>
        <v>20190304155238073</v>
      </c>
      <c r="B6904" t="str">
        <f>"1551685958064018"</f>
        <v>1551685958064018</v>
      </c>
      <c r="C6904" t="s">
        <v>40</v>
      </c>
      <c r="D6904">
        <v>4.9192220000000004</v>
      </c>
      <c r="E6904">
        <v>0.43574889999999999</v>
      </c>
      <c r="F6904" t="s">
        <v>77</v>
      </c>
      <c r="G6904">
        <v>-201.81639999999999</v>
      </c>
      <c r="H6904" s="1">
        <v>-5.8316420000000001E-6</v>
      </c>
      <c r="I6904">
        <v>-55.192360000000001</v>
      </c>
      <c r="J6904">
        <v>-224.14879999999999</v>
      </c>
      <c r="K6904">
        <v>1.112282</v>
      </c>
      <c r="L6904">
        <v>-63.099060000000001</v>
      </c>
      <c r="M6904">
        <v>0.99974099999999999</v>
      </c>
      <c r="N6904">
        <v>-1.3807399999999999E-2</v>
      </c>
      <c r="O6904">
        <v>1.8101030000000001E-2</v>
      </c>
      <c r="P6904">
        <v>0.96567990000000004</v>
      </c>
      <c r="Q6904">
        <v>0.18702079999999999</v>
      </c>
      <c r="R6904">
        <v>0.1802388</v>
      </c>
      <c r="S6904">
        <v>2.9424290000000002</v>
      </c>
      <c r="T6904">
        <v>-0.1456934</v>
      </c>
      <c r="U6904">
        <v>1.036133</v>
      </c>
      <c r="V6904">
        <v>-0.163524799999999</v>
      </c>
      <c r="W6904">
        <v>0.1997292</v>
      </c>
      <c r="X6904">
        <v>0.96610960000000001</v>
      </c>
      <c r="Y6904">
        <v>-0.3145771</v>
      </c>
      <c r="Z6904">
        <v>9.1670450000000004E-3</v>
      </c>
      <c r="AA6904">
        <v>0.94918760000000002</v>
      </c>
      <c r="AB6904">
        <v>27</v>
      </c>
      <c r="AC6904">
        <v>22.3324</v>
      </c>
      <c r="AD6904">
        <v>-1.112287831642</v>
      </c>
      <c r="AE6904">
        <v>7.9066999999999901</v>
      </c>
      <c r="AF6904">
        <v>-7.4846278500519796</v>
      </c>
      <c r="AG6904">
        <v>-1.112287831642</v>
      </c>
      <c r="AH6904">
        <v>22.422447004275099</v>
      </c>
      <c r="AI6904">
        <v>92.693995919573794</v>
      </c>
      <c r="AJ6904">
        <v>108.459044259104</v>
      </c>
      <c r="AK6904">
        <v>23.664804413595299</v>
      </c>
      <c r="AL6904">
        <v>78.478875419730898</v>
      </c>
      <c r="AM6904">
        <v>99.606895108764505</v>
      </c>
      <c r="AN6904">
        <v>0.99999993637991802</v>
      </c>
    </row>
    <row r="6905" spans="1:40" x14ac:dyDescent="0.25">
      <c r="A6905" t="str">
        <f>"20190304155238083"</f>
        <v>20190304155238083</v>
      </c>
      <c r="B6905" t="str">
        <f>"1551685958073779"</f>
        <v>1551685958073779</v>
      </c>
      <c r="C6905" t="s">
        <v>40</v>
      </c>
      <c r="D6905">
        <v>5.9518769999999996</v>
      </c>
      <c r="E6905">
        <v>0.43574889999999999</v>
      </c>
      <c r="F6905" t="s">
        <v>77</v>
      </c>
      <c r="G6905">
        <v>-201.2698</v>
      </c>
      <c r="H6905" s="1">
        <v>-6.0801459999999996E-6</v>
      </c>
      <c r="I6905">
        <v>-54.925910000000002</v>
      </c>
      <c r="J6905">
        <v>-224.02529999999999</v>
      </c>
      <c r="K6905">
        <v>1.112311</v>
      </c>
      <c r="L6905">
        <v>-63.095700000000001</v>
      </c>
      <c r="M6905">
        <v>0.99972050000000001</v>
      </c>
      <c r="N6905">
        <v>-1.381286E-2</v>
      </c>
      <c r="O6905">
        <v>1.9188520000000001E-2</v>
      </c>
      <c r="P6905">
        <v>0.9654045</v>
      </c>
      <c r="Q6905">
        <v>0.1869644</v>
      </c>
      <c r="R6905">
        <v>0.18176519999999999</v>
      </c>
      <c r="S6905">
        <v>2.9383699999999999</v>
      </c>
      <c r="T6905">
        <v>-0.1428519</v>
      </c>
      <c r="U6905">
        <v>1.0496829999999999</v>
      </c>
      <c r="V6905">
        <v>-0.1640172</v>
      </c>
      <c r="W6905">
        <v>0.1996629</v>
      </c>
      <c r="X6905">
        <v>0.96603989999999995</v>
      </c>
      <c r="Y6905">
        <v>-0.3178512</v>
      </c>
      <c r="Z6905">
        <v>9.1067709999999996E-3</v>
      </c>
      <c r="AA6905">
        <v>0.94809690000000002</v>
      </c>
      <c r="AB6905">
        <v>27</v>
      </c>
      <c r="AC6905">
        <v>22.755499999999898</v>
      </c>
      <c r="AD6905">
        <v>-1.1123170801459901</v>
      </c>
      <c r="AE6905">
        <v>8.1697900000000008</v>
      </c>
      <c r="AF6905">
        <v>-7.7152697198428903</v>
      </c>
      <c r="AG6905">
        <v>-1.1123170801459901</v>
      </c>
      <c r="AH6905">
        <v>22.859706854519199</v>
      </c>
      <c r="AI6905">
        <v>92.639661026338501</v>
      </c>
      <c r="AJ6905">
        <v>108.649805743424</v>
      </c>
      <c r="AK6905">
        <v>24.1522014237059</v>
      </c>
      <c r="AL6905">
        <v>78.482752982704099</v>
      </c>
      <c r="AM6905">
        <v>99.635963672644806</v>
      </c>
      <c r="AN6905">
        <v>1.00000000196212</v>
      </c>
    </row>
    <row r="6906" spans="1:40" x14ac:dyDescent="0.25">
      <c r="A6906" t="str">
        <f>"20190304155238094"</f>
        <v>20190304155238094</v>
      </c>
      <c r="B6906" t="str">
        <f>"1551685958083539"</f>
        <v>1551685958083539</v>
      </c>
      <c r="C6906" t="s">
        <v>40</v>
      </c>
      <c r="D6906">
        <v>4.8747749999999996</v>
      </c>
      <c r="E6906">
        <v>0.43686390000000003</v>
      </c>
      <c r="F6906" t="s">
        <v>77</v>
      </c>
      <c r="G6906">
        <v>-201.1978</v>
      </c>
      <c r="H6906" s="1">
        <v>-6.111299E-6</v>
      </c>
      <c r="I6906">
        <v>-54.900829999999999</v>
      </c>
      <c r="J6906">
        <v>-223.90199999999999</v>
      </c>
      <c r="K6906">
        <v>1.112341</v>
      </c>
      <c r="L6906">
        <v>-63.09216</v>
      </c>
      <c r="M6906">
        <v>0.99969859999999999</v>
      </c>
      <c r="N6906">
        <v>-1.3817940000000001E-2</v>
      </c>
      <c r="O6906">
        <v>2.0299950000000001E-2</v>
      </c>
      <c r="P6906">
        <v>0.96514540000000004</v>
      </c>
      <c r="Q6906">
        <v>0.1867644</v>
      </c>
      <c r="R6906">
        <v>0.18334010000000001</v>
      </c>
      <c r="S6906">
        <v>2.9367220000000001</v>
      </c>
      <c r="T6906">
        <v>-0.14309810000000001</v>
      </c>
      <c r="U6906">
        <v>1.05426</v>
      </c>
      <c r="V6906">
        <v>-0.16453429999999999</v>
      </c>
      <c r="W6906">
        <v>0.19945309999999999</v>
      </c>
      <c r="X6906">
        <v>0.9659953</v>
      </c>
      <c r="Y6906">
        <v>-0.31827420000000001</v>
      </c>
      <c r="Z6906">
        <v>9.0969129999999999E-3</v>
      </c>
      <c r="AA6906">
        <v>0.94795510000000005</v>
      </c>
      <c r="AB6906">
        <v>27</v>
      </c>
      <c r="AC6906">
        <v>22.7042</v>
      </c>
      <c r="AD6906">
        <v>-1.112347111299</v>
      </c>
      <c r="AE6906">
        <v>8.19132999999999</v>
      </c>
      <c r="AF6906">
        <v>-7.7123237650073699</v>
      </c>
      <c r="AG6906">
        <v>-1.112347111299</v>
      </c>
      <c r="AH6906">
        <v>22.817359096920899</v>
      </c>
      <c r="AI6906">
        <v>92.644226333068204</v>
      </c>
      <c r="AJ6906">
        <v>108.675380340659</v>
      </c>
      <c r="AK6906">
        <v>24.111182677549198</v>
      </c>
      <c r="AL6906">
        <v>78.495020329168796</v>
      </c>
      <c r="AM6906">
        <v>99.666208754127794</v>
      </c>
      <c r="AN6906">
        <v>0.99999999729909494</v>
      </c>
    </row>
    <row r="6907" spans="1:40" x14ac:dyDescent="0.25">
      <c r="A6907" t="str">
        <f>"20190304155238105"</f>
        <v>20190304155238105</v>
      </c>
      <c r="B6907" t="str">
        <f>"1551685958093299"</f>
        <v>1551685958093299</v>
      </c>
      <c r="C6907" t="s">
        <v>40</v>
      </c>
      <c r="D6907">
        <v>4.2078939999999996</v>
      </c>
      <c r="E6907">
        <v>0.43686390000000003</v>
      </c>
      <c r="F6907" t="s">
        <v>77</v>
      </c>
      <c r="G6907">
        <v>-200.30850000000001</v>
      </c>
      <c r="H6907" s="1">
        <v>-6.4866909999999996E-6</v>
      </c>
      <c r="I6907">
        <v>-54.652299999999997</v>
      </c>
      <c r="J6907">
        <v>-223.7697</v>
      </c>
      <c r="K6907">
        <v>1.112374</v>
      </c>
      <c r="L6907">
        <v>-63.088290000000001</v>
      </c>
      <c r="M6907">
        <v>0.99967320000000004</v>
      </c>
      <c r="N6907">
        <v>-1.3823149999999999E-2</v>
      </c>
      <c r="O6907">
        <v>2.1507800000000001E-2</v>
      </c>
      <c r="P6907">
        <v>0.96485880000000002</v>
      </c>
      <c r="Q6907">
        <v>0.1866854</v>
      </c>
      <c r="R6907">
        <v>0.18492220000000001</v>
      </c>
      <c r="S6907">
        <v>2.935654</v>
      </c>
      <c r="T6907">
        <v>-0.13840520000000001</v>
      </c>
      <c r="U6907">
        <v>1.0501400000000001</v>
      </c>
      <c r="V6907">
        <v>-0.16496669999999999</v>
      </c>
      <c r="W6907">
        <v>0.1993634</v>
      </c>
      <c r="X6907">
        <v>0.96594009999999997</v>
      </c>
      <c r="Y6907">
        <v>-0.31608579999999997</v>
      </c>
      <c r="Z6907">
        <v>8.7817219999999901E-3</v>
      </c>
      <c r="AA6907">
        <v>0.94868989999999997</v>
      </c>
      <c r="AB6907">
        <v>27</v>
      </c>
      <c r="AC6907">
        <v>23.461199999999899</v>
      </c>
      <c r="AD6907">
        <v>-1.1123804866910001</v>
      </c>
      <c r="AE6907">
        <v>8.4359900000000003</v>
      </c>
      <c r="AF6907">
        <v>-7.9136377796019</v>
      </c>
      <c r="AG6907">
        <v>-1.1123804866910001</v>
      </c>
      <c r="AH6907">
        <v>23.590268317127201</v>
      </c>
      <c r="AI6907">
        <v>92.559748205952104</v>
      </c>
      <c r="AJ6907">
        <v>108.544644121017</v>
      </c>
      <c r="AK6907">
        <v>24.907103655944599</v>
      </c>
      <c r="AL6907">
        <v>78.500265440956895</v>
      </c>
      <c r="AM6907">
        <v>99.691673959970302</v>
      </c>
      <c r="AN6907">
        <v>1.0000000270782201</v>
      </c>
    </row>
    <row r="6908" spans="1:40" x14ac:dyDescent="0.25">
      <c r="A6908" t="str">
        <f>"20190304155238116"</f>
        <v>20190304155238116</v>
      </c>
      <c r="B6908" t="str">
        <f>"1551685958113795"</f>
        <v>1551685958113795</v>
      </c>
      <c r="C6908" t="s">
        <v>40</v>
      </c>
      <c r="D6908">
        <v>5.078487</v>
      </c>
      <c r="E6908">
        <v>0.4720492</v>
      </c>
      <c r="F6908" t="s">
        <v>77</v>
      </c>
      <c r="G6908">
        <v>-200.2312</v>
      </c>
      <c r="H6908" s="1">
        <v>-6.5201459999999996E-6</v>
      </c>
      <c r="I6908">
        <v>-54.625230000000002</v>
      </c>
      <c r="J6908">
        <v>-223.63399999999999</v>
      </c>
      <c r="K6908">
        <v>1.112411</v>
      </c>
      <c r="L6908">
        <v>-63.084009999999999</v>
      </c>
      <c r="M6908">
        <v>0.99964470000000005</v>
      </c>
      <c r="N6908">
        <v>-1.3828160000000001E-2</v>
      </c>
      <c r="O6908">
        <v>2.278664E-2</v>
      </c>
      <c r="P6908">
        <v>0.96458100000000002</v>
      </c>
      <c r="Q6908">
        <v>0.18657119999999999</v>
      </c>
      <c r="R6908">
        <v>0.18648010000000001</v>
      </c>
      <c r="S6908">
        <v>2.933929</v>
      </c>
      <c r="T6908">
        <v>-0.13865160000000001</v>
      </c>
      <c r="U6908">
        <v>1.0548709999999999</v>
      </c>
      <c r="V6908">
        <v>-0.16530810000000001</v>
      </c>
      <c r="W6908">
        <v>0.19923859999999999</v>
      </c>
      <c r="X6908">
        <v>0.96590750000000003</v>
      </c>
      <c r="Y6908">
        <v>-0.31640309999999999</v>
      </c>
      <c r="Z6908">
        <v>8.7643679999999998E-3</v>
      </c>
      <c r="AA6908">
        <v>0.94858439999999999</v>
      </c>
      <c r="AB6908">
        <v>27</v>
      </c>
      <c r="AC6908">
        <v>23.402799999999999</v>
      </c>
      <c r="AD6908">
        <v>-1.112417520146</v>
      </c>
      <c r="AE6908">
        <v>8.4587799999999902</v>
      </c>
      <c r="AF6908">
        <v>-7.9074590818036699</v>
      </c>
      <c r="AG6908">
        <v>-1.112417520146</v>
      </c>
      <c r="AH6908">
        <v>23.542441491389599</v>
      </c>
      <c r="AI6908">
        <v>92.564702901780194</v>
      </c>
      <c r="AJ6908">
        <v>108.56622239091899</v>
      </c>
      <c r="AK6908">
        <v>24.859845800910101</v>
      </c>
      <c r="AL6908">
        <v>78.507562528846805</v>
      </c>
      <c r="AM6908">
        <v>99.711670929170594</v>
      </c>
      <c r="AN6908">
        <v>1.0000000431059</v>
      </c>
    </row>
    <row r="6909" spans="1:40" x14ac:dyDescent="0.25">
      <c r="A6909" t="str">
        <f>"20190304155238128"</f>
        <v>20190304155238128</v>
      </c>
      <c r="B6909" t="str">
        <f>"1551685958123554"</f>
        <v>1551685958123554</v>
      </c>
      <c r="C6909" t="s">
        <v>40</v>
      </c>
      <c r="D6909">
        <v>5.0517279999999998</v>
      </c>
      <c r="E6909">
        <v>0.47350569999999997</v>
      </c>
      <c r="F6909" t="s">
        <v>77</v>
      </c>
      <c r="G6909">
        <v>-197.90039999999999</v>
      </c>
      <c r="H6909" s="1">
        <v>-8.4811140000000008E-6</v>
      </c>
      <c r="I6909">
        <v>-56.322150000000001</v>
      </c>
      <c r="J6909">
        <v>-223.50579999999999</v>
      </c>
      <c r="K6909">
        <v>1.1124400000000001</v>
      </c>
      <c r="L6909">
        <v>-63.079900000000002</v>
      </c>
      <c r="M6909">
        <v>0.99961639999999996</v>
      </c>
      <c r="N6909">
        <v>-1.3832779999999999E-2</v>
      </c>
      <c r="O6909">
        <v>2.4002829999999999E-2</v>
      </c>
      <c r="P6909">
        <v>0.96433500000000005</v>
      </c>
      <c r="Q6909">
        <v>0.18651380000000001</v>
      </c>
      <c r="R6909">
        <v>0.18780549999999999</v>
      </c>
      <c r="S6909">
        <v>2.983536</v>
      </c>
      <c r="T6909">
        <v>-0.12897310000000001</v>
      </c>
      <c r="U6909">
        <v>0.7839661</v>
      </c>
      <c r="V6909">
        <v>-0.16547629999999999</v>
      </c>
      <c r="W6909">
        <v>0.1991713</v>
      </c>
      <c r="X6909">
        <v>0.96589259999999999</v>
      </c>
      <c r="Y6909">
        <v>-0.23058719999999999</v>
      </c>
      <c r="Z6909">
        <v>5.8287690000000001E-3</v>
      </c>
      <c r="AA6909">
        <v>0.97303419999999896</v>
      </c>
      <c r="AB6909">
        <v>27</v>
      </c>
      <c r="AC6909">
        <v>25.605399999999999</v>
      </c>
      <c r="AD6909">
        <v>-1.1124484811140001</v>
      </c>
      <c r="AE6909">
        <v>6.7577499999999997</v>
      </c>
      <c r="AF6909">
        <v>-6.1303241613360502</v>
      </c>
      <c r="AG6909">
        <v>-1.1124484811140001</v>
      </c>
      <c r="AH6909">
        <v>25.714864819445499</v>
      </c>
      <c r="AI6909">
        <v>92.409677974331998</v>
      </c>
      <c r="AJ6909">
        <v>103.408811399101</v>
      </c>
      <c r="AK6909">
        <v>26.458886760945699</v>
      </c>
      <c r="AL6909">
        <v>78.51149763734</v>
      </c>
      <c r="AM6909">
        <v>99.721511133463295</v>
      </c>
      <c r="AN6909">
        <v>1.0000000636700599</v>
      </c>
    </row>
    <row r="6910" spans="1:40" x14ac:dyDescent="0.25">
      <c r="A6910" t="str">
        <f>"20190304155238139"</f>
        <v>20190304155238139</v>
      </c>
      <c r="B6910" t="str">
        <f>"1551685958133314"</f>
        <v>1551685958133314</v>
      </c>
      <c r="C6910" t="s">
        <v>40</v>
      </c>
      <c r="D6910">
        <v>5.0458619999999996</v>
      </c>
      <c r="E6910">
        <v>0.47514269999999997</v>
      </c>
      <c r="F6910" t="s">
        <v>77</v>
      </c>
      <c r="G6910">
        <v>-202.00470000000001</v>
      </c>
      <c r="H6910" s="1">
        <v>-5.3224029999999999E-6</v>
      </c>
      <c r="I6910">
        <v>-57.492080000000001</v>
      </c>
      <c r="J6910">
        <v>-223.36269999999999</v>
      </c>
      <c r="K6910">
        <v>1.1124799999999999</v>
      </c>
      <c r="L6910">
        <v>-63.074950000000001</v>
      </c>
      <c r="M6910">
        <v>0.99958130000000001</v>
      </c>
      <c r="N6910">
        <v>-1.384052E-2</v>
      </c>
      <c r="O6910">
        <v>2.541032E-2</v>
      </c>
      <c r="P6910">
        <v>0.96404380000000001</v>
      </c>
      <c r="Q6910">
        <v>0.18652740000000001</v>
      </c>
      <c r="R6910">
        <v>0.18928110000000001</v>
      </c>
      <c r="S6910">
        <v>2.9895779999999998</v>
      </c>
      <c r="T6910">
        <v>-0.15467790000000001</v>
      </c>
      <c r="U6910">
        <v>0.77694700000000005</v>
      </c>
      <c r="V6910">
        <v>-0.16561380000000001</v>
      </c>
      <c r="W6910">
        <v>0.19917599999999999</v>
      </c>
      <c r="X6910">
        <v>0.96586799999999995</v>
      </c>
      <c r="Y6910">
        <v>-0.22650629999999999</v>
      </c>
      <c r="Z6910">
        <v>6.4095080000000004E-3</v>
      </c>
      <c r="AA6910">
        <v>0.97398859999999998</v>
      </c>
      <c r="AB6910">
        <v>27</v>
      </c>
      <c r="AC6910">
        <v>21.357999999999901</v>
      </c>
      <c r="AD6910">
        <v>-1.112485322403</v>
      </c>
      <c r="AE6910">
        <v>5.5828699999999998</v>
      </c>
      <c r="AF6910">
        <v>-5.0255385868151299</v>
      </c>
      <c r="AG6910">
        <v>-1.112485322403</v>
      </c>
      <c r="AH6910">
        <v>21.438533380243001</v>
      </c>
      <c r="AI6910">
        <v>92.892255232392699</v>
      </c>
      <c r="AJ6910">
        <v>103.192845973304</v>
      </c>
      <c r="AK6910">
        <v>22.0477748350241</v>
      </c>
      <c r="AL6910">
        <v>78.511222118330494</v>
      </c>
      <c r="AM6910">
        <v>99.729677806754097</v>
      </c>
      <c r="AN6910">
        <v>1.00000000157522</v>
      </c>
    </row>
    <row r="6911" spans="1:40" x14ac:dyDescent="0.25">
      <c r="A6911" t="str">
        <f>"20190304155238151"</f>
        <v>20190304155238151</v>
      </c>
      <c r="B6911" t="str">
        <f>"1551685958144050"</f>
        <v>1551685958144050</v>
      </c>
      <c r="C6911" t="s">
        <v>40</v>
      </c>
      <c r="D6911">
        <v>5.0298660000000002</v>
      </c>
      <c r="E6911">
        <v>0.4762941</v>
      </c>
      <c r="F6911" t="s">
        <v>77</v>
      </c>
      <c r="G6911">
        <v>-203.30770000000001</v>
      </c>
      <c r="H6911" s="1">
        <v>-4.563031E-6</v>
      </c>
      <c r="I6911">
        <v>-57.922600000000003</v>
      </c>
      <c r="J6911">
        <v>-223.2234</v>
      </c>
      <c r="K6911">
        <v>1.112517</v>
      </c>
      <c r="L6911">
        <v>-63.069980000000001</v>
      </c>
      <c r="M6911">
        <v>0.99954500000000002</v>
      </c>
      <c r="N6911">
        <v>-1.384866E-2</v>
      </c>
      <c r="O6911">
        <v>2.6797000000000001E-2</v>
      </c>
      <c r="P6911">
        <v>0.96371249999999997</v>
      </c>
      <c r="Q6911">
        <v>0.18654399999999999</v>
      </c>
      <c r="R6911">
        <v>0.19094449999999999</v>
      </c>
      <c r="S6911">
        <v>2.9930729999999999</v>
      </c>
      <c r="T6911">
        <v>-0.16603029999999999</v>
      </c>
      <c r="U6911">
        <v>0.76895139999999995</v>
      </c>
      <c r="V6911">
        <v>-0.16595989999999999</v>
      </c>
      <c r="W6911">
        <v>0.19918259999999999</v>
      </c>
      <c r="X6911">
        <v>0.96580730000000004</v>
      </c>
      <c r="Y6911">
        <v>-0.22240080000000001</v>
      </c>
      <c r="Z6911">
        <v>6.5365800000000002E-3</v>
      </c>
      <c r="AA6911">
        <v>0.97493339999999995</v>
      </c>
      <c r="AB6911">
        <v>27</v>
      </c>
      <c r="AC6911">
        <v>19.915699999999902</v>
      </c>
      <c r="AD6911">
        <v>-1.1125215630309999</v>
      </c>
      <c r="AE6911">
        <v>5.1473800000000001</v>
      </c>
      <c r="AF6911">
        <v>-4.5983483418433204</v>
      </c>
      <c r="AG6911">
        <v>-1.1125215630309999</v>
      </c>
      <c r="AH6911">
        <v>19.988027178466901</v>
      </c>
      <c r="AI6911">
        <v>93.104823751535903</v>
      </c>
      <c r="AJ6911">
        <v>102.955764903446</v>
      </c>
      <c r="AK6911">
        <v>20.540295572076701</v>
      </c>
      <c r="AL6911">
        <v>78.510837015289795</v>
      </c>
      <c r="AM6911">
        <v>99.750222055194698</v>
      </c>
      <c r="AN6911">
        <v>1.0000000686420201</v>
      </c>
    </row>
    <row r="6912" spans="1:40" x14ac:dyDescent="0.25">
      <c r="A6912" t="str">
        <f>"20190304155238161"</f>
        <v>20190304155238161</v>
      </c>
      <c r="B6912" t="str">
        <f>"1551685958153810"</f>
        <v>1551685958153810</v>
      </c>
      <c r="C6912" t="s">
        <v>40</v>
      </c>
      <c r="D6912">
        <v>5.0375740000000002</v>
      </c>
      <c r="E6912">
        <v>0.47713840000000002</v>
      </c>
      <c r="F6912" t="s">
        <v>77</v>
      </c>
      <c r="G6912">
        <v>-203.97290000000001</v>
      </c>
      <c r="H6912" s="1">
        <v>-4.1735440000000003E-6</v>
      </c>
      <c r="I6912">
        <v>-58.15061</v>
      </c>
      <c r="J6912">
        <v>-223.10169999999999</v>
      </c>
      <c r="K6912">
        <v>1.1125529999999999</v>
      </c>
      <c r="L6912">
        <v>-63.065429999999999</v>
      </c>
      <c r="M6912">
        <v>0.99951089999999998</v>
      </c>
      <c r="N6912">
        <v>-1.385696E-2</v>
      </c>
      <c r="O6912">
        <v>2.80346E-2</v>
      </c>
      <c r="P6912">
        <v>0.96333369999999996</v>
      </c>
      <c r="Q6912">
        <v>0.18695410000000001</v>
      </c>
      <c r="R6912">
        <v>0.19244900000000001</v>
      </c>
      <c r="S6912">
        <v>2.9948579999999998</v>
      </c>
      <c r="T6912">
        <v>-0.17307819999999999</v>
      </c>
      <c r="U6912">
        <v>0.76531979999999999</v>
      </c>
      <c r="V6912">
        <v>-0.16629279999999999</v>
      </c>
      <c r="W6912">
        <v>0.1995844</v>
      </c>
      <c r="X6912">
        <v>0.96566700000000005</v>
      </c>
      <c r="Y6912">
        <v>-0.21992100000000001</v>
      </c>
      <c r="Z6912">
        <v>6.5895179999999999E-3</v>
      </c>
      <c r="AA6912">
        <v>0.97549549999999996</v>
      </c>
      <c r="AB6912">
        <v>27</v>
      </c>
      <c r="AC6912">
        <v>19.128799999999899</v>
      </c>
      <c r="AD6912">
        <v>-1.1125571735439901</v>
      </c>
      <c r="AE6912">
        <v>4.9148199999999997</v>
      </c>
      <c r="AF6912">
        <v>-4.3627240525413598</v>
      </c>
      <c r="AG6912">
        <v>-1.1125571735439901</v>
      </c>
      <c r="AH6912">
        <v>19.198157483568401</v>
      </c>
      <c r="AI6912">
        <v>93.234371971180593</v>
      </c>
      <c r="AJ6912">
        <v>102.80286541179601</v>
      </c>
      <c r="AK6912">
        <v>19.719036370647601</v>
      </c>
      <c r="AL6912">
        <v>78.487342965652999</v>
      </c>
      <c r="AM6912">
        <v>99.770795597740701</v>
      </c>
      <c r="AN6912">
        <v>0.99999999147209995</v>
      </c>
    </row>
    <row r="6913" spans="1:40" x14ac:dyDescent="0.25">
      <c r="A6913" t="str">
        <f>"20190304155238173"</f>
        <v>20190304155238173</v>
      </c>
      <c r="B6913" t="str">
        <f>"1551685958164078"</f>
        <v>1551685958164078</v>
      </c>
      <c r="C6913" t="s">
        <v>40</v>
      </c>
      <c r="D6913">
        <v>5.1302279999999998</v>
      </c>
      <c r="E6913">
        <v>0.4783191</v>
      </c>
      <c r="F6913" t="s">
        <v>77</v>
      </c>
      <c r="G6913">
        <v>-204.45959999999999</v>
      </c>
      <c r="H6913" s="1">
        <v>-3.8894410000000001E-6</v>
      </c>
      <c r="I6913">
        <v>-58.313330000000001</v>
      </c>
      <c r="J6913">
        <v>-222.9598</v>
      </c>
      <c r="K6913">
        <v>1.1125929999999999</v>
      </c>
      <c r="L6913">
        <v>-63.059910000000002</v>
      </c>
      <c r="M6913">
        <v>0.99946849999999998</v>
      </c>
      <c r="N6913">
        <v>-1.386713E-2</v>
      </c>
      <c r="O6913">
        <v>2.9503089999999999E-2</v>
      </c>
      <c r="P6913">
        <v>0.96304679999999998</v>
      </c>
      <c r="Q6913">
        <v>0.18677060000000001</v>
      </c>
      <c r="R6913">
        <v>0.1940559</v>
      </c>
      <c r="S6913">
        <v>2.9963069999999998</v>
      </c>
      <c r="T6913">
        <v>-0.178818899999999</v>
      </c>
      <c r="U6913">
        <v>0.76379390000000003</v>
      </c>
      <c r="V6913">
        <v>-0.1665015</v>
      </c>
      <c r="W6913">
        <v>0.19939519999999999</v>
      </c>
      <c r="X6913">
        <v>0.96567020000000003</v>
      </c>
      <c r="Y6913">
        <v>-0.21788979999999999</v>
      </c>
      <c r="Z6913">
        <v>6.6033380000000003E-3</v>
      </c>
      <c r="AA6913">
        <v>0.97595100000000001</v>
      </c>
      <c r="AB6913">
        <v>27</v>
      </c>
      <c r="AC6913">
        <v>18.5002</v>
      </c>
      <c r="AD6913">
        <v>-1.1125968894410001</v>
      </c>
      <c r="AE6913">
        <v>4.7465799999999803</v>
      </c>
      <c r="AF6913">
        <v>-4.1844482833537597</v>
      </c>
      <c r="AG6913">
        <v>-1.1125968894410001</v>
      </c>
      <c r="AH6913">
        <v>18.569184571551101</v>
      </c>
      <c r="AI6913">
        <v>93.345168004267705</v>
      </c>
      <c r="AJ6913">
        <v>102.69912438134401</v>
      </c>
      <c r="AK6913">
        <v>19.0673043434773</v>
      </c>
      <c r="AL6913">
        <v>78.498406548943194</v>
      </c>
      <c r="AM6913">
        <v>99.782789507766694</v>
      </c>
      <c r="AN6913">
        <v>1.0000000652266601</v>
      </c>
    </row>
    <row r="6914" spans="1:40" x14ac:dyDescent="0.25">
      <c r="A6914" t="str">
        <f>"20190304155238184"</f>
        <v>20190304155238184</v>
      </c>
      <c r="B6914" t="str">
        <f>"1551685958173838"</f>
        <v>1551685958173838</v>
      </c>
      <c r="C6914" t="s">
        <v>40</v>
      </c>
      <c r="D6914">
        <v>5.0456269999999996</v>
      </c>
      <c r="E6914">
        <v>0.47875040000000002</v>
      </c>
      <c r="F6914" t="s">
        <v>77</v>
      </c>
      <c r="G6914">
        <v>-205.17750000000001</v>
      </c>
      <c r="H6914" s="1">
        <v>-3.4620449999999998E-6</v>
      </c>
      <c r="I6914">
        <v>-58.554200000000002</v>
      </c>
      <c r="J6914">
        <v>-222.83199999999999</v>
      </c>
      <c r="K6914">
        <v>1.1126290000000001</v>
      </c>
      <c r="L6914">
        <v>-63.054780000000001</v>
      </c>
      <c r="M6914">
        <v>0.99942779999999998</v>
      </c>
      <c r="N6914">
        <v>-1.387672E-2</v>
      </c>
      <c r="O6914">
        <v>3.0847630000000001E-2</v>
      </c>
      <c r="P6914">
        <v>0.96271099999999998</v>
      </c>
      <c r="Q6914">
        <v>0.18692400000000001</v>
      </c>
      <c r="R6914">
        <v>0.19556789999999999</v>
      </c>
      <c r="S6914">
        <v>2.9983979999999999</v>
      </c>
      <c r="T6914">
        <v>-0.18760199999999999</v>
      </c>
      <c r="U6914">
        <v>0.7597351</v>
      </c>
      <c r="V6914">
        <v>-0.16673769999999999</v>
      </c>
      <c r="W6914">
        <v>0.19954230000000001</v>
      </c>
      <c r="X6914">
        <v>0.96559899999999999</v>
      </c>
      <c r="Y6914">
        <v>-0.21514330000000001</v>
      </c>
      <c r="Z6914">
        <v>6.6627149999999996E-3</v>
      </c>
      <c r="AA6914">
        <v>0.97655979999999998</v>
      </c>
      <c r="AB6914">
        <v>27</v>
      </c>
      <c r="AC6914">
        <v>17.654499999999899</v>
      </c>
      <c r="AD6914">
        <v>-1.1126324620450001</v>
      </c>
      <c r="AE6914">
        <v>4.5005800000000002</v>
      </c>
      <c r="AF6914">
        <v>-3.9390950694975602</v>
      </c>
      <c r="AG6914">
        <v>-1.1126324620450001</v>
      </c>
      <c r="AH6914">
        <v>17.7188600314844</v>
      </c>
      <c r="AI6914">
        <v>93.507683711263994</v>
      </c>
      <c r="AJ6914">
        <v>102.533647375043</v>
      </c>
      <c r="AK6914">
        <v>18.185500316941301</v>
      </c>
      <c r="AL6914">
        <v>78.489804844354097</v>
      </c>
      <c r="AM6914">
        <v>99.797107076252303</v>
      </c>
      <c r="AN6914">
        <v>1.0000000094457899</v>
      </c>
    </row>
    <row r="6915" spans="1:40" x14ac:dyDescent="0.25">
      <c r="A6915" t="str">
        <f>"20190304155238196"</f>
        <v>20190304155238196</v>
      </c>
      <c r="B6915" t="str">
        <f>"1551685958193358"</f>
        <v>1551685958193358</v>
      </c>
      <c r="C6915" t="s">
        <v>40</v>
      </c>
      <c r="D6915">
        <v>5.1420130000000004</v>
      </c>
      <c r="E6915">
        <v>0.4797361</v>
      </c>
      <c r="F6915" t="s">
        <v>77</v>
      </c>
      <c r="G6915">
        <v>-205.2518</v>
      </c>
      <c r="H6915" s="1">
        <v>-3.4126900000000001E-6</v>
      </c>
      <c r="I6915">
        <v>-58.59346</v>
      </c>
      <c r="J6915">
        <v>-222.69220000000001</v>
      </c>
      <c r="K6915">
        <v>1.112671</v>
      </c>
      <c r="L6915">
        <v>-63.048859999999998</v>
      </c>
      <c r="M6915">
        <v>0.99938000000000005</v>
      </c>
      <c r="N6915">
        <v>-1.388724E-2</v>
      </c>
      <c r="O6915">
        <v>3.2355620000000002E-2</v>
      </c>
      <c r="P6915">
        <v>0.96234330000000001</v>
      </c>
      <c r="Q6915">
        <v>0.18713779999999999</v>
      </c>
      <c r="R6915">
        <v>0.19716739999999999</v>
      </c>
      <c r="S6915">
        <v>2.9984890000000002</v>
      </c>
      <c r="T6915">
        <v>-0.1897712</v>
      </c>
      <c r="U6915">
        <v>0.76092530000000003</v>
      </c>
      <c r="V6915">
        <v>-0.16690539999999901</v>
      </c>
      <c r="W6915">
        <v>0.19974929999999999</v>
      </c>
      <c r="X6915">
        <v>0.96552720000000003</v>
      </c>
      <c r="Y6915">
        <v>-0.21402199999999999</v>
      </c>
      <c r="Z6915">
        <v>6.6026030000000003E-3</v>
      </c>
      <c r="AA6915">
        <v>0.97680650000000002</v>
      </c>
      <c r="AB6915">
        <v>27</v>
      </c>
      <c r="AC6915">
        <v>17.4404</v>
      </c>
      <c r="AD6915">
        <v>-1.1126744126899999</v>
      </c>
      <c r="AE6915">
        <v>4.4553999999999903</v>
      </c>
      <c r="AF6915">
        <v>-3.8739155651843098</v>
      </c>
      <c r="AG6915">
        <v>-1.1126744126899999</v>
      </c>
      <c r="AH6915">
        <v>17.5085393517545</v>
      </c>
      <c r="AI6915">
        <v>93.550633674971095</v>
      </c>
      <c r="AJ6915">
        <v>102.47618574618799</v>
      </c>
      <c r="AK6915">
        <v>17.9664747901965</v>
      </c>
      <c r="AL6915">
        <v>78.477700654563193</v>
      </c>
      <c r="AM6915">
        <v>99.807484600319</v>
      </c>
      <c r="AN6915">
        <v>0.99999998466974405</v>
      </c>
    </row>
    <row r="6916" spans="1:40" x14ac:dyDescent="0.25">
      <c r="A6916" t="str">
        <f>"20190304155238209"</f>
        <v>20190304155238209</v>
      </c>
      <c r="B6916" t="str">
        <f>"1551685958204093"</f>
        <v>1551685958204093</v>
      </c>
      <c r="C6916" t="s">
        <v>40</v>
      </c>
      <c r="D6916">
        <v>5.0897750000000004</v>
      </c>
      <c r="E6916">
        <v>0.47963460000000002</v>
      </c>
      <c r="F6916" t="s">
        <v>77</v>
      </c>
      <c r="G6916">
        <v>-205.7911</v>
      </c>
      <c r="H6916" s="1">
        <v>-3.074396E-6</v>
      </c>
      <c r="I6916">
        <v>-58.776910000000001</v>
      </c>
      <c r="J6916">
        <v>-222.54050000000001</v>
      </c>
      <c r="K6916">
        <v>1.112714</v>
      </c>
      <c r="L6916">
        <v>-63.042270000000002</v>
      </c>
      <c r="M6916">
        <v>0.99932480000000001</v>
      </c>
      <c r="N6916">
        <v>-1.3898519999999999E-2</v>
      </c>
      <c r="O6916">
        <v>3.4012290000000001E-2</v>
      </c>
      <c r="P6916">
        <v>0.96203399999999994</v>
      </c>
      <c r="Q6916">
        <v>0.18703310000000001</v>
      </c>
      <c r="R6916">
        <v>0.198769</v>
      </c>
      <c r="S6916">
        <v>3.0004270000000002</v>
      </c>
      <c r="T6916">
        <v>-0.1975315</v>
      </c>
      <c r="U6916">
        <v>0.75839230000000002</v>
      </c>
      <c r="V6916">
        <v>-0.16693039999999901</v>
      </c>
      <c r="W6916">
        <v>0.19964000000000001</v>
      </c>
      <c r="X6916">
        <v>0.96554549999999995</v>
      </c>
      <c r="Y6916">
        <v>-0.21145220000000001</v>
      </c>
      <c r="Z6916">
        <v>6.6057049999999999E-3</v>
      </c>
      <c r="AA6916">
        <v>0.97736599999999996</v>
      </c>
      <c r="AB6916">
        <v>27</v>
      </c>
      <c r="AC6916">
        <v>16.749400000000001</v>
      </c>
      <c r="AD6916">
        <v>-1.112717074396</v>
      </c>
      <c r="AE6916">
        <v>4.2653599999999896</v>
      </c>
      <c r="AF6916">
        <v>-3.6779077369255999</v>
      </c>
      <c r="AG6916">
        <v>-1.112717074396</v>
      </c>
      <c r="AH6916">
        <v>16.8151039998525</v>
      </c>
      <c r="AI6916">
        <v>93.698760386877595</v>
      </c>
      <c r="AJ6916">
        <v>102.337798705361</v>
      </c>
      <c r="AK6916">
        <v>17.248561306232101</v>
      </c>
      <c r="AL6916">
        <v>78.484091995493699</v>
      </c>
      <c r="AM6916">
        <v>99.8087427876753</v>
      </c>
      <c r="AN6916">
        <v>1.0000000003072</v>
      </c>
    </row>
    <row r="6917" spans="1:40" x14ac:dyDescent="0.25">
      <c r="A6917" t="str">
        <f>"20190304155238222"</f>
        <v>20190304155238222</v>
      </c>
      <c r="B6917" t="str">
        <f>"1551685958213854"</f>
        <v>1551685958213854</v>
      </c>
      <c r="C6917" t="s">
        <v>40</v>
      </c>
      <c r="D6917">
        <v>5.0556020000000004</v>
      </c>
      <c r="E6917">
        <v>0.47983350000000002</v>
      </c>
      <c r="F6917" t="s">
        <v>77</v>
      </c>
      <c r="G6917">
        <v>-206.15</v>
      </c>
      <c r="H6917" s="1">
        <v>-2.822781E-6</v>
      </c>
      <c r="I6917">
        <v>-58.865130000000001</v>
      </c>
      <c r="J6917">
        <v>-222.38159999999999</v>
      </c>
      <c r="K6917">
        <v>1.112757</v>
      </c>
      <c r="L6917">
        <v>-63.034970000000001</v>
      </c>
      <c r="M6917">
        <v>0.99926219999999999</v>
      </c>
      <c r="N6917">
        <v>-1.391E-2</v>
      </c>
      <c r="O6917">
        <v>3.5800459999999999E-2</v>
      </c>
      <c r="P6917">
        <v>0.96164079999999996</v>
      </c>
      <c r="Q6917">
        <v>0.18698899999999999</v>
      </c>
      <c r="R6917">
        <v>0.20070440000000001</v>
      </c>
      <c r="S6917">
        <v>3.0000149999999999</v>
      </c>
      <c r="T6917">
        <v>-0.20366480000000001</v>
      </c>
      <c r="U6917">
        <v>0.76455689999999998</v>
      </c>
      <c r="V6917">
        <v>-0.16716610000000001</v>
      </c>
      <c r="W6917">
        <v>0.19958809999999999</v>
      </c>
      <c r="X6917">
        <v>0.96551540000000002</v>
      </c>
      <c r="Y6917">
        <v>-0.2115977</v>
      </c>
      <c r="Z6917">
        <v>6.6624400000000004E-3</v>
      </c>
      <c r="AA6917">
        <v>0.97733409999999998</v>
      </c>
      <c r="AB6917">
        <v>27</v>
      </c>
      <c r="AC6917">
        <v>16.231599999999901</v>
      </c>
      <c r="AD6917">
        <v>-1.1127598227810001</v>
      </c>
      <c r="AE6917">
        <v>4.1698399999999802</v>
      </c>
      <c r="AF6917">
        <v>-3.5702707320775202</v>
      </c>
      <c r="AG6917">
        <v>-1.1127598227810001</v>
      </c>
      <c r="AH6917">
        <v>16.298631354778401</v>
      </c>
      <c r="AI6917">
        <v>93.815512459190501</v>
      </c>
      <c r="AJ6917">
        <v>102.355676321159</v>
      </c>
      <c r="AK6917">
        <v>16.7221545131748</v>
      </c>
      <c r="AL6917">
        <v>78.487126147773594</v>
      </c>
      <c r="AM6917">
        <v>99.822623068063294</v>
      </c>
      <c r="AN6917">
        <v>0.99999995114398799</v>
      </c>
    </row>
    <row r="6918" spans="1:40" x14ac:dyDescent="0.25">
      <c r="A6918" t="str">
        <f>"20190304155238234"</f>
        <v>20190304155238234</v>
      </c>
      <c r="B6918" t="str">
        <f>"1551685958223614"</f>
        <v>1551685958223614</v>
      </c>
      <c r="C6918" t="s">
        <v>40</v>
      </c>
      <c r="D6918">
        <v>5.0629589999999904</v>
      </c>
      <c r="E6918">
        <v>0.48006399999999999</v>
      </c>
      <c r="F6918" t="s">
        <v>77</v>
      </c>
      <c r="G6918">
        <v>-206.04669999999999</v>
      </c>
      <c r="H6918" s="1">
        <v>-2.894047E-6</v>
      </c>
      <c r="I6918">
        <v>-58.844070000000002</v>
      </c>
      <c r="J6918">
        <v>-222.23920000000001</v>
      </c>
      <c r="K6918">
        <v>1.1127899999999999</v>
      </c>
      <c r="L6918">
        <v>-63.028170000000003</v>
      </c>
      <c r="M6918">
        <v>0.99920229999999999</v>
      </c>
      <c r="N6918">
        <v>-1.3919890000000001E-2</v>
      </c>
      <c r="O6918">
        <v>3.7429980000000002E-2</v>
      </c>
      <c r="P6918">
        <v>0.96141730000000003</v>
      </c>
      <c r="Q6918">
        <v>0.1866207</v>
      </c>
      <c r="R6918">
        <v>0.2021124</v>
      </c>
      <c r="S6918">
        <v>2.9988100000000002</v>
      </c>
      <c r="T6918">
        <v>-0.2042841</v>
      </c>
      <c r="U6918">
        <v>0.76937869999999997</v>
      </c>
      <c r="V6918">
        <v>-0.16701830000000001</v>
      </c>
      <c r="W6918">
        <v>0.1992167</v>
      </c>
      <c r="X6918">
        <v>0.96561770000000002</v>
      </c>
      <c r="Y6918">
        <v>-0.21157239999999999</v>
      </c>
      <c r="Z6918">
        <v>6.591703E-3</v>
      </c>
      <c r="AA6918">
        <v>0.97734010000000004</v>
      </c>
      <c r="AB6918">
        <v>27</v>
      </c>
      <c r="AC6918">
        <v>16.192499999999999</v>
      </c>
      <c r="AD6918">
        <v>-1.112792894047</v>
      </c>
      <c r="AE6918">
        <v>4.1840999999999999</v>
      </c>
      <c r="AF6918">
        <v>-3.5592661291917</v>
      </c>
      <c r="AG6918">
        <v>-1.112792894047</v>
      </c>
      <c r="AH6918">
        <v>16.265764901812499</v>
      </c>
      <c r="AI6918">
        <v>93.823498804993804</v>
      </c>
      <c r="AJ6918">
        <v>102.342886043045</v>
      </c>
      <c r="AK6918">
        <v>16.687773705455399</v>
      </c>
      <c r="AL6918">
        <v>78.508842174007995</v>
      </c>
      <c r="AM6918">
        <v>99.813087822935699</v>
      </c>
      <c r="AN6918">
        <v>0.99999997432353405</v>
      </c>
    </row>
    <row r="6919" spans="1:40" x14ac:dyDescent="0.25">
      <c r="A6919" t="str">
        <f>"20190304155238244"</f>
        <v>20190304155238244</v>
      </c>
      <c r="B6919" t="str">
        <f>"1551685958233374"</f>
        <v>1551685958233374</v>
      </c>
      <c r="C6919" t="s">
        <v>40</v>
      </c>
      <c r="D6919">
        <v>5.0561360000000004</v>
      </c>
      <c r="E6919">
        <v>0.48019279999999998</v>
      </c>
      <c r="F6919" t="s">
        <v>77</v>
      </c>
      <c r="G6919">
        <v>-206.01570000000001</v>
      </c>
      <c r="H6919" s="1">
        <v>-2.9116889999999999E-6</v>
      </c>
      <c r="I6919">
        <v>-58.851889999999997</v>
      </c>
      <c r="J6919">
        <v>-222.1174</v>
      </c>
      <c r="K6919">
        <v>1.1128209999999901</v>
      </c>
      <c r="L6919">
        <v>-63.02216</v>
      </c>
      <c r="M6919">
        <v>0.99914840000000005</v>
      </c>
      <c r="N6919">
        <v>-1.392811E-2</v>
      </c>
      <c r="O6919">
        <v>3.8840529999999998E-2</v>
      </c>
      <c r="P6919">
        <v>0.96116659999999998</v>
      </c>
      <c r="Q6919">
        <v>0.1862268</v>
      </c>
      <c r="R6919">
        <v>0.20366300000000001</v>
      </c>
      <c r="S6919">
        <v>2.9980470000000001</v>
      </c>
      <c r="T6919">
        <v>-0.20563970000000001</v>
      </c>
      <c r="U6919">
        <v>0.77175899999999997</v>
      </c>
      <c r="V6919">
        <v>-0.16722319999999999</v>
      </c>
      <c r="W6919">
        <v>0.1988181</v>
      </c>
      <c r="X6919">
        <v>0.96566439999999998</v>
      </c>
      <c r="Y6919">
        <v>-0.210978</v>
      </c>
      <c r="Z6919">
        <v>6.5243519999999998E-3</v>
      </c>
      <c r="AA6919">
        <v>0.97746900000000003</v>
      </c>
      <c r="AB6919">
        <v>27</v>
      </c>
      <c r="AC6919">
        <v>16.101699999999902</v>
      </c>
      <c r="AD6919">
        <v>-1.11282391168899</v>
      </c>
      <c r="AE6919">
        <v>4.1702699999999897</v>
      </c>
      <c r="AF6919">
        <v>-3.5258807218413102</v>
      </c>
      <c r="AG6919">
        <v>-1.11282391168899</v>
      </c>
      <c r="AH6919">
        <v>16.179117308603299</v>
      </c>
      <c r="AI6919">
        <v>93.844733520875096</v>
      </c>
      <c r="AJ6919">
        <v>102.29412658757499</v>
      </c>
      <c r="AK6919">
        <v>16.596205855816201</v>
      </c>
      <c r="AL6919">
        <v>78.532146570207104</v>
      </c>
      <c r="AM6919">
        <v>99.824426284147094</v>
      </c>
      <c r="AN6919">
        <v>0.99999998446660399</v>
      </c>
    </row>
    <row r="6920" spans="1:40" x14ac:dyDescent="0.25">
      <c r="A6920" t="str">
        <f>"20190304155238255"</f>
        <v>20190304155238255</v>
      </c>
      <c r="B6920" t="str">
        <f>"1551685958244111"</f>
        <v>1551685958244111</v>
      </c>
      <c r="C6920" t="s">
        <v>40</v>
      </c>
      <c r="D6920">
        <v>5.0485170000000004</v>
      </c>
      <c r="E6920">
        <v>0.4803385</v>
      </c>
      <c r="F6920" t="s">
        <v>77</v>
      </c>
      <c r="G6920">
        <v>-206.04239999999999</v>
      </c>
      <c r="H6920" s="1">
        <v>-2.891676E-6</v>
      </c>
      <c r="I6920">
        <v>-58.863340000000001</v>
      </c>
      <c r="J6920">
        <v>-221.99340000000001</v>
      </c>
      <c r="K6920">
        <v>1.112851</v>
      </c>
      <c r="L6920">
        <v>-63.015779999999999</v>
      </c>
      <c r="M6920">
        <v>0.99909020000000004</v>
      </c>
      <c r="N6920">
        <v>-1.3936169999999999E-2</v>
      </c>
      <c r="O6920">
        <v>4.0307570000000001E-2</v>
      </c>
      <c r="P6920">
        <v>0.96093249999999997</v>
      </c>
      <c r="Q6920">
        <v>0.18577099999999999</v>
      </c>
      <c r="R6920">
        <v>0.20517840000000001</v>
      </c>
      <c r="S6920">
        <v>2.9971160000000001</v>
      </c>
      <c r="T6920">
        <v>-0.20748069999999999</v>
      </c>
      <c r="U6920">
        <v>0.77539060000000004</v>
      </c>
      <c r="V6920">
        <v>-0.1673376</v>
      </c>
      <c r="W6920">
        <v>0.19835729999999999</v>
      </c>
      <c r="X6920">
        <v>0.96573940000000003</v>
      </c>
      <c r="Y6920">
        <v>-0.2107212</v>
      </c>
      <c r="Z6920">
        <v>6.4766779999999996E-3</v>
      </c>
      <c r="AA6920">
        <v>0.97752479999999997</v>
      </c>
      <c r="AB6920">
        <v>27</v>
      </c>
      <c r="AC6920">
        <v>15.951000000000001</v>
      </c>
      <c r="AD6920">
        <v>-1.112853891676</v>
      </c>
      <c r="AE6920">
        <v>4.1524400000000004</v>
      </c>
      <c r="AF6920">
        <v>-3.49014641450034</v>
      </c>
      <c r="AG6920">
        <v>-1.112853891676</v>
      </c>
      <c r="AH6920">
        <v>16.0323417946185</v>
      </c>
      <c r="AI6920">
        <v>93.880117142673299</v>
      </c>
      <c r="AJ6920">
        <v>102.281339376894</v>
      </c>
      <c r="AK6920">
        <v>16.4455328037233</v>
      </c>
      <c r="AL6920">
        <v>78.559085636766099</v>
      </c>
      <c r="AM6920">
        <v>99.830267641398706</v>
      </c>
      <c r="AN6920">
        <v>1.0000000397747</v>
      </c>
    </row>
    <row r="6921" spans="1:40" x14ac:dyDescent="0.25">
      <c r="A6921" t="str">
        <f>"20190304155238265"</f>
        <v>20190304155238265</v>
      </c>
      <c r="B6921" t="str">
        <f>"1551685958253870"</f>
        <v>1551685958253870</v>
      </c>
      <c r="C6921" t="s">
        <v>40</v>
      </c>
      <c r="D6921">
        <v>5.0748220000000002</v>
      </c>
      <c r="E6921">
        <v>0.48045339999999997</v>
      </c>
      <c r="F6921" t="s">
        <v>77</v>
      </c>
      <c r="G6921">
        <v>-206.16399999999999</v>
      </c>
      <c r="H6921" s="1">
        <v>-2.8041209999999999E-6</v>
      </c>
      <c r="I6921">
        <v>-58.901820000000001</v>
      </c>
      <c r="J6921">
        <v>-221.8707</v>
      </c>
      <c r="K6921">
        <v>1.112878</v>
      </c>
      <c r="L6921">
        <v>-63.009369999999997</v>
      </c>
      <c r="M6921">
        <v>0.99903019999999998</v>
      </c>
      <c r="N6921">
        <v>-1.394396E-2</v>
      </c>
      <c r="O6921">
        <v>4.1768520000000003E-2</v>
      </c>
      <c r="P6921">
        <v>0.96061390000000002</v>
      </c>
      <c r="Q6921">
        <v>0.1856196</v>
      </c>
      <c r="R6921">
        <v>0.20680100000000001</v>
      </c>
      <c r="S6921">
        <v>2.9964140000000001</v>
      </c>
      <c r="T6921">
        <v>-0.21065700000000001</v>
      </c>
      <c r="U6921">
        <v>0.77874759999999998</v>
      </c>
      <c r="V6921">
        <v>-0.1675692</v>
      </c>
      <c r="W6921">
        <v>0.19820019999999999</v>
      </c>
      <c r="X6921">
        <v>0.96573140000000002</v>
      </c>
      <c r="Y6921">
        <v>-0.21036270000000001</v>
      </c>
      <c r="Z6921">
        <v>6.450641E-3</v>
      </c>
      <c r="AA6921">
        <v>0.97760210000000003</v>
      </c>
      <c r="AB6921">
        <v>27</v>
      </c>
      <c r="AC6921">
        <v>15.7066999999999</v>
      </c>
      <c r="AD6921">
        <v>-1.1128808041210001</v>
      </c>
      <c r="AE6921">
        <v>4.1075499999999998</v>
      </c>
      <c r="AF6921">
        <v>-3.4317300295787301</v>
      </c>
      <c r="AG6921">
        <v>-1.1128808041210001</v>
      </c>
      <c r="AH6921">
        <v>15.790375665130799</v>
      </c>
      <c r="AI6921">
        <v>93.939780437130395</v>
      </c>
      <c r="AJ6921">
        <v>102.261446342206</v>
      </c>
      <c r="AK6921">
        <v>16.197260210481598</v>
      </c>
      <c r="AL6921">
        <v>78.568268054983207</v>
      </c>
      <c r="AM6921">
        <v>99.843686992852795</v>
      </c>
      <c r="AN6921">
        <v>0.99999994650731805</v>
      </c>
    </row>
    <row r="6922" spans="1:40" x14ac:dyDescent="0.25">
      <c r="A6922" t="str">
        <f>"20190304155238275"</f>
        <v>20190304155238275</v>
      </c>
      <c r="B6922" t="str">
        <f>"1551685958273896"</f>
        <v>1551685958273896</v>
      </c>
      <c r="C6922" t="s">
        <v>40</v>
      </c>
      <c r="D6922">
        <v>5.0380440000000002</v>
      </c>
      <c r="E6922">
        <v>0.4805799</v>
      </c>
      <c r="F6922" t="s">
        <v>77</v>
      </c>
      <c r="G6922">
        <v>-206.10310000000001</v>
      </c>
      <c r="H6922" s="1">
        <v>-2.8465620000000002E-6</v>
      </c>
      <c r="I6922">
        <v>-58.887920000000001</v>
      </c>
      <c r="J6922">
        <v>-221.75530000000001</v>
      </c>
      <c r="K6922">
        <v>1.112905</v>
      </c>
      <c r="L6922">
        <v>-63.0030199999999</v>
      </c>
      <c r="M6922">
        <v>0.99897020000000003</v>
      </c>
      <c r="N6922">
        <v>-1.3950880000000001E-2</v>
      </c>
      <c r="O6922">
        <v>4.3173910000000003E-2</v>
      </c>
      <c r="P6922">
        <v>0.96048820000000001</v>
      </c>
      <c r="Q6922">
        <v>0.18508559999999999</v>
      </c>
      <c r="R6922">
        <v>0.20786019999999999</v>
      </c>
      <c r="S6922">
        <v>2.9952999999999999</v>
      </c>
      <c r="T6922">
        <v>-0.21140809999999999</v>
      </c>
      <c r="U6922">
        <v>0.78292850000000003</v>
      </c>
      <c r="V6922">
        <v>-0.16728090000000001</v>
      </c>
      <c r="W6922">
        <v>0.19766549999999999</v>
      </c>
      <c r="X6922">
        <v>0.96589100000000006</v>
      </c>
      <c r="Y6922">
        <v>-0.2103525</v>
      </c>
      <c r="Z6922">
        <v>6.3900800000000002E-3</v>
      </c>
      <c r="AA6922">
        <v>0.97760469999999999</v>
      </c>
      <c r="AB6922">
        <v>27</v>
      </c>
      <c r="AC6922">
        <v>15.652199999999899</v>
      </c>
      <c r="AD6922">
        <v>-1.1129078465619999</v>
      </c>
      <c r="AE6922">
        <v>4.1150999999999902</v>
      </c>
      <c r="AF6922">
        <v>-3.4192611753292899</v>
      </c>
      <c r="AG6922">
        <v>-1.1129078465619999</v>
      </c>
      <c r="AH6922">
        <v>15.740851258346501</v>
      </c>
      <c r="AI6922">
        <v>93.9523209977759</v>
      </c>
      <c r="AJ6922">
        <v>102.255517616408</v>
      </c>
      <c r="AK6922">
        <v>16.146340427398499</v>
      </c>
      <c r="AL6922">
        <v>78.599522924295997</v>
      </c>
      <c r="AM6922">
        <v>99.825489423674895</v>
      </c>
      <c r="AN6922">
        <v>0.99999998663802903</v>
      </c>
    </row>
    <row r="6923" spans="1:40" x14ac:dyDescent="0.25">
      <c r="A6923" t="str">
        <f>"20190304155238284"</f>
        <v>20190304155238284</v>
      </c>
      <c r="B6923" t="str">
        <f>"1551685958273896"</f>
        <v>1551685958273896</v>
      </c>
      <c r="C6923" t="s">
        <v>40</v>
      </c>
      <c r="D6923">
        <v>5.0380440000000002</v>
      </c>
      <c r="E6923">
        <v>0.4805799</v>
      </c>
      <c r="F6923" t="s">
        <v>77</v>
      </c>
      <c r="G6923">
        <v>-206.35329999999999</v>
      </c>
      <c r="H6923" s="1">
        <v>-2.6664250000000001E-6</v>
      </c>
      <c r="I6923">
        <v>-58.96725</v>
      </c>
      <c r="J6923">
        <v>-221.6379</v>
      </c>
      <c r="K6923">
        <v>1.112933</v>
      </c>
      <c r="L6923">
        <v>-62.996549999999999</v>
      </c>
      <c r="M6923">
        <v>0.99890699999999999</v>
      </c>
      <c r="N6923">
        <v>-1.395774E-2</v>
      </c>
      <c r="O6923">
        <v>4.4609379999999997E-2</v>
      </c>
      <c r="P6923">
        <v>0.96024310000000002</v>
      </c>
      <c r="Q6923">
        <v>0.1846621</v>
      </c>
      <c r="R6923">
        <v>0.20936379999999999</v>
      </c>
      <c r="S6923">
        <v>2.995285</v>
      </c>
      <c r="T6923">
        <v>-0.21643129999999999</v>
      </c>
      <c r="U6923">
        <v>0.78485109999999902</v>
      </c>
      <c r="V6923">
        <v>-0.16741310000000001</v>
      </c>
      <c r="W6923">
        <v>0.1972373</v>
      </c>
      <c r="X6923">
        <v>0.96595560000000003</v>
      </c>
      <c r="Y6923">
        <v>-0.20951900000000001</v>
      </c>
      <c r="Z6923">
        <v>6.3756630000000002E-3</v>
      </c>
      <c r="AA6923">
        <v>0.97778379999999998</v>
      </c>
      <c r="AB6923">
        <v>27</v>
      </c>
      <c r="AC6923">
        <v>15.284599999999999</v>
      </c>
      <c r="AD6923">
        <v>-1.1129356664250001</v>
      </c>
      <c r="AE6923">
        <v>4.0292999999999903</v>
      </c>
      <c r="AF6923">
        <v>-3.3268924075194599</v>
      </c>
      <c r="AG6923">
        <v>-1.1129356664250001</v>
      </c>
      <c r="AH6923">
        <v>15.372933715413099</v>
      </c>
      <c r="AI6923">
        <v>94.047377801958504</v>
      </c>
      <c r="AJ6923">
        <v>102.211202956894</v>
      </c>
      <c r="AK6923">
        <v>15.7681301969288</v>
      </c>
      <c r="AL6923">
        <v>78.624549379020706</v>
      </c>
      <c r="AM6923">
        <v>99.832458097829999</v>
      </c>
      <c r="AN6923">
        <v>0.99999995986712897</v>
      </c>
    </row>
    <row r="6924" spans="1:40" x14ac:dyDescent="0.25">
      <c r="A6924" t="str">
        <f>"20190304155238295"</f>
        <v>20190304155238295</v>
      </c>
      <c r="B6924" t="str">
        <f>"1551685958283656"</f>
        <v>1551685958283656</v>
      </c>
      <c r="C6924" t="s">
        <v>40</v>
      </c>
      <c r="D6924">
        <v>5.0807630000000001</v>
      </c>
      <c r="E6924">
        <v>0.48078700000000002</v>
      </c>
      <c r="F6924" t="s">
        <v>77</v>
      </c>
      <c r="G6924">
        <v>-206.33320000000001</v>
      </c>
      <c r="H6924" s="1">
        <v>-2.6813090000000001E-6</v>
      </c>
      <c r="I6924">
        <v>-58.959119999999999</v>
      </c>
      <c r="J6924">
        <v>-221.5257</v>
      </c>
      <c r="K6924">
        <v>1.1129560000000001</v>
      </c>
      <c r="L6924">
        <v>-62.990020000000001</v>
      </c>
      <c r="M6924">
        <v>0.99884360000000005</v>
      </c>
      <c r="N6924">
        <v>-1.3963929999999999E-2</v>
      </c>
      <c r="O6924">
        <v>4.6008540000000001E-2</v>
      </c>
      <c r="P6924">
        <v>0.96004239999999996</v>
      </c>
      <c r="Q6924">
        <v>0.18439179999999999</v>
      </c>
      <c r="R6924">
        <v>0.21051929999999999</v>
      </c>
      <c r="S6924">
        <v>2.9938660000000001</v>
      </c>
      <c r="T6924">
        <v>-0.21770999999999999</v>
      </c>
      <c r="U6924">
        <v>0.78979489999999997</v>
      </c>
      <c r="V6924">
        <v>-0.16722989999999999</v>
      </c>
      <c r="W6924">
        <v>0.19696530000000001</v>
      </c>
      <c r="X6924">
        <v>0.96604290000000004</v>
      </c>
      <c r="Y6924">
        <v>-0.20976900000000001</v>
      </c>
      <c r="Z6924">
        <v>6.3335290000000001E-3</v>
      </c>
      <c r="AA6924">
        <v>0.97773049999999995</v>
      </c>
      <c r="AB6924">
        <v>27</v>
      </c>
      <c r="AC6924">
        <v>15.1924999999999</v>
      </c>
      <c r="AD6924">
        <v>-1.112958681309</v>
      </c>
      <c r="AE6924">
        <v>4.0308999999999902</v>
      </c>
      <c r="AF6924">
        <v>-3.3109777088445198</v>
      </c>
      <c r="AG6924">
        <v>-1.112958681309</v>
      </c>
      <c r="AH6924">
        <v>15.2852474884277</v>
      </c>
      <c r="AI6924">
        <v>94.070434229685404</v>
      </c>
      <c r="AJ6924">
        <v>102.22216557567801</v>
      </c>
      <c r="AK6924">
        <v>15.6792870117634</v>
      </c>
      <c r="AL6924">
        <v>78.640446437071503</v>
      </c>
      <c r="AM6924">
        <v>99.821037807398895</v>
      </c>
      <c r="AN6924">
        <v>1.0000000267492499</v>
      </c>
    </row>
    <row r="6925" spans="1:40" x14ac:dyDescent="0.25">
      <c r="A6925" t="str">
        <f>"20190304155238306"</f>
        <v>20190304155238306</v>
      </c>
      <c r="B6925" t="str">
        <f>"1551685958303176"</f>
        <v>1551685958303176</v>
      </c>
      <c r="C6925" t="s">
        <v>40</v>
      </c>
      <c r="D6925">
        <v>5.0906690000000001</v>
      </c>
      <c r="E6925">
        <v>0.4810604</v>
      </c>
      <c r="F6925" t="s">
        <v>77</v>
      </c>
      <c r="G6925">
        <v>-206.3578</v>
      </c>
      <c r="H6925" s="1">
        <v>-2.6605760000000002E-6</v>
      </c>
      <c r="I6925">
        <v>-58.97824</v>
      </c>
      <c r="J6925">
        <v>-221.3905</v>
      </c>
      <c r="K6925">
        <v>1.112984</v>
      </c>
      <c r="L6925">
        <v>-62.982120000000002</v>
      </c>
      <c r="M6925">
        <v>0.99876390000000004</v>
      </c>
      <c r="N6925">
        <v>-1.397117E-2</v>
      </c>
      <c r="O6925">
        <v>4.7702519999999998E-2</v>
      </c>
      <c r="P6925">
        <v>0.95971499999999998</v>
      </c>
      <c r="Q6925">
        <v>0.18425079999999999</v>
      </c>
      <c r="R6925">
        <v>0.2121285</v>
      </c>
      <c r="S6925">
        <v>2.9934539999999998</v>
      </c>
      <c r="T6925">
        <v>-0.2196486</v>
      </c>
      <c r="U6925">
        <v>0.79174800000000001</v>
      </c>
      <c r="V6925">
        <v>-0.16722329999999999</v>
      </c>
      <c r="W6925">
        <v>0.1968203</v>
      </c>
      <c r="X6925">
        <v>0.96607359999999998</v>
      </c>
      <c r="Y6925">
        <v>-0.2087376</v>
      </c>
      <c r="Z6925">
        <v>6.2296230000000001E-3</v>
      </c>
      <c r="AA6925">
        <v>0.97795180000000004</v>
      </c>
      <c r="AB6925">
        <v>26</v>
      </c>
      <c r="AC6925">
        <v>15.0327</v>
      </c>
      <c r="AD6925">
        <v>-1.1129866605759999</v>
      </c>
      <c r="AE6925">
        <v>4.0038799999999899</v>
      </c>
      <c r="AF6925">
        <v>-3.26543930419033</v>
      </c>
      <c r="AG6925">
        <v>-1.1129866605759999</v>
      </c>
      <c r="AH6925">
        <v>15.1291587432951</v>
      </c>
      <c r="AI6925">
        <v>94.113045196945507</v>
      </c>
      <c r="AJ6925">
        <v>102.179735574516</v>
      </c>
      <c r="AK6925">
        <v>15.5175151823929</v>
      </c>
      <c r="AL6925">
        <v>78.648920254198003</v>
      </c>
      <c r="AM6925">
        <v>99.820351745720302</v>
      </c>
      <c r="AN6925">
        <v>1.0000000315859601</v>
      </c>
    </row>
    <row r="6926" spans="1:40" x14ac:dyDescent="0.25">
      <c r="A6926" t="str">
        <f>"20190304155238317"</f>
        <v>20190304155238317</v>
      </c>
      <c r="B6926" t="str">
        <f>"1551685958313912"</f>
        <v>1551685958313912</v>
      </c>
      <c r="C6926" t="s">
        <v>40</v>
      </c>
      <c r="D6926">
        <v>5.0451280000000001</v>
      </c>
      <c r="E6926">
        <v>0.4811936</v>
      </c>
      <c r="F6926" t="s">
        <v>77</v>
      </c>
      <c r="G6926">
        <v>-206.3732</v>
      </c>
      <c r="H6926" s="1">
        <v>-2.646537E-6</v>
      </c>
      <c r="I6926">
        <v>-58.994340000000001</v>
      </c>
      <c r="J6926">
        <v>-221.2578</v>
      </c>
      <c r="K6926">
        <v>1.113013</v>
      </c>
      <c r="L6926">
        <v>-62.973909999999997</v>
      </c>
      <c r="M6926">
        <v>0.99868140000000005</v>
      </c>
      <c r="N6926">
        <v>-1.3977679999999999E-2</v>
      </c>
      <c r="O6926">
        <v>4.9398089999999999E-2</v>
      </c>
      <c r="P6926">
        <v>0.95939319999999895</v>
      </c>
      <c r="Q6926">
        <v>0.1840329</v>
      </c>
      <c r="R6926">
        <v>0.2137676</v>
      </c>
      <c r="S6926">
        <v>2.9928590000000002</v>
      </c>
      <c r="T6926">
        <v>-0.2218117</v>
      </c>
      <c r="U6926">
        <v>0.79473879999999997</v>
      </c>
      <c r="V6926">
        <v>-0.16724249999999999</v>
      </c>
      <c r="W6926">
        <v>0.19659779999999999</v>
      </c>
      <c r="X6926">
        <v>0.96611550000000002</v>
      </c>
      <c r="Y6926">
        <v>-0.208034</v>
      </c>
      <c r="Z6926">
        <v>6.1411089999999996E-3</v>
      </c>
      <c r="AA6926">
        <v>0.97810229999999998</v>
      </c>
      <c r="AB6926">
        <v>26</v>
      </c>
      <c r="AC6926">
        <v>14.884600000000001</v>
      </c>
      <c r="AD6926">
        <v>-1.113015646537</v>
      </c>
      <c r="AE6926">
        <v>3.9795699999999901</v>
      </c>
      <c r="AF6926">
        <v>-3.2225512631826798</v>
      </c>
      <c r="AG6926">
        <v>-1.113015646537</v>
      </c>
      <c r="AH6926">
        <v>14.9848293336414</v>
      </c>
      <c r="AI6926">
        <v>94.153298013165895</v>
      </c>
      <c r="AJ6926">
        <v>102.13685120842899</v>
      </c>
      <c r="AK6926">
        <v>15.367782879505899</v>
      </c>
      <c r="AL6926">
        <v>78.661921715216593</v>
      </c>
      <c r="AM6926">
        <v>99.8210396700063</v>
      </c>
      <c r="AN6926">
        <v>0.99999995405566799</v>
      </c>
    </row>
    <row r="6927" spans="1:40" x14ac:dyDescent="0.25">
      <c r="A6927" t="str">
        <f>"20190304155238329"</f>
        <v>20190304155238329</v>
      </c>
      <c r="B6927" t="str">
        <f>"1551685958323672"</f>
        <v>1551685958323672</v>
      </c>
      <c r="C6927" t="s">
        <v>40</v>
      </c>
      <c r="D6927">
        <v>5.0672670000000002</v>
      </c>
      <c r="E6927">
        <v>0.48132160000000002</v>
      </c>
      <c r="F6927" t="s">
        <v>77</v>
      </c>
      <c r="G6927">
        <v>-206.32740000000001</v>
      </c>
      <c r="H6927" s="1">
        <v>-2.6777950000000001E-6</v>
      </c>
      <c r="I6927">
        <v>-58.986370000000001</v>
      </c>
      <c r="J6927">
        <v>-221.12719999999999</v>
      </c>
      <c r="K6927">
        <v>1.11304</v>
      </c>
      <c r="L6927">
        <v>-62.965760000000003</v>
      </c>
      <c r="M6927">
        <v>0.99859679999999995</v>
      </c>
      <c r="N6927">
        <v>-1.3983880000000001E-2</v>
      </c>
      <c r="O6927">
        <v>5.1075120000000002E-2</v>
      </c>
      <c r="P6927">
        <v>0.95912509999999995</v>
      </c>
      <c r="Q6927">
        <v>0.18383930000000001</v>
      </c>
      <c r="R6927">
        <v>0.21513309999999999</v>
      </c>
      <c r="S6927">
        <v>2.99173</v>
      </c>
      <c r="T6927">
        <v>-0.22302330000000001</v>
      </c>
      <c r="U6927">
        <v>0.79901119999999903</v>
      </c>
      <c r="V6927">
        <v>-0.1670045</v>
      </c>
      <c r="W6927">
        <v>0.1964023</v>
      </c>
      <c r="X6927">
        <v>0.96619650000000001</v>
      </c>
      <c r="Y6927">
        <v>-0.20778569999999999</v>
      </c>
      <c r="Z6927">
        <v>6.0547760000000004E-3</v>
      </c>
      <c r="AA6927">
        <v>0.97815560000000001</v>
      </c>
      <c r="AB6927">
        <v>26</v>
      </c>
      <c r="AC6927">
        <v>14.7997999999999</v>
      </c>
      <c r="AD6927">
        <v>-1.113042677795</v>
      </c>
      <c r="AE6927">
        <v>3.97939</v>
      </c>
      <c r="AF6927">
        <v>-3.20133354301618</v>
      </c>
      <c r="AG6927">
        <v>-1.113042677795</v>
      </c>
      <c r="AH6927">
        <v>14.9051275488565</v>
      </c>
      <c r="AI6927">
        <v>94.175763372708005</v>
      </c>
      <c r="AJ6927">
        <v>102.121869136925</v>
      </c>
      <c r="AK6927">
        <v>15.2856216001808</v>
      </c>
      <c r="AL6927">
        <v>78.673346540556196</v>
      </c>
      <c r="AM6927">
        <v>99.806528876146103</v>
      </c>
      <c r="AN6927">
        <v>1.00000002153889</v>
      </c>
    </row>
    <row r="6928" spans="1:40" x14ac:dyDescent="0.25">
      <c r="A6928" t="str">
        <f>"20190304155238340"</f>
        <v>20190304155238340</v>
      </c>
      <c r="B6928" t="str">
        <f>"1551685958333431"</f>
        <v>1551685958333431</v>
      </c>
      <c r="C6928" t="s">
        <v>40</v>
      </c>
      <c r="D6928">
        <v>5.038227</v>
      </c>
      <c r="E6928">
        <v>0.48142030000000002</v>
      </c>
      <c r="F6928" t="s">
        <v>77</v>
      </c>
      <c r="G6928">
        <v>-206.2516</v>
      </c>
      <c r="H6928" s="1">
        <v>-2.7290099999999999E-6</v>
      </c>
      <c r="I6928">
        <v>-58.974910000000001</v>
      </c>
      <c r="J6928">
        <v>-220.995</v>
      </c>
      <c r="K6928">
        <v>1.1130639999999901</v>
      </c>
      <c r="L6928">
        <v>-62.957149999999999</v>
      </c>
      <c r="M6928">
        <v>0.99850720000000004</v>
      </c>
      <c r="N6928">
        <v>-1.3989639999999999E-2</v>
      </c>
      <c r="O6928">
        <v>5.2799800000000001E-2</v>
      </c>
      <c r="P6928">
        <v>0.95882610000000001</v>
      </c>
      <c r="Q6928">
        <v>0.1835792</v>
      </c>
      <c r="R6928">
        <v>0.2166826</v>
      </c>
      <c r="S6928">
        <v>2.9907680000000001</v>
      </c>
      <c r="T6928">
        <v>-0.2237797</v>
      </c>
      <c r="U6928">
        <v>0.80236819999999998</v>
      </c>
      <c r="V6928">
        <v>-0.16690329999999901</v>
      </c>
      <c r="W6928">
        <v>0.19614010000000001</v>
      </c>
      <c r="X6928">
        <v>0.96626719999999999</v>
      </c>
      <c r="Y6928">
        <v>-0.20720060000000001</v>
      </c>
      <c r="Z6928">
        <v>5.9416410000000001E-3</v>
      </c>
      <c r="AA6928">
        <v>0.97828040000000005</v>
      </c>
      <c r="AB6928">
        <v>26</v>
      </c>
      <c r="AC6928">
        <v>14.743399999999999</v>
      </c>
      <c r="AD6928">
        <v>-1.11306672900999</v>
      </c>
      <c r="AE6928">
        <v>3.98224</v>
      </c>
      <c r="AF6928">
        <v>-3.18126032441294</v>
      </c>
      <c r="AG6928">
        <v>-1.11306672900999</v>
      </c>
      <c r="AH6928">
        <v>14.8542058501985</v>
      </c>
      <c r="AI6928">
        <v>94.190644205669898</v>
      </c>
      <c r="AJ6928">
        <v>102.08817854605699</v>
      </c>
      <c r="AK6928">
        <v>15.231768322653201</v>
      </c>
      <c r="AL6928">
        <v>78.688666970614904</v>
      </c>
      <c r="AM6928">
        <v>99.799998476733506</v>
      </c>
      <c r="AN6928">
        <v>0.99999997608736901</v>
      </c>
    </row>
    <row r="6929" spans="1:40" x14ac:dyDescent="0.25">
      <c r="A6929" t="str">
        <f>"20190304155238351"</f>
        <v>20190304155238351</v>
      </c>
      <c r="B6929" t="str">
        <f>"1551685958343192"</f>
        <v>1551685958343192</v>
      </c>
      <c r="C6929" t="s">
        <v>40</v>
      </c>
      <c r="D6929">
        <v>5.2322649999999999</v>
      </c>
      <c r="E6929">
        <v>0.48123460000000001</v>
      </c>
      <c r="F6929" t="s">
        <v>77</v>
      </c>
      <c r="G6929">
        <v>-206.2012</v>
      </c>
      <c r="H6929" s="1">
        <v>-2.7634500000000002E-6</v>
      </c>
      <c r="I6929">
        <v>-58.965870000000002</v>
      </c>
      <c r="J6929">
        <v>-220.86770000000001</v>
      </c>
      <c r="K6929">
        <v>1.113084</v>
      </c>
      <c r="L6929">
        <v>-62.948700000000002</v>
      </c>
      <c r="M6929">
        <v>0.99841749999999996</v>
      </c>
      <c r="N6929">
        <v>-1.3994970000000001E-2</v>
      </c>
      <c r="O6929">
        <v>5.4468490000000001E-2</v>
      </c>
      <c r="P6929">
        <v>0.95849859999999998</v>
      </c>
      <c r="Q6929">
        <v>0.18351319999999999</v>
      </c>
      <c r="R6929">
        <v>0.2181824</v>
      </c>
      <c r="S6929">
        <v>2.9896090000000002</v>
      </c>
      <c r="T6929">
        <v>-0.22493460000000001</v>
      </c>
      <c r="U6929">
        <v>0.80657959999999995</v>
      </c>
      <c r="V6929">
        <v>-0.1668094</v>
      </c>
      <c r="W6929">
        <v>0.19607179999999999</v>
      </c>
      <c r="X6929">
        <v>0.96629730000000003</v>
      </c>
      <c r="Y6929">
        <v>-0.2069444</v>
      </c>
      <c r="Z6929">
        <v>5.8517769999999998E-3</v>
      </c>
      <c r="AA6929">
        <v>0.97833519999999896</v>
      </c>
      <c r="AB6929">
        <v>26</v>
      </c>
      <c r="AC6929">
        <v>14.666499999999999</v>
      </c>
      <c r="AD6929">
        <v>-1.1130867634499999</v>
      </c>
      <c r="AE6929">
        <v>3.9828299999999999</v>
      </c>
      <c r="AF6929">
        <v>-3.1610197040129902</v>
      </c>
      <c r="AG6929">
        <v>-1.1130867634499999</v>
      </c>
      <c r="AH6929">
        <v>14.782387616075299</v>
      </c>
      <c r="AI6929">
        <v>94.211288614954896</v>
      </c>
      <c r="AJ6929">
        <v>102.070167727989</v>
      </c>
      <c r="AK6929">
        <v>15.1575061056897</v>
      </c>
      <c r="AL6929">
        <v>78.692658029153307</v>
      </c>
      <c r="AM6929">
        <v>99.794292612377504</v>
      </c>
      <c r="AN6929">
        <v>0.99999999933544503</v>
      </c>
    </row>
    <row r="6930" spans="1:40" x14ac:dyDescent="0.25">
      <c r="A6930" t="str">
        <f>"20190304155238361"</f>
        <v>20190304155238361</v>
      </c>
      <c r="B6930" t="str">
        <f>"1551685958353928"</f>
        <v>1551685958353928</v>
      </c>
      <c r="C6930" t="s">
        <v>40</v>
      </c>
      <c r="D6930">
        <v>5.0541049999999998</v>
      </c>
      <c r="E6930">
        <v>0.48130149999999999</v>
      </c>
      <c r="F6930" t="s">
        <v>77</v>
      </c>
      <c r="G6930">
        <v>-206.23509999999999</v>
      </c>
      <c r="H6930" s="1">
        <v>-2.7408789999999999E-6</v>
      </c>
      <c r="I6930">
        <v>-58.969769999999997</v>
      </c>
      <c r="J6930">
        <v>-220.73660000000001</v>
      </c>
      <c r="K6930">
        <v>1.1131</v>
      </c>
      <c r="L6930">
        <v>-62.939729999999997</v>
      </c>
      <c r="M6930">
        <v>0.99832109999999996</v>
      </c>
      <c r="N6930">
        <v>-1.4000149999999999E-2</v>
      </c>
      <c r="O6930">
        <v>5.620493E-2</v>
      </c>
      <c r="P6930">
        <v>0.95813950000000003</v>
      </c>
      <c r="Q6930">
        <v>0.1835531</v>
      </c>
      <c r="R6930">
        <v>0.21972050000000001</v>
      </c>
      <c r="S6930">
        <v>2.9884490000000001</v>
      </c>
      <c r="T6930">
        <v>-0.2273271</v>
      </c>
      <c r="U6930">
        <v>0.81262209999999901</v>
      </c>
      <c r="V6930">
        <v>-0.16668920000000001</v>
      </c>
      <c r="W6930">
        <v>0.19611010000000001</v>
      </c>
      <c r="X6930">
        <v>0.96631029999999996</v>
      </c>
      <c r="Y6930">
        <v>-0.20717340000000001</v>
      </c>
      <c r="Z6930">
        <v>5.7969769999999896E-3</v>
      </c>
      <c r="AA6930">
        <v>0.97828709999999997</v>
      </c>
      <c r="AB6930">
        <v>26</v>
      </c>
      <c r="AC6930">
        <v>14.5015</v>
      </c>
      <c r="AD6930">
        <v>-1.113102740879</v>
      </c>
      <c r="AE6930">
        <v>3.9699599999999999</v>
      </c>
      <c r="AF6930">
        <v>-3.13138454109616</v>
      </c>
      <c r="AG6930">
        <v>-1.113102740879</v>
      </c>
      <c r="AH6930">
        <v>14.621584899569999</v>
      </c>
      <c r="AI6930">
        <v>94.257212312530399</v>
      </c>
      <c r="AJ6930">
        <v>102.08796733801699</v>
      </c>
      <c r="AK6930">
        <v>14.9945093894833</v>
      </c>
      <c r="AL6930">
        <v>78.690420485971202</v>
      </c>
      <c r="AM6930">
        <v>99.787242430380005</v>
      </c>
      <c r="AN6930">
        <v>1.00000002830236</v>
      </c>
    </row>
    <row r="6931" spans="1:40" x14ac:dyDescent="0.25">
      <c r="A6931" t="str">
        <f>"20190304155238373"</f>
        <v>20190304155238373</v>
      </c>
      <c r="B6931" t="str">
        <f>"1551685958364081"</f>
        <v>1551685958364081</v>
      </c>
      <c r="C6931" t="s">
        <v>40</v>
      </c>
      <c r="D6931">
        <v>5.056915</v>
      </c>
      <c r="E6931">
        <v>0.4814137</v>
      </c>
      <c r="F6931" t="s">
        <v>77</v>
      </c>
      <c r="G6931">
        <v>-206.11689999999999</v>
      </c>
      <c r="H6931" s="1">
        <v>-2.8232200000000001E-6</v>
      </c>
      <c r="I6931">
        <v>-58.942680000000003</v>
      </c>
      <c r="J6931">
        <v>-220.5986</v>
      </c>
      <c r="K6931">
        <v>1.1131180000000001</v>
      </c>
      <c r="L6931">
        <v>-62.929989999999997</v>
      </c>
      <c r="M6931">
        <v>0.99821559999999998</v>
      </c>
      <c r="N6931">
        <v>-1.4005190000000001E-2</v>
      </c>
      <c r="O6931">
        <v>5.8047809999999998E-2</v>
      </c>
      <c r="P6931">
        <v>0.95773370000000002</v>
      </c>
      <c r="Q6931">
        <v>0.1836923</v>
      </c>
      <c r="R6931">
        <v>0.22136700000000001</v>
      </c>
      <c r="S6931">
        <v>2.9873500000000002</v>
      </c>
      <c r="T6931">
        <v>-0.22744739999999999</v>
      </c>
      <c r="U6931">
        <v>0.81674190000000002</v>
      </c>
      <c r="V6931">
        <v>-0.16657620000000001</v>
      </c>
      <c r="W6931">
        <v>0.19624710000000001</v>
      </c>
      <c r="X6931">
        <v>0.96630190000000005</v>
      </c>
      <c r="Y6931">
        <v>-0.2067185</v>
      </c>
      <c r="Z6931">
        <v>5.6687789999999997E-3</v>
      </c>
      <c r="AA6931">
        <v>0.97838400000000003</v>
      </c>
      <c r="AB6931">
        <v>26</v>
      </c>
      <c r="AC6931">
        <v>14.4817</v>
      </c>
      <c r="AD6931">
        <v>-1.1131208232200001</v>
      </c>
      <c r="AE6931">
        <v>3.9873099999999999</v>
      </c>
      <c r="AF6931">
        <v>-3.1227227069133798</v>
      </c>
      <c r="AG6931">
        <v>-1.1131208232200001</v>
      </c>
      <c r="AH6931">
        <v>14.6085272315061</v>
      </c>
      <c r="AI6931">
        <v>94.261421283618603</v>
      </c>
      <c r="AJ6931">
        <v>102.065969886917</v>
      </c>
      <c r="AK6931">
        <v>14.979970058214899</v>
      </c>
      <c r="AL6931">
        <v>78.682414608558901</v>
      </c>
      <c r="AM6931">
        <v>99.780819146698605</v>
      </c>
      <c r="AN6931">
        <v>0.99999995830422905</v>
      </c>
    </row>
    <row r="6932" spans="1:40" x14ac:dyDescent="0.25">
      <c r="A6932" t="str">
        <f>"20190304155238385"</f>
        <v>20190304155238385</v>
      </c>
      <c r="B6932" t="str">
        <f>"1551685958373842"</f>
        <v>1551685958373842</v>
      </c>
      <c r="C6932" t="s">
        <v>40</v>
      </c>
      <c r="D6932">
        <v>5.0525159999999998</v>
      </c>
      <c r="E6932">
        <v>0.48150850000000001</v>
      </c>
      <c r="F6932" t="s">
        <v>77</v>
      </c>
      <c r="G6932">
        <v>-205.97710000000001</v>
      </c>
      <c r="H6932" s="1">
        <v>-2.9206800000000001E-6</v>
      </c>
      <c r="I6932">
        <v>-58.910209999999999</v>
      </c>
      <c r="J6932">
        <v>-220.46379999999999</v>
      </c>
      <c r="K6932">
        <v>1.1131340000000001</v>
      </c>
      <c r="L6932">
        <v>-62.920290000000001</v>
      </c>
      <c r="M6932">
        <v>0.99810880000000002</v>
      </c>
      <c r="N6932">
        <v>-1.4009799999999999E-2</v>
      </c>
      <c r="O6932">
        <v>5.9855800000000001E-2</v>
      </c>
      <c r="P6932">
        <v>0.9573547</v>
      </c>
      <c r="Q6932">
        <v>0.1837317</v>
      </c>
      <c r="R6932">
        <v>0.22296820000000001</v>
      </c>
      <c r="S6932">
        <v>2.986221</v>
      </c>
      <c r="T6932">
        <v>-0.22733929999999999</v>
      </c>
      <c r="U6932">
        <v>0.82098389999999999</v>
      </c>
      <c r="V6932">
        <v>-0.16645009999999999</v>
      </c>
      <c r="W6932">
        <v>0.19628590000000001</v>
      </c>
      <c r="X6932">
        <v>0.96631579999999995</v>
      </c>
      <c r="Y6932">
        <v>-0.20633789999999999</v>
      </c>
      <c r="Z6932">
        <v>5.5425240000000001E-3</v>
      </c>
      <c r="AA6932">
        <v>0.97846509999999998</v>
      </c>
      <c r="AB6932">
        <v>26</v>
      </c>
      <c r="AC6932">
        <v>14.4866999999999</v>
      </c>
      <c r="AD6932">
        <v>-1.1131369206799999</v>
      </c>
      <c r="AE6932">
        <v>4.0100800000000003</v>
      </c>
      <c r="AF6932">
        <v>-3.11858839482993</v>
      </c>
      <c r="AG6932">
        <v>-1.1131369206799999</v>
      </c>
      <c r="AH6932">
        <v>14.6205921341659</v>
      </c>
      <c r="AI6932">
        <v>94.258376874124906</v>
      </c>
      <c r="AJ6932">
        <v>102.04080872734799</v>
      </c>
      <c r="AK6932">
        <v>14.9908766166019</v>
      </c>
      <c r="AL6932">
        <v>78.680148005096797</v>
      </c>
      <c r="AM6932">
        <v>99.773419932431096</v>
      </c>
      <c r="AN6932">
        <v>1.0000000078292299</v>
      </c>
    </row>
    <row r="6933" spans="1:40" x14ac:dyDescent="0.25">
      <c r="A6933" t="str">
        <f>"20190304155238396"</f>
        <v>20190304155238396</v>
      </c>
      <c r="B6933" t="str">
        <f>"1551685958393361"</f>
        <v>1551685958393361</v>
      </c>
      <c r="C6933" t="s">
        <v>40</v>
      </c>
      <c r="D6933">
        <v>5.056489</v>
      </c>
      <c r="E6933">
        <v>0.48166870000000001</v>
      </c>
      <c r="F6933" t="s">
        <v>77</v>
      </c>
      <c r="G6933">
        <v>-205.8509</v>
      </c>
      <c r="H6933" s="1">
        <v>-3.0087519999999998E-6</v>
      </c>
      <c r="I6933">
        <v>-58.880719999999997</v>
      </c>
      <c r="J6933">
        <v>-220.34209999999999</v>
      </c>
      <c r="K6933">
        <v>1.113148</v>
      </c>
      <c r="L6933">
        <v>-62.911219999999901</v>
      </c>
      <c r="M6933">
        <v>0.99800849999999997</v>
      </c>
      <c r="N6933">
        <v>-1.401346E-2</v>
      </c>
      <c r="O6933">
        <v>6.150361E-2</v>
      </c>
      <c r="P6933">
        <v>0.95696000000000003</v>
      </c>
      <c r="Q6933">
        <v>0.18401870000000001</v>
      </c>
      <c r="R6933">
        <v>0.22442100000000001</v>
      </c>
      <c r="S6933">
        <v>2.9850919999999999</v>
      </c>
      <c r="T6933">
        <v>-0.2273898</v>
      </c>
      <c r="U6933">
        <v>0.82519529999999996</v>
      </c>
      <c r="V6933">
        <v>-0.1663316</v>
      </c>
      <c r="W6933">
        <v>0.19657160000000001</v>
      </c>
      <c r="X6933">
        <v>0.96627810000000003</v>
      </c>
      <c r="Y6933">
        <v>-0.2061035</v>
      </c>
      <c r="Z6933">
        <v>5.4345770000000003E-3</v>
      </c>
      <c r="AA6933">
        <v>0.97851509999999997</v>
      </c>
      <c r="AB6933">
        <v>26</v>
      </c>
      <c r="AC6933">
        <v>14.4911999999999</v>
      </c>
      <c r="AD6933">
        <v>-1.113151008752</v>
      </c>
      <c r="AE6933">
        <v>4.0304999999999902</v>
      </c>
      <c r="AF6933">
        <v>-3.1144618160591602</v>
      </c>
      <c r="AG6933">
        <v>-1.113151008752</v>
      </c>
      <c r="AH6933">
        <v>14.6315391142395</v>
      </c>
      <c r="AI6933">
        <v>94.255637859426997</v>
      </c>
      <c r="AJ6933">
        <v>102.016604700687</v>
      </c>
      <c r="AK6933">
        <v>15.000697131250201</v>
      </c>
      <c r="AL6933">
        <v>78.663453047180198</v>
      </c>
      <c r="AM6933">
        <v>99.766969748019704</v>
      </c>
      <c r="AN6933">
        <v>0.99999998081236396</v>
      </c>
    </row>
    <row r="6934" spans="1:40" x14ac:dyDescent="0.25">
      <c r="A6934" t="str">
        <f>"20190304155238409"</f>
        <v>20190304155238409</v>
      </c>
      <c r="B6934" t="str">
        <f>"1551685958404098"</f>
        <v>1551685958404098</v>
      </c>
      <c r="C6934" t="s">
        <v>40</v>
      </c>
      <c r="D6934">
        <v>5.0334519999999996</v>
      </c>
      <c r="E6934">
        <v>0.48179080000000002</v>
      </c>
      <c r="F6934" t="s">
        <v>77</v>
      </c>
      <c r="G6934">
        <v>-205.7791</v>
      </c>
      <c r="H6934" s="1">
        <v>-3.057693E-6</v>
      </c>
      <c r="I6934">
        <v>-58.868419999999901</v>
      </c>
      <c r="J6934">
        <v>-220.18989999999999</v>
      </c>
      <c r="K6934">
        <v>1.1131629999999999</v>
      </c>
      <c r="L6934">
        <v>-62.89969</v>
      </c>
      <c r="M6934">
        <v>0.99787879999999995</v>
      </c>
      <c r="N6934">
        <v>-1.40178E-2</v>
      </c>
      <c r="O6934">
        <v>6.3570970000000004E-2</v>
      </c>
      <c r="P6934">
        <v>0.95641330000000002</v>
      </c>
      <c r="Q6934">
        <v>0.1841691</v>
      </c>
      <c r="R6934">
        <v>0.2266176</v>
      </c>
      <c r="S6934">
        <v>2.9845120000000001</v>
      </c>
      <c r="T6934">
        <v>-0.2281263</v>
      </c>
      <c r="U6934">
        <v>0.82852169999999903</v>
      </c>
      <c r="V6934">
        <v>-0.1665584</v>
      </c>
      <c r="W6934">
        <v>0.19671839999999999</v>
      </c>
      <c r="X6934">
        <v>0.96620919999999999</v>
      </c>
      <c r="Y6934">
        <v>-0.20514189999999999</v>
      </c>
      <c r="Z6934">
        <v>5.2773169999999897E-3</v>
      </c>
      <c r="AA6934">
        <v>0.97871799999999998</v>
      </c>
      <c r="AB6934">
        <v>26</v>
      </c>
      <c r="AC6934">
        <v>14.410799999999901</v>
      </c>
      <c r="AD6934">
        <v>-1.11316605769299</v>
      </c>
      <c r="AE6934">
        <v>4.0312700000000001</v>
      </c>
      <c r="AF6934">
        <v>-3.0898174137756</v>
      </c>
      <c r="AG6934">
        <v>-1.11316605769299</v>
      </c>
      <c r="AH6934">
        <v>14.5573852773309</v>
      </c>
      <c r="AI6934">
        <v>94.277820499282001</v>
      </c>
      <c r="AJ6934">
        <v>101.983240194483</v>
      </c>
      <c r="AK6934">
        <v>14.923256227617401</v>
      </c>
      <c r="AL6934">
        <v>78.654875023493901</v>
      </c>
      <c r="AM6934">
        <v>99.780714342608505</v>
      </c>
      <c r="AN6934">
        <v>1.00000002383687</v>
      </c>
    </row>
    <row r="6935" spans="1:40" x14ac:dyDescent="0.25">
      <c r="A6935" t="str">
        <f>"20190304155238421"</f>
        <v>20190304155238421</v>
      </c>
      <c r="B6935" t="str">
        <f>"1551685958413858"</f>
        <v>1551685958413858</v>
      </c>
      <c r="C6935" t="s">
        <v>40</v>
      </c>
      <c r="D6935">
        <v>5.0015720000000004</v>
      </c>
      <c r="E6935">
        <v>0.48175299999999999</v>
      </c>
      <c r="F6935" t="s">
        <v>77</v>
      </c>
      <c r="G6935">
        <v>-205.62440000000001</v>
      </c>
      <c r="H6935" s="1">
        <v>-3.1573400000000001E-6</v>
      </c>
      <c r="I6935">
        <v>-58.826050000000002</v>
      </c>
      <c r="J6935">
        <v>-220.03960000000001</v>
      </c>
      <c r="K6935">
        <v>1.113175</v>
      </c>
      <c r="L6935">
        <v>-62.887880000000003</v>
      </c>
      <c r="M6935">
        <v>0.99774560000000001</v>
      </c>
      <c r="N6935">
        <v>-1.402164E-2</v>
      </c>
      <c r="O6935">
        <v>6.5627340000000006E-2</v>
      </c>
      <c r="P6935">
        <v>0.95595289999999999</v>
      </c>
      <c r="Q6935">
        <v>0.18437049999999999</v>
      </c>
      <c r="R6935">
        <v>0.22838900000000001</v>
      </c>
      <c r="S6935">
        <v>2.9829409999999998</v>
      </c>
      <c r="T6935">
        <v>-0.2279706</v>
      </c>
      <c r="U6935">
        <v>0.83425899999999997</v>
      </c>
      <c r="V6935">
        <v>-0.1663654</v>
      </c>
      <c r="W6935">
        <v>0.19691990000000001</v>
      </c>
      <c r="X6935">
        <v>0.96620139999999999</v>
      </c>
      <c r="Y6935">
        <v>-0.20500930000000001</v>
      </c>
      <c r="Z6935">
        <v>5.146393E-3</v>
      </c>
      <c r="AA6935">
        <v>0.97874649999999996</v>
      </c>
      <c r="AB6935">
        <v>26</v>
      </c>
      <c r="AC6935">
        <v>14.4152</v>
      </c>
      <c r="AD6935">
        <v>-1.1131781573399999</v>
      </c>
      <c r="AE6935">
        <v>4.0618299999999996</v>
      </c>
      <c r="AF6935">
        <v>-3.0898768969450301</v>
      </c>
      <c r="AG6935">
        <v>-1.1131781573399999</v>
      </c>
      <c r="AH6935">
        <v>14.5702152095533</v>
      </c>
      <c r="AI6935">
        <v>94.274271928137793</v>
      </c>
      <c r="AJ6935">
        <v>101.97321673285499</v>
      </c>
      <c r="AK6935">
        <v>14.935785084854199</v>
      </c>
      <c r="AL6935">
        <v>78.643099542902206</v>
      </c>
      <c r="AM6935">
        <v>99.769676784667297</v>
      </c>
      <c r="AN6935">
        <v>1.00000001934756</v>
      </c>
    </row>
    <row r="6936" spans="1:40" x14ac:dyDescent="0.25">
      <c r="A6936" t="str">
        <f>"20190304155238435"</f>
        <v>20190304155238435</v>
      </c>
      <c r="B6936" t="str">
        <f>"1551685958423617"</f>
        <v>1551685958423617</v>
      </c>
      <c r="C6936" t="s">
        <v>40</v>
      </c>
      <c r="D6936">
        <v>5.0274289999999997</v>
      </c>
      <c r="E6936">
        <v>0.48185600000000001</v>
      </c>
      <c r="F6936" t="s">
        <v>77</v>
      </c>
      <c r="G6936">
        <v>-205.5556</v>
      </c>
      <c r="H6936" s="1">
        <v>-3.1988900000000001E-6</v>
      </c>
      <c r="I6936">
        <v>-58.808320000000002</v>
      </c>
      <c r="J6936">
        <v>-219.8981</v>
      </c>
      <c r="K6936">
        <v>1.113189</v>
      </c>
      <c r="L6936">
        <v>-62.8765</v>
      </c>
      <c r="M6936">
        <v>0.99761599999999995</v>
      </c>
      <c r="N6936">
        <v>-1.402491E-2</v>
      </c>
      <c r="O6936">
        <v>6.7571099999999995E-2</v>
      </c>
      <c r="P6936">
        <v>0.9553933</v>
      </c>
      <c r="Q6936">
        <v>0.18455179999999999</v>
      </c>
      <c r="R6936">
        <v>0.23057430000000001</v>
      </c>
      <c r="S6936">
        <v>2.9817809999999998</v>
      </c>
      <c r="T6936">
        <v>-0.22916600000000001</v>
      </c>
      <c r="U6936">
        <v>0.83984380000000003</v>
      </c>
      <c r="V6936">
        <v>-0.16670109999999999</v>
      </c>
      <c r="W6936">
        <v>0.19709760000000001</v>
      </c>
      <c r="X6936">
        <v>0.9661073</v>
      </c>
      <c r="Y6936">
        <v>-0.20489959999999999</v>
      </c>
      <c r="Z6936">
        <v>5.0385930000000001E-3</v>
      </c>
      <c r="AA6936">
        <v>0.97877000000000003</v>
      </c>
      <c r="AB6936">
        <v>26</v>
      </c>
      <c r="AC6936">
        <v>14.342499999999999</v>
      </c>
      <c r="AD6936">
        <v>-1.11319219889</v>
      </c>
      <c r="AE6936">
        <v>4.0681799999999999</v>
      </c>
      <c r="AF6936">
        <v>-3.07251565101059</v>
      </c>
      <c r="AG6936">
        <v>-1.11319219889</v>
      </c>
      <c r="AH6936">
        <v>14.5037658217285</v>
      </c>
      <c r="AI6936">
        <v>94.294031112480994</v>
      </c>
      <c r="AJ6936">
        <v>101.960856346196</v>
      </c>
      <c r="AK6936">
        <v>14.867372743996</v>
      </c>
      <c r="AL6936">
        <v>78.632714538494099</v>
      </c>
      <c r="AM6936">
        <v>99.789944492749697</v>
      </c>
      <c r="AN6936">
        <v>1.0000000178901201</v>
      </c>
    </row>
    <row r="6937" spans="1:40" x14ac:dyDescent="0.25">
      <c r="A6937" t="str">
        <f>"20190304155238448"</f>
        <v>20190304155238448</v>
      </c>
      <c r="B6937" t="str">
        <f>"1551685958444115"</f>
        <v>1551685958444115</v>
      </c>
      <c r="C6937" t="s">
        <v>40</v>
      </c>
      <c r="D6937">
        <v>5.0334019999999997</v>
      </c>
      <c r="E6937">
        <v>0.48201690000000003</v>
      </c>
      <c r="F6937" t="s">
        <v>77</v>
      </c>
      <c r="G6937">
        <v>-205.40690000000001</v>
      </c>
      <c r="H6937" s="1">
        <v>-3.289723E-6</v>
      </c>
      <c r="I6937">
        <v>-58.765529999999998</v>
      </c>
      <c r="J6937">
        <v>-219.73750000000001</v>
      </c>
      <c r="K6937">
        <v>1.113199</v>
      </c>
      <c r="L6937">
        <v>-62.863340000000001</v>
      </c>
      <c r="M6937">
        <v>0.99746349999999995</v>
      </c>
      <c r="N6937">
        <v>-1.40283E-2</v>
      </c>
      <c r="O6937">
        <v>6.9785330000000007E-2</v>
      </c>
      <c r="P6937">
        <v>0.95486289999999996</v>
      </c>
      <c r="Q6937">
        <v>0.18478929999999999</v>
      </c>
      <c r="R6937">
        <v>0.23257230000000001</v>
      </c>
      <c r="S6937">
        <v>2.98027</v>
      </c>
      <c r="T6937">
        <v>-0.22893859999999999</v>
      </c>
      <c r="U6937">
        <v>0.84545899999999996</v>
      </c>
      <c r="V6937">
        <v>-0.1665866</v>
      </c>
      <c r="W6937">
        <v>0.19733500000000001</v>
      </c>
      <c r="X6937">
        <v>0.96607860000000001</v>
      </c>
      <c r="Y6937">
        <v>-0.20457020000000001</v>
      </c>
      <c r="Z6937">
        <v>4.8878080000000004E-3</v>
      </c>
      <c r="AA6937">
        <v>0.97883969999999998</v>
      </c>
      <c r="AB6937">
        <v>26</v>
      </c>
      <c r="AC6937">
        <v>14.3306</v>
      </c>
      <c r="AD6937">
        <v>-1.1132022897229901</v>
      </c>
      <c r="AE6937">
        <v>4.0978099999999902</v>
      </c>
      <c r="AF6937">
        <v>-3.07052605822062</v>
      </c>
      <c r="AG6937">
        <v>-1.1132022897229901</v>
      </c>
      <c r="AH6937">
        <v>14.500764065796799</v>
      </c>
      <c r="AI6937">
        <v>94.295036436933003</v>
      </c>
      <c r="AJ6937">
        <v>101.955737231657</v>
      </c>
      <c r="AK6937">
        <v>14.8640340454387</v>
      </c>
      <c r="AL6937">
        <v>78.618840158560403</v>
      </c>
      <c r="AM6937">
        <v>99.7836352008662</v>
      </c>
      <c r="AN6937">
        <v>1.0000000294512501</v>
      </c>
    </row>
    <row r="6938" spans="1:40" x14ac:dyDescent="0.25">
      <c r="A6938" t="str">
        <f>"20190304155238459"</f>
        <v>20190304155238459</v>
      </c>
      <c r="B6938" t="str">
        <f>"1551685958453873"</f>
        <v>1551685958453873</v>
      </c>
      <c r="C6938" t="s">
        <v>40</v>
      </c>
      <c r="D6938">
        <v>5.0597859999999999</v>
      </c>
      <c r="E6938">
        <v>0.48223290000000002</v>
      </c>
      <c r="F6938" t="s">
        <v>77</v>
      </c>
      <c r="G6938">
        <v>-205.20959999999999</v>
      </c>
      <c r="H6938" s="1">
        <v>-3.40845E-6</v>
      </c>
      <c r="I6938">
        <v>-58.716560000000001</v>
      </c>
      <c r="J6938">
        <v>-219.5951</v>
      </c>
      <c r="K6938">
        <v>1.113208</v>
      </c>
      <c r="L6938">
        <v>-62.851199999999999</v>
      </c>
      <c r="M6938">
        <v>0.99732330000000002</v>
      </c>
      <c r="N6938">
        <v>-1.4030819999999999E-2</v>
      </c>
      <c r="O6938">
        <v>7.1759160000000002E-2</v>
      </c>
      <c r="P6938">
        <v>0.95430420000000005</v>
      </c>
      <c r="Q6938">
        <v>0.18506449999999999</v>
      </c>
      <c r="R6938">
        <v>0.23463729999999999</v>
      </c>
      <c r="S6938">
        <v>2.978882</v>
      </c>
      <c r="T6938">
        <v>-0.22825799999999999</v>
      </c>
      <c r="U6938">
        <v>0.85028079999999995</v>
      </c>
      <c r="V6938">
        <v>-0.16677349999999999</v>
      </c>
      <c r="W6938">
        <v>0.19760800000000001</v>
      </c>
      <c r="X6938">
        <v>0.96599049999999997</v>
      </c>
      <c r="Y6938">
        <v>-0.20422580000000001</v>
      </c>
      <c r="Z6938">
        <v>4.7465629999999997E-3</v>
      </c>
      <c r="AA6938">
        <v>0.97891229999999996</v>
      </c>
      <c r="AB6938">
        <v>26</v>
      </c>
      <c r="AC6938">
        <v>14.3855</v>
      </c>
      <c r="AD6938">
        <v>-1.11321140845</v>
      </c>
      <c r="AE6938">
        <v>4.1346399999999903</v>
      </c>
      <c r="AF6938">
        <v>-3.0745790496387801</v>
      </c>
      <c r="AG6938">
        <v>-1.11321140845</v>
      </c>
      <c r="AH6938">
        <v>14.5645719497477</v>
      </c>
      <c r="AI6938">
        <v>94.276884556242507</v>
      </c>
      <c r="AJ6938">
        <v>101.92012121384801</v>
      </c>
      <c r="AK6938">
        <v>14.927124038198301</v>
      </c>
      <c r="AL6938">
        <v>78.602883692166401</v>
      </c>
      <c r="AM6938">
        <v>99.795275327685204</v>
      </c>
      <c r="AN6938">
        <v>0.99999998402824897</v>
      </c>
    </row>
    <row r="6939" spans="1:40" x14ac:dyDescent="0.25">
      <c r="A6939" t="str">
        <f>"20190304155238474"</f>
        <v>20190304155238474</v>
      </c>
      <c r="B6939" t="str">
        <f>"1551685958463182"</f>
        <v>1551685958463182</v>
      </c>
      <c r="C6939" t="s">
        <v>40</v>
      </c>
      <c r="D6939">
        <v>5.0208370000000002</v>
      </c>
      <c r="E6939">
        <v>0.48233880000000001</v>
      </c>
      <c r="F6939" t="s">
        <v>77</v>
      </c>
      <c r="G6939">
        <v>-205.1112</v>
      </c>
      <c r="H6939" s="1">
        <v>-3.4676309999999999E-6</v>
      </c>
      <c r="I6939">
        <v>-58.692489999999999</v>
      </c>
      <c r="J6939">
        <v>-219.42679999999999</v>
      </c>
      <c r="K6939">
        <v>1.11321</v>
      </c>
      <c r="L6939">
        <v>-62.836550000000003</v>
      </c>
      <c r="M6939">
        <v>0.99715229999999999</v>
      </c>
      <c r="N6939">
        <v>-1.4033500000000001E-2</v>
      </c>
      <c r="O6939">
        <v>7.4096029999999993E-2</v>
      </c>
      <c r="P6939">
        <v>0.95370080000000002</v>
      </c>
      <c r="Q6939">
        <v>0.18554760000000001</v>
      </c>
      <c r="R6939">
        <v>0.2367001</v>
      </c>
      <c r="S6939">
        <v>2.977814</v>
      </c>
      <c r="T6939">
        <v>-0.22887099999999999</v>
      </c>
      <c r="U6939">
        <v>0.85501099999999997</v>
      </c>
      <c r="V6939">
        <v>-0.16661039999999999</v>
      </c>
      <c r="W6939">
        <v>0.19809180000000001</v>
      </c>
      <c r="X6939">
        <v>0.96591959999999999</v>
      </c>
      <c r="Y6939">
        <v>-0.20346620000000001</v>
      </c>
      <c r="Z6939">
        <v>4.5774300000000004E-3</v>
      </c>
      <c r="AA6939">
        <v>0.97907129999999998</v>
      </c>
      <c r="AB6939">
        <v>26</v>
      </c>
      <c r="AC6939">
        <v>14.3155999999999</v>
      </c>
      <c r="AD6939">
        <v>-1.1132134676309999</v>
      </c>
      <c r="AE6939">
        <v>4.1440599999999996</v>
      </c>
      <c r="AF6939">
        <v>-3.0547885636264001</v>
      </c>
      <c r="AG6939">
        <v>-1.1132134676309999</v>
      </c>
      <c r="AH6939">
        <v>14.502413750748101</v>
      </c>
      <c r="AI6939">
        <v>94.2955522843545</v>
      </c>
      <c r="AJ6939">
        <v>101.894895577989</v>
      </c>
      <c r="AK6939">
        <v>14.862401622579901</v>
      </c>
      <c r="AL6939">
        <v>78.574605523077096</v>
      </c>
      <c r="AM6939">
        <v>99.786585522702595</v>
      </c>
      <c r="AN6939">
        <v>1.00000003013977</v>
      </c>
    </row>
    <row r="6940" spans="1:40" x14ac:dyDescent="0.25">
      <c r="A6940" t="str">
        <f>"20190304155238486"</f>
        <v>20190304155238486</v>
      </c>
      <c r="B6940" t="str">
        <f>"1551685958483664"</f>
        <v>1551685958483664</v>
      </c>
      <c r="C6940" t="s">
        <v>40</v>
      </c>
      <c r="D6940">
        <v>5.0343390000000001</v>
      </c>
      <c r="E6940">
        <v>0.4826164</v>
      </c>
      <c r="F6940" t="s">
        <v>77</v>
      </c>
      <c r="G6940">
        <v>-204.85069999999999</v>
      </c>
      <c r="H6940" s="1">
        <v>-3.622452E-6</v>
      </c>
      <c r="I6940">
        <v>-58.618639999999999</v>
      </c>
      <c r="J6940">
        <v>-219.28819999999999</v>
      </c>
      <c r="K6940">
        <v>1.113216</v>
      </c>
      <c r="L6940">
        <v>-62.824280000000002</v>
      </c>
      <c r="M6940">
        <v>0.99700719999999998</v>
      </c>
      <c r="N6940">
        <v>-1.403547E-2</v>
      </c>
      <c r="O6940">
        <v>7.6024899999999895E-2</v>
      </c>
      <c r="P6940">
        <v>0.9532157</v>
      </c>
      <c r="Q6940">
        <v>0.18545310000000001</v>
      </c>
      <c r="R6940">
        <v>0.23871990000000001</v>
      </c>
      <c r="S6940">
        <v>2.9761199999999999</v>
      </c>
      <c r="T6940">
        <v>-0.2272942</v>
      </c>
      <c r="U6940">
        <v>0.86120609999999997</v>
      </c>
      <c r="V6940">
        <v>-0.16678870000000001</v>
      </c>
      <c r="W6940">
        <v>0.19799600000000001</v>
      </c>
      <c r="X6940">
        <v>0.96590849999999995</v>
      </c>
      <c r="Y6940">
        <v>-0.2036106</v>
      </c>
      <c r="Z6940">
        <v>4.4541989999999998E-3</v>
      </c>
      <c r="AA6940">
        <v>0.97904179999999996</v>
      </c>
      <c r="AB6940">
        <v>26</v>
      </c>
      <c r="AC6940">
        <v>14.4375</v>
      </c>
      <c r="AD6940">
        <v>-1.1132196224519999</v>
      </c>
      <c r="AE6940">
        <v>4.2056399999999998</v>
      </c>
      <c r="AF6940">
        <v>-3.0788753751310698</v>
      </c>
      <c r="AG6940">
        <v>-1.1132196224519999</v>
      </c>
      <c r="AH6940">
        <v>14.635267382155099</v>
      </c>
      <c r="AI6940">
        <v>94.256953920351293</v>
      </c>
      <c r="AJ6940">
        <v>101.880284745244</v>
      </c>
      <c r="AK6940">
        <v>14.9969924601759</v>
      </c>
      <c r="AL6940">
        <v>78.580205701261306</v>
      </c>
      <c r="AM6940">
        <v>99.796966309791102</v>
      </c>
      <c r="AN6940">
        <v>1.00000005841796</v>
      </c>
    </row>
    <row r="6941" spans="1:40" x14ac:dyDescent="0.25">
      <c r="A6941" t="str">
        <f>"20190304155238497"</f>
        <v>20190304155238497</v>
      </c>
      <c r="B6941" t="str">
        <f>"1551685958493422"</f>
        <v>1551685958493422</v>
      </c>
      <c r="C6941" t="s">
        <v>40</v>
      </c>
      <c r="D6941">
        <v>5.0152850000000004</v>
      </c>
      <c r="E6941">
        <v>0.48267399999999999</v>
      </c>
      <c r="F6941" t="s">
        <v>77</v>
      </c>
      <c r="G6941">
        <v>-204.82320000000001</v>
      </c>
      <c r="H6941" s="1">
        <v>-3.636658E-6</v>
      </c>
      <c r="I6941">
        <v>-58.6179699999999</v>
      </c>
      <c r="J6941">
        <v>-219.1713</v>
      </c>
      <c r="K6941">
        <v>1.1132219999999999</v>
      </c>
      <c r="L6941">
        <v>-62.813569999999999</v>
      </c>
      <c r="M6941">
        <v>0.99688120000000002</v>
      </c>
      <c r="N6941">
        <v>-1.403684E-2</v>
      </c>
      <c r="O6941">
        <v>7.7658920000000006E-2</v>
      </c>
      <c r="P6941">
        <v>0.95282730000000004</v>
      </c>
      <c r="Q6941">
        <v>0.18547240000000001</v>
      </c>
      <c r="R6941">
        <v>0.2402502</v>
      </c>
      <c r="S6941">
        <v>2.9751430000000001</v>
      </c>
      <c r="T6941">
        <v>-0.22896430000000001</v>
      </c>
      <c r="U6941">
        <v>0.86514279999999999</v>
      </c>
      <c r="V6941">
        <v>-0.16675809999999999</v>
      </c>
      <c r="W6941">
        <v>0.19801560000000001</v>
      </c>
      <c r="X6941">
        <v>0.96590969999999998</v>
      </c>
      <c r="Y6941">
        <v>-0.2032844</v>
      </c>
      <c r="Z6941">
        <v>4.3550489999999997E-3</v>
      </c>
      <c r="AA6941">
        <v>0.97911009999999998</v>
      </c>
      <c r="AB6941">
        <v>26</v>
      </c>
      <c r="AC6941">
        <v>14.348099999999899</v>
      </c>
      <c r="AD6941">
        <v>-1.113225636658</v>
      </c>
      <c r="AE6941">
        <v>4.1955999999999998</v>
      </c>
      <c r="AF6941">
        <v>-3.0516360063043901</v>
      </c>
      <c r="AG6941">
        <v>-1.113225636658</v>
      </c>
      <c r="AH6941">
        <v>14.5499303768428</v>
      </c>
      <c r="AI6941">
        <v>94.282399701470894</v>
      </c>
      <c r="AJ6941">
        <v>101.84526025487401</v>
      </c>
      <c r="AK6941">
        <v>14.9081262271306</v>
      </c>
      <c r="AL6941">
        <v>78.579059288315904</v>
      </c>
      <c r="AM6941">
        <v>99.795191790091707</v>
      </c>
      <c r="AN6941">
        <v>0.99999999515652904</v>
      </c>
    </row>
    <row r="6942" spans="1:40" x14ac:dyDescent="0.25">
      <c r="A6942" t="str">
        <f>"20190304155238508"</f>
        <v>20190304155238508</v>
      </c>
      <c r="B6942" t="str">
        <f>"1551685958503182"</f>
        <v>1551685958503182</v>
      </c>
      <c r="C6942" t="s">
        <v>40</v>
      </c>
      <c r="D6942">
        <v>5.0166709999999997</v>
      </c>
      <c r="E6942">
        <v>0.48272680000000001</v>
      </c>
      <c r="F6942" t="s">
        <v>77</v>
      </c>
      <c r="G6942">
        <v>-204.7165</v>
      </c>
      <c r="H6942" s="1">
        <v>-3.6972660000000001E-6</v>
      </c>
      <c r="I6942">
        <v>-58.589759999999998</v>
      </c>
      <c r="J6942">
        <v>-219.0461</v>
      </c>
      <c r="K6942">
        <v>1.1132249999999999</v>
      </c>
      <c r="L6942">
        <v>-62.802030000000002</v>
      </c>
      <c r="M6942">
        <v>0.99674320000000005</v>
      </c>
      <c r="N6942">
        <v>-1.403826E-2</v>
      </c>
      <c r="O6942">
        <v>7.9409869999999994E-2</v>
      </c>
      <c r="P6942">
        <v>0.95231160000000004</v>
      </c>
      <c r="Q6942">
        <v>0.1855861</v>
      </c>
      <c r="R6942">
        <v>0.24219889999999999</v>
      </c>
      <c r="S6942">
        <v>2.9739840000000002</v>
      </c>
      <c r="T6942">
        <v>-0.22903809999999999</v>
      </c>
      <c r="U6942">
        <v>0.86901859999999997</v>
      </c>
      <c r="V6942">
        <v>-0.1670421</v>
      </c>
      <c r="W6942">
        <v>0.19812679999999999</v>
      </c>
      <c r="X6942">
        <v>0.96583779999999997</v>
      </c>
      <c r="Y6942">
        <v>-0.20284720000000001</v>
      </c>
      <c r="Z6942">
        <v>4.23019E-3</v>
      </c>
      <c r="AA6942">
        <v>0.97920130000000005</v>
      </c>
      <c r="AB6942">
        <v>26</v>
      </c>
      <c r="AC6942">
        <v>14.329599999999999</v>
      </c>
      <c r="AD6942">
        <v>-1.1132286972659999</v>
      </c>
      <c r="AE6942">
        <v>4.2122700000000002</v>
      </c>
      <c r="AF6942">
        <v>-3.0440309440581799</v>
      </c>
      <c r="AG6942">
        <v>-1.1132286972659999</v>
      </c>
      <c r="AH6942">
        <v>14.5381042707484</v>
      </c>
      <c r="AI6942">
        <v>94.286184169160805</v>
      </c>
      <c r="AJ6942">
        <v>101.825913021286</v>
      </c>
      <c r="AK6942">
        <v>14.8950286440796</v>
      </c>
      <c r="AL6942">
        <v>78.572558970531304</v>
      </c>
      <c r="AM6942">
        <v>99.812265900917097</v>
      </c>
      <c r="AN6942">
        <v>0.99999997397974405</v>
      </c>
    </row>
    <row r="6943" spans="1:40" x14ac:dyDescent="0.25">
      <c r="A6943" t="str">
        <f>"20190304155238518"</f>
        <v>20190304155238518</v>
      </c>
      <c r="B6943" t="str">
        <f>"1551685958513918"</f>
        <v>1551685958513918</v>
      </c>
      <c r="C6943" t="s">
        <v>40</v>
      </c>
      <c r="D6943">
        <v>5.0014719999999997</v>
      </c>
      <c r="E6943">
        <v>0.48277999999999999</v>
      </c>
      <c r="F6943" t="s">
        <v>77</v>
      </c>
      <c r="G6943">
        <v>-204.56720000000001</v>
      </c>
      <c r="H6943" s="1">
        <v>-3.7836699999999999E-6</v>
      </c>
      <c r="I6943">
        <v>-58.543059999999997</v>
      </c>
      <c r="J6943">
        <v>-218.9171</v>
      </c>
      <c r="K6943">
        <v>1.1132280000000001</v>
      </c>
      <c r="L6943">
        <v>-62.789729999999999</v>
      </c>
      <c r="M6943">
        <v>0.99659710000000001</v>
      </c>
      <c r="N6943">
        <v>-1.403951E-2</v>
      </c>
      <c r="O6943">
        <v>8.1222520000000006E-2</v>
      </c>
      <c r="P6943">
        <v>0.95184480000000005</v>
      </c>
      <c r="Q6943">
        <v>0.18574280000000001</v>
      </c>
      <c r="R6943">
        <v>0.24390809999999999</v>
      </c>
      <c r="S6943">
        <v>2.9723820000000001</v>
      </c>
      <c r="T6943">
        <v>-0.22853570000000001</v>
      </c>
      <c r="U6943">
        <v>0.87432860000000001</v>
      </c>
      <c r="V6943">
        <v>-0.16702429999999999</v>
      </c>
      <c r="W6943">
        <v>0.1982834</v>
      </c>
      <c r="X6943">
        <v>0.96580869999999996</v>
      </c>
      <c r="Y6943">
        <v>-0.20282449999999999</v>
      </c>
      <c r="Z6943">
        <v>4.1163140000000003E-3</v>
      </c>
      <c r="AA6943">
        <v>0.97920640000000003</v>
      </c>
      <c r="AB6943">
        <v>26</v>
      </c>
      <c r="AC6943">
        <v>14.3498999999999</v>
      </c>
      <c r="AD6943">
        <v>-1.1132317836700001</v>
      </c>
      <c r="AE6943">
        <v>4.2466699999999999</v>
      </c>
      <c r="AF6943">
        <v>-3.0501079987670798</v>
      </c>
      <c r="AG6943">
        <v>-1.1132317836700001</v>
      </c>
      <c r="AH6943">
        <v>14.5668297817551</v>
      </c>
      <c r="AI6943">
        <v>94.277771454098399</v>
      </c>
      <c r="AJ6943">
        <v>101.826148237208</v>
      </c>
      <c r="AK6943">
        <v>14.924308148083201</v>
      </c>
      <c r="AL6943">
        <v>78.563404377925707</v>
      </c>
      <c r="AM6943">
        <v>99.811530496745306</v>
      </c>
      <c r="AN6943">
        <v>0.99999993425086697</v>
      </c>
    </row>
    <row r="6944" spans="1:40" x14ac:dyDescent="0.25">
      <c r="A6944" t="str">
        <f>"20190304155238530"</f>
        <v>20190304155238530</v>
      </c>
      <c r="B6944" t="str">
        <f>"1551685958523678"</f>
        <v>1551685958523678</v>
      </c>
      <c r="C6944" t="s">
        <v>40</v>
      </c>
      <c r="D6944">
        <v>4.9997780000000001</v>
      </c>
      <c r="E6944">
        <v>0.48282920000000001</v>
      </c>
      <c r="F6944" t="s">
        <v>77</v>
      </c>
      <c r="G6944">
        <v>-204.41399999999999</v>
      </c>
      <c r="H6944" s="1">
        <v>-3.8718099999999998E-6</v>
      </c>
      <c r="I6944">
        <v>-58.497619999999998</v>
      </c>
      <c r="J6944">
        <v>-218.78129999999999</v>
      </c>
      <c r="K6944">
        <v>1.1132280000000001</v>
      </c>
      <c r="L6944">
        <v>-62.776670000000003</v>
      </c>
      <c r="M6944">
        <v>0.99643959999999998</v>
      </c>
      <c r="N6944">
        <v>-1.404072E-2</v>
      </c>
      <c r="O6944">
        <v>8.313297E-2</v>
      </c>
      <c r="P6944">
        <v>0.95136069999999995</v>
      </c>
      <c r="Q6944">
        <v>0.1857154</v>
      </c>
      <c r="R6944">
        <v>0.2458099</v>
      </c>
      <c r="S6944">
        <v>2.9709629999999998</v>
      </c>
      <c r="T6944">
        <v>-0.2280462</v>
      </c>
      <c r="U6944">
        <v>0.87924190000000002</v>
      </c>
      <c r="V6944">
        <v>-0.167104</v>
      </c>
      <c r="W6944">
        <v>0.19825490000000001</v>
      </c>
      <c r="X6944">
        <v>0.96580080000000001</v>
      </c>
      <c r="Y6944">
        <v>-0.20256959999999999</v>
      </c>
      <c r="Z6944">
        <v>3.9867000000000001E-3</v>
      </c>
      <c r="AA6944">
        <v>0.97925969999999996</v>
      </c>
      <c r="AB6944">
        <v>26</v>
      </c>
      <c r="AC6944">
        <v>14.367299999999901</v>
      </c>
      <c r="AD6944">
        <v>-1.1132318718100001</v>
      </c>
      <c r="AE6944">
        <v>4.27904999999999</v>
      </c>
      <c r="AF6944">
        <v>-3.0528856559945199</v>
      </c>
      <c r="AG6944">
        <v>-1.1132318718100001</v>
      </c>
      <c r="AH6944">
        <v>14.592849262298</v>
      </c>
      <c r="AI6944">
        <v>94.270328748077802</v>
      </c>
      <c r="AJ6944">
        <v>101.81610313964499</v>
      </c>
      <c r="AK6944">
        <v>14.9502724263186</v>
      </c>
      <c r="AL6944">
        <v>78.565070781556301</v>
      </c>
      <c r="AM6944">
        <v>99.816199999706598</v>
      </c>
      <c r="AN6944">
        <v>0.99999996873532404</v>
      </c>
    </row>
    <row r="6945" spans="1:40" x14ac:dyDescent="0.25">
      <c r="A6945" t="str">
        <f>"20190304155238541"</f>
        <v>20190304155238541</v>
      </c>
      <c r="B6945" t="str">
        <f>"1551685958533438"</f>
        <v>1551685958533438</v>
      </c>
      <c r="C6945" t="s">
        <v>40</v>
      </c>
      <c r="D6945">
        <v>4.9964409999999999</v>
      </c>
      <c r="E6945">
        <v>0.48287619999999998</v>
      </c>
      <c r="F6945" t="s">
        <v>77</v>
      </c>
      <c r="G6945">
        <v>-204.28720000000001</v>
      </c>
      <c r="H6945" s="1">
        <v>-3.9449110000000002E-6</v>
      </c>
      <c r="I6945">
        <v>-58.459339999999997</v>
      </c>
      <c r="J6945">
        <v>-218.6617</v>
      </c>
      <c r="K6945">
        <v>1.1132310000000001</v>
      </c>
      <c r="L6945">
        <v>-62.764890000000001</v>
      </c>
      <c r="M6945">
        <v>0.9962974</v>
      </c>
      <c r="N6945">
        <v>-1.404159E-2</v>
      </c>
      <c r="O6945">
        <v>8.4819850000000002E-2</v>
      </c>
      <c r="P6945">
        <v>0.95097229999999999</v>
      </c>
      <c r="Q6945">
        <v>0.1856891</v>
      </c>
      <c r="R6945">
        <v>0.24732850000000001</v>
      </c>
      <c r="S6945">
        <v>2.9693909999999999</v>
      </c>
      <c r="T6945">
        <v>-0.2280674</v>
      </c>
      <c r="U6945">
        <v>0.88449100000000003</v>
      </c>
      <c r="V6945">
        <v>-0.16701189999999999</v>
      </c>
      <c r="W6945">
        <v>0.19822970000000001</v>
      </c>
      <c r="X6945">
        <v>0.96582190000000001</v>
      </c>
      <c r="Y6945">
        <v>-0.2026461</v>
      </c>
      <c r="Z6945">
        <v>3.8888199999999999E-3</v>
      </c>
      <c r="AA6945">
        <v>0.97924429999999996</v>
      </c>
      <c r="AB6945">
        <v>26</v>
      </c>
      <c r="AC6945">
        <v>14.3744999999999</v>
      </c>
      <c r="AD6945">
        <v>-1.1132349449109999</v>
      </c>
      <c r="AE6945">
        <v>4.3055499999999904</v>
      </c>
      <c r="AF6945">
        <v>-3.0538596424086299</v>
      </c>
      <c r="AG6945">
        <v>-1.1132349449109999</v>
      </c>
      <c r="AH6945">
        <v>14.6075214229593</v>
      </c>
      <c r="AI6945">
        <v>94.266189269522798</v>
      </c>
      <c r="AJ6945">
        <v>101.80822830980701</v>
      </c>
      <c r="AK6945">
        <v>14.9647931118448</v>
      </c>
      <c r="AL6945">
        <v>78.566543835403607</v>
      </c>
      <c r="AM6945">
        <v>99.810684757264298</v>
      </c>
      <c r="AN6945">
        <v>0.99999996561165405</v>
      </c>
    </row>
    <row r="6946" spans="1:40" x14ac:dyDescent="0.25">
      <c r="A6946" t="str">
        <f>"20190304155238552"</f>
        <v>20190304155238552</v>
      </c>
      <c r="B6946" t="str">
        <f>"1551685958543199"</f>
        <v>1551685958543199</v>
      </c>
      <c r="C6946" t="s">
        <v>40</v>
      </c>
      <c r="D6946">
        <v>4.9949629999999896</v>
      </c>
      <c r="E6946">
        <v>0.48293069999999999</v>
      </c>
      <c r="F6946" t="s">
        <v>77</v>
      </c>
      <c r="G6946">
        <v>-204.18450000000001</v>
      </c>
      <c r="H6946" s="1">
        <v>-4.0040979999999999E-6</v>
      </c>
      <c r="I6946">
        <v>-58.428400000000003</v>
      </c>
      <c r="J6946">
        <v>-218.52610000000001</v>
      </c>
      <c r="K6946">
        <v>1.113229</v>
      </c>
      <c r="L6946">
        <v>-62.751309999999997</v>
      </c>
      <c r="M6946">
        <v>0.99613220000000002</v>
      </c>
      <c r="N6946">
        <v>-1.404246E-2</v>
      </c>
      <c r="O6946">
        <v>8.6737640000000005E-2</v>
      </c>
      <c r="P6946">
        <v>0.95045769999999996</v>
      </c>
      <c r="Q6946">
        <v>0.18585399999999999</v>
      </c>
      <c r="R6946">
        <v>0.24917529999999999</v>
      </c>
      <c r="S6946">
        <v>2.9680179999999998</v>
      </c>
      <c r="T6946">
        <v>-0.22822790000000001</v>
      </c>
      <c r="U6946">
        <v>0.88903809999999905</v>
      </c>
      <c r="V6946">
        <v>-0.16703390000000001</v>
      </c>
      <c r="W6946">
        <v>0.19839280000000001</v>
      </c>
      <c r="X6946">
        <v>0.96578470000000005</v>
      </c>
      <c r="Y6946">
        <v>-0.20226640000000001</v>
      </c>
      <c r="Z6946">
        <v>3.757107E-3</v>
      </c>
      <c r="AA6946">
        <v>0.97932330000000001</v>
      </c>
      <c r="AB6946">
        <v>26</v>
      </c>
      <c r="AC6946">
        <v>14.3416</v>
      </c>
      <c r="AD6946">
        <v>-1.1132330040979901</v>
      </c>
      <c r="AE6946">
        <v>4.3229099999999896</v>
      </c>
      <c r="AF6946">
        <v>-3.04571253142664</v>
      </c>
      <c r="AG6946">
        <v>-1.1132330040979901</v>
      </c>
      <c r="AH6946">
        <v>14.5819918508424</v>
      </c>
      <c r="AI6946">
        <v>94.273787549181193</v>
      </c>
      <c r="AJ6946">
        <v>101.79764962164199</v>
      </c>
      <c r="AK6946">
        <v>14.938210698860001</v>
      </c>
      <c r="AL6946">
        <v>78.557010591105694</v>
      </c>
      <c r="AM6946">
        <v>99.812322562871202</v>
      </c>
      <c r="AN6946">
        <v>1.00000005679756</v>
      </c>
    </row>
    <row r="6947" spans="1:40" x14ac:dyDescent="0.25">
      <c r="A6947" t="str">
        <f>"20190304155238564"</f>
        <v>20190304155238564</v>
      </c>
      <c r="B6947" t="str">
        <f>"1551685958553935"</f>
        <v>1551685958553935</v>
      </c>
      <c r="C6947" t="s">
        <v>40</v>
      </c>
      <c r="D6947">
        <v>4.9790299999999998</v>
      </c>
      <c r="E6947">
        <v>0.4830121</v>
      </c>
      <c r="F6947" t="s">
        <v>77</v>
      </c>
      <c r="G6947">
        <v>-204.02950000000001</v>
      </c>
      <c r="H6947" s="1">
        <v>-4.0934420000000004E-6</v>
      </c>
      <c r="I6947">
        <v>-58.38158</v>
      </c>
      <c r="J6947">
        <v>-218.39689999999999</v>
      </c>
      <c r="K6947">
        <v>1.1132390000000001</v>
      </c>
      <c r="L6947">
        <v>-62.738100000000003</v>
      </c>
      <c r="M6947">
        <v>0.9959711</v>
      </c>
      <c r="N6947">
        <v>-1.4043150000000001E-2</v>
      </c>
      <c r="O6947">
        <v>8.8569300000000004E-2</v>
      </c>
      <c r="P6947">
        <v>0.9500402</v>
      </c>
      <c r="Q6947">
        <v>0.18562300000000001</v>
      </c>
      <c r="R6947">
        <v>0.2509342</v>
      </c>
      <c r="S6947">
        <v>2.9664920000000001</v>
      </c>
      <c r="T6947">
        <v>-0.22780539999999999</v>
      </c>
      <c r="U6947">
        <v>0.89419559999999998</v>
      </c>
      <c r="V6947">
        <v>-0.16704189999999999</v>
      </c>
      <c r="W6947">
        <v>0.19816139999999999</v>
      </c>
      <c r="X6947">
        <v>0.96583070000000004</v>
      </c>
      <c r="Y6947">
        <v>-0.20217070000000001</v>
      </c>
      <c r="Z6947">
        <v>3.6406339999999998E-3</v>
      </c>
      <c r="AA6947">
        <v>0.97934350000000003</v>
      </c>
      <c r="AB6947">
        <v>26</v>
      </c>
      <c r="AC6947">
        <v>14.3673999999999</v>
      </c>
      <c r="AD6947">
        <v>-1.1132430934419999</v>
      </c>
      <c r="AE6947">
        <v>4.35651999999999</v>
      </c>
      <c r="AF6947">
        <v>-3.04999005590459</v>
      </c>
      <c r="AG6947">
        <v>-1.1132430934419999</v>
      </c>
      <c r="AH6947">
        <v>14.616452469004701</v>
      </c>
      <c r="AI6947">
        <v>94.263956903772794</v>
      </c>
      <c r="AJ6947">
        <v>101.786680659482</v>
      </c>
      <c r="AK6947">
        <v>14.972722942233499</v>
      </c>
      <c r="AL6947">
        <v>78.570536029551107</v>
      </c>
      <c r="AM6947">
        <v>99.812325110605002</v>
      </c>
      <c r="AN6947">
        <v>0.99999993893402805</v>
      </c>
    </row>
    <row r="6948" spans="1:40" x14ac:dyDescent="0.25">
      <c r="A6948" t="str">
        <f>"20190304155238574"</f>
        <v>20190304155238574</v>
      </c>
      <c r="B6948" t="str">
        <f>"1551685958563247"</f>
        <v>1551685958563247</v>
      </c>
      <c r="C6948" t="s">
        <v>40</v>
      </c>
      <c r="D6948">
        <v>5.0487339999999996</v>
      </c>
      <c r="E6948">
        <v>0.4830121</v>
      </c>
      <c r="F6948" t="s">
        <v>77</v>
      </c>
      <c r="G6948">
        <v>-203.9881</v>
      </c>
      <c r="H6948" s="1">
        <v>-4.1176659999999999E-6</v>
      </c>
      <c r="I6948">
        <v>-58.367530000000002</v>
      </c>
      <c r="J6948">
        <v>-218.2731</v>
      </c>
      <c r="K6948">
        <v>1.1132420000000001</v>
      </c>
      <c r="L6948">
        <v>-62.725160000000002</v>
      </c>
      <c r="M6948">
        <v>0.99581280000000005</v>
      </c>
      <c r="N6948">
        <v>-1.4043750000000001E-2</v>
      </c>
      <c r="O6948">
        <v>9.0330750000000001E-2</v>
      </c>
      <c r="P6948">
        <v>0.94960339999999999</v>
      </c>
      <c r="Q6948">
        <v>0.18560109999999999</v>
      </c>
      <c r="R6948">
        <v>0.25259779999999998</v>
      </c>
      <c r="S6948">
        <v>2.964966</v>
      </c>
      <c r="T6948">
        <v>-0.22907730000000001</v>
      </c>
      <c r="U6948">
        <v>0.89935299999999996</v>
      </c>
      <c r="V6948">
        <v>-0.16702600000000001</v>
      </c>
      <c r="W6948">
        <v>0.19813990000000001</v>
      </c>
      <c r="X6948">
        <v>0.96583790000000003</v>
      </c>
      <c r="Y6948">
        <v>-0.20213729999999999</v>
      </c>
      <c r="Z6948">
        <v>3.5378509999999998E-3</v>
      </c>
      <c r="AA6948">
        <v>0.97935079999999997</v>
      </c>
      <c r="AB6948">
        <v>26</v>
      </c>
      <c r="AC6948">
        <v>14.284999999999901</v>
      </c>
      <c r="AD6948">
        <v>-1.113246117666</v>
      </c>
      <c r="AE6948">
        <v>4.3576299999999897</v>
      </c>
      <c r="AF6948">
        <v>-3.0324606457619501</v>
      </c>
      <c r="AG6948">
        <v>-1.113246117666</v>
      </c>
      <c r="AH6948">
        <v>14.5394710564023</v>
      </c>
      <c r="AI6948">
        <v>94.286546814289196</v>
      </c>
      <c r="AJ6948">
        <v>101.78114516374001</v>
      </c>
      <c r="AK6948">
        <v>14.894003930661301</v>
      </c>
      <c r="AL6948">
        <v>78.571793248132906</v>
      </c>
      <c r="AM6948">
        <v>99.811337551004101</v>
      </c>
      <c r="AN6948">
        <v>0.99999997686220898</v>
      </c>
    </row>
    <row r="6949" spans="1:40" x14ac:dyDescent="0.25">
      <c r="A6949" t="str">
        <f>"20190304155238585"</f>
        <v>20190304155238585</v>
      </c>
      <c r="B6949" t="str">
        <f>"1551685958583721"</f>
        <v>1551685958583721</v>
      </c>
      <c r="C6949" t="s">
        <v>40</v>
      </c>
      <c r="D6949">
        <v>4.9580270000000004</v>
      </c>
      <c r="E6949">
        <v>0.50802079999999905</v>
      </c>
      <c r="F6949" t="s">
        <v>77</v>
      </c>
      <c r="G6949">
        <v>-203.87450000000001</v>
      </c>
      <c r="H6949" s="1">
        <v>-4.1837869999999999E-6</v>
      </c>
      <c r="I6949">
        <v>-58.330469999999998</v>
      </c>
      <c r="J6949">
        <v>-218.14580000000001</v>
      </c>
      <c r="K6949">
        <v>1.1132470000000001</v>
      </c>
      <c r="L6949">
        <v>-62.711730000000003</v>
      </c>
      <c r="M6949">
        <v>0.9956467</v>
      </c>
      <c r="N6949">
        <v>-1.4044330000000001E-2</v>
      </c>
      <c r="O6949">
        <v>9.2144820000000002E-2</v>
      </c>
      <c r="P6949">
        <v>0.94925139999999997</v>
      </c>
      <c r="Q6949">
        <v>0.18552560000000001</v>
      </c>
      <c r="R6949">
        <v>0.2539729</v>
      </c>
      <c r="S6949">
        <v>2.963409</v>
      </c>
      <c r="T6949">
        <v>-0.2291194</v>
      </c>
      <c r="U6949">
        <v>0.90447999999999995</v>
      </c>
      <c r="V6949">
        <v>-0.1666638</v>
      </c>
      <c r="W6949">
        <v>0.19806660000000001</v>
      </c>
      <c r="X6949">
        <v>0.96591559999999999</v>
      </c>
      <c r="Y6949">
        <v>-0.20205010000000001</v>
      </c>
      <c r="Z6949">
        <v>3.4241649999999998E-3</v>
      </c>
      <c r="AA6949">
        <v>0.97936920000000005</v>
      </c>
      <c r="AB6949">
        <v>26</v>
      </c>
      <c r="AC6949">
        <v>14.271299999999901</v>
      </c>
      <c r="AD6949">
        <v>-1.1132511837869901</v>
      </c>
      <c r="AE6949">
        <v>4.3812600000000002</v>
      </c>
      <c r="AF6949">
        <v>-3.0306080014528201</v>
      </c>
      <c r="AG6949">
        <v>-1.1132511837869901</v>
      </c>
      <c r="AH6949">
        <v>14.5335035230337</v>
      </c>
      <c r="AI6949">
        <v>94.288355491765003</v>
      </c>
      <c r="AJ6949">
        <v>101.778848090941</v>
      </c>
      <c r="AK6949">
        <v>14.887801641300401</v>
      </c>
      <c r="AL6949">
        <v>78.576079063107599</v>
      </c>
      <c r="AM6949">
        <v>99.789701276855993</v>
      </c>
      <c r="AN6949">
        <v>1.0000000732946699</v>
      </c>
    </row>
    <row r="6950" spans="1:40" x14ac:dyDescent="0.25">
      <c r="A6950" t="str">
        <f>"20190304155238598"</f>
        <v>20190304155238598</v>
      </c>
      <c r="B6950" t="str">
        <f>"1551685958593481"</f>
        <v>1551685958593481</v>
      </c>
      <c r="C6950" t="s">
        <v>40</v>
      </c>
      <c r="D6950">
        <v>4.952496</v>
      </c>
      <c r="E6950">
        <v>0.53281919999999905</v>
      </c>
      <c r="F6950" t="s">
        <v>77</v>
      </c>
      <c r="G6950">
        <v>-202.75020000000001</v>
      </c>
      <c r="H6950" s="1">
        <v>-4.5968319999999998E-6</v>
      </c>
      <c r="I6950">
        <v>-59.051310000000001</v>
      </c>
      <c r="J6950">
        <v>-218.00810000000001</v>
      </c>
      <c r="K6950">
        <v>1.113256</v>
      </c>
      <c r="L6950">
        <v>-62.696840000000002</v>
      </c>
      <c r="M6950">
        <v>0.99546219999999996</v>
      </c>
      <c r="N6950">
        <v>-1.404476E-2</v>
      </c>
      <c r="O6950">
        <v>9.4115420000000005E-2</v>
      </c>
      <c r="P6950">
        <v>0.94876419999999995</v>
      </c>
      <c r="Q6950">
        <v>0.1855366</v>
      </c>
      <c r="R6950">
        <v>0.25577850000000002</v>
      </c>
      <c r="S6950">
        <v>3.0113530000000002</v>
      </c>
      <c r="T6950">
        <v>-0.21774969999999999</v>
      </c>
      <c r="U6950">
        <v>0.71597290000000002</v>
      </c>
      <c r="V6950">
        <v>-0.16659199999999999</v>
      </c>
      <c r="W6950">
        <v>0.1980768</v>
      </c>
      <c r="X6950">
        <v>0.96592579999999995</v>
      </c>
      <c r="Y6950">
        <v>-0.1384504</v>
      </c>
      <c r="Z6950">
        <v>5.4768500000000001E-4</v>
      </c>
      <c r="AA6950">
        <v>0.99036919999999995</v>
      </c>
      <c r="AB6950">
        <v>26</v>
      </c>
      <c r="AC6950">
        <v>15.257899999999999</v>
      </c>
      <c r="AD6950">
        <v>-1.113260596832</v>
      </c>
      <c r="AE6950">
        <v>3.6455299999999999</v>
      </c>
      <c r="AF6950">
        <v>-2.1822102000837198</v>
      </c>
      <c r="AG6950">
        <v>-1.113260596832</v>
      </c>
      <c r="AH6950">
        <v>15.455460562793601</v>
      </c>
      <c r="AI6950">
        <v>94.079588431488204</v>
      </c>
      <c r="AJ6950">
        <v>98.036666006903005</v>
      </c>
      <c r="AK6950">
        <v>15.6484073222126</v>
      </c>
      <c r="AL6950">
        <v>78.575481777927806</v>
      </c>
      <c r="AM6950">
        <v>99.785464018838496</v>
      </c>
      <c r="AN6950">
        <v>0.99999998213393904</v>
      </c>
    </row>
    <row r="6951" spans="1:40" x14ac:dyDescent="0.25">
      <c r="A6951" t="str">
        <f>"20190304155238610"</f>
        <v>20190304155238610</v>
      </c>
      <c r="B6951" t="str">
        <f>"1551685958603240"</f>
        <v>1551685958603240</v>
      </c>
      <c r="C6951" t="s">
        <v>40</v>
      </c>
      <c r="D6951">
        <v>4.9840530000000003</v>
      </c>
      <c r="E6951">
        <v>0.53418789999999905</v>
      </c>
      <c r="F6951" t="s">
        <v>77</v>
      </c>
      <c r="G6951">
        <v>-199.83160000000001</v>
      </c>
      <c r="H6951" s="1">
        <v>-7.567433E-6</v>
      </c>
      <c r="I6951">
        <v>-59.544040000000003</v>
      </c>
      <c r="J6951">
        <v>-217.8784</v>
      </c>
      <c r="K6951">
        <v>1.113259</v>
      </c>
      <c r="L6951">
        <v>-62.682650000000002</v>
      </c>
      <c r="M6951">
        <v>0.99528490000000003</v>
      </c>
      <c r="N6951">
        <v>-1.404511E-2</v>
      </c>
      <c r="O6951">
        <v>9.5973970000000006E-2</v>
      </c>
      <c r="P6951">
        <v>0.94830760000000003</v>
      </c>
      <c r="Q6951">
        <v>0.1856777</v>
      </c>
      <c r="R6951">
        <v>0.25736520000000002</v>
      </c>
      <c r="S6951">
        <v>3.0557249999999998</v>
      </c>
      <c r="T6951">
        <v>-0.18715509999999999</v>
      </c>
      <c r="U6951">
        <v>0.53002930000000004</v>
      </c>
      <c r="V6951">
        <v>-0.16640849999999999</v>
      </c>
      <c r="W6951">
        <v>0.19821849999999999</v>
      </c>
      <c r="X6951">
        <v>0.96592840000000002</v>
      </c>
      <c r="Y6951">
        <v>-7.5475890000000004E-2</v>
      </c>
      <c r="Z6951">
        <v>-1.6423529999999901E-3</v>
      </c>
      <c r="AA6951">
        <v>0.99714619999999998</v>
      </c>
      <c r="AB6951">
        <v>26</v>
      </c>
      <c r="AC6951">
        <v>18.046799999999902</v>
      </c>
      <c r="AD6951">
        <v>-1.113266567433</v>
      </c>
      <c r="AE6951">
        <v>3.1386099999999999</v>
      </c>
      <c r="AF6951">
        <v>-1.3868028084700299</v>
      </c>
      <c r="AG6951">
        <v>-1.113266567433</v>
      </c>
      <c r="AH6951">
        <v>18.197515821255799</v>
      </c>
      <c r="AI6951">
        <v>93.490715142851798</v>
      </c>
      <c r="AJ6951">
        <v>94.357993668703301</v>
      </c>
      <c r="AK6951">
        <v>18.2842053845553</v>
      </c>
      <c r="AL6951">
        <v>78.567199149791094</v>
      </c>
      <c r="AM6951">
        <v>99.774867634169198</v>
      </c>
      <c r="AN6951">
        <v>1.00000001827052</v>
      </c>
    </row>
    <row r="6952" spans="1:40" x14ac:dyDescent="0.25">
      <c r="A6952" t="str">
        <f>"20190304155238620"</f>
        <v>20190304155238620</v>
      </c>
      <c r="B6952" t="str">
        <f>"1551685958613977"</f>
        <v>1551685958613977</v>
      </c>
      <c r="C6952" t="s">
        <v>40</v>
      </c>
      <c r="D6952">
        <v>4.911511</v>
      </c>
      <c r="E6952">
        <v>0.53405360000000002</v>
      </c>
      <c r="F6952" t="s">
        <v>77</v>
      </c>
      <c r="G6952">
        <v>-199.77420000000001</v>
      </c>
      <c r="H6952" s="1">
        <v>-7.5497269999999996E-6</v>
      </c>
      <c r="I6952">
        <v>-59.576099999999997</v>
      </c>
      <c r="J6952">
        <v>-217.73920000000001</v>
      </c>
      <c r="K6952">
        <v>1.113264</v>
      </c>
      <c r="L6952">
        <v>-62.667020000000001</v>
      </c>
      <c r="M6952">
        <v>0.99508969999999997</v>
      </c>
      <c r="N6952">
        <v>-1.404532E-2</v>
      </c>
      <c r="O6952">
        <v>9.7976809999999998E-2</v>
      </c>
      <c r="P6952">
        <v>0.94775500000000001</v>
      </c>
      <c r="Q6952">
        <v>0.18564159999999999</v>
      </c>
      <c r="R6952">
        <v>0.25941829999999999</v>
      </c>
      <c r="S6952">
        <v>3.057922</v>
      </c>
      <c r="T6952">
        <v>-0.18803909999999999</v>
      </c>
      <c r="U6952">
        <v>0.52471919999999905</v>
      </c>
      <c r="V6952">
        <v>-0.1665576</v>
      </c>
      <c r="W6952">
        <v>0.1981801</v>
      </c>
      <c r="X6952">
        <v>0.96591059999999995</v>
      </c>
      <c r="Y6952">
        <v>-7.1676950000000003E-2</v>
      </c>
      <c r="Z6952">
        <v>-1.8928110000000001E-3</v>
      </c>
      <c r="AA6952">
        <v>0.99742609999999998</v>
      </c>
      <c r="AB6952">
        <v>26</v>
      </c>
      <c r="AC6952">
        <v>17.965</v>
      </c>
      <c r="AD6952">
        <v>-1.113271549727</v>
      </c>
      <c r="AE6952">
        <v>3.0909199999999899</v>
      </c>
      <c r="AF6952">
        <v>-1.31082983801647</v>
      </c>
      <c r="AG6952">
        <v>-1.113271549727</v>
      </c>
      <c r="AH6952">
        <v>18.113856256195401</v>
      </c>
      <c r="AI6952">
        <v>93.507805764909406</v>
      </c>
      <c r="AJ6952">
        <v>94.139059179748202</v>
      </c>
      <c r="AK6952">
        <v>18.195313596576899</v>
      </c>
      <c r="AL6952">
        <v>78.569444051584895</v>
      </c>
      <c r="AM6952">
        <v>99.783633428098597</v>
      </c>
      <c r="AN6952">
        <v>1.0000000366730599</v>
      </c>
    </row>
    <row r="6953" spans="1:40" x14ac:dyDescent="0.25">
      <c r="A6953" t="str">
        <f>"20190304155238632"</f>
        <v>20190304155238632</v>
      </c>
      <c r="B6953" t="str">
        <f>"1551685958623737"</f>
        <v>1551685958623737</v>
      </c>
      <c r="C6953" t="s">
        <v>40</v>
      </c>
      <c r="D6953">
        <v>4.9957710000000004</v>
      </c>
      <c r="E6953">
        <v>0.5346843</v>
      </c>
      <c r="F6953" t="s">
        <v>77</v>
      </c>
      <c r="G6953">
        <v>-199.35659999999999</v>
      </c>
      <c r="H6953" s="1">
        <v>-7.5422450000000002E-6</v>
      </c>
      <c r="I6953">
        <v>-59.463569999999997</v>
      </c>
      <c r="J6953">
        <v>-217.61869999999999</v>
      </c>
      <c r="K6953">
        <v>1.1132690000000001</v>
      </c>
      <c r="L6953">
        <v>-62.653320000000001</v>
      </c>
      <c r="M6953">
        <v>0.99491700000000005</v>
      </c>
      <c r="N6953">
        <v>-1.4045439999999999E-2</v>
      </c>
      <c r="O6953">
        <v>9.9713940000000001E-2</v>
      </c>
      <c r="P6953">
        <v>0.94730389999999998</v>
      </c>
      <c r="Q6953">
        <v>0.18568380000000001</v>
      </c>
      <c r="R6953">
        <v>0.26103009999999999</v>
      </c>
      <c r="S6953">
        <v>3.0558779999999999</v>
      </c>
      <c r="T6953">
        <v>-0.18506690000000001</v>
      </c>
      <c r="U6953">
        <v>0.53253169999999905</v>
      </c>
      <c r="V6953">
        <v>-0.166517</v>
      </c>
      <c r="W6953">
        <v>0.19822129999999999</v>
      </c>
      <c r="X6953">
        <v>0.96590909999999996</v>
      </c>
      <c r="Y6953">
        <v>-7.2522899999999904E-2</v>
      </c>
      <c r="Z6953">
        <v>-1.8826030000000001E-3</v>
      </c>
      <c r="AA6953">
        <v>0.99736499999999995</v>
      </c>
      <c r="AB6953">
        <v>26</v>
      </c>
      <c r="AC6953">
        <v>18.2621</v>
      </c>
      <c r="AD6953">
        <v>-1.1132765422449999</v>
      </c>
      <c r="AE6953">
        <v>3.1897499999999899</v>
      </c>
      <c r="AF6953">
        <v>-1.34782344063166</v>
      </c>
      <c r="AG6953">
        <v>-1.1132765422449999</v>
      </c>
      <c r="AH6953">
        <v>18.4227236982031</v>
      </c>
      <c r="AI6953">
        <v>93.448956087644504</v>
      </c>
      <c r="AJ6953">
        <v>94.184357029425399</v>
      </c>
      <c r="AK6953">
        <v>18.505479219597699</v>
      </c>
      <c r="AL6953">
        <v>78.567035172528193</v>
      </c>
      <c r="AM6953">
        <v>99.781309542753803</v>
      </c>
      <c r="AN6953">
        <v>0.99999999226274905</v>
      </c>
    </row>
    <row r="6954" spans="1:40" x14ac:dyDescent="0.25">
      <c r="A6954" t="str">
        <f>"20190304155238644"</f>
        <v>20190304155238644</v>
      </c>
      <c r="B6954" t="str">
        <f>"1551685958633497"</f>
        <v>1551685958633497</v>
      </c>
      <c r="C6954" t="s">
        <v>40</v>
      </c>
      <c r="D6954">
        <v>4.9059839999999904</v>
      </c>
      <c r="E6954">
        <v>0.53332749999999995</v>
      </c>
      <c r="F6954" t="s">
        <v>77</v>
      </c>
      <c r="G6954">
        <v>-199.3647</v>
      </c>
      <c r="H6954" s="1">
        <v>-7.5405439999999996E-6</v>
      </c>
      <c r="I6954">
        <v>-59.471029999999999</v>
      </c>
      <c r="J6954">
        <v>-217.47489999999999</v>
      </c>
      <c r="K6954">
        <v>1.1132709999999999</v>
      </c>
      <c r="L6954">
        <v>-62.636659999999999</v>
      </c>
      <c r="M6954">
        <v>0.99470650000000005</v>
      </c>
      <c r="N6954">
        <v>-1.4045500000000001E-2</v>
      </c>
      <c r="O6954">
        <v>0.10179299999999999</v>
      </c>
      <c r="P6954">
        <v>0.94670840000000001</v>
      </c>
      <c r="Q6954">
        <v>0.18597610000000001</v>
      </c>
      <c r="R6954">
        <v>0.26297549999999997</v>
      </c>
      <c r="S6954">
        <v>3.0565950000000002</v>
      </c>
      <c r="T6954">
        <v>-0.18641530000000001</v>
      </c>
      <c r="U6954">
        <v>0.53286739999999999</v>
      </c>
      <c r="V6954">
        <v>-0.1664919</v>
      </c>
      <c r="W6954">
        <v>0.19851199999999999</v>
      </c>
      <c r="X6954">
        <v>0.96585379999999998</v>
      </c>
      <c r="Y6954">
        <v>-7.0511690000000002E-2</v>
      </c>
      <c r="Z6954">
        <v>-2.0798129999999998E-3</v>
      </c>
      <c r="AA6954">
        <v>0.99750879999999997</v>
      </c>
      <c r="AB6954">
        <v>26</v>
      </c>
      <c r="AC6954">
        <v>18.110199999999899</v>
      </c>
      <c r="AD6954">
        <v>-1.113278540544</v>
      </c>
      <c r="AE6954">
        <v>3.16562999999999</v>
      </c>
      <c r="AF6954">
        <v>-1.3007402673586701</v>
      </c>
      <c r="AG6954">
        <v>-1.113278540544</v>
      </c>
      <c r="AH6954">
        <v>18.271382580258901</v>
      </c>
      <c r="AI6954">
        <v>93.477950992211206</v>
      </c>
      <c r="AJ6954">
        <v>94.072018489550402</v>
      </c>
      <c r="AK6954">
        <v>18.351423262138301</v>
      </c>
      <c r="AL6954">
        <v>78.550042434253896</v>
      </c>
      <c r="AM6954">
        <v>99.780412759742603</v>
      </c>
      <c r="AN6954">
        <v>1.00000006494202</v>
      </c>
    </row>
    <row r="6955" spans="1:40" x14ac:dyDescent="0.25">
      <c r="A6955" t="str">
        <f>"20190304155238653"</f>
        <v>20190304155238653</v>
      </c>
      <c r="B6955" t="str">
        <f>"1551685958643257"</f>
        <v>1551685958643257</v>
      </c>
      <c r="C6955" t="s">
        <v>40</v>
      </c>
      <c r="D6955">
        <v>4.9545709999999996</v>
      </c>
      <c r="E6955">
        <v>0.53380539999999999</v>
      </c>
      <c r="F6955" t="s">
        <v>77</v>
      </c>
      <c r="G6955">
        <v>-198.2252</v>
      </c>
      <c r="H6955" s="1">
        <v>-7.5174040000000003E-6</v>
      </c>
      <c r="I6955">
        <v>-59.171790000000001</v>
      </c>
      <c r="J6955">
        <v>-217.3622</v>
      </c>
      <c r="K6955">
        <v>1.113273</v>
      </c>
      <c r="L6955">
        <v>-62.623350000000002</v>
      </c>
      <c r="M6955">
        <v>0.99453780000000003</v>
      </c>
      <c r="N6955">
        <v>-1.4045419999999999E-2</v>
      </c>
      <c r="O6955">
        <v>0.1034278</v>
      </c>
      <c r="P6955">
        <v>0.9463184</v>
      </c>
      <c r="Q6955">
        <v>0.1860221</v>
      </c>
      <c r="R6955">
        <v>0.26434350000000001</v>
      </c>
      <c r="S6955">
        <v>3.0509949999999999</v>
      </c>
      <c r="T6955">
        <v>-0.1764492</v>
      </c>
      <c r="U6955">
        <v>0.54916379999999998</v>
      </c>
      <c r="V6955">
        <v>-0.1663019</v>
      </c>
      <c r="W6955">
        <v>0.19855819999999999</v>
      </c>
      <c r="X6955">
        <v>0.96587690000000004</v>
      </c>
      <c r="Y6955">
        <v>-7.4341009999999999E-2</v>
      </c>
      <c r="Z6955">
        <v>-1.8042310000000001E-3</v>
      </c>
      <c r="AA6955">
        <v>0.99723119999999998</v>
      </c>
      <c r="AB6955">
        <v>26</v>
      </c>
      <c r="AC6955">
        <v>19.137</v>
      </c>
      <c r="AD6955">
        <v>-1.1132805174039999</v>
      </c>
      <c r="AE6955">
        <v>3.4515600000000002</v>
      </c>
      <c r="AF6955">
        <v>-1.4488038162280501</v>
      </c>
      <c r="AG6955">
        <v>-1.1132805174039999</v>
      </c>
      <c r="AH6955">
        <v>19.328019807106202</v>
      </c>
      <c r="AI6955">
        <v>93.287352431466502</v>
      </c>
      <c r="AJ6955">
        <v>94.286801945538798</v>
      </c>
      <c r="AK6955">
        <v>19.4141900596507</v>
      </c>
      <c r="AL6955">
        <v>78.547340078569107</v>
      </c>
      <c r="AM6955">
        <v>99.769237437831194</v>
      </c>
      <c r="AN6955">
        <v>0.99999993334222703</v>
      </c>
    </row>
    <row r="6956" spans="1:40" x14ac:dyDescent="0.25">
      <c r="A6956" t="str">
        <f>"20190304155238664"</f>
        <v>20190304155238664</v>
      </c>
      <c r="B6956" t="str">
        <f>"1551685958653993"</f>
        <v>1551685958653993</v>
      </c>
      <c r="C6956" t="s">
        <v>40</v>
      </c>
      <c r="D6956">
        <v>4.925497</v>
      </c>
      <c r="E6956">
        <v>0.53429759999999904</v>
      </c>
      <c r="F6956" t="s">
        <v>77</v>
      </c>
      <c r="G6956">
        <v>-198.28129999999999</v>
      </c>
      <c r="H6956" s="1">
        <v>-7.5194520000000001E-6</v>
      </c>
      <c r="I6956">
        <v>-59.183950000000003</v>
      </c>
      <c r="J6956">
        <v>-217.2483</v>
      </c>
      <c r="K6956">
        <v>1.1132759999999999</v>
      </c>
      <c r="L6956">
        <v>-62.609769999999997</v>
      </c>
      <c r="M6956">
        <v>0.99436440000000004</v>
      </c>
      <c r="N6956">
        <v>-1.404528E-2</v>
      </c>
      <c r="O6956">
        <v>0.1050811</v>
      </c>
      <c r="P6956">
        <v>0.94592560000000003</v>
      </c>
      <c r="Q6956">
        <v>0.1857152</v>
      </c>
      <c r="R6956">
        <v>0.26595999999999997</v>
      </c>
      <c r="S6956">
        <v>3.0515289999999999</v>
      </c>
      <c r="T6956">
        <v>-0.17804239999999999</v>
      </c>
      <c r="U6956">
        <v>0.5500488</v>
      </c>
      <c r="V6956">
        <v>-0.16633919999999999</v>
      </c>
      <c r="W6956">
        <v>0.1982507</v>
      </c>
      <c r="X6956">
        <v>0.96593370000000001</v>
      </c>
      <c r="Y6956">
        <v>-7.2937000000000002E-2</v>
      </c>
      <c r="Z6956">
        <v>-1.959644E-3</v>
      </c>
      <c r="AA6956">
        <v>0.99733459999999996</v>
      </c>
      <c r="AB6956">
        <v>26</v>
      </c>
      <c r="AC6956">
        <v>18.966999999999999</v>
      </c>
      <c r="AD6956">
        <v>-1.1132835194520001</v>
      </c>
      <c r="AE6956">
        <v>3.4258199999999901</v>
      </c>
      <c r="AF6956">
        <v>-1.40887923305323</v>
      </c>
      <c r="AG6956">
        <v>-1.1132835194520001</v>
      </c>
      <c r="AH6956">
        <v>19.158077692475199</v>
      </c>
      <c r="AI6956">
        <v>93.316803830872502</v>
      </c>
      <c r="AJ6956">
        <v>94.205943146102697</v>
      </c>
      <c r="AK6956">
        <v>19.242044635613102</v>
      </c>
      <c r="AL6956">
        <v>78.565316556874507</v>
      </c>
      <c r="AM6956">
        <v>99.770822840329998</v>
      </c>
      <c r="AN6956">
        <v>0.99999999115141003</v>
      </c>
    </row>
    <row r="6957" spans="1:40" x14ac:dyDescent="0.25">
      <c r="A6957" t="str">
        <f>"20190304155238674"</f>
        <v>20190304155238674</v>
      </c>
      <c r="B6957" t="str">
        <f>"1551685958663301"</f>
        <v>1551685958663301</v>
      </c>
      <c r="C6957" t="s">
        <v>40</v>
      </c>
      <c r="D6957">
        <v>4.849151</v>
      </c>
      <c r="E6957">
        <v>0.53382379999999996</v>
      </c>
      <c r="F6957" t="s">
        <v>77</v>
      </c>
      <c r="G6957">
        <v>-198.62520000000001</v>
      </c>
      <c r="H6957" s="1">
        <v>-7.5365849999999998E-6</v>
      </c>
      <c r="I6957">
        <v>-59.245339999999999</v>
      </c>
      <c r="J6957">
        <v>-217.12440000000001</v>
      </c>
      <c r="K6957">
        <v>1.1132759999999999</v>
      </c>
      <c r="L6957">
        <v>-62.594700000000003</v>
      </c>
      <c r="M6957">
        <v>0.99417230000000001</v>
      </c>
      <c r="N6957">
        <v>-1.404504E-2</v>
      </c>
      <c r="O6957">
        <v>0.106883199999999</v>
      </c>
      <c r="P6957">
        <v>0.94540329999999995</v>
      </c>
      <c r="Q6957">
        <v>0.18583530000000001</v>
      </c>
      <c r="R6957">
        <v>0.2677271</v>
      </c>
      <c r="S6957">
        <v>3.0522770000000001</v>
      </c>
      <c r="T6957">
        <v>-0.1824644</v>
      </c>
      <c r="U6957">
        <v>0.55142209999999903</v>
      </c>
      <c r="V6957">
        <v>-0.16639679999999901</v>
      </c>
      <c r="W6957">
        <v>0.19836989999999999</v>
      </c>
      <c r="X6957">
        <v>0.96589930000000002</v>
      </c>
      <c r="Y6957">
        <v>-7.1525820000000004E-2</v>
      </c>
      <c r="Z6957">
        <v>-2.1886900000000001E-3</v>
      </c>
      <c r="AA6957">
        <v>0.99743630000000005</v>
      </c>
      <c r="AB6957">
        <v>26</v>
      </c>
      <c r="AC6957">
        <v>18.499199999999998</v>
      </c>
      <c r="AD6957">
        <v>-1.113283536585</v>
      </c>
      <c r="AE6957">
        <v>3.3493599999999999</v>
      </c>
      <c r="AF6957">
        <v>-1.34799377607084</v>
      </c>
      <c r="AG6957">
        <v>-1.113283536585</v>
      </c>
      <c r="AH6957">
        <v>18.6857085295152</v>
      </c>
      <c r="AI6957">
        <v>93.400801341013604</v>
      </c>
      <c r="AJ6957">
        <v>94.1261902937065</v>
      </c>
      <c r="AK6957">
        <v>18.767317088575901</v>
      </c>
      <c r="AL6957">
        <v>78.558348438274706</v>
      </c>
      <c r="AM6957">
        <v>99.774482421088706</v>
      </c>
      <c r="AN6957">
        <v>0.99999998500836895</v>
      </c>
    </row>
    <row r="6958" spans="1:40" x14ac:dyDescent="0.25">
      <c r="A6958" t="str">
        <f>"20190304155238686"</f>
        <v>20190304155238686</v>
      </c>
      <c r="B6958" t="str">
        <f>"1551685958683779"</f>
        <v>1551685958683779</v>
      </c>
      <c r="C6958" t="s">
        <v>40</v>
      </c>
      <c r="D6958">
        <v>4.9621950000000004</v>
      </c>
      <c r="E6958">
        <v>0.53385159999999998</v>
      </c>
      <c r="F6958" t="s">
        <v>77</v>
      </c>
      <c r="G6958">
        <v>-198.38329999999999</v>
      </c>
      <c r="H6958" s="1">
        <v>-7.5430229999999899E-6</v>
      </c>
      <c r="I6958">
        <v>-59.149479999999997</v>
      </c>
      <c r="J6958">
        <v>-216.99369999999999</v>
      </c>
      <c r="K6958">
        <v>1.113275</v>
      </c>
      <c r="L6958">
        <v>-62.578670000000002</v>
      </c>
      <c r="M6958">
        <v>0.99396600000000002</v>
      </c>
      <c r="N6958">
        <v>-1.404475E-2</v>
      </c>
      <c r="O6958">
        <v>0.10878649999999999</v>
      </c>
      <c r="P6958">
        <v>0.94488229999999995</v>
      </c>
      <c r="Q6958">
        <v>0.18601419999999999</v>
      </c>
      <c r="R6958">
        <v>0.26943719999999999</v>
      </c>
      <c r="S6958">
        <v>3.0500639999999999</v>
      </c>
      <c r="T6958">
        <v>-0.1811836</v>
      </c>
      <c r="U6958">
        <v>0.56069950000000002</v>
      </c>
      <c r="V6958">
        <v>-0.16630039999999999</v>
      </c>
      <c r="W6958">
        <v>0.19854840000000001</v>
      </c>
      <c r="X6958">
        <v>0.9658793</v>
      </c>
      <c r="Y6958">
        <v>-7.2678329999999999E-2</v>
      </c>
      <c r="Z6958">
        <v>-2.2033180000000001E-3</v>
      </c>
      <c r="AA6958">
        <v>0.99735300000000005</v>
      </c>
      <c r="AB6958">
        <v>26</v>
      </c>
      <c r="AC6958">
        <v>18.610399999999998</v>
      </c>
      <c r="AD6958">
        <v>-1.113282543023</v>
      </c>
      <c r="AE6958">
        <v>3.42918999999999</v>
      </c>
      <c r="AF6958">
        <v>-1.3793006582849201</v>
      </c>
      <c r="AG6958">
        <v>-1.113282543023</v>
      </c>
      <c r="AH6958">
        <v>18.8079205476729</v>
      </c>
      <c r="AI6958">
        <v>93.378459973931697</v>
      </c>
      <c r="AJ6958">
        <v>94.194343840954403</v>
      </c>
      <c r="AK6958">
        <v>18.891261039277499</v>
      </c>
      <c r="AL6958">
        <v>78.547914409472398</v>
      </c>
      <c r="AM6958">
        <v>99.769127213242896</v>
      </c>
      <c r="AN6958">
        <v>1.0000000561755999</v>
      </c>
    </row>
    <row r="6959" spans="1:40" x14ac:dyDescent="0.25">
      <c r="A6959" t="str">
        <f>"20190304155238697"</f>
        <v>20190304155238697</v>
      </c>
      <c r="B6959" t="str">
        <f>"1551685958693539"</f>
        <v>1551685958693539</v>
      </c>
      <c r="C6959" t="s">
        <v>40</v>
      </c>
      <c r="D6959">
        <v>4.9594940000000003</v>
      </c>
      <c r="E6959">
        <v>0.53442819999999902</v>
      </c>
      <c r="F6959" t="s">
        <v>77</v>
      </c>
      <c r="G6959">
        <v>-198.32900000000001</v>
      </c>
      <c r="H6959" s="1">
        <v>-7.5487259999999997E-6</v>
      </c>
      <c r="I6959">
        <v>-59.115830000000003</v>
      </c>
      <c r="J6959">
        <v>-216.8723</v>
      </c>
      <c r="K6959">
        <v>1.113272</v>
      </c>
      <c r="L6959">
        <v>-62.563420000000001</v>
      </c>
      <c r="M6959">
        <v>0.99377070000000001</v>
      </c>
      <c r="N6959">
        <v>-1.4044310000000001E-2</v>
      </c>
      <c r="O6959">
        <v>0.1105565</v>
      </c>
      <c r="P6959">
        <v>0.94435950000000002</v>
      </c>
      <c r="Q6959">
        <v>0.18606339999999999</v>
      </c>
      <c r="R6959">
        <v>0.27122980000000002</v>
      </c>
      <c r="S6959">
        <v>3.0494690000000002</v>
      </c>
      <c r="T6959">
        <v>-0.18188989999999999</v>
      </c>
      <c r="U6959">
        <v>0.56576539999999997</v>
      </c>
      <c r="V6959">
        <v>-0.1664148</v>
      </c>
      <c r="W6959">
        <v>0.19859660000000001</v>
      </c>
      <c r="X6959">
        <v>0.96584959999999997</v>
      </c>
      <c r="Y6959">
        <v>-7.2540919999999995E-2</v>
      </c>
      <c r="Z6959">
        <v>-2.3037930000000002E-3</v>
      </c>
      <c r="AA6959">
        <v>0.99736279999999999</v>
      </c>
      <c r="AB6959">
        <v>26</v>
      </c>
      <c r="AC6959">
        <v>18.543299999999899</v>
      </c>
      <c r="AD6959">
        <v>-1.1132795487260001</v>
      </c>
      <c r="AE6959">
        <v>3.4475899999999902</v>
      </c>
      <c r="AF6959">
        <v>-1.3713892829175001</v>
      </c>
      <c r="AG6959">
        <v>-1.1132795487260001</v>
      </c>
      <c r="AH6959">
        <v>18.745486245057698</v>
      </c>
      <c r="AI6959">
        <v>93.389720892328697</v>
      </c>
      <c r="AJ6959">
        <v>94.184211818404506</v>
      </c>
      <c r="AK6959">
        <v>18.828525021428501</v>
      </c>
      <c r="AL6959">
        <v>78.545095669167395</v>
      </c>
      <c r="AM6959">
        <v>99.776012693920094</v>
      </c>
      <c r="AN6959">
        <v>0.99999997250537898</v>
      </c>
    </row>
    <row r="6960" spans="1:40" x14ac:dyDescent="0.25">
      <c r="A6960" t="str">
        <f>"20190304155238709"</f>
        <v>20190304155238709</v>
      </c>
      <c r="B6960" t="str">
        <f>"1551685958703299"</f>
        <v>1551685958703299</v>
      </c>
      <c r="C6960" t="s">
        <v>40</v>
      </c>
      <c r="D6960">
        <v>4.9370960000000004</v>
      </c>
      <c r="E6960">
        <v>0.5347691</v>
      </c>
      <c r="F6960" t="s">
        <v>77</v>
      </c>
      <c r="G6960">
        <v>-198.30289999999999</v>
      </c>
      <c r="H6960" s="1">
        <v>-7.5472919999999902E-6</v>
      </c>
      <c r="I6960">
        <v>-59.111550000000001</v>
      </c>
      <c r="J6960">
        <v>-216.74100000000001</v>
      </c>
      <c r="K6960">
        <v>1.11327</v>
      </c>
      <c r="L6960">
        <v>-62.546810000000001</v>
      </c>
      <c r="M6960">
        <v>0.99355570000000004</v>
      </c>
      <c r="N6960">
        <v>-1.40438E-2</v>
      </c>
      <c r="O6960">
        <v>0.1124728</v>
      </c>
      <c r="P6960">
        <v>0.94382730000000004</v>
      </c>
      <c r="Q6960">
        <v>0.18615180000000001</v>
      </c>
      <c r="R6960">
        <v>0.27301589999999998</v>
      </c>
      <c r="S6960">
        <v>3.049957</v>
      </c>
      <c r="T6960">
        <v>-0.1828516</v>
      </c>
      <c r="U6960">
        <v>0.5669556</v>
      </c>
      <c r="V6960">
        <v>-0.1663809</v>
      </c>
      <c r="W6960">
        <v>0.19868479999999999</v>
      </c>
      <c r="X6960">
        <v>0.96583730000000001</v>
      </c>
      <c r="Y6960">
        <v>-7.0970309999999995E-2</v>
      </c>
      <c r="Z6960">
        <v>-2.4695899999999998E-3</v>
      </c>
      <c r="AA6960">
        <v>0.99747540000000001</v>
      </c>
      <c r="AB6960">
        <v>26</v>
      </c>
      <c r="AC6960">
        <v>18.438099999999899</v>
      </c>
      <c r="AD6960">
        <v>-1.113277547292</v>
      </c>
      <c r="AE6960">
        <v>3.4352599999999902</v>
      </c>
      <c r="AF6960">
        <v>-1.33476648528116</v>
      </c>
      <c r="AG6960">
        <v>-1.113277547292</v>
      </c>
      <c r="AH6960">
        <v>18.641813393359602</v>
      </c>
      <c r="AI6960">
        <v>93.408903146462507</v>
      </c>
      <c r="AJ6960">
        <v>94.095427606232093</v>
      </c>
      <c r="AK6960">
        <v>18.722665276620699</v>
      </c>
      <c r="AL6960">
        <v>78.539939422121805</v>
      </c>
      <c r="AM6960">
        <v>99.774181730593199</v>
      </c>
      <c r="AN6960">
        <v>0.99999997185356904</v>
      </c>
    </row>
    <row r="6961" spans="1:40" x14ac:dyDescent="0.25">
      <c r="A6961" t="str">
        <f>"20190304155238719"</f>
        <v>20190304155238719</v>
      </c>
      <c r="B6961" t="str">
        <f>"1551685958714035"</f>
        <v>1551685958714035</v>
      </c>
      <c r="C6961" t="s">
        <v>40</v>
      </c>
      <c r="D6961">
        <v>4.5152150000000004</v>
      </c>
      <c r="E6961">
        <v>0.53473280000000001</v>
      </c>
      <c r="F6961" t="s">
        <v>77</v>
      </c>
      <c r="G6961">
        <v>-198.09719999999999</v>
      </c>
      <c r="H6961" s="1">
        <v>-7.541466E-6</v>
      </c>
      <c r="I6961">
        <v>-59.062240000000003</v>
      </c>
      <c r="J6961">
        <v>-216.61189999999999</v>
      </c>
      <c r="K6961">
        <v>1.1132709999999999</v>
      </c>
      <c r="L6961">
        <v>-62.530090000000001</v>
      </c>
      <c r="M6961">
        <v>0.99334029999999995</v>
      </c>
      <c r="N6961">
        <v>-1.4043180000000001E-2</v>
      </c>
      <c r="O6961">
        <v>0.1143595</v>
      </c>
      <c r="P6961">
        <v>0.94329160000000001</v>
      </c>
      <c r="Q6961">
        <v>0.18599769999999999</v>
      </c>
      <c r="R6961">
        <v>0.27496540000000003</v>
      </c>
      <c r="S6961">
        <v>3.0495909999999999</v>
      </c>
      <c r="T6961">
        <v>-0.1821004</v>
      </c>
      <c r="U6961">
        <v>0.56997679999999995</v>
      </c>
      <c r="V6961">
        <v>-0.166537299999999</v>
      </c>
      <c r="W6961">
        <v>0.1985297</v>
      </c>
      <c r="X6961">
        <v>0.96584219999999998</v>
      </c>
      <c r="Y6961">
        <v>-7.0056199999999999E-2</v>
      </c>
      <c r="Z6961">
        <v>-2.5686149999999998E-3</v>
      </c>
      <c r="AA6961">
        <v>0.99753979999999998</v>
      </c>
      <c r="AB6961">
        <v>26</v>
      </c>
      <c r="AC6961">
        <v>18.514700000000001</v>
      </c>
      <c r="AD6961">
        <v>-1.11327854146599</v>
      </c>
      <c r="AE6961">
        <v>3.4678499999999901</v>
      </c>
      <c r="AF6961">
        <v>-1.32293304965056</v>
      </c>
      <c r="AG6961">
        <v>-1.11327854146599</v>
      </c>
      <c r="AH6961">
        <v>18.724425144632601</v>
      </c>
      <c r="AI6961">
        <v>93.394128537511406</v>
      </c>
      <c r="AJ6961">
        <v>94.041391502090505</v>
      </c>
      <c r="AK6961">
        <v>18.8040856720473</v>
      </c>
      <c r="AL6961">
        <v>78.549006192721194</v>
      </c>
      <c r="AM6961">
        <v>99.783143439276898</v>
      </c>
      <c r="AN6961">
        <v>0.99999993468710702</v>
      </c>
    </row>
    <row r="6962" spans="1:40" x14ac:dyDescent="0.25">
      <c r="A6962" t="str">
        <f>"20190304155238731"</f>
        <v>20190304155238731</v>
      </c>
      <c r="B6962" t="str">
        <f>"1551685958723795"</f>
        <v>1551685958723795</v>
      </c>
      <c r="C6962" t="s">
        <v>40</v>
      </c>
      <c r="D6962">
        <v>4.9198909999999998</v>
      </c>
      <c r="E6962">
        <v>0.53473280000000001</v>
      </c>
      <c r="F6962" t="s">
        <v>77</v>
      </c>
      <c r="G6962">
        <v>-197.38499999999999</v>
      </c>
      <c r="H6962" s="1">
        <v>-7.5200559999999999E-6</v>
      </c>
      <c r="I6962">
        <v>-58.895009999999999</v>
      </c>
      <c r="J6962">
        <v>-216.48750000000001</v>
      </c>
      <c r="K6962">
        <v>1.1132679999999999</v>
      </c>
      <c r="L6962">
        <v>-62.513820000000003</v>
      </c>
      <c r="M6962">
        <v>0.99312920000000005</v>
      </c>
      <c r="N6962">
        <v>-1.4042550000000001E-2</v>
      </c>
      <c r="O6962">
        <v>0.11617710000000001</v>
      </c>
      <c r="P6962">
        <v>0.94274409999999997</v>
      </c>
      <c r="Q6962">
        <v>0.18611079999999999</v>
      </c>
      <c r="R6962">
        <v>0.27676050000000002</v>
      </c>
      <c r="S6962">
        <v>3.0471949999999999</v>
      </c>
      <c r="T6962">
        <v>-0.17643929999999999</v>
      </c>
      <c r="U6962">
        <v>0.57611080000000003</v>
      </c>
      <c r="V6962">
        <v>-0.16661129999999999</v>
      </c>
      <c r="W6962">
        <v>0.19864229999999999</v>
      </c>
      <c r="X6962">
        <v>0.96580639999999995</v>
      </c>
      <c r="Y6962">
        <v>-7.0312139999999995E-2</v>
      </c>
      <c r="Z6962">
        <v>-2.4950010000000002E-3</v>
      </c>
      <c r="AA6962">
        <v>0.99752189999999996</v>
      </c>
      <c r="AB6962">
        <v>26</v>
      </c>
      <c r="AC6962">
        <v>19.102499999999999</v>
      </c>
      <c r="AD6962">
        <v>-1.1132755200559901</v>
      </c>
      <c r="AE6962">
        <v>3.6188099999999901</v>
      </c>
      <c r="AF6962">
        <v>-1.37031548037747</v>
      </c>
      <c r="AG6962">
        <v>-1.1132755200559901</v>
      </c>
      <c r="AH6962">
        <v>19.330206948844101</v>
      </c>
      <c r="AI6962">
        <v>93.287934733605098</v>
      </c>
      <c r="AJ6962">
        <v>94.054905852965405</v>
      </c>
      <c r="AK6962">
        <v>19.410668396128401</v>
      </c>
      <c r="AL6962">
        <v>78.542424871141094</v>
      </c>
      <c r="AM6962">
        <v>99.787762250587505</v>
      </c>
      <c r="AN6962">
        <v>1.0000000454589599</v>
      </c>
    </row>
    <row r="6963" spans="1:40" x14ac:dyDescent="0.25">
      <c r="A6963" t="str">
        <f>"20190304155238742"</f>
        <v>20190304155238742</v>
      </c>
      <c r="B6963" t="str">
        <f>"1551685958734062"</f>
        <v>1551685958734062</v>
      </c>
      <c r="C6963" t="s">
        <v>40</v>
      </c>
      <c r="D6963">
        <v>4.9264130000000002</v>
      </c>
      <c r="E6963">
        <v>0.53531530000000005</v>
      </c>
      <c r="F6963" t="s">
        <v>77</v>
      </c>
      <c r="G6963">
        <v>-197.22389999999999</v>
      </c>
      <c r="H6963" s="1">
        <v>-7.5232659999999999E-6</v>
      </c>
      <c r="I6963">
        <v>-58.834240000000001</v>
      </c>
      <c r="J6963">
        <v>-216.3596</v>
      </c>
      <c r="K6963">
        <v>1.113264</v>
      </c>
      <c r="L6963">
        <v>-62.496830000000003</v>
      </c>
      <c r="M6963">
        <v>0.99290889999999998</v>
      </c>
      <c r="N6963">
        <v>-1.40418E-2</v>
      </c>
      <c r="O6963">
        <v>0.1180465</v>
      </c>
      <c r="P6963">
        <v>0.94221200000000005</v>
      </c>
      <c r="Q6963">
        <v>0.18607290000000001</v>
      </c>
      <c r="R6963">
        <v>0.27859220000000001</v>
      </c>
      <c r="S6963">
        <v>3.0461269999999998</v>
      </c>
      <c r="T6963">
        <v>-0.1760408</v>
      </c>
      <c r="U6963">
        <v>0.58184809999999998</v>
      </c>
      <c r="V6963">
        <v>-0.16666739999999999</v>
      </c>
      <c r="W6963">
        <v>0.19860449999999999</v>
      </c>
      <c r="X6963">
        <v>0.96580449999999995</v>
      </c>
      <c r="Y6963">
        <v>-7.0313070000000005E-2</v>
      </c>
      <c r="Z6963">
        <v>-2.5649779999999999E-3</v>
      </c>
      <c r="AA6963">
        <v>0.99752169999999896</v>
      </c>
      <c r="AB6963">
        <v>26</v>
      </c>
      <c r="AC6963">
        <v>19.1357</v>
      </c>
      <c r="AD6963">
        <v>-1.113271523266</v>
      </c>
      <c r="AE6963">
        <v>3.6625899999999998</v>
      </c>
      <c r="AF6963">
        <v>-1.3733673884248701</v>
      </c>
      <c r="AG6963">
        <v>-1.113271523266</v>
      </c>
      <c r="AH6963">
        <v>19.3710294565557</v>
      </c>
      <c r="AI6963">
        <v>93.281007256560599</v>
      </c>
      <c r="AJ6963">
        <v>94.0553708688917</v>
      </c>
      <c r="AK6963">
        <v>19.4515370517307</v>
      </c>
      <c r="AL6963">
        <v>78.544634743524796</v>
      </c>
      <c r="AM6963">
        <v>99.791013019812695</v>
      </c>
      <c r="AN6963">
        <v>1.00000005093162</v>
      </c>
    </row>
    <row r="6964" spans="1:40" x14ac:dyDescent="0.25">
      <c r="A6964" t="str">
        <f>"20190304155238754"</f>
        <v>20190304155238754</v>
      </c>
      <c r="B6964" t="str">
        <f>"1551685958744105"</f>
        <v>1551685958744105</v>
      </c>
      <c r="C6964" t="s">
        <v>40</v>
      </c>
      <c r="D6964">
        <v>4.821599</v>
      </c>
      <c r="E6964">
        <v>0.53548209999999996</v>
      </c>
      <c r="F6964" t="s">
        <v>77</v>
      </c>
      <c r="G6964">
        <v>-197.20859999999999</v>
      </c>
      <c r="H6964" s="1">
        <v>-7.5227650000000003E-6</v>
      </c>
      <c r="I6964">
        <v>-58.830759999999998</v>
      </c>
      <c r="J6964">
        <v>-216.21610000000001</v>
      </c>
      <c r="K6964">
        <v>1.1132629999999999</v>
      </c>
      <c r="L6964">
        <v>-62.47748</v>
      </c>
      <c r="M6964">
        <v>0.99265700000000001</v>
      </c>
      <c r="N6964">
        <v>-1.404086E-2</v>
      </c>
      <c r="O6964">
        <v>0.1201454</v>
      </c>
      <c r="P6964">
        <v>0.94159309999999996</v>
      </c>
      <c r="Q6964">
        <v>0.1860946</v>
      </c>
      <c r="R6964">
        <v>0.28066219999999997</v>
      </c>
      <c r="S6964">
        <v>3.0465089999999999</v>
      </c>
      <c r="T6964">
        <v>-0.17709730000000001</v>
      </c>
      <c r="U6964">
        <v>0.58319089999999996</v>
      </c>
      <c r="V6964">
        <v>-0.16674720000000001</v>
      </c>
      <c r="W6964">
        <v>0.19862550000000001</v>
      </c>
      <c r="X6964">
        <v>0.96578629999999999</v>
      </c>
      <c r="Y6964">
        <v>-6.8610699999999997E-2</v>
      </c>
      <c r="Z6964">
        <v>-2.7436269999999998E-3</v>
      </c>
      <c r="AA6964">
        <v>0.99763970000000002</v>
      </c>
      <c r="AB6964">
        <v>26</v>
      </c>
      <c r="AC6964">
        <v>19.0075</v>
      </c>
      <c r="AD6964">
        <v>-1.1132705227649999</v>
      </c>
      <c r="AE6964">
        <v>3.6467200000000002</v>
      </c>
      <c r="AF6964">
        <v>-1.3320030462949699</v>
      </c>
      <c r="AG6964">
        <v>-1.1132705227649999</v>
      </c>
      <c r="AH6964">
        <v>19.2442951629912</v>
      </c>
      <c r="AI6964">
        <v>93.3029504108098</v>
      </c>
      <c r="AJ6964">
        <v>93.959439760695602</v>
      </c>
      <c r="AK6964">
        <v>19.322435138784201</v>
      </c>
      <c r="AL6964">
        <v>78.543405874371899</v>
      </c>
      <c r="AM6964">
        <v>99.795791159897902</v>
      </c>
      <c r="AN6964">
        <v>0.99999994761288802</v>
      </c>
    </row>
    <row r="6965" spans="1:40" x14ac:dyDescent="0.25">
      <c r="A6965" t="str">
        <f>"20190304155238764"</f>
        <v>20190304155238764</v>
      </c>
      <c r="B6965" t="str">
        <f>"1551685958753851"</f>
        <v>1551685958753851</v>
      </c>
      <c r="C6965" t="s">
        <v>40</v>
      </c>
      <c r="D6965">
        <v>5.0071560000000002</v>
      </c>
      <c r="E6965">
        <v>0.53638079999999999</v>
      </c>
      <c r="F6965" t="s">
        <v>77</v>
      </c>
      <c r="G6965">
        <v>-197.12469999999999</v>
      </c>
      <c r="H6965" s="1">
        <v>-7.5281050000000003E-6</v>
      </c>
      <c r="I6965">
        <v>-58.788670000000003</v>
      </c>
      <c r="J6965">
        <v>-216.1069</v>
      </c>
      <c r="K6965">
        <v>1.1132629999999999</v>
      </c>
      <c r="L6965">
        <v>-62.462620000000001</v>
      </c>
      <c r="M6965">
        <v>0.99246259999999997</v>
      </c>
      <c r="N6965">
        <v>-1.40401E-2</v>
      </c>
      <c r="O6965">
        <v>0.121741</v>
      </c>
      <c r="P6965">
        <v>0.94103079999999995</v>
      </c>
      <c r="Q6965">
        <v>0.186193</v>
      </c>
      <c r="R6965">
        <v>0.28247660000000002</v>
      </c>
      <c r="S6965">
        <v>3.045776</v>
      </c>
      <c r="T6965">
        <v>-0.17760799999999999</v>
      </c>
      <c r="U6965">
        <v>0.58850100000000005</v>
      </c>
      <c r="V6965">
        <v>-0.1670585</v>
      </c>
      <c r="W6965">
        <v>0.1987218</v>
      </c>
      <c r="X6965">
        <v>0.96571269999999998</v>
      </c>
      <c r="Y6965">
        <v>-6.8729879999999993E-2</v>
      </c>
      <c r="Z6965">
        <v>-2.8225659999999999E-3</v>
      </c>
      <c r="AA6965">
        <v>0.9976313</v>
      </c>
      <c r="AB6965">
        <v>26</v>
      </c>
      <c r="AC6965">
        <v>18.982199999999999</v>
      </c>
      <c r="AD6965">
        <v>-1.1132705281049999</v>
      </c>
      <c r="AE6965">
        <v>3.6739499999999898</v>
      </c>
      <c r="AF6965">
        <v>-1.33106456793051</v>
      </c>
      <c r="AG6965">
        <v>-1.1132705281049999</v>
      </c>
      <c r="AH6965">
        <v>19.224557805368001</v>
      </c>
      <c r="AI6965">
        <v>93.306328905205703</v>
      </c>
      <c r="AJ6965">
        <v>93.960708232187599</v>
      </c>
      <c r="AK6965">
        <v>19.302712943124899</v>
      </c>
      <c r="AL6965">
        <v>78.537776179976206</v>
      </c>
      <c r="AM6965">
        <v>99.814457029062297</v>
      </c>
      <c r="AN6965">
        <v>0.99999995757938898</v>
      </c>
    </row>
    <row r="6966" spans="1:40" x14ac:dyDescent="0.25">
      <c r="A6966" t="str">
        <f>"20190304155238776"</f>
        <v>20190304155238776</v>
      </c>
      <c r="B6966" t="str">
        <f>"1551685958774081"</f>
        <v>1551685958774081</v>
      </c>
      <c r="C6966" t="s">
        <v>40</v>
      </c>
      <c r="D6966">
        <v>4.8528560000000001</v>
      </c>
      <c r="E6966">
        <v>0.53739009999999998</v>
      </c>
      <c r="F6966" t="s">
        <v>77</v>
      </c>
      <c r="G6966">
        <v>-197.18190000000001</v>
      </c>
      <c r="H6966" s="1">
        <v>-7.5257259999999899E-6</v>
      </c>
      <c r="I6966">
        <v>-58.813780000000001</v>
      </c>
      <c r="J6966">
        <v>-215.98609999999999</v>
      </c>
      <c r="K6966">
        <v>1.1132599999999999</v>
      </c>
      <c r="L6966">
        <v>-62.445830000000001</v>
      </c>
      <c r="M6966">
        <v>0.99224429999999997</v>
      </c>
      <c r="N6966">
        <v>-1.403919E-2</v>
      </c>
      <c r="O6966">
        <v>0.1235079</v>
      </c>
      <c r="P6966">
        <v>0.94046479999999999</v>
      </c>
      <c r="Q6966">
        <v>0.1861961</v>
      </c>
      <c r="R6966">
        <v>0.28435379999999999</v>
      </c>
      <c r="S6966">
        <v>3.0470890000000002</v>
      </c>
      <c r="T6966">
        <v>-0.17924579999999901</v>
      </c>
      <c r="U6966">
        <v>0.58749390000000001</v>
      </c>
      <c r="V6966">
        <v>-0.1672651</v>
      </c>
      <c r="W6966">
        <v>0.1987237</v>
      </c>
      <c r="X6966">
        <v>0.9656766</v>
      </c>
      <c r="Y6966">
        <v>-6.6562040000000003E-2</v>
      </c>
      <c r="Z6966">
        <v>-3.0222460000000001E-3</v>
      </c>
      <c r="AA6966">
        <v>0.99777769999999999</v>
      </c>
      <c r="AB6966">
        <v>26</v>
      </c>
      <c r="AC6966">
        <v>18.804199999999899</v>
      </c>
      <c r="AD6966">
        <v>-1.1132675257260001</v>
      </c>
      <c r="AE6966">
        <v>3.63205</v>
      </c>
      <c r="AF6966">
        <v>-1.27722424672685</v>
      </c>
      <c r="AG6966">
        <v>-1.1132675257260001</v>
      </c>
      <c r="AH6966">
        <v>19.0444795358924</v>
      </c>
      <c r="AI6966">
        <v>93.338003892905903</v>
      </c>
      <c r="AJ6966">
        <v>93.836814714465007</v>
      </c>
      <c r="AK6966">
        <v>19.119698406441699</v>
      </c>
      <c r="AL6966">
        <v>78.537665702392701</v>
      </c>
      <c r="AM6966">
        <v>99.8267182113986</v>
      </c>
      <c r="AN6966">
        <v>1.0000000092036201</v>
      </c>
    </row>
    <row r="6967" spans="1:40" x14ac:dyDescent="0.25">
      <c r="A6967" t="str">
        <f>"20190304155238786"</f>
        <v>20190304155238786</v>
      </c>
      <c r="B6967" t="str">
        <f>"1551685958783842"</f>
        <v>1551685958783842</v>
      </c>
      <c r="C6967" t="s">
        <v>40</v>
      </c>
      <c r="D6967">
        <v>4.907006</v>
      </c>
      <c r="E6967">
        <v>0.537933199999999</v>
      </c>
      <c r="F6967" t="s">
        <v>77</v>
      </c>
      <c r="G6967">
        <v>-195.92060000000001</v>
      </c>
      <c r="H6967" s="1">
        <v>-7.4627429999999998E-6</v>
      </c>
      <c r="I6967">
        <v>-58.589030000000001</v>
      </c>
      <c r="J6967">
        <v>-215.85390000000001</v>
      </c>
      <c r="K6967">
        <v>1.113256</v>
      </c>
      <c r="L6967">
        <v>-62.427340000000001</v>
      </c>
      <c r="M6967">
        <v>0.99200189999999999</v>
      </c>
      <c r="N6967">
        <v>-1.4038190000000001E-2</v>
      </c>
      <c r="O6967">
        <v>0.12544130000000001</v>
      </c>
      <c r="P6967">
        <v>0.93978700000000004</v>
      </c>
      <c r="Q6967">
        <v>0.1862935</v>
      </c>
      <c r="R6967">
        <v>0.28652300000000003</v>
      </c>
      <c r="S6967">
        <v>3.046341</v>
      </c>
      <c r="T6967">
        <v>-0.16901649999999999</v>
      </c>
      <c r="U6967">
        <v>0.58554079999999997</v>
      </c>
      <c r="V6967">
        <v>-0.16761319999999999</v>
      </c>
      <c r="W6967">
        <v>0.19881850000000001</v>
      </c>
      <c r="X6967">
        <v>0.96559669999999997</v>
      </c>
      <c r="Y6967">
        <v>-6.4049220000000004E-2</v>
      </c>
      <c r="Z6967">
        <v>-2.8909629999999999E-3</v>
      </c>
      <c r="AA6967">
        <v>0.99794260000000001</v>
      </c>
      <c r="AB6967">
        <v>26</v>
      </c>
      <c r="AC6967">
        <v>19.933299999999999</v>
      </c>
      <c r="AD6967">
        <v>-1.113263462743</v>
      </c>
      <c r="AE6967">
        <v>3.8383099999999901</v>
      </c>
      <c r="AF6967">
        <v>-1.3033602928991499</v>
      </c>
      <c r="AG6967">
        <v>-1.113263462743</v>
      </c>
      <c r="AH6967">
        <v>20.196602470429401</v>
      </c>
      <c r="AI6967">
        <v>93.1484903681025</v>
      </c>
      <c r="AJ6967">
        <v>93.692385187175603</v>
      </c>
      <c r="AK6967">
        <v>20.269209529213001</v>
      </c>
      <c r="AL6967">
        <v>78.532123178499106</v>
      </c>
      <c r="AM6967">
        <v>99.847567798858194</v>
      </c>
      <c r="AN6967">
        <v>0.99999998390368905</v>
      </c>
    </row>
    <row r="6968" spans="1:40" x14ac:dyDescent="0.25">
      <c r="A6968" t="str">
        <f>"20190304155238798"</f>
        <v>20190304155238798</v>
      </c>
      <c r="B6968" t="str">
        <f>"1551685958793601"</f>
        <v>1551685958793601</v>
      </c>
      <c r="C6968" t="s">
        <v>40</v>
      </c>
      <c r="D6968">
        <v>4.8963970000000003</v>
      </c>
      <c r="E6968">
        <v>0.53845480000000001</v>
      </c>
      <c r="F6968" t="s">
        <v>77</v>
      </c>
      <c r="G6968">
        <v>-195.80459999999999</v>
      </c>
      <c r="H6968" s="1">
        <v>-7.4609699999999998E-6</v>
      </c>
      <c r="I6968">
        <v>-58.556890000000003</v>
      </c>
      <c r="J6968">
        <v>-215.7321</v>
      </c>
      <c r="K6968">
        <v>1.1132550000000001</v>
      </c>
      <c r="L6968">
        <v>-62.409939999999999</v>
      </c>
      <c r="M6968">
        <v>0.99177519999999997</v>
      </c>
      <c r="N6968">
        <v>-1.403722E-2</v>
      </c>
      <c r="O6968">
        <v>0.12722049999999999</v>
      </c>
      <c r="P6968">
        <v>0.93920300000000001</v>
      </c>
      <c r="Q6968">
        <v>0.1861448</v>
      </c>
      <c r="R6968">
        <v>0.28852729999999999</v>
      </c>
      <c r="S6968">
        <v>3.0464319999999998</v>
      </c>
      <c r="T6968">
        <v>-0.16915740000000001</v>
      </c>
      <c r="U6968">
        <v>0.58810419999999997</v>
      </c>
      <c r="V6968">
        <v>-0.16793559999999999</v>
      </c>
      <c r="W6968">
        <v>0.19866800000000001</v>
      </c>
      <c r="X6968">
        <v>0.96557159999999997</v>
      </c>
      <c r="Y6968">
        <v>-6.3066469999999999E-2</v>
      </c>
      <c r="Z6968">
        <v>-3.0003819999999998E-3</v>
      </c>
      <c r="AA6968">
        <v>0.99800480000000003</v>
      </c>
      <c r="AB6968">
        <v>26</v>
      </c>
      <c r="AC6968">
        <v>19.927499999999998</v>
      </c>
      <c r="AD6968">
        <v>-1.1132624609699999</v>
      </c>
      <c r="AE6968">
        <v>3.8530499999999899</v>
      </c>
      <c r="AF6968">
        <v>-1.28244134267619</v>
      </c>
      <c r="AG6968">
        <v>-1.1132624609699999</v>
      </c>
      <c r="AH6968">
        <v>20.1950248626835</v>
      </c>
      <c r="AI6968">
        <v>93.148939529450701</v>
      </c>
      <c r="AJ6968">
        <v>93.633565454156994</v>
      </c>
      <c r="AK6968">
        <v>20.2663030251897</v>
      </c>
      <c r="AL6968">
        <v>78.540921053334003</v>
      </c>
      <c r="AM6968">
        <v>99.866388918767996</v>
      </c>
      <c r="AN6968">
        <v>0.99999992734895704</v>
      </c>
    </row>
    <row r="6969" spans="1:40" x14ac:dyDescent="0.25">
      <c r="A6969" t="str">
        <f>"20190304155238811"</f>
        <v>20190304155238811</v>
      </c>
      <c r="B6969" t="str">
        <f>"1551685958803726"</f>
        <v>1551685958803726</v>
      </c>
      <c r="C6969" t="s">
        <v>40</v>
      </c>
      <c r="D6969">
        <v>4.8717269999999999</v>
      </c>
      <c r="E6969">
        <v>0.53877580000000003</v>
      </c>
      <c r="F6969" t="s">
        <v>77</v>
      </c>
      <c r="G6969">
        <v>-195.76300000000001</v>
      </c>
      <c r="H6969" s="1">
        <v>-7.4624330000000002E-6</v>
      </c>
      <c r="I6969">
        <v>-58.5394199999999</v>
      </c>
      <c r="J6969">
        <v>-215.59289999999999</v>
      </c>
      <c r="K6969">
        <v>1.113251</v>
      </c>
      <c r="L6969">
        <v>-62.389890000000001</v>
      </c>
      <c r="M6969">
        <v>0.99151210000000001</v>
      </c>
      <c r="N6969">
        <v>-1.4036079999999999E-2</v>
      </c>
      <c r="O6969">
        <v>0.12925500000000001</v>
      </c>
      <c r="P6969">
        <v>0.93852670000000005</v>
      </c>
      <c r="Q6969">
        <v>0.18618170000000001</v>
      </c>
      <c r="R6969">
        <v>0.29069610000000001</v>
      </c>
      <c r="S6969">
        <v>3.0464630000000001</v>
      </c>
      <c r="T6969">
        <v>-0.1698385</v>
      </c>
      <c r="U6969">
        <v>0.59048459999999903</v>
      </c>
      <c r="V6969">
        <v>-0.1681849</v>
      </c>
      <c r="W6969">
        <v>0.19870309999999999</v>
      </c>
      <c r="X6969">
        <v>0.96552099999999996</v>
      </c>
      <c r="Y6969">
        <v>-6.1773050000000003E-2</v>
      </c>
      <c r="Z6969">
        <v>-3.1482680000000001E-3</v>
      </c>
      <c r="AA6969">
        <v>0.99808529999999995</v>
      </c>
      <c r="AB6969">
        <v>26</v>
      </c>
      <c r="AC6969">
        <v>19.829899999999899</v>
      </c>
      <c r="AD6969">
        <v>-1.113258462433</v>
      </c>
      <c r="AE6969">
        <v>3.8504700000000001</v>
      </c>
      <c r="AF6969">
        <v>-1.2509978457398301</v>
      </c>
      <c r="AG6969">
        <v>-1.113258462433</v>
      </c>
      <c r="AH6969">
        <v>20.100214321553</v>
      </c>
      <c r="AI6969">
        <v>93.164001381139698</v>
      </c>
      <c r="AJ6969">
        <v>93.561383054629104</v>
      </c>
      <c r="AK6969">
        <v>20.1698526466255</v>
      </c>
      <c r="AL6969">
        <v>78.538869231421003</v>
      </c>
      <c r="AM6969">
        <v>99.881254703212207</v>
      </c>
      <c r="AN6969">
        <v>0.99999994198930797</v>
      </c>
    </row>
    <row r="6970" spans="1:40" x14ac:dyDescent="0.25">
      <c r="A6970" t="str">
        <f>"20190304155238823"</f>
        <v>20190304155238823</v>
      </c>
      <c r="B6970" t="str">
        <f>"1551685958814070"</f>
        <v>1551685958814070</v>
      </c>
      <c r="C6970" t="s">
        <v>40</v>
      </c>
      <c r="D6970">
        <v>4.5474230000000002</v>
      </c>
      <c r="E6970">
        <v>0.53788419999999904</v>
      </c>
      <c r="F6970" t="s">
        <v>77</v>
      </c>
      <c r="G6970">
        <v>-195.70359999999999</v>
      </c>
      <c r="H6970" s="1">
        <v>-7.4672399999999997E-6</v>
      </c>
      <c r="I6970">
        <v>-58.5066699999999</v>
      </c>
      <c r="J6970">
        <v>-215.4402</v>
      </c>
      <c r="K6970">
        <v>1.113248</v>
      </c>
      <c r="L6970">
        <v>-62.367550000000001</v>
      </c>
      <c r="M6970">
        <v>0.99121870000000001</v>
      </c>
      <c r="N6970">
        <v>-1.4034670000000001E-2</v>
      </c>
      <c r="O6970">
        <v>0.13148589999999999</v>
      </c>
      <c r="P6970">
        <v>0.93774729999999995</v>
      </c>
      <c r="Q6970">
        <v>0.18629290000000001</v>
      </c>
      <c r="R6970">
        <v>0.2931298</v>
      </c>
      <c r="S6970">
        <v>3.0460970000000001</v>
      </c>
      <c r="T6970">
        <v>-0.1704987</v>
      </c>
      <c r="U6970">
        <v>0.59472659999999999</v>
      </c>
      <c r="V6970">
        <v>-0.16851949999999999</v>
      </c>
      <c r="W6970">
        <v>0.1988115</v>
      </c>
      <c r="X6970">
        <v>0.96544039999999998</v>
      </c>
      <c r="Y6970">
        <v>-6.0892479999999999E-2</v>
      </c>
      <c r="Z6970">
        <v>-3.2906099999999998E-3</v>
      </c>
      <c r="AA6970">
        <v>0.99813890000000005</v>
      </c>
      <c r="AB6970">
        <v>26</v>
      </c>
      <c r="AC6970">
        <v>19.736599999999999</v>
      </c>
      <c r="AD6970">
        <v>-1.1132554672399999</v>
      </c>
      <c r="AE6970">
        <v>3.8608799999999999</v>
      </c>
      <c r="AF6970">
        <v>-1.2282494031277</v>
      </c>
      <c r="AG6970">
        <v>-1.1132554672399999</v>
      </c>
      <c r="AH6970">
        <v>20.011592858183601</v>
      </c>
      <c r="AI6970">
        <v>93.178144153679</v>
      </c>
      <c r="AJ6970">
        <v>93.512231042002796</v>
      </c>
      <c r="AK6970">
        <v>20.080134039725099</v>
      </c>
      <c r="AL6970">
        <v>78.532532607815099</v>
      </c>
      <c r="AM6970">
        <v>99.901334808324094</v>
      </c>
      <c r="AN6970">
        <v>1.0000000001823299</v>
      </c>
    </row>
    <row r="6971" spans="1:40" x14ac:dyDescent="0.25">
      <c r="A6971" t="str">
        <f>"20190304155238838"</f>
        <v>20190304155238838</v>
      </c>
      <c r="B6971" t="str">
        <f>"1551685958834019"</f>
        <v>1551685958834019</v>
      </c>
      <c r="C6971" t="s">
        <v>40</v>
      </c>
      <c r="D6971">
        <v>4.213813</v>
      </c>
      <c r="E6971">
        <v>0.47233150000000002</v>
      </c>
      <c r="F6971" t="s">
        <v>77</v>
      </c>
      <c r="G6971">
        <v>-195.38759999999999</v>
      </c>
      <c r="H6971" s="1">
        <v>-7.4857740000000001E-6</v>
      </c>
      <c r="I6971">
        <v>-58.352600000000002</v>
      </c>
      <c r="J6971">
        <v>-215.2826</v>
      </c>
      <c r="K6971">
        <v>1.113246</v>
      </c>
      <c r="L6971">
        <v>-62.344059999999999</v>
      </c>
      <c r="M6971">
        <v>0.99091059999999997</v>
      </c>
      <c r="N6971">
        <v>-1.4033230000000001E-2</v>
      </c>
      <c r="O6971">
        <v>0.13378789999999999</v>
      </c>
      <c r="P6971">
        <v>0.93694449999999996</v>
      </c>
      <c r="Q6971">
        <v>0.18618399999999999</v>
      </c>
      <c r="R6971">
        <v>0.29575430000000003</v>
      </c>
      <c r="S6971">
        <v>3.0422820000000002</v>
      </c>
      <c r="T6971">
        <v>-0.16889799999999999</v>
      </c>
      <c r="U6971">
        <v>0.60913090000000003</v>
      </c>
      <c r="V6971">
        <v>-0.1689754</v>
      </c>
      <c r="W6971">
        <v>0.1986994</v>
      </c>
      <c r="X6971">
        <v>0.96538380000000001</v>
      </c>
      <c r="Y6971">
        <v>-6.3353619999999999E-2</v>
      </c>
      <c r="Z6971">
        <v>-3.2502590000000001E-3</v>
      </c>
      <c r="AA6971">
        <v>0.99798580000000003</v>
      </c>
      <c r="AB6971">
        <v>26</v>
      </c>
      <c r="AC6971">
        <v>19.895</v>
      </c>
      <c r="AD6971">
        <v>-1.113253485774</v>
      </c>
      <c r="AE6971">
        <v>3.9914599999999898</v>
      </c>
      <c r="AF6971">
        <v>-1.28971516235867</v>
      </c>
      <c r="AG6971">
        <v>-1.113253485774</v>
      </c>
      <c r="AH6971">
        <v>20.189400496481898</v>
      </c>
      <c r="AI6971">
        <v>93.149714285073301</v>
      </c>
      <c r="AJ6971">
        <v>93.655134029885403</v>
      </c>
      <c r="AK6971">
        <v>20.261159664021001</v>
      </c>
      <c r="AL6971">
        <v>78.539086321260598</v>
      </c>
      <c r="AM6971">
        <v>99.928159388382895</v>
      </c>
      <c r="AN6971">
        <v>1.00000000933398</v>
      </c>
    </row>
    <row r="6972" spans="1:40" x14ac:dyDescent="0.25">
      <c r="A6972" t="str">
        <f>"20190304155238850"</f>
        <v>20190304155238850</v>
      </c>
      <c r="B6972" t="str">
        <f>"1551685958843779"</f>
        <v>1551685958843779</v>
      </c>
      <c r="C6972" t="s">
        <v>40</v>
      </c>
      <c r="D6972">
        <v>4.9066080000000003</v>
      </c>
      <c r="E6972">
        <v>0.46346559999999998</v>
      </c>
      <c r="F6972" t="s">
        <v>77</v>
      </c>
      <c r="G6972">
        <v>-190.40530000000001</v>
      </c>
      <c r="H6972" s="1">
        <v>-9.0015429999999994E-6</v>
      </c>
      <c r="I6972">
        <v>-52.697200000000002</v>
      </c>
      <c r="J6972">
        <v>-215.1413</v>
      </c>
      <c r="K6972">
        <v>1.1132420000000001</v>
      </c>
      <c r="L6972">
        <v>-62.322749999999999</v>
      </c>
      <c r="M6972">
        <v>0.99062939999999999</v>
      </c>
      <c r="N6972">
        <v>-1.403193E-2</v>
      </c>
      <c r="O6972">
        <v>0.13585459999999999</v>
      </c>
      <c r="P6972">
        <v>0.93619260000000004</v>
      </c>
      <c r="Q6972">
        <v>0.18617310000000001</v>
      </c>
      <c r="R6972">
        <v>0.29813289999999998</v>
      </c>
      <c r="S6972">
        <v>2.8754879999999998</v>
      </c>
      <c r="T6972">
        <v>-0.12867770000000001</v>
      </c>
      <c r="U6972">
        <v>1.115051</v>
      </c>
      <c r="V6972">
        <v>-0.16941229999999999</v>
      </c>
      <c r="W6972">
        <v>0.1986849</v>
      </c>
      <c r="X6972">
        <v>0.96531020000000001</v>
      </c>
      <c r="Y6972">
        <v>-0.23130129999999999</v>
      </c>
      <c r="Z6972">
        <v>2.715098E-3</v>
      </c>
      <c r="AA6972">
        <v>0.97287840000000003</v>
      </c>
      <c r="AB6972">
        <v>26</v>
      </c>
      <c r="AC6972">
        <v>24.735999999999901</v>
      </c>
      <c r="AD6972">
        <v>-1.1132510015429999</v>
      </c>
      <c r="AE6972">
        <v>9.6255499999999898</v>
      </c>
      <c r="AF6972">
        <v>-6.1646172774030097</v>
      </c>
      <c r="AG6972">
        <v>-1.1132510015429999</v>
      </c>
      <c r="AH6972">
        <v>25.7690952900079</v>
      </c>
      <c r="AI6972">
        <v>92.405895305228299</v>
      </c>
      <c r="AJ6972">
        <v>103.453751534229</v>
      </c>
      <c r="AK6972">
        <v>26.519579673041601</v>
      </c>
      <c r="AL6972">
        <v>78.539933897715898</v>
      </c>
      <c r="AM6972">
        <v>99.954060486558006</v>
      </c>
      <c r="AN6972">
        <v>0.99999999955166996</v>
      </c>
    </row>
    <row r="6973" spans="1:40" x14ac:dyDescent="0.25">
      <c r="A6973" t="str">
        <f>"20190304155238865"</f>
        <v>20190304155238865</v>
      </c>
      <c r="B6973" t="str">
        <f>"1551685958853539"</f>
        <v>1551685958853539</v>
      </c>
      <c r="C6973" t="s">
        <v>40</v>
      </c>
      <c r="D6973">
        <v>4.9118890000000004</v>
      </c>
      <c r="E6973">
        <v>0.45844780000000002</v>
      </c>
      <c r="F6973" t="s">
        <v>77</v>
      </c>
      <c r="G6973">
        <v>-191.52359999999999</v>
      </c>
      <c r="H6973" s="1">
        <v>-9.1948599999999996E-6</v>
      </c>
      <c r="I6973">
        <v>-52.472729999999999</v>
      </c>
      <c r="J6973">
        <v>-214.9778</v>
      </c>
      <c r="K6973">
        <v>1.1132329999999999</v>
      </c>
      <c r="L6973">
        <v>-62.297699999999999</v>
      </c>
      <c r="M6973">
        <v>0.99029860000000003</v>
      </c>
      <c r="N6973">
        <v>-1.403037E-2</v>
      </c>
      <c r="O6973">
        <v>0.13824610000000001</v>
      </c>
      <c r="P6973">
        <v>0.93553989999999998</v>
      </c>
      <c r="Q6973">
        <v>0.185941</v>
      </c>
      <c r="R6973">
        <v>0.3003188</v>
      </c>
      <c r="S6973">
        <v>2.8523559999999999</v>
      </c>
      <c r="T6973">
        <v>-0.1344495</v>
      </c>
      <c r="U6973">
        <v>1.1896059999999999</v>
      </c>
      <c r="V6973">
        <v>-0.16932700000000001</v>
      </c>
      <c r="W6973">
        <v>0.19845399999999999</v>
      </c>
      <c r="X6973">
        <v>0.96537269999999997</v>
      </c>
      <c r="Y6973">
        <v>-0.253366799999999</v>
      </c>
      <c r="Z6973">
        <v>3.264688E-3</v>
      </c>
      <c r="AA6973">
        <v>0.96736480000000002</v>
      </c>
      <c r="AB6973">
        <v>26</v>
      </c>
      <c r="AC6973">
        <v>23.4542</v>
      </c>
      <c r="AD6973">
        <v>-1.11324219486</v>
      </c>
      <c r="AE6973">
        <v>9.8249699999999898</v>
      </c>
      <c r="AF6973">
        <v>-6.4754298748069896</v>
      </c>
      <c r="AG6973">
        <v>-1.11324219486</v>
      </c>
      <c r="AH6973">
        <v>24.5403103523741</v>
      </c>
      <c r="AI6973">
        <v>92.511526684287603</v>
      </c>
      <c r="AJ6973">
        <v>104.78166661935801</v>
      </c>
      <c r="AK6973">
        <v>25.4046714688224</v>
      </c>
      <c r="AL6973">
        <v>78.5534327175139</v>
      </c>
      <c r="AM6973">
        <v>99.948517474043598</v>
      </c>
      <c r="AN6973">
        <v>1.00000003647514</v>
      </c>
    </row>
    <row r="6974" spans="1:40" x14ac:dyDescent="0.25">
      <c r="A6974" t="str">
        <f>"20190304155238875"</f>
        <v>20190304155238875</v>
      </c>
      <c r="B6974" t="str">
        <f>"1551685958874035"</f>
        <v>1551685958874035</v>
      </c>
      <c r="C6974" t="s">
        <v>40</v>
      </c>
      <c r="D6974">
        <v>4.8402599999999998</v>
      </c>
      <c r="E6974">
        <v>0.45431280000000002</v>
      </c>
      <c r="F6974" t="s">
        <v>77</v>
      </c>
      <c r="G6974">
        <v>-191.2739</v>
      </c>
      <c r="H6974" s="1">
        <v>-9.3486220000000008E-6</v>
      </c>
      <c r="I6974">
        <v>-51.981229999999996</v>
      </c>
      <c r="J6974">
        <v>-214.8561</v>
      </c>
      <c r="K6974">
        <v>1.1132340000000001</v>
      </c>
      <c r="L6974">
        <v>-62.278689999999997</v>
      </c>
      <c r="M6974">
        <v>0.99004829999999999</v>
      </c>
      <c r="N6974">
        <v>-1.402924E-2</v>
      </c>
      <c r="O6974">
        <v>0.14002779999999901</v>
      </c>
      <c r="P6974">
        <v>0.9350813</v>
      </c>
      <c r="Q6974">
        <v>0.18557560000000001</v>
      </c>
      <c r="R6974">
        <v>0.30196810000000002</v>
      </c>
      <c r="S6974">
        <v>2.8368229999999999</v>
      </c>
      <c r="T6974">
        <v>-0.13323009999999999</v>
      </c>
      <c r="U6974">
        <v>1.23465</v>
      </c>
      <c r="V6974">
        <v>-0.16927890000000001</v>
      </c>
      <c r="W6974">
        <v>0.1980895</v>
      </c>
      <c r="X6974">
        <v>0.96545590000000003</v>
      </c>
      <c r="Y6974">
        <v>-0.266459</v>
      </c>
      <c r="Z6974">
        <v>3.6054279999999999E-3</v>
      </c>
      <c r="AA6974">
        <v>0.96383949999999996</v>
      </c>
      <c r="AB6974">
        <v>26</v>
      </c>
      <c r="AC6974">
        <v>23.5822</v>
      </c>
      <c r="AD6974">
        <v>-1.1132433486219999</v>
      </c>
      <c r="AE6974">
        <v>10.297459999999999</v>
      </c>
      <c r="AF6974">
        <v>-6.8806188394994701</v>
      </c>
      <c r="AG6974">
        <v>-1.1132433486219999</v>
      </c>
      <c r="AH6974">
        <v>24.745570177684101</v>
      </c>
      <c r="AI6974">
        <v>92.481831634198002</v>
      </c>
      <c r="AJ6974">
        <v>105.53883286169101</v>
      </c>
      <c r="AK6974">
        <v>25.708470778839001</v>
      </c>
      <c r="AL6974">
        <v>78.574738986576307</v>
      </c>
      <c r="AM6974">
        <v>99.944907895221803</v>
      </c>
      <c r="AN6974">
        <v>0.99999994542013304</v>
      </c>
    </row>
    <row r="6975" spans="1:40" x14ac:dyDescent="0.25">
      <c r="A6975" t="str">
        <f>"20190304155238887"</f>
        <v>20190304155238887</v>
      </c>
      <c r="B6975" t="str">
        <f>"1551685958883795"</f>
        <v>1551685958883795</v>
      </c>
      <c r="C6975" t="s">
        <v>40</v>
      </c>
      <c r="D6975">
        <v>4.7595269999999896</v>
      </c>
      <c r="E6975">
        <v>0.45356489999999999</v>
      </c>
      <c r="F6975" t="s">
        <v>77</v>
      </c>
      <c r="G6975">
        <v>-193.5667</v>
      </c>
      <c r="H6975" s="1">
        <v>-9.3147719999999994E-6</v>
      </c>
      <c r="I6975">
        <v>-52.70431</v>
      </c>
      <c r="J6975">
        <v>-214.72569999999999</v>
      </c>
      <c r="K6975">
        <v>1.1132329999999999</v>
      </c>
      <c r="L6975">
        <v>-62.258240000000001</v>
      </c>
      <c r="M6975">
        <v>0.98977610000000005</v>
      </c>
      <c r="N6975">
        <v>-1.402803E-2</v>
      </c>
      <c r="O6975">
        <v>0.14193910000000001</v>
      </c>
      <c r="P6975">
        <v>0.93450820000000001</v>
      </c>
      <c r="Q6975">
        <v>0.18551519999999999</v>
      </c>
      <c r="R6975">
        <v>0.3037744</v>
      </c>
      <c r="S6975">
        <v>2.8270420000000001</v>
      </c>
      <c r="T6975">
        <v>-0.14782890000000001</v>
      </c>
      <c r="U6975">
        <v>1.271393</v>
      </c>
      <c r="V6975">
        <v>-0.16927779999999901</v>
      </c>
      <c r="W6975">
        <v>0.1980287</v>
      </c>
      <c r="X6975">
        <v>0.96546860000000001</v>
      </c>
      <c r="Y6975">
        <v>-0.27621639999999997</v>
      </c>
      <c r="Z6975">
        <v>3.8278470000000001E-3</v>
      </c>
      <c r="AA6975">
        <v>0.96108780000000005</v>
      </c>
      <c r="AB6975">
        <v>26</v>
      </c>
      <c r="AC6975">
        <v>21.158999999999899</v>
      </c>
      <c r="AD6975">
        <v>-1.1132423147720001</v>
      </c>
      <c r="AE6975">
        <v>9.5539299999999994</v>
      </c>
      <c r="AF6975">
        <v>-6.4387913923540196</v>
      </c>
      <c r="AG6975">
        <v>-1.1132423147720001</v>
      </c>
      <c r="AH6975">
        <v>22.249780462848801</v>
      </c>
      <c r="AI6975">
        <v>92.751623778149494</v>
      </c>
      <c r="AJ6975">
        <v>106.13974219254</v>
      </c>
      <c r="AK6975">
        <v>23.1894388394937</v>
      </c>
      <c r="AL6975">
        <v>78.578293358353804</v>
      </c>
      <c r="AM6975">
        <v>99.944716356564001</v>
      </c>
      <c r="AN6975">
        <v>0.99999997859124401</v>
      </c>
    </row>
    <row r="6976" spans="1:40" x14ac:dyDescent="0.25">
      <c r="A6976" t="str">
        <f>"20190304155238898"</f>
        <v>20190304155238898</v>
      </c>
      <c r="B6976" t="str">
        <f>"1551685958893554"</f>
        <v>1551685958893554</v>
      </c>
      <c r="C6976" t="s">
        <v>40</v>
      </c>
      <c r="D6976">
        <v>4.7108600000000003</v>
      </c>
      <c r="E6976">
        <v>0.45319280000000001</v>
      </c>
      <c r="F6976" t="s">
        <v>77</v>
      </c>
      <c r="G6976">
        <v>-194.65280000000001</v>
      </c>
      <c r="H6976" s="1">
        <v>-9.2641449999999997E-6</v>
      </c>
      <c r="I6976">
        <v>-53.141939999999998</v>
      </c>
      <c r="J6976">
        <v>-214.60239999999999</v>
      </c>
      <c r="K6976">
        <v>1.1132340000000001</v>
      </c>
      <c r="L6976">
        <v>-62.238489999999999</v>
      </c>
      <c r="M6976">
        <v>0.98951429999999996</v>
      </c>
      <c r="N6976">
        <v>-1.402699E-2</v>
      </c>
      <c r="O6976">
        <v>0.14375250000000001</v>
      </c>
      <c r="P6976">
        <v>0.93406960000000006</v>
      </c>
      <c r="Q6976">
        <v>0.18531549999999999</v>
      </c>
      <c r="R6976">
        <v>0.305241599999999</v>
      </c>
      <c r="S6976">
        <v>2.8243710000000002</v>
      </c>
      <c r="T6976">
        <v>-0.15663959999999999</v>
      </c>
      <c r="U6976">
        <v>1.282715</v>
      </c>
      <c r="V6976">
        <v>-0.16901769999999999</v>
      </c>
      <c r="W6976">
        <v>0.19783049999999999</v>
      </c>
      <c r="X6976">
        <v>0.96555480000000005</v>
      </c>
      <c r="Y6976">
        <v>-0.27796270000000001</v>
      </c>
      <c r="Z6976">
        <v>3.8112409999999999E-3</v>
      </c>
      <c r="AA6976">
        <v>0.96058429999999995</v>
      </c>
      <c r="AB6976">
        <v>26</v>
      </c>
      <c r="AC6976">
        <v>19.949599999999901</v>
      </c>
      <c r="AD6976">
        <v>-1.1132432641450001</v>
      </c>
      <c r="AE6976">
        <v>9.0965500000000006</v>
      </c>
      <c r="AF6976">
        <v>-6.1181922098575097</v>
      </c>
      <c r="AG6976">
        <v>-1.1132432641450001</v>
      </c>
      <c r="AH6976">
        <v>20.996009545650502</v>
      </c>
      <c r="AI6976">
        <v>92.914095931379705</v>
      </c>
      <c r="AJ6976">
        <v>106.246009570723</v>
      </c>
      <c r="AK6976">
        <v>21.897579850818499</v>
      </c>
      <c r="AL6976">
        <v>78.589878606076397</v>
      </c>
      <c r="AM6976">
        <v>99.928871548367596</v>
      </c>
      <c r="AN6976">
        <v>0.99999998072328899</v>
      </c>
    </row>
    <row r="6977" spans="1:40" x14ac:dyDescent="0.25">
      <c r="A6977" t="str">
        <f>"20190304155238910"</f>
        <v>20190304155238910</v>
      </c>
      <c r="B6977" t="str">
        <f>"1551685958904291"</f>
        <v>1551685958904291</v>
      </c>
      <c r="C6977" t="s">
        <v>40</v>
      </c>
      <c r="D6977">
        <v>4.7372269999999999</v>
      </c>
      <c r="E6977">
        <v>0.45289570000000001</v>
      </c>
      <c r="F6977" t="s">
        <v>77</v>
      </c>
      <c r="G6977">
        <v>-195.53380000000001</v>
      </c>
      <c r="H6977" s="1">
        <v>-9.2131740000000007E-6</v>
      </c>
      <c r="I6977">
        <v>-53.524189999999997</v>
      </c>
      <c r="J6977">
        <v>-214.4727</v>
      </c>
      <c r="K6977">
        <v>1.113235</v>
      </c>
      <c r="L6977">
        <v>-62.217619999999997</v>
      </c>
      <c r="M6977">
        <v>0.98923490000000003</v>
      </c>
      <c r="N6977">
        <v>-1.4025920000000001E-2</v>
      </c>
      <c r="O6977">
        <v>0.14566379999999901</v>
      </c>
      <c r="P6977">
        <v>0.93347530000000001</v>
      </c>
      <c r="Q6977">
        <v>0.18536320000000001</v>
      </c>
      <c r="R6977">
        <v>0.3070252</v>
      </c>
      <c r="S6977">
        <v>2.8228610000000001</v>
      </c>
      <c r="T6977">
        <v>-0.16480110000000001</v>
      </c>
      <c r="U6977">
        <v>1.2900389999999999</v>
      </c>
      <c r="V6977">
        <v>-0.1689986</v>
      </c>
      <c r="W6977">
        <v>0.19787679999999999</v>
      </c>
      <c r="X6977">
        <v>0.96554870000000004</v>
      </c>
      <c r="Y6977">
        <v>-0.27833720000000001</v>
      </c>
      <c r="Z6977">
        <v>3.7379280000000002E-3</v>
      </c>
      <c r="AA6977">
        <v>0.9604762</v>
      </c>
      <c r="AB6977">
        <v>26</v>
      </c>
      <c r="AC6977">
        <v>18.938899999999901</v>
      </c>
      <c r="AD6977">
        <v>-1.1132442131739999</v>
      </c>
      <c r="AE6977">
        <v>8.6934299999999904</v>
      </c>
      <c r="AF6977">
        <v>-5.8250818145204599</v>
      </c>
      <c r="AG6977">
        <v>-1.1132442131739999</v>
      </c>
      <c r="AH6977">
        <v>19.9463787473933</v>
      </c>
      <c r="AI6977">
        <v>93.066634401631902</v>
      </c>
      <c r="AJ6977">
        <v>106.279760952251</v>
      </c>
      <c r="AK6977">
        <v>20.809346841227001</v>
      </c>
      <c r="AL6977">
        <v>78.5871728061624</v>
      </c>
      <c r="AM6977">
        <v>99.927833324073902</v>
      </c>
      <c r="AN6977">
        <v>1.0000000234259401</v>
      </c>
    </row>
    <row r="6978" spans="1:40" x14ac:dyDescent="0.25">
      <c r="A6978" t="str">
        <f>"20190304155238921"</f>
        <v>20190304155238921</v>
      </c>
      <c r="B6978" t="str">
        <f>"1551685958914051"</f>
        <v>1551685958914051</v>
      </c>
      <c r="C6978" t="s">
        <v>40</v>
      </c>
      <c r="D6978">
        <v>4.8483260000000001</v>
      </c>
      <c r="E6978">
        <v>0.45223609999999997</v>
      </c>
      <c r="F6978" t="s">
        <v>77</v>
      </c>
      <c r="G6978">
        <v>-196.19880000000001</v>
      </c>
      <c r="H6978" s="1">
        <v>-9.1753899999999996E-6</v>
      </c>
      <c r="I6978">
        <v>-53.8108199999999</v>
      </c>
      <c r="J6978">
        <v>-214.34049999999999</v>
      </c>
      <c r="K6978">
        <v>1.113237</v>
      </c>
      <c r="L6978">
        <v>-62.195979999999999</v>
      </c>
      <c r="M6978">
        <v>0.98894490000000002</v>
      </c>
      <c r="N6978">
        <v>-1.40249E-2</v>
      </c>
      <c r="O6978">
        <v>0.147619</v>
      </c>
      <c r="P6978">
        <v>0.93292489999999995</v>
      </c>
      <c r="Q6978">
        <v>0.1853668</v>
      </c>
      <c r="R6978">
        <v>0.30869150000000001</v>
      </c>
      <c r="S6978">
        <v>2.821075</v>
      </c>
      <c r="T6978">
        <v>-0.17185989999999901</v>
      </c>
      <c r="U6978">
        <v>1.2978209999999999</v>
      </c>
      <c r="V6978">
        <v>-0.168815299999999</v>
      </c>
      <c r="W6978">
        <v>0.1978791</v>
      </c>
      <c r="X6978">
        <v>0.96558029999999995</v>
      </c>
      <c r="Y6978">
        <v>-0.27883340000000001</v>
      </c>
      <c r="Z6978">
        <v>3.6604960000000001E-3</v>
      </c>
      <c r="AA6978">
        <v>0.96033250000000003</v>
      </c>
      <c r="AB6978">
        <v>25</v>
      </c>
      <c r="AC6978">
        <v>18.141699999999901</v>
      </c>
      <c r="AD6978">
        <v>-1.11324617538999</v>
      </c>
      <c r="AE6978">
        <v>8.3851600000000097</v>
      </c>
      <c r="AF6978">
        <v>-5.5975860129592396</v>
      </c>
      <c r="AG6978">
        <v>-1.11324617538999</v>
      </c>
      <c r="AH6978">
        <v>19.121508099180801</v>
      </c>
      <c r="AI6978">
        <v>93.198058254462694</v>
      </c>
      <c r="AJ6978">
        <v>106.31674223626599</v>
      </c>
      <c r="AK6978">
        <v>19.955058461616598</v>
      </c>
      <c r="AL6978">
        <v>78.587038440598306</v>
      </c>
      <c r="AM6978">
        <v>99.916961138976504</v>
      </c>
      <c r="AN6978">
        <v>1.00000002973949</v>
      </c>
    </row>
    <row r="6979" spans="1:40" x14ac:dyDescent="0.25">
      <c r="A6979" t="str">
        <f>"20190304155238932"</f>
        <v>20190304155238932</v>
      </c>
      <c r="B6979" t="str">
        <f>"1551685958923811"</f>
        <v>1551685958923811</v>
      </c>
      <c r="C6979" t="s">
        <v>40</v>
      </c>
      <c r="D6979">
        <v>4.821841</v>
      </c>
      <c r="E6979">
        <v>0.45173950000000002</v>
      </c>
      <c r="F6979" t="s">
        <v>77</v>
      </c>
      <c r="G6979">
        <v>-195.88669999999999</v>
      </c>
      <c r="H6979" s="1">
        <v>-9.2101390000000001E-6</v>
      </c>
      <c r="I6979">
        <v>-53.629489999999997</v>
      </c>
      <c r="J6979">
        <v>-214.22579999999999</v>
      </c>
      <c r="K6979">
        <v>1.1132409999999999</v>
      </c>
      <c r="L6979">
        <v>-62.177030000000002</v>
      </c>
      <c r="M6979">
        <v>0.98868909999999999</v>
      </c>
      <c r="N6979">
        <v>-1.402407E-2</v>
      </c>
      <c r="O6979">
        <v>0.14932219999999999</v>
      </c>
      <c r="P6979">
        <v>0.93246799999999996</v>
      </c>
      <c r="Q6979">
        <v>0.18518299999999999</v>
      </c>
      <c r="R6979">
        <v>0.31017879999999998</v>
      </c>
      <c r="S6979">
        <v>2.8167879999999998</v>
      </c>
      <c r="T6979">
        <v>-0.16992560000000001</v>
      </c>
      <c r="U6979">
        <v>1.3075870000000001</v>
      </c>
      <c r="V6979">
        <v>-0.1686877</v>
      </c>
      <c r="W6979">
        <v>0.1976945</v>
      </c>
      <c r="X6979">
        <v>0.96564039999999995</v>
      </c>
      <c r="Y6979">
        <v>-0.28048149999999999</v>
      </c>
      <c r="Z6979">
        <v>3.6523380000000002E-3</v>
      </c>
      <c r="AA6979">
        <v>0.9598525</v>
      </c>
      <c r="AB6979">
        <v>25</v>
      </c>
      <c r="AC6979">
        <v>18.339099999999998</v>
      </c>
      <c r="AD6979">
        <v>-1.1132502101389901</v>
      </c>
      <c r="AE6979">
        <v>8.5475399999999908</v>
      </c>
      <c r="AF6979">
        <v>-5.69574416050488</v>
      </c>
      <c r="AG6979">
        <v>-1.1132502101389901</v>
      </c>
      <c r="AH6979">
        <v>19.351332911222102</v>
      </c>
      <c r="AI6979">
        <v>93.158805836498104</v>
      </c>
      <c r="AJ6979">
        <v>106.400918687168</v>
      </c>
      <c r="AK6979">
        <v>20.202844181284199</v>
      </c>
      <c r="AL6979">
        <v>78.597828269528307</v>
      </c>
      <c r="AM6979">
        <v>99.909009460074799</v>
      </c>
      <c r="AN6979">
        <v>1.0000000187868401</v>
      </c>
    </row>
    <row r="6980" spans="1:40" x14ac:dyDescent="0.25">
      <c r="A6980" t="str">
        <f>"20190304155238943"</f>
        <v>20190304155238943</v>
      </c>
      <c r="B6980" t="str">
        <f>"1551685958933571"</f>
        <v>1551685958933571</v>
      </c>
      <c r="C6980" t="s">
        <v>40</v>
      </c>
      <c r="D6980">
        <v>4.7930359999999999</v>
      </c>
      <c r="E6980">
        <v>0.45130490000000001</v>
      </c>
      <c r="F6980" t="s">
        <v>77</v>
      </c>
      <c r="G6980">
        <v>-195.65459999999999</v>
      </c>
      <c r="H6980" s="1">
        <v>-9.2368350000000001E-6</v>
      </c>
      <c r="I6980">
        <v>-53.4923</v>
      </c>
      <c r="J6980">
        <v>-214.09569999999999</v>
      </c>
      <c r="K6980">
        <v>1.113248</v>
      </c>
      <c r="L6980">
        <v>-62.155270000000002</v>
      </c>
      <c r="M6980">
        <v>0.98839440000000001</v>
      </c>
      <c r="N6980">
        <v>-1.4023209999999999E-2</v>
      </c>
      <c r="O6980">
        <v>0.1512609</v>
      </c>
      <c r="P6980">
        <v>0.93201889999999998</v>
      </c>
      <c r="Q6980">
        <v>0.18501799999999999</v>
      </c>
      <c r="R6980">
        <v>0.3116235</v>
      </c>
      <c r="S6980">
        <v>2.8131409999999999</v>
      </c>
      <c r="T6980">
        <v>-0.16863359999999999</v>
      </c>
      <c r="U6980">
        <v>1.3155520000000001</v>
      </c>
      <c r="V6980">
        <v>-0.1682864</v>
      </c>
      <c r="W6980">
        <v>0.19753000000000001</v>
      </c>
      <c r="X6980">
        <v>0.96574409999999999</v>
      </c>
      <c r="Y6980">
        <v>-0.28131139999999999</v>
      </c>
      <c r="Z6980">
        <v>3.6042140000000001E-3</v>
      </c>
      <c r="AA6980">
        <v>0.95960979999999996</v>
      </c>
      <c r="AB6980">
        <v>25</v>
      </c>
      <c r="AC6980">
        <v>18.441099999999999</v>
      </c>
      <c r="AD6980">
        <v>-1.113257236835</v>
      </c>
      <c r="AE6980">
        <v>8.6629699999999907</v>
      </c>
      <c r="AF6980">
        <v>-5.75639568662345</v>
      </c>
      <c r="AG6980">
        <v>-1.113257236835</v>
      </c>
      <c r="AH6980">
        <v>19.481208892083</v>
      </c>
      <c r="AI6980">
        <v>93.136831068712993</v>
      </c>
      <c r="AJ6980">
        <v>106.461594407481</v>
      </c>
      <c r="AK6980">
        <v>20.3443587481473</v>
      </c>
      <c r="AL6980">
        <v>78.607443270487806</v>
      </c>
      <c r="AM6980">
        <v>99.884861422017394</v>
      </c>
      <c r="AN6980">
        <v>1.0000000400048801</v>
      </c>
    </row>
    <row r="6981" spans="1:40" x14ac:dyDescent="0.25">
      <c r="A6981" t="str">
        <f>"20190304155238955"</f>
        <v>20190304155238955</v>
      </c>
      <c r="B6981" t="str">
        <f>"1551685958944307"</f>
        <v>1551685958944307</v>
      </c>
      <c r="C6981" t="s">
        <v>40</v>
      </c>
      <c r="D6981">
        <v>4.7861060000000002</v>
      </c>
      <c r="E6981">
        <v>0.45095590000000002</v>
      </c>
      <c r="F6981" t="s">
        <v>77</v>
      </c>
      <c r="G6981">
        <v>-195.37629999999999</v>
      </c>
      <c r="H6981" s="1">
        <v>-9.2646740000000001E-6</v>
      </c>
      <c r="I6981">
        <v>-53.339260000000003</v>
      </c>
      <c r="J6981">
        <v>-213.97730000000001</v>
      </c>
      <c r="K6981">
        <v>1.113256</v>
      </c>
      <c r="L6981">
        <v>-62.135159999999999</v>
      </c>
      <c r="M6981">
        <v>0.98812120000000003</v>
      </c>
      <c r="N6981">
        <v>-1.402254E-2</v>
      </c>
      <c r="O6981">
        <v>0.1530357</v>
      </c>
      <c r="P6981">
        <v>0.9315099</v>
      </c>
      <c r="Q6981">
        <v>0.18501319999999999</v>
      </c>
      <c r="R6981">
        <v>0.3131446</v>
      </c>
      <c r="S6981">
        <v>2.8095699999999999</v>
      </c>
      <c r="T6981">
        <v>-0.16708719999999999</v>
      </c>
      <c r="U6981">
        <v>1.3231809999999999</v>
      </c>
      <c r="V6981">
        <v>-0.1681319</v>
      </c>
      <c r="W6981">
        <v>0.19752249999999999</v>
      </c>
      <c r="X6981">
        <v>0.96577250000000003</v>
      </c>
      <c r="Y6981">
        <v>-0.282196</v>
      </c>
      <c r="Z6981">
        <v>3.566984E-3</v>
      </c>
      <c r="AA6981">
        <v>0.95935020000000004</v>
      </c>
      <c r="AB6981">
        <v>25</v>
      </c>
      <c r="AC6981">
        <v>18.600999999999999</v>
      </c>
      <c r="AD6981">
        <v>-1.113265264674</v>
      </c>
      <c r="AE6981">
        <v>8.7958999999999996</v>
      </c>
      <c r="AF6981">
        <v>-5.8283109372996904</v>
      </c>
      <c r="AG6981">
        <v>-1.113265264674</v>
      </c>
      <c r="AH6981">
        <v>19.670484801085799</v>
      </c>
      <c r="AI6981">
        <v>93.106043660246996</v>
      </c>
      <c r="AJ6981">
        <v>106.504412644661</v>
      </c>
      <c r="AK6981">
        <v>20.545961652868101</v>
      </c>
      <c r="AL6981">
        <v>78.6078811379912</v>
      </c>
      <c r="AM6981">
        <v>99.875680416965295</v>
      </c>
      <c r="AN6981">
        <v>0.99999999778005499</v>
      </c>
    </row>
    <row r="6982" spans="1:40" x14ac:dyDescent="0.25">
      <c r="A6982" t="str">
        <f>"20190304155238965"</f>
        <v>20190304155238965</v>
      </c>
      <c r="B6982" t="str">
        <f>"1551685958954068"</f>
        <v>1551685958954068</v>
      </c>
      <c r="C6982" t="s">
        <v>40</v>
      </c>
      <c r="D6982">
        <v>4.8168689999999996</v>
      </c>
      <c r="E6982">
        <v>0.45071359999999999</v>
      </c>
      <c r="F6982" t="s">
        <v>77</v>
      </c>
      <c r="G6982">
        <v>-195.13079999999999</v>
      </c>
      <c r="H6982" s="1">
        <v>-9.2912959999999993E-6</v>
      </c>
      <c r="I6982">
        <v>-53.198599999999999</v>
      </c>
      <c r="J6982">
        <v>-213.8552</v>
      </c>
      <c r="K6982">
        <v>1.1132660000000001</v>
      </c>
      <c r="L6982">
        <v>-62.1143199999999</v>
      </c>
      <c r="M6982">
        <v>0.98783520000000002</v>
      </c>
      <c r="N6982">
        <v>-1.40219E-2</v>
      </c>
      <c r="O6982">
        <v>0.154870799999999</v>
      </c>
      <c r="P6982">
        <v>0.931033</v>
      </c>
      <c r="Q6982">
        <v>0.18490110000000001</v>
      </c>
      <c r="R6982">
        <v>0.31462570000000001</v>
      </c>
      <c r="S6982">
        <v>2.8061829999999999</v>
      </c>
      <c r="T6982">
        <v>-0.16576189999999999</v>
      </c>
      <c r="U6982">
        <v>1.330627</v>
      </c>
      <c r="V6982">
        <v>-0.16787279999999999</v>
      </c>
      <c r="W6982">
        <v>0.19740940000000001</v>
      </c>
      <c r="X6982">
        <v>0.9658407</v>
      </c>
      <c r="Y6982">
        <v>-0.28294550000000002</v>
      </c>
      <c r="Z6982">
        <v>3.5229720000000001E-3</v>
      </c>
      <c r="AA6982">
        <v>0.95912949999999997</v>
      </c>
      <c r="AB6982">
        <v>25</v>
      </c>
      <c r="AC6982">
        <v>18.724399999999999</v>
      </c>
      <c r="AD6982">
        <v>-1.113275291296</v>
      </c>
      <c r="AE6982">
        <v>8.9157199999999897</v>
      </c>
      <c r="AF6982">
        <v>-5.8910043172759101</v>
      </c>
      <c r="AG6982">
        <v>-1.113275291296</v>
      </c>
      <c r="AH6982">
        <v>19.8222399408154</v>
      </c>
      <c r="AI6982">
        <v>93.081587823638799</v>
      </c>
      <c r="AJ6982">
        <v>106.55150996049601</v>
      </c>
      <c r="AK6982">
        <v>20.7090441597779</v>
      </c>
      <c r="AL6982">
        <v>78.614491509404601</v>
      </c>
      <c r="AM6982">
        <v>99.860077822625499</v>
      </c>
      <c r="AN6982">
        <v>1.0000000029823399</v>
      </c>
    </row>
    <row r="6983" spans="1:40" x14ac:dyDescent="0.25">
      <c r="A6983" t="str">
        <f>"20190304155238977"</f>
        <v>20190304155238977</v>
      </c>
      <c r="B6983" t="str">
        <f>"1551685958973587"</f>
        <v>1551685958973587</v>
      </c>
      <c r="C6983" t="s">
        <v>40</v>
      </c>
      <c r="D6983">
        <v>4.7884859999999998</v>
      </c>
      <c r="E6983">
        <v>0.45057639999999999</v>
      </c>
      <c r="F6983" t="s">
        <v>77</v>
      </c>
      <c r="G6983">
        <v>-194.95060000000001</v>
      </c>
      <c r="H6983" s="1">
        <v>-9.3091539999999997E-6</v>
      </c>
      <c r="I6983">
        <v>-53.099960000000003</v>
      </c>
      <c r="J6983">
        <v>-213.7313</v>
      </c>
      <c r="K6983">
        <v>1.1132770000000001</v>
      </c>
      <c r="L6983">
        <v>-62.092770000000002</v>
      </c>
      <c r="M6983">
        <v>0.98753880000000005</v>
      </c>
      <c r="N6983">
        <v>-1.402136E-2</v>
      </c>
      <c r="O6983">
        <v>0.15675069999999999</v>
      </c>
      <c r="P6983">
        <v>0.93059910000000001</v>
      </c>
      <c r="Q6983">
        <v>0.18460109999999999</v>
      </c>
      <c r="R6983">
        <v>0.31608209999999998</v>
      </c>
      <c r="S6983">
        <v>2.8032840000000001</v>
      </c>
      <c r="T6983">
        <v>-0.1650828</v>
      </c>
      <c r="U6983">
        <v>1.3367</v>
      </c>
      <c r="V6983">
        <v>-0.1675391</v>
      </c>
      <c r="W6983">
        <v>0.1971079</v>
      </c>
      <c r="X6983">
        <v>0.96596020000000005</v>
      </c>
      <c r="Y6983">
        <v>-0.2832017</v>
      </c>
      <c r="Z6983">
        <v>3.4581220000000001E-3</v>
      </c>
      <c r="AA6983">
        <v>0.95905419999999997</v>
      </c>
      <c r="AB6983">
        <v>25</v>
      </c>
      <c r="AC6983">
        <v>18.7807</v>
      </c>
      <c r="AD6983">
        <v>-1.113286309154</v>
      </c>
      <c r="AE6983">
        <v>8.9928099999999898</v>
      </c>
      <c r="AF6983">
        <v>-5.9205199777485102</v>
      </c>
      <c r="AG6983">
        <v>-1.113286309154</v>
      </c>
      <c r="AH6983">
        <v>19.901370373804799</v>
      </c>
      <c r="AI6983">
        <v>93.069136566451405</v>
      </c>
      <c r="AJ6983">
        <v>106.56737741763099</v>
      </c>
      <c r="AK6983">
        <v>20.793184122890501</v>
      </c>
      <c r="AL6983">
        <v>78.632112275034004</v>
      </c>
      <c r="AM6983">
        <v>99.8396677574883</v>
      </c>
      <c r="AN6983">
        <v>0.99999999112762905</v>
      </c>
    </row>
    <row r="6984" spans="1:40" x14ac:dyDescent="0.25">
      <c r="A6984" t="str">
        <f>"20190304155238989"</f>
        <v>20190304155238989</v>
      </c>
      <c r="B6984" t="str">
        <f>"1551685958984324"</f>
        <v>1551685958984324</v>
      </c>
      <c r="C6984" t="s">
        <v>40</v>
      </c>
      <c r="D6984">
        <v>4.6336919999999999</v>
      </c>
      <c r="E6984">
        <v>0.450658</v>
      </c>
      <c r="F6984" t="s">
        <v>77</v>
      </c>
      <c r="G6984">
        <v>-195.3519</v>
      </c>
      <c r="H6984" s="1">
        <v>-9.2805209999999994E-6</v>
      </c>
      <c r="I6984">
        <v>-53.288989999999998</v>
      </c>
      <c r="J6984">
        <v>-213.601</v>
      </c>
      <c r="K6984">
        <v>1.113289</v>
      </c>
      <c r="L6984">
        <v>-62.070010000000003</v>
      </c>
      <c r="M6984">
        <v>0.98722209999999999</v>
      </c>
      <c r="N6984">
        <v>-1.40208E-2</v>
      </c>
      <c r="O6984">
        <v>0.15873300000000001</v>
      </c>
      <c r="P6984">
        <v>0.92995269999999997</v>
      </c>
      <c r="Q6984">
        <v>0.18463640000000001</v>
      </c>
      <c r="R6984">
        <v>0.31795869999999998</v>
      </c>
      <c r="S6984">
        <v>2.8016049999999999</v>
      </c>
      <c r="T6984">
        <v>-0.16970070000000001</v>
      </c>
      <c r="U6984">
        <v>1.34198</v>
      </c>
      <c r="V6984">
        <v>-0.16755610000000001</v>
      </c>
      <c r="W6984">
        <v>0.19713729999999999</v>
      </c>
      <c r="X6984">
        <v>0.96595129999999996</v>
      </c>
      <c r="Y6984">
        <v>-0.28295690000000001</v>
      </c>
      <c r="Z6984">
        <v>3.3450099999999998E-3</v>
      </c>
      <c r="AA6984">
        <v>0.95912679999999995</v>
      </c>
      <c r="AB6984">
        <v>25</v>
      </c>
      <c r="AC6984">
        <v>18.249099999999999</v>
      </c>
      <c r="AD6984">
        <v>-1.1132982805210001</v>
      </c>
      <c r="AE6984">
        <v>8.7810199999999892</v>
      </c>
      <c r="AF6984">
        <v>-5.7552569835245704</v>
      </c>
      <c r="AG6984">
        <v>-1.1132982805210001</v>
      </c>
      <c r="AH6984">
        <v>19.3531730110316</v>
      </c>
      <c r="AI6984">
        <v>93.156030242909097</v>
      </c>
      <c r="AJ6984">
        <v>106.561453257718</v>
      </c>
      <c r="AK6984">
        <v>20.2214668509171</v>
      </c>
      <c r="AL6984">
        <v>78.630394603980093</v>
      </c>
      <c r="AM6984">
        <v>99.840735555367402</v>
      </c>
      <c r="AN6984">
        <v>1.0000000378350899</v>
      </c>
    </row>
    <row r="6985" spans="1:40" x14ac:dyDescent="0.25">
      <c r="A6985" t="str">
        <f>"20190304155238998"</f>
        <v>20190304155238998</v>
      </c>
      <c r="B6985" t="str">
        <f>"1551685958994083"</f>
        <v>1551685958994083</v>
      </c>
      <c r="C6985" t="s">
        <v>40</v>
      </c>
      <c r="D6985">
        <v>4.7594250000000002</v>
      </c>
      <c r="E6985">
        <v>0.45051409999999997</v>
      </c>
      <c r="F6985" t="s">
        <v>77</v>
      </c>
      <c r="G6985">
        <v>-195.65710000000001</v>
      </c>
      <c r="H6985" s="1">
        <v>-9.2572580000000004E-6</v>
      </c>
      <c r="I6985">
        <v>-53.436810000000001</v>
      </c>
      <c r="J6985">
        <v>-213.4804</v>
      </c>
      <c r="K6985">
        <v>1.113305</v>
      </c>
      <c r="L6985">
        <v>-62.048490000000001</v>
      </c>
      <c r="M6985">
        <v>0.98692190000000002</v>
      </c>
      <c r="N6985">
        <v>-1.402047E-2</v>
      </c>
      <c r="O6985">
        <v>0.1605888</v>
      </c>
      <c r="P6985">
        <v>0.9294057</v>
      </c>
      <c r="Q6985">
        <v>0.1846062</v>
      </c>
      <c r="R6985">
        <v>0.3195711</v>
      </c>
      <c r="S6985">
        <v>2.7998660000000002</v>
      </c>
      <c r="T6985">
        <v>-0.17371300000000001</v>
      </c>
      <c r="U6985">
        <v>1.3470759999999999</v>
      </c>
      <c r="V6985">
        <v>-0.1674205</v>
      </c>
      <c r="W6985">
        <v>0.19710230000000001</v>
      </c>
      <c r="X6985">
        <v>0.96598189999999995</v>
      </c>
      <c r="Y6985">
        <v>-0.2827925</v>
      </c>
      <c r="Z6985">
        <v>3.2375720000000002E-3</v>
      </c>
      <c r="AA6985">
        <v>0.95917560000000002</v>
      </c>
      <c r="AB6985">
        <v>25</v>
      </c>
      <c r="AC6985">
        <v>17.8232999999999</v>
      </c>
      <c r="AD6985">
        <v>-1.1133142572579999</v>
      </c>
      <c r="AE6985">
        <v>8.6116799999999998</v>
      </c>
      <c r="AF6985">
        <v>-5.6196104863969696</v>
      </c>
      <c r="AG6985">
        <v>-1.1133142572579999</v>
      </c>
      <c r="AH6985">
        <v>18.915174039420499</v>
      </c>
      <c r="AI6985">
        <v>93.229255456419196</v>
      </c>
      <c r="AJ6985">
        <v>106.546440351421</v>
      </c>
      <c r="AK6985">
        <v>19.763686386800501</v>
      </c>
      <c r="AL6985">
        <v>78.632439490504893</v>
      </c>
      <c r="AM6985">
        <v>99.832621742727497</v>
      </c>
      <c r="AN6985">
        <v>0.99999998580657401</v>
      </c>
    </row>
    <row r="6986" spans="1:40" x14ac:dyDescent="0.25">
      <c r="A6986" t="str">
        <f>"20190304155239011"</f>
        <v>20190304155239011</v>
      </c>
      <c r="B6986" t="str">
        <f>"1551685959003843"</f>
        <v>1551685959003843</v>
      </c>
      <c r="C6986" t="s">
        <v>40</v>
      </c>
      <c r="D6986">
        <v>4.7342079999999997</v>
      </c>
      <c r="E6986">
        <v>0.45038610000000001</v>
      </c>
      <c r="F6986" t="s">
        <v>77</v>
      </c>
      <c r="G6986">
        <v>-195.46170000000001</v>
      </c>
      <c r="H6986" s="1">
        <v>-9.2756960000000007E-6</v>
      </c>
      <c r="I6986">
        <v>-53.332430000000002</v>
      </c>
      <c r="J6986">
        <v>-213.352</v>
      </c>
      <c r="K6986">
        <v>1.1133219999999999</v>
      </c>
      <c r="L6986">
        <v>-62.025449999999999</v>
      </c>
      <c r="M6986">
        <v>0.98659680000000005</v>
      </c>
      <c r="N6986">
        <v>-1.402015E-2</v>
      </c>
      <c r="O6986">
        <v>0.162574</v>
      </c>
      <c r="P6986">
        <v>0.92871130000000002</v>
      </c>
      <c r="Q6986">
        <v>0.18470829999999999</v>
      </c>
      <c r="R6986">
        <v>0.32152509999999901</v>
      </c>
      <c r="S6986">
        <v>2.7969819999999999</v>
      </c>
      <c r="T6986">
        <v>-0.17281629999999901</v>
      </c>
      <c r="U6986">
        <v>1.3529659999999999</v>
      </c>
      <c r="V6986">
        <v>-0.16751949999999999</v>
      </c>
      <c r="W6986">
        <v>0.1971967</v>
      </c>
      <c r="X6986">
        <v>0.96594550000000001</v>
      </c>
      <c r="Y6986">
        <v>-0.28289209999999998</v>
      </c>
      <c r="Z6986">
        <v>3.1605270000000002E-3</v>
      </c>
      <c r="AA6986">
        <v>0.95914650000000001</v>
      </c>
      <c r="AB6986">
        <v>25</v>
      </c>
      <c r="AC6986">
        <v>17.8902999999999</v>
      </c>
      <c r="AD6986">
        <v>-1.1133312756960001</v>
      </c>
      <c r="AE6986">
        <v>8.69301999999999</v>
      </c>
      <c r="AF6986">
        <v>-5.6508608500113402</v>
      </c>
      <c r="AG6986">
        <v>-1.1133312756960001</v>
      </c>
      <c r="AH6986">
        <v>19.006098784015901</v>
      </c>
      <c r="AI6986">
        <v>93.213693015741697</v>
      </c>
      <c r="AJ6986">
        <v>106.558176652185</v>
      </c>
      <c r="AK6986">
        <v>19.859595309658399</v>
      </c>
      <c r="AL6986">
        <v>78.626922827473194</v>
      </c>
      <c r="AM6986">
        <v>99.838685933745694</v>
      </c>
      <c r="AN6986">
        <v>1.00000001517069</v>
      </c>
    </row>
    <row r="6987" spans="1:40" x14ac:dyDescent="0.25">
      <c r="A6987" t="str">
        <f>"20190304155239023"</f>
        <v>20190304155239023</v>
      </c>
      <c r="B6987" t="str">
        <f>"1551685959013603"</f>
        <v>1551685959013603</v>
      </c>
      <c r="C6987" t="s">
        <v>40</v>
      </c>
      <c r="D6987">
        <v>4.7131509999999999</v>
      </c>
      <c r="E6987">
        <v>0.45027729999999999</v>
      </c>
      <c r="F6987" t="s">
        <v>77</v>
      </c>
      <c r="G6987">
        <v>-195.21260000000001</v>
      </c>
      <c r="H6987" s="1">
        <v>-9.3004009999999993E-6</v>
      </c>
      <c r="I6987">
        <v>-53.196019999999997</v>
      </c>
      <c r="J6987">
        <v>-213.2124</v>
      </c>
      <c r="K6987">
        <v>1.1133409999999999</v>
      </c>
      <c r="L6987">
        <v>-62.000059999999998</v>
      </c>
      <c r="M6987">
        <v>0.98623570000000005</v>
      </c>
      <c r="N6987">
        <v>-1.401999E-2</v>
      </c>
      <c r="O6987">
        <v>0.1647506</v>
      </c>
      <c r="P6987">
        <v>0.92795399999999995</v>
      </c>
      <c r="Q6987">
        <v>0.1846961</v>
      </c>
      <c r="R6987">
        <v>0.32371100000000003</v>
      </c>
      <c r="S6987">
        <v>2.7936100000000001</v>
      </c>
      <c r="T6987">
        <v>-0.1714619</v>
      </c>
      <c r="U6987">
        <v>1.359802</v>
      </c>
      <c r="V6987">
        <v>-0.1676713</v>
      </c>
      <c r="W6987">
        <v>0.1971765</v>
      </c>
      <c r="X6987">
        <v>0.96592319999999998</v>
      </c>
      <c r="Y6987">
        <v>-0.28313490000000002</v>
      </c>
      <c r="Z6987">
        <v>3.0848730000000001E-3</v>
      </c>
      <c r="AA6987">
        <v>0.95907520000000002</v>
      </c>
      <c r="AB6987">
        <v>25</v>
      </c>
      <c r="AC6987">
        <v>17.999799999999901</v>
      </c>
      <c r="AD6987">
        <v>-1.1133503004009999</v>
      </c>
      <c r="AE6987">
        <v>8.8040399999999899</v>
      </c>
      <c r="AF6987">
        <v>-5.7003437155629397</v>
      </c>
      <c r="AG6987">
        <v>-1.1133503004009999</v>
      </c>
      <c r="AH6987">
        <v>19.1452954397176</v>
      </c>
      <c r="AI6987">
        <v>93.190062541847794</v>
      </c>
      <c r="AJ6987">
        <v>106.580438178344</v>
      </c>
      <c r="AK6987">
        <v>20.006893932868099</v>
      </c>
      <c r="AL6987">
        <v>78.628102430252895</v>
      </c>
      <c r="AM6987">
        <v>99.847649822462301</v>
      </c>
      <c r="AN6987">
        <v>0.99999993264708698</v>
      </c>
    </row>
    <row r="6988" spans="1:40" x14ac:dyDescent="0.25">
      <c r="A6988" t="str">
        <f>"20190304155239035"</f>
        <v>20190304155239035</v>
      </c>
      <c r="B6988" t="str">
        <f>"1551685959024340"</f>
        <v>1551685959024340</v>
      </c>
      <c r="C6988" t="s">
        <v>40</v>
      </c>
      <c r="D6988">
        <v>4.7787249999999997</v>
      </c>
      <c r="E6988">
        <v>0.45012479999999999</v>
      </c>
      <c r="F6988" t="s">
        <v>77</v>
      </c>
      <c r="G6988">
        <v>-194.99780000000001</v>
      </c>
      <c r="H6988" s="1">
        <v>-9.3228350000000007E-6</v>
      </c>
      <c r="I6988">
        <v>-53.075310000000002</v>
      </c>
      <c r="J6988">
        <v>-213.08969999999999</v>
      </c>
      <c r="K6988">
        <v>1.113353</v>
      </c>
      <c r="L6988">
        <v>-61.977449999999997</v>
      </c>
      <c r="M6988">
        <v>0.98591150000000005</v>
      </c>
      <c r="N6988">
        <v>-1.4019899999999899E-2</v>
      </c>
      <c r="O6988">
        <v>0.16667979999999999</v>
      </c>
      <c r="P6988">
        <v>0.92719200000000002</v>
      </c>
      <c r="Q6988">
        <v>0.18485670000000001</v>
      </c>
      <c r="R6988">
        <v>0.32579629999999998</v>
      </c>
      <c r="S6988">
        <v>2.7899929999999999</v>
      </c>
      <c r="T6988">
        <v>-0.17053579999999999</v>
      </c>
      <c r="U6988">
        <v>1.367035</v>
      </c>
      <c r="V6988">
        <v>-0.1679678</v>
      </c>
      <c r="W6988">
        <v>0.19732710000000001</v>
      </c>
      <c r="X6988">
        <v>0.96584099999999995</v>
      </c>
      <c r="Y6988">
        <v>-0.28375810000000001</v>
      </c>
      <c r="Z6988">
        <v>3.0319380000000001E-3</v>
      </c>
      <c r="AA6988">
        <v>0.9588911</v>
      </c>
      <c r="AB6988">
        <v>25</v>
      </c>
      <c r="AC6988">
        <v>18.0918999999999</v>
      </c>
      <c r="AD6988">
        <v>-1.113362322835</v>
      </c>
      <c r="AE6988">
        <v>8.9021399999999993</v>
      </c>
      <c r="AF6988">
        <v>-5.74422008734025</v>
      </c>
      <c r="AG6988">
        <v>-1.113362322835</v>
      </c>
      <c r="AH6988">
        <v>19.263982417003799</v>
      </c>
      <c r="AI6988">
        <v>93.170098927756101</v>
      </c>
      <c r="AJ6988">
        <v>106.603762575971</v>
      </c>
      <c r="AK6988">
        <v>20.132974411058601</v>
      </c>
      <c r="AL6988">
        <v>78.619301554554497</v>
      </c>
      <c r="AM6988">
        <v>99.865545076334101</v>
      </c>
      <c r="AN6988">
        <v>1.0000000017561199</v>
      </c>
    </row>
    <row r="6989" spans="1:40" x14ac:dyDescent="0.25">
      <c r="A6989" t="str">
        <f>"20190304155239045"</f>
        <v>20190304155239045</v>
      </c>
      <c r="B6989" t="str">
        <f>"1551685959034099"</f>
        <v>1551685959034099</v>
      </c>
      <c r="C6989" t="s">
        <v>40</v>
      </c>
      <c r="D6989">
        <v>4.7394339999999904</v>
      </c>
      <c r="E6989">
        <v>0.45001829999999998</v>
      </c>
      <c r="F6989" t="s">
        <v>77</v>
      </c>
      <c r="G6989">
        <v>-194.77629999999999</v>
      </c>
      <c r="H6989" s="1">
        <v>-9.3484789999999996E-6</v>
      </c>
      <c r="I6989">
        <v>-52.943910000000002</v>
      </c>
      <c r="J6989">
        <v>-212.96010000000001</v>
      </c>
      <c r="K6989">
        <v>1.11337</v>
      </c>
      <c r="L6989">
        <v>-61.953339999999997</v>
      </c>
      <c r="M6989">
        <v>0.98556270000000001</v>
      </c>
      <c r="N6989">
        <v>-1.4019790000000001E-2</v>
      </c>
      <c r="O6989">
        <v>0.1687285</v>
      </c>
      <c r="P6989">
        <v>0.92641479999999998</v>
      </c>
      <c r="Q6989">
        <v>0.18482580000000001</v>
      </c>
      <c r="R6989">
        <v>0.32801649999999999</v>
      </c>
      <c r="S6989">
        <v>2.7863920000000002</v>
      </c>
      <c r="T6989">
        <v>-0.16939779999999999</v>
      </c>
      <c r="U6989">
        <v>1.3744510000000001</v>
      </c>
      <c r="V6989">
        <v>-0.16828189999999901</v>
      </c>
      <c r="W6989">
        <v>0.1972864</v>
      </c>
      <c r="X6989">
        <v>0.96579459999999995</v>
      </c>
      <c r="Y6989">
        <v>-0.28431390000000001</v>
      </c>
      <c r="Z6989">
        <v>2.9742480000000001E-3</v>
      </c>
      <c r="AA6989">
        <v>0.95872659999999998</v>
      </c>
      <c r="AB6989">
        <v>25</v>
      </c>
      <c r="AC6989">
        <v>18.183800000000002</v>
      </c>
      <c r="AD6989">
        <v>-1.113379348479</v>
      </c>
      <c r="AE6989">
        <v>9.00943</v>
      </c>
      <c r="AF6989">
        <v>-5.7943634210796704</v>
      </c>
      <c r="AG6989">
        <v>-1.113379348479</v>
      </c>
      <c r="AH6989">
        <v>19.3849860980812</v>
      </c>
      <c r="AI6989">
        <v>93.149773693819697</v>
      </c>
      <c r="AJ6989">
        <v>106.64192375449301</v>
      </c>
      <c r="AK6989">
        <v>20.263068549752401</v>
      </c>
      <c r="AL6989">
        <v>78.621679834992904</v>
      </c>
      <c r="AM6989">
        <v>99.884095655231306</v>
      </c>
      <c r="AN6989">
        <v>0.999999965440864</v>
      </c>
    </row>
    <row r="6990" spans="1:40" x14ac:dyDescent="0.25">
      <c r="A6990" t="str">
        <f>"20190304155239058"</f>
        <v>20190304155239058</v>
      </c>
      <c r="B6990" t="str">
        <f>"1551685959053619"</f>
        <v>1551685959053619</v>
      </c>
      <c r="C6990" t="s">
        <v>40</v>
      </c>
      <c r="D6990">
        <v>4.5453530000000004</v>
      </c>
      <c r="E6990">
        <v>0.4501829</v>
      </c>
      <c r="F6990" t="s">
        <v>77</v>
      </c>
      <c r="G6990">
        <v>-194.5557</v>
      </c>
      <c r="H6990" s="1">
        <v>-9.3731720000000004E-6</v>
      </c>
      <c r="I6990">
        <v>-52.815399999999997</v>
      </c>
      <c r="J6990">
        <v>-212.8364</v>
      </c>
      <c r="K6990">
        <v>1.1133869999999999</v>
      </c>
      <c r="L6990">
        <v>-61.929900000000004</v>
      </c>
      <c r="M6990">
        <v>0.98522129999999997</v>
      </c>
      <c r="N6990">
        <v>-1.4019820000000001E-2</v>
      </c>
      <c r="O6990">
        <v>0.17071149999999999</v>
      </c>
      <c r="P6990">
        <v>0.92562679999999997</v>
      </c>
      <c r="Q6990">
        <v>0.1848486</v>
      </c>
      <c r="R6990">
        <v>0.3302213</v>
      </c>
      <c r="S6990">
        <v>2.7826840000000002</v>
      </c>
      <c r="T6990">
        <v>-0.16833879999999901</v>
      </c>
      <c r="U6990">
        <v>1.3816219999999999</v>
      </c>
      <c r="V6990">
        <v>-0.16864849999999901</v>
      </c>
      <c r="W6990">
        <v>0.19729849999999999</v>
      </c>
      <c r="X6990">
        <v>0.96572820000000004</v>
      </c>
      <c r="Y6990">
        <v>-0.28487960000000001</v>
      </c>
      <c r="Z6990">
        <v>2.9201869999999999E-3</v>
      </c>
      <c r="AA6990">
        <v>0.95855889999999999</v>
      </c>
      <c r="AB6990">
        <v>25</v>
      </c>
      <c r="AC6990">
        <v>18.2807</v>
      </c>
      <c r="AD6990">
        <v>-1.113396373172</v>
      </c>
      <c r="AE6990">
        <v>9.1144999999999996</v>
      </c>
      <c r="AF6990">
        <v>-5.8422926372632897</v>
      </c>
      <c r="AG6990">
        <v>-1.113396373172</v>
      </c>
      <c r="AH6990">
        <v>19.510443914023899</v>
      </c>
      <c r="AI6990">
        <v>93.129149475766795</v>
      </c>
      <c r="AJ6990">
        <v>106.670033251842</v>
      </c>
      <c r="AK6990">
        <v>20.396800152609298</v>
      </c>
      <c r="AL6990">
        <v>78.620972887107101</v>
      </c>
      <c r="AM6990">
        <v>99.905869570713904</v>
      </c>
      <c r="AN6990">
        <v>0.99999998546486901</v>
      </c>
    </row>
    <row r="6991" spans="1:40" x14ac:dyDescent="0.25">
      <c r="A6991" t="str">
        <f>"20190304155239070"</f>
        <v>20190304155239070</v>
      </c>
      <c r="B6991" t="str">
        <f>"1551685959064355"</f>
        <v>1551685959064355</v>
      </c>
      <c r="C6991" t="s">
        <v>40</v>
      </c>
      <c r="D6991">
        <v>4.5635500000000002</v>
      </c>
      <c r="E6991">
        <v>0.45021159999999999</v>
      </c>
      <c r="F6991" t="s">
        <v>77</v>
      </c>
      <c r="G6991">
        <v>-194.81039999999999</v>
      </c>
      <c r="H6991" s="1">
        <v>-9.3540900000000001E-6</v>
      </c>
      <c r="I6991">
        <v>-52.937860000000001</v>
      </c>
      <c r="J6991">
        <v>-212.697</v>
      </c>
      <c r="K6991">
        <v>1.1134090000000001</v>
      </c>
      <c r="L6991">
        <v>-61.903320000000001</v>
      </c>
      <c r="M6991">
        <v>0.98482990000000004</v>
      </c>
      <c r="N6991">
        <v>-1.401987E-2</v>
      </c>
      <c r="O6991">
        <v>0.17295559999999999</v>
      </c>
      <c r="P6991">
        <v>0.92470079999999999</v>
      </c>
      <c r="Q6991">
        <v>0.1849169</v>
      </c>
      <c r="R6991">
        <v>0.33276790000000001</v>
      </c>
      <c r="S6991">
        <v>2.7805179999999998</v>
      </c>
      <c r="T6991">
        <v>-0.17174159999999999</v>
      </c>
      <c r="U6991">
        <v>1.387024</v>
      </c>
      <c r="V6991">
        <v>-0.1691204</v>
      </c>
      <c r="W6991">
        <v>0.19735369999999999</v>
      </c>
      <c r="X6991">
        <v>0.9656344</v>
      </c>
      <c r="Y6991">
        <v>-0.28447719999999999</v>
      </c>
      <c r="Z6991">
        <v>2.7794289999999999E-3</v>
      </c>
      <c r="AA6991">
        <v>0.95867880000000005</v>
      </c>
      <c r="AB6991">
        <v>25</v>
      </c>
      <c r="AC6991">
        <v>17.886600000000001</v>
      </c>
      <c r="AD6991">
        <v>-1.11341835409</v>
      </c>
      <c r="AE6991">
        <v>8.9654599999999895</v>
      </c>
      <c r="AF6991">
        <v>-5.7187188437480696</v>
      </c>
      <c r="AG6991">
        <v>-1.11341835409</v>
      </c>
      <c r="AH6991">
        <v>19.108591173238299</v>
      </c>
      <c r="AI6991">
        <v>93.195031943566306</v>
      </c>
      <c r="AJ6991">
        <v>106.661113902262</v>
      </c>
      <c r="AK6991">
        <v>19.977029365524398</v>
      </c>
      <c r="AL6991">
        <v>78.617746820011106</v>
      </c>
      <c r="AM6991">
        <v>99.933981811996304</v>
      </c>
      <c r="AN6991">
        <v>0.99999999353160496</v>
      </c>
    </row>
    <row r="6992" spans="1:40" x14ac:dyDescent="0.25">
      <c r="A6992" t="str">
        <f>"20190304155239081"</f>
        <v>20190304155239081</v>
      </c>
      <c r="B6992" t="str">
        <f>"1551685959074115"</f>
        <v>1551685959074115</v>
      </c>
      <c r="C6992" t="s">
        <v>40</v>
      </c>
      <c r="D6992">
        <v>4.543323</v>
      </c>
      <c r="E6992">
        <v>0.45025080000000001</v>
      </c>
      <c r="F6992" t="s">
        <v>77</v>
      </c>
      <c r="G6992">
        <v>-194.9008</v>
      </c>
      <c r="H6992" s="1">
        <v>-9.352147E-6</v>
      </c>
      <c r="I6992">
        <v>-52.968049999999998</v>
      </c>
      <c r="J6992">
        <v>-212.56549999999999</v>
      </c>
      <c r="K6992">
        <v>1.113432</v>
      </c>
      <c r="L6992">
        <v>-61.877809999999997</v>
      </c>
      <c r="M6992">
        <v>0.98445050000000001</v>
      </c>
      <c r="N6992">
        <v>-1.402013E-2</v>
      </c>
      <c r="O6992">
        <v>0.1751017</v>
      </c>
      <c r="P6992">
        <v>0.92388250000000005</v>
      </c>
      <c r="Q6992">
        <v>0.18493899999999999</v>
      </c>
      <c r="R6992">
        <v>0.33502019999999999</v>
      </c>
      <c r="S6992">
        <v>2.7772220000000001</v>
      </c>
      <c r="T6992">
        <v>-0.17375639999999901</v>
      </c>
      <c r="U6992">
        <v>1.394409</v>
      </c>
      <c r="V6992">
        <v>-0.16938059999999999</v>
      </c>
      <c r="W6992">
        <v>0.1973654</v>
      </c>
      <c r="X6992">
        <v>0.96558639999999996</v>
      </c>
      <c r="Y6992">
        <v>-0.28487459999999998</v>
      </c>
      <c r="Z6992">
        <v>2.6812379999999999E-3</v>
      </c>
      <c r="AA6992">
        <v>0.95856110000000005</v>
      </c>
      <c r="AB6992">
        <v>25</v>
      </c>
      <c r="AC6992">
        <v>17.6646999999999</v>
      </c>
      <c r="AD6992">
        <v>-1.1134413521469999</v>
      </c>
      <c r="AE6992">
        <v>8.9097599999999897</v>
      </c>
      <c r="AF6992">
        <v>-5.6607278720387404</v>
      </c>
      <c r="AG6992">
        <v>-1.1134413521469999</v>
      </c>
      <c r="AH6992">
        <v>18.8921633585386</v>
      </c>
      <c r="AI6992">
        <v>93.231305520402998</v>
      </c>
      <c r="AJ6992">
        <v>106.67998515247901</v>
      </c>
      <c r="AK6992">
        <v>19.753415604691099</v>
      </c>
      <c r="AL6992">
        <v>78.617062995653399</v>
      </c>
      <c r="AM6992">
        <v>99.949445267762002</v>
      </c>
      <c r="AN6992">
        <v>0.99999999231923997</v>
      </c>
    </row>
    <row r="6993" spans="1:40" x14ac:dyDescent="0.25">
      <c r="A6993" t="str">
        <f>"20190304155239091"</f>
        <v>20190304155239091</v>
      </c>
      <c r="B6993" t="str">
        <f>"1551685959083875"</f>
        <v>1551685959083875</v>
      </c>
      <c r="C6993" t="s">
        <v>40</v>
      </c>
      <c r="D6993">
        <v>4.6234400000000004</v>
      </c>
      <c r="E6993">
        <v>0.45016250000000002</v>
      </c>
      <c r="F6993" t="s">
        <v>77</v>
      </c>
      <c r="G6993">
        <v>-195.0342</v>
      </c>
      <c r="H6993" s="1">
        <v>-9.3440090000000003E-6</v>
      </c>
      <c r="I6993">
        <v>-53.027079999999998</v>
      </c>
      <c r="J6993">
        <v>-212.46270000000001</v>
      </c>
      <c r="K6993">
        <v>1.1134500000000001</v>
      </c>
      <c r="L6993">
        <v>-61.857729999999997</v>
      </c>
      <c r="M6993">
        <v>0.98414889999999999</v>
      </c>
      <c r="N6993">
        <v>-1.4020400000000001E-2</v>
      </c>
      <c r="O6993">
        <v>0.17678949999999999</v>
      </c>
      <c r="P6993">
        <v>0.92309030000000003</v>
      </c>
      <c r="Q6993">
        <v>0.1852724</v>
      </c>
      <c r="R6993">
        <v>0.33701429999999999</v>
      </c>
      <c r="S6993">
        <v>2.774521</v>
      </c>
      <c r="T6993">
        <v>-0.1762146</v>
      </c>
      <c r="U6993">
        <v>1.4007259999999999</v>
      </c>
      <c r="V6993">
        <v>-0.16983299999999901</v>
      </c>
      <c r="W6993">
        <v>0.197687</v>
      </c>
      <c r="X6993">
        <v>0.96544110000000005</v>
      </c>
      <c r="Y6993">
        <v>-0.28533829999999999</v>
      </c>
      <c r="Z6993">
        <v>2.598515E-3</v>
      </c>
      <c r="AA6993">
        <v>0.95842329999999998</v>
      </c>
      <c r="AB6993">
        <v>25</v>
      </c>
      <c r="AC6993">
        <v>17.4285</v>
      </c>
      <c r="AD6993">
        <v>-1.1134593440089999</v>
      </c>
      <c r="AE6993">
        <v>8.8306499999999897</v>
      </c>
      <c r="AF6993">
        <v>-5.5918883352497799</v>
      </c>
      <c r="AG6993">
        <v>-1.1134593440089999</v>
      </c>
      <c r="AH6993">
        <v>18.654656812123498</v>
      </c>
      <c r="AI6993">
        <v>93.272297698958397</v>
      </c>
      <c r="AJ6993">
        <v>106.686538788384</v>
      </c>
      <c r="AK6993">
        <v>19.5065432007511</v>
      </c>
      <c r="AL6993">
        <v>78.5982659336605</v>
      </c>
      <c r="AM6993">
        <v>99.976957396247798</v>
      </c>
      <c r="AN6993">
        <v>0.99999995771360395</v>
      </c>
    </row>
    <row r="6994" spans="1:40" x14ac:dyDescent="0.25">
      <c r="A6994" t="str">
        <f>"20190304155239102"</f>
        <v>20190304155239102</v>
      </c>
      <c r="B6994" t="str">
        <f>"1551685959093635"</f>
        <v>1551685959093635</v>
      </c>
      <c r="C6994" t="s">
        <v>40</v>
      </c>
      <c r="D6994">
        <v>4.6653890000000002</v>
      </c>
      <c r="E6994">
        <v>0.45009399999999999</v>
      </c>
      <c r="F6994" t="s">
        <v>77</v>
      </c>
      <c r="G6994">
        <v>-194.75899999999999</v>
      </c>
      <c r="H6994" s="1">
        <v>-9.3750040000000001E-6</v>
      </c>
      <c r="I6994">
        <v>-52.866230000000002</v>
      </c>
      <c r="J6994">
        <v>-212.3466</v>
      </c>
      <c r="K6994">
        <v>1.1134710000000001</v>
      </c>
      <c r="L6994">
        <v>-61.83475</v>
      </c>
      <c r="M6994">
        <v>0.98380109999999998</v>
      </c>
      <c r="N6994">
        <v>-1.402083E-2</v>
      </c>
      <c r="O6994">
        <v>0.17871400000000001</v>
      </c>
      <c r="P6994">
        <v>0.92234059999999995</v>
      </c>
      <c r="Q6994">
        <v>0.1855628</v>
      </c>
      <c r="R6994">
        <v>0.33890209999999998</v>
      </c>
      <c r="S6994">
        <v>2.7711030000000001</v>
      </c>
      <c r="T6994">
        <v>-0.1742861</v>
      </c>
      <c r="U6994">
        <v>1.40741</v>
      </c>
      <c r="V6994">
        <v>-0.16994239999999999</v>
      </c>
      <c r="W6994">
        <v>0.1979679</v>
      </c>
      <c r="X6994">
        <v>0.96536429999999995</v>
      </c>
      <c r="Y6994">
        <v>-0.28578589999999998</v>
      </c>
      <c r="Z6994">
        <v>2.551326E-3</v>
      </c>
      <c r="AA6994">
        <v>0.95829010000000003</v>
      </c>
      <c r="AB6994">
        <v>25</v>
      </c>
      <c r="AC6994">
        <v>17.587599999999899</v>
      </c>
      <c r="AD6994">
        <v>-1.1134803750040001</v>
      </c>
      <c r="AE6994">
        <v>8.9685199999999892</v>
      </c>
      <c r="AF6994">
        <v>-5.6626351117252298</v>
      </c>
      <c r="AG6994">
        <v>-1.1134803750040001</v>
      </c>
      <c r="AH6994">
        <v>18.847405477125701</v>
      </c>
      <c r="AI6994">
        <v>93.238353006213899</v>
      </c>
      <c r="AJ6994">
        <v>106.72270630035</v>
      </c>
      <c r="AK6994">
        <v>19.7111635418422</v>
      </c>
      <c r="AL6994">
        <v>78.581847204762596</v>
      </c>
      <c r="AM6994">
        <v>99.984033168701899</v>
      </c>
      <c r="AN6994">
        <v>0.99999997023132903</v>
      </c>
    </row>
    <row r="6995" spans="1:40" x14ac:dyDescent="0.25">
      <c r="A6995" t="str">
        <f>"20190304155239111"</f>
        <v>20190304155239111</v>
      </c>
      <c r="B6995" t="str">
        <f>"1551685959103395"</f>
        <v>1551685959103395</v>
      </c>
      <c r="C6995" t="s">
        <v>40</v>
      </c>
      <c r="D6995">
        <v>4.66669</v>
      </c>
      <c r="E6995">
        <v>0.45003100000000001</v>
      </c>
      <c r="F6995" t="s">
        <v>77</v>
      </c>
      <c r="G6995">
        <v>-194.4778</v>
      </c>
      <c r="H6995" s="1">
        <v>-9.4038040000000006E-6</v>
      </c>
      <c r="I6995">
        <v>-52.709760000000003</v>
      </c>
      <c r="J6995">
        <v>-212.24529999999999</v>
      </c>
      <c r="K6995">
        <v>1.113491</v>
      </c>
      <c r="L6995">
        <v>-61.814509999999999</v>
      </c>
      <c r="M6995">
        <v>0.9834927</v>
      </c>
      <c r="N6995">
        <v>-1.4021230000000001E-2</v>
      </c>
      <c r="O6995">
        <v>0.18040419999999999</v>
      </c>
      <c r="P6995">
        <v>0.92165249999999999</v>
      </c>
      <c r="Q6995">
        <v>0.18595310000000001</v>
      </c>
      <c r="R6995">
        <v>0.34055560000000001</v>
      </c>
      <c r="S6995">
        <v>2.7679140000000002</v>
      </c>
      <c r="T6995">
        <v>-0.17248079999999999</v>
      </c>
      <c r="U6995">
        <v>1.413483</v>
      </c>
      <c r="V6995">
        <v>-0.17004040000000001</v>
      </c>
      <c r="W6995">
        <v>0.19834979999999999</v>
      </c>
      <c r="X6995">
        <v>0.96526869999999998</v>
      </c>
      <c r="Y6995">
        <v>-0.28626059999999998</v>
      </c>
      <c r="Z6995">
        <v>2.515874E-3</v>
      </c>
      <c r="AA6995">
        <v>0.95814849999999996</v>
      </c>
      <c r="AB6995">
        <v>25</v>
      </c>
      <c r="AC6995">
        <v>17.767499999999899</v>
      </c>
      <c r="AD6995">
        <v>-1.1135004038039999</v>
      </c>
      <c r="AE6995">
        <v>9.1047499999999992</v>
      </c>
      <c r="AF6995">
        <v>-5.73185792141226</v>
      </c>
      <c r="AG6995">
        <v>-1.1135004038039999</v>
      </c>
      <c r="AH6995">
        <v>19.059330795295899</v>
      </c>
      <c r="AI6995">
        <v>93.202221253782696</v>
      </c>
      <c r="AJ6995">
        <v>106.738009689668</v>
      </c>
      <c r="AK6995">
        <v>19.933694307504599</v>
      </c>
      <c r="AL6995">
        <v>78.559523860312794</v>
      </c>
      <c r="AM6995">
        <v>99.990644123854196</v>
      </c>
      <c r="AN6995">
        <v>1.00000002199594</v>
      </c>
    </row>
    <row r="6996" spans="1:40" x14ac:dyDescent="0.25">
      <c r="A6996" t="str">
        <f>"20190304155239121"</f>
        <v>20190304155239121</v>
      </c>
      <c r="B6996" t="str">
        <f>"1551685959114131"</f>
        <v>1551685959114131</v>
      </c>
      <c r="C6996" t="s">
        <v>40</v>
      </c>
      <c r="D6996">
        <v>4.6308720000000001</v>
      </c>
      <c r="E6996">
        <v>0.44997949999999998</v>
      </c>
      <c r="F6996" t="s">
        <v>77</v>
      </c>
      <c r="G6996">
        <v>-194.17619999999999</v>
      </c>
      <c r="H6996" s="1">
        <v>-9.4342750000000004E-6</v>
      </c>
      <c r="I6996">
        <v>-52.543089999999999</v>
      </c>
      <c r="J6996">
        <v>-212.1276</v>
      </c>
      <c r="K6996">
        <v>1.113515</v>
      </c>
      <c r="L6996">
        <v>-61.79074</v>
      </c>
      <c r="M6996">
        <v>0.98312699999999997</v>
      </c>
      <c r="N6996">
        <v>-1.4021769999999999E-2</v>
      </c>
      <c r="O6996">
        <v>0.18238570000000001</v>
      </c>
      <c r="P6996">
        <v>0.92073640000000001</v>
      </c>
      <c r="Q6996">
        <v>0.18638299999999999</v>
      </c>
      <c r="R6996">
        <v>0.34279150000000003</v>
      </c>
      <c r="S6996">
        <v>2.7651370000000002</v>
      </c>
      <c r="T6996">
        <v>-0.170401</v>
      </c>
      <c r="U6996">
        <v>1.4188229999999999</v>
      </c>
      <c r="V6996">
        <v>-0.17046800000000001</v>
      </c>
      <c r="W6996">
        <v>0.1987662</v>
      </c>
      <c r="X6996">
        <v>0.96510759999999995</v>
      </c>
      <c r="Y6996">
        <v>-0.28619420000000001</v>
      </c>
      <c r="Z6996">
        <v>2.4536010000000001E-3</v>
      </c>
      <c r="AA6996">
        <v>0.95816849999999998</v>
      </c>
      <c r="AB6996">
        <v>25</v>
      </c>
      <c r="AC6996">
        <v>17.9514</v>
      </c>
      <c r="AD6996">
        <v>-1.1135244342749999</v>
      </c>
      <c r="AE6996">
        <v>9.2476500000000001</v>
      </c>
      <c r="AF6996">
        <v>-5.8004703099272596</v>
      </c>
      <c r="AG6996">
        <v>-1.1135244342749999</v>
      </c>
      <c r="AH6996">
        <v>19.278426510052999</v>
      </c>
      <c r="AI6996">
        <v>93.165848187845498</v>
      </c>
      <c r="AJ6996">
        <v>106.745428415243</v>
      </c>
      <c r="AK6996">
        <v>20.1629145012717</v>
      </c>
      <c r="AL6996">
        <v>78.535181080669503</v>
      </c>
      <c r="AM6996">
        <v>100.016897472903</v>
      </c>
      <c r="AN6996">
        <v>1.0000000104320901</v>
      </c>
    </row>
    <row r="6997" spans="1:40" x14ac:dyDescent="0.25">
      <c r="A6997" t="str">
        <f>"20190304155239133"</f>
        <v>20190304155239133</v>
      </c>
      <c r="B6997" t="str">
        <f>"1551685959123891"</f>
        <v>1551685959123891</v>
      </c>
      <c r="C6997" t="s">
        <v>40</v>
      </c>
      <c r="D6997">
        <v>4.6327889999999998</v>
      </c>
      <c r="E6997">
        <v>0.44993630000000001</v>
      </c>
      <c r="F6997" t="s">
        <v>77</v>
      </c>
      <c r="G6997">
        <v>-193.85130000000001</v>
      </c>
      <c r="H6997" s="1">
        <v>-9.4714009999999999E-6</v>
      </c>
      <c r="I6997">
        <v>-52.351709999999997</v>
      </c>
      <c r="J6997">
        <v>-212.00120000000001</v>
      </c>
      <c r="K6997">
        <v>1.1135409999999999</v>
      </c>
      <c r="L6997">
        <v>-61.764919999999996</v>
      </c>
      <c r="M6997">
        <v>0.98272610000000005</v>
      </c>
      <c r="N6997">
        <v>-1.4022400000000001E-2</v>
      </c>
      <c r="O6997">
        <v>0.1845338</v>
      </c>
      <c r="P6997">
        <v>0.91973240000000001</v>
      </c>
      <c r="Q6997">
        <v>0.18686240000000001</v>
      </c>
      <c r="R6997">
        <v>0.34521679999999999</v>
      </c>
      <c r="S6997">
        <v>2.761368</v>
      </c>
      <c r="T6997">
        <v>-0.168242899999999</v>
      </c>
      <c r="U6997">
        <v>1.4261469999999901</v>
      </c>
      <c r="V6997">
        <v>-0.17093620000000001</v>
      </c>
      <c r="W6997">
        <v>0.19923070000000001</v>
      </c>
      <c r="X6997">
        <v>0.96492900000000004</v>
      </c>
      <c r="Y6997">
        <v>-0.2866475</v>
      </c>
      <c r="Z6997">
        <v>2.4066999999999899E-3</v>
      </c>
      <c r="AA6997">
        <v>0.95803309999999997</v>
      </c>
      <c r="AB6997">
        <v>25</v>
      </c>
      <c r="AC6997">
        <v>18.149899999999999</v>
      </c>
      <c r="AD6997">
        <v>-1.1135504714009901</v>
      </c>
      <c r="AE6997">
        <v>9.4132099999999994</v>
      </c>
      <c r="AF6997">
        <v>-5.88446250384942</v>
      </c>
      <c r="AG6997">
        <v>-1.1135504714009901</v>
      </c>
      <c r="AH6997">
        <v>19.517466417475401</v>
      </c>
      <c r="AI6997">
        <v>93.126691975498602</v>
      </c>
      <c r="AJ6997">
        <v>106.77791475487599</v>
      </c>
      <c r="AK6997">
        <v>20.415640792511201</v>
      </c>
      <c r="AL6997">
        <v>78.508024106053696</v>
      </c>
      <c r="AM6997">
        <v>100.04567119335501</v>
      </c>
      <c r="AN6997">
        <v>1.00000001566696</v>
      </c>
    </row>
    <row r="6998" spans="1:40" x14ac:dyDescent="0.25">
      <c r="A6998" t="str">
        <f>"20190304155239144"</f>
        <v>20190304155239144</v>
      </c>
      <c r="B6998" t="str">
        <f>"1551685959133652"</f>
        <v>1551685959133652</v>
      </c>
      <c r="C6998" t="s">
        <v>40</v>
      </c>
      <c r="D6998">
        <v>4.6396769999999998</v>
      </c>
      <c r="E6998">
        <v>0.4498993</v>
      </c>
      <c r="F6998" t="s">
        <v>77</v>
      </c>
      <c r="G6998">
        <v>-193.49510000000001</v>
      </c>
      <c r="H6998" s="1">
        <v>-9.5117879999999998E-6</v>
      </c>
      <c r="I6998">
        <v>-52.142749999999999</v>
      </c>
      <c r="J6998">
        <v>-211.87710000000001</v>
      </c>
      <c r="K6998">
        <v>1.113567</v>
      </c>
      <c r="L6998">
        <v>-61.7393199999999</v>
      </c>
      <c r="M6998">
        <v>0.98232419999999998</v>
      </c>
      <c r="N6998">
        <v>-1.402305E-2</v>
      </c>
      <c r="O6998">
        <v>0.18666140000000001</v>
      </c>
      <c r="P6998">
        <v>0.91875960000000001</v>
      </c>
      <c r="Q6998">
        <v>0.18722759999999999</v>
      </c>
      <c r="R6998">
        <v>0.3476014</v>
      </c>
      <c r="S6998">
        <v>2.7573850000000002</v>
      </c>
      <c r="T6998">
        <v>-0.16591689999999901</v>
      </c>
      <c r="U6998">
        <v>1.4336850000000001</v>
      </c>
      <c r="V6998">
        <v>-0.17137869999999999</v>
      </c>
      <c r="W6998">
        <v>0.1995816</v>
      </c>
      <c r="X6998">
        <v>0.96477789999999997</v>
      </c>
      <c r="Y6998">
        <v>-0.28720889999999999</v>
      </c>
      <c r="Z6998">
        <v>2.3693849999999999E-3</v>
      </c>
      <c r="AA6998">
        <v>0.95786510000000002</v>
      </c>
      <c r="AB6998">
        <v>25</v>
      </c>
      <c r="AC6998">
        <v>18.382000000000001</v>
      </c>
      <c r="AD6998">
        <v>-1.1135765117880001</v>
      </c>
      <c r="AE6998">
        <v>9.5965699999999892</v>
      </c>
      <c r="AF6998">
        <v>-5.9790797769439799</v>
      </c>
      <c r="AG6998">
        <v>-1.1135765117880001</v>
      </c>
      <c r="AH6998">
        <v>19.793263170479801</v>
      </c>
      <c r="AI6998">
        <v>93.082788659603807</v>
      </c>
      <c r="AJ6998">
        <v>106.808333149273</v>
      </c>
      <c r="AK6998">
        <v>20.706586260476101</v>
      </c>
      <c r="AL6998">
        <v>78.487506029917895</v>
      </c>
      <c r="AM6998">
        <v>100.072689600091</v>
      </c>
      <c r="AN6998">
        <v>0.99999993510032703</v>
      </c>
    </row>
    <row r="6999" spans="1:40" x14ac:dyDescent="0.25">
      <c r="A6999" t="str">
        <f>"20190304155239155"</f>
        <v>20190304155239155</v>
      </c>
      <c r="B6999" t="str">
        <f>"1551685959143411"</f>
        <v>1551685959143411</v>
      </c>
      <c r="C6999" t="s">
        <v>40</v>
      </c>
      <c r="D6999">
        <v>4.6263969999999999</v>
      </c>
      <c r="E6999">
        <v>0.44988499999999998</v>
      </c>
      <c r="F6999" t="s">
        <v>77</v>
      </c>
      <c r="G6999">
        <v>-193.19569999999999</v>
      </c>
      <c r="H6999" s="1">
        <v>-9.5470729999999999E-6</v>
      </c>
      <c r="I6999">
        <v>-51.963439999999999</v>
      </c>
      <c r="J6999">
        <v>-211.7663</v>
      </c>
      <c r="K6999">
        <v>1.1135919999999999</v>
      </c>
      <c r="L6999">
        <v>-61.716090000000001</v>
      </c>
      <c r="M6999">
        <v>0.98195639999999995</v>
      </c>
      <c r="N6999">
        <v>-1.4023829999999999E-2</v>
      </c>
      <c r="O6999">
        <v>0.1885869</v>
      </c>
      <c r="P6999">
        <v>0.91786900000000005</v>
      </c>
      <c r="Q6999">
        <v>0.1877827</v>
      </c>
      <c r="R6999">
        <v>0.34964869999999998</v>
      </c>
      <c r="S6999">
        <v>2.753555</v>
      </c>
      <c r="T6999">
        <v>-0.16413610000000001</v>
      </c>
      <c r="U6999">
        <v>1.4409179999999999</v>
      </c>
      <c r="V6999">
        <v>-0.17167539999999901</v>
      </c>
      <c r="W6999">
        <v>0.2001231</v>
      </c>
      <c r="X6999">
        <v>0.96461300000000005</v>
      </c>
      <c r="Y6999">
        <v>-0.28785919999999998</v>
      </c>
      <c r="Z6999">
        <v>2.338452E-3</v>
      </c>
      <c r="AA6999">
        <v>0.95766989999999996</v>
      </c>
      <c r="AB6999">
        <v>25</v>
      </c>
      <c r="AC6999">
        <v>18.570599999999999</v>
      </c>
      <c r="AD6999">
        <v>-1.1136015470730001</v>
      </c>
      <c r="AE6999">
        <v>9.7526499999999903</v>
      </c>
      <c r="AF6999">
        <v>-6.0580276016507399</v>
      </c>
      <c r="AG6999">
        <v>-1.1136015470730001</v>
      </c>
      <c r="AH6999">
        <v>20.020287155634001</v>
      </c>
      <c r="AI6999">
        <v>93.047529000137899</v>
      </c>
      <c r="AJ6999">
        <v>106.835523290891</v>
      </c>
      <c r="AK6999">
        <v>20.946400755787401</v>
      </c>
      <c r="AL6999">
        <v>78.455841960691103</v>
      </c>
      <c r="AM6999">
        <v>100.09145937952999</v>
      </c>
      <c r="AN6999">
        <v>0.99999996894388399</v>
      </c>
    </row>
    <row r="7000" spans="1:40" x14ac:dyDescent="0.25">
      <c r="A7000" t="str">
        <f>"20190304155239166"</f>
        <v>20190304155239166</v>
      </c>
      <c r="B7000" t="str">
        <f>"1551685959163907"</f>
        <v>1551685959163907</v>
      </c>
      <c r="C7000" t="s">
        <v>40</v>
      </c>
      <c r="D7000">
        <v>4.6320459999999999</v>
      </c>
      <c r="E7000">
        <v>0.44985930000000002</v>
      </c>
      <c r="F7000" t="s">
        <v>77</v>
      </c>
      <c r="G7000">
        <v>-192.85290000000001</v>
      </c>
      <c r="H7000" s="1">
        <v>-9.5844070000000001E-6</v>
      </c>
      <c r="I7000">
        <v>-51.766570000000002</v>
      </c>
      <c r="J7000">
        <v>-211.6344</v>
      </c>
      <c r="K7000">
        <v>1.113623</v>
      </c>
      <c r="L7000">
        <v>-61.688319999999997</v>
      </c>
      <c r="M7000">
        <v>0.98151129999999998</v>
      </c>
      <c r="N7000">
        <v>-1.4024729999999999E-2</v>
      </c>
      <c r="O7000">
        <v>0.19089010000000001</v>
      </c>
      <c r="P7000">
        <v>0.91678539999999997</v>
      </c>
      <c r="Q7000">
        <v>0.18820319999999999</v>
      </c>
      <c r="R7000">
        <v>0.35225610000000002</v>
      </c>
      <c r="S7000">
        <v>2.7504119999999999</v>
      </c>
      <c r="T7000">
        <v>-0.1619411</v>
      </c>
      <c r="U7000">
        <v>1.446869</v>
      </c>
      <c r="V7000">
        <v>-0.17218800000000001</v>
      </c>
      <c r="W7000">
        <v>0.20052719999999999</v>
      </c>
      <c r="X7000">
        <v>0.96443769999999995</v>
      </c>
      <c r="Y7000">
        <v>-0.28769519999999998</v>
      </c>
      <c r="Z7000">
        <v>2.272222E-3</v>
      </c>
      <c r="AA7000">
        <v>0.95771930000000005</v>
      </c>
      <c r="AB7000">
        <v>25</v>
      </c>
      <c r="AC7000">
        <v>18.781499999999902</v>
      </c>
      <c r="AD7000">
        <v>-1.1136325844069901</v>
      </c>
      <c r="AE7000">
        <v>9.9217499999999905</v>
      </c>
      <c r="AF7000">
        <v>-6.1368436932146002</v>
      </c>
      <c r="AG7000">
        <v>-1.1136325844069901</v>
      </c>
      <c r="AH7000">
        <v>20.274487639197002</v>
      </c>
      <c r="AI7000">
        <v>93.009395738047402</v>
      </c>
      <c r="AJ7000">
        <v>106.84043294890201</v>
      </c>
      <c r="AK7000">
        <v>21.212163422903199</v>
      </c>
      <c r="AL7000">
        <v>78.432209723580002</v>
      </c>
      <c r="AM7000">
        <v>100.122770719588</v>
      </c>
      <c r="AN7000">
        <v>0.99999997123256401</v>
      </c>
    </row>
    <row r="7001" spans="1:40" x14ac:dyDescent="0.25">
      <c r="A7001" t="str">
        <f>"20190304155239178"</f>
        <v>20190304155239178</v>
      </c>
      <c r="B7001" t="str">
        <f>"1551685959173667"</f>
        <v>1551685959173667</v>
      </c>
      <c r="C7001" t="s">
        <v>40</v>
      </c>
      <c r="D7001">
        <v>4.7279200000000001</v>
      </c>
      <c r="E7001">
        <v>0.4499186</v>
      </c>
      <c r="F7001" t="s">
        <v>77</v>
      </c>
      <c r="G7001">
        <v>-192.4462</v>
      </c>
      <c r="H7001" s="1">
        <v>-9.631599E-6</v>
      </c>
      <c r="I7001">
        <v>-51.52505</v>
      </c>
      <c r="J7001">
        <v>-211.5172</v>
      </c>
      <c r="K7001">
        <v>1.113564</v>
      </c>
      <c r="L7001">
        <v>-61.663209999999999</v>
      </c>
      <c r="M7001">
        <v>0.98100860000000001</v>
      </c>
      <c r="N7001">
        <v>-1.3812639999999999E-2</v>
      </c>
      <c r="O7001">
        <v>0.19347200000000001</v>
      </c>
      <c r="P7001">
        <v>0.91568269999999996</v>
      </c>
      <c r="Q7001">
        <v>0.1890937</v>
      </c>
      <c r="R7001">
        <v>0.35463939999999999</v>
      </c>
      <c r="S7001">
        <v>2.74614</v>
      </c>
      <c r="T7001">
        <v>-0.15937889999999999</v>
      </c>
      <c r="U7001">
        <v>1.454529</v>
      </c>
      <c r="V7001">
        <v>-0.1721973</v>
      </c>
      <c r="W7001">
        <v>0.20121249999999999</v>
      </c>
      <c r="X7001">
        <v>0.96429339999999997</v>
      </c>
      <c r="Y7001">
        <v>-0.28789049999999999</v>
      </c>
      <c r="Z7001">
        <v>2.1444569999999998E-3</v>
      </c>
      <c r="AA7001">
        <v>0.95766090000000004</v>
      </c>
      <c r="AB7001">
        <v>25</v>
      </c>
      <c r="AC7001">
        <v>19.071000000000002</v>
      </c>
      <c r="AD7001">
        <v>-1.1135736315989999</v>
      </c>
      <c r="AE7001">
        <v>10.138159999999999</v>
      </c>
      <c r="AF7001">
        <v>-6.2399268198902798</v>
      </c>
      <c r="AG7001">
        <v>-1.1135736315989999</v>
      </c>
      <c r="AH7001">
        <v>20.617429622011699</v>
      </c>
      <c r="AI7001">
        <v>92.959300669982795</v>
      </c>
      <c r="AJ7001">
        <v>106.838596705705</v>
      </c>
      <c r="AK7001">
        <v>21.5697736930452</v>
      </c>
      <c r="AL7001">
        <v>78.392129146745205</v>
      </c>
      <c r="AM7001">
        <v>100.12478969688701</v>
      </c>
      <c r="AN7001">
        <v>1.0000000707835399</v>
      </c>
    </row>
    <row r="7002" spans="1:40" x14ac:dyDescent="0.25">
      <c r="A7002" t="str">
        <f>"20190304155239189"</f>
        <v>20190304155239189</v>
      </c>
      <c r="B7002" t="str">
        <f>"1551685959183427"</f>
        <v>1551685959183427</v>
      </c>
      <c r="C7002" t="s">
        <v>40</v>
      </c>
      <c r="D7002">
        <v>4.6177460000000004</v>
      </c>
      <c r="E7002">
        <v>0.44991389999999998</v>
      </c>
      <c r="F7002" t="s">
        <v>77</v>
      </c>
      <c r="G7002">
        <v>-191.95930000000001</v>
      </c>
      <c r="H7002" s="1">
        <v>-9.6858139999999996E-6</v>
      </c>
      <c r="I7002">
        <v>-51.242150000000002</v>
      </c>
      <c r="J7002">
        <v>-211.3972</v>
      </c>
      <c r="K7002">
        <v>1.113523</v>
      </c>
      <c r="L7002">
        <v>-61.637479999999996</v>
      </c>
      <c r="M7002">
        <v>0.98049799999999998</v>
      </c>
      <c r="N7002">
        <v>-1.364191E-2</v>
      </c>
      <c r="O7002">
        <v>0.19605549999999999</v>
      </c>
      <c r="P7002">
        <v>0.91465039999999997</v>
      </c>
      <c r="Q7002">
        <v>0.18968860000000001</v>
      </c>
      <c r="R7002">
        <v>0.35697760000000001</v>
      </c>
      <c r="S7002">
        <v>2.7425229999999998</v>
      </c>
      <c r="T7002">
        <v>-0.15615200000000001</v>
      </c>
      <c r="U7002">
        <v>1.4613039999999999</v>
      </c>
      <c r="V7002">
        <v>-0.17215150000000001</v>
      </c>
      <c r="W7002">
        <v>0.20163890000000001</v>
      </c>
      <c r="X7002">
        <v>0.96421239999999997</v>
      </c>
      <c r="Y7002">
        <v>-0.28774899999999998</v>
      </c>
      <c r="Z7002">
        <v>2.033694E-3</v>
      </c>
      <c r="AA7002">
        <v>0.95770370000000005</v>
      </c>
      <c r="AB7002">
        <v>25</v>
      </c>
      <c r="AC7002">
        <v>19.4378999999999</v>
      </c>
      <c r="AD7002">
        <v>-1.113532685814</v>
      </c>
      <c r="AE7002">
        <v>10.39533</v>
      </c>
      <c r="AF7002">
        <v>-6.3660408735678899</v>
      </c>
      <c r="AG7002">
        <v>-1.113532685814</v>
      </c>
      <c r="AH7002">
        <v>21.045139967636</v>
      </c>
      <c r="AI7002">
        <v>92.899281741893901</v>
      </c>
      <c r="AJ7002">
        <v>106.83028171847199</v>
      </c>
      <c r="AK7002">
        <v>22.015093633770999</v>
      </c>
      <c r="AL7002">
        <v>78.367185803871493</v>
      </c>
      <c r="AM7002">
        <v>100.122985197262</v>
      </c>
      <c r="AN7002">
        <v>0.99999996862960905</v>
      </c>
    </row>
    <row r="7003" spans="1:40" x14ac:dyDescent="0.25">
      <c r="A7003" t="str">
        <f>"20190304155239200"</f>
        <v>20190304155239200</v>
      </c>
      <c r="B7003" t="str">
        <f>"1551685959194163"</f>
        <v>1551685959194163</v>
      </c>
      <c r="C7003" t="s">
        <v>40</v>
      </c>
      <c r="D7003">
        <v>4.6245609999999999</v>
      </c>
      <c r="E7003">
        <v>0.44992189999999999</v>
      </c>
      <c r="F7003" t="s">
        <v>77</v>
      </c>
      <c r="G7003">
        <v>-191.5232</v>
      </c>
      <c r="H7003" s="1">
        <v>-9.7375820000000005E-6</v>
      </c>
      <c r="I7003">
        <v>-50.979959999999998</v>
      </c>
      <c r="J7003">
        <v>-211.26759999999999</v>
      </c>
      <c r="K7003">
        <v>1.1136250000000001</v>
      </c>
      <c r="L7003">
        <v>-61.609099999999998</v>
      </c>
      <c r="M7003">
        <v>0.98001799999999994</v>
      </c>
      <c r="N7003">
        <v>-1.3774099999999999E-2</v>
      </c>
      <c r="O7003">
        <v>0.19843169999999999</v>
      </c>
      <c r="P7003">
        <v>0.91375879999999998</v>
      </c>
      <c r="Q7003">
        <v>0.18973609999999999</v>
      </c>
      <c r="R7003">
        <v>0.35922880000000001</v>
      </c>
      <c r="S7003">
        <v>2.7386170000000001</v>
      </c>
      <c r="T7003">
        <v>-0.15344389999999999</v>
      </c>
      <c r="U7003">
        <v>1.4685969999999999</v>
      </c>
      <c r="V7003">
        <v>-0.17223859999999999</v>
      </c>
      <c r="W7003">
        <v>0.20177290000000001</v>
      </c>
      <c r="X7003">
        <v>0.96416880000000005</v>
      </c>
      <c r="Y7003">
        <v>-0.28798420000000002</v>
      </c>
      <c r="Z7003">
        <v>2.0426210000000001E-3</v>
      </c>
      <c r="AA7003">
        <v>0.95763299999999996</v>
      </c>
      <c r="AB7003">
        <v>25</v>
      </c>
      <c r="AC7003">
        <v>19.744399999999899</v>
      </c>
      <c r="AD7003">
        <v>-1.1136347375819999</v>
      </c>
      <c r="AE7003">
        <v>10.62914</v>
      </c>
      <c r="AF7003">
        <v>-6.4834586262695897</v>
      </c>
      <c r="AG7003">
        <v>-1.1136347375819999</v>
      </c>
      <c r="AH7003">
        <v>21.408257625426799</v>
      </c>
      <c r="AI7003">
        <v>92.850168699201603</v>
      </c>
      <c r="AJ7003">
        <v>106.848857612318</v>
      </c>
      <c r="AK7003">
        <v>22.396180760208701</v>
      </c>
      <c r="AL7003">
        <v>78.359346911691702</v>
      </c>
      <c r="AM7003">
        <v>100.128449428107</v>
      </c>
      <c r="AN7003">
        <v>0.99999995669890396</v>
      </c>
    </row>
    <row r="7004" spans="1:40" x14ac:dyDescent="0.25">
      <c r="A7004" t="str">
        <f>"20190304155239212"</f>
        <v>20190304155239212</v>
      </c>
      <c r="B7004" t="str">
        <f>"1551685959203923"</f>
        <v>1551685959203923</v>
      </c>
      <c r="C7004" t="s">
        <v>40</v>
      </c>
      <c r="D7004">
        <v>4.5984780000000001</v>
      </c>
      <c r="E7004">
        <v>0.44994210000000001</v>
      </c>
      <c r="F7004" t="s">
        <v>77</v>
      </c>
      <c r="G7004">
        <v>-191.32159999999999</v>
      </c>
      <c r="H7004" s="1">
        <v>-9.7649640000000004E-6</v>
      </c>
      <c r="I7004">
        <v>-50.849269999999997</v>
      </c>
      <c r="J7004">
        <v>-211.14930000000001</v>
      </c>
      <c r="K7004">
        <v>1.113745</v>
      </c>
      <c r="L7004">
        <v>-61.582979999999999</v>
      </c>
      <c r="M7004">
        <v>0.97960400000000003</v>
      </c>
      <c r="N7004">
        <v>-1.394681E-2</v>
      </c>
      <c r="O7004">
        <v>0.20045289999999999</v>
      </c>
      <c r="P7004">
        <v>0.91295389999999998</v>
      </c>
      <c r="Q7004">
        <v>0.18981239999999999</v>
      </c>
      <c r="R7004">
        <v>0.36122919999999997</v>
      </c>
      <c r="S7004">
        <v>2.7348479999999999</v>
      </c>
      <c r="T7004">
        <v>-0.15269360000000001</v>
      </c>
      <c r="U7004">
        <v>1.475311</v>
      </c>
      <c r="V7004">
        <v>-0.17241670000000001</v>
      </c>
      <c r="W7004">
        <v>0.2019714</v>
      </c>
      <c r="X7004">
        <v>0.96409549999999999</v>
      </c>
      <c r="Y7004">
        <v>-0.2883809</v>
      </c>
      <c r="Z7004">
        <v>2.0529469999999998E-3</v>
      </c>
      <c r="AA7004">
        <v>0.95751359999999996</v>
      </c>
      <c r="AB7004">
        <v>25</v>
      </c>
      <c r="AC7004">
        <v>19.8277</v>
      </c>
      <c r="AD7004">
        <v>-1.1137547649640001</v>
      </c>
      <c r="AE7004">
        <v>10.73371</v>
      </c>
      <c r="AF7004">
        <v>-6.5249799551043104</v>
      </c>
      <c r="AG7004">
        <v>-1.1137547649640001</v>
      </c>
      <c r="AH7004">
        <v>21.524474582996501</v>
      </c>
      <c r="AI7004">
        <v>92.834879186811506</v>
      </c>
      <c r="AJ7004">
        <v>106.86427882865399</v>
      </c>
      <c r="AK7004">
        <v>22.5192988160168</v>
      </c>
      <c r="AL7004">
        <v>78.347735714230396</v>
      </c>
      <c r="AM7004">
        <v>100.139460252926</v>
      </c>
      <c r="AN7004">
        <v>1.0000000489885399</v>
      </c>
    </row>
    <row r="7005" spans="1:40" x14ac:dyDescent="0.25">
      <c r="A7005" t="str">
        <f>"20190304155239223"</f>
        <v>20190304155239223</v>
      </c>
      <c r="B7005" t="str">
        <f>"1551685959213683"</f>
        <v>1551685959213683</v>
      </c>
      <c r="C7005" t="s">
        <v>40</v>
      </c>
      <c r="D7005">
        <v>4.7579229999999999</v>
      </c>
      <c r="E7005">
        <v>0.44989760000000001</v>
      </c>
      <c r="F7005" t="s">
        <v>77</v>
      </c>
      <c r="G7005">
        <v>-191.1634</v>
      </c>
      <c r="H7005" s="1">
        <v>-9.7863899999999993E-6</v>
      </c>
      <c r="I7005">
        <v>-50.746859999999998</v>
      </c>
      <c r="J7005">
        <v>-211.0291</v>
      </c>
      <c r="K7005">
        <v>1.1138999999999999</v>
      </c>
      <c r="L7005">
        <v>-61.556089999999998</v>
      </c>
      <c r="M7005">
        <v>0.97922310000000001</v>
      </c>
      <c r="N7005">
        <v>-1.4199649999999999E-2</v>
      </c>
      <c r="O7005">
        <v>0.20228869999999999</v>
      </c>
      <c r="P7005">
        <v>0.91236669999999997</v>
      </c>
      <c r="Q7005">
        <v>0.1894594</v>
      </c>
      <c r="R7005">
        <v>0.3628942</v>
      </c>
      <c r="S7005">
        <v>2.7316739999999999</v>
      </c>
      <c r="T7005">
        <v>-0.1522279</v>
      </c>
      <c r="U7005">
        <v>1.481079</v>
      </c>
      <c r="V7005">
        <v>-0.17241379999999901</v>
      </c>
      <c r="W7005">
        <v>0.2018112</v>
      </c>
      <c r="X7005">
        <v>0.96412949999999997</v>
      </c>
      <c r="Y7005">
        <v>-0.2886127</v>
      </c>
      <c r="Z7005">
        <v>2.0888230000000001E-3</v>
      </c>
      <c r="AA7005">
        <v>0.95744370000000001</v>
      </c>
      <c r="AB7005">
        <v>25</v>
      </c>
      <c r="AC7005">
        <v>19.8657</v>
      </c>
      <c r="AD7005">
        <v>-1.1139097863899901</v>
      </c>
      <c r="AE7005">
        <v>10.809229999999999</v>
      </c>
      <c r="AF7005">
        <v>-6.55081100280972</v>
      </c>
      <c r="AG7005">
        <v>-1.1139097863899901</v>
      </c>
      <c r="AH7005">
        <v>21.589344032422801</v>
      </c>
      <c r="AI7005">
        <v>92.826543955514495</v>
      </c>
      <c r="AJ7005">
        <v>106.87926522868599</v>
      </c>
      <c r="AK7005">
        <v>22.5887957969666</v>
      </c>
      <c r="AL7005">
        <v>78.357106735975094</v>
      </c>
      <c r="AM7005">
        <v>100.138943104498</v>
      </c>
      <c r="AN7005">
        <v>0.99999998582306404</v>
      </c>
    </row>
    <row r="7006" spans="1:40" x14ac:dyDescent="0.25">
      <c r="A7006" t="str">
        <f>"20190304155239235"</f>
        <v>20190304155239235</v>
      </c>
      <c r="B7006" t="str">
        <f>"1551685959223443"</f>
        <v>1551685959223443</v>
      </c>
      <c r="C7006" t="s">
        <v>40</v>
      </c>
      <c r="D7006">
        <v>4.6533769999999999</v>
      </c>
      <c r="E7006">
        <v>0.44991950000000003</v>
      </c>
      <c r="F7006" t="s">
        <v>77</v>
      </c>
      <c r="G7006">
        <v>-191.2131</v>
      </c>
      <c r="H7006" s="1">
        <v>-9.7853299999999997E-6</v>
      </c>
      <c r="I7006">
        <v>-50.763440000000003</v>
      </c>
      <c r="J7006">
        <v>-210.90530000000001</v>
      </c>
      <c r="K7006">
        <v>1.1140159999999999</v>
      </c>
      <c r="L7006">
        <v>-61.527979999999999</v>
      </c>
      <c r="M7006">
        <v>0.97882820000000004</v>
      </c>
      <c r="N7006">
        <v>-1.4378989999999999E-2</v>
      </c>
      <c r="O7006">
        <v>0.204178</v>
      </c>
      <c r="P7006">
        <v>0.91155989999999998</v>
      </c>
      <c r="Q7006">
        <v>0.18931419999999999</v>
      </c>
      <c r="R7006">
        <v>0.36499140000000002</v>
      </c>
      <c r="S7006">
        <v>2.7288209999999999</v>
      </c>
      <c r="T7006">
        <v>-0.15339459999999999</v>
      </c>
      <c r="U7006">
        <v>1.486237</v>
      </c>
      <c r="V7006">
        <v>-0.1728201</v>
      </c>
      <c r="W7006">
        <v>0.20178879999999999</v>
      </c>
      <c r="X7006">
        <v>0.96406139999999996</v>
      </c>
      <c r="Y7006">
        <v>-0.2885761</v>
      </c>
      <c r="Z7006">
        <v>2.0583160000000001E-3</v>
      </c>
      <c r="AA7006">
        <v>0.95745469999999999</v>
      </c>
      <c r="AB7006">
        <v>25</v>
      </c>
      <c r="AC7006">
        <v>19.6922</v>
      </c>
      <c r="AD7006">
        <v>-1.11402578533</v>
      </c>
      <c r="AE7006">
        <v>10.76454</v>
      </c>
      <c r="AF7006">
        <v>-6.5005768851842403</v>
      </c>
      <c r="AG7006">
        <v>-1.11402578533</v>
      </c>
      <c r="AH7006">
        <v>21.422595538933699</v>
      </c>
      <c r="AI7006">
        <v>92.8487918104599</v>
      </c>
      <c r="AJ7006">
        <v>106.880151886082</v>
      </c>
      <c r="AK7006">
        <v>22.414864552687199</v>
      </c>
      <c r="AL7006">
        <v>78.358416636886005</v>
      </c>
      <c r="AM7006">
        <v>100.16304143649199</v>
      </c>
      <c r="AN7006">
        <v>0.99999994486970301</v>
      </c>
    </row>
    <row r="7007" spans="1:40" x14ac:dyDescent="0.25">
      <c r="A7007" t="str">
        <f>"20190304155239247"</f>
        <v>20190304155239247</v>
      </c>
      <c r="B7007" t="str">
        <f>"1551685959243939"</f>
        <v>1551685959243939</v>
      </c>
      <c r="C7007" t="s">
        <v>40</v>
      </c>
      <c r="D7007">
        <v>4.4693779999999999</v>
      </c>
      <c r="E7007">
        <v>0.45005050000000002</v>
      </c>
      <c r="F7007" t="s">
        <v>77</v>
      </c>
      <c r="G7007">
        <v>-191.11760000000001</v>
      </c>
      <c r="H7007" s="1">
        <v>-9.8000680000000004E-6</v>
      </c>
      <c r="I7007">
        <v>-50.696660000000001</v>
      </c>
      <c r="J7007">
        <v>-210.76920000000001</v>
      </c>
      <c r="K7007">
        <v>1.1141049999999999</v>
      </c>
      <c r="L7007">
        <v>-61.496830000000003</v>
      </c>
      <c r="M7007">
        <v>0.97839100000000001</v>
      </c>
      <c r="N7007">
        <v>-1.4520669999999999E-2</v>
      </c>
      <c r="O7007">
        <v>0.2062534</v>
      </c>
      <c r="P7007">
        <v>0.91060269999999999</v>
      </c>
      <c r="Q7007">
        <v>0.1894236</v>
      </c>
      <c r="R7007">
        <v>0.3673168</v>
      </c>
      <c r="S7007">
        <v>2.725571</v>
      </c>
      <c r="T7007">
        <v>-0.15344659999999999</v>
      </c>
      <c r="U7007">
        <v>1.4919129999999901</v>
      </c>
      <c r="V7007">
        <v>-0.17329739999999999</v>
      </c>
      <c r="W7007">
        <v>0.2019831</v>
      </c>
      <c r="X7007">
        <v>0.96393510000000004</v>
      </c>
      <c r="Y7007">
        <v>-0.28855930000000002</v>
      </c>
      <c r="Z7007">
        <v>2.0296200000000002E-3</v>
      </c>
      <c r="AA7007">
        <v>0.95745990000000003</v>
      </c>
      <c r="AB7007">
        <v>25</v>
      </c>
      <c r="AC7007">
        <v>19.651599999999998</v>
      </c>
      <c r="AD7007">
        <v>-1.1141148000679999</v>
      </c>
      <c r="AE7007">
        <v>10.80017</v>
      </c>
      <c r="AF7007">
        <v>-6.49822465046506</v>
      </c>
      <c r="AG7007">
        <v>-1.1141148000679999</v>
      </c>
      <c r="AH7007">
        <v>21.4039433158676</v>
      </c>
      <c r="AI7007">
        <v>92.851375450906303</v>
      </c>
      <c r="AJ7007">
        <v>106.888259267392</v>
      </c>
      <c r="AK7007">
        <v>22.396360527204301</v>
      </c>
      <c r="AL7007">
        <v>78.347050895781095</v>
      </c>
      <c r="AM7007">
        <v>100.191829853437</v>
      </c>
      <c r="AN7007">
        <v>1.0000000192721801</v>
      </c>
    </row>
    <row r="7008" spans="1:40" x14ac:dyDescent="0.25">
      <c r="A7008" t="str">
        <f>"20190304155239259"</f>
        <v>20190304155239259</v>
      </c>
      <c r="B7008" t="str">
        <f>"1551685959253699"</f>
        <v>1551685959253699</v>
      </c>
      <c r="C7008" t="s">
        <v>40</v>
      </c>
      <c r="D7008">
        <v>4.5312640000000002</v>
      </c>
      <c r="E7008">
        <v>0.45014749999999998</v>
      </c>
      <c r="F7008" t="s">
        <v>77</v>
      </c>
      <c r="G7008">
        <v>-190.38749999999999</v>
      </c>
      <c r="H7008" s="1">
        <v>-1.0310960000000001E-6</v>
      </c>
      <c r="I7008">
        <v>-50.278190000000002</v>
      </c>
      <c r="J7008">
        <v>-210.64590000000001</v>
      </c>
      <c r="K7008">
        <v>1.114088</v>
      </c>
      <c r="L7008">
        <v>-61.46799</v>
      </c>
      <c r="M7008">
        <v>0.97792920000000005</v>
      </c>
      <c r="N7008">
        <v>-1.4491240000000001E-2</v>
      </c>
      <c r="O7008">
        <v>0.20843400000000001</v>
      </c>
      <c r="P7008">
        <v>0.90970390000000001</v>
      </c>
      <c r="Q7008">
        <v>0.1891631</v>
      </c>
      <c r="R7008">
        <v>0.36967050000000001</v>
      </c>
      <c r="S7008">
        <v>2.7212830000000001</v>
      </c>
      <c r="T7008">
        <v>-0.14875070000000001</v>
      </c>
      <c r="U7008">
        <v>1.4978640000000001</v>
      </c>
      <c r="V7008">
        <v>-0.17364649999999901</v>
      </c>
      <c r="W7008">
        <v>0.20167669999999999</v>
      </c>
      <c r="X7008">
        <v>0.96393640000000003</v>
      </c>
      <c r="Y7008">
        <v>-0.28868329999999998</v>
      </c>
      <c r="Z7008">
        <v>2.0390109999999999E-3</v>
      </c>
      <c r="AA7008">
        <v>0.95742249999999995</v>
      </c>
      <c r="AB7008">
        <v>25</v>
      </c>
      <c r="AC7008">
        <v>20.258400000000002</v>
      </c>
      <c r="AD7008">
        <v>-1.1140890310960001</v>
      </c>
      <c r="AE7008">
        <v>11.1897999999999</v>
      </c>
      <c r="AF7008">
        <v>-6.7054589600311596</v>
      </c>
      <c r="AG7008">
        <v>-1.1140890310960001</v>
      </c>
      <c r="AH7008">
        <v>22.0947375675151</v>
      </c>
      <c r="AI7008">
        <v>92.762389818222601</v>
      </c>
      <c r="AJ7008">
        <v>106.882345982589</v>
      </c>
      <c r="AK7008">
        <v>23.1166996435744</v>
      </c>
      <c r="AL7008">
        <v>78.364974857519599</v>
      </c>
      <c r="AM7008">
        <v>100.211915738976</v>
      </c>
      <c r="AN7008">
        <v>0.99999999076504997</v>
      </c>
    </row>
    <row r="7009" spans="1:40" x14ac:dyDescent="0.25">
      <c r="A7009" t="str">
        <f>"20190304155239271"</f>
        <v>20190304155239271</v>
      </c>
      <c r="B7009" t="str">
        <f>"1551685959263459"</f>
        <v>1551685959263459</v>
      </c>
      <c r="C7009" t="s">
        <v>40</v>
      </c>
      <c r="D7009">
        <v>4.7823379999999904</v>
      </c>
      <c r="E7009">
        <v>0.4501502</v>
      </c>
      <c r="F7009" t="s">
        <v>77</v>
      </c>
      <c r="G7009">
        <v>-190.63589999999999</v>
      </c>
      <c r="H7009" s="1">
        <v>-9.8599119999999997E-6</v>
      </c>
      <c r="I7009">
        <v>-50.399729999999998</v>
      </c>
      <c r="J7009">
        <v>-210.5146</v>
      </c>
      <c r="K7009">
        <v>1.1140559999999999</v>
      </c>
      <c r="L7009">
        <v>-61.437130000000003</v>
      </c>
      <c r="M7009">
        <v>0.97741270000000002</v>
      </c>
      <c r="N7009">
        <v>-1.445043E-2</v>
      </c>
      <c r="O7009">
        <v>0.21084539999999999</v>
      </c>
      <c r="P7009">
        <v>0.90864560000000005</v>
      </c>
      <c r="Q7009">
        <v>0.18910099999999999</v>
      </c>
      <c r="R7009">
        <v>0.3722956</v>
      </c>
      <c r="S7009">
        <v>2.7182620000000002</v>
      </c>
      <c r="T7009">
        <v>-0.15134489999999901</v>
      </c>
      <c r="U7009">
        <v>1.503571</v>
      </c>
      <c r="V7009">
        <v>-0.1740621</v>
      </c>
      <c r="W7009">
        <v>0.20155999999999999</v>
      </c>
      <c r="X7009">
        <v>0.96388580000000001</v>
      </c>
      <c r="Y7009">
        <v>-0.28830729999999999</v>
      </c>
      <c r="Z7009">
        <v>1.8714140000000001E-3</v>
      </c>
      <c r="AA7009">
        <v>0.9575361</v>
      </c>
      <c r="AB7009">
        <v>25</v>
      </c>
      <c r="AC7009">
        <v>19.878699999999998</v>
      </c>
      <c r="AD7009">
        <v>-1.1140658599119999</v>
      </c>
      <c r="AE7009">
        <v>11.0374</v>
      </c>
      <c r="AF7009">
        <v>-6.5816500116014804</v>
      </c>
      <c r="AG7009">
        <v>-1.1140658599119999</v>
      </c>
      <c r="AH7009">
        <v>21.707036197721902</v>
      </c>
      <c r="AI7009">
        <v>92.811811795954</v>
      </c>
      <c r="AJ7009">
        <v>106.867488780824</v>
      </c>
      <c r="AK7009">
        <v>22.710232938141399</v>
      </c>
      <c r="AL7009">
        <v>78.371800888433796</v>
      </c>
      <c r="AM7009">
        <v>100.23636646763001</v>
      </c>
      <c r="AN7009">
        <v>0.99999994184902297</v>
      </c>
    </row>
    <row r="7010" spans="1:40" x14ac:dyDescent="0.25">
      <c r="A7010" t="str">
        <f>"20190304155239281"</f>
        <v>20190304155239281</v>
      </c>
      <c r="B7010" t="str">
        <f>"1551685959274195"</f>
        <v>1551685959274195</v>
      </c>
      <c r="C7010" t="s">
        <v>40</v>
      </c>
      <c r="D7010">
        <v>4.6488750000000003</v>
      </c>
      <c r="E7010">
        <v>0.45020539999999998</v>
      </c>
      <c r="F7010" t="s">
        <v>77</v>
      </c>
      <c r="G7010">
        <v>-190.62700000000001</v>
      </c>
      <c r="H7010" s="1">
        <v>-1.0348809999999999E-6</v>
      </c>
      <c r="I7010">
        <v>-50.361789999999999</v>
      </c>
      <c r="J7010">
        <v>-210.4023</v>
      </c>
      <c r="K7010">
        <v>1.114009</v>
      </c>
      <c r="L7010">
        <v>-61.410339999999998</v>
      </c>
      <c r="M7010">
        <v>0.97692540000000005</v>
      </c>
      <c r="N7010">
        <v>-1.44041E-2</v>
      </c>
      <c r="O7010">
        <v>0.21309449999999999</v>
      </c>
      <c r="P7010">
        <v>0.90761820000000004</v>
      </c>
      <c r="Q7010">
        <v>0.1889161</v>
      </c>
      <c r="R7010">
        <v>0.37488660000000001</v>
      </c>
      <c r="S7010">
        <v>2.7139890000000002</v>
      </c>
      <c r="T7010">
        <v>-0.15203150000000001</v>
      </c>
      <c r="U7010">
        <v>1.511414</v>
      </c>
      <c r="V7010">
        <v>-0.17458309999999999</v>
      </c>
      <c r="W7010">
        <v>0.2013269</v>
      </c>
      <c r="X7010">
        <v>0.96384040000000004</v>
      </c>
      <c r="Y7010">
        <v>-0.28885559999999899</v>
      </c>
      <c r="Z7010">
        <v>1.776204E-3</v>
      </c>
      <c r="AA7010">
        <v>0.95737110000000003</v>
      </c>
      <c r="AB7010">
        <v>25</v>
      </c>
      <c r="AC7010">
        <v>19.775299999999898</v>
      </c>
      <c r="AD7010">
        <v>-1.114010034881</v>
      </c>
      <c r="AE7010">
        <v>11.048550000000001</v>
      </c>
      <c r="AF7010">
        <v>-6.5644080901575901</v>
      </c>
      <c r="AG7010">
        <v>-1.114010034881</v>
      </c>
      <c r="AH7010">
        <v>21.6233307380936</v>
      </c>
      <c r="AI7010">
        <v>92.822243115560298</v>
      </c>
      <c r="AJ7010">
        <v>106.88723434806199</v>
      </c>
      <c r="AK7010">
        <v>22.625227162194999</v>
      </c>
      <c r="AL7010">
        <v>78.385437305291205</v>
      </c>
      <c r="AM7010">
        <v>100.26682842752</v>
      </c>
      <c r="AN7010">
        <v>1.0000000480706801</v>
      </c>
    </row>
    <row r="7011" spans="1:40" x14ac:dyDescent="0.25">
      <c r="A7011" t="str">
        <f>"20190304155239291"</f>
        <v>20190304155239291</v>
      </c>
      <c r="B7011" t="str">
        <f>"1551685959283955"</f>
        <v>1551685959283955</v>
      </c>
      <c r="C7011" t="s">
        <v>40</v>
      </c>
      <c r="D7011">
        <v>4.7871709999999998</v>
      </c>
      <c r="E7011">
        <v>0.45021050000000001</v>
      </c>
      <c r="F7011" t="s">
        <v>77</v>
      </c>
      <c r="G7011">
        <v>-190.6284</v>
      </c>
      <c r="H7011" s="1">
        <v>-1.0551029999999999E-6</v>
      </c>
      <c r="I7011">
        <v>-50.328130000000002</v>
      </c>
      <c r="J7011">
        <v>-210.29310000000001</v>
      </c>
      <c r="K7011">
        <v>1.1139709999999901</v>
      </c>
      <c r="L7011">
        <v>-61.38409</v>
      </c>
      <c r="M7011">
        <v>0.97643449999999998</v>
      </c>
      <c r="N7011">
        <v>-1.43768E-2</v>
      </c>
      <c r="O7011">
        <v>0.21533440000000001</v>
      </c>
      <c r="P7011">
        <v>0.90672719999999996</v>
      </c>
      <c r="Q7011">
        <v>0.18866089999999999</v>
      </c>
      <c r="R7011">
        <v>0.3771641</v>
      </c>
      <c r="S7011">
        <v>2.7098239999999998</v>
      </c>
      <c r="T7011">
        <v>-0.1526641</v>
      </c>
      <c r="U7011">
        <v>1.518707</v>
      </c>
      <c r="V7011">
        <v>-0.1747754</v>
      </c>
      <c r="W7011">
        <v>0.20104710000000001</v>
      </c>
      <c r="X7011">
        <v>0.9638639</v>
      </c>
      <c r="Y7011">
        <v>-0.28924809999999901</v>
      </c>
      <c r="Z7011">
        <v>1.6829119999999999E-3</v>
      </c>
      <c r="AA7011">
        <v>0.95725269999999996</v>
      </c>
      <c r="AB7011">
        <v>25</v>
      </c>
      <c r="AC7011">
        <v>19.6647</v>
      </c>
      <c r="AD7011">
        <v>-1.1139720551029999</v>
      </c>
      <c r="AE7011">
        <v>11.055960000000001</v>
      </c>
      <c r="AF7011">
        <v>-6.5456525417253397</v>
      </c>
      <c r="AG7011">
        <v>-1.1139720551029999</v>
      </c>
      <c r="AH7011">
        <v>21.531750760405501</v>
      </c>
      <c r="AI7011">
        <v>92.833800220840999</v>
      </c>
      <c r="AJ7011">
        <v>106.909272567031</v>
      </c>
      <c r="AK7011">
        <v>22.532261132535499</v>
      </c>
      <c r="AL7011">
        <v>78.401802704492795</v>
      </c>
      <c r="AM7011">
        <v>100.27765098872</v>
      </c>
      <c r="AN7011">
        <v>0.99999999729338995</v>
      </c>
    </row>
    <row r="7012" spans="1:40" x14ac:dyDescent="0.25">
      <c r="A7012" t="str">
        <f>"20190304155239303"</f>
        <v>20190304155239303</v>
      </c>
      <c r="B7012" t="str">
        <f>"1551685959293715"</f>
        <v>1551685959293715</v>
      </c>
      <c r="C7012" t="s">
        <v>40</v>
      </c>
      <c r="D7012">
        <v>4.6549440000000004</v>
      </c>
      <c r="E7012">
        <v>0.45030500000000001</v>
      </c>
      <c r="F7012" t="s">
        <v>77</v>
      </c>
      <c r="G7012">
        <v>-190.7193</v>
      </c>
      <c r="H7012" s="1">
        <v>-1.0613060000000001E-6</v>
      </c>
      <c r="I7012">
        <v>-50.351790000000001</v>
      </c>
      <c r="J7012">
        <v>-210.16460000000001</v>
      </c>
      <c r="K7012">
        <v>1.113942</v>
      </c>
      <c r="L7012">
        <v>-61.35284</v>
      </c>
      <c r="M7012">
        <v>0.97582829999999998</v>
      </c>
      <c r="N7012">
        <v>-1.4376959999999999E-2</v>
      </c>
      <c r="O7012">
        <v>0.21806529999999999</v>
      </c>
      <c r="P7012">
        <v>0.90551329999999997</v>
      </c>
      <c r="Q7012">
        <v>0.1885608</v>
      </c>
      <c r="R7012">
        <v>0.38011909999999999</v>
      </c>
      <c r="S7012">
        <v>2.7061769999999998</v>
      </c>
      <c r="T7012">
        <v>-0.15401199999999901</v>
      </c>
      <c r="U7012">
        <v>1.525269</v>
      </c>
      <c r="V7012">
        <v>-0.17521149999999999</v>
      </c>
      <c r="W7012">
        <v>0.2009486</v>
      </c>
      <c r="X7012">
        <v>0.96380529999999998</v>
      </c>
      <c r="Y7012">
        <v>-0.28888190000000002</v>
      </c>
      <c r="Z7012">
        <v>1.538247E-3</v>
      </c>
      <c r="AA7012">
        <v>0.95736350000000003</v>
      </c>
      <c r="AB7012">
        <v>25</v>
      </c>
      <c r="AC7012">
        <v>19.4453</v>
      </c>
      <c r="AD7012">
        <v>-1.113943061306</v>
      </c>
      <c r="AE7012">
        <v>11.001049999999999</v>
      </c>
      <c r="AF7012">
        <v>-6.4793542556710904</v>
      </c>
      <c r="AG7012">
        <v>-1.113943061306</v>
      </c>
      <c r="AH7012">
        <v>21.323420156189599</v>
      </c>
      <c r="AI7012">
        <v>92.861476957045298</v>
      </c>
      <c r="AJ7012">
        <v>106.90197743159401</v>
      </c>
      <c r="AK7012">
        <v>22.3139227360791</v>
      </c>
      <c r="AL7012">
        <v>78.407564334392603</v>
      </c>
      <c r="AM7012">
        <v>100.303360227634</v>
      </c>
      <c r="AN7012">
        <v>1.00000003294114</v>
      </c>
    </row>
    <row r="7013" spans="1:40" x14ac:dyDescent="0.25">
      <c r="A7013" t="str">
        <f>"20190304155239313"</f>
        <v>20190304155239313</v>
      </c>
      <c r="B7013" t="str">
        <f>"1551685959303476"</f>
        <v>1551685959303476</v>
      </c>
      <c r="C7013" t="s">
        <v>40</v>
      </c>
      <c r="D7013">
        <v>4.6620019999999904</v>
      </c>
      <c r="E7013">
        <v>0.45039230000000002</v>
      </c>
      <c r="F7013" t="s">
        <v>77</v>
      </c>
      <c r="G7013">
        <v>-190.6788</v>
      </c>
      <c r="H7013" s="1">
        <v>-1.0882790000000001E-6</v>
      </c>
      <c r="I7013">
        <v>-50.291029999999999</v>
      </c>
      <c r="J7013">
        <v>-210.06639999999999</v>
      </c>
      <c r="K7013">
        <v>1.1139330000000001</v>
      </c>
      <c r="L7013">
        <v>-61.32864</v>
      </c>
      <c r="M7013">
        <v>0.97535439999999995</v>
      </c>
      <c r="N7013">
        <v>-1.4386080000000001E-2</v>
      </c>
      <c r="O7013">
        <v>0.2201746</v>
      </c>
      <c r="P7013">
        <v>0.90455370000000002</v>
      </c>
      <c r="Q7013">
        <v>0.1881485</v>
      </c>
      <c r="R7013">
        <v>0.3826002</v>
      </c>
      <c r="S7013">
        <v>2.7014309999999999</v>
      </c>
      <c r="T7013">
        <v>-0.15443299999999999</v>
      </c>
      <c r="U7013">
        <v>1.533569</v>
      </c>
      <c r="V7013">
        <v>-0.17574799999999999</v>
      </c>
      <c r="W7013">
        <v>0.2005412</v>
      </c>
      <c r="X7013">
        <v>0.96379239999999999</v>
      </c>
      <c r="Y7013">
        <v>-0.2897573</v>
      </c>
      <c r="Z7013">
        <v>1.48173799999999E-3</v>
      </c>
      <c r="AA7013">
        <v>0.95709900000000003</v>
      </c>
      <c r="AB7013">
        <v>25</v>
      </c>
      <c r="AC7013">
        <v>19.3875999999999</v>
      </c>
      <c r="AD7013">
        <v>-1.1139340882790001</v>
      </c>
      <c r="AE7013">
        <v>11.037610000000001</v>
      </c>
      <c r="AF7013">
        <v>-6.48143769457874</v>
      </c>
      <c r="AG7013">
        <v>-1.1139340882790001</v>
      </c>
      <c r="AH7013">
        <v>21.289114246665399</v>
      </c>
      <c r="AI7013">
        <v>92.865589331395995</v>
      </c>
      <c r="AJ7013">
        <v>106.932789141743</v>
      </c>
      <c r="AK7013">
        <v>22.281747443800398</v>
      </c>
      <c r="AL7013">
        <v>78.431390834753202</v>
      </c>
      <c r="AM7013">
        <v>100.33436580086</v>
      </c>
      <c r="AN7013">
        <v>0.99999996134959901</v>
      </c>
    </row>
    <row r="7014" spans="1:40" x14ac:dyDescent="0.25">
      <c r="A7014" t="str">
        <f>"20190304155239322"</f>
        <v>20190304155239322</v>
      </c>
      <c r="B7014" t="str">
        <f>"1551685959314212"</f>
        <v>1551685959314212</v>
      </c>
      <c r="C7014" t="s">
        <v>40</v>
      </c>
      <c r="D7014">
        <v>4.8332119999999996</v>
      </c>
      <c r="E7014">
        <v>0.45045079999999998</v>
      </c>
      <c r="F7014" t="s">
        <v>77</v>
      </c>
      <c r="G7014">
        <v>-190.7775</v>
      </c>
      <c r="H7014" s="1">
        <v>-1.0964889999999999E-6</v>
      </c>
      <c r="I7014">
        <v>-50.314230000000002</v>
      </c>
      <c r="J7014">
        <v>-209.94829999999999</v>
      </c>
      <c r="K7014">
        <v>1.113937</v>
      </c>
      <c r="L7014">
        <v>-61.299320000000002</v>
      </c>
      <c r="M7014">
        <v>0.97477290000000005</v>
      </c>
      <c r="N7014">
        <v>-1.440527E-2</v>
      </c>
      <c r="O7014">
        <v>0.22273390000000001</v>
      </c>
      <c r="P7014">
        <v>0.9034314</v>
      </c>
      <c r="Q7014">
        <v>0.18801480000000001</v>
      </c>
      <c r="R7014">
        <v>0.38530759999999997</v>
      </c>
      <c r="S7014">
        <v>2.6974640000000001</v>
      </c>
      <c r="T7014">
        <v>-0.15577839999999901</v>
      </c>
      <c r="U7014">
        <v>1.540314</v>
      </c>
      <c r="V7014">
        <v>-0.17610129999999999</v>
      </c>
      <c r="W7014">
        <v>0.20042019999999999</v>
      </c>
      <c r="X7014">
        <v>0.96375310000000003</v>
      </c>
      <c r="Y7014">
        <v>-0.28965370000000001</v>
      </c>
      <c r="Z7014">
        <v>1.355394E-3</v>
      </c>
      <c r="AA7014">
        <v>0.95713060000000005</v>
      </c>
      <c r="AB7014">
        <v>25</v>
      </c>
      <c r="AC7014">
        <v>19.1707999999999</v>
      </c>
      <c r="AD7014">
        <v>-1.113938096489</v>
      </c>
      <c r="AE7014">
        <v>10.9850899999999</v>
      </c>
      <c r="AF7014">
        <v>-6.4223248189007798</v>
      </c>
      <c r="AG7014">
        <v>-1.113938096489</v>
      </c>
      <c r="AH7014">
        <v>21.082533826985799</v>
      </c>
      <c r="AI7014">
        <v>92.893486801796797</v>
      </c>
      <c r="AJ7014">
        <v>106.942190653998</v>
      </c>
      <c r="AK7014">
        <v>22.0671780417949</v>
      </c>
      <c r="AL7014">
        <v>78.438467524512404</v>
      </c>
      <c r="AM7014">
        <v>100.35510475208901</v>
      </c>
      <c r="AN7014">
        <v>0.99999998109466903</v>
      </c>
    </row>
    <row r="7015" spans="1:40" x14ac:dyDescent="0.25">
      <c r="A7015" t="str">
        <f>"20190304155239334"</f>
        <v>20190304155239334</v>
      </c>
      <c r="B7015" t="str">
        <f>"1551685959323972"</f>
        <v>1551685959323972</v>
      </c>
      <c r="C7015" t="s">
        <v>40</v>
      </c>
      <c r="D7015">
        <v>4.6804899999999998</v>
      </c>
      <c r="E7015">
        <v>0.45055450000000002</v>
      </c>
      <c r="F7015" t="s">
        <v>77</v>
      </c>
      <c r="G7015">
        <v>-190.82810000000001</v>
      </c>
      <c r="H7015" s="1">
        <v>-1.110998E-6</v>
      </c>
      <c r="I7015">
        <v>-50.308720000000001</v>
      </c>
      <c r="J7015">
        <v>-209.8331</v>
      </c>
      <c r="K7015">
        <v>1.1139600000000001</v>
      </c>
      <c r="L7015">
        <v>-61.270319999999998</v>
      </c>
      <c r="M7015">
        <v>0.9741976</v>
      </c>
      <c r="N7015">
        <v>-1.44136E-2</v>
      </c>
      <c r="O7015">
        <v>0.2252364</v>
      </c>
      <c r="P7015">
        <v>0.90232730000000005</v>
      </c>
      <c r="Q7015">
        <v>0.1875732</v>
      </c>
      <c r="R7015">
        <v>0.38810040000000001</v>
      </c>
      <c r="S7015">
        <v>2.6930999999999998</v>
      </c>
      <c r="T7015">
        <v>-0.15689910000000001</v>
      </c>
      <c r="U7015">
        <v>1.548035</v>
      </c>
      <c r="V7015">
        <v>-0.17659569999999999</v>
      </c>
      <c r="W7015">
        <v>0.1999727</v>
      </c>
      <c r="X7015">
        <v>0.96375560000000005</v>
      </c>
      <c r="Y7015">
        <v>-0.28992649999999998</v>
      </c>
      <c r="Z7015">
        <v>1.2436770000000001E-3</v>
      </c>
      <c r="AA7015">
        <v>0.95704809999999996</v>
      </c>
      <c r="AB7015">
        <v>25</v>
      </c>
      <c r="AC7015">
        <v>19.0049999999999</v>
      </c>
      <c r="AD7015">
        <v>-1.1139611109980001</v>
      </c>
      <c r="AE7015">
        <v>10.961599999999899</v>
      </c>
      <c r="AF7015">
        <v>-6.3823571775427101</v>
      </c>
      <c r="AG7015">
        <v>-1.1139611109980001</v>
      </c>
      <c r="AH7015">
        <v>20.931793090801499</v>
      </c>
      <c r="AI7015">
        <v>92.9141179231584</v>
      </c>
      <c r="AJ7015">
        <v>106.95709857753999</v>
      </c>
      <c r="AK7015">
        <v>21.911534736176598</v>
      </c>
      <c r="AL7015">
        <v>78.464637266342606</v>
      </c>
      <c r="AM7015">
        <v>100.38351858432701</v>
      </c>
      <c r="AN7015">
        <v>0.99999998926756895</v>
      </c>
    </row>
    <row r="7016" spans="1:40" x14ac:dyDescent="0.25">
      <c r="A7016" t="str">
        <f>"20190304155239344"</f>
        <v>20190304155239344</v>
      </c>
      <c r="B7016" t="str">
        <f>"1551685959333731"</f>
        <v>1551685959333731</v>
      </c>
      <c r="C7016" t="s">
        <v>40</v>
      </c>
      <c r="D7016">
        <v>4.684774</v>
      </c>
      <c r="E7016">
        <v>0.45066400000000001</v>
      </c>
      <c r="F7016" t="s">
        <v>77</v>
      </c>
      <c r="G7016">
        <v>-190.92230000000001</v>
      </c>
      <c r="H7016" s="1">
        <v>-1.1203530000000001E-6</v>
      </c>
      <c r="I7016">
        <v>-50.328299999999999</v>
      </c>
      <c r="J7016">
        <v>-209.72020000000001</v>
      </c>
      <c r="K7016">
        <v>1.113993</v>
      </c>
      <c r="L7016">
        <v>-61.241639999999997</v>
      </c>
      <c r="M7016">
        <v>0.97362590000000004</v>
      </c>
      <c r="N7016">
        <v>-1.441631E-2</v>
      </c>
      <c r="O7016">
        <v>0.22769420000000001</v>
      </c>
      <c r="P7016">
        <v>0.90124020000000005</v>
      </c>
      <c r="Q7016">
        <v>0.18710889999999999</v>
      </c>
      <c r="R7016">
        <v>0.39084029999999997</v>
      </c>
      <c r="S7016">
        <v>2.6885680000000001</v>
      </c>
      <c r="T7016">
        <v>-0.1583724</v>
      </c>
      <c r="U7016">
        <v>1.555634</v>
      </c>
      <c r="V7016">
        <v>-0.17708209999999999</v>
      </c>
      <c r="W7016">
        <v>0.1994938</v>
      </c>
      <c r="X7016">
        <v>0.9637656</v>
      </c>
      <c r="Y7016">
        <v>-0.2902342</v>
      </c>
      <c r="Z7016">
        <v>1.121309E-3</v>
      </c>
      <c r="AA7016">
        <v>0.956955</v>
      </c>
      <c r="AB7016">
        <v>25</v>
      </c>
      <c r="AC7016">
        <v>18.797899999999998</v>
      </c>
      <c r="AD7016">
        <v>-1.1139941203529999</v>
      </c>
      <c r="AE7016">
        <v>10.91334</v>
      </c>
      <c r="AF7016">
        <v>-6.3293726431917303</v>
      </c>
      <c r="AG7016">
        <v>-1.1139941203529999</v>
      </c>
      <c r="AH7016">
        <v>20.734725828478801</v>
      </c>
      <c r="AI7016">
        <v>92.941572125394998</v>
      </c>
      <c r="AJ7016">
        <v>106.975056504468</v>
      </c>
      <c r="AK7016">
        <v>21.7078510253492</v>
      </c>
      <c r="AL7016">
        <v>78.492640469280303</v>
      </c>
      <c r="AM7016">
        <v>100.41138778628699</v>
      </c>
      <c r="AN7016">
        <v>0.99999998906110399</v>
      </c>
    </row>
    <row r="7017" spans="1:40" x14ac:dyDescent="0.25">
      <c r="A7017" t="str">
        <f>"20190304155239356"</f>
        <v>20190304155239356</v>
      </c>
      <c r="B7017" t="str">
        <f>"1551685959354228"</f>
        <v>1551685959354228</v>
      </c>
      <c r="C7017" t="s">
        <v>40</v>
      </c>
      <c r="D7017">
        <v>4.701803</v>
      </c>
      <c r="E7017">
        <v>0.45090409999999997</v>
      </c>
      <c r="F7017" t="s">
        <v>77</v>
      </c>
      <c r="G7017">
        <v>-191.02359999999999</v>
      </c>
      <c r="H7017" s="1">
        <v>-1.126281E-6</v>
      </c>
      <c r="I7017">
        <v>-50.356360000000002</v>
      </c>
      <c r="J7017">
        <v>-209.6036</v>
      </c>
      <c r="K7017">
        <v>1.114036</v>
      </c>
      <c r="L7017">
        <v>-61.211519999999901</v>
      </c>
      <c r="M7017">
        <v>0.97302789999999995</v>
      </c>
      <c r="N7017">
        <v>-1.440555E-2</v>
      </c>
      <c r="O7017">
        <v>0.230237</v>
      </c>
      <c r="P7017">
        <v>0.90003449999999996</v>
      </c>
      <c r="Q7017">
        <v>0.18690889999999999</v>
      </c>
      <c r="R7017">
        <v>0.39370379999999999</v>
      </c>
      <c r="S7017">
        <v>2.6842190000000001</v>
      </c>
      <c r="T7017">
        <v>-0.15993370000000001</v>
      </c>
      <c r="U7017">
        <v>1.562775</v>
      </c>
      <c r="V7017">
        <v>-0.17763979999999999</v>
      </c>
      <c r="W7017">
        <v>0.19925970000000001</v>
      </c>
      <c r="X7017">
        <v>0.9637114</v>
      </c>
      <c r="Y7017">
        <v>-0.29030729999999999</v>
      </c>
      <c r="Z7017">
        <v>9.7768940000000004E-4</v>
      </c>
      <c r="AA7017">
        <v>0.95693300000000003</v>
      </c>
      <c r="AB7017">
        <v>25</v>
      </c>
      <c r="AC7017">
        <v>18.579999999999998</v>
      </c>
      <c r="AD7017">
        <v>-1.1140371262809901</v>
      </c>
      <c r="AE7017">
        <v>10.8551599999999</v>
      </c>
      <c r="AF7017">
        <v>-6.2684218565565901</v>
      </c>
      <c r="AG7017">
        <v>-1.1140371262809901</v>
      </c>
      <c r="AH7017">
        <v>20.525242316948098</v>
      </c>
      <c r="AI7017">
        <v>92.971534312707902</v>
      </c>
      <c r="AJ7017">
        <v>106.982704147091</v>
      </c>
      <c r="AK7017">
        <v>21.489992169843301</v>
      </c>
      <c r="AL7017">
        <v>78.506328285495599</v>
      </c>
      <c r="AM7017">
        <v>100.4440313499</v>
      </c>
      <c r="AN7017">
        <v>0.99999999453904498</v>
      </c>
    </row>
    <row r="7018" spans="1:40" x14ac:dyDescent="0.25">
      <c r="A7018" t="str">
        <f>"20190304155239367"</f>
        <v>20190304155239367</v>
      </c>
      <c r="B7018" t="str">
        <f>"1551685959363987"</f>
        <v>1551685959363987</v>
      </c>
      <c r="C7018" t="s">
        <v>40</v>
      </c>
      <c r="D7018">
        <v>4.7333439999999998</v>
      </c>
      <c r="E7018">
        <v>0.45101160000000001</v>
      </c>
      <c r="F7018" t="s">
        <v>77</v>
      </c>
      <c r="G7018">
        <v>-190.9109</v>
      </c>
      <c r="H7018" s="1">
        <v>-1.156305E-6</v>
      </c>
      <c r="I7018">
        <v>-50.263280000000002</v>
      </c>
      <c r="J7018">
        <v>-209.4786</v>
      </c>
      <c r="K7018">
        <v>1.114082</v>
      </c>
      <c r="L7018">
        <v>-61.179020000000001</v>
      </c>
      <c r="M7018">
        <v>0.97237819999999997</v>
      </c>
      <c r="N7018">
        <v>-1.4389809999999999E-2</v>
      </c>
      <c r="O7018">
        <v>0.23296700000000001</v>
      </c>
      <c r="P7018">
        <v>0.89878440000000004</v>
      </c>
      <c r="Q7018">
        <v>0.18667239999999999</v>
      </c>
      <c r="R7018">
        <v>0.39666119999999999</v>
      </c>
      <c r="S7018">
        <v>2.6798099999999998</v>
      </c>
      <c r="T7018">
        <v>-0.1597095</v>
      </c>
      <c r="U7018">
        <v>1.56955</v>
      </c>
      <c r="V7018">
        <v>-0.17811560000000001</v>
      </c>
      <c r="W7018">
        <v>0.19898160000000001</v>
      </c>
      <c r="X7018">
        <v>0.96368100000000001</v>
      </c>
      <c r="Y7018">
        <v>-0.29011239999999999</v>
      </c>
      <c r="Z7018">
        <v>8.6339049999999997E-4</v>
      </c>
      <c r="AA7018">
        <v>0.95699210000000001</v>
      </c>
      <c r="AB7018">
        <v>25</v>
      </c>
      <c r="AC7018">
        <v>18.567699999999999</v>
      </c>
      <c r="AD7018">
        <v>-1.114083156305</v>
      </c>
      <c r="AE7018">
        <v>10.9157399999999</v>
      </c>
      <c r="AF7018">
        <v>-6.27243559211293</v>
      </c>
      <c r="AG7018">
        <v>-1.114083156305</v>
      </c>
      <c r="AH7018">
        <v>20.544998880577701</v>
      </c>
      <c r="AI7018">
        <v>92.968885750538604</v>
      </c>
      <c r="AJ7018">
        <v>106.977551412216</v>
      </c>
      <c r="AK7018">
        <v>21.510035065971099</v>
      </c>
      <c r="AL7018">
        <v>78.5225874022791</v>
      </c>
      <c r="AM7018">
        <v>100.471710262849</v>
      </c>
      <c r="AN7018">
        <v>0.99999995693145904</v>
      </c>
    </row>
    <row r="7019" spans="1:40" x14ac:dyDescent="0.25">
      <c r="A7019" t="str">
        <f>"20190304155239378"</f>
        <v>20190304155239378</v>
      </c>
      <c r="B7019" t="str">
        <f>"1551685959373748"</f>
        <v>1551685959373748</v>
      </c>
      <c r="C7019" t="s">
        <v>40</v>
      </c>
      <c r="D7019">
        <v>4.7394800000000004</v>
      </c>
      <c r="E7019">
        <v>0.451129</v>
      </c>
      <c r="F7019" t="s">
        <v>77</v>
      </c>
      <c r="G7019">
        <v>-190.91820000000001</v>
      </c>
      <c r="H7019" s="1">
        <v>-1.1749510000000001E-6</v>
      </c>
      <c r="I7019">
        <v>-50.234540000000003</v>
      </c>
      <c r="J7019">
        <v>-209.3621</v>
      </c>
      <c r="K7019">
        <v>1.1141289999999999</v>
      </c>
      <c r="L7019">
        <v>-61.148069999999997</v>
      </c>
      <c r="M7019">
        <v>0.97175769999999995</v>
      </c>
      <c r="N7019">
        <v>-1.4372309999999999E-2</v>
      </c>
      <c r="O7019">
        <v>0.23554330000000001</v>
      </c>
      <c r="P7019">
        <v>0.89757869999999995</v>
      </c>
      <c r="Q7019">
        <v>0.1867684</v>
      </c>
      <c r="R7019">
        <v>0.399337</v>
      </c>
      <c r="S7019">
        <v>2.675049</v>
      </c>
      <c r="T7019">
        <v>-0.1605692</v>
      </c>
      <c r="U7019">
        <v>1.577393</v>
      </c>
      <c r="V7019">
        <v>-0.17846090000000001</v>
      </c>
      <c r="W7019">
        <v>0.19903680000000001</v>
      </c>
      <c r="X7019">
        <v>0.96360579999999996</v>
      </c>
      <c r="Y7019">
        <v>-0.29040260000000001</v>
      </c>
      <c r="Z7019">
        <v>7.3980910000000005E-4</v>
      </c>
      <c r="AA7019">
        <v>0.95690430000000004</v>
      </c>
      <c r="AB7019">
        <v>25</v>
      </c>
      <c r="AC7019">
        <v>18.4438999999999</v>
      </c>
      <c r="AD7019">
        <v>-1.114130174951</v>
      </c>
      <c r="AE7019">
        <v>10.9135299999999</v>
      </c>
      <c r="AF7019">
        <v>-6.2447383189929502</v>
      </c>
      <c r="AG7019">
        <v>-1.114130174951</v>
      </c>
      <c r="AH7019">
        <v>20.440481493671498</v>
      </c>
      <c r="AI7019">
        <v>92.983993294931295</v>
      </c>
      <c r="AJ7019">
        <v>106.988350933692</v>
      </c>
      <c r="AK7019">
        <v>21.402133688316301</v>
      </c>
      <c r="AL7019">
        <v>78.519361079029494</v>
      </c>
      <c r="AM7019">
        <v>100.49236126491</v>
      </c>
      <c r="AN7019">
        <v>1.0000000391883399</v>
      </c>
    </row>
    <row r="7020" spans="1:40" x14ac:dyDescent="0.25">
      <c r="A7020" t="str">
        <f>"20190304155239391"</f>
        <v>20190304155239391</v>
      </c>
      <c r="B7020" t="str">
        <f>"1551685959383507"</f>
        <v>1551685959383507</v>
      </c>
      <c r="C7020" t="s">
        <v>40</v>
      </c>
      <c r="D7020">
        <v>4.7268850000000002</v>
      </c>
      <c r="E7020">
        <v>0.45124999999999998</v>
      </c>
      <c r="F7020" t="s">
        <v>77</v>
      </c>
      <c r="G7020">
        <v>-190.8117</v>
      </c>
      <c r="H7020" s="1">
        <v>-1.205425E-6</v>
      </c>
      <c r="I7020">
        <v>-50.143039999999999</v>
      </c>
      <c r="J7020">
        <v>-209.24029999999999</v>
      </c>
      <c r="K7020">
        <v>1.1141799999999999</v>
      </c>
      <c r="L7020">
        <v>-61.115569999999998</v>
      </c>
      <c r="M7020">
        <v>0.97109820000000002</v>
      </c>
      <c r="N7020">
        <v>-1.4355039999999999E-2</v>
      </c>
      <c r="O7020">
        <v>0.23824870000000001</v>
      </c>
      <c r="P7020">
        <v>0.89620529999999998</v>
      </c>
      <c r="Q7020">
        <v>0.1867888</v>
      </c>
      <c r="R7020">
        <v>0.4024006</v>
      </c>
      <c r="S7020">
        <v>2.670776</v>
      </c>
      <c r="T7020">
        <v>-0.1604062</v>
      </c>
      <c r="U7020">
        <v>1.5844419999999999</v>
      </c>
      <c r="V7020">
        <v>-0.17909449999999999</v>
      </c>
      <c r="W7020">
        <v>0.19901289999999999</v>
      </c>
      <c r="X7020">
        <v>0.96349309999999999</v>
      </c>
      <c r="Y7020">
        <v>-0.290280599999999</v>
      </c>
      <c r="Z7020">
        <v>6.2642060000000002E-4</v>
      </c>
      <c r="AA7020">
        <v>0.95694140000000005</v>
      </c>
      <c r="AB7020">
        <v>25</v>
      </c>
      <c r="AC7020">
        <v>18.4285999999999</v>
      </c>
      <c r="AD7020">
        <v>-1.114181205425</v>
      </c>
      <c r="AE7020">
        <v>10.972530000000001</v>
      </c>
      <c r="AF7020">
        <v>-6.2485963225531496</v>
      </c>
      <c r="AG7020">
        <v>-1.114181205425</v>
      </c>
      <c r="AH7020">
        <v>20.457076312776099</v>
      </c>
      <c r="AI7020">
        <v>92.981762625585006</v>
      </c>
      <c r="AJ7020">
        <v>106.98524649785701</v>
      </c>
      <c r="AK7020">
        <v>21.419111256714</v>
      </c>
      <c r="AL7020">
        <v>78.520757527749893</v>
      </c>
      <c r="AM7020">
        <v>100.529985356639</v>
      </c>
      <c r="AN7020">
        <v>0.99999996402213398</v>
      </c>
    </row>
    <row r="7021" spans="1:40" x14ac:dyDescent="0.25">
      <c r="A7021" t="str">
        <f>"20190304155239402"</f>
        <v>20190304155239402</v>
      </c>
      <c r="B7021" t="str">
        <f>"1551685959394243"</f>
        <v>1551685959394243</v>
      </c>
      <c r="C7021" t="s">
        <v>40</v>
      </c>
      <c r="D7021">
        <v>4.7528280000000001</v>
      </c>
      <c r="E7021">
        <v>0.45136870000000001</v>
      </c>
      <c r="F7021" t="s">
        <v>77</v>
      </c>
      <c r="G7021">
        <v>-190.74</v>
      </c>
      <c r="H7021" s="1">
        <v>-1.2366609999999999E-6</v>
      </c>
      <c r="I7021">
        <v>-50.063319999999997</v>
      </c>
      <c r="J7021">
        <v>-209.11920000000001</v>
      </c>
      <c r="K7021">
        <v>1.1142270000000001</v>
      </c>
      <c r="L7021">
        <v>-61.082669999999901</v>
      </c>
      <c r="M7021">
        <v>0.97042390000000001</v>
      </c>
      <c r="N7021">
        <v>-1.434129E-2</v>
      </c>
      <c r="O7021">
        <v>0.24098120000000001</v>
      </c>
      <c r="P7021">
        <v>0.89477569999999995</v>
      </c>
      <c r="Q7021">
        <v>0.18711320000000001</v>
      </c>
      <c r="R7021">
        <v>0.40541959999999999</v>
      </c>
      <c r="S7021">
        <v>2.6658330000000001</v>
      </c>
      <c r="T7021">
        <v>-0.16054979999999999</v>
      </c>
      <c r="U7021">
        <v>1.59259</v>
      </c>
      <c r="V7021">
        <v>-0.179669</v>
      </c>
      <c r="W7021">
        <v>0.19930030000000001</v>
      </c>
      <c r="X7021">
        <v>0.96332680000000004</v>
      </c>
      <c r="Y7021">
        <v>-0.29052519999999998</v>
      </c>
      <c r="Z7021">
        <v>5.164468E-4</v>
      </c>
      <c r="AA7021">
        <v>0.95686720000000003</v>
      </c>
      <c r="AB7021">
        <v>25</v>
      </c>
      <c r="AC7021">
        <v>18.379200000000001</v>
      </c>
      <c r="AD7021">
        <v>-1.1142282366609999</v>
      </c>
      <c r="AE7021">
        <v>11.0193499999999</v>
      </c>
      <c r="AF7021">
        <v>-6.2481508649524597</v>
      </c>
      <c r="AG7021">
        <v>-1.1142282366609999</v>
      </c>
      <c r="AH7021">
        <v>20.437923127281501</v>
      </c>
      <c r="AI7021">
        <v>92.984457467158904</v>
      </c>
      <c r="AJ7021">
        <v>106.99910447111201</v>
      </c>
      <c r="AK7021">
        <v>21.4006914736708</v>
      </c>
      <c r="AL7021">
        <v>78.503955009837497</v>
      </c>
      <c r="AM7021">
        <v>100.564786918542</v>
      </c>
      <c r="AN7021">
        <v>1.0000000413696599</v>
      </c>
    </row>
    <row r="7022" spans="1:40" x14ac:dyDescent="0.25">
      <c r="A7022" t="str">
        <f>"20190304155239413"</f>
        <v>20190304155239413</v>
      </c>
      <c r="B7022" t="str">
        <f>"1551685959404003"</f>
        <v>1551685959404003</v>
      </c>
      <c r="C7022" t="s">
        <v>40</v>
      </c>
      <c r="D7022">
        <v>4.7782400000000003</v>
      </c>
      <c r="E7022">
        <v>0.45150210000000002</v>
      </c>
      <c r="F7022" t="s">
        <v>77</v>
      </c>
      <c r="G7022">
        <v>-190.5455</v>
      </c>
      <c r="H7022" s="1">
        <v>-1.2848660000000001E-6</v>
      </c>
      <c r="I7022">
        <v>-49.908810000000003</v>
      </c>
      <c r="J7022">
        <v>-208.99809999999999</v>
      </c>
      <c r="K7022">
        <v>1.1142700000000001</v>
      </c>
      <c r="L7022">
        <v>-61.0494699999999</v>
      </c>
      <c r="M7022">
        <v>0.96973290000000001</v>
      </c>
      <c r="N7022">
        <v>-1.432921E-2</v>
      </c>
      <c r="O7022">
        <v>0.2437472</v>
      </c>
      <c r="P7022">
        <v>0.89334439999999904</v>
      </c>
      <c r="Q7022">
        <v>0.18730849999999999</v>
      </c>
      <c r="R7022">
        <v>0.40847460000000002</v>
      </c>
      <c r="S7022">
        <v>2.660873</v>
      </c>
      <c r="T7022">
        <v>-0.15962460000000001</v>
      </c>
      <c r="U7022">
        <v>1.6007690000000001</v>
      </c>
      <c r="V7022">
        <v>-0.18024309999999999</v>
      </c>
      <c r="W7022">
        <v>0.19946240000000001</v>
      </c>
      <c r="X7022">
        <v>0.96318599999999999</v>
      </c>
      <c r="Y7022">
        <v>-0.29074840000000002</v>
      </c>
      <c r="Z7022">
        <v>4.3890809999999999E-4</v>
      </c>
      <c r="AA7022">
        <v>0.95679939999999997</v>
      </c>
      <c r="AB7022">
        <v>25</v>
      </c>
      <c r="AC7022">
        <v>18.452599999999901</v>
      </c>
      <c r="AD7022">
        <v>-1.1142712848659999</v>
      </c>
      <c r="AE7022">
        <v>11.140659999999899</v>
      </c>
      <c r="AF7022">
        <v>-6.28953491930403</v>
      </c>
      <c r="AG7022">
        <v>-1.1142712848659999</v>
      </c>
      <c r="AH7022">
        <v>20.556780391566299</v>
      </c>
      <c r="AI7022">
        <v>92.967143578204002</v>
      </c>
      <c r="AJ7022">
        <v>107.011970198331</v>
      </c>
      <c r="AK7022">
        <v>21.526287883992101</v>
      </c>
      <c r="AL7022">
        <v>78.494477135763603</v>
      </c>
      <c r="AM7022">
        <v>100.59929535996901</v>
      </c>
      <c r="AN7022">
        <v>1.0000000473536801</v>
      </c>
    </row>
    <row r="7023" spans="1:40" x14ac:dyDescent="0.25">
      <c r="A7023" t="str">
        <f>"20190304155239426"</f>
        <v>20190304155239426</v>
      </c>
      <c r="B7023" t="str">
        <f>"1551685959413763"</f>
        <v>1551685959413763</v>
      </c>
      <c r="C7023" t="s">
        <v>40</v>
      </c>
      <c r="D7023">
        <v>4.9341749999999998</v>
      </c>
      <c r="E7023">
        <v>0.45158619999999999</v>
      </c>
      <c r="F7023" t="s">
        <v>77</v>
      </c>
      <c r="G7023">
        <v>-190.39760000000001</v>
      </c>
      <c r="H7023" s="1">
        <v>-1.327747E-6</v>
      </c>
      <c r="I7023">
        <v>-49.780810000000002</v>
      </c>
      <c r="J7023">
        <v>-208.8647</v>
      </c>
      <c r="K7023">
        <v>1.114314</v>
      </c>
      <c r="L7023">
        <v>-61.012419999999999</v>
      </c>
      <c r="M7023">
        <v>0.96895189999999998</v>
      </c>
      <c r="N7023">
        <v>-1.43176E-2</v>
      </c>
      <c r="O7023">
        <v>0.24683450000000001</v>
      </c>
      <c r="P7023">
        <v>0.89183869999999899</v>
      </c>
      <c r="Q7023">
        <v>0.1872762</v>
      </c>
      <c r="R7023">
        <v>0.41176629999999997</v>
      </c>
      <c r="S7023">
        <v>2.655853</v>
      </c>
      <c r="T7023">
        <v>-0.15909960000000001</v>
      </c>
      <c r="U7023">
        <v>1.608978</v>
      </c>
      <c r="V7023">
        <v>-0.18074190000000001</v>
      </c>
      <c r="W7023">
        <v>0.19939989999999999</v>
      </c>
      <c r="X7023">
        <v>0.9631054</v>
      </c>
      <c r="Y7023">
        <v>-0.29066969999999998</v>
      </c>
      <c r="Z7023">
        <v>3.2695519999999999E-4</v>
      </c>
      <c r="AA7023">
        <v>0.95682339999999999</v>
      </c>
      <c r="AB7023">
        <v>25</v>
      </c>
      <c r="AC7023">
        <v>18.467099999999899</v>
      </c>
      <c r="AD7023">
        <v>-1.1143153277469999</v>
      </c>
      <c r="AE7023">
        <v>11.23161</v>
      </c>
      <c r="AF7023">
        <v>-6.30845376969065</v>
      </c>
      <c r="AG7023">
        <v>-1.1143153277469999</v>
      </c>
      <c r="AH7023">
        <v>20.613411291892699</v>
      </c>
      <c r="AI7023">
        <v>92.959059413798698</v>
      </c>
      <c r="AJ7023">
        <v>107.016016639283</v>
      </c>
      <c r="AK7023">
        <v>21.5858984687389</v>
      </c>
      <c r="AL7023">
        <v>78.498130781865001</v>
      </c>
      <c r="AM7023">
        <v>100.628829403862</v>
      </c>
      <c r="AN7023">
        <v>0.99999998302238902</v>
      </c>
    </row>
    <row r="7024" spans="1:40" x14ac:dyDescent="0.25">
      <c r="A7024" t="str">
        <f>"20190304155239440"</f>
        <v>20190304155239440</v>
      </c>
      <c r="B7024" t="str">
        <f>"1551685959434260"</f>
        <v>1551685959434260</v>
      </c>
      <c r="C7024" t="s">
        <v>40</v>
      </c>
      <c r="D7024">
        <v>4.7941050000000001</v>
      </c>
      <c r="E7024">
        <v>0.45187640000000001</v>
      </c>
      <c r="F7024" t="s">
        <v>77</v>
      </c>
      <c r="G7024">
        <v>-190.38059999999999</v>
      </c>
      <c r="H7024" s="1">
        <v>-1.356765E-6</v>
      </c>
      <c r="I7024">
        <v>-49.72542</v>
      </c>
      <c r="J7024">
        <v>-208.7259</v>
      </c>
      <c r="K7024">
        <v>1.1143529999999999</v>
      </c>
      <c r="L7024">
        <v>-60.973210000000002</v>
      </c>
      <c r="M7024">
        <v>0.96810969999999996</v>
      </c>
      <c r="N7024">
        <v>-1.430652E-2</v>
      </c>
      <c r="O7024">
        <v>0.25011830000000002</v>
      </c>
      <c r="P7024">
        <v>0.89017549999999901</v>
      </c>
      <c r="Q7024">
        <v>0.18735679999999999</v>
      </c>
      <c r="R7024">
        <v>0.4153133</v>
      </c>
      <c r="S7024">
        <v>2.650223</v>
      </c>
      <c r="T7024">
        <v>-0.1597693</v>
      </c>
      <c r="U7024">
        <v>1.618317</v>
      </c>
      <c r="V7024">
        <v>-0.18133060000000001</v>
      </c>
      <c r="W7024">
        <v>0.19944990000000001</v>
      </c>
      <c r="X7024">
        <v>0.96298439999999996</v>
      </c>
      <c r="Y7024">
        <v>-0.2907865</v>
      </c>
      <c r="Z7024">
        <v>1.7440129999999999E-4</v>
      </c>
      <c r="AA7024">
        <v>0.95678790000000002</v>
      </c>
      <c r="AB7024">
        <v>25</v>
      </c>
      <c r="AC7024">
        <v>18.345300000000002</v>
      </c>
      <c r="AD7024">
        <v>-1.1143543567649901</v>
      </c>
      <c r="AE7024">
        <v>11.247789999999901</v>
      </c>
      <c r="AF7024">
        <v>-6.2843907983363403</v>
      </c>
      <c r="AG7024">
        <v>-1.1143543567649901</v>
      </c>
      <c r="AH7024">
        <v>20.5206146986758</v>
      </c>
      <c r="AI7024">
        <v>92.972345108379599</v>
      </c>
      <c r="AJ7024">
        <v>107.02708620166</v>
      </c>
      <c r="AK7024">
        <v>21.4902531616118</v>
      </c>
      <c r="AL7024">
        <v>78.495207488413797</v>
      </c>
      <c r="AM7024">
        <v>100.663965390035</v>
      </c>
      <c r="AN7024">
        <v>1.00000000187486</v>
      </c>
    </row>
    <row r="7025" spans="1:40" x14ac:dyDescent="0.25">
      <c r="A7025" t="str">
        <f>"20190304155239453"</f>
        <v>20190304155239453</v>
      </c>
      <c r="B7025" t="str">
        <f>"1551685959444019"</f>
        <v>1551685959444019</v>
      </c>
      <c r="C7025" t="s">
        <v>40</v>
      </c>
      <c r="D7025">
        <v>4.7853199999999996</v>
      </c>
      <c r="E7025">
        <v>0.45200790000000002</v>
      </c>
      <c r="F7025" t="s">
        <v>77</v>
      </c>
      <c r="G7025">
        <v>-190.3116</v>
      </c>
      <c r="H7025" s="1">
        <v>-1.3885929999999999E-6</v>
      </c>
      <c r="I7025">
        <v>-49.64573</v>
      </c>
      <c r="J7025">
        <v>-208.58619999999999</v>
      </c>
      <c r="K7025">
        <v>1.1143970000000001</v>
      </c>
      <c r="L7025">
        <v>-60.933259999999997</v>
      </c>
      <c r="M7025">
        <v>0.96723879999999995</v>
      </c>
      <c r="N7025">
        <v>-1.429573E-2</v>
      </c>
      <c r="O7025">
        <v>0.25346540000000001</v>
      </c>
      <c r="P7025">
        <v>0.88857649999999999</v>
      </c>
      <c r="Q7025">
        <v>0.18742549999999999</v>
      </c>
      <c r="R7025">
        <v>0.41869269999999997</v>
      </c>
      <c r="S7025">
        <v>2.6447750000000001</v>
      </c>
      <c r="T7025">
        <v>-0.16005039999999901</v>
      </c>
      <c r="U7025">
        <v>1.6269229999999999</v>
      </c>
      <c r="V7025">
        <v>-0.18167900000000001</v>
      </c>
      <c r="W7025">
        <v>0.19949049999999999</v>
      </c>
      <c r="X7025">
        <v>0.96291040000000006</v>
      </c>
      <c r="Y7025">
        <v>-0.29061720000000002</v>
      </c>
      <c r="Z7025" s="1">
        <v>2.1424609999999999E-5</v>
      </c>
      <c r="AA7025">
        <v>0.95683940000000001</v>
      </c>
      <c r="AB7025">
        <v>25</v>
      </c>
      <c r="AC7025">
        <v>18.2745999999999</v>
      </c>
      <c r="AD7025">
        <v>-1.11439838859299</v>
      </c>
      <c r="AE7025">
        <v>11.287529999999901</v>
      </c>
      <c r="AF7025">
        <v>-6.2695247637500797</v>
      </c>
      <c r="AG7025">
        <v>-1.11439838859299</v>
      </c>
      <c r="AH7025">
        <v>20.483862500845799</v>
      </c>
      <c r="AI7025">
        <v>92.977932625606201</v>
      </c>
      <c r="AJ7025">
        <v>107.017852035206</v>
      </c>
      <c r="AK7025">
        <v>21.450814611229401</v>
      </c>
      <c r="AL7025">
        <v>78.492834467452198</v>
      </c>
      <c r="AM7025">
        <v>100.684785560378</v>
      </c>
      <c r="AN7025">
        <v>1.0000000785297001</v>
      </c>
    </row>
    <row r="7026" spans="1:40" x14ac:dyDescent="0.25">
      <c r="A7026" t="str">
        <f>"20190304155239468"</f>
        <v>20190304155239468</v>
      </c>
      <c r="B7026" t="str">
        <f>"1551685959463539"</f>
        <v>1551685959463539</v>
      </c>
      <c r="C7026" t="s">
        <v>40</v>
      </c>
      <c r="D7026">
        <v>4.9648510000000003</v>
      </c>
      <c r="E7026">
        <v>0.45223869999999999</v>
      </c>
      <c r="F7026" t="s">
        <v>77</v>
      </c>
      <c r="G7026">
        <v>-190.2201</v>
      </c>
      <c r="H7026" s="1">
        <v>-1.426375E-6</v>
      </c>
      <c r="I7026">
        <v>-49.547499999999999</v>
      </c>
      <c r="J7026">
        <v>-208.43190000000001</v>
      </c>
      <c r="K7026">
        <v>1.1144480000000001</v>
      </c>
      <c r="L7026">
        <v>-60.88861</v>
      </c>
      <c r="M7026">
        <v>0.96624949999999998</v>
      </c>
      <c r="N7026">
        <v>-1.428432E-2</v>
      </c>
      <c r="O7026">
        <v>0.25721159999999998</v>
      </c>
      <c r="P7026">
        <v>0.88672600000000001</v>
      </c>
      <c r="Q7026">
        <v>0.18772150000000001</v>
      </c>
      <c r="R7026">
        <v>0.42246610000000001</v>
      </c>
      <c r="S7026">
        <v>2.6390690000000001</v>
      </c>
      <c r="T7026">
        <v>-0.16013060000000001</v>
      </c>
      <c r="U7026">
        <v>1.636047</v>
      </c>
      <c r="V7026">
        <v>-0.18207860000000001</v>
      </c>
      <c r="W7026">
        <v>0.1997536</v>
      </c>
      <c r="X7026">
        <v>0.96278030000000003</v>
      </c>
      <c r="Y7026">
        <v>-0.29022920000000002</v>
      </c>
      <c r="Z7026">
        <v>-1.4849009999999999E-4</v>
      </c>
      <c r="AA7026">
        <v>0.95695719999999995</v>
      </c>
      <c r="AB7026">
        <v>25</v>
      </c>
      <c r="AC7026">
        <v>18.2118</v>
      </c>
      <c r="AD7026">
        <v>-1.11444942637499</v>
      </c>
      <c r="AE7026">
        <v>11.34111</v>
      </c>
      <c r="AF7026">
        <v>-6.2578106108746603</v>
      </c>
      <c r="AG7026">
        <v>-1.11444942637499</v>
      </c>
      <c r="AH7026">
        <v>20.461091474931699</v>
      </c>
      <c r="AI7026">
        <v>92.981570133078094</v>
      </c>
      <c r="AJ7026">
        <v>107.00570330744</v>
      </c>
      <c r="AK7026">
        <v>21.4256494769947</v>
      </c>
      <c r="AL7026">
        <v>78.477449530838101</v>
      </c>
      <c r="AM7026">
        <v>100.709157225564</v>
      </c>
      <c r="AN7026">
        <v>1.0000000116795</v>
      </c>
    </row>
    <row r="7027" spans="1:40" x14ac:dyDescent="0.25">
      <c r="A7027" t="str">
        <f>"20190304155239480"</f>
        <v>20190304155239480</v>
      </c>
      <c r="B7027" t="str">
        <f>"1551685959474276"</f>
        <v>1551685959474276</v>
      </c>
      <c r="C7027" t="s">
        <v>40</v>
      </c>
      <c r="D7027">
        <v>4.9556879999999897</v>
      </c>
      <c r="E7027">
        <v>0.4521905</v>
      </c>
      <c r="F7027" t="s">
        <v>77</v>
      </c>
      <c r="G7027">
        <v>-190.08840000000001</v>
      </c>
      <c r="H7027" s="1">
        <v>-1.4702740000000001E-6</v>
      </c>
      <c r="I7027">
        <v>-49.423859999999998</v>
      </c>
      <c r="J7027">
        <v>-208.29580000000001</v>
      </c>
      <c r="K7027">
        <v>1.114493</v>
      </c>
      <c r="L7027">
        <v>-60.848390000000002</v>
      </c>
      <c r="M7027">
        <v>0.9653465</v>
      </c>
      <c r="N7027">
        <v>-1.427579E-2</v>
      </c>
      <c r="O7027">
        <v>0.2605807</v>
      </c>
      <c r="P7027">
        <v>0.88484909999999894</v>
      </c>
      <c r="Q7027">
        <v>0.18764790000000001</v>
      </c>
      <c r="R7027">
        <v>0.42641580000000001</v>
      </c>
      <c r="S7027">
        <v>2.633041</v>
      </c>
      <c r="T7027">
        <v>-0.1599691</v>
      </c>
      <c r="U7027">
        <v>1.6456599999999999</v>
      </c>
      <c r="V7027">
        <v>-0.18302779999999999</v>
      </c>
      <c r="W7027">
        <v>0.19964509999999999</v>
      </c>
      <c r="X7027">
        <v>0.9626228</v>
      </c>
      <c r="Y7027">
        <v>-0.2903906</v>
      </c>
      <c r="Z7027">
        <v>-2.7479000000000002E-4</v>
      </c>
      <c r="AA7027">
        <v>0.95690819999999999</v>
      </c>
      <c r="AB7027">
        <v>25</v>
      </c>
      <c r="AC7027">
        <v>18.2074</v>
      </c>
      <c r="AD7027">
        <v>-1.1144944702740001</v>
      </c>
      <c r="AE7027">
        <v>11.424530000000001</v>
      </c>
      <c r="AF7027">
        <v>-6.2679231785065896</v>
      </c>
      <c r="AG7027">
        <v>-1.1144944702740001</v>
      </c>
      <c r="AH7027">
        <v>20.500444518760901</v>
      </c>
      <c r="AI7027">
        <v>92.976054944507197</v>
      </c>
      <c r="AJ7027">
        <v>107.000788009666</v>
      </c>
      <c r="AK7027">
        <v>21.4661870010192</v>
      </c>
      <c r="AL7027">
        <v>78.483793760261406</v>
      </c>
      <c r="AM7027">
        <v>100.76540440962999</v>
      </c>
      <c r="AN7027">
        <v>0.99999999830334496</v>
      </c>
    </row>
    <row r="7028" spans="1:40" x14ac:dyDescent="0.25">
      <c r="A7028" t="str">
        <f>"20190304155239491"</f>
        <v>20190304155239491</v>
      </c>
      <c r="B7028" t="str">
        <f>"1551685959484036"</f>
        <v>1551685959484036</v>
      </c>
      <c r="C7028" t="s">
        <v>40</v>
      </c>
      <c r="D7028">
        <v>5.9600280000000003</v>
      </c>
      <c r="E7028">
        <v>0.4521905</v>
      </c>
      <c r="F7028" t="s">
        <v>77</v>
      </c>
      <c r="G7028">
        <v>-190.11600000000001</v>
      </c>
      <c r="H7028" s="1">
        <v>-1.50761599999999E-6</v>
      </c>
      <c r="I7028">
        <v>-49.371160000000003</v>
      </c>
      <c r="J7028">
        <v>-208.18180000000001</v>
      </c>
      <c r="K7028">
        <v>1.114533</v>
      </c>
      <c r="L7028">
        <v>-60.814419999999998</v>
      </c>
      <c r="M7028">
        <v>0.96457579999999998</v>
      </c>
      <c r="N7028">
        <v>-1.4268970000000001E-2</v>
      </c>
      <c r="O7028">
        <v>0.26341959999999998</v>
      </c>
      <c r="P7028">
        <v>0.8833046</v>
      </c>
      <c r="Q7028">
        <v>0.1876109</v>
      </c>
      <c r="R7028">
        <v>0.42962220000000001</v>
      </c>
      <c r="S7028">
        <v>2.625702</v>
      </c>
      <c r="T7028">
        <v>-0.16096629999999901</v>
      </c>
      <c r="U7028">
        <v>1.657654</v>
      </c>
      <c r="V7028">
        <v>-0.1837009</v>
      </c>
      <c r="W7028">
        <v>0.19957929999999999</v>
      </c>
      <c r="X7028">
        <v>0.96250820000000004</v>
      </c>
      <c r="Y7028">
        <v>-0.29190529999999998</v>
      </c>
      <c r="Z7028">
        <v>-3.7738540000000002E-4</v>
      </c>
      <c r="AA7028">
        <v>0.95644720000000005</v>
      </c>
      <c r="AB7028">
        <v>25</v>
      </c>
      <c r="AC7028">
        <v>18.065799999999999</v>
      </c>
      <c r="AD7028">
        <v>-1.114534507616</v>
      </c>
      <c r="AE7028">
        <v>11.44326</v>
      </c>
      <c r="AF7028">
        <v>-6.26263456838781</v>
      </c>
      <c r="AG7028">
        <v>-1.114534507616</v>
      </c>
      <c r="AH7028">
        <v>20.386918566427799</v>
      </c>
      <c r="AI7028">
        <v>92.991497054936403</v>
      </c>
      <c r="AJ7028">
        <v>107.076375310972</v>
      </c>
      <c r="AK7028">
        <v>21.3562456330693</v>
      </c>
      <c r="AL7028">
        <v>78.487640997356294</v>
      </c>
      <c r="AM7028">
        <v>100.80532097675901</v>
      </c>
      <c r="AN7028">
        <v>0.99999997635826898</v>
      </c>
    </row>
    <row r="7029" spans="1:40" x14ac:dyDescent="0.25">
      <c r="A7029" t="str">
        <f>"20190304155239501"</f>
        <v>20190304155239501</v>
      </c>
      <c r="B7029" t="str">
        <f>"1551685959493795"</f>
        <v>1551685959493795</v>
      </c>
      <c r="C7029" t="s">
        <v>40</v>
      </c>
      <c r="D7029">
        <v>4.9279710000000003</v>
      </c>
      <c r="E7029">
        <v>0.4520265</v>
      </c>
      <c r="F7029" t="s">
        <v>77</v>
      </c>
      <c r="G7029">
        <v>-190.059</v>
      </c>
      <c r="H7029" s="1">
        <v>-1.547324E-6</v>
      </c>
      <c r="I7029">
        <v>-49.282670000000003</v>
      </c>
      <c r="J7029">
        <v>-208.0754</v>
      </c>
      <c r="K7029">
        <v>1.114573</v>
      </c>
      <c r="L7029">
        <v>-60.782260000000001</v>
      </c>
      <c r="M7029">
        <v>0.96384049999999999</v>
      </c>
      <c r="N7029">
        <v>-1.426329E-2</v>
      </c>
      <c r="O7029">
        <v>0.2660978</v>
      </c>
      <c r="P7029">
        <v>0.88201629999999998</v>
      </c>
      <c r="Q7029">
        <v>0.18749199999999999</v>
      </c>
      <c r="R7029">
        <v>0.43231229999999998</v>
      </c>
      <c r="S7029">
        <v>2.6197659999999998</v>
      </c>
      <c r="T7029">
        <v>-0.16111349999999999</v>
      </c>
      <c r="U7029">
        <v>1.66699199999999</v>
      </c>
      <c r="V7029">
        <v>-0.1839683</v>
      </c>
      <c r="W7029">
        <v>0.19943959999999999</v>
      </c>
      <c r="X7029">
        <v>0.96248610000000001</v>
      </c>
      <c r="Y7029">
        <v>-0.29265730000000001</v>
      </c>
      <c r="Z7029">
        <v>-4.6770090000000002E-4</v>
      </c>
      <c r="AA7029">
        <v>0.95621730000000005</v>
      </c>
      <c r="AB7029">
        <v>25</v>
      </c>
      <c r="AC7029">
        <v>18.016399999999901</v>
      </c>
      <c r="AD7029">
        <v>-1.1145745473240001</v>
      </c>
      <c r="AE7029">
        <v>11.4995899999999</v>
      </c>
      <c r="AF7029">
        <v>-6.2732270921524096</v>
      </c>
      <c r="AG7029">
        <v>-1.1145745473240001</v>
      </c>
      <c r="AH7029">
        <v>20.371632384408301</v>
      </c>
      <c r="AI7029">
        <v>92.993214948683999</v>
      </c>
      <c r="AJ7029">
        <v>107.11565801454699</v>
      </c>
      <c r="AK7029">
        <v>21.344766585201398</v>
      </c>
      <c r="AL7029">
        <v>78.495809608663706</v>
      </c>
      <c r="AM7029">
        <v>100.820921014218</v>
      </c>
      <c r="AN7029">
        <v>0.99999999107312998</v>
      </c>
    </row>
    <row r="7030" spans="1:40" x14ac:dyDescent="0.25">
      <c r="A7030" t="str">
        <f>"20190304155239513"</f>
        <v>20190304155239513</v>
      </c>
      <c r="B7030" t="str">
        <f>"1551685959503555"</f>
        <v>1551685959503555</v>
      </c>
      <c r="C7030" t="s">
        <v>40</v>
      </c>
      <c r="D7030">
        <v>4.8216099999999997</v>
      </c>
      <c r="E7030">
        <v>0.4520265</v>
      </c>
      <c r="F7030" t="s">
        <v>77</v>
      </c>
      <c r="G7030">
        <v>-190.10470000000001</v>
      </c>
      <c r="H7030" s="1">
        <v>-1.5707259999999999E-6</v>
      </c>
      <c r="I7030">
        <v>-49.260289999999998</v>
      </c>
      <c r="J7030">
        <v>-207.95480000000001</v>
      </c>
      <c r="K7030">
        <v>1.114619</v>
      </c>
      <c r="L7030">
        <v>-60.745420000000003</v>
      </c>
      <c r="M7030">
        <v>0.96298890000000004</v>
      </c>
      <c r="N7030">
        <v>-1.42572999999999E-2</v>
      </c>
      <c r="O7030">
        <v>0.26916410000000002</v>
      </c>
      <c r="P7030">
        <v>0.88052059999999999</v>
      </c>
      <c r="Q7030">
        <v>0.18700520000000001</v>
      </c>
      <c r="R7030">
        <v>0.43556020000000001</v>
      </c>
      <c r="S7030">
        <v>2.6142270000000001</v>
      </c>
      <c r="T7030">
        <v>-0.1621387</v>
      </c>
      <c r="U7030">
        <v>1.6761170000000001</v>
      </c>
      <c r="V7030">
        <v>-0.18443770000000001</v>
      </c>
      <c r="W7030">
        <v>0.19892689999999999</v>
      </c>
      <c r="X7030">
        <v>0.96250239999999998</v>
      </c>
      <c r="Y7030">
        <v>-0.29289979999999999</v>
      </c>
      <c r="Z7030">
        <v>-6.2629720000000001E-4</v>
      </c>
      <c r="AA7030">
        <v>0.95614299999999997</v>
      </c>
      <c r="AB7030">
        <v>25</v>
      </c>
      <c r="AC7030">
        <v>17.850099999999902</v>
      </c>
      <c r="AD7030">
        <v>-1.114620570726</v>
      </c>
      <c r="AE7030">
        <v>11.4851299999999</v>
      </c>
      <c r="AF7030">
        <v>-6.2388777029690798</v>
      </c>
      <c r="AG7030">
        <v>-1.114620570726</v>
      </c>
      <c r="AH7030">
        <v>20.2271146799619</v>
      </c>
      <c r="AI7030">
        <v>93.014260564020603</v>
      </c>
      <c r="AJ7030">
        <v>107.14192372306501</v>
      </c>
      <c r="AK7030">
        <v>21.196748389449301</v>
      </c>
      <c r="AL7030">
        <v>78.525786186346707</v>
      </c>
      <c r="AM7030">
        <v>100.847697239985</v>
      </c>
      <c r="AN7030">
        <v>1.0000000233653199</v>
      </c>
    </row>
    <row r="7031" spans="1:40" x14ac:dyDescent="0.25">
      <c r="A7031" t="str">
        <f>"20190304155239524"</f>
        <v>20190304155239524</v>
      </c>
      <c r="B7031" t="str">
        <f>"1551685959514292"</f>
        <v>1551685959514292</v>
      </c>
      <c r="C7031" t="s">
        <v>40</v>
      </c>
      <c r="D7031">
        <v>4.7147269999999999</v>
      </c>
      <c r="E7031">
        <v>0.43750820000000001</v>
      </c>
      <c r="F7031" t="s">
        <v>77</v>
      </c>
      <c r="G7031">
        <v>-190.2002</v>
      </c>
      <c r="H7031" s="1">
        <v>-1.5851719999999999E-6</v>
      </c>
      <c r="I7031">
        <v>-49.27176</v>
      </c>
      <c r="J7031">
        <v>-207.84299999999999</v>
      </c>
      <c r="K7031">
        <v>1.1146590000000001</v>
      </c>
      <c r="L7031">
        <v>-60.710970000000003</v>
      </c>
      <c r="M7031">
        <v>0.96218309999999996</v>
      </c>
      <c r="N7031">
        <v>-1.425213E-2</v>
      </c>
      <c r="O7031">
        <v>0.27203070000000001</v>
      </c>
      <c r="P7031">
        <v>0.87899640000000001</v>
      </c>
      <c r="Q7031">
        <v>0.1871381</v>
      </c>
      <c r="R7031">
        <v>0.43857109999999999</v>
      </c>
      <c r="S7031">
        <v>2.6081089999999998</v>
      </c>
      <c r="T7031">
        <v>-0.1637352</v>
      </c>
      <c r="U7031">
        <v>1.6854549999999999</v>
      </c>
      <c r="V7031">
        <v>-0.1848911</v>
      </c>
      <c r="W7031">
        <v>0.1990344</v>
      </c>
      <c r="X7031">
        <v>0.96239319999999895</v>
      </c>
      <c r="Y7031">
        <v>-0.29348740000000001</v>
      </c>
      <c r="Z7031">
        <v>-7.9079669999999999E-4</v>
      </c>
      <c r="AA7031">
        <v>0.9559626</v>
      </c>
      <c r="AB7031">
        <v>25</v>
      </c>
      <c r="AC7031">
        <v>17.642799999999902</v>
      </c>
      <c r="AD7031">
        <v>-1.114660585172</v>
      </c>
      <c r="AE7031">
        <v>11.4392099999999</v>
      </c>
      <c r="AF7031">
        <v>-6.19046476790691</v>
      </c>
      <c r="AG7031">
        <v>-1.114660585172</v>
      </c>
      <c r="AH7031">
        <v>20.033161570752601</v>
      </c>
      <c r="AI7031">
        <v>93.043010247697495</v>
      </c>
      <c r="AJ7031">
        <v>107.171717750637</v>
      </c>
      <c r="AK7031">
        <v>20.9974256703699</v>
      </c>
      <c r="AL7031">
        <v>78.519501421183307</v>
      </c>
      <c r="AM7031">
        <v>100.874933376266</v>
      </c>
      <c r="AN7031">
        <v>1.0000000413243999</v>
      </c>
    </row>
    <row r="7032" spans="1:40" x14ac:dyDescent="0.25">
      <c r="A7032" t="str">
        <f>"20190304155239535"</f>
        <v>20190304155239535</v>
      </c>
      <c r="B7032" t="str">
        <f>"1551685959533811"</f>
        <v>1551685959533811</v>
      </c>
      <c r="C7032" t="s">
        <v>40</v>
      </c>
      <c r="D7032">
        <v>4.647513</v>
      </c>
      <c r="E7032">
        <v>0.41375990000000001</v>
      </c>
      <c r="F7032" t="s">
        <v>77</v>
      </c>
      <c r="G7032">
        <v>-189.69730000000001</v>
      </c>
      <c r="H7032" s="1">
        <v>-4.7296289999999997E-6</v>
      </c>
      <c r="I7032">
        <v>-47.915329999999997</v>
      </c>
      <c r="J7032">
        <v>-207.7235</v>
      </c>
      <c r="K7032">
        <v>1.1147089999999999</v>
      </c>
      <c r="L7032">
        <v>-60.673490000000001</v>
      </c>
      <c r="M7032">
        <v>0.96129799999999999</v>
      </c>
      <c r="N7032">
        <v>-1.424742E-2</v>
      </c>
      <c r="O7032">
        <v>0.27514189999999999</v>
      </c>
      <c r="P7032">
        <v>0.87742070000000005</v>
      </c>
      <c r="Q7032">
        <v>0.18704519999999999</v>
      </c>
      <c r="R7032">
        <v>0.4417546</v>
      </c>
      <c r="S7032">
        <v>2.549347</v>
      </c>
      <c r="T7032">
        <v>-0.15660260000000001</v>
      </c>
      <c r="U7032">
        <v>1.7976989999999999</v>
      </c>
      <c r="V7032">
        <v>-0.18527879999999999</v>
      </c>
      <c r="W7032">
        <v>0.1989167</v>
      </c>
      <c r="X7032">
        <v>0.9623429</v>
      </c>
      <c r="Y7032">
        <v>-0.32881870000000002</v>
      </c>
      <c r="Z7032">
        <v>5.894909E-4</v>
      </c>
      <c r="AA7032">
        <v>0.94439289999999998</v>
      </c>
      <c r="AB7032">
        <v>25</v>
      </c>
      <c r="AC7032">
        <v>18.0261999999999</v>
      </c>
      <c r="AD7032">
        <v>-1.1147137296289999</v>
      </c>
      <c r="AE7032">
        <v>12.75816</v>
      </c>
      <c r="AF7032">
        <v>-7.2868074928117696</v>
      </c>
      <c r="AG7032">
        <v>-1.1147137296289999</v>
      </c>
      <c r="AH7032">
        <v>20.788007637142201</v>
      </c>
      <c r="AI7032">
        <v>92.896929406406997</v>
      </c>
      <c r="AJ7032">
        <v>109.31706306464299</v>
      </c>
      <c r="AK7032">
        <v>22.056323620635499</v>
      </c>
      <c r="AL7032">
        <v>78.526381926066506</v>
      </c>
      <c r="AM7032">
        <v>100.897747667704</v>
      </c>
      <c r="AN7032">
        <v>0.99999997222436898</v>
      </c>
    </row>
    <row r="7033" spans="1:40" x14ac:dyDescent="0.25">
      <c r="A7033" t="str">
        <f>"20190304155239546"</f>
        <v>20190304155239546</v>
      </c>
      <c r="B7033" t="str">
        <f>"1551685959543572"</f>
        <v>1551685959543572</v>
      </c>
      <c r="C7033" t="s">
        <v>40</v>
      </c>
      <c r="D7033">
        <v>4.6806349999999997</v>
      </c>
      <c r="E7033">
        <v>0.41427819999999999</v>
      </c>
      <c r="F7033" t="s">
        <v>42</v>
      </c>
      <c r="G7033">
        <v>-155.48269999999999</v>
      </c>
      <c r="H7033">
        <v>-0.05</v>
      </c>
      <c r="I7033">
        <v>-18.445399999999999</v>
      </c>
      <c r="J7033">
        <v>-207.6148</v>
      </c>
      <c r="K7033">
        <v>1.114752</v>
      </c>
      <c r="L7033">
        <v>-60.639220000000002</v>
      </c>
      <c r="M7033">
        <v>0.96047959999999999</v>
      </c>
      <c r="N7033">
        <v>-1.424329E-2</v>
      </c>
      <c r="O7033">
        <v>0.27798590000000001</v>
      </c>
      <c r="P7033">
        <v>0.87591839999999999</v>
      </c>
      <c r="Q7033">
        <v>0.1868553</v>
      </c>
      <c r="R7033">
        <v>0.44480570000000003</v>
      </c>
      <c r="S7033">
        <v>2.4383539999999999</v>
      </c>
      <c r="T7033">
        <v>-5.4363130000000003E-2</v>
      </c>
      <c r="U7033">
        <v>1.9710080000000001</v>
      </c>
      <c r="V7033">
        <v>-0.18578349999999999</v>
      </c>
      <c r="W7033">
        <v>0.1987022</v>
      </c>
      <c r="X7033">
        <v>0.96228990000000003</v>
      </c>
      <c r="Y7033">
        <v>-0.38753660000000001</v>
      </c>
      <c r="Z7033">
        <v>5.257729E-3</v>
      </c>
      <c r="AA7033">
        <v>0.92183930000000003</v>
      </c>
      <c r="AB7033">
        <v>24</v>
      </c>
      <c r="AC7033">
        <v>52.132100000000001</v>
      </c>
      <c r="AD7033">
        <v>-1.164752</v>
      </c>
      <c r="AE7033">
        <v>42.193820000000002</v>
      </c>
      <c r="AF7033">
        <v>-26.029104065412302</v>
      </c>
      <c r="AG7033">
        <v>-1.164752</v>
      </c>
      <c r="AH7033">
        <v>61.788736600918</v>
      </c>
      <c r="AI7033">
        <v>90.995245146940505</v>
      </c>
      <c r="AJ7033">
        <v>112.84373052168699</v>
      </c>
      <c r="AK7033">
        <v>67.057578814084806</v>
      </c>
      <c r="AL7033">
        <v>78.538922083879498</v>
      </c>
      <c r="AM7033">
        <v>100.927306879472</v>
      </c>
      <c r="AN7033">
        <v>0.99999996239954902</v>
      </c>
    </row>
    <row r="7034" spans="1:40" x14ac:dyDescent="0.25">
      <c r="A7034" t="str">
        <f>"20190304155239558"</f>
        <v>20190304155239558</v>
      </c>
      <c r="B7034" t="str">
        <f>"1551685959554308"</f>
        <v>1551685959554308</v>
      </c>
      <c r="C7034" t="s">
        <v>40</v>
      </c>
      <c r="D7034">
        <v>4.6894780000000003</v>
      </c>
      <c r="E7034">
        <v>0.41427819999999999</v>
      </c>
      <c r="F7034" t="s">
        <v>42</v>
      </c>
      <c r="G7034">
        <v>-158.22069999999999</v>
      </c>
      <c r="H7034">
        <v>-0.05</v>
      </c>
      <c r="I7034">
        <v>-20.539860000000001</v>
      </c>
      <c r="J7034">
        <v>-207.49719999999999</v>
      </c>
      <c r="K7034">
        <v>1.1147959999999999</v>
      </c>
      <c r="L7034">
        <v>-60.601410000000001</v>
      </c>
      <c r="M7034">
        <v>0.95956609999999998</v>
      </c>
      <c r="N7034">
        <v>-1.424019E-2</v>
      </c>
      <c r="O7034">
        <v>0.28112310000000001</v>
      </c>
      <c r="P7034">
        <v>0.87431250000000005</v>
      </c>
      <c r="Q7034">
        <v>0.1872065</v>
      </c>
      <c r="R7034">
        <v>0.44780750000000002</v>
      </c>
      <c r="S7034">
        <v>2.433853</v>
      </c>
      <c r="T7034">
        <v>-5.7392119999999998E-2</v>
      </c>
      <c r="U7034">
        <v>1.9758610000000001</v>
      </c>
      <c r="V7034">
        <v>-0.1859825</v>
      </c>
      <c r="W7034">
        <v>0.19903019999999999</v>
      </c>
      <c r="X7034">
        <v>0.96218369999999998</v>
      </c>
      <c r="Y7034">
        <v>-0.38645839999999998</v>
      </c>
      <c r="Z7034">
        <v>5.136893E-3</v>
      </c>
      <c r="AA7034">
        <v>0.92229249999999996</v>
      </c>
      <c r="AB7034">
        <v>24</v>
      </c>
      <c r="AC7034">
        <v>49.276499999999999</v>
      </c>
      <c r="AD7034">
        <v>-1.1647959999999999</v>
      </c>
      <c r="AE7034">
        <v>40.061549999999997</v>
      </c>
      <c r="AF7034">
        <v>-24.583165488787198</v>
      </c>
      <c r="AG7034">
        <v>-1.1647959999999999</v>
      </c>
      <c r="AH7034">
        <v>58.5325301383143</v>
      </c>
      <c r="AI7034">
        <v>91.051115135071797</v>
      </c>
      <c r="AJ7034">
        <v>112.78199203960401</v>
      </c>
      <c r="AK7034">
        <v>63.496030266178003</v>
      </c>
      <c r="AL7034">
        <v>78.519746398626097</v>
      </c>
      <c r="AM7034">
        <v>100.939907561813</v>
      </c>
      <c r="AN7034">
        <v>0.99999999168198905</v>
      </c>
    </row>
    <row r="7035" spans="1:40" x14ac:dyDescent="0.25">
      <c r="A7035" t="str">
        <f>"20190304155239568"</f>
        <v>20190304155239568</v>
      </c>
      <c r="B7035" t="str">
        <f>"1551685959564068"</f>
        <v>1551685959564068</v>
      </c>
      <c r="C7035" t="s">
        <v>40</v>
      </c>
      <c r="D7035">
        <v>4.6714760000000002</v>
      </c>
      <c r="E7035">
        <v>0.4307317</v>
      </c>
      <c r="F7035" t="s">
        <v>42</v>
      </c>
      <c r="G7035">
        <v>-157.27090000000001</v>
      </c>
      <c r="H7035">
        <v>-0.05</v>
      </c>
      <c r="I7035">
        <v>-19.540410000000001</v>
      </c>
      <c r="J7035">
        <v>-207.38040000000001</v>
      </c>
      <c r="K7035">
        <v>1.1148420000000001</v>
      </c>
      <c r="L7035">
        <v>-60.563690000000001</v>
      </c>
      <c r="M7035">
        <v>0.9586441</v>
      </c>
      <c r="N7035">
        <v>-1.423727E-2</v>
      </c>
      <c r="O7035">
        <v>0.28425149999999999</v>
      </c>
      <c r="P7035">
        <v>0.87267070000000002</v>
      </c>
      <c r="Q7035">
        <v>0.1870792</v>
      </c>
      <c r="R7035">
        <v>0.45105139999999999</v>
      </c>
      <c r="S7035">
        <v>2.4270480000000001</v>
      </c>
      <c r="T7035">
        <v>-5.6285620000000001E-2</v>
      </c>
      <c r="U7035">
        <v>1.9841610000000001</v>
      </c>
      <c r="V7035">
        <v>-0.18642790000000001</v>
      </c>
      <c r="W7035">
        <v>0.1988779</v>
      </c>
      <c r="X7035">
        <v>0.96212900000000001</v>
      </c>
      <c r="Y7035">
        <v>-0.38661089999999998</v>
      </c>
      <c r="Z7035">
        <v>5.151671E-3</v>
      </c>
      <c r="AA7035">
        <v>0.92222850000000001</v>
      </c>
      <c r="AB7035">
        <v>24</v>
      </c>
      <c r="AC7035">
        <v>50.109499999999997</v>
      </c>
      <c r="AD7035">
        <v>-1.1648419999999999</v>
      </c>
      <c r="AE7035">
        <v>41.02328</v>
      </c>
      <c r="AF7035">
        <v>-25.0774523796015</v>
      </c>
      <c r="AG7035">
        <v>-1.1648419999999999</v>
      </c>
      <c r="AH7035">
        <v>59.684842941775202</v>
      </c>
      <c r="AI7035">
        <v>91.030803110480505</v>
      </c>
      <c r="AJ7035">
        <v>112.79041727590101</v>
      </c>
      <c r="AK7035">
        <v>64.749640552828694</v>
      </c>
      <c r="AL7035">
        <v>78.528650610224702</v>
      </c>
      <c r="AM7035">
        <v>100.966080946223</v>
      </c>
      <c r="AN7035">
        <v>0.99999999682391005</v>
      </c>
    </row>
    <row r="7036" spans="1:40" x14ac:dyDescent="0.25">
      <c r="A7036" t="str">
        <f>"20190304155239579"</f>
        <v>20190304155239579</v>
      </c>
      <c r="B7036" t="str">
        <f>"1551685959573827"</f>
        <v>1551685959573827</v>
      </c>
      <c r="C7036" t="s">
        <v>40</v>
      </c>
      <c r="D7036">
        <v>5.3204149999999997</v>
      </c>
      <c r="E7036">
        <v>0.4307317</v>
      </c>
      <c r="F7036" t="s">
        <v>77</v>
      </c>
      <c r="G7036">
        <v>-185.19460000000001</v>
      </c>
      <c r="H7036" s="1">
        <v>-5.9262860000000004E-6</v>
      </c>
      <c r="I7036">
        <v>-43.828919999999997</v>
      </c>
      <c r="J7036">
        <v>-207.26589999999999</v>
      </c>
      <c r="K7036">
        <v>1.114892</v>
      </c>
      <c r="L7036">
        <v>-60.526029999999999</v>
      </c>
      <c r="M7036">
        <v>0.95771320000000004</v>
      </c>
      <c r="N7036">
        <v>-1.4235630000000001E-2</v>
      </c>
      <c r="O7036">
        <v>0.28737220000000002</v>
      </c>
      <c r="P7036">
        <v>0.8711508</v>
      </c>
      <c r="Q7036">
        <v>0.1869971</v>
      </c>
      <c r="R7036">
        <v>0.45401380000000002</v>
      </c>
      <c r="S7036">
        <v>2.492737</v>
      </c>
      <c r="T7036">
        <v>-0.12526180000000001</v>
      </c>
      <c r="U7036">
        <v>1.88028</v>
      </c>
      <c r="V7036">
        <v>-0.1865763</v>
      </c>
      <c r="W7036">
        <v>0.19877549999999999</v>
      </c>
      <c r="X7036">
        <v>0.96212140000000002</v>
      </c>
      <c r="Y7036">
        <v>-0.34707059999999901</v>
      </c>
      <c r="Z7036">
        <v>1.8886319999999999E-3</v>
      </c>
      <c r="AA7036">
        <v>0.93783709999999998</v>
      </c>
      <c r="AB7036">
        <v>24</v>
      </c>
      <c r="AC7036">
        <v>22.071299999999901</v>
      </c>
      <c r="AD7036">
        <v>-1.1148979262859999</v>
      </c>
      <c r="AE7036">
        <v>16.697109999999999</v>
      </c>
      <c r="AF7036">
        <v>-9.6337083120253908</v>
      </c>
      <c r="AG7036">
        <v>-1.1148979262859999</v>
      </c>
      <c r="AH7036">
        <v>25.8968622413738</v>
      </c>
      <c r="AI7036">
        <v>92.310629211880894</v>
      </c>
      <c r="AJ7036">
        <v>110.405347889095</v>
      </c>
      <c r="AK7036">
        <v>27.653188011076001</v>
      </c>
      <c r="AL7036">
        <v>78.534637279811093</v>
      </c>
      <c r="AM7036">
        <v>100.97468286566701</v>
      </c>
      <c r="AN7036">
        <v>1.00000000172995</v>
      </c>
    </row>
    <row r="7037" spans="1:40" x14ac:dyDescent="0.25">
      <c r="A7037" t="str">
        <f>"20190304155239592"</f>
        <v>20190304155239592</v>
      </c>
      <c r="B7037" t="str">
        <f>"1551685959583587"</f>
        <v>1551685959583587</v>
      </c>
      <c r="C7037" t="s">
        <v>40</v>
      </c>
      <c r="D7037">
        <v>4.6372119999999999</v>
      </c>
      <c r="E7037">
        <v>0.43220750000000002</v>
      </c>
      <c r="F7037" t="s">
        <v>77</v>
      </c>
      <c r="G7037">
        <v>-185.1559</v>
      </c>
      <c r="H7037" s="1">
        <v>-5.9660269999999998E-6</v>
      </c>
      <c r="I7037">
        <v>-43.728810000000003</v>
      </c>
      <c r="J7037">
        <v>-207.14949999999999</v>
      </c>
      <c r="K7037">
        <v>1.1149389999999999</v>
      </c>
      <c r="L7037">
        <v>-60.487459999999999</v>
      </c>
      <c r="M7037">
        <v>0.95674959999999998</v>
      </c>
      <c r="N7037">
        <v>-1.4234170000000001E-2</v>
      </c>
      <c r="O7037">
        <v>0.29056419999999999</v>
      </c>
      <c r="P7037">
        <v>0.86952160000000001</v>
      </c>
      <c r="Q7037">
        <v>0.18700269999999999</v>
      </c>
      <c r="R7037">
        <v>0.45712390000000003</v>
      </c>
      <c r="S7037">
        <v>2.486237</v>
      </c>
      <c r="T7037">
        <v>-0.1253687</v>
      </c>
      <c r="U7037">
        <v>1.8888240000000001</v>
      </c>
      <c r="V7037">
        <v>-0.18682509999999999</v>
      </c>
      <c r="W7037">
        <v>0.1987592</v>
      </c>
      <c r="X7037">
        <v>0.9620765</v>
      </c>
      <c r="Y7037">
        <v>-0.3471689</v>
      </c>
      <c r="Z7037">
        <v>1.7947E-3</v>
      </c>
      <c r="AA7037">
        <v>0.93780090000000005</v>
      </c>
      <c r="AB7037">
        <v>24</v>
      </c>
      <c r="AC7037">
        <v>21.993599999999901</v>
      </c>
      <c r="AD7037">
        <v>-1.1149449660270001</v>
      </c>
      <c r="AE7037">
        <v>16.758649999999999</v>
      </c>
      <c r="AF7037">
        <v>-9.6286011675841898</v>
      </c>
      <c r="AG7037">
        <v>-1.1149449660270001</v>
      </c>
      <c r="AH7037">
        <v>25.872392159992501</v>
      </c>
      <c r="AI7037">
        <v>92.312793088078095</v>
      </c>
      <c r="AJ7037">
        <v>110.413120697389</v>
      </c>
      <c r="AK7037">
        <v>27.628495051343499</v>
      </c>
      <c r="AL7037">
        <v>78.535590366085401</v>
      </c>
      <c r="AM7037">
        <v>100.989461971127</v>
      </c>
      <c r="AN7037">
        <v>1.00000001471345</v>
      </c>
    </row>
    <row r="7038" spans="1:40" x14ac:dyDescent="0.25">
      <c r="A7038" t="str">
        <f>"20190304155239602"</f>
        <v>20190304155239602</v>
      </c>
      <c r="B7038" t="str">
        <f>"1551685959594324"</f>
        <v>1551685959594324</v>
      </c>
      <c r="C7038" t="s">
        <v>40</v>
      </c>
      <c r="D7038">
        <v>4.5270580000000002</v>
      </c>
      <c r="E7038">
        <v>0.43015750000000003</v>
      </c>
      <c r="F7038" t="s">
        <v>77</v>
      </c>
      <c r="G7038">
        <v>-185.52170000000001</v>
      </c>
      <c r="H7038" s="1">
        <v>-5.8769660000000001E-6</v>
      </c>
      <c r="I7038">
        <v>-44.059809999999999</v>
      </c>
      <c r="J7038">
        <v>-207.04239999999999</v>
      </c>
      <c r="K7038">
        <v>1.1149819999999999</v>
      </c>
      <c r="L7038">
        <v>-60.451479999999997</v>
      </c>
      <c r="M7038">
        <v>0.95584259999999999</v>
      </c>
      <c r="N7038">
        <v>-1.423341E-2</v>
      </c>
      <c r="O7038">
        <v>0.29353430000000003</v>
      </c>
      <c r="P7038">
        <v>0.86798310000000001</v>
      </c>
      <c r="Q7038">
        <v>0.18732289999999999</v>
      </c>
      <c r="R7038">
        <v>0.45990799999999998</v>
      </c>
      <c r="S7038">
        <v>2.4853209999999999</v>
      </c>
      <c r="T7038">
        <v>-0.12812209999999999</v>
      </c>
      <c r="U7038">
        <v>1.887756</v>
      </c>
      <c r="V7038">
        <v>-0.18696070000000001</v>
      </c>
      <c r="W7038">
        <v>0.19906109999999999</v>
      </c>
      <c r="X7038">
        <v>0.9619877</v>
      </c>
      <c r="Y7038">
        <v>-0.34416259999999999</v>
      </c>
      <c r="Z7038">
        <v>1.5112999999999999E-3</v>
      </c>
      <c r="AA7038">
        <v>0.93890890000000005</v>
      </c>
      <c r="AB7038">
        <v>24</v>
      </c>
      <c r="AC7038">
        <v>21.520699999999898</v>
      </c>
      <c r="AD7038">
        <v>-1.114987876966</v>
      </c>
      <c r="AE7038">
        <v>16.391670000000001</v>
      </c>
      <c r="AF7038">
        <v>-9.3358805475876192</v>
      </c>
      <c r="AG7038">
        <v>-1.114987876966</v>
      </c>
      <c r="AH7038">
        <v>25.341441034555199</v>
      </c>
      <c r="AI7038">
        <v>92.364171695914095</v>
      </c>
      <c r="AJ7038">
        <v>110.223983831711</v>
      </c>
      <c r="AK7038">
        <v>27.0294376055523</v>
      </c>
      <c r="AL7038">
        <v>78.517939672618994</v>
      </c>
      <c r="AM7038">
        <v>100.998234258434</v>
      </c>
      <c r="AN7038">
        <v>0.99999997991449396</v>
      </c>
    </row>
    <row r="7039" spans="1:40" x14ac:dyDescent="0.25">
      <c r="A7039" t="str">
        <f>"20190304155239614"</f>
        <v>20190304155239614</v>
      </c>
      <c r="B7039" t="str">
        <f>"1551685959604083"</f>
        <v>1551685959604083</v>
      </c>
      <c r="C7039" t="s">
        <v>40</v>
      </c>
      <c r="D7039">
        <v>4.7213820000000002</v>
      </c>
      <c r="E7039">
        <v>0.43004700000000001</v>
      </c>
      <c r="F7039" t="s">
        <v>77</v>
      </c>
      <c r="G7039">
        <v>-184.41409999999999</v>
      </c>
      <c r="H7039" s="1">
        <v>-6.1932799999999999E-6</v>
      </c>
      <c r="I7039">
        <v>-42.957459999999998</v>
      </c>
      <c r="J7039">
        <v>-206.91470000000001</v>
      </c>
      <c r="K7039">
        <v>1.115032</v>
      </c>
      <c r="L7039">
        <v>-60.408019999999901</v>
      </c>
      <c r="M7039">
        <v>0.95473660000000005</v>
      </c>
      <c r="N7039">
        <v>-1.423281E-2</v>
      </c>
      <c r="O7039">
        <v>0.29711169999999998</v>
      </c>
      <c r="P7039">
        <v>0.86610869999999995</v>
      </c>
      <c r="Q7039">
        <v>0.18722520000000001</v>
      </c>
      <c r="R7039">
        <v>0.46346789999999999</v>
      </c>
      <c r="S7039">
        <v>2.4705349999999999</v>
      </c>
      <c r="T7039">
        <v>-0.12173299999999999</v>
      </c>
      <c r="U7039">
        <v>1.9099729999999999</v>
      </c>
      <c r="V7039">
        <v>-0.18732090000000001</v>
      </c>
      <c r="W7039">
        <v>0.19894000000000001</v>
      </c>
      <c r="X7039">
        <v>0.96194270000000004</v>
      </c>
      <c r="Y7039">
        <v>-0.34866419999999998</v>
      </c>
      <c r="Z7039">
        <v>1.793907E-3</v>
      </c>
      <c r="AA7039">
        <v>0.93724600000000002</v>
      </c>
      <c r="AB7039">
        <v>24</v>
      </c>
      <c r="AC7039">
        <v>22.500599999999999</v>
      </c>
      <c r="AD7039">
        <v>-1.11503819328</v>
      </c>
      <c r="AE7039">
        <v>17.4505599999999</v>
      </c>
      <c r="AF7039">
        <v>-9.9612328536257202</v>
      </c>
      <c r="AG7039">
        <v>-1.11503819328</v>
      </c>
      <c r="AH7039">
        <v>26.628780901692</v>
      </c>
      <c r="AI7039">
        <v>92.245942815583206</v>
      </c>
      <c r="AJ7039">
        <v>110.50970179056699</v>
      </c>
      <c r="AK7039">
        <v>28.452793227501299</v>
      </c>
      <c r="AL7039">
        <v>78.525020039531199</v>
      </c>
      <c r="AM7039">
        <v>101.019408262648</v>
      </c>
      <c r="AN7039">
        <v>1.00000000063005</v>
      </c>
    </row>
    <row r="7040" spans="1:40" x14ac:dyDescent="0.25">
      <c r="A7040" t="str">
        <f>"20190304155239628"</f>
        <v>20190304155239628</v>
      </c>
      <c r="B7040" t="str">
        <f>"1551685959623604"</f>
        <v>1551685959623604</v>
      </c>
      <c r="C7040" t="s">
        <v>40</v>
      </c>
      <c r="D7040">
        <v>4.6770909999999999</v>
      </c>
      <c r="E7040">
        <v>0.42860959999999998</v>
      </c>
      <c r="F7040" t="s">
        <v>77</v>
      </c>
      <c r="G7040">
        <v>-184.58519999999999</v>
      </c>
      <c r="H7040" s="1">
        <v>-6.20924E-6</v>
      </c>
      <c r="I7040">
        <v>-42.988590000000002</v>
      </c>
      <c r="J7040">
        <v>-206.78110000000001</v>
      </c>
      <c r="K7040">
        <v>1.1150819999999999</v>
      </c>
      <c r="L7040">
        <v>-60.36215</v>
      </c>
      <c r="M7040">
        <v>0.95355520000000005</v>
      </c>
      <c r="N7040">
        <v>-1.423235E-2</v>
      </c>
      <c r="O7040">
        <v>0.30088199999999998</v>
      </c>
      <c r="P7040">
        <v>0.86413150000000005</v>
      </c>
      <c r="Q7040">
        <v>0.18741269999999999</v>
      </c>
      <c r="R7040">
        <v>0.46706900000000001</v>
      </c>
      <c r="S7040">
        <v>2.4624329999999999</v>
      </c>
      <c r="T7040">
        <v>-0.1229628</v>
      </c>
      <c r="U7040">
        <v>1.9209590000000001</v>
      </c>
      <c r="V7040">
        <v>-0.18755849999999999</v>
      </c>
      <c r="W7040">
        <v>0.199105</v>
      </c>
      <c r="X7040">
        <v>0.96186229999999995</v>
      </c>
      <c r="Y7040">
        <v>-0.34905409999999998</v>
      </c>
      <c r="Z7040">
        <v>1.6497759999999999E-3</v>
      </c>
      <c r="AA7040">
        <v>0.93710110000000002</v>
      </c>
      <c r="AB7040">
        <v>24</v>
      </c>
      <c r="AC7040">
        <v>22.195900000000002</v>
      </c>
      <c r="AD7040">
        <v>-1.1150882092400001</v>
      </c>
      <c r="AE7040">
        <v>17.373559999999902</v>
      </c>
      <c r="AF7040">
        <v>-9.8738500859561107</v>
      </c>
      <c r="AG7040">
        <v>-1.1150882092400001</v>
      </c>
      <c r="AH7040">
        <v>26.353835219737</v>
      </c>
      <c r="AI7040">
        <v>92.269014841761901</v>
      </c>
      <c r="AJ7040">
        <v>110.53919739783299</v>
      </c>
      <c r="AK7040">
        <v>28.164888922617301</v>
      </c>
      <c r="AL7040">
        <v>78.515373686791307</v>
      </c>
      <c r="AM7040">
        <v>101.033942246667</v>
      </c>
      <c r="AN7040">
        <v>1.00000003805426</v>
      </c>
    </row>
    <row r="7041" spans="1:40" x14ac:dyDescent="0.25">
      <c r="A7041" t="str">
        <f>"20190304155239639"</f>
        <v>20190304155239639</v>
      </c>
      <c r="B7041" t="str">
        <f>"1551685959634339"</f>
        <v>1551685959634339</v>
      </c>
      <c r="C7041" t="s">
        <v>40</v>
      </c>
      <c r="D7041">
        <v>4.7244510000000002</v>
      </c>
      <c r="E7041">
        <v>0.42821809999999899</v>
      </c>
      <c r="F7041" t="s">
        <v>77</v>
      </c>
      <c r="G7041">
        <v>-183.65039999999999</v>
      </c>
      <c r="H7041" s="1">
        <v>-6.4643699999999999E-6</v>
      </c>
      <c r="I7041">
        <v>-42.026380000000003</v>
      </c>
      <c r="J7041">
        <v>-206.66739999999999</v>
      </c>
      <c r="K7041">
        <v>1.115116</v>
      </c>
      <c r="L7041">
        <v>-60.322270000000003</v>
      </c>
      <c r="M7041">
        <v>0.95251889999999995</v>
      </c>
      <c r="N7041">
        <v>-1.423253E-2</v>
      </c>
      <c r="O7041">
        <v>0.30414679999999999</v>
      </c>
      <c r="P7041">
        <v>0.86236259999999998</v>
      </c>
      <c r="Q7041">
        <v>0.18731010000000001</v>
      </c>
      <c r="R7041">
        <v>0.4703677</v>
      </c>
      <c r="S7041">
        <v>2.4482879999999998</v>
      </c>
      <c r="T7041">
        <v>-0.1180274</v>
      </c>
      <c r="U7041">
        <v>1.9407650000000001</v>
      </c>
      <c r="V7041">
        <v>-0.18794849999999999</v>
      </c>
      <c r="W7041">
        <v>0.19898260000000001</v>
      </c>
      <c r="X7041">
        <v>0.96181150000000004</v>
      </c>
      <c r="Y7041">
        <v>-0.35314410000000002</v>
      </c>
      <c r="Z7041">
        <v>1.8805460000000001E-3</v>
      </c>
      <c r="AA7041">
        <v>0.93556709999999998</v>
      </c>
      <c r="AB7041">
        <v>24</v>
      </c>
      <c r="AC7041">
        <v>23.016999999999999</v>
      </c>
      <c r="AD7041">
        <v>-1.11512246437</v>
      </c>
      <c r="AE7041">
        <v>18.29589</v>
      </c>
      <c r="AF7041">
        <v>-10.412712535697001</v>
      </c>
      <c r="AG7041">
        <v>-1.11512246437</v>
      </c>
      <c r="AH7041">
        <v>27.452061067625699</v>
      </c>
      <c r="AI7041">
        <v>92.175067474995799</v>
      </c>
      <c r="AJ7041">
        <v>110.772002495652</v>
      </c>
      <c r="AK7041">
        <v>29.3816905116479</v>
      </c>
      <c r="AL7041">
        <v>78.522529876346695</v>
      </c>
      <c r="AM7041">
        <v>101.056890485061</v>
      </c>
      <c r="AN7041">
        <v>1.00000003764362</v>
      </c>
    </row>
    <row r="7042" spans="1:40" x14ac:dyDescent="0.25">
      <c r="A7042" t="str">
        <f>"20190304155239650"</f>
        <v>20190304155239650</v>
      </c>
      <c r="B7042" t="str">
        <f>"1551685959644100"</f>
        <v>1551685959644100</v>
      </c>
      <c r="C7042" t="s">
        <v>40</v>
      </c>
      <c r="D7042">
        <v>4.7108650000000001</v>
      </c>
      <c r="E7042">
        <v>0.42775869999999999</v>
      </c>
      <c r="F7042" t="s">
        <v>77</v>
      </c>
      <c r="G7042">
        <v>-183.32910000000001</v>
      </c>
      <c r="H7042" s="1">
        <v>-6.559261E-6</v>
      </c>
      <c r="I7042">
        <v>-41.63494</v>
      </c>
      <c r="J7042">
        <v>-206.55619999999999</v>
      </c>
      <c r="K7042">
        <v>1.115154</v>
      </c>
      <c r="L7042">
        <v>-60.283079999999998</v>
      </c>
      <c r="M7042">
        <v>0.95149110000000003</v>
      </c>
      <c r="N7042">
        <v>-1.4232669999999999E-2</v>
      </c>
      <c r="O7042">
        <v>0.30734709999999898</v>
      </c>
      <c r="P7042">
        <v>0.86065509999999901</v>
      </c>
      <c r="Q7042">
        <v>0.1874644</v>
      </c>
      <c r="R7042">
        <v>0.4734237</v>
      </c>
      <c r="S7042">
        <v>2.4389189999999998</v>
      </c>
      <c r="T7042">
        <v>-0.1165336</v>
      </c>
      <c r="U7042">
        <v>1.9528810000000001</v>
      </c>
      <c r="V7042">
        <v>-0.18815460000000001</v>
      </c>
      <c r="W7042">
        <v>0.1991195</v>
      </c>
      <c r="X7042">
        <v>0.96174280000000001</v>
      </c>
      <c r="Y7042">
        <v>-0.354587599999999</v>
      </c>
      <c r="Z7042">
        <v>1.898874E-3</v>
      </c>
      <c r="AA7042">
        <v>0.93502090000000004</v>
      </c>
      <c r="AB7042">
        <v>24</v>
      </c>
      <c r="AC7042">
        <v>23.227099999999901</v>
      </c>
      <c r="AD7042">
        <v>-1.1151605592610001</v>
      </c>
      <c r="AE7042">
        <v>18.648140000000001</v>
      </c>
      <c r="AF7042">
        <v>-10.5909865616135</v>
      </c>
      <c r="AG7042">
        <v>-1.1151605592610001</v>
      </c>
      <c r="AH7042">
        <v>27.795689534305001</v>
      </c>
      <c r="AI7042">
        <v>92.147047478559998</v>
      </c>
      <c r="AJ7042">
        <v>110.858332533126</v>
      </c>
      <c r="AK7042">
        <v>29.7659694300166</v>
      </c>
      <c r="AL7042">
        <v>78.514525143124402</v>
      </c>
      <c r="AM7042">
        <v>101.069487091071</v>
      </c>
      <c r="AN7042">
        <v>0.99999997106662397</v>
      </c>
    </row>
    <row r="7043" spans="1:40" x14ac:dyDescent="0.25">
      <c r="A7043" t="str">
        <f>"20190304155239662"</f>
        <v>20190304155239662</v>
      </c>
      <c r="B7043" t="str">
        <f>"1551685959653859"</f>
        <v>1551685959653859</v>
      </c>
      <c r="C7043" t="s">
        <v>40</v>
      </c>
      <c r="D7043">
        <v>4.6980820000000003</v>
      </c>
      <c r="E7043">
        <v>0.42784689999999997</v>
      </c>
      <c r="F7043" t="s">
        <v>77</v>
      </c>
      <c r="G7043">
        <v>-182.8159</v>
      </c>
      <c r="H7043" s="1">
        <v>-6.6849979999999999E-6</v>
      </c>
      <c r="I7043">
        <v>-41.086889999999997</v>
      </c>
      <c r="J7043">
        <v>-206.434</v>
      </c>
      <c r="K7043">
        <v>1.115194</v>
      </c>
      <c r="L7043">
        <v>-60.239350000000002</v>
      </c>
      <c r="M7043">
        <v>0.95033460000000003</v>
      </c>
      <c r="N7043">
        <v>-1.4233320000000001E-2</v>
      </c>
      <c r="O7043">
        <v>0.31090430000000002</v>
      </c>
      <c r="P7043">
        <v>0.85884389999999999</v>
      </c>
      <c r="Q7043">
        <v>0.18743870000000001</v>
      </c>
      <c r="R7043">
        <v>0.47671150000000001</v>
      </c>
      <c r="S7043">
        <v>2.42984</v>
      </c>
      <c r="T7043">
        <v>-0.114138</v>
      </c>
      <c r="U7043">
        <v>1.9647520000000001</v>
      </c>
      <c r="V7043">
        <v>-0.18824840000000001</v>
      </c>
      <c r="W7043">
        <v>0.1990788</v>
      </c>
      <c r="X7043">
        <v>0.9617329</v>
      </c>
      <c r="Y7043">
        <v>-0.35556680000000002</v>
      </c>
      <c r="Z7043">
        <v>1.937713E-3</v>
      </c>
      <c r="AA7043">
        <v>0.9346489</v>
      </c>
      <c r="AB7043">
        <v>24</v>
      </c>
      <c r="AC7043">
        <v>23.618099999999998</v>
      </c>
      <c r="AD7043">
        <v>-1.1152006849980001</v>
      </c>
      <c r="AE7043">
        <v>19.152460000000001</v>
      </c>
      <c r="AF7043">
        <v>-10.844790273352499</v>
      </c>
      <c r="AG7043">
        <v>-1.1152006849980001</v>
      </c>
      <c r="AH7043">
        <v>28.364406566362799</v>
      </c>
      <c r="AI7043">
        <v>92.103197108446807</v>
      </c>
      <c r="AJ7043">
        <v>110.923754503428</v>
      </c>
      <c r="AK7043">
        <v>30.387377453520799</v>
      </c>
      <c r="AL7043">
        <v>78.516905056891702</v>
      </c>
      <c r="AM7043">
        <v>101.074980308322</v>
      </c>
      <c r="AN7043">
        <v>0.999999999827205</v>
      </c>
    </row>
    <row r="7044" spans="1:40" x14ac:dyDescent="0.25">
      <c r="A7044" t="str">
        <f>"20190304155239672"</f>
        <v>20190304155239672</v>
      </c>
      <c r="B7044" t="str">
        <f>"1551685959663620"</f>
        <v>1551685959663620</v>
      </c>
      <c r="C7044" t="s">
        <v>40</v>
      </c>
      <c r="D7044">
        <v>4.7395579999999997</v>
      </c>
      <c r="E7044">
        <v>0.42742439999999998</v>
      </c>
      <c r="F7044" t="s">
        <v>77</v>
      </c>
      <c r="G7044">
        <v>-182.72929999999999</v>
      </c>
      <c r="H7044" s="1">
        <v>-6.7277699999999896E-6</v>
      </c>
      <c r="I7044">
        <v>-40.93</v>
      </c>
      <c r="J7044">
        <v>-206.3287</v>
      </c>
      <c r="K7044">
        <v>1.1152249999999999</v>
      </c>
      <c r="L7044">
        <v>-60.201259999999998</v>
      </c>
      <c r="M7044">
        <v>0.94931900000000002</v>
      </c>
      <c r="N7044">
        <v>-1.423401E-2</v>
      </c>
      <c r="O7044">
        <v>0.31399179999999999</v>
      </c>
      <c r="P7044">
        <v>0.85703090000000004</v>
      </c>
      <c r="Q7044">
        <v>0.1875415</v>
      </c>
      <c r="R7044">
        <v>0.47992319999999999</v>
      </c>
      <c r="S7044">
        <v>2.4225919999999999</v>
      </c>
      <c r="T7044">
        <v>-0.1139719</v>
      </c>
      <c r="U7044">
        <v>1.9733890000000001</v>
      </c>
      <c r="V7044">
        <v>-0.18874440000000001</v>
      </c>
      <c r="W7044">
        <v>0.1991629</v>
      </c>
      <c r="X7044">
        <v>0.96161819999999998</v>
      </c>
      <c r="Y7044">
        <v>-0.35590169999999999</v>
      </c>
      <c r="Z7044">
        <v>1.8757940000000001E-3</v>
      </c>
      <c r="AA7044">
        <v>0.9345215</v>
      </c>
      <c r="AB7044">
        <v>24</v>
      </c>
      <c r="AC7044">
        <v>23.599399999999999</v>
      </c>
      <c r="AD7044">
        <v>-1.1152317277699999</v>
      </c>
      <c r="AE7044">
        <v>19.271260000000002</v>
      </c>
      <c r="AF7044">
        <v>-10.871092934442499</v>
      </c>
      <c r="AG7044">
        <v>-1.1152317277699999</v>
      </c>
      <c r="AH7044">
        <v>28.419183437896301</v>
      </c>
      <c r="AI7044">
        <v>92.099073331495902</v>
      </c>
      <c r="AJ7044">
        <v>110.93318087841899</v>
      </c>
      <c r="AK7044">
        <v>30.447896325899301</v>
      </c>
      <c r="AL7044">
        <v>78.511987273668595</v>
      </c>
      <c r="AM7044">
        <v>101.10472812706</v>
      </c>
      <c r="AN7044">
        <v>0.99999993591950298</v>
      </c>
    </row>
    <row r="7045" spans="1:40" x14ac:dyDescent="0.25">
      <c r="A7045" t="str">
        <f>"20190304155239682"</f>
        <v>20190304155239682</v>
      </c>
      <c r="B7045" t="str">
        <f>"1551685959674356"</f>
        <v>1551685959674356</v>
      </c>
      <c r="C7045" t="s">
        <v>40</v>
      </c>
      <c r="D7045">
        <v>4.7375259999999999</v>
      </c>
      <c r="E7045">
        <v>0.42748910000000001</v>
      </c>
      <c r="F7045" t="s">
        <v>77</v>
      </c>
      <c r="G7045">
        <v>-182.2732</v>
      </c>
      <c r="H7045" s="1">
        <v>-6.8499329999999997E-6</v>
      </c>
      <c r="I7045">
        <v>-40.411799999999999</v>
      </c>
      <c r="J7045">
        <v>-206.22819999999999</v>
      </c>
      <c r="K7045">
        <v>1.115248</v>
      </c>
      <c r="L7045">
        <v>-60.164520000000003</v>
      </c>
      <c r="M7045">
        <v>0.94833270000000003</v>
      </c>
      <c r="N7045">
        <v>-1.423485E-2</v>
      </c>
      <c r="O7045">
        <v>0.31695839999999997</v>
      </c>
      <c r="P7045">
        <v>0.85538369999999997</v>
      </c>
      <c r="Q7045">
        <v>0.18755659999999999</v>
      </c>
      <c r="R7045">
        <v>0.48284700000000003</v>
      </c>
      <c r="S7045">
        <v>2.4132229999999999</v>
      </c>
      <c r="T7045">
        <v>-0.11187900000000001</v>
      </c>
      <c r="U7045">
        <v>1.98526</v>
      </c>
      <c r="V7045">
        <v>-0.1890356</v>
      </c>
      <c r="W7045">
        <v>0.19916429999999999</v>
      </c>
      <c r="X7045">
        <v>0.96156079999999999</v>
      </c>
      <c r="Y7045">
        <v>-0.35750609999999999</v>
      </c>
      <c r="Z7045">
        <v>1.9389800000000001E-3</v>
      </c>
      <c r="AA7045">
        <v>0.93390879999999998</v>
      </c>
      <c r="AB7045">
        <v>24</v>
      </c>
      <c r="AC7045">
        <v>23.954999999999899</v>
      </c>
      <c r="AD7045">
        <v>-1.1152548499329999</v>
      </c>
      <c r="AE7045">
        <v>19.75272</v>
      </c>
      <c r="AF7045">
        <v>-11.1261843542141</v>
      </c>
      <c r="AG7045">
        <v>-1.1152548499329999</v>
      </c>
      <c r="AH7045">
        <v>28.943690390291099</v>
      </c>
      <c r="AI7045">
        <v>92.0598156775295</v>
      </c>
      <c r="AJ7045">
        <v>111.027156190258</v>
      </c>
      <c r="AK7045">
        <v>31.028583355887999</v>
      </c>
      <c r="AL7045">
        <v>78.511906448641398</v>
      </c>
      <c r="AM7045">
        <v>101.12208135042999</v>
      </c>
      <c r="AN7045">
        <v>1.00000002427924</v>
      </c>
    </row>
    <row r="7046" spans="1:40" x14ac:dyDescent="0.25">
      <c r="A7046" t="str">
        <f>"20190304155239691"</f>
        <v>20190304155239691</v>
      </c>
      <c r="B7046" t="str">
        <f>"1551685959684115"</f>
        <v>1551685959684115</v>
      </c>
      <c r="C7046" t="s">
        <v>40</v>
      </c>
      <c r="D7046">
        <v>4.6636119999999996</v>
      </c>
      <c r="E7046">
        <v>0.42763240000000002</v>
      </c>
      <c r="F7046" t="s">
        <v>41</v>
      </c>
      <c r="G7046">
        <v>-182.2869</v>
      </c>
      <c r="H7046" s="1">
        <v>-2.0553780000000001E-6</v>
      </c>
      <c r="I7046">
        <v>-40.342770000000002</v>
      </c>
      <c r="J7046">
        <v>-206.1343</v>
      </c>
      <c r="K7046">
        <v>1.115273</v>
      </c>
      <c r="L7046">
        <v>-60.12988</v>
      </c>
      <c r="M7046">
        <v>0.94739600000000002</v>
      </c>
      <c r="N7046">
        <v>-1.423574E-2</v>
      </c>
      <c r="O7046">
        <v>0.3197469</v>
      </c>
      <c r="P7046">
        <v>0.85378149999999997</v>
      </c>
      <c r="Q7046">
        <v>0.1875829</v>
      </c>
      <c r="R7046">
        <v>0.4856644</v>
      </c>
      <c r="S7046">
        <v>2.4069210000000001</v>
      </c>
      <c r="T7046">
        <v>-0.112121</v>
      </c>
      <c r="U7046">
        <v>1.992767</v>
      </c>
      <c r="V7046">
        <v>-0.18939039999999999</v>
      </c>
      <c r="W7046">
        <v>0.19917650000000001</v>
      </c>
      <c r="X7046">
        <v>0.96148840000000002</v>
      </c>
      <c r="Y7046">
        <v>-0.3576879</v>
      </c>
      <c r="Z7046">
        <v>1.8640919999999999E-3</v>
      </c>
      <c r="AA7046">
        <v>0.93383930000000004</v>
      </c>
      <c r="AB7046">
        <v>24</v>
      </c>
      <c r="AC7046">
        <v>23.8474</v>
      </c>
      <c r="AD7046">
        <v>-1.115275055378</v>
      </c>
      <c r="AE7046">
        <v>19.787109999999998</v>
      </c>
      <c r="AF7046">
        <v>-11.1078355407661</v>
      </c>
      <c r="AG7046">
        <v>-1.115275055378</v>
      </c>
      <c r="AH7046">
        <v>28.8853136891946</v>
      </c>
      <c r="AI7046">
        <v>92.063914446239593</v>
      </c>
      <c r="AJ7046">
        <v>111.034227000154</v>
      </c>
      <c r="AK7046">
        <v>30.9675506905701</v>
      </c>
      <c r="AL7046">
        <v>78.511192546693195</v>
      </c>
      <c r="AM7046">
        <v>101.14325247494899</v>
      </c>
      <c r="AN7046">
        <v>0.99999997254948403</v>
      </c>
    </row>
    <row r="7047" spans="1:40" x14ac:dyDescent="0.25">
      <c r="A7047" t="str">
        <f>"20190304155239703"</f>
        <v>20190304155239703</v>
      </c>
      <c r="B7047" t="str">
        <f>"1551685959693876"</f>
        <v>1551685959693876</v>
      </c>
      <c r="C7047" t="s">
        <v>40</v>
      </c>
      <c r="D7047">
        <v>4.7476520000000004</v>
      </c>
      <c r="E7047">
        <v>0.42732189999999998</v>
      </c>
      <c r="F7047" t="s">
        <v>41</v>
      </c>
      <c r="G7047">
        <v>-182.3871</v>
      </c>
      <c r="H7047" s="1">
        <v>-2.0246620000000001E-6</v>
      </c>
      <c r="I7047">
        <v>-40.354709999999997</v>
      </c>
      <c r="J7047">
        <v>-206.01349999999999</v>
      </c>
      <c r="K7047">
        <v>1.1153040000000001</v>
      </c>
      <c r="L7047">
        <v>-60.084809999999997</v>
      </c>
      <c r="M7047">
        <v>0.94616909999999999</v>
      </c>
      <c r="N7047">
        <v>-1.4237039999999999E-2</v>
      </c>
      <c r="O7047">
        <v>0.32335989999999998</v>
      </c>
      <c r="P7047">
        <v>0.85186450000000002</v>
      </c>
      <c r="Q7047">
        <v>0.18751909999999999</v>
      </c>
      <c r="R7047">
        <v>0.48904340000000002</v>
      </c>
      <c r="S7047">
        <v>2.401138</v>
      </c>
      <c r="T7047">
        <v>-0.1127679</v>
      </c>
      <c r="U7047">
        <v>1.999512</v>
      </c>
      <c r="V7047">
        <v>-0.18953880000000001</v>
      </c>
      <c r="W7047">
        <v>0.19909979999999999</v>
      </c>
      <c r="X7047">
        <v>0.96147510000000003</v>
      </c>
      <c r="Y7047">
        <v>-0.35677920000000002</v>
      </c>
      <c r="Z7047">
        <v>1.7203079999999901E-3</v>
      </c>
      <c r="AA7047">
        <v>0.9341872</v>
      </c>
      <c r="AB7047">
        <v>24</v>
      </c>
      <c r="AC7047">
        <v>23.626399999999901</v>
      </c>
      <c r="AD7047">
        <v>-1.1153060246619999</v>
      </c>
      <c r="AE7047">
        <v>19.7301</v>
      </c>
      <c r="AF7047">
        <v>-11.014836021092499</v>
      </c>
      <c r="AG7047">
        <v>-1.1153060246619999</v>
      </c>
      <c r="AH7047">
        <v>28.6997227510243</v>
      </c>
      <c r="AI7047">
        <v>92.077830754108206</v>
      </c>
      <c r="AJ7047">
        <v>110.996597605229</v>
      </c>
      <c r="AK7047">
        <v>30.7610891563655</v>
      </c>
      <c r="AL7047">
        <v>78.515677588869096</v>
      </c>
      <c r="AM7047">
        <v>101.15191558245</v>
      </c>
      <c r="AN7047">
        <v>1.0000000274927401</v>
      </c>
    </row>
    <row r="7048" spans="1:40" x14ac:dyDescent="0.25">
      <c r="A7048" t="str">
        <f>"20190304155239714"</f>
        <v>20190304155239714</v>
      </c>
      <c r="B7048" t="str">
        <f>"1551685959703636"</f>
        <v>1551685959703636</v>
      </c>
      <c r="C7048" t="s">
        <v>40</v>
      </c>
      <c r="D7048">
        <v>4.7526869999999999</v>
      </c>
      <c r="E7048">
        <v>0.42727720000000002</v>
      </c>
      <c r="F7048" t="s">
        <v>41</v>
      </c>
      <c r="G7048">
        <v>-182.1413</v>
      </c>
      <c r="H7048" s="1">
        <v>-2.2060670000000001E-6</v>
      </c>
      <c r="I7048">
        <v>-40.013820000000003</v>
      </c>
      <c r="J7048">
        <v>-205.91210000000001</v>
      </c>
      <c r="K7048">
        <v>1.115327</v>
      </c>
      <c r="L7048">
        <v>-60.04645</v>
      </c>
      <c r="M7048">
        <v>0.94511719999999999</v>
      </c>
      <c r="N7048">
        <v>-1.423843E-2</v>
      </c>
      <c r="O7048">
        <v>0.32642110000000002</v>
      </c>
      <c r="P7048">
        <v>0.85010409999999903</v>
      </c>
      <c r="Q7048">
        <v>0.1873976</v>
      </c>
      <c r="R7048">
        <v>0.49214350000000001</v>
      </c>
      <c r="S7048">
        <v>2.3918149999999998</v>
      </c>
      <c r="T7048">
        <v>-0.111745</v>
      </c>
      <c r="U7048">
        <v>2.0109560000000002</v>
      </c>
      <c r="V7048">
        <v>-0.18993099999999999</v>
      </c>
      <c r="W7048">
        <v>0.1989639</v>
      </c>
      <c r="X7048">
        <v>0.9614258</v>
      </c>
      <c r="Y7048">
        <v>-0.35816940000000003</v>
      </c>
      <c r="Z7048">
        <v>1.730821E-3</v>
      </c>
      <c r="AA7048">
        <v>0.93365500000000001</v>
      </c>
      <c r="AB7048">
        <v>24</v>
      </c>
      <c r="AC7048">
        <v>23.770800000000001</v>
      </c>
      <c r="AD7048">
        <v>-1.1153292060669999</v>
      </c>
      <c r="AE7048">
        <v>20.032630000000001</v>
      </c>
      <c r="AF7048">
        <v>-11.1606586391179</v>
      </c>
      <c r="AG7048">
        <v>-1.1153292060669999</v>
      </c>
      <c r="AH7048">
        <v>28.970912538463502</v>
      </c>
      <c r="AI7048">
        <v>92.057447826610797</v>
      </c>
      <c r="AJ7048">
        <v>111.068515671927</v>
      </c>
      <c r="AK7048">
        <v>31.0663488972896</v>
      </c>
      <c r="AL7048">
        <v>78.523622655324104</v>
      </c>
      <c r="AM7048">
        <v>101.174969933217</v>
      </c>
      <c r="AN7048">
        <v>0.99999999358492497</v>
      </c>
    </row>
    <row r="7049" spans="1:40" x14ac:dyDescent="0.25">
      <c r="A7049" t="str">
        <f>"20190304155239725"</f>
        <v>20190304155239725</v>
      </c>
      <c r="B7049" t="str">
        <f>"1551685959713395"</f>
        <v>1551685959713395</v>
      </c>
      <c r="C7049" t="s">
        <v>40</v>
      </c>
      <c r="D7049">
        <v>4.7817749999999997</v>
      </c>
      <c r="E7049">
        <v>0.42729309999999998</v>
      </c>
      <c r="F7049" t="s">
        <v>41</v>
      </c>
      <c r="G7049">
        <v>-182.2072</v>
      </c>
      <c r="H7049" s="1">
        <v>-2.2049770000000001E-6</v>
      </c>
      <c r="I7049">
        <v>-39.965479999999999</v>
      </c>
      <c r="J7049">
        <v>-205.8005</v>
      </c>
      <c r="K7049">
        <v>1.115361</v>
      </c>
      <c r="L7049">
        <v>-60.003970000000002</v>
      </c>
      <c r="M7049">
        <v>0.94394330000000004</v>
      </c>
      <c r="N7049">
        <v>-1.4240020000000001E-2</v>
      </c>
      <c r="O7049">
        <v>0.3298007</v>
      </c>
      <c r="P7049">
        <v>0.84837249999999997</v>
      </c>
      <c r="Q7049">
        <v>0.18744920000000001</v>
      </c>
      <c r="R7049">
        <v>0.49510320000000002</v>
      </c>
      <c r="S7049">
        <v>2.3843839999999998</v>
      </c>
      <c r="T7049">
        <v>-0.1121867</v>
      </c>
      <c r="U7049">
        <v>2.0198670000000001</v>
      </c>
      <c r="V7049">
        <v>-0.18985740000000001</v>
      </c>
      <c r="W7049">
        <v>0.19900689999999999</v>
      </c>
      <c r="X7049">
        <v>0.96143140000000005</v>
      </c>
      <c r="Y7049">
        <v>-0.35829509999999998</v>
      </c>
      <c r="Z7049">
        <v>1.6295769999999999E-3</v>
      </c>
      <c r="AA7049">
        <v>0.93360699999999996</v>
      </c>
      <c r="AB7049">
        <v>24</v>
      </c>
      <c r="AC7049">
        <v>23.593299999999999</v>
      </c>
      <c r="AD7049">
        <v>-1.1153632049769999</v>
      </c>
      <c r="AE7049">
        <v>20.038489999999999</v>
      </c>
      <c r="AF7049">
        <v>-11.120800860928201</v>
      </c>
      <c r="AG7049">
        <v>-1.1153632049769999</v>
      </c>
      <c r="AH7049">
        <v>28.844920549960399</v>
      </c>
      <c r="AI7049">
        <v>92.066281289842493</v>
      </c>
      <c r="AJ7049">
        <v>111.08352568750099</v>
      </c>
      <c r="AK7049">
        <v>30.9345387617299</v>
      </c>
      <c r="AL7049">
        <v>78.521108246108</v>
      </c>
      <c r="AM7049">
        <v>101.170685027632</v>
      </c>
      <c r="AN7049">
        <v>0.99999995774416395</v>
      </c>
    </row>
    <row r="7050" spans="1:40" x14ac:dyDescent="0.25">
      <c r="A7050" t="str">
        <f>"20190304155239736"</f>
        <v>20190304155239736</v>
      </c>
      <c r="B7050" t="str">
        <f>"1551685959733892"</f>
        <v>1551685959733892</v>
      </c>
      <c r="C7050" t="s">
        <v>40</v>
      </c>
      <c r="D7050">
        <v>4.7233080000000003</v>
      </c>
      <c r="E7050">
        <v>0.4272107</v>
      </c>
      <c r="F7050" t="s">
        <v>41</v>
      </c>
      <c r="G7050">
        <v>-182.244</v>
      </c>
      <c r="H7050" s="1">
        <v>-2.2149869999999998E-6</v>
      </c>
      <c r="I7050">
        <v>-39.907299999999999</v>
      </c>
      <c r="J7050">
        <v>-205.68729999999999</v>
      </c>
      <c r="K7050">
        <v>1.1153879999999901</v>
      </c>
      <c r="L7050">
        <v>-59.960140000000003</v>
      </c>
      <c r="M7050">
        <v>0.94272449999999997</v>
      </c>
      <c r="N7050">
        <v>-1.4242080000000001E-2</v>
      </c>
      <c r="O7050">
        <v>0.33326830000000002</v>
      </c>
      <c r="P7050">
        <v>0.84645669999999995</v>
      </c>
      <c r="Q7050">
        <v>0.18729480000000001</v>
      </c>
      <c r="R7050">
        <v>0.49842930000000002</v>
      </c>
      <c r="S7050">
        <v>2.3774109999999999</v>
      </c>
      <c r="T7050">
        <v>-0.1125665</v>
      </c>
      <c r="U7050">
        <v>2.0282290000000001</v>
      </c>
      <c r="V7050">
        <v>-0.19009680000000001</v>
      </c>
      <c r="W7050">
        <v>0.1988405</v>
      </c>
      <c r="X7050">
        <v>0.96141860000000001</v>
      </c>
      <c r="Y7050">
        <v>-0.35811609999999899</v>
      </c>
      <c r="Z7050">
        <v>1.5204560000000001E-3</v>
      </c>
      <c r="AA7050">
        <v>0.93367579999999994</v>
      </c>
      <c r="AB7050">
        <v>24</v>
      </c>
      <c r="AC7050">
        <v>23.443299999999901</v>
      </c>
      <c r="AD7050">
        <v>-1.1153902149870001</v>
      </c>
      <c r="AE7050">
        <v>20.05284</v>
      </c>
      <c r="AF7050">
        <v>-11.0780379022068</v>
      </c>
      <c r="AG7050">
        <v>-1.1153902149870001</v>
      </c>
      <c r="AH7050">
        <v>28.7488862912877</v>
      </c>
      <c r="AI7050">
        <v>92.073366499884401</v>
      </c>
      <c r="AJ7050">
        <v>111.07356891862101</v>
      </c>
      <c r="AK7050">
        <v>30.829620206609899</v>
      </c>
      <c r="AL7050">
        <v>78.530837540303494</v>
      </c>
      <c r="AM7050">
        <v>101.18456092404099</v>
      </c>
      <c r="AN7050">
        <v>1.00000003111822</v>
      </c>
    </row>
    <row r="7051" spans="1:40" x14ac:dyDescent="0.25">
      <c r="A7051" t="str">
        <f>"20190304155239747"</f>
        <v>20190304155239747</v>
      </c>
      <c r="B7051" t="str">
        <f>"1551685959743652"</f>
        <v>1551685959743652</v>
      </c>
      <c r="C7051" t="s">
        <v>40</v>
      </c>
      <c r="D7051">
        <v>4.786149</v>
      </c>
      <c r="E7051">
        <v>0.42734749999999999</v>
      </c>
      <c r="F7051" t="s">
        <v>41</v>
      </c>
      <c r="G7051">
        <v>-182.42699999999999</v>
      </c>
      <c r="H7051" s="1">
        <v>-2.1517070000000001E-6</v>
      </c>
      <c r="I7051">
        <v>-39.950119999999998</v>
      </c>
      <c r="J7051">
        <v>-205.58179999999999</v>
      </c>
      <c r="K7051">
        <v>1.115415</v>
      </c>
      <c r="L7051">
        <v>-59.919130000000003</v>
      </c>
      <c r="M7051">
        <v>0.94157420000000003</v>
      </c>
      <c r="N7051">
        <v>-1.424395E-2</v>
      </c>
      <c r="O7051">
        <v>0.33650459999999999</v>
      </c>
      <c r="P7051">
        <v>0.84472749999999996</v>
      </c>
      <c r="Q7051">
        <v>0.18704419999999999</v>
      </c>
      <c r="R7051">
        <v>0.501448</v>
      </c>
      <c r="S7051">
        <v>2.369202</v>
      </c>
      <c r="T7051">
        <v>-0.11360960000000001</v>
      </c>
      <c r="U7051">
        <v>2.0381469999999999</v>
      </c>
      <c r="V7051">
        <v>-0.19021660000000001</v>
      </c>
      <c r="W7051">
        <v>0.1985797</v>
      </c>
      <c r="X7051">
        <v>0.96144879999999999</v>
      </c>
      <c r="Y7051">
        <v>-0.35875269999999998</v>
      </c>
      <c r="Z7051">
        <v>1.4033909999999999E-3</v>
      </c>
      <c r="AA7051">
        <v>0.93343160000000003</v>
      </c>
      <c r="AB7051">
        <v>24</v>
      </c>
      <c r="AC7051">
        <v>23.154799999999899</v>
      </c>
      <c r="AD7051">
        <v>-1.115417151707</v>
      </c>
      <c r="AE7051">
        <v>19.969010000000001</v>
      </c>
      <c r="AF7051">
        <v>-10.997089169820899</v>
      </c>
      <c r="AG7051">
        <v>-1.115417151707</v>
      </c>
      <c r="AH7051">
        <v>28.4866073912508</v>
      </c>
      <c r="AI7051">
        <v>92.091994138989094</v>
      </c>
      <c r="AJ7051">
        <v>111.10879164557601</v>
      </c>
      <c r="AK7051">
        <v>30.555963841688499</v>
      </c>
      <c r="AL7051">
        <v>78.546084238453403</v>
      </c>
      <c r="AM7051">
        <v>101.19108896787399</v>
      </c>
      <c r="AN7051">
        <v>1.0000000235945401</v>
      </c>
    </row>
    <row r="7052" spans="1:40" x14ac:dyDescent="0.25">
      <c r="A7052" t="str">
        <f>"20190304155239759"</f>
        <v>20190304155239759</v>
      </c>
      <c r="B7052" t="str">
        <f>"1551685959753411"</f>
        <v>1551685959753411</v>
      </c>
      <c r="C7052" t="s">
        <v>40</v>
      </c>
      <c r="D7052">
        <v>4.7904460000000002</v>
      </c>
      <c r="E7052">
        <v>0.42745319999999998</v>
      </c>
      <c r="F7052" t="s">
        <v>41</v>
      </c>
      <c r="G7052">
        <v>-182.72630000000001</v>
      </c>
      <c r="H7052" s="1">
        <v>-2.0110420000000002E-6</v>
      </c>
      <c r="I7052">
        <v>-40.129449999999999</v>
      </c>
      <c r="J7052">
        <v>-205.46860000000001</v>
      </c>
      <c r="K7052">
        <v>1.115442</v>
      </c>
      <c r="L7052">
        <v>-59.87424</v>
      </c>
      <c r="M7052">
        <v>0.94030919999999896</v>
      </c>
      <c r="N7052">
        <v>-1.424652E-2</v>
      </c>
      <c r="O7052">
        <v>0.34002290000000002</v>
      </c>
      <c r="P7052">
        <v>0.84284740000000002</v>
      </c>
      <c r="Q7052">
        <v>0.18666070000000001</v>
      </c>
      <c r="R7052">
        <v>0.50474359999999996</v>
      </c>
      <c r="S7052">
        <v>2.3625949999999998</v>
      </c>
      <c r="T7052">
        <v>-0.1153021</v>
      </c>
      <c r="U7052">
        <v>2.0456850000000002</v>
      </c>
      <c r="V7052">
        <v>-0.19035679999999999</v>
      </c>
      <c r="W7052">
        <v>0.1981858</v>
      </c>
      <c r="X7052">
        <v>0.96150230000000003</v>
      </c>
      <c r="Y7052">
        <v>-0.3582535</v>
      </c>
      <c r="Z7052">
        <v>1.212068E-3</v>
      </c>
      <c r="AA7052">
        <v>0.9336236</v>
      </c>
      <c r="AB7052">
        <v>24</v>
      </c>
      <c r="AC7052">
        <v>22.7423</v>
      </c>
      <c r="AD7052">
        <v>-1.1154440110420001</v>
      </c>
      <c r="AE7052">
        <v>19.744789999999998</v>
      </c>
      <c r="AF7052">
        <v>-10.8195637697224</v>
      </c>
      <c r="AG7052">
        <v>-1.1154440110420001</v>
      </c>
      <c r="AH7052">
        <v>28.0628341630023</v>
      </c>
      <c r="AI7052">
        <v>92.123961154705299</v>
      </c>
      <c r="AJ7052">
        <v>111.08403511773</v>
      </c>
      <c r="AK7052">
        <v>30.097007106505298</v>
      </c>
      <c r="AL7052">
        <v>78.569110406018396</v>
      </c>
      <c r="AM7052">
        <v>101.19852160065599</v>
      </c>
      <c r="AN7052">
        <v>0.99999999776658499</v>
      </c>
    </row>
    <row r="7053" spans="1:40" x14ac:dyDescent="0.25">
      <c r="A7053" t="str">
        <f>"20190304155239771"</f>
        <v>20190304155239771</v>
      </c>
      <c r="B7053" t="str">
        <f>"1551685959764147"</f>
        <v>1551685959764147</v>
      </c>
      <c r="C7053" t="s">
        <v>40</v>
      </c>
      <c r="D7053">
        <v>4.7304700000000004</v>
      </c>
      <c r="E7053">
        <v>0.4274809</v>
      </c>
      <c r="F7053" t="s">
        <v>41</v>
      </c>
      <c r="G7053">
        <v>-183.08920000000001</v>
      </c>
      <c r="H7053" s="1">
        <v>-1.8379640000000001E-6</v>
      </c>
      <c r="I7053">
        <v>-40.354390000000002</v>
      </c>
      <c r="J7053">
        <v>-205.35130000000001</v>
      </c>
      <c r="K7053">
        <v>1.1154679999999999</v>
      </c>
      <c r="L7053">
        <v>-59.827480000000001</v>
      </c>
      <c r="M7053">
        <v>0.93898029999999999</v>
      </c>
      <c r="N7053">
        <v>-1.424913E-2</v>
      </c>
      <c r="O7053">
        <v>0.34367560000000003</v>
      </c>
      <c r="P7053">
        <v>0.84103220000000001</v>
      </c>
      <c r="Q7053">
        <v>0.18625230000000001</v>
      </c>
      <c r="R7053">
        <v>0.50791229999999998</v>
      </c>
      <c r="S7053">
        <v>2.3551639999999998</v>
      </c>
      <c r="T7053">
        <v>-0.11738709999999999</v>
      </c>
      <c r="U7053">
        <v>2.05423</v>
      </c>
      <c r="V7053">
        <v>-0.19021489999999999</v>
      </c>
      <c r="W7053">
        <v>0.19777120000000001</v>
      </c>
      <c r="X7053">
        <v>0.96161569999999996</v>
      </c>
      <c r="Y7053">
        <v>-0.35800369999999998</v>
      </c>
      <c r="Z7053">
        <v>9.9828259999999898E-4</v>
      </c>
      <c r="AA7053">
        <v>0.93371959999999998</v>
      </c>
      <c r="AB7053">
        <v>24</v>
      </c>
      <c r="AC7053">
        <v>22.2621</v>
      </c>
      <c r="AD7053">
        <v>-1.115469837964</v>
      </c>
      <c r="AE7053">
        <v>19.473089999999999</v>
      </c>
      <c r="AF7053">
        <v>-10.619882073761101</v>
      </c>
      <c r="AG7053">
        <v>-1.115469837964</v>
      </c>
      <c r="AH7053">
        <v>27.559702260607999</v>
      </c>
      <c r="AI7053">
        <v>92.162899860175997</v>
      </c>
      <c r="AJ7053">
        <v>111.073717261619</v>
      </c>
      <c r="AK7053">
        <v>29.5561052392456</v>
      </c>
      <c r="AL7053">
        <v>78.593344432638702</v>
      </c>
      <c r="AM7053">
        <v>101.189098155734</v>
      </c>
      <c r="AN7053">
        <v>0.999999955108969</v>
      </c>
    </row>
    <row r="7054" spans="1:40" x14ac:dyDescent="0.25">
      <c r="A7054" t="str">
        <f>"20190304155239781"</f>
        <v>20190304155239781</v>
      </c>
      <c r="B7054" t="str">
        <f>"1551685959773554"</f>
        <v>1551685959773554</v>
      </c>
      <c r="C7054" t="s">
        <v>40</v>
      </c>
      <c r="D7054">
        <v>4.7048839999999998</v>
      </c>
      <c r="E7054">
        <v>0.4274751</v>
      </c>
      <c r="F7054" t="s">
        <v>77</v>
      </c>
      <c r="G7054">
        <v>-183.38929999999999</v>
      </c>
      <c r="H7054" s="1">
        <v>-6.9359379999999997E-6</v>
      </c>
      <c r="I7054">
        <v>-40.529910000000001</v>
      </c>
      <c r="J7054">
        <v>-205.2441</v>
      </c>
      <c r="K7054">
        <v>1.1154919999999999</v>
      </c>
      <c r="L7054">
        <v>-59.784089999999999</v>
      </c>
      <c r="M7054">
        <v>0.9377394</v>
      </c>
      <c r="N7054">
        <v>-1.425178E-2</v>
      </c>
      <c r="O7054">
        <v>0.34704740000000001</v>
      </c>
      <c r="P7054">
        <v>0.83921979999999996</v>
      </c>
      <c r="Q7054">
        <v>0.18594920000000001</v>
      </c>
      <c r="R7054">
        <v>0.51101189999999996</v>
      </c>
      <c r="S7054">
        <v>2.3476560000000002</v>
      </c>
      <c r="T7054">
        <v>-0.119239899999999</v>
      </c>
      <c r="U7054">
        <v>2.0628359999999999</v>
      </c>
      <c r="V7054">
        <v>-0.19029270000000001</v>
      </c>
      <c r="W7054">
        <v>0.19745889999999999</v>
      </c>
      <c r="X7054">
        <v>0.96166459999999998</v>
      </c>
      <c r="Y7054">
        <v>-0.35805730000000002</v>
      </c>
      <c r="Z7054">
        <v>8.0795379999999998E-4</v>
      </c>
      <c r="AA7054">
        <v>0.93369930000000001</v>
      </c>
      <c r="AB7054">
        <v>24</v>
      </c>
      <c r="AC7054">
        <v>21.854800000000001</v>
      </c>
      <c r="AD7054">
        <v>-1.1154989359380001</v>
      </c>
      <c r="AE7054">
        <v>19.254180000000002</v>
      </c>
      <c r="AF7054">
        <v>-10.456477019601801</v>
      </c>
      <c r="AG7054">
        <v>-1.1154989359380001</v>
      </c>
      <c r="AH7054">
        <v>27.139171097532401</v>
      </c>
      <c r="AI7054">
        <v>92.196476247434404</v>
      </c>
      <c r="AJ7054">
        <v>111.07122242459999</v>
      </c>
      <c r="AK7054">
        <v>29.105271986337399</v>
      </c>
      <c r="AL7054">
        <v>78.611599147080099</v>
      </c>
      <c r="AM7054">
        <v>101.193004268281</v>
      </c>
      <c r="AN7054">
        <v>1.0000000658778201</v>
      </c>
    </row>
    <row r="7055" spans="1:40" x14ac:dyDescent="0.25">
      <c r="A7055" t="str">
        <f>"20190304155239793"</f>
        <v>20190304155239793</v>
      </c>
      <c r="B7055" t="str">
        <f>"1551685959783315"</f>
        <v>1551685959783315</v>
      </c>
      <c r="C7055" t="s">
        <v>40</v>
      </c>
      <c r="D7055">
        <v>4.7802490000000004</v>
      </c>
      <c r="E7055">
        <v>0.42760969999999998</v>
      </c>
      <c r="F7055" t="s">
        <v>77</v>
      </c>
      <c r="G7055">
        <v>-183.56540000000001</v>
      </c>
      <c r="H7055" s="1">
        <v>-6.9355589999999996E-6</v>
      </c>
      <c r="I7055">
        <v>-40.59019</v>
      </c>
      <c r="J7055">
        <v>-205.13059999999999</v>
      </c>
      <c r="K7055">
        <v>1.115518</v>
      </c>
      <c r="L7055">
        <v>-59.737760000000002</v>
      </c>
      <c r="M7055">
        <v>0.93640480000000004</v>
      </c>
      <c r="N7055">
        <v>-1.4254559999999999E-2</v>
      </c>
      <c r="O7055">
        <v>0.3506322</v>
      </c>
      <c r="P7055">
        <v>0.837337</v>
      </c>
      <c r="Q7055">
        <v>0.1856746</v>
      </c>
      <c r="R7055">
        <v>0.51419049999999999</v>
      </c>
      <c r="S7055">
        <v>2.3399200000000002</v>
      </c>
      <c r="T7055">
        <v>-0.1204027</v>
      </c>
      <c r="U7055">
        <v>2.0717159999999999</v>
      </c>
      <c r="V7055">
        <v>-0.19024730000000001</v>
      </c>
      <c r="W7055">
        <v>0.19717750000000001</v>
      </c>
      <c r="X7055">
        <v>0.96173129999999996</v>
      </c>
      <c r="Y7055">
        <v>-0.3580026</v>
      </c>
      <c r="Z7055">
        <v>6.4359699999999998E-4</v>
      </c>
      <c r="AA7055">
        <v>0.93372040000000001</v>
      </c>
      <c r="AB7055">
        <v>24</v>
      </c>
      <c r="AC7055">
        <v>21.565199999999901</v>
      </c>
      <c r="AD7055">
        <v>-1.115524935559</v>
      </c>
      <c r="AE7055">
        <v>19.147569999999899</v>
      </c>
      <c r="AF7055">
        <v>-10.3539841201987</v>
      </c>
      <c r="AG7055">
        <v>-1.115524935559</v>
      </c>
      <c r="AH7055">
        <v>26.870040632766401</v>
      </c>
      <c r="AI7055">
        <v>92.218472722743698</v>
      </c>
      <c r="AJ7055">
        <v>111.073451610822</v>
      </c>
      <c r="AK7055">
        <v>28.817502783025802</v>
      </c>
      <c r="AL7055">
        <v>78.628045310999894</v>
      </c>
      <c r="AM7055">
        <v>101.189644729454</v>
      </c>
      <c r="AN7055">
        <v>1.00000004753161</v>
      </c>
    </row>
    <row r="7056" spans="1:40" x14ac:dyDescent="0.25">
      <c r="A7056" t="str">
        <f>"20190304155239803"</f>
        <v>20190304155239803</v>
      </c>
      <c r="B7056" t="str">
        <f>"1551685959794051"</f>
        <v>1551685959794051</v>
      </c>
      <c r="C7056" t="s">
        <v>40</v>
      </c>
      <c r="D7056">
        <v>4.7159089999999999</v>
      </c>
      <c r="E7056">
        <v>0.42766120000000002</v>
      </c>
      <c r="F7056" t="s">
        <v>77</v>
      </c>
      <c r="G7056">
        <v>-183.85429999999999</v>
      </c>
      <c r="H7056" s="1">
        <v>-6.9072230000000001E-6</v>
      </c>
      <c r="I7056">
        <v>-40.771929999999998</v>
      </c>
      <c r="J7056">
        <v>-205.023</v>
      </c>
      <c r="K7056">
        <v>1.115542</v>
      </c>
      <c r="L7056">
        <v>-59.693330000000003</v>
      </c>
      <c r="M7056">
        <v>0.93511739999999999</v>
      </c>
      <c r="N7056">
        <v>-1.4257209999999999E-2</v>
      </c>
      <c r="O7056">
        <v>0.35405110000000001</v>
      </c>
      <c r="P7056">
        <v>0.83550659999999899</v>
      </c>
      <c r="Q7056">
        <v>0.18541530000000001</v>
      </c>
      <c r="R7056">
        <v>0.5172523</v>
      </c>
      <c r="S7056">
        <v>2.3329010000000001</v>
      </c>
      <c r="T7056">
        <v>-0.1223147</v>
      </c>
      <c r="U7056">
        <v>2.0795590000000002</v>
      </c>
      <c r="V7056">
        <v>-0.1902412</v>
      </c>
      <c r="W7056">
        <v>0.196911</v>
      </c>
      <c r="X7056">
        <v>0.96178699999999995</v>
      </c>
      <c r="Y7056">
        <v>-0.35773280000000002</v>
      </c>
      <c r="Z7056">
        <v>4.3134580000000003E-4</v>
      </c>
      <c r="AA7056">
        <v>0.93382390000000004</v>
      </c>
      <c r="AB7056">
        <v>24</v>
      </c>
      <c r="AC7056">
        <v>21.168700000000001</v>
      </c>
      <c r="AD7056">
        <v>-1.115548907223</v>
      </c>
      <c r="AE7056">
        <v>18.921399999999998</v>
      </c>
      <c r="AF7056">
        <v>-10.1842438729834</v>
      </c>
      <c r="AG7056">
        <v>-1.115548907223</v>
      </c>
      <c r="AH7056">
        <v>26.456214148778699</v>
      </c>
      <c r="AI7056">
        <v>92.253480119580999</v>
      </c>
      <c r="AJ7056">
        <v>111.0540676734</v>
      </c>
      <c r="AK7056">
        <v>28.370663364025301</v>
      </c>
      <c r="AL7056">
        <v>78.643618800338899</v>
      </c>
      <c r="AM7056">
        <v>101.18866334616899</v>
      </c>
      <c r="AN7056">
        <v>0.999999944733718</v>
      </c>
    </row>
    <row r="7057" spans="1:40" x14ac:dyDescent="0.25">
      <c r="A7057" t="str">
        <f>"20190304155239816"</f>
        <v>20190304155239816</v>
      </c>
      <c r="B7057" t="str">
        <f>"1551685959813572"</f>
        <v>1551685959813572</v>
      </c>
      <c r="C7057" t="s">
        <v>40</v>
      </c>
      <c r="D7057">
        <v>4.7356179999999997</v>
      </c>
      <c r="E7057">
        <v>0.42774240000000002</v>
      </c>
      <c r="F7057" t="s">
        <v>77</v>
      </c>
      <c r="G7057">
        <v>-184.06</v>
      </c>
      <c r="H7057" s="1">
        <v>-6.8952940000000001E-6</v>
      </c>
      <c r="I7057">
        <v>-40.876690000000004</v>
      </c>
      <c r="J7057">
        <v>-204.90770000000001</v>
      </c>
      <c r="K7057">
        <v>1.1155649999999999</v>
      </c>
      <c r="L7057">
        <v>-59.645020000000002</v>
      </c>
      <c r="M7057">
        <v>0.93371130000000002</v>
      </c>
      <c r="N7057">
        <v>-1.426002E-2</v>
      </c>
      <c r="O7057">
        <v>0.35774270000000002</v>
      </c>
      <c r="P7057">
        <v>0.8334319</v>
      </c>
      <c r="Q7057">
        <v>0.18516840000000001</v>
      </c>
      <c r="R7057">
        <v>0.52067640000000004</v>
      </c>
      <c r="S7057">
        <v>2.3257140000000001</v>
      </c>
      <c r="T7057">
        <v>-0.123763</v>
      </c>
      <c r="U7057">
        <v>2.0875849999999998</v>
      </c>
      <c r="V7057">
        <v>-0.19037670000000001</v>
      </c>
      <c r="W7057">
        <v>0.1966562</v>
      </c>
      <c r="X7057">
        <v>0.96181240000000001</v>
      </c>
      <c r="Y7057">
        <v>-0.3572611</v>
      </c>
      <c r="Z7057">
        <v>2.2834679999999999E-4</v>
      </c>
      <c r="AA7057">
        <v>0.93400450000000002</v>
      </c>
      <c r="AB7057">
        <v>24</v>
      </c>
      <c r="AC7057">
        <v>20.8477</v>
      </c>
      <c r="AD7057">
        <v>-1.1155718952939999</v>
      </c>
      <c r="AE7057">
        <v>18.768329999999899</v>
      </c>
      <c r="AF7057">
        <v>-10.051216336003099</v>
      </c>
      <c r="AG7057">
        <v>-1.1155718952939999</v>
      </c>
      <c r="AH7057">
        <v>26.141284350728299</v>
      </c>
      <c r="AI7057">
        <v>92.280991287707593</v>
      </c>
      <c r="AJ7057">
        <v>111.031546427959</v>
      </c>
      <c r="AK7057">
        <v>28.029238269926999</v>
      </c>
      <c r="AL7057">
        <v>78.658509787713598</v>
      </c>
      <c r="AM7057">
        <v>101.19614303656201</v>
      </c>
      <c r="AN7057">
        <v>1.0000000208475399</v>
      </c>
    </row>
    <row r="7058" spans="1:40" x14ac:dyDescent="0.25">
      <c r="A7058" t="str">
        <f>"20190304155239828"</f>
        <v>20190304155239828</v>
      </c>
      <c r="B7058" t="str">
        <f>"1551685959823331"</f>
        <v>1551685959823331</v>
      </c>
      <c r="C7058" t="s">
        <v>40</v>
      </c>
      <c r="D7058">
        <v>4.6850899999999998</v>
      </c>
      <c r="E7058">
        <v>0.42773600000000001</v>
      </c>
      <c r="F7058" t="s">
        <v>77</v>
      </c>
      <c r="G7058">
        <v>-184.3415</v>
      </c>
      <c r="H7058" s="1">
        <v>-6.8717239999999996E-6</v>
      </c>
      <c r="I7058">
        <v>-41.041719999999998</v>
      </c>
      <c r="J7058">
        <v>-204.78909999999999</v>
      </c>
      <c r="K7058">
        <v>1.1155870000000001</v>
      </c>
      <c r="L7058">
        <v>-59.595030000000001</v>
      </c>
      <c r="M7058">
        <v>0.93224359999999995</v>
      </c>
      <c r="N7058">
        <v>-1.4262779999999999E-2</v>
      </c>
      <c r="O7058">
        <v>0.36154989999999998</v>
      </c>
      <c r="P7058">
        <v>0.83132299999999903</v>
      </c>
      <c r="Q7058">
        <v>0.18495629999999999</v>
      </c>
      <c r="R7058">
        <v>0.52411189999999996</v>
      </c>
      <c r="S7058">
        <v>2.3177340000000002</v>
      </c>
      <c r="T7058">
        <v>-0.125721</v>
      </c>
      <c r="U7058">
        <v>2.096527</v>
      </c>
      <c r="V7058">
        <v>-0.19041240000000001</v>
      </c>
      <c r="W7058">
        <v>0.196437</v>
      </c>
      <c r="X7058">
        <v>0.96185010000000004</v>
      </c>
      <c r="Y7058">
        <v>-0.35702879999999998</v>
      </c>
      <c r="Z7058" s="1">
        <v>-6.107148E-6</v>
      </c>
      <c r="AA7058">
        <v>0.93409339999999996</v>
      </c>
      <c r="AB7058">
        <v>24</v>
      </c>
      <c r="AC7058">
        <v>20.447599999999898</v>
      </c>
      <c r="AD7058">
        <v>-1.1155938717239999</v>
      </c>
      <c r="AE7058">
        <v>18.55331</v>
      </c>
      <c r="AF7058">
        <v>-9.88824163406621</v>
      </c>
      <c r="AG7058">
        <v>-1.1155938717239999</v>
      </c>
      <c r="AH7058">
        <v>25.730707683582001</v>
      </c>
      <c r="AI7058">
        <v>92.317548528591999</v>
      </c>
      <c r="AJ7058">
        <v>111.021633277733</v>
      </c>
      <c r="AK7058">
        <v>27.587881219808299</v>
      </c>
      <c r="AL7058">
        <v>78.671318584378398</v>
      </c>
      <c r="AM7058">
        <v>101.197761690874</v>
      </c>
      <c r="AN7058">
        <v>0.999999995956385</v>
      </c>
    </row>
    <row r="7059" spans="1:40" x14ac:dyDescent="0.25">
      <c r="A7059" t="str">
        <f>"20190304155239839"</f>
        <v>20190304155239839</v>
      </c>
      <c r="B7059" t="str">
        <f>"1551685959834067"</f>
        <v>1551685959834067</v>
      </c>
      <c r="C7059" t="s">
        <v>40</v>
      </c>
      <c r="D7059">
        <v>4.6898390000000001</v>
      </c>
      <c r="E7059">
        <v>0.42772710000000003</v>
      </c>
      <c r="F7059" t="s">
        <v>77</v>
      </c>
      <c r="G7059">
        <v>-184.45009999999999</v>
      </c>
      <c r="H7059" s="1">
        <v>-6.8831849999999901E-6</v>
      </c>
      <c r="I7059">
        <v>-41.043939999999999</v>
      </c>
      <c r="J7059">
        <v>-204.67779999999999</v>
      </c>
      <c r="K7059">
        <v>1.115602</v>
      </c>
      <c r="L7059">
        <v>-59.547240000000002</v>
      </c>
      <c r="M7059">
        <v>0.93083570000000004</v>
      </c>
      <c r="N7059">
        <v>-1.4265409999999999E-2</v>
      </c>
      <c r="O7059">
        <v>0.36515940000000002</v>
      </c>
      <c r="P7059">
        <v>0.82921440000000002</v>
      </c>
      <c r="Q7059">
        <v>0.18468290000000001</v>
      </c>
      <c r="R7059">
        <v>0.52753729999999999</v>
      </c>
      <c r="S7059">
        <v>2.309097</v>
      </c>
      <c r="T7059">
        <v>-0.12665360000000001</v>
      </c>
      <c r="U7059">
        <v>2.1061100000000001</v>
      </c>
      <c r="V7059">
        <v>-0.19063749999999999</v>
      </c>
      <c r="W7059">
        <v>0.19615550000000001</v>
      </c>
      <c r="X7059">
        <v>0.96186300000000002</v>
      </c>
      <c r="Y7059">
        <v>-0.35726409999999997</v>
      </c>
      <c r="Z7059">
        <v>-1.633889E-4</v>
      </c>
      <c r="AA7059">
        <v>0.93400340000000004</v>
      </c>
      <c r="AB7059">
        <v>24</v>
      </c>
      <c r="AC7059">
        <v>20.227699999999999</v>
      </c>
      <c r="AD7059">
        <v>-1.115608883185</v>
      </c>
      <c r="AE7059">
        <v>18.503299999999999</v>
      </c>
      <c r="AF7059">
        <v>-9.8219328347480097</v>
      </c>
      <c r="AG7059">
        <v>-1.115608883185</v>
      </c>
      <c r="AH7059">
        <v>25.545617958922001</v>
      </c>
      <c r="AI7059">
        <v>92.334205735559905</v>
      </c>
      <c r="AJ7059">
        <v>111.031053580845</v>
      </c>
      <c r="AK7059">
        <v>27.391486719302801</v>
      </c>
      <c r="AL7059">
        <v>78.6877677957782</v>
      </c>
      <c r="AM7059">
        <v>101.21051772231201</v>
      </c>
      <c r="AN7059">
        <v>1.0000000336777399</v>
      </c>
    </row>
    <row r="7060" spans="1:40" x14ac:dyDescent="0.25">
      <c r="A7060" t="str">
        <f>"20190304155239851"</f>
        <v>20190304155239851</v>
      </c>
      <c r="B7060" t="str">
        <f>"1551685959843827"</f>
        <v>1551685959843827</v>
      </c>
      <c r="C7060" t="s">
        <v>40</v>
      </c>
      <c r="D7060">
        <v>4.6926220000000001</v>
      </c>
      <c r="E7060">
        <v>0.42770409999999998</v>
      </c>
      <c r="F7060" t="s">
        <v>77</v>
      </c>
      <c r="G7060">
        <v>-184.59020000000001</v>
      </c>
      <c r="H7060" s="1">
        <v>-6.8888559999999999E-6</v>
      </c>
      <c r="I7060">
        <v>-41.074089999999998</v>
      </c>
      <c r="J7060">
        <v>-204.56870000000001</v>
      </c>
      <c r="K7060">
        <v>1.115618</v>
      </c>
      <c r="L7060">
        <v>-59.50009</v>
      </c>
      <c r="M7060">
        <v>0.92943580000000003</v>
      </c>
      <c r="N7060">
        <v>-1.426788E-2</v>
      </c>
      <c r="O7060">
        <v>0.36870789999999998</v>
      </c>
      <c r="P7060">
        <v>0.82726259999999996</v>
      </c>
      <c r="Q7060">
        <v>0.18452830000000001</v>
      </c>
      <c r="R7060">
        <v>0.53064669999999903</v>
      </c>
      <c r="S7060">
        <v>2.30043</v>
      </c>
      <c r="T7060">
        <v>-0.12775919999999999</v>
      </c>
      <c r="U7060">
        <v>2.1155400000000002</v>
      </c>
      <c r="V7060">
        <v>-0.19057260000000001</v>
      </c>
      <c r="W7060">
        <v>0.19599649999999999</v>
      </c>
      <c r="X7060">
        <v>0.96190819999999999</v>
      </c>
      <c r="Y7060">
        <v>-0.35752709999999999</v>
      </c>
      <c r="Z7060">
        <v>-3.315778E-4</v>
      </c>
      <c r="AA7060">
        <v>0.93390269999999997</v>
      </c>
      <c r="AB7060">
        <v>24</v>
      </c>
      <c r="AC7060">
        <v>19.9785</v>
      </c>
      <c r="AD7060">
        <v>-1.1156248888560001</v>
      </c>
      <c r="AE7060">
        <v>18.425999999999899</v>
      </c>
      <c r="AF7060">
        <v>-9.7441282425095999</v>
      </c>
      <c r="AG7060">
        <v>-1.1156248888560001</v>
      </c>
      <c r="AH7060">
        <v>25.322459252650599</v>
      </c>
      <c r="AI7060">
        <v>92.354538154977007</v>
      </c>
      <c r="AJ7060">
        <v>111.046815538708</v>
      </c>
      <c r="AK7060">
        <v>27.155470842930701</v>
      </c>
      <c r="AL7060">
        <v>78.697057370906506</v>
      </c>
      <c r="AM7060">
        <v>101.20628458499399</v>
      </c>
      <c r="AN7060">
        <v>0.99999996455512397</v>
      </c>
    </row>
    <row r="7061" spans="1:40" x14ac:dyDescent="0.25">
      <c r="A7061" t="str">
        <f>"20190304155239862"</f>
        <v>20190304155239862</v>
      </c>
      <c r="B7061" t="str">
        <f>"1551685959853586"</f>
        <v>1551685959853586</v>
      </c>
      <c r="C7061" t="s">
        <v>40</v>
      </c>
      <c r="D7061">
        <v>4.6774839999999998</v>
      </c>
      <c r="E7061">
        <v>0.4276488</v>
      </c>
      <c r="F7061" t="s">
        <v>77</v>
      </c>
      <c r="G7061">
        <v>-184.6456</v>
      </c>
      <c r="H7061" s="1">
        <v>-6.9069470000000001E-6</v>
      </c>
      <c r="I7061">
        <v>-41.038649999999997</v>
      </c>
      <c r="J7061">
        <v>-204.45439999999999</v>
      </c>
      <c r="K7061">
        <v>1.115634</v>
      </c>
      <c r="L7061">
        <v>-59.450099999999999</v>
      </c>
      <c r="M7061">
        <v>0.92794469999999996</v>
      </c>
      <c r="N7061">
        <v>-1.4270440000000001E-2</v>
      </c>
      <c r="O7061">
        <v>0.37244480000000002</v>
      </c>
      <c r="P7061">
        <v>0.82507710000000001</v>
      </c>
      <c r="Q7061">
        <v>0.18452750000000001</v>
      </c>
      <c r="R7061">
        <v>0.53403880000000004</v>
      </c>
      <c r="S7061">
        <v>2.2924500000000001</v>
      </c>
      <c r="T7061">
        <v>-0.1283696</v>
      </c>
      <c r="U7061">
        <v>2.1242679999999998</v>
      </c>
      <c r="V7061">
        <v>-0.19065860000000001</v>
      </c>
      <c r="W7061">
        <v>0.19599040000000001</v>
      </c>
      <c r="X7061">
        <v>0.96189239999999998</v>
      </c>
      <c r="Y7061">
        <v>-0.3573035</v>
      </c>
      <c r="Z7061">
        <v>-4.901765E-4</v>
      </c>
      <c r="AA7061">
        <v>0.93398820000000005</v>
      </c>
      <c r="AB7061">
        <v>24</v>
      </c>
      <c r="AC7061">
        <v>19.808799999999898</v>
      </c>
      <c r="AD7061">
        <v>-1.1156409069469999</v>
      </c>
      <c r="AE7061">
        <v>18.411449999999999</v>
      </c>
      <c r="AF7061">
        <v>-9.6916174509348494</v>
      </c>
      <c r="AG7061">
        <v>-1.1156409069469999</v>
      </c>
      <c r="AH7061">
        <v>25.198405318165999</v>
      </c>
      <c r="AI7061">
        <v>92.366300619844495</v>
      </c>
      <c r="AJ7061">
        <v>111.037358699508</v>
      </c>
      <c r="AK7061">
        <v>27.0209499097848</v>
      </c>
      <c r="AL7061">
        <v>78.697413780441806</v>
      </c>
      <c r="AM7061">
        <v>101.211393082678</v>
      </c>
      <c r="AN7061">
        <v>0.99999996391193902</v>
      </c>
    </row>
    <row r="7062" spans="1:40" x14ac:dyDescent="0.25">
      <c r="A7062" t="str">
        <f>"20190304155239873"</f>
        <v>20190304155239873</v>
      </c>
      <c r="B7062" t="str">
        <f>"1551685959863347"</f>
        <v>1551685959863347</v>
      </c>
      <c r="C7062" t="s">
        <v>40</v>
      </c>
      <c r="D7062">
        <v>4.8469769999999999</v>
      </c>
      <c r="E7062">
        <v>0.42773729999999999</v>
      </c>
      <c r="F7062" t="s">
        <v>77</v>
      </c>
      <c r="G7062">
        <v>-184.5915</v>
      </c>
      <c r="H7062" s="1">
        <v>-6.9523560000000002E-6</v>
      </c>
      <c r="I7062">
        <v>-40.884830000000001</v>
      </c>
      <c r="J7062">
        <v>-204.3537</v>
      </c>
      <c r="K7062">
        <v>1.1156469999999901</v>
      </c>
      <c r="L7062">
        <v>-59.405520000000003</v>
      </c>
      <c r="M7062">
        <v>0.92660929999999997</v>
      </c>
      <c r="N7062">
        <v>-1.4272669999999999E-2</v>
      </c>
      <c r="O7062">
        <v>0.37575449999999999</v>
      </c>
      <c r="P7062">
        <v>0.82327109999999903</v>
      </c>
      <c r="Q7062">
        <v>0.18427969999999999</v>
      </c>
      <c r="R7062">
        <v>0.53690400000000005</v>
      </c>
      <c r="S7062">
        <v>2.283325</v>
      </c>
      <c r="T7062">
        <v>-0.12824749999999999</v>
      </c>
      <c r="U7062">
        <v>2.1341549999999998</v>
      </c>
      <c r="V7062">
        <v>-0.19055169999999999</v>
      </c>
      <c r="W7062">
        <v>0.19574069999999999</v>
      </c>
      <c r="X7062">
        <v>0.96196440000000005</v>
      </c>
      <c r="Y7062">
        <v>-0.35799130000000001</v>
      </c>
      <c r="Z7062">
        <v>-5.6362429999999998E-4</v>
      </c>
      <c r="AA7062">
        <v>0.93372480000000002</v>
      </c>
      <c r="AB7062">
        <v>24</v>
      </c>
      <c r="AC7062">
        <v>19.7622</v>
      </c>
      <c r="AD7062">
        <v>-1.1156539523559901</v>
      </c>
      <c r="AE7062">
        <v>18.520689999999899</v>
      </c>
      <c r="AF7062">
        <v>-9.7202070868643808</v>
      </c>
      <c r="AG7062">
        <v>-1.1156539523559901</v>
      </c>
      <c r="AH7062">
        <v>25.230835006905501</v>
      </c>
      <c r="AI7062">
        <v>92.3627847437714</v>
      </c>
      <c r="AJ7062">
        <v>111.069234573717</v>
      </c>
      <c r="AK7062">
        <v>27.0614512674141</v>
      </c>
      <c r="AL7062">
        <v>78.712002841737501</v>
      </c>
      <c r="AM7062">
        <v>101.20444863374399</v>
      </c>
      <c r="AN7062">
        <v>0.99999993943836796</v>
      </c>
    </row>
    <row r="7063" spans="1:40" x14ac:dyDescent="0.25">
      <c r="A7063" t="str">
        <f>"20190304155239882"</f>
        <v>20190304155239882</v>
      </c>
      <c r="B7063" t="str">
        <f>"1551685959874083"</f>
        <v>1551685959874083</v>
      </c>
      <c r="C7063" t="s">
        <v>40</v>
      </c>
      <c r="D7063">
        <v>4.6555010000000001</v>
      </c>
      <c r="E7063">
        <v>0.42766189999999998</v>
      </c>
      <c r="F7063" t="s">
        <v>77</v>
      </c>
      <c r="G7063">
        <v>-184.7902</v>
      </c>
      <c r="H7063" s="1">
        <v>-6.9355599999999999E-6</v>
      </c>
      <c r="I7063">
        <v>-41.00177</v>
      </c>
      <c r="J7063">
        <v>-204.2559</v>
      </c>
      <c r="K7063">
        <v>1.1156600000000001</v>
      </c>
      <c r="L7063">
        <v>-59.361879999999999</v>
      </c>
      <c r="M7063">
        <v>0.92529459999999997</v>
      </c>
      <c r="N7063">
        <v>-1.427484E-2</v>
      </c>
      <c r="O7063">
        <v>0.3789804</v>
      </c>
      <c r="P7063">
        <v>0.82129089999999905</v>
      </c>
      <c r="Q7063">
        <v>0.1844384</v>
      </c>
      <c r="R7063">
        <v>0.53987390000000002</v>
      </c>
      <c r="S7063">
        <v>2.276459</v>
      </c>
      <c r="T7063">
        <v>-0.12982060000000001</v>
      </c>
      <c r="U7063">
        <v>2.1415099999999998</v>
      </c>
      <c r="V7063">
        <v>-0.19069530000000001</v>
      </c>
      <c r="W7063">
        <v>0.1958936</v>
      </c>
      <c r="X7063">
        <v>0.96190489999999995</v>
      </c>
      <c r="Y7063">
        <v>-0.35774260000000002</v>
      </c>
      <c r="Z7063">
        <v>-7.7363989999999999E-4</v>
      </c>
      <c r="AA7063">
        <v>0.93381990000000004</v>
      </c>
      <c r="AB7063">
        <v>24</v>
      </c>
      <c r="AC7063">
        <v>19.465699999999998</v>
      </c>
      <c r="AD7063">
        <v>-1.11566693556</v>
      </c>
      <c r="AE7063">
        <v>18.360109999999999</v>
      </c>
      <c r="AF7063">
        <v>-9.5956899954930908</v>
      </c>
      <c r="AG7063">
        <v>-1.11566693556</v>
      </c>
      <c r="AH7063">
        <v>24.928836720417301</v>
      </c>
      <c r="AI7063">
        <v>92.3916658686516</v>
      </c>
      <c r="AJ7063">
        <v>111.05287800520399</v>
      </c>
      <c r="AK7063">
        <v>26.7351618553907</v>
      </c>
      <c r="AL7063">
        <v>78.703070270902799</v>
      </c>
      <c r="AM7063">
        <v>101.213354461451</v>
      </c>
      <c r="AN7063">
        <v>1.00000001830352</v>
      </c>
    </row>
    <row r="7064" spans="1:40" x14ac:dyDescent="0.25">
      <c r="A7064" t="str">
        <f>"20190304155239893"</f>
        <v>20190304155239893</v>
      </c>
      <c r="B7064" t="str">
        <f>"1551685959883843"</f>
        <v>1551685959883843</v>
      </c>
      <c r="C7064" t="s">
        <v>40</v>
      </c>
      <c r="D7064">
        <v>4.6563629999999998</v>
      </c>
      <c r="E7064">
        <v>0.4276218</v>
      </c>
      <c r="F7064" t="s">
        <v>77</v>
      </c>
      <c r="G7064">
        <v>-184.6617</v>
      </c>
      <c r="H7064" s="1">
        <v>-6.9927050000000003E-6</v>
      </c>
      <c r="I7064">
        <v>-40.787869999999998</v>
      </c>
      <c r="J7064">
        <v>-204.15700000000001</v>
      </c>
      <c r="K7064">
        <v>1.115672</v>
      </c>
      <c r="L7064">
        <v>-59.317259999999997</v>
      </c>
      <c r="M7064">
        <v>0.92394580000000004</v>
      </c>
      <c r="N7064">
        <v>-1.427698E-2</v>
      </c>
      <c r="O7064">
        <v>0.38225690000000001</v>
      </c>
      <c r="P7064">
        <v>0.81922969999999895</v>
      </c>
      <c r="Q7064">
        <v>0.1846932</v>
      </c>
      <c r="R7064">
        <v>0.54291</v>
      </c>
      <c r="S7064">
        <v>2.2683409999999999</v>
      </c>
      <c r="T7064">
        <v>-0.1291562</v>
      </c>
      <c r="U7064">
        <v>2.1502379999999999</v>
      </c>
      <c r="V7064">
        <v>-0.1908783</v>
      </c>
      <c r="W7064">
        <v>0.19614239999999999</v>
      </c>
      <c r="X7064">
        <v>0.9618179</v>
      </c>
      <c r="Y7064">
        <v>-0.35799690000000001</v>
      </c>
      <c r="Z7064">
        <v>-8.2329940000000002E-4</v>
      </c>
      <c r="AA7064">
        <v>0.93372239999999995</v>
      </c>
      <c r="AB7064">
        <v>24</v>
      </c>
      <c r="AC7064">
        <v>19.4953</v>
      </c>
      <c r="AD7064">
        <v>-1.1156789927049999</v>
      </c>
      <c r="AE7064">
        <v>18.529389999999999</v>
      </c>
      <c r="AF7064">
        <v>-9.6523161117911993</v>
      </c>
      <c r="AG7064">
        <v>-1.1156789927049999</v>
      </c>
      <c r="AH7064">
        <v>25.055034243653999</v>
      </c>
      <c r="AI7064">
        <v>92.379402980866502</v>
      </c>
      <c r="AJ7064">
        <v>111.068908929421</v>
      </c>
      <c r="AK7064">
        <v>26.873159227887299</v>
      </c>
      <c r="AL7064">
        <v>78.688533078834695</v>
      </c>
      <c r="AM7064">
        <v>101.224831713155</v>
      </c>
      <c r="AN7064">
        <v>1.00000001962452</v>
      </c>
    </row>
    <row r="7065" spans="1:40" x14ac:dyDescent="0.25">
      <c r="A7065" t="str">
        <f>"20190304155239904"</f>
        <v>20190304155239904</v>
      </c>
      <c r="B7065" t="str">
        <f>"1551685959893603"</f>
        <v>1551685959893603</v>
      </c>
      <c r="C7065" t="s">
        <v>40</v>
      </c>
      <c r="D7065">
        <v>4.6717110000000002</v>
      </c>
      <c r="E7065">
        <v>0.4275523</v>
      </c>
      <c r="F7065" t="s">
        <v>77</v>
      </c>
      <c r="G7065">
        <v>-184.49979999999999</v>
      </c>
      <c r="H7065" s="1">
        <v>-7.0581859999999996E-6</v>
      </c>
      <c r="I7065">
        <v>-40.537860000000002</v>
      </c>
      <c r="J7065">
        <v>-204.04730000000001</v>
      </c>
      <c r="K7065">
        <v>1.115694</v>
      </c>
      <c r="L7065">
        <v>-59.267359999999996</v>
      </c>
      <c r="M7065">
        <v>0.92242990000000002</v>
      </c>
      <c r="N7065">
        <v>-1.427929E-2</v>
      </c>
      <c r="O7065">
        <v>0.38590059999999998</v>
      </c>
      <c r="P7065">
        <v>0.81701140000000005</v>
      </c>
      <c r="Q7065">
        <v>0.1849539</v>
      </c>
      <c r="R7065">
        <v>0.54615429999999998</v>
      </c>
      <c r="S7065">
        <v>2.26004</v>
      </c>
      <c r="T7065">
        <v>-0.12827269999999999</v>
      </c>
      <c r="U7065">
        <v>2.159119</v>
      </c>
      <c r="V7065">
        <v>-0.1909275</v>
      </c>
      <c r="W7065">
        <v>0.1963982</v>
      </c>
      <c r="X7065">
        <v>0.9617559</v>
      </c>
      <c r="Y7065">
        <v>-0.3579464</v>
      </c>
      <c r="Z7065">
        <v>-8.7648999999999995E-4</v>
      </c>
      <c r="AA7065">
        <v>0.93374170000000001</v>
      </c>
      <c r="AB7065">
        <v>24</v>
      </c>
      <c r="AC7065">
        <v>19.547499999999999</v>
      </c>
      <c r="AD7065">
        <v>-1.1157010581860001</v>
      </c>
      <c r="AE7065">
        <v>18.729500000000002</v>
      </c>
      <c r="AF7065">
        <v>-9.7177457747693197</v>
      </c>
      <c r="AG7065">
        <v>-1.1157010581860001</v>
      </c>
      <c r="AH7065">
        <v>25.218665589982301</v>
      </c>
      <c r="AI7065">
        <v>92.363953368219597</v>
      </c>
      <c r="AJ7065">
        <v>111.07364013993001</v>
      </c>
      <c r="AK7065">
        <v>27.0492230190378</v>
      </c>
      <c r="AL7065">
        <v>78.673585725270001</v>
      </c>
      <c r="AM7065">
        <v>101.228356893431</v>
      </c>
      <c r="AN7065">
        <v>0.999999987202149</v>
      </c>
    </row>
    <row r="7066" spans="1:40" x14ac:dyDescent="0.25">
      <c r="A7066" t="str">
        <f>"20190304155239916"</f>
        <v>20190304155239916</v>
      </c>
      <c r="B7066" t="str">
        <f>"1551685959903363"</f>
        <v>1551685959903363</v>
      </c>
      <c r="C7066" t="s">
        <v>40</v>
      </c>
      <c r="D7066">
        <v>4.6756779999999996</v>
      </c>
      <c r="E7066">
        <v>0.42749670000000001</v>
      </c>
      <c r="F7066" t="s">
        <v>41</v>
      </c>
      <c r="G7066">
        <v>-184.3038</v>
      </c>
      <c r="H7066" s="1">
        <v>-1.551535E-6</v>
      </c>
      <c r="I7066">
        <v>-40.246380000000002</v>
      </c>
      <c r="J7066">
        <v>-203.94470000000001</v>
      </c>
      <c r="K7066">
        <v>1.115707</v>
      </c>
      <c r="L7066">
        <v>-59.22</v>
      </c>
      <c r="M7066">
        <v>0.920987</v>
      </c>
      <c r="N7066">
        <v>-1.4281429999999999E-2</v>
      </c>
      <c r="O7066">
        <v>0.3893316</v>
      </c>
      <c r="P7066">
        <v>0.81491380000000002</v>
      </c>
      <c r="Q7066">
        <v>0.18512870000000001</v>
      </c>
      <c r="R7066">
        <v>0.54922029999999999</v>
      </c>
      <c r="S7066">
        <v>2.2510219999999999</v>
      </c>
      <c r="T7066">
        <v>-0.12720380000000001</v>
      </c>
      <c r="U7066">
        <v>2.1686399999999999</v>
      </c>
      <c r="V7066">
        <v>-0.19098409999999999</v>
      </c>
      <c r="W7066">
        <v>0.1965692</v>
      </c>
      <c r="X7066">
        <v>0.9617097</v>
      </c>
      <c r="Y7066">
        <v>-0.35839100000000002</v>
      </c>
      <c r="Z7066">
        <v>-8.9436579999999999E-4</v>
      </c>
      <c r="AA7066">
        <v>0.93357120000000005</v>
      </c>
      <c r="AB7066">
        <v>24</v>
      </c>
      <c r="AC7066">
        <v>19.640899999999998</v>
      </c>
      <c r="AD7066">
        <v>-1.115708551535</v>
      </c>
      <c r="AE7066">
        <v>18.97362</v>
      </c>
      <c r="AF7066">
        <v>-9.8122578541707792</v>
      </c>
      <c r="AG7066">
        <v>-1.115708551535</v>
      </c>
      <c r="AH7066">
        <v>25.436183143431599</v>
      </c>
      <c r="AI7066">
        <v>92.343446026518194</v>
      </c>
      <c r="AJ7066">
        <v>111.094611347358</v>
      </c>
      <c r="AK7066">
        <v>27.285978499494899</v>
      </c>
      <c r="AL7066">
        <v>78.663593076718698</v>
      </c>
      <c r="AM7066">
        <v>101.232126747308</v>
      </c>
      <c r="AN7066">
        <v>0.99999996195776897</v>
      </c>
    </row>
    <row r="7067" spans="1:40" x14ac:dyDescent="0.25">
      <c r="A7067" t="str">
        <f>"20190304155239926"</f>
        <v>20190304155239926</v>
      </c>
      <c r="B7067" t="str">
        <f>"1551685959923858"</f>
        <v>1551685959923858</v>
      </c>
      <c r="C7067" t="s">
        <v>40</v>
      </c>
      <c r="D7067">
        <v>4.7337980000000002</v>
      </c>
      <c r="E7067">
        <v>0.42779030000000001</v>
      </c>
      <c r="F7067" t="s">
        <v>41</v>
      </c>
      <c r="G7067">
        <v>-184.155</v>
      </c>
      <c r="H7067" s="1">
        <v>-1.6742439999999999E-6</v>
      </c>
      <c r="I7067">
        <v>-40.00215</v>
      </c>
      <c r="J7067">
        <v>-203.8348</v>
      </c>
      <c r="K7067">
        <v>1.11572</v>
      </c>
      <c r="L7067">
        <v>-59.169069999999998</v>
      </c>
      <c r="M7067">
        <v>0.91942480000000004</v>
      </c>
      <c r="N7067">
        <v>-1.428366E-2</v>
      </c>
      <c r="O7067">
        <v>0.39300669999999999</v>
      </c>
      <c r="P7067">
        <v>0.8126776</v>
      </c>
      <c r="Q7067">
        <v>0.18507419999999999</v>
      </c>
      <c r="R7067">
        <v>0.55254219999999998</v>
      </c>
      <c r="S7067">
        <v>2.2424469999999999</v>
      </c>
      <c r="T7067">
        <v>-0.12642490000000001</v>
      </c>
      <c r="U7067">
        <v>2.1776430000000002</v>
      </c>
      <c r="V7067">
        <v>-0.19106890000000001</v>
      </c>
      <c r="W7067">
        <v>0.1965104</v>
      </c>
      <c r="X7067">
        <v>0.96170489999999997</v>
      </c>
      <c r="Y7067">
        <v>-0.3583789</v>
      </c>
      <c r="Z7067">
        <v>-9.5071550000000004E-4</v>
      </c>
      <c r="AA7067">
        <v>0.93357570000000001</v>
      </c>
      <c r="AB7067">
        <v>24</v>
      </c>
      <c r="AC7067">
        <v>19.6798</v>
      </c>
      <c r="AD7067">
        <v>-1.1157216742439999</v>
      </c>
      <c r="AE7067">
        <v>19.166920000000001</v>
      </c>
      <c r="AF7067">
        <v>-9.8729703032150908</v>
      </c>
      <c r="AG7067">
        <v>-1.1157216742439999</v>
      </c>
      <c r="AH7067">
        <v>25.587228936040301</v>
      </c>
      <c r="AI7067">
        <v>92.329580245108403</v>
      </c>
      <c r="AJ7067">
        <v>111.09937702335399</v>
      </c>
      <c r="AK7067">
        <v>27.448618582505802</v>
      </c>
      <c r="AL7067">
        <v>78.667029387262602</v>
      </c>
      <c r="AM7067">
        <v>101.237041770665</v>
      </c>
      <c r="AN7067">
        <v>0.99999998826968906</v>
      </c>
    </row>
    <row r="7068" spans="1:40" x14ac:dyDescent="0.25">
      <c r="A7068" t="str">
        <f>"20190304155239938"</f>
        <v>20190304155239938</v>
      </c>
      <c r="B7068" t="str">
        <f>"1551685959933619"</f>
        <v>1551685959933619</v>
      </c>
      <c r="C7068" t="s">
        <v>40</v>
      </c>
      <c r="D7068">
        <v>4.6718570000000001</v>
      </c>
      <c r="E7068">
        <v>0.4276993</v>
      </c>
      <c r="F7068" t="s">
        <v>41</v>
      </c>
      <c r="G7068">
        <v>-184.3811</v>
      </c>
      <c r="H7068" s="1">
        <v>-1.5633430000000001E-6</v>
      </c>
      <c r="I7068">
        <v>-40.151220000000002</v>
      </c>
      <c r="J7068">
        <v>-203.73099999999999</v>
      </c>
      <c r="K7068">
        <v>1.1157319999999999</v>
      </c>
      <c r="L7068">
        <v>-59.120060000000002</v>
      </c>
      <c r="M7068">
        <v>0.91792090000000004</v>
      </c>
      <c r="N7068">
        <v>-1.428574E-2</v>
      </c>
      <c r="O7068">
        <v>0.39650619999999998</v>
      </c>
      <c r="P7068">
        <v>0.81062389999999995</v>
      </c>
      <c r="Q7068">
        <v>0.1849084</v>
      </c>
      <c r="R7068">
        <v>0.55560559999999903</v>
      </c>
      <c r="S7068">
        <v>2.235077</v>
      </c>
      <c r="T7068">
        <v>-0.12818740000000001</v>
      </c>
      <c r="U7068">
        <v>2.1849980000000002</v>
      </c>
      <c r="V7068">
        <v>-0.19102269999999999</v>
      </c>
      <c r="W7068">
        <v>0.1963435</v>
      </c>
      <c r="X7068">
        <v>0.96174820000000005</v>
      </c>
      <c r="Y7068">
        <v>-0.35793039999999998</v>
      </c>
      <c r="Z7068">
        <v>-1.1968390000000001E-3</v>
      </c>
      <c r="AA7068">
        <v>0.93374749999999995</v>
      </c>
      <c r="AB7068">
        <v>24</v>
      </c>
      <c r="AC7068">
        <v>19.349899999999899</v>
      </c>
      <c r="AD7068">
        <v>-1.1157335633429999</v>
      </c>
      <c r="AE7068">
        <v>18.96884</v>
      </c>
      <c r="AF7068">
        <v>-9.7240465587091602</v>
      </c>
      <c r="AG7068">
        <v>-1.1157335633429999</v>
      </c>
      <c r="AH7068">
        <v>25.242722401460298</v>
      </c>
      <c r="AI7068">
        <v>92.361864851551701</v>
      </c>
      <c r="AJ7068">
        <v>111.067771668438</v>
      </c>
      <c r="AK7068">
        <v>27.073916914578501</v>
      </c>
      <c r="AL7068">
        <v>78.676782426014498</v>
      </c>
      <c r="AM7068">
        <v>101.23390086372601</v>
      </c>
      <c r="AN7068">
        <v>1.0000000210553801</v>
      </c>
    </row>
    <row r="7069" spans="1:40" x14ac:dyDescent="0.25">
      <c r="A7069" t="str">
        <f>"20190304155239949"</f>
        <v>20190304155239949</v>
      </c>
      <c r="B7069" t="str">
        <f>"1551685959943378"</f>
        <v>1551685959943378</v>
      </c>
      <c r="C7069" t="s">
        <v>40</v>
      </c>
      <c r="D7069">
        <v>4.6731850000000001</v>
      </c>
      <c r="E7069">
        <v>0.4276007</v>
      </c>
      <c r="F7069" t="s">
        <v>41</v>
      </c>
      <c r="G7069">
        <v>-184.40270000000001</v>
      </c>
      <c r="H7069" s="1">
        <v>-1.584086E-6</v>
      </c>
      <c r="I7069">
        <v>-40.073390000000003</v>
      </c>
      <c r="J7069">
        <v>-203.62899999999999</v>
      </c>
      <c r="K7069">
        <v>1.1157410000000001</v>
      </c>
      <c r="L7069">
        <v>-59.071750000000002</v>
      </c>
      <c r="M7069">
        <v>0.91642869999999998</v>
      </c>
      <c r="N7069">
        <v>-1.428769E-2</v>
      </c>
      <c r="O7069">
        <v>0.39994289999999999</v>
      </c>
      <c r="P7069">
        <v>0.80855569999999999</v>
      </c>
      <c r="Q7069">
        <v>0.18511150000000001</v>
      </c>
      <c r="R7069">
        <v>0.55854409999999999</v>
      </c>
      <c r="S7069">
        <v>2.22641</v>
      </c>
      <c r="T7069">
        <v>-0.12852049999999901</v>
      </c>
      <c r="U7069">
        <v>2.1939700000000002</v>
      </c>
      <c r="V7069">
        <v>-0.19093460000000001</v>
      </c>
      <c r="W7069">
        <v>0.196545</v>
      </c>
      <c r="X7069">
        <v>0.96172449999999998</v>
      </c>
      <c r="Y7069">
        <v>-0.35815849999999999</v>
      </c>
      <c r="Z7069">
        <v>-1.3205980000000001E-3</v>
      </c>
      <c r="AA7069">
        <v>0.93365989999999999</v>
      </c>
      <c r="AB7069">
        <v>24</v>
      </c>
      <c r="AC7069">
        <v>19.226299999999998</v>
      </c>
      <c r="AD7069">
        <v>-1.115742584086</v>
      </c>
      <c r="AE7069">
        <v>18.998360000000002</v>
      </c>
      <c r="AF7069">
        <v>-9.7056745263175195</v>
      </c>
      <c r="AG7069">
        <v>-1.115742584086</v>
      </c>
      <c r="AH7069">
        <v>25.1774653716171</v>
      </c>
      <c r="AI7069">
        <v>92.3677854142624</v>
      </c>
      <c r="AJ7069">
        <v>111.081178845436</v>
      </c>
      <c r="AK7069">
        <v>27.006476298542299</v>
      </c>
      <c r="AL7069">
        <v>78.665007499673393</v>
      </c>
      <c r="AM7069">
        <v>101.229121131485</v>
      </c>
      <c r="AN7069">
        <v>0.99999998620120401</v>
      </c>
    </row>
    <row r="7070" spans="1:40" x14ac:dyDescent="0.25">
      <c r="A7070" t="str">
        <f>"20190304155239959"</f>
        <v>20190304155239959</v>
      </c>
      <c r="B7070" t="str">
        <f>"1551685959954115"</f>
        <v>1551685959954115</v>
      </c>
      <c r="C7070" t="s">
        <v>40</v>
      </c>
      <c r="D7070">
        <v>4.7012900000000002</v>
      </c>
      <c r="E7070">
        <v>0.42753150000000001</v>
      </c>
      <c r="F7070" t="s">
        <v>41</v>
      </c>
      <c r="G7070">
        <v>-184.22739999999999</v>
      </c>
      <c r="H7070" s="1">
        <v>-1.722789E-6</v>
      </c>
      <c r="I7070">
        <v>-39.802909999999997</v>
      </c>
      <c r="J7070">
        <v>-203.5187</v>
      </c>
      <c r="K7070">
        <v>1.1157520000000001</v>
      </c>
      <c r="L7070">
        <v>-59.018709999999999</v>
      </c>
      <c r="M7070">
        <v>0.91478809999999999</v>
      </c>
      <c r="N7070">
        <v>-1.4289619999999999E-2</v>
      </c>
      <c r="O7070">
        <v>0.40368140000000002</v>
      </c>
      <c r="P7070">
        <v>0.806231699999999</v>
      </c>
      <c r="Q7070">
        <v>0.18540390000000001</v>
      </c>
      <c r="R7070">
        <v>0.56179709999999905</v>
      </c>
      <c r="S7070">
        <v>2.2178800000000001</v>
      </c>
      <c r="T7070">
        <v>-0.12754499999999999</v>
      </c>
      <c r="U7070">
        <v>2.2026979999999998</v>
      </c>
      <c r="V7070">
        <v>-0.19091730000000001</v>
      </c>
      <c r="W7070">
        <v>0.1968348</v>
      </c>
      <c r="X7070">
        <v>0.96166870000000004</v>
      </c>
      <c r="Y7070">
        <v>-0.35799500000000001</v>
      </c>
      <c r="Z7070">
        <v>-1.3678939999999999E-3</v>
      </c>
      <c r="AA7070">
        <v>0.93372250000000001</v>
      </c>
      <c r="AB7070">
        <v>24</v>
      </c>
      <c r="AC7070">
        <v>19.2913</v>
      </c>
      <c r="AD7070">
        <v>-1.115753722789</v>
      </c>
      <c r="AE7070">
        <v>19.215800000000002</v>
      </c>
      <c r="AF7070">
        <v>-9.7754311056983596</v>
      </c>
      <c r="AG7070">
        <v>-1.115753722789</v>
      </c>
      <c r="AH7070">
        <v>25.364514904545</v>
      </c>
      <c r="AI7070">
        <v>92.350440346799303</v>
      </c>
      <c r="AJ7070">
        <v>111.07655856981199</v>
      </c>
      <c r="AK7070">
        <v>27.205929059950499</v>
      </c>
      <c r="AL7070">
        <v>78.648072770426694</v>
      </c>
      <c r="AM7070">
        <v>101.228764494503</v>
      </c>
      <c r="AN7070">
        <v>1.000000021245</v>
      </c>
    </row>
    <row r="7071" spans="1:40" x14ac:dyDescent="0.25">
      <c r="A7071" t="str">
        <f>"20190304155239971"</f>
        <v>20190304155239971</v>
      </c>
      <c r="B7071" t="str">
        <f>"1551685959963875"</f>
        <v>1551685959963875</v>
      </c>
      <c r="C7071" t="s">
        <v>40</v>
      </c>
      <c r="D7071">
        <v>4.7632120000000002</v>
      </c>
      <c r="E7071">
        <v>0.42770619999999998</v>
      </c>
      <c r="F7071" t="s">
        <v>41</v>
      </c>
      <c r="G7071">
        <v>-184.03569999999999</v>
      </c>
      <c r="H7071" s="1">
        <v>-1.874669E-6</v>
      </c>
      <c r="I7071">
        <v>-39.506459999999997</v>
      </c>
      <c r="J7071">
        <v>-203.41249999999999</v>
      </c>
      <c r="K7071">
        <v>1.115761</v>
      </c>
      <c r="L7071">
        <v>-58.967219999999998</v>
      </c>
      <c r="M7071">
        <v>0.91318759999999999</v>
      </c>
      <c r="N7071">
        <v>-1.4291369999999999E-2</v>
      </c>
      <c r="O7071">
        <v>0.40728880000000001</v>
      </c>
      <c r="P7071">
        <v>0.80421529999999997</v>
      </c>
      <c r="Q7071">
        <v>0.18564710000000001</v>
      </c>
      <c r="R7071">
        <v>0.56459989999999904</v>
      </c>
      <c r="S7071">
        <v>2.2087249999999998</v>
      </c>
      <c r="T7071">
        <v>-0.1264892</v>
      </c>
      <c r="U7071">
        <v>2.2120359999999999</v>
      </c>
      <c r="V7071">
        <v>-0.19049730000000001</v>
      </c>
      <c r="W7071">
        <v>0.1970817</v>
      </c>
      <c r="X7071">
        <v>0.96170140000000004</v>
      </c>
      <c r="Y7071">
        <v>-0.35821900000000001</v>
      </c>
      <c r="Z7071">
        <v>-1.3918769999999999E-3</v>
      </c>
      <c r="AA7071">
        <v>0.93363649999999998</v>
      </c>
      <c r="AB7071">
        <v>24</v>
      </c>
      <c r="AC7071">
        <v>19.376799999999999</v>
      </c>
      <c r="AD7071">
        <v>-1.115762874669</v>
      </c>
      <c r="AE7071">
        <v>19.460760000000001</v>
      </c>
      <c r="AF7071">
        <v>-9.8640974811610391</v>
      </c>
      <c r="AG7071">
        <v>-1.115762874669</v>
      </c>
      <c r="AH7071">
        <v>25.581193028716399</v>
      </c>
      <c r="AI7071">
        <v>92.330415191173998</v>
      </c>
      <c r="AJ7071">
        <v>111.086618655075</v>
      </c>
      <c r="AK7071">
        <v>27.4398028907422</v>
      </c>
      <c r="AL7071">
        <v>78.633643564844704</v>
      </c>
      <c r="AM7071">
        <v>101.204316585546</v>
      </c>
      <c r="AN7071">
        <v>1.0000000002720699</v>
      </c>
    </row>
    <row r="7072" spans="1:40" x14ac:dyDescent="0.25">
      <c r="A7072" t="str">
        <f>"20190304155239982"</f>
        <v>20190304155239982</v>
      </c>
      <c r="B7072" t="str">
        <f>"1551685959973635"</f>
        <v>1551685959973635</v>
      </c>
      <c r="C7072" t="s">
        <v>40</v>
      </c>
      <c r="D7072">
        <v>4.6510949999999998</v>
      </c>
      <c r="E7072">
        <v>0.42762420000000001</v>
      </c>
      <c r="F7072" t="s">
        <v>41</v>
      </c>
      <c r="G7072">
        <v>-184.011</v>
      </c>
      <c r="H7072" s="1">
        <v>-1.912525E-6</v>
      </c>
      <c r="I7072">
        <v>-39.41451</v>
      </c>
      <c r="J7072">
        <v>-203.30799999999999</v>
      </c>
      <c r="K7072">
        <v>1.1157649999999999</v>
      </c>
      <c r="L7072">
        <v>-58.916020000000003</v>
      </c>
      <c r="M7072">
        <v>0.91159239999999997</v>
      </c>
      <c r="N7072">
        <v>-1.429298E-2</v>
      </c>
      <c r="O7072">
        <v>0.41084670000000001</v>
      </c>
      <c r="P7072">
        <v>0.8022627</v>
      </c>
      <c r="Q7072">
        <v>0.18585769999999999</v>
      </c>
      <c r="R7072">
        <v>0.56730199999999997</v>
      </c>
      <c r="S7072">
        <v>2.2017669999999998</v>
      </c>
      <c r="T7072">
        <v>-0.12662200000000001</v>
      </c>
      <c r="U7072">
        <v>2.2189329999999998</v>
      </c>
      <c r="V7072">
        <v>-0.19000639999999999</v>
      </c>
      <c r="W7072">
        <v>0.1972981</v>
      </c>
      <c r="X7072">
        <v>0.96175409999999995</v>
      </c>
      <c r="Y7072">
        <v>-0.3575062</v>
      </c>
      <c r="Z7072">
        <v>-1.5302460000000001E-3</v>
      </c>
      <c r="AA7072">
        <v>0.93390949999999995</v>
      </c>
      <c r="AB7072">
        <v>24</v>
      </c>
      <c r="AC7072">
        <v>19.297000000000001</v>
      </c>
      <c r="AD7072">
        <v>-1.1157669125249901</v>
      </c>
      <c r="AE7072">
        <v>19.50151</v>
      </c>
      <c r="AF7072">
        <v>-9.8340602158294708</v>
      </c>
      <c r="AG7072">
        <v>-1.1157669125249901</v>
      </c>
      <c r="AH7072">
        <v>25.563463245649199</v>
      </c>
      <c r="AI7072">
        <v>92.332747301908199</v>
      </c>
      <c r="AJ7072">
        <v>111.04133578373499</v>
      </c>
      <c r="AK7072">
        <v>27.412484915514401</v>
      </c>
      <c r="AL7072">
        <v>78.620995978063704</v>
      </c>
      <c r="AM7072">
        <v>101.175574482179</v>
      </c>
      <c r="AN7072">
        <v>0.99999996058568896</v>
      </c>
    </row>
    <row r="7073" spans="1:40" x14ac:dyDescent="0.25">
      <c r="A7073" t="str">
        <f>"20190304155239995"</f>
        <v>20190304155239995</v>
      </c>
      <c r="B7073" t="str">
        <f>"1551685959983396"</f>
        <v>1551685959983396</v>
      </c>
      <c r="C7073" t="s">
        <v>40</v>
      </c>
      <c r="D7073">
        <v>4.6848029999999996</v>
      </c>
      <c r="E7073">
        <v>0.42757139999999999</v>
      </c>
      <c r="F7073" t="s">
        <v>41</v>
      </c>
      <c r="G7073">
        <v>-183.81460000000001</v>
      </c>
      <c r="H7073" s="1">
        <v>-2.0619889999999998E-6</v>
      </c>
      <c r="I7073">
        <v>-39.128900000000002</v>
      </c>
      <c r="J7073">
        <v>-203.1962</v>
      </c>
      <c r="K7073">
        <v>1.1157709999999901</v>
      </c>
      <c r="L7073">
        <v>-58.86063</v>
      </c>
      <c r="M7073">
        <v>0.90986239999999996</v>
      </c>
      <c r="N7073">
        <v>-1.429448E-2</v>
      </c>
      <c r="O7073">
        <v>0.41466380000000003</v>
      </c>
      <c r="P7073">
        <v>0.8000758</v>
      </c>
      <c r="Q7073">
        <v>0.18598419999999999</v>
      </c>
      <c r="R7073">
        <v>0.57034079999999998</v>
      </c>
      <c r="S7073">
        <v>2.1938170000000001</v>
      </c>
      <c r="T7073">
        <v>-0.12556989999999901</v>
      </c>
      <c r="U7073">
        <v>2.2268680000000001</v>
      </c>
      <c r="V7073">
        <v>-0.1896381</v>
      </c>
      <c r="W7073">
        <v>0.19742899999999999</v>
      </c>
      <c r="X7073">
        <v>0.96179999999999999</v>
      </c>
      <c r="Y7073">
        <v>-0.35695139999999997</v>
      </c>
      <c r="Z7073">
        <v>-1.579104E-3</v>
      </c>
      <c r="AA7073">
        <v>0.93412169999999894</v>
      </c>
      <c r="AB7073">
        <v>24</v>
      </c>
      <c r="AC7073">
        <v>19.381599999999899</v>
      </c>
      <c r="AD7073">
        <v>-1.1157730619889901</v>
      </c>
      <c r="AE7073">
        <v>19.731729999999999</v>
      </c>
      <c r="AF7073">
        <v>-9.9012112984205896</v>
      </c>
      <c r="AG7073">
        <v>-1.1157730619889901</v>
      </c>
      <c r="AH7073">
        <v>25.7773111107098</v>
      </c>
      <c r="AI7073">
        <v>92.313882594776004</v>
      </c>
      <c r="AJ7073">
        <v>111.012065541757</v>
      </c>
      <c r="AK7073">
        <v>27.636003741499199</v>
      </c>
      <c r="AL7073">
        <v>78.613346272952199</v>
      </c>
      <c r="AM7073">
        <v>101.15393698706001</v>
      </c>
      <c r="AN7073">
        <v>1.0000000295063001</v>
      </c>
    </row>
    <row r="7074" spans="1:40" x14ac:dyDescent="0.25">
      <c r="A7074" t="str">
        <f>"20190304155240004"</f>
        <v>20190304155240004</v>
      </c>
      <c r="B7074" t="str">
        <f>"1551685959994131"</f>
        <v>1551685959994131</v>
      </c>
      <c r="C7074" t="s">
        <v>40</v>
      </c>
      <c r="D7074">
        <v>4.6729279999999997</v>
      </c>
      <c r="E7074">
        <v>0.42751729999999999</v>
      </c>
      <c r="F7074" t="s">
        <v>41</v>
      </c>
      <c r="G7074">
        <v>-183.66849999999999</v>
      </c>
      <c r="H7074" s="1">
        <v>-2.1866489999999998E-6</v>
      </c>
      <c r="I7074">
        <v>-38.876800000000003</v>
      </c>
      <c r="J7074">
        <v>-203.09719999999999</v>
      </c>
      <c r="K7074">
        <v>1.115772</v>
      </c>
      <c r="L7074">
        <v>-58.811160000000001</v>
      </c>
      <c r="M7074">
        <v>0.90831050000000002</v>
      </c>
      <c r="N7074">
        <v>-1.429568E-2</v>
      </c>
      <c r="O7074">
        <v>0.41805209999999998</v>
      </c>
      <c r="P7074">
        <v>0.79820719999999901</v>
      </c>
      <c r="Q7074">
        <v>0.18599089999999999</v>
      </c>
      <c r="R7074">
        <v>0.57295079999999998</v>
      </c>
      <c r="S7074">
        <v>2.1848139999999998</v>
      </c>
      <c r="T7074">
        <v>-0.1248355</v>
      </c>
      <c r="U7074">
        <v>2.23584</v>
      </c>
      <c r="V7074">
        <v>-0.18919540000000001</v>
      </c>
      <c r="W7074">
        <v>0.19744210000000001</v>
      </c>
      <c r="X7074">
        <v>0.96188439999999997</v>
      </c>
      <c r="Y7074">
        <v>-0.35726989999999997</v>
      </c>
      <c r="Z7074">
        <v>-1.6138529999999999E-3</v>
      </c>
      <c r="AA7074">
        <v>0.93399980000000005</v>
      </c>
      <c r="AB7074">
        <v>24</v>
      </c>
      <c r="AC7074">
        <v>19.4286999999999</v>
      </c>
      <c r="AD7074">
        <v>-1.1157741866490001</v>
      </c>
      <c r="AE7074">
        <v>19.934360000000002</v>
      </c>
      <c r="AF7074">
        <v>-9.9693828589869398</v>
      </c>
      <c r="AG7074">
        <v>-1.1157741866490001</v>
      </c>
      <c r="AH7074">
        <v>25.941869276940601</v>
      </c>
      <c r="AI7074">
        <v>92.299075838877101</v>
      </c>
      <c r="AJ7074">
        <v>111.021618639753</v>
      </c>
      <c r="AK7074">
        <v>27.813919684333001</v>
      </c>
      <c r="AL7074">
        <v>78.612579601216794</v>
      </c>
      <c r="AM7074">
        <v>101.127597293446</v>
      </c>
      <c r="AN7074">
        <v>0.99999994059846298</v>
      </c>
    </row>
    <row r="7075" spans="1:40" x14ac:dyDescent="0.25">
      <c r="A7075" t="str">
        <f>"20190304155240016"</f>
        <v>20190304155240016</v>
      </c>
      <c r="B7075" t="str">
        <f>"1551685960003891"</f>
        <v>1551685960003891</v>
      </c>
      <c r="C7075" t="s">
        <v>40</v>
      </c>
      <c r="D7075">
        <v>4.7207220000000003</v>
      </c>
      <c r="E7075">
        <v>0.42742170000000002</v>
      </c>
      <c r="F7075" t="s">
        <v>41</v>
      </c>
      <c r="G7075">
        <v>-183.56739999999999</v>
      </c>
      <c r="H7075" s="1">
        <v>-2.278757E-6</v>
      </c>
      <c r="I7075">
        <v>-38.68515</v>
      </c>
      <c r="J7075">
        <v>-202.99809999999999</v>
      </c>
      <c r="K7075">
        <v>1.115774</v>
      </c>
      <c r="L7075">
        <v>-58.761049999999997</v>
      </c>
      <c r="M7075">
        <v>0.90673780000000004</v>
      </c>
      <c r="N7075">
        <v>-1.4296639999999999E-2</v>
      </c>
      <c r="O7075">
        <v>0.4214523</v>
      </c>
      <c r="P7075">
        <v>0.79631759999999996</v>
      </c>
      <c r="Q7075">
        <v>0.18594150000000001</v>
      </c>
      <c r="R7075">
        <v>0.57558999999999905</v>
      </c>
      <c r="S7075">
        <v>2.1770320000000001</v>
      </c>
      <c r="T7075">
        <v>-0.1243783</v>
      </c>
      <c r="U7075">
        <v>2.2435</v>
      </c>
      <c r="V7075">
        <v>-0.18876960000000001</v>
      </c>
      <c r="W7075">
        <v>0.19739950000000001</v>
      </c>
      <c r="X7075">
        <v>0.96197690000000002</v>
      </c>
      <c r="Y7075">
        <v>-0.35703509999999899</v>
      </c>
      <c r="Z7075">
        <v>-1.6852589999999999E-3</v>
      </c>
      <c r="AA7075">
        <v>0.93408939999999996</v>
      </c>
      <c r="AB7075">
        <v>24</v>
      </c>
      <c r="AC7075">
        <v>19.430700000000002</v>
      </c>
      <c r="AD7075">
        <v>-1.115776278757</v>
      </c>
      <c r="AE7075">
        <v>20.075900000000001</v>
      </c>
      <c r="AF7075">
        <v>-9.9995403266141594</v>
      </c>
      <c r="AG7075">
        <v>-1.115776278757</v>
      </c>
      <c r="AH7075">
        <v>26.040719790185602</v>
      </c>
      <c r="AI7075">
        <v>92.290592466456403</v>
      </c>
      <c r="AJ7075">
        <v>111.006605211666</v>
      </c>
      <c r="AK7075">
        <v>27.916927671912301</v>
      </c>
      <c r="AL7075">
        <v>78.615070554156006</v>
      </c>
      <c r="AM7075">
        <v>101.10213555863101</v>
      </c>
      <c r="AN7075">
        <v>1.0000000403089999</v>
      </c>
    </row>
    <row r="7076" spans="1:40" x14ac:dyDescent="0.25">
      <c r="A7076" t="str">
        <f>"20190304155240031"</f>
        <v>20190304155240031</v>
      </c>
      <c r="B7076" t="str">
        <f>"1551685960023411"</f>
        <v>1551685960023411</v>
      </c>
      <c r="C7076" t="s">
        <v>40</v>
      </c>
      <c r="D7076">
        <v>4.6969669999999999</v>
      </c>
      <c r="E7076">
        <v>0.4272627</v>
      </c>
      <c r="F7076" t="s">
        <v>41</v>
      </c>
      <c r="G7076">
        <v>-183.5009</v>
      </c>
      <c r="H7076" s="1">
        <v>-2.3510730000000001E-6</v>
      </c>
      <c r="I7076">
        <v>-38.524679999999996</v>
      </c>
      <c r="J7076">
        <v>-202.85929999999999</v>
      </c>
      <c r="K7076">
        <v>1.115774</v>
      </c>
      <c r="L7076">
        <v>-58.690219999999997</v>
      </c>
      <c r="M7076">
        <v>0.90450620000000004</v>
      </c>
      <c r="N7076">
        <v>-1.4297789999999999E-2</v>
      </c>
      <c r="O7076">
        <v>0.42622070000000001</v>
      </c>
      <c r="P7076">
        <v>0.79345909999999997</v>
      </c>
      <c r="Q7076">
        <v>0.18588450000000001</v>
      </c>
      <c r="R7076">
        <v>0.57954259999999902</v>
      </c>
      <c r="S7076">
        <v>2.1690520000000002</v>
      </c>
      <c r="T7076">
        <v>-0.1241293</v>
      </c>
      <c r="U7076">
        <v>2.2512819999999998</v>
      </c>
      <c r="V7076">
        <v>-0.1884817</v>
      </c>
      <c r="W7076">
        <v>0.19734769999999999</v>
      </c>
      <c r="X7076">
        <v>0.96204389999999995</v>
      </c>
      <c r="Y7076">
        <v>-0.35545070000000001</v>
      </c>
      <c r="Z7076">
        <v>-1.8503669999999999E-3</v>
      </c>
      <c r="AA7076">
        <v>0.9346932</v>
      </c>
      <c r="AB7076">
        <v>24</v>
      </c>
      <c r="AC7076">
        <v>19.3583999999999</v>
      </c>
      <c r="AD7076">
        <v>-1.1157763510729899</v>
      </c>
      <c r="AE7076">
        <v>20.16554</v>
      </c>
      <c r="AF7076">
        <v>-9.9740353361742695</v>
      </c>
      <c r="AG7076">
        <v>-1.1157763510729899</v>
      </c>
      <c r="AH7076">
        <v>26.065902965058399</v>
      </c>
      <c r="AI7076">
        <v>92.289413170461202</v>
      </c>
      <c r="AJ7076">
        <v>110.939191554186</v>
      </c>
      <c r="AK7076">
        <v>27.931302066618901</v>
      </c>
      <c r="AL7076">
        <v>78.618097170680599</v>
      </c>
      <c r="AM7076">
        <v>101.08487005926</v>
      </c>
      <c r="AN7076">
        <v>0.99999996572869398</v>
      </c>
    </row>
    <row r="7077" spans="1:40" x14ac:dyDescent="0.25">
      <c r="A7077" t="str">
        <f>"20190304155240042"</f>
        <v>20190304155240042</v>
      </c>
      <c r="B7077" t="str">
        <f>"1551685960034146"</f>
        <v>1551685960034146</v>
      </c>
      <c r="C7077" t="s">
        <v>40</v>
      </c>
      <c r="D7077">
        <v>4.6911269999999998</v>
      </c>
      <c r="E7077">
        <v>0.42720390000000003</v>
      </c>
      <c r="F7077" t="s">
        <v>41</v>
      </c>
      <c r="G7077">
        <v>-183.411</v>
      </c>
      <c r="H7077" s="1">
        <v>-2.4561079999999999E-6</v>
      </c>
      <c r="I7077">
        <v>-38.286290000000001</v>
      </c>
      <c r="J7077">
        <v>-202.74359999999999</v>
      </c>
      <c r="K7077">
        <v>1.1157680000000001</v>
      </c>
      <c r="L7077">
        <v>-58.6303699999999</v>
      </c>
      <c r="M7077">
        <v>0.90261639999999999</v>
      </c>
      <c r="N7077">
        <v>-1.429851E-2</v>
      </c>
      <c r="O7077">
        <v>0.43020849999999999</v>
      </c>
      <c r="P7077">
        <v>0.79117760000000004</v>
      </c>
      <c r="Q7077">
        <v>0.18545010000000001</v>
      </c>
      <c r="R7077">
        <v>0.58279190000000003</v>
      </c>
      <c r="S7077">
        <v>2.1570130000000001</v>
      </c>
      <c r="T7077">
        <v>-0.12375079999999999</v>
      </c>
      <c r="U7077">
        <v>2.2629999999999999</v>
      </c>
      <c r="V7077">
        <v>-0.1881312</v>
      </c>
      <c r="W7077">
        <v>0.1969204</v>
      </c>
      <c r="X7077">
        <v>0.9622001</v>
      </c>
      <c r="Y7077">
        <v>-0.35634949999999999</v>
      </c>
      <c r="Z7077">
        <v>-1.913365E-3</v>
      </c>
      <c r="AA7077">
        <v>0.93435080000000004</v>
      </c>
      <c r="AB7077">
        <v>24</v>
      </c>
      <c r="AC7077">
        <v>19.332599999999999</v>
      </c>
      <c r="AD7077">
        <v>-1.115770456108</v>
      </c>
      <c r="AE7077">
        <v>20.344079999999899</v>
      </c>
      <c r="AF7077">
        <v>-10.031022435204999</v>
      </c>
      <c r="AG7077">
        <v>-1.115770456108</v>
      </c>
      <c r="AH7077">
        <v>26.163440259525402</v>
      </c>
      <c r="AI7077">
        <v>92.280303287394602</v>
      </c>
      <c r="AJ7077">
        <v>110.97674624995</v>
      </c>
      <c r="AK7077">
        <v>28.0426810597714</v>
      </c>
      <c r="AL7077">
        <v>78.643070242858499</v>
      </c>
      <c r="AM7077">
        <v>101.06301392181101</v>
      </c>
      <c r="AN7077">
        <v>1.0000000123948001</v>
      </c>
    </row>
    <row r="7078" spans="1:40" x14ac:dyDescent="0.25">
      <c r="A7078" t="str">
        <f>"20190304155240054"</f>
        <v>20190304155240054</v>
      </c>
      <c r="B7078" t="str">
        <f>"1551685960043907"</f>
        <v>1551685960043907</v>
      </c>
      <c r="C7078" t="s">
        <v>40</v>
      </c>
      <c r="D7078">
        <v>4.710496</v>
      </c>
      <c r="E7078">
        <v>0.4271722</v>
      </c>
      <c r="F7078" t="s">
        <v>41</v>
      </c>
      <c r="G7078">
        <v>-183.57900000000001</v>
      </c>
      <c r="H7078" s="1">
        <v>-2.3875200000000001E-6</v>
      </c>
      <c r="I7078">
        <v>-38.356479999999998</v>
      </c>
      <c r="J7078">
        <v>-202.63919999999999</v>
      </c>
      <c r="K7078">
        <v>1.115767</v>
      </c>
      <c r="L7078">
        <v>-58.575740000000003</v>
      </c>
      <c r="M7078">
        <v>0.90088900000000005</v>
      </c>
      <c r="N7078">
        <v>-1.429909E-2</v>
      </c>
      <c r="O7078">
        <v>0.43381399999999998</v>
      </c>
      <c r="P7078">
        <v>0.78918630000000001</v>
      </c>
      <c r="Q7078">
        <v>0.1851643</v>
      </c>
      <c r="R7078">
        <v>0.58557609999999904</v>
      </c>
      <c r="S7078">
        <v>2.1475979999999999</v>
      </c>
      <c r="T7078">
        <v>-0.12503429999999999</v>
      </c>
      <c r="U7078">
        <v>2.2719119999999999</v>
      </c>
      <c r="V7078">
        <v>-0.18764030000000001</v>
      </c>
      <c r="W7078">
        <v>0.1966436</v>
      </c>
      <c r="X7078">
        <v>0.96235250000000006</v>
      </c>
      <c r="Y7078">
        <v>-0.356487</v>
      </c>
      <c r="Z7078">
        <v>-2.127477E-3</v>
      </c>
      <c r="AA7078">
        <v>0.93429790000000001</v>
      </c>
      <c r="AB7078">
        <v>24</v>
      </c>
      <c r="AC7078">
        <v>19.060199999999899</v>
      </c>
      <c r="AD7078">
        <v>-1.1157693875200001</v>
      </c>
      <c r="AE7078">
        <v>20.219259999999998</v>
      </c>
      <c r="AF7078">
        <v>-9.9317303310255607</v>
      </c>
      <c r="AG7078">
        <v>-1.1157693875200001</v>
      </c>
      <c r="AH7078">
        <v>25.9034082320564</v>
      </c>
      <c r="AI7078">
        <v>92.303155450537403</v>
      </c>
      <c r="AJ7078">
        <v>110.977524892993</v>
      </c>
      <c r="AK7078">
        <v>27.764559545055</v>
      </c>
      <c r="AL7078">
        <v>78.659245403242906</v>
      </c>
      <c r="AM7078">
        <v>101.033151493849</v>
      </c>
      <c r="AN7078">
        <v>0.99999996093064902</v>
      </c>
    </row>
    <row r="7079" spans="1:40" x14ac:dyDescent="0.25">
      <c r="A7079" t="str">
        <f>"20190304155240067"</f>
        <v>20190304155240067</v>
      </c>
      <c r="B7079" t="str">
        <f>"1551685960063426"</f>
        <v>1551685960063426</v>
      </c>
      <c r="C7079" t="s">
        <v>40</v>
      </c>
      <c r="D7079">
        <v>4.6789899999999998</v>
      </c>
      <c r="E7079">
        <v>0.42718299999999998</v>
      </c>
      <c r="F7079" t="s">
        <v>41</v>
      </c>
      <c r="G7079">
        <v>-183.6557</v>
      </c>
      <c r="H7079" s="1">
        <v>-2.3701130000000001E-6</v>
      </c>
      <c r="I7079">
        <v>-38.347630000000002</v>
      </c>
      <c r="J7079">
        <v>-202.52690000000001</v>
      </c>
      <c r="K7079">
        <v>1.115764</v>
      </c>
      <c r="L7079">
        <v>-58.516660000000002</v>
      </c>
      <c r="M7079">
        <v>0.89901070000000005</v>
      </c>
      <c r="N7079">
        <v>-1.429967E-2</v>
      </c>
      <c r="O7079">
        <v>0.4376931</v>
      </c>
      <c r="P7079">
        <v>0.78690459999999995</v>
      </c>
      <c r="Q7079">
        <v>0.18478610000000001</v>
      </c>
      <c r="R7079">
        <v>0.58875739999999999</v>
      </c>
      <c r="S7079">
        <v>2.139389</v>
      </c>
      <c r="T7079">
        <v>-0.12574469999999999</v>
      </c>
      <c r="U7079">
        <v>2.2796630000000002</v>
      </c>
      <c r="V7079">
        <v>-0.1873319</v>
      </c>
      <c r="W7079">
        <v>0.1962728</v>
      </c>
      <c r="X7079">
        <v>0.96248829999999996</v>
      </c>
      <c r="Y7079">
        <v>-0.35583490000000001</v>
      </c>
      <c r="Z7079">
        <v>-2.3249120000000002E-3</v>
      </c>
      <c r="AA7079">
        <v>0.93454590000000004</v>
      </c>
      <c r="AB7079">
        <v>24</v>
      </c>
      <c r="AC7079">
        <v>18.871200000000002</v>
      </c>
      <c r="AD7079">
        <v>-1.1157663701130001</v>
      </c>
      <c r="AE7079">
        <v>20.1690299999999</v>
      </c>
      <c r="AF7079">
        <v>-9.8573040716293399</v>
      </c>
      <c r="AG7079">
        <v>-1.1157663701130001</v>
      </c>
      <c r="AH7079">
        <v>25.753868236194901</v>
      </c>
      <c r="AI7079">
        <v>92.317020983413798</v>
      </c>
      <c r="AJ7079">
        <v>110.944368591772</v>
      </c>
      <c r="AK7079">
        <v>27.598425811638698</v>
      </c>
      <c r="AL7079">
        <v>78.680913267501893</v>
      </c>
      <c r="AM7079">
        <v>101.013945446823</v>
      </c>
      <c r="AN7079">
        <v>0.99999999020716901</v>
      </c>
    </row>
    <row r="7080" spans="1:40" x14ac:dyDescent="0.25">
      <c r="A7080" t="str">
        <f>"20190304155240084"</f>
        <v>20190304155240084</v>
      </c>
      <c r="B7080" t="str">
        <f>"1551685960074163"</f>
        <v>1551685960074163</v>
      </c>
      <c r="C7080" t="s">
        <v>40</v>
      </c>
      <c r="D7080">
        <v>4.6871790000000004</v>
      </c>
      <c r="E7080">
        <v>0.4272068</v>
      </c>
      <c r="F7080" t="s">
        <v>41</v>
      </c>
      <c r="G7080">
        <v>-183.82130000000001</v>
      </c>
      <c r="H7080" s="1">
        <v>-2.3008180000000001E-6</v>
      </c>
      <c r="I7080">
        <v>-38.42183</v>
      </c>
      <c r="J7080">
        <v>-202.36539999999999</v>
      </c>
      <c r="K7080">
        <v>1.115764</v>
      </c>
      <c r="L7080">
        <v>-58.430239999999998</v>
      </c>
      <c r="M7080">
        <v>0.89626229999999996</v>
      </c>
      <c r="N7080">
        <v>-1.430031E-2</v>
      </c>
      <c r="O7080">
        <v>0.44329370000000001</v>
      </c>
      <c r="P7080">
        <v>0.78380719999999904</v>
      </c>
      <c r="Q7080">
        <v>0.1836255</v>
      </c>
      <c r="R7080">
        <v>0.59323530000000002</v>
      </c>
      <c r="S7080">
        <v>2.1301269999999999</v>
      </c>
      <c r="T7080">
        <v>-0.12705959999999999</v>
      </c>
      <c r="U7080">
        <v>2.2883300000000002</v>
      </c>
      <c r="V7080">
        <v>-0.18667819999999999</v>
      </c>
      <c r="W7080">
        <v>0.1951263</v>
      </c>
      <c r="X7080">
        <v>0.96284840000000005</v>
      </c>
      <c r="Y7080">
        <v>-0.35379719999999998</v>
      </c>
      <c r="Z7080">
        <v>-2.6695899999999999E-3</v>
      </c>
      <c r="AA7080">
        <v>0.93531839999999999</v>
      </c>
      <c r="AB7080">
        <v>24</v>
      </c>
      <c r="AC7080">
        <v>18.544099999999901</v>
      </c>
      <c r="AD7080">
        <v>-1.1157663008180001</v>
      </c>
      <c r="AE7080">
        <v>20.008410000000001</v>
      </c>
      <c r="AF7080">
        <v>-9.6970732089228502</v>
      </c>
      <c r="AG7080">
        <v>-1.1157663008180001</v>
      </c>
      <c r="AH7080">
        <v>25.450014764856199</v>
      </c>
      <c r="AI7080">
        <v>92.346001339262102</v>
      </c>
      <c r="AJ7080">
        <v>110.858054714742</v>
      </c>
      <c r="AK7080">
        <v>27.257685426107798</v>
      </c>
      <c r="AL7080">
        <v>78.747898589447104</v>
      </c>
      <c r="AM7080">
        <v>100.972441550727</v>
      </c>
      <c r="AN7080">
        <v>1.00000003234474</v>
      </c>
    </row>
    <row r="7081" spans="1:40" x14ac:dyDescent="0.25">
      <c r="A7081" t="str">
        <f>"20190304155240094"</f>
        <v>20190304155240094</v>
      </c>
      <c r="B7081" t="str">
        <f>"1551685960083923"</f>
        <v>1551685960083923</v>
      </c>
      <c r="C7081" t="s">
        <v>40</v>
      </c>
      <c r="D7081">
        <v>4.665063</v>
      </c>
      <c r="E7081">
        <v>0.42723539999999999</v>
      </c>
      <c r="F7081" t="s">
        <v>41</v>
      </c>
      <c r="G7081">
        <v>-184.25640000000001</v>
      </c>
      <c r="H7081" s="1">
        <v>-2.0718260000000001E-6</v>
      </c>
      <c r="I7081">
        <v>-38.754510000000003</v>
      </c>
      <c r="J7081">
        <v>-202.27090000000001</v>
      </c>
      <c r="K7081">
        <v>1.115764</v>
      </c>
      <c r="L7081">
        <v>-58.37903</v>
      </c>
      <c r="M7081">
        <v>0.89462960000000002</v>
      </c>
      <c r="N7081">
        <v>-1.4300709999999999E-2</v>
      </c>
      <c r="O7081">
        <v>0.44657970000000002</v>
      </c>
      <c r="P7081">
        <v>0.78208159999999904</v>
      </c>
      <c r="Q7081">
        <v>0.18284529999999999</v>
      </c>
      <c r="R7081">
        <v>0.59574819999999995</v>
      </c>
      <c r="S7081">
        <v>2.1170650000000002</v>
      </c>
      <c r="T7081">
        <v>-0.130441</v>
      </c>
      <c r="U7081">
        <v>2.3002319999999998</v>
      </c>
      <c r="V7081">
        <v>-0.1861429</v>
      </c>
      <c r="W7081">
        <v>0.1943569</v>
      </c>
      <c r="X7081">
        <v>0.96310759999999995</v>
      </c>
      <c r="Y7081">
        <v>-0.35564499999999999</v>
      </c>
      <c r="Z7081">
        <v>-3.0273629999999999E-3</v>
      </c>
      <c r="AA7081">
        <v>0.93461620000000001</v>
      </c>
      <c r="AB7081">
        <v>24</v>
      </c>
      <c r="AC7081">
        <v>18.014500000000002</v>
      </c>
      <c r="AD7081">
        <v>-1.1157660718260001</v>
      </c>
      <c r="AE7081">
        <v>19.62452</v>
      </c>
      <c r="AF7081">
        <v>-9.4960799171260497</v>
      </c>
      <c r="AG7081">
        <v>-1.1157660718260001</v>
      </c>
      <c r="AH7081">
        <v>24.839185383851301</v>
      </c>
      <c r="AI7081">
        <v>92.402603339745696</v>
      </c>
      <c r="AJ7081">
        <v>110.921974715118</v>
      </c>
      <c r="AK7081">
        <v>26.615889957933302</v>
      </c>
      <c r="AL7081">
        <v>78.792842250642096</v>
      </c>
      <c r="AM7081">
        <v>100.938864826217</v>
      </c>
      <c r="AN7081">
        <v>1.00000001648788</v>
      </c>
    </row>
    <row r="7082" spans="1:40" x14ac:dyDescent="0.25">
      <c r="A7082" t="str">
        <f>"20190304155240105"</f>
        <v>20190304155240105</v>
      </c>
      <c r="B7082" t="str">
        <f>"1551685960093683"</f>
        <v>1551685960093683</v>
      </c>
      <c r="C7082" t="s">
        <v>40</v>
      </c>
      <c r="D7082">
        <v>4.7968010000000003</v>
      </c>
      <c r="E7082">
        <v>0.42723539999999999</v>
      </c>
      <c r="F7082" t="s">
        <v>41</v>
      </c>
      <c r="G7082">
        <v>-184.56020000000001</v>
      </c>
      <c r="H7082" s="1">
        <v>-1.902354E-6</v>
      </c>
      <c r="I7082">
        <v>-39.014989999999997</v>
      </c>
      <c r="J7082">
        <v>-202.17310000000001</v>
      </c>
      <c r="K7082">
        <v>1.1157619999999999</v>
      </c>
      <c r="L7082">
        <v>-58.325740000000003</v>
      </c>
      <c r="M7082">
        <v>0.8929243</v>
      </c>
      <c r="N7082">
        <v>-1.430112E-2</v>
      </c>
      <c r="O7082">
        <v>0.44997969999999998</v>
      </c>
      <c r="P7082">
        <v>0.78027179999999996</v>
      </c>
      <c r="Q7082">
        <v>0.1822549</v>
      </c>
      <c r="R7082">
        <v>0.59829679999999996</v>
      </c>
      <c r="S7082">
        <v>2.1098020000000002</v>
      </c>
      <c r="T7082">
        <v>-0.1329168</v>
      </c>
      <c r="U7082">
        <v>2.3067630000000001</v>
      </c>
      <c r="V7082">
        <v>-0.18555099999999999</v>
      </c>
      <c r="W7082">
        <v>0.1937768</v>
      </c>
      <c r="X7082">
        <v>0.96333869999999999</v>
      </c>
      <c r="Y7082">
        <v>-0.35500799999999999</v>
      </c>
      <c r="Z7082">
        <v>-3.382202E-3</v>
      </c>
      <c r="AA7082">
        <v>0.9348571</v>
      </c>
      <c r="AB7082">
        <v>24</v>
      </c>
      <c r="AC7082">
        <v>17.6128999999999</v>
      </c>
      <c r="AD7082">
        <v>-1.115763902354</v>
      </c>
      <c r="AE7082">
        <v>19.310749999999999</v>
      </c>
      <c r="AF7082">
        <v>-9.3015917799628198</v>
      </c>
      <c r="AG7082">
        <v>-1.115763902354</v>
      </c>
      <c r="AH7082">
        <v>24.374507872019201</v>
      </c>
      <c r="AI7082">
        <v>92.448910022566096</v>
      </c>
      <c r="AJ7082">
        <v>110.887428019889</v>
      </c>
      <c r="AK7082">
        <v>26.112854549627301</v>
      </c>
      <c r="AL7082">
        <v>78.826723900561703</v>
      </c>
      <c r="AM7082">
        <v>100.902363143675</v>
      </c>
      <c r="AN7082">
        <v>1.00000003636846</v>
      </c>
    </row>
    <row r="7083" spans="1:40" x14ac:dyDescent="0.25">
      <c r="A7083" t="str">
        <f>"20190304155240117"</f>
        <v>20190304155240117</v>
      </c>
      <c r="B7083" t="str">
        <f>"1551685960114179"</f>
        <v>1551685960114179</v>
      </c>
      <c r="C7083" t="s">
        <v>40</v>
      </c>
      <c r="D7083">
        <v>4.6681689999999998</v>
      </c>
      <c r="E7083">
        <v>0.42727769999999998</v>
      </c>
      <c r="F7083" t="s">
        <v>41</v>
      </c>
      <c r="G7083">
        <v>-184.7296</v>
      </c>
      <c r="H7083" s="1">
        <v>-1.819075E-6</v>
      </c>
      <c r="I7083">
        <v>-39.127290000000002</v>
      </c>
      <c r="J7083">
        <v>-202.07509999999999</v>
      </c>
      <c r="K7083">
        <v>1.1157619999999999</v>
      </c>
      <c r="L7083">
        <v>-58.271549999999998</v>
      </c>
      <c r="M7083">
        <v>0.89119040000000005</v>
      </c>
      <c r="N7083">
        <v>-1.4301609999999999E-2</v>
      </c>
      <c r="O7083">
        <v>0.45340399999999997</v>
      </c>
      <c r="P7083">
        <v>0.77839440000000004</v>
      </c>
      <c r="Q7083">
        <v>0.18152860000000001</v>
      </c>
      <c r="R7083">
        <v>0.60095719999999997</v>
      </c>
      <c r="S7083">
        <v>2.1021730000000001</v>
      </c>
      <c r="T7083">
        <v>-0.13446379999999999</v>
      </c>
      <c r="U7083">
        <v>2.31366</v>
      </c>
      <c r="V7083">
        <v>-0.18505579999999999</v>
      </c>
      <c r="W7083">
        <v>0.19306010000000001</v>
      </c>
      <c r="X7083">
        <v>0.96357780000000004</v>
      </c>
      <c r="Y7083">
        <v>-0.3544948</v>
      </c>
      <c r="Z7083">
        <v>-3.6544759999999998E-3</v>
      </c>
      <c r="AA7083">
        <v>0.93505079999999996</v>
      </c>
      <c r="AB7083">
        <v>24</v>
      </c>
      <c r="AC7083">
        <v>17.345499999999902</v>
      </c>
      <c r="AD7083">
        <v>-1.1157638190749899</v>
      </c>
      <c r="AE7083">
        <v>19.144259999999999</v>
      </c>
      <c r="AF7083">
        <v>-9.1804765556155896</v>
      </c>
      <c r="AG7083">
        <v>-1.1157638190749899</v>
      </c>
      <c r="AH7083">
        <v>24.095746581020698</v>
      </c>
      <c r="AI7083">
        <v>92.477709725217693</v>
      </c>
      <c r="AJ7083">
        <v>110.85683459410301</v>
      </c>
      <c r="AK7083">
        <v>25.809515338048001</v>
      </c>
      <c r="AL7083">
        <v>78.868577893597902</v>
      </c>
      <c r="AM7083">
        <v>100.87132744750301</v>
      </c>
      <c r="AN7083">
        <v>1.00000001398924</v>
      </c>
    </row>
    <row r="7084" spans="1:40" x14ac:dyDescent="0.25">
      <c r="A7084" t="str">
        <f>"20190304155240128"</f>
        <v>20190304155240128</v>
      </c>
      <c r="B7084" t="str">
        <f>"1551685960123940"</f>
        <v>1551685960123940</v>
      </c>
      <c r="C7084" t="s">
        <v>40</v>
      </c>
      <c r="D7084">
        <v>4.7161559999999998</v>
      </c>
      <c r="E7084">
        <v>0.42731980000000003</v>
      </c>
      <c r="F7084" t="s">
        <v>41</v>
      </c>
      <c r="G7084">
        <v>-185.0189</v>
      </c>
      <c r="H7084" s="1">
        <v>-1.6578229999999901E-6</v>
      </c>
      <c r="I7084">
        <v>-39.374960000000002</v>
      </c>
      <c r="J7084">
        <v>-201.96090000000001</v>
      </c>
      <c r="K7084">
        <v>1.115766</v>
      </c>
      <c r="L7084">
        <v>-58.208159999999999</v>
      </c>
      <c r="M7084">
        <v>0.88915010000000005</v>
      </c>
      <c r="N7084">
        <v>-1.4302179999999999E-2</v>
      </c>
      <c r="O7084">
        <v>0.45739200000000002</v>
      </c>
      <c r="P7084">
        <v>0.77611909999999995</v>
      </c>
      <c r="Q7084">
        <v>0.1808449</v>
      </c>
      <c r="R7084">
        <v>0.60409799999999902</v>
      </c>
      <c r="S7084">
        <v>2.0944980000000002</v>
      </c>
      <c r="T7084">
        <v>-0.13701549999999901</v>
      </c>
      <c r="U7084">
        <v>2.3204959999999999</v>
      </c>
      <c r="V7084">
        <v>-0.18455240000000001</v>
      </c>
      <c r="W7084">
        <v>0.19238450000000001</v>
      </c>
      <c r="X7084">
        <v>0.96380940000000004</v>
      </c>
      <c r="Y7084">
        <v>-0.35337940000000001</v>
      </c>
      <c r="Z7084">
        <v>-4.062253E-3</v>
      </c>
      <c r="AA7084">
        <v>0.93547130000000001</v>
      </c>
      <c r="AB7084">
        <v>24</v>
      </c>
      <c r="AC7084">
        <v>16.942</v>
      </c>
      <c r="AD7084">
        <v>-1.115767657823</v>
      </c>
      <c r="AE7084">
        <v>18.833200000000001</v>
      </c>
      <c r="AF7084">
        <v>-8.9799061280793602</v>
      </c>
      <c r="AG7084">
        <v>-1.115767657823</v>
      </c>
      <c r="AH7084">
        <v>23.634708038667</v>
      </c>
      <c r="AI7084">
        <v>92.526872711757505</v>
      </c>
      <c r="AJ7084">
        <v>110.804073296007</v>
      </c>
      <c r="AK7084">
        <v>25.307767100406</v>
      </c>
      <c r="AL7084">
        <v>78.908025978014805</v>
      </c>
      <c r="AM7084">
        <v>100.83991282706</v>
      </c>
      <c r="AN7084">
        <v>0.99999997185718403</v>
      </c>
    </row>
    <row r="7085" spans="1:40" x14ac:dyDescent="0.25">
      <c r="A7085" t="str">
        <f>"20190304155240138"</f>
        <v>20190304155240138</v>
      </c>
      <c r="B7085" t="str">
        <f>"1551685960133698"</f>
        <v>1551685960133698</v>
      </c>
      <c r="C7085" t="s">
        <v>40</v>
      </c>
      <c r="D7085">
        <v>4.7219329999999999</v>
      </c>
      <c r="E7085">
        <v>0.42736940000000001</v>
      </c>
      <c r="F7085" t="s">
        <v>41</v>
      </c>
      <c r="G7085">
        <v>-185.26259999999999</v>
      </c>
      <c r="H7085" s="1">
        <v>-1.5290140000000001E-6</v>
      </c>
      <c r="I7085">
        <v>-39.562899999999999</v>
      </c>
      <c r="J7085">
        <v>-201.86879999999999</v>
      </c>
      <c r="K7085">
        <v>1.1157680000000001</v>
      </c>
      <c r="L7085">
        <v>-58.15625</v>
      </c>
      <c r="M7085">
        <v>0.88747969999999898</v>
      </c>
      <c r="N7085">
        <v>-1.430271E-2</v>
      </c>
      <c r="O7085">
        <v>0.46062510000000001</v>
      </c>
      <c r="P7085">
        <v>0.77434650000000005</v>
      </c>
      <c r="Q7085">
        <v>0.1804674</v>
      </c>
      <c r="R7085">
        <v>0.60648089999999999</v>
      </c>
      <c r="S7085">
        <v>2.0854029999999999</v>
      </c>
      <c r="T7085">
        <v>-0.13934489999999999</v>
      </c>
      <c r="U7085">
        <v>2.3285520000000002</v>
      </c>
      <c r="V7085">
        <v>-0.18396199999999999</v>
      </c>
      <c r="W7085">
        <v>0.1920162</v>
      </c>
      <c r="X7085">
        <v>0.96399579999999996</v>
      </c>
      <c r="Y7085">
        <v>-0.3536086</v>
      </c>
      <c r="Z7085">
        <v>-4.3910269999999996E-3</v>
      </c>
      <c r="AA7085">
        <v>0.93538310000000002</v>
      </c>
      <c r="AB7085">
        <v>24</v>
      </c>
      <c r="AC7085">
        <v>16.606200000000001</v>
      </c>
      <c r="AD7085">
        <v>-1.1157695290139999</v>
      </c>
      <c r="AE7085">
        <v>18.593350000000001</v>
      </c>
      <c r="AF7085">
        <v>-8.8351939095178302</v>
      </c>
      <c r="AG7085">
        <v>-1.1157695290139999</v>
      </c>
      <c r="AH7085">
        <v>23.258019468634</v>
      </c>
      <c r="AI7085">
        <v>92.567806324004593</v>
      </c>
      <c r="AJ7085">
        <v>110.800648219704</v>
      </c>
      <c r="AK7085">
        <v>24.9046393803246</v>
      </c>
      <c r="AL7085">
        <v>78.929530026915799</v>
      </c>
      <c r="AM7085">
        <v>100.80401242868</v>
      </c>
      <c r="AN7085">
        <v>1.00000007046203</v>
      </c>
    </row>
    <row r="7086" spans="1:40" x14ac:dyDescent="0.25">
      <c r="A7086" t="str">
        <f>"20190304155240150"</f>
        <v>20190304155240150</v>
      </c>
      <c r="B7086" t="str">
        <f>"1551685960143459"</f>
        <v>1551685960143459</v>
      </c>
      <c r="C7086" t="s">
        <v>40</v>
      </c>
      <c r="D7086">
        <v>4.709778</v>
      </c>
      <c r="E7086">
        <v>0.4273901</v>
      </c>
      <c r="F7086" t="s">
        <v>41</v>
      </c>
      <c r="G7086">
        <v>-185.39439999999999</v>
      </c>
      <c r="H7086" s="1">
        <v>-1.4640380000000001E-6</v>
      </c>
      <c r="I7086">
        <v>-39.650739999999999</v>
      </c>
      <c r="J7086">
        <v>-201.76759999999999</v>
      </c>
      <c r="K7086">
        <v>1.1157729999999999</v>
      </c>
      <c r="L7086">
        <v>-58.098909999999997</v>
      </c>
      <c r="M7086">
        <v>0.88562580000000002</v>
      </c>
      <c r="N7086">
        <v>-1.430328E-2</v>
      </c>
      <c r="O7086">
        <v>0.46417910000000001</v>
      </c>
      <c r="P7086">
        <v>0.77232509999999999</v>
      </c>
      <c r="Q7086">
        <v>0.1802927</v>
      </c>
      <c r="R7086">
        <v>0.60910469999999906</v>
      </c>
      <c r="S7086">
        <v>2.0784609999999999</v>
      </c>
      <c r="T7086">
        <v>-0.14076920000000001</v>
      </c>
      <c r="U7086">
        <v>2.3347169999999999</v>
      </c>
      <c r="V7086">
        <v>-0.18334739999999999</v>
      </c>
      <c r="W7086">
        <v>0.1918501</v>
      </c>
      <c r="X7086">
        <v>0.9641459</v>
      </c>
      <c r="Y7086">
        <v>-0.3526379</v>
      </c>
      <c r="Z7086">
        <v>-4.683993E-3</v>
      </c>
      <c r="AA7086">
        <v>0.93574809999999997</v>
      </c>
      <c r="AB7086">
        <v>24</v>
      </c>
      <c r="AC7086">
        <v>16.373199999999901</v>
      </c>
      <c r="AD7086">
        <v>-1.1157744640379901</v>
      </c>
      <c r="AE7086">
        <v>18.448170000000001</v>
      </c>
      <c r="AF7086">
        <v>-8.7211272572660405</v>
      </c>
      <c r="AG7086">
        <v>-1.1157744640379901</v>
      </c>
      <c r="AH7086">
        <v>23.019042338372302</v>
      </c>
      <c r="AI7086">
        <v>92.595309084392397</v>
      </c>
      <c r="AJ7086">
        <v>110.749983154278</v>
      </c>
      <c r="AK7086">
        <v>24.641008978282599</v>
      </c>
      <c r="AL7086">
        <v>78.939226614890202</v>
      </c>
      <c r="AM7086">
        <v>100.76712534505501</v>
      </c>
      <c r="AN7086">
        <v>1.0000000232217801</v>
      </c>
    </row>
    <row r="7087" spans="1:40" x14ac:dyDescent="0.25">
      <c r="A7087" t="str">
        <f>"20190304155240162"</f>
        <v>20190304155240162</v>
      </c>
      <c r="B7087" t="str">
        <f>"1551685960154195"</f>
        <v>1551685960154195</v>
      </c>
      <c r="C7087" t="s">
        <v>40</v>
      </c>
      <c r="D7087">
        <v>4.6945579999999998</v>
      </c>
      <c r="E7087">
        <v>0.42741010000000002</v>
      </c>
      <c r="F7087" t="s">
        <v>41</v>
      </c>
      <c r="G7087">
        <v>-185.4307</v>
      </c>
      <c r="H7087" s="1">
        <v>-1.463529E-6</v>
      </c>
      <c r="I7087">
        <v>-39.623890000000003</v>
      </c>
      <c r="J7087">
        <v>-201.66630000000001</v>
      </c>
      <c r="K7087">
        <v>1.1157790000000001</v>
      </c>
      <c r="L7087">
        <v>-58.040799999999997</v>
      </c>
      <c r="M7087">
        <v>0.8837448</v>
      </c>
      <c r="N7087">
        <v>-1.430383E-2</v>
      </c>
      <c r="O7087">
        <v>0.46775040000000001</v>
      </c>
      <c r="P7087">
        <v>0.77013219999999905</v>
      </c>
      <c r="Q7087">
        <v>0.18003420000000001</v>
      </c>
      <c r="R7087">
        <v>0.61195100000000002</v>
      </c>
      <c r="S7087">
        <v>2.0706180000000001</v>
      </c>
      <c r="T7087">
        <v>-0.14141870000000001</v>
      </c>
      <c r="U7087">
        <v>2.3416139999999999</v>
      </c>
      <c r="V7087">
        <v>-0.18298339999999999</v>
      </c>
      <c r="W7087">
        <v>0.19159590000000001</v>
      </c>
      <c r="X7087">
        <v>0.96426559999999994</v>
      </c>
      <c r="Y7087">
        <v>-0.35198869999999999</v>
      </c>
      <c r="Z7087">
        <v>-4.8963459999999898E-3</v>
      </c>
      <c r="AA7087">
        <v>0.93599140000000003</v>
      </c>
      <c r="AB7087">
        <v>23</v>
      </c>
      <c r="AC7087">
        <v>16.235600000000002</v>
      </c>
      <c r="AD7087">
        <v>-1.1157804635290001</v>
      </c>
      <c r="AE7087">
        <v>18.416909999999898</v>
      </c>
      <c r="AF7087">
        <v>-8.6646329300092404</v>
      </c>
      <c r="AG7087">
        <v>-1.1157804635290001</v>
      </c>
      <c r="AH7087">
        <v>22.917660836524199</v>
      </c>
      <c r="AI7087">
        <v>92.607468349269496</v>
      </c>
      <c r="AJ7087">
        <v>110.71043578858</v>
      </c>
      <c r="AK7087">
        <v>24.526312565743499</v>
      </c>
      <c r="AL7087">
        <v>78.954066576144299</v>
      </c>
      <c r="AM7087">
        <v>100.744944679851</v>
      </c>
      <c r="AN7087">
        <v>1.00000003045786</v>
      </c>
    </row>
    <row r="7088" spans="1:40" x14ac:dyDescent="0.25">
      <c r="A7088" t="str">
        <f>"20190304155240173"</f>
        <v>20190304155240173</v>
      </c>
      <c r="B7088" t="str">
        <f>"1551685960163955"</f>
        <v>1551685960163955</v>
      </c>
      <c r="C7088" t="s">
        <v>40</v>
      </c>
      <c r="D7088">
        <v>4.7540740000000001</v>
      </c>
      <c r="E7088">
        <v>0.42744399999999999</v>
      </c>
      <c r="F7088" t="s">
        <v>41</v>
      </c>
      <c r="G7088">
        <v>-185.48079999999999</v>
      </c>
      <c r="H7088" s="1">
        <v>-1.459241E-6</v>
      </c>
      <c r="I7088">
        <v>-39.597349999999999</v>
      </c>
      <c r="J7088">
        <v>-201.5676</v>
      </c>
      <c r="K7088">
        <v>1.1157840000000001</v>
      </c>
      <c r="L7088">
        <v>-57.983730000000001</v>
      </c>
      <c r="M7088">
        <v>0.88189069999999903</v>
      </c>
      <c r="N7088">
        <v>-1.430439E-2</v>
      </c>
      <c r="O7088">
        <v>0.47123690000000001</v>
      </c>
      <c r="P7088">
        <v>0.76803639999999995</v>
      </c>
      <c r="Q7088">
        <v>0.17985019999999999</v>
      </c>
      <c r="R7088">
        <v>0.61463330000000005</v>
      </c>
      <c r="S7088">
        <v>2.061798</v>
      </c>
      <c r="T7088">
        <v>-0.14213410000000001</v>
      </c>
      <c r="U7088">
        <v>2.3494259999999998</v>
      </c>
      <c r="V7088">
        <v>-0.18251709999999999</v>
      </c>
      <c r="W7088">
        <v>0.19141810000000001</v>
      </c>
      <c r="X7088">
        <v>0.9643893</v>
      </c>
      <c r="Y7088">
        <v>-0.351821299999999</v>
      </c>
      <c r="Z7088">
        <v>-5.09963E-3</v>
      </c>
      <c r="AA7088">
        <v>0.93605329999999998</v>
      </c>
      <c r="AB7088">
        <v>23</v>
      </c>
      <c r="AC7088">
        <v>16.0868</v>
      </c>
      <c r="AD7088">
        <v>-1.1157854592409999</v>
      </c>
      <c r="AE7088">
        <v>18.386379999999999</v>
      </c>
      <c r="AF7088">
        <v>-8.6169925954960505</v>
      </c>
      <c r="AG7088">
        <v>-1.1157854592409999</v>
      </c>
      <c r="AH7088">
        <v>22.805906190700501</v>
      </c>
      <c r="AI7088">
        <v>92.620444016823797</v>
      </c>
      <c r="AJ7088">
        <v>110.698590278978</v>
      </c>
      <c r="AK7088">
        <v>24.405058814944901</v>
      </c>
      <c r="AL7088">
        <v>78.964446107031407</v>
      </c>
      <c r="AM7088">
        <v>100.716855307145</v>
      </c>
      <c r="AN7088">
        <v>1.00000005137725</v>
      </c>
    </row>
    <row r="7089" spans="1:40" x14ac:dyDescent="0.25">
      <c r="A7089" t="str">
        <f>"20190304155240183"</f>
        <v>20190304155240183</v>
      </c>
      <c r="B7089" t="str">
        <f>"1551685960173717"</f>
        <v>1551685960173717</v>
      </c>
      <c r="C7089" t="s">
        <v>40</v>
      </c>
      <c r="D7089">
        <v>4.7733449999999999</v>
      </c>
      <c r="E7089">
        <v>0.42748069999999999</v>
      </c>
      <c r="F7089" t="s">
        <v>41</v>
      </c>
      <c r="G7089">
        <v>-185.5153</v>
      </c>
      <c r="H7089" s="1">
        <v>-1.4611169999999999E-6</v>
      </c>
      <c r="I7089">
        <v>-39.564830000000001</v>
      </c>
      <c r="J7089">
        <v>-201.46729999999999</v>
      </c>
      <c r="K7089">
        <v>1.1157859999999999</v>
      </c>
      <c r="L7089">
        <v>-57.925260000000002</v>
      </c>
      <c r="M7089">
        <v>0.8799844</v>
      </c>
      <c r="N7089">
        <v>-1.430496E-2</v>
      </c>
      <c r="O7089">
        <v>0.47478730000000002</v>
      </c>
      <c r="P7089">
        <v>0.76593480000000003</v>
      </c>
      <c r="Q7089">
        <v>0.17991940000000001</v>
      </c>
      <c r="R7089">
        <v>0.617230099999999</v>
      </c>
      <c r="S7089">
        <v>2.053696</v>
      </c>
      <c r="T7089">
        <v>-0.14275119999999999</v>
      </c>
      <c r="U7089">
        <v>2.3564759999999998</v>
      </c>
      <c r="V7089">
        <v>-0.1819046</v>
      </c>
      <c r="W7089">
        <v>0.19149440000000001</v>
      </c>
      <c r="X7089">
        <v>0.96448979999999995</v>
      </c>
      <c r="Y7089">
        <v>-0.35126659999999998</v>
      </c>
      <c r="Z7089">
        <v>-5.3088859999999996E-3</v>
      </c>
      <c r="AA7089">
        <v>0.93626039999999999</v>
      </c>
      <c r="AB7089">
        <v>23</v>
      </c>
      <c r="AC7089">
        <v>15.9519999999999</v>
      </c>
      <c r="AD7089">
        <v>-1.115787461117</v>
      </c>
      <c r="AE7089">
        <v>18.360429999999901</v>
      </c>
      <c r="AF7089">
        <v>-8.5659353312077204</v>
      </c>
      <c r="AG7089">
        <v>-1.115787461117</v>
      </c>
      <c r="AH7089">
        <v>22.709344347273401</v>
      </c>
      <c r="AI7089">
        <v>92.632132675870594</v>
      </c>
      <c r="AJ7089">
        <v>110.666410584537</v>
      </c>
      <c r="AK7089">
        <v>24.296801238843301</v>
      </c>
      <c r="AL7089">
        <v>78.9599912633077</v>
      </c>
      <c r="AM7089">
        <v>100.68063261558299</v>
      </c>
      <c r="AN7089">
        <v>0.99999998151827896</v>
      </c>
    </row>
    <row r="7090" spans="1:40" x14ac:dyDescent="0.25">
      <c r="A7090" t="str">
        <f>"20190304155240198"</f>
        <v>20190304155240198</v>
      </c>
      <c r="B7090" t="str">
        <f>"1551685960194211"</f>
        <v>1551685960194211</v>
      </c>
      <c r="C7090" t="s">
        <v>40</v>
      </c>
      <c r="D7090">
        <v>4.7573449999999999</v>
      </c>
      <c r="E7090">
        <v>0.42751879999999998</v>
      </c>
      <c r="F7090" t="s">
        <v>41</v>
      </c>
      <c r="G7090">
        <v>-185.44540000000001</v>
      </c>
      <c r="H7090" s="1">
        <v>-1.5313240000000001E-6</v>
      </c>
      <c r="I7090">
        <v>-39.413139999999999</v>
      </c>
      <c r="J7090">
        <v>-201.34719999999999</v>
      </c>
      <c r="K7090">
        <v>1.115794</v>
      </c>
      <c r="L7090">
        <v>-57.854340000000001</v>
      </c>
      <c r="M7090">
        <v>0.87766559999999905</v>
      </c>
      <c r="N7090">
        <v>-1.4305790000000001E-2</v>
      </c>
      <c r="O7090">
        <v>0.47905999999999999</v>
      </c>
      <c r="P7090">
        <v>0.76334460000000004</v>
      </c>
      <c r="Q7090">
        <v>0.17965889999999901</v>
      </c>
      <c r="R7090">
        <v>0.62050590000000005</v>
      </c>
      <c r="S7090">
        <v>2.0456089999999998</v>
      </c>
      <c r="T7090">
        <v>-0.14245940000000001</v>
      </c>
      <c r="U7090">
        <v>2.363556</v>
      </c>
      <c r="V7090">
        <v>-0.1813167</v>
      </c>
      <c r="W7090">
        <v>0.19124169999999999</v>
      </c>
      <c r="X7090">
        <v>0.96465060000000002</v>
      </c>
      <c r="Y7090">
        <v>-0.34993780000000002</v>
      </c>
      <c r="Z7090">
        <v>-5.4759739999999998E-3</v>
      </c>
      <c r="AA7090">
        <v>0.9367569</v>
      </c>
      <c r="AB7090">
        <v>23</v>
      </c>
      <c r="AC7090">
        <v>15.9017999999999</v>
      </c>
      <c r="AD7090">
        <v>-1.115795531324</v>
      </c>
      <c r="AE7090">
        <v>18.441199999999899</v>
      </c>
      <c r="AF7090">
        <v>-8.5502143881881203</v>
      </c>
      <c r="AG7090">
        <v>-1.115795531324</v>
      </c>
      <c r="AH7090">
        <v>22.7454776976675</v>
      </c>
      <c r="AI7090">
        <v>92.629093154347203</v>
      </c>
      <c r="AJ7090">
        <v>110.601658417858</v>
      </c>
      <c r="AK7090">
        <v>24.325047203382599</v>
      </c>
      <c r="AL7090">
        <v>78.974742259017404</v>
      </c>
      <c r="AM7090">
        <v>100.645169932869</v>
      </c>
      <c r="AN7090">
        <v>0.99999995679906895</v>
      </c>
    </row>
    <row r="7091" spans="1:40" x14ac:dyDescent="0.25">
      <c r="A7091" t="str">
        <f>"20190304155240206"</f>
        <v>20190304155240206</v>
      </c>
      <c r="B7091" t="str">
        <f>"1551685960203972"</f>
        <v>1551685960203972</v>
      </c>
      <c r="C7091" t="s">
        <v>40</v>
      </c>
      <c r="D7091">
        <v>4.7415909999999997</v>
      </c>
      <c r="E7091">
        <v>0.42756769999999999</v>
      </c>
      <c r="F7091" t="s">
        <v>41</v>
      </c>
      <c r="G7091">
        <v>-185.50040000000001</v>
      </c>
      <c r="H7091" s="1">
        <v>-1.52605799999999E-6</v>
      </c>
      <c r="I7091">
        <v>-39.385620000000003</v>
      </c>
      <c r="J7091">
        <v>-201.26169999999999</v>
      </c>
      <c r="K7091">
        <v>1.115799</v>
      </c>
      <c r="L7091">
        <v>-57.803620000000002</v>
      </c>
      <c r="M7091">
        <v>0.87599839999999995</v>
      </c>
      <c r="N7091">
        <v>-1.430638E-2</v>
      </c>
      <c r="O7091">
        <v>0.48210180000000002</v>
      </c>
      <c r="P7091">
        <v>0.76162919999999901</v>
      </c>
      <c r="Q7091">
        <v>0.17956749999999999</v>
      </c>
      <c r="R7091">
        <v>0.62263679999999999</v>
      </c>
      <c r="S7091">
        <v>2.0354459999999999</v>
      </c>
      <c r="T7091">
        <v>-0.143318899999999</v>
      </c>
      <c r="U7091">
        <v>2.372223</v>
      </c>
      <c r="V7091">
        <v>-0.18065539999999999</v>
      </c>
      <c r="W7091">
        <v>0.19115840000000001</v>
      </c>
      <c r="X7091">
        <v>0.96479119999999996</v>
      </c>
      <c r="Y7091">
        <v>-0.35069020000000001</v>
      </c>
      <c r="Z7091">
        <v>-5.6560569999999999E-3</v>
      </c>
      <c r="AA7091">
        <v>0.93647440000000004</v>
      </c>
      <c r="AB7091">
        <v>23</v>
      </c>
      <c r="AC7091">
        <v>15.761299999999901</v>
      </c>
      <c r="AD7091">
        <v>-1.115800526058</v>
      </c>
      <c r="AE7091">
        <v>18.4179999999999</v>
      </c>
      <c r="AF7091">
        <v>-8.5184133987190496</v>
      </c>
      <c r="AG7091">
        <v>-1.115800526058</v>
      </c>
      <c r="AH7091">
        <v>22.640578707074301</v>
      </c>
      <c r="AI7091">
        <v>92.640976043661595</v>
      </c>
      <c r="AJ7091">
        <v>110.618577991084</v>
      </c>
      <c r="AK7091">
        <v>24.215783733685999</v>
      </c>
      <c r="AL7091">
        <v>78.979605002634102</v>
      </c>
      <c r="AM7091">
        <v>100.605716646006</v>
      </c>
      <c r="AN7091">
        <v>0.99999998351857899</v>
      </c>
    </row>
    <row r="7092" spans="1:40" x14ac:dyDescent="0.25">
      <c r="A7092" t="str">
        <f>"20190304155240218"</f>
        <v>20190304155240218</v>
      </c>
      <c r="B7092" t="str">
        <f>"1551685960213731"</f>
        <v>1551685960213731</v>
      </c>
      <c r="C7092" t="s">
        <v>40</v>
      </c>
      <c r="D7092">
        <v>4.7377500000000001</v>
      </c>
      <c r="E7092">
        <v>0.42759740000000002</v>
      </c>
      <c r="F7092" t="s">
        <v>41</v>
      </c>
      <c r="G7092">
        <v>-185.5052</v>
      </c>
      <c r="H7092" s="1">
        <v>-1.5413219999999999E-6</v>
      </c>
      <c r="I7092">
        <v>-39.337069999999997</v>
      </c>
      <c r="J7092">
        <v>-201.16890000000001</v>
      </c>
      <c r="K7092">
        <v>1.1158049999999999</v>
      </c>
      <c r="L7092">
        <v>-57.747680000000003</v>
      </c>
      <c r="M7092">
        <v>0.87415959999999904</v>
      </c>
      <c r="N7092">
        <v>-1.4307230000000001E-2</v>
      </c>
      <c r="O7092">
        <v>0.48542809999999997</v>
      </c>
      <c r="P7092">
        <v>0.75963230000000004</v>
      </c>
      <c r="Q7092">
        <v>0.17947560000000001</v>
      </c>
      <c r="R7092">
        <v>0.62509780000000004</v>
      </c>
      <c r="S7092">
        <v>2.0288849999999998</v>
      </c>
      <c r="T7092">
        <v>-0.14367559999999999</v>
      </c>
      <c r="U7092">
        <v>2.3778380000000001</v>
      </c>
      <c r="V7092">
        <v>-0.18009990000000001</v>
      </c>
      <c r="W7092">
        <v>0.1910732</v>
      </c>
      <c r="X7092">
        <v>0.96491190000000004</v>
      </c>
      <c r="Y7092">
        <v>-0.34972009999999998</v>
      </c>
      <c r="Z7092">
        <v>-5.8458210000000002E-3</v>
      </c>
      <c r="AA7092">
        <v>0.936836</v>
      </c>
      <c r="AB7092">
        <v>23</v>
      </c>
      <c r="AC7092">
        <v>15.6637</v>
      </c>
      <c r="AD7092">
        <v>-1.115806541322</v>
      </c>
      <c r="AE7092">
        <v>18.410609999999998</v>
      </c>
      <c r="AF7092">
        <v>-8.4730256002580902</v>
      </c>
      <c r="AG7092">
        <v>-1.115806541322</v>
      </c>
      <c r="AH7092">
        <v>22.5837947002737</v>
      </c>
      <c r="AI7092">
        <v>92.648547342930399</v>
      </c>
      <c r="AJ7092">
        <v>110.565169838957</v>
      </c>
      <c r="AK7092">
        <v>24.146738291628498</v>
      </c>
      <c r="AL7092">
        <v>78.984577991128702</v>
      </c>
      <c r="AM7092">
        <v>100.572548645476</v>
      </c>
      <c r="AN7092">
        <v>0.99999995824992904</v>
      </c>
    </row>
    <row r="7093" spans="1:40" x14ac:dyDescent="0.25">
      <c r="A7093" t="str">
        <f>"20190304155240229"</f>
        <v>20190304155240229</v>
      </c>
      <c r="B7093" t="str">
        <f>"1551685960223491"</f>
        <v>1551685960223491</v>
      </c>
      <c r="C7093" t="s">
        <v>40</v>
      </c>
      <c r="D7093">
        <v>4.7536209999999999</v>
      </c>
      <c r="E7093">
        <v>0.42763299999999999</v>
      </c>
      <c r="F7093" t="s">
        <v>41</v>
      </c>
      <c r="G7093">
        <v>-185.488</v>
      </c>
      <c r="H7093" s="1">
        <v>-1.5764519999999901E-6</v>
      </c>
      <c r="I7093">
        <v>-39.247250000000001</v>
      </c>
      <c r="J7093">
        <v>-201.06710000000001</v>
      </c>
      <c r="K7093">
        <v>1.11581</v>
      </c>
      <c r="L7093">
        <v>-57.686070000000001</v>
      </c>
      <c r="M7093">
        <v>0.87212179999999995</v>
      </c>
      <c r="N7093">
        <v>-1.430816E-2</v>
      </c>
      <c r="O7093">
        <v>0.48907970000000001</v>
      </c>
      <c r="P7093">
        <v>0.75746469999999999</v>
      </c>
      <c r="Q7093">
        <v>0.17912449999999999</v>
      </c>
      <c r="R7093">
        <v>0.62782309999999997</v>
      </c>
      <c r="S7093">
        <v>2.0210880000000002</v>
      </c>
      <c r="T7093">
        <v>-0.14381459999999999</v>
      </c>
      <c r="U7093">
        <v>2.3844910000000001</v>
      </c>
      <c r="V7093">
        <v>-0.17948819999999999</v>
      </c>
      <c r="W7093">
        <v>0.19073010000000001</v>
      </c>
      <c r="X7093">
        <v>0.9650938</v>
      </c>
      <c r="Y7093">
        <v>-0.34887659999999998</v>
      </c>
      <c r="Z7093">
        <v>-6.0219799999999997E-3</v>
      </c>
      <c r="AA7093">
        <v>0.93714929999999996</v>
      </c>
      <c r="AB7093">
        <v>23</v>
      </c>
      <c r="AC7093">
        <v>15.5791</v>
      </c>
      <c r="AD7093">
        <v>-1.115811576452</v>
      </c>
      <c r="AE7093">
        <v>18.43882</v>
      </c>
      <c r="AF7093">
        <v>-8.4442984343451197</v>
      </c>
      <c r="AG7093">
        <v>-1.115811576452</v>
      </c>
      <c r="AH7093">
        <v>22.559037010203699</v>
      </c>
      <c r="AI7093">
        <v>92.652211616305195</v>
      </c>
      <c r="AJ7093">
        <v>110.521879215721</v>
      </c>
      <c r="AK7093">
        <v>24.113509955005899</v>
      </c>
      <c r="AL7093">
        <v>79.004605097208497</v>
      </c>
      <c r="AM7093">
        <v>100.535503502122</v>
      </c>
      <c r="AN7093">
        <v>1.0000000138918399</v>
      </c>
    </row>
    <row r="7094" spans="1:40" x14ac:dyDescent="0.25">
      <c r="A7094" t="str">
        <f>"20190304155240241"</f>
        <v>20190304155240241</v>
      </c>
      <c r="B7094" t="str">
        <f>"1551685960234227"</f>
        <v>1551685960234227</v>
      </c>
      <c r="C7094" t="s">
        <v>40</v>
      </c>
      <c r="D7094">
        <v>4.744218</v>
      </c>
      <c r="E7094">
        <v>0.42765950000000003</v>
      </c>
      <c r="F7094" t="s">
        <v>41</v>
      </c>
      <c r="G7094">
        <v>-185.56899999999999</v>
      </c>
      <c r="H7094" s="1">
        <v>-1.5484930000000001E-6</v>
      </c>
      <c r="I7094">
        <v>-39.266080000000002</v>
      </c>
      <c r="J7094">
        <v>-200.96209999999999</v>
      </c>
      <c r="K7094">
        <v>1.11582</v>
      </c>
      <c r="L7094">
        <v>-57.621670000000002</v>
      </c>
      <c r="M7094">
        <v>0.86998690000000001</v>
      </c>
      <c r="N7094">
        <v>-1.430943E-2</v>
      </c>
      <c r="O7094">
        <v>0.4928671</v>
      </c>
      <c r="P7094">
        <v>0.75504039999999994</v>
      </c>
      <c r="Q7094">
        <v>0.17916319999999999</v>
      </c>
      <c r="R7094">
        <v>0.63072530000000004</v>
      </c>
      <c r="S7094">
        <v>2.0124050000000002</v>
      </c>
      <c r="T7094">
        <v>-0.14488690000000001</v>
      </c>
      <c r="U7094">
        <v>2.3918149999999998</v>
      </c>
      <c r="V7094">
        <v>-0.17900339999999901</v>
      </c>
      <c r="W7094">
        <v>0.1907731</v>
      </c>
      <c r="X7094">
        <v>0.96517529999999996</v>
      </c>
      <c r="Y7094">
        <v>-0.34820889999999999</v>
      </c>
      <c r="Z7094">
        <v>-6.2988949999999997E-3</v>
      </c>
      <c r="AA7094">
        <v>0.9373958</v>
      </c>
      <c r="AB7094">
        <v>23</v>
      </c>
      <c r="AC7094">
        <v>15.393099999999899</v>
      </c>
      <c r="AD7094">
        <v>-1.1158215484930001</v>
      </c>
      <c r="AE7094">
        <v>18.3555899999999</v>
      </c>
      <c r="AF7094">
        <v>-8.3650802781175209</v>
      </c>
      <c r="AG7094">
        <v>-1.1158215484930001</v>
      </c>
      <c r="AH7094">
        <v>22.392378360796101</v>
      </c>
      <c r="AI7094">
        <v>92.672604581156804</v>
      </c>
      <c r="AJ7094">
        <v>110.48408887922599</v>
      </c>
      <c r="AK7094">
        <v>23.929860727561302</v>
      </c>
      <c r="AL7094">
        <v>79.002094876133299</v>
      </c>
      <c r="AM7094">
        <v>100.506814057806</v>
      </c>
      <c r="AN7094">
        <v>0.99999997631262905</v>
      </c>
    </row>
    <row r="7095" spans="1:40" x14ac:dyDescent="0.25">
      <c r="A7095" t="str">
        <f>"20190304155240254"</f>
        <v>20190304155240254</v>
      </c>
      <c r="B7095" t="str">
        <f>"1551685960243987"</f>
        <v>1551685960243987</v>
      </c>
      <c r="C7095" t="s">
        <v>40</v>
      </c>
      <c r="D7095">
        <v>4.7059959999999998</v>
      </c>
      <c r="E7095">
        <v>0.42768509999999998</v>
      </c>
      <c r="F7095" t="s">
        <v>41</v>
      </c>
      <c r="G7095">
        <v>-185.51570000000001</v>
      </c>
      <c r="H7095" s="1">
        <v>-1.612623E-6</v>
      </c>
      <c r="I7095">
        <v>-39.119320000000002</v>
      </c>
      <c r="J7095">
        <v>-200.8476</v>
      </c>
      <c r="K7095">
        <v>1.115831</v>
      </c>
      <c r="L7095">
        <v>-57.550809999999998</v>
      </c>
      <c r="M7095">
        <v>0.86762839999999997</v>
      </c>
      <c r="N7095">
        <v>-1.43108E-2</v>
      </c>
      <c r="O7095">
        <v>0.49700729999999999</v>
      </c>
      <c r="P7095">
        <v>0.75242050000000005</v>
      </c>
      <c r="Q7095">
        <v>0.17924000000000001</v>
      </c>
      <c r="R7095">
        <v>0.63382689999999997</v>
      </c>
      <c r="S7095">
        <v>2.0031889999999999</v>
      </c>
      <c r="T7095">
        <v>-0.144707</v>
      </c>
      <c r="U7095">
        <v>2.3995060000000001</v>
      </c>
      <c r="V7095">
        <v>-0.1783884</v>
      </c>
      <c r="W7095">
        <v>0.190856</v>
      </c>
      <c r="X7095">
        <v>0.96527280000000004</v>
      </c>
      <c r="Y7095">
        <v>-0.34734470000000001</v>
      </c>
      <c r="Z7095">
        <v>-6.461807E-3</v>
      </c>
      <c r="AA7095">
        <v>0.93771519999999997</v>
      </c>
      <c r="AB7095">
        <v>23</v>
      </c>
      <c r="AC7095">
        <v>15.3318999999999</v>
      </c>
      <c r="AD7095">
        <v>-1.115832612623</v>
      </c>
      <c r="AE7095">
        <v>18.43149</v>
      </c>
      <c r="AF7095">
        <v>-8.35437798941655</v>
      </c>
      <c r="AG7095">
        <v>-1.115832612623</v>
      </c>
      <c r="AH7095">
        <v>22.4167181507596</v>
      </c>
      <c r="AI7095">
        <v>92.670504468159507</v>
      </c>
      <c r="AJ7095">
        <v>110.43967751815001</v>
      </c>
      <c r="AK7095">
        <v>23.9489032454523</v>
      </c>
      <c r="AL7095">
        <v>78.997256482638306</v>
      </c>
      <c r="AM7095">
        <v>100.470481412797</v>
      </c>
      <c r="AN7095">
        <v>1.0000000062051999</v>
      </c>
    </row>
    <row r="7096" spans="1:40" x14ac:dyDescent="0.25">
      <c r="A7096" t="str">
        <f>"20190304155240266"</f>
        <v>20190304155240266</v>
      </c>
      <c r="B7096" t="str">
        <f>"1551685960263506"</f>
        <v>1551685960263506</v>
      </c>
      <c r="C7096" t="s">
        <v>40</v>
      </c>
      <c r="D7096">
        <v>4.7580309999999999</v>
      </c>
      <c r="E7096">
        <v>0.4277474</v>
      </c>
      <c r="F7096" t="s">
        <v>41</v>
      </c>
      <c r="G7096">
        <v>-185.4366</v>
      </c>
      <c r="H7096" s="1">
        <v>-1.6977780000000001E-6</v>
      </c>
      <c r="I7096">
        <v>-38.930900000000001</v>
      </c>
      <c r="J7096">
        <v>-200.7371</v>
      </c>
      <c r="K7096">
        <v>1.1158399999999999</v>
      </c>
      <c r="L7096">
        <v>-57.481839999999998</v>
      </c>
      <c r="M7096">
        <v>0.8653206</v>
      </c>
      <c r="N7096">
        <v>-1.4312099999999999E-2</v>
      </c>
      <c r="O7096">
        <v>0.50101459999999998</v>
      </c>
      <c r="P7096">
        <v>0.74971180000000004</v>
      </c>
      <c r="Q7096">
        <v>0.1792234</v>
      </c>
      <c r="R7096">
        <v>0.63703319999999997</v>
      </c>
      <c r="S7096">
        <v>1.9930270000000001</v>
      </c>
      <c r="T7096">
        <v>-0.14430499999999999</v>
      </c>
      <c r="U7096">
        <v>2.40802</v>
      </c>
      <c r="V7096">
        <v>-0.17804589999999901</v>
      </c>
      <c r="W7096">
        <v>0.19084200000000001</v>
      </c>
      <c r="X7096">
        <v>0.96533880000000005</v>
      </c>
      <c r="Y7096">
        <v>-0.34698790000000002</v>
      </c>
      <c r="Z7096">
        <v>-6.5796860000000004E-3</v>
      </c>
      <c r="AA7096">
        <v>0.93784650000000003</v>
      </c>
      <c r="AB7096">
        <v>23</v>
      </c>
      <c r="AC7096">
        <v>15.3005</v>
      </c>
      <c r="AD7096">
        <v>-1.1158416977779999</v>
      </c>
      <c r="AE7096">
        <v>18.550940000000001</v>
      </c>
      <c r="AF7096">
        <v>-8.3695730567820803</v>
      </c>
      <c r="AG7096">
        <v>-1.1158416977779999</v>
      </c>
      <c r="AH7096">
        <v>22.488013176466499</v>
      </c>
      <c r="AI7096">
        <v>92.662511689550698</v>
      </c>
      <c r="AJ7096">
        <v>110.414224946735</v>
      </c>
      <c r="AK7096">
        <v>24.020940707479401</v>
      </c>
      <c r="AL7096">
        <v>78.998073631449302</v>
      </c>
      <c r="AM7096">
        <v>100.450122986453</v>
      </c>
      <c r="AN7096">
        <v>1.0000000051281199</v>
      </c>
    </row>
    <row r="7097" spans="1:40" x14ac:dyDescent="0.25">
      <c r="A7097" t="str">
        <f>"20190304155240278"</f>
        <v>20190304155240278</v>
      </c>
      <c r="B7097" t="str">
        <f>"1551685960273773"</f>
        <v>1551685960273773</v>
      </c>
      <c r="C7097" t="s">
        <v>40</v>
      </c>
      <c r="D7097">
        <v>4.8186559999999998</v>
      </c>
      <c r="E7097">
        <v>0.4277474</v>
      </c>
      <c r="F7097" t="s">
        <v>41</v>
      </c>
      <c r="G7097">
        <v>-185.4238</v>
      </c>
      <c r="H7097" s="1">
        <v>-1.7390589999999999E-6</v>
      </c>
      <c r="I7097">
        <v>-38.81964</v>
      </c>
      <c r="J7097">
        <v>-200.6429</v>
      </c>
      <c r="K7097">
        <v>1.11585</v>
      </c>
      <c r="L7097">
        <v>-57.422179999999997</v>
      </c>
      <c r="M7097">
        <v>0.86332019999999998</v>
      </c>
      <c r="N7097">
        <v>-1.4313289999999999E-2</v>
      </c>
      <c r="O7097">
        <v>0.5044535</v>
      </c>
      <c r="P7097">
        <v>0.74763760000000001</v>
      </c>
      <c r="Q7097">
        <v>0.17913519999999999</v>
      </c>
      <c r="R7097">
        <v>0.63949080000000003</v>
      </c>
      <c r="S7097">
        <v>1.9828190000000001</v>
      </c>
      <c r="T7097">
        <v>-0.1444829</v>
      </c>
      <c r="U7097">
        <v>2.4164430000000001</v>
      </c>
      <c r="V7097">
        <v>-0.17736469999999999</v>
      </c>
      <c r="W7097">
        <v>0.19076190000000001</v>
      </c>
      <c r="X7097">
        <v>0.96548</v>
      </c>
      <c r="Y7097">
        <v>-0.34722829999999999</v>
      </c>
      <c r="Z7097">
        <v>-6.7229339999999999E-3</v>
      </c>
      <c r="AA7097">
        <v>0.93775649999999999</v>
      </c>
      <c r="AB7097">
        <v>23</v>
      </c>
      <c r="AC7097">
        <v>15.2190999999999</v>
      </c>
      <c r="AD7097">
        <v>-1.1158517390589999</v>
      </c>
      <c r="AE7097">
        <v>18.602540000000001</v>
      </c>
      <c r="AF7097">
        <v>-8.3654482815923394</v>
      </c>
      <c r="AG7097">
        <v>-1.1158517390589999</v>
      </c>
      <c r="AH7097">
        <v>22.476933782788802</v>
      </c>
      <c r="AI7097">
        <v>92.663846197684606</v>
      </c>
      <c r="AJ7097">
        <v>110.41422213868</v>
      </c>
      <c r="AK7097">
        <v>24.009131644677002</v>
      </c>
      <c r="AL7097">
        <v>79.002748689295501</v>
      </c>
      <c r="AM7097">
        <v>100.409527609515</v>
      </c>
      <c r="AN7097">
        <v>0.999999984848849</v>
      </c>
    </row>
    <row r="7098" spans="1:40" x14ac:dyDescent="0.25">
      <c r="A7098" t="str">
        <f>"20190304155240288"</f>
        <v>20190304155240288</v>
      </c>
      <c r="B7098" t="str">
        <f>"1551685960283533"</f>
        <v>1551685960283533</v>
      </c>
      <c r="C7098" t="s">
        <v>40</v>
      </c>
      <c r="D7098">
        <v>4.7671469999999996</v>
      </c>
      <c r="E7098">
        <v>0.42778260000000001</v>
      </c>
      <c r="F7098" t="s">
        <v>41</v>
      </c>
      <c r="G7098">
        <v>-185.3878</v>
      </c>
      <c r="H7098" s="1">
        <v>-1.7888200000000001E-6</v>
      </c>
      <c r="I7098">
        <v>-38.701569999999997</v>
      </c>
      <c r="J7098">
        <v>-200.5488</v>
      </c>
      <c r="K7098">
        <v>1.1158570000000001</v>
      </c>
      <c r="L7098">
        <v>-57.362369999999999</v>
      </c>
      <c r="M7098">
        <v>0.86130519999999999</v>
      </c>
      <c r="N7098">
        <v>-1.431441E-2</v>
      </c>
      <c r="O7098">
        <v>0.50788619999999995</v>
      </c>
      <c r="P7098">
        <v>0.74533909999999903</v>
      </c>
      <c r="Q7098">
        <v>0.1792957</v>
      </c>
      <c r="R7098">
        <v>0.64212360000000002</v>
      </c>
      <c r="S7098">
        <v>1.974594</v>
      </c>
      <c r="T7098">
        <v>-0.14443349999999999</v>
      </c>
      <c r="U7098">
        <v>2.4231569999999998</v>
      </c>
      <c r="V7098">
        <v>-0.17695060000000001</v>
      </c>
      <c r="W7098">
        <v>0.1909257</v>
      </c>
      <c r="X7098">
        <v>0.96552360000000004</v>
      </c>
      <c r="Y7098">
        <v>-0.34668280000000001</v>
      </c>
      <c r="Z7098">
        <v>-6.8636019999999999E-3</v>
      </c>
      <c r="AA7098">
        <v>0.93795729999999999</v>
      </c>
      <c r="AB7098">
        <v>23</v>
      </c>
      <c r="AC7098">
        <v>15.161</v>
      </c>
      <c r="AD7098">
        <v>-1.11585878881999</v>
      </c>
      <c r="AE7098">
        <v>18.660799999999899</v>
      </c>
      <c r="AF7098">
        <v>-8.3554426013118395</v>
      </c>
      <c r="AG7098">
        <v>-1.11585878881999</v>
      </c>
      <c r="AH7098">
        <v>22.489679803374599</v>
      </c>
      <c r="AI7098">
        <v>92.662925076056197</v>
      </c>
      <c r="AJ7098">
        <v>110.381210308143</v>
      </c>
      <c r="AK7098">
        <v>24.017582300446499</v>
      </c>
      <c r="AL7098">
        <v>78.993187862961804</v>
      </c>
      <c r="AM7098">
        <v>100.385294787007</v>
      </c>
      <c r="AN7098">
        <v>0.999999979958904</v>
      </c>
    </row>
    <row r="7099" spans="1:40" x14ac:dyDescent="0.25">
      <c r="A7099" t="str">
        <f>"20190304155240300"</f>
        <v>20190304155240300</v>
      </c>
      <c r="B7099" t="str">
        <f>"1551685960294270"</f>
        <v>1551685960294270</v>
      </c>
      <c r="C7099" t="s">
        <v>40</v>
      </c>
      <c r="D7099">
        <v>4.7302839999999904</v>
      </c>
      <c r="E7099">
        <v>0.42781780000000003</v>
      </c>
      <c r="F7099" t="s">
        <v>41</v>
      </c>
      <c r="G7099">
        <v>-185.3</v>
      </c>
      <c r="H7099" s="1">
        <v>-1.8773509999999999E-6</v>
      </c>
      <c r="I7099">
        <v>-38.510019999999997</v>
      </c>
      <c r="J7099">
        <v>-200.45269999999999</v>
      </c>
      <c r="K7099">
        <v>1.115864</v>
      </c>
      <c r="L7099">
        <v>-57.3003199999999</v>
      </c>
      <c r="M7099">
        <v>0.85921080000000005</v>
      </c>
      <c r="N7099">
        <v>-1.431559E-2</v>
      </c>
      <c r="O7099">
        <v>0.51142159999999903</v>
      </c>
      <c r="P7099">
        <v>0.74290719999999899</v>
      </c>
      <c r="Q7099">
        <v>0.17911199999999999</v>
      </c>
      <c r="R7099">
        <v>0.64498679999999997</v>
      </c>
      <c r="S7099">
        <v>1.965805</v>
      </c>
      <c r="T7099">
        <v>-0.14385139999999999</v>
      </c>
      <c r="U7099">
        <v>2.4303590000000002</v>
      </c>
      <c r="V7099">
        <v>-0.1766761</v>
      </c>
      <c r="W7099">
        <v>0.1907441</v>
      </c>
      <c r="X7099">
        <v>0.96560979999999996</v>
      </c>
      <c r="Y7099">
        <v>-0.3462403</v>
      </c>
      <c r="Z7099">
        <v>-6.9439790000000003E-3</v>
      </c>
      <c r="AA7099">
        <v>0.93812019999999996</v>
      </c>
      <c r="AB7099">
        <v>23</v>
      </c>
      <c r="AC7099">
        <v>15.1526999999999</v>
      </c>
      <c r="AD7099">
        <v>-1.115865877351</v>
      </c>
      <c r="AE7099">
        <v>18.790299999999899</v>
      </c>
      <c r="AF7099">
        <v>-8.3783660824137094</v>
      </c>
      <c r="AG7099">
        <v>-1.115865877351</v>
      </c>
      <c r="AH7099">
        <v>22.583186659125399</v>
      </c>
      <c r="AI7099">
        <v>92.652383842919093</v>
      </c>
      <c r="AJ7099">
        <v>110.35486234540301</v>
      </c>
      <c r="AK7099">
        <v>24.113118722970601</v>
      </c>
      <c r="AL7099">
        <v>79.003788032824701</v>
      </c>
      <c r="AM7099">
        <v>100.368628434153</v>
      </c>
      <c r="AN7099">
        <v>1.00000002092602</v>
      </c>
    </row>
    <row r="7100" spans="1:40" x14ac:dyDescent="0.25">
      <c r="A7100" t="str">
        <f>"20190304155240310"</f>
        <v>20190304155240310</v>
      </c>
      <c r="B7100" t="str">
        <f>"1551685960304030"</f>
        <v>1551685960304030</v>
      </c>
      <c r="C7100" t="s">
        <v>40</v>
      </c>
      <c r="D7100">
        <v>4.8245529999999999</v>
      </c>
      <c r="E7100">
        <v>0.42781780000000003</v>
      </c>
      <c r="F7100" t="s">
        <v>41</v>
      </c>
      <c r="G7100">
        <v>-185.34110000000001</v>
      </c>
      <c r="H7100" s="1">
        <v>-1.8796819999999999E-6</v>
      </c>
      <c r="I7100">
        <v>-38.471040000000002</v>
      </c>
      <c r="J7100">
        <v>-200.36279999999999</v>
      </c>
      <c r="K7100">
        <v>1.1158709999999901</v>
      </c>
      <c r="L7100">
        <v>-57.242100000000001</v>
      </c>
      <c r="M7100">
        <v>0.85723389999999999</v>
      </c>
      <c r="N7100">
        <v>-1.43167E-2</v>
      </c>
      <c r="O7100">
        <v>0.51472810000000002</v>
      </c>
      <c r="P7100">
        <v>0.74059449999999905</v>
      </c>
      <c r="Q7100">
        <v>0.1794827</v>
      </c>
      <c r="R7100">
        <v>0.64753819999999995</v>
      </c>
      <c r="S7100">
        <v>1.9564969999999999</v>
      </c>
      <c r="T7100">
        <v>-0.14447160000000001</v>
      </c>
      <c r="U7100">
        <v>2.4378359999999999</v>
      </c>
      <c r="V7100">
        <v>-0.17633109999999999</v>
      </c>
      <c r="W7100">
        <v>0.1911167</v>
      </c>
      <c r="X7100">
        <v>0.96559919999999999</v>
      </c>
      <c r="Y7100">
        <v>-0.34621000000000002</v>
      </c>
      <c r="Z7100">
        <v>-7.1418769999999996E-3</v>
      </c>
      <c r="AA7100">
        <v>0.93812980000000001</v>
      </c>
      <c r="AB7100">
        <v>23</v>
      </c>
      <c r="AC7100">
        <v>15.0216999999999</v>
      </c>
      <c r="AD7100">
        <v>-1.1158728796820001</v>
      </c>
      <c r="AE7100">
        <v>18.771059999999999</v>
      </c>
      <c r="AF7100">
        <v>-8.3419840922437594</v>
      </c>
      <c r="AG7100">
        <v>-1.1158728796820001</v>
      </c>
      <c r="AH7100">
        <v>22.492957686347399</v>
      </c>
      <c r="AI7100">
        <v>92.663137167400293</v>
      </c>
      <c r="AJ7100">
        <v>110.348352989828</v>
      </c>
      <c r="AK7100">
        <v>24.015974191330901</v>
      </c>
      <c r="AL7100">
        <v>78.982039659546004</v>
      </c>
      <c r="AM7100">
        <v>100.348930404171</v>
      </c>
      <c r="AN7100">
        <v>1.00000003244336</v>
      </c>
    </row>
    <row r="7101" spans="1:40" x14ac:dyDescent="0.25">
      <c r="A7101" t="str">
        <f>"20190304155240320"</f>
        <v>20190304155240320</v>
      </c>
      <c r="B7101" t="str">
        <f>"1551685960313790"</f>
        <v>1551685960313790</v>
      </c>
      <c r="C7101" t="s">
        <v>40</v>
      </c>
      <c r="D7101">
        <v>4.7230819999999998</v>
      </c>
      <c r="E7101">
        <v>0.42784660000000002</v>
      </c>
      <c r="F7101" t="s">
        <v>41</v>
      </c>
      <c r="G7101">
        <v>-185.15600000000001</v>
      </c>
      <c r="H7101" s="1">
        <v>-2.0371060000000001E-6</v>
      </c>
      <c r="I7101">
        <v>-38.15316</v>
      </c>
      <c r="J7101">
        <v>-200.27019999999999</v>
      </c>
      <c r="K7101">
        <v>1.1158809999999999</v>
      </c>
      <c r="L7101">
        <v>-57.181399999999996</v>
      </c>
      <c r="M7101">
        <v>0.85516959999999997</v>
      </c>
      <c r="N7101">
        <v>-1.4318010000000001E-2</v>
      </c>
      <c r="O7101">
        <v>0.51815059999999902</v>
      </c>
      <c r="P7101">
        <v>0.73813039999999996</v>
      </c>
      <c r="Q7101">
        <v>0.1794617</v>
      </c>
      <c r="R7101">
        <v>0.65035149999999997</v>
      </c>
      <c r="S7101">
        <v>1.947708</v>
      </c>
      <c r="T7101">
        <v>-0.1429231</v>
      </c>
      <c r="U7101">
        <v>2.4449459999999998</v>
      </c>
      <c r="V7101">
        <v>-0.17614579999999999</v>
      </c>
      <c r="W7101">
        <v>0.19109609999999999</v>
      </c>
      <c r="X7101">
        <v>0.96563710000000003</v>
      </c>
      <c r="Y7101">
        <v>-0.345856</v>
      </c>
      <c r="Z7101">
        <v>-7.1013269999999898E-3</v>
      </c>
      <c r="AA7101">
        <v>0.93826069999999995</v>
      </c>
      <c r="AB7101">
        <v>23</v>
      </c>
      <c r="AC7101">
        <v>15.1142</v>
      </c>
      <c r="AD7101">
        <v>-1.115883037106</v>
      </c>
      <c r="AE7101">
        <v>19.02824</v>
      </c>
      <c r="AF7101">
        <v>-8.4240420484299499</v>
      </c>
      <c r="AG7101">
        <v>-1.115883037106</v>
      </c>
      <c r="AH7101">
        <v>22.7390839704067</v>
      </c>
      <c r="AI7101">
        <v>92.634724083494504</v>
      </c>
      <c r="AJ7101">
        <v>110.327920720623</v>
      </c>
      <c r="AK7101">
        <v>24.274999880523701</v>
      </c>
      <c r="AL7101">
        <v>78.9832421497713</v>
      </c>
      <c r="AM7101">
        <v>100.337892707314</v>
      </c>
      <c r="AN7101">
        <v>1.0000000355946199</v>
      </c>
    </row>
    <row r="7102" spans="1:40" x14ac:dyDescent="0.25">
      <c r="A7102" t="str">
        <f>"20190304155240332"</f>
        <v>20190304155240332</v>
      </c>
      <c r="B7102" t="str">
        <f>"1551685960323550"</f>
        <v>1551685960323550</v>
      </c>
      <c r="C7102" t="s">
        <v>40</v>
      </c>
      <c r="D7102">
        <v>4.7269509999999997</v>
      </c>
      <c r="E7102">
        <v>0.42773169999999999</v>
      </c>
      <c r="F7102" t="s">
        <v>41</v>
      </c>
      <c r="G7102">
        <v>-185.13509999999999</v>
      </c>
      <c r="H7102" s="1">
        <v>-2.083942E-6</v>
      </c>
      <c r="I7102">
        <v>-38.031880000000001</v>
      </c>
      <c r="J7102">
        <v>-200.179</v>
      </c>
      <c r="K7102">
        <v>1.1158870000000001</v>
      </c>
      <c r="L7102">
        <v>-57.121119999999998</v>
      </c>
      <c r="M7102">
        <v>0.8531128</v>
      </c>
      <c r="N7102">
        <v>-1.431932E-2</v>
      </c>
      <c r="O7102">
        <v>0.52153000000000005</v>
      </c>
      <c r="P7102">
        <v>0.73573829999999996</v>
      </c>
      <c r="Q7102">
        <v>0.17931029999999901</v>
      </c>
      <c r="R7102">
        <v>0.65309790000000001</v>
      </c>
      <c r="S7102">
        <v>1.9383090000000001</v>
      </c>
      <c r="T7102">
        <v>-0.1429079</v>
      </c>
      <c r="U7102">
        <v>2.452423</v>
      </c>
      <c r="V7102">
        <v>-0.17590600000000001</v>
      </c>
      <c r="W7102">
        <v>0.1909468</v>
      </c>
      <c r="X7102">
        <v>0.96571030000000002</v>
      </c>
      <c r="Y7102">
        <v>-0.34575050000000002</v>
      </c>
      <c r="Z7102">
        <v>-7.22960599999999E-3</v>
      </c>
      <c r="AA7102">
        <v>0.93829859999999998</v>
      </c>
      <c r="AB7102">
        <v>23</v>
      </c>
      <c r="AC7102">
        <v>15.043900000000001</v>
      </c>
      <c r="AD7102">
        <v>-1.1158890839419999</v>
      </c>
      <c r="AE7102">
        <v>19.08924</v>
      </c>
      <c r="AF7102">
        <v>-8.4225406766833704</v>
      </c>
      <c r="AG7102">
        <v>-1.1158890839419999</v>
      </c>
      <c r="AH7102">
        <v>22.744147711162402</v>
      </c>
      <c r="AI7102">
        <v>92.634279794511102</v>
      </c>
      <c r="AJ7102">
        <v>110.320439175492</v>
      </c>
      <c r="AK7102">
        <v>24.279222701833302</v>
      </c>
      <c r="AL7102">
        <v>78.991956402183703</v>
      </c>
      <c r="AM7102">
        <v>100.323356116618</v>
      </c>
      <c r="AN7102">
        <v>0.99999999239616499</v>
      </c>
    </row>
    <row r="7103" spans="1:40" x14ac:dyDescent="0.25">
      <c r="A7103" t="str">
        <f>"20190304155240343"</f>
        <v>20190304155240343</v>
      </c>
      <c r="B7103" t="str">
        <f>"1551685960334286"</f>
        <v>1551685960334286</v>
      </c>
      <c r="C7103" t="s">
        <v>40</v>
      </c>
      <c r="D7103">
        <v>4.727576</v>
      </c>
      <c r="E7103">
        <v>0.42761100000000002</v>
      </c>
      <c r="F7103" t="s">
        <v>41</v>
      </c>
      <c r="G7103">
        <v>-185.06880000000001</v>
      </c>
      <c r="H7103" s="1">
        <v>-2.1667840000000001E-6</v>
      </c>
      <c r="I7103">
        <v>-37.840290000000003</v>
      </c>
      <c r="J7103">
        <v>-200.08320000000001</v>
      </c>
      <c r="K7103">
        <v>1.115896</v>
      </c>
      <c r="L7103">
        <v>-57.057279999999999</v>
      </c>
      <c r="M7103">
        <v>0.85092449999999997</v>
      </c>
      <c r="N7103">
        <v>-1.432077E-2</v>
      </c>
      <c r="O7103">
        <v>0.52509280000000003</v>
      </c>
      <c r="P7103">
        <v>0.73311969999999904</v>
      </c>
      <c r="Q7103">
        <v>0.179333399999999</v>
      </c>
      <c r="R7103">
        <v>0.65602989999999906</v>
      </c>
      <c r="S7103">
        <v>1.928207</v>
      </c>
      <c r="T7103">
        <v>-0.1423981</v>
      </c>
      <c r="U7103">
        <v>2.4604189999999999</v>
      </c>
      <c r="V7103">
        <v>-0.17572979999999899</v>
      </c>
      <c r="W7103">
        <v>0.19097020000000001</v>
      </c>
      <c r="X7103">
        <v>0.96573779999999998</v>
      </c>
      <c r="Y7103">
        <v>-0.34569569999999999</v>
      </c>
      <c r="Z7103">
        <v>-7.30438599999999E-3</v>
      </c>
      <c r="AA7103">
        <v>0.93831830000000005</v>
      </c>
      <c r="AB7103">
        <v>23</v>
      </c>
      <c r="AC7103">
        <v>15.014399999999901</v>
      </c>
      <c r="AD7103">
        <v>-1.115898166784</v>
      </c>
      <c r="AE7103">
        <v>19.216989999999999</v>
      </c>
      <c r="AF7103">
        <v>-8.4514270897355708</v>
      </c>
      <c r="AG7103">
        <v>-1.115898166784</v>
      </c>
      <c r="AH7103">
        <v>22.821385468255599</v>
      </c>
      <c r="AI7103">
        <v>92.625387426516099</v>
      </c>
      <c r="AJ7103">
        <v>110.32106613873199</v>
      </c>
      <c r="AK7103">
        <v>24.3615985366818</v>
      </c>
      <c r="AL7103">
        <v>78.990591067464607</v>
      </c>
      <c r="AM7103">
        <v>100.312950154341</v>
      </c>
      <c r="AN7103">
        <v>1.0000000391224499</v>
      </c>
    </row>
    <row r="7104" spans="1:40" x14ac:dyDescent="0.25">
      <c r="A7104" t="str">
        <f>"20190304155240353"</f>
        <v>20190304155240353</v>
      </c>
      <c r="B7104" t="str">
        <f>"1551685960344045"</f>
        <v>1551685960344045</v>
      </c>
      <c r="C7104" t="s">
        <v>40</v>
      </c>
      <c r="D7104">
        <v>4.7580309999999999</v>
      </c>
      <c r="E7104">
        <v>0.42763240000000002</v>
      </c>
      <c r="F7104" t="s">
        <v>41</v>
      </c>
      <c r="G7104">
        <v>-184.96940000000001</v>
      </c>
      <c r="H7104" s="1">
        <v>-2.276271E-6</v>
      </c>
      <c r="I7104">
        <v>-37.596260000000001</v>
      </c>
      <c r="J7104">
        <v>-199.99440000000001</v>
      </c>
      <c r="K7104">
        <v>1.115907</v>
      </c>
      <c r="L7104">
        <v>-56.997439999999997</v>
      </c>
      <c r="M7104">
        <v>0.84886799999999996</v>
      </c>
      <c r="N7104">
        <v>-1.4322069999999999E-2</v>
      </c>
      <c r="O7104">
        <v>0.52841090000000002</v>
      </c>
      <c r="P7104">
        <v>0.73060170000000002</v>
      </c>
      <c r="Q7104">
        <v>0.17923599999999901</v>
      </c>
      <c r="R7104">
        <v>0.65885939999999998</v>
      </c>
      <c r="S7104">
        <v>1.917419</v>
      </c>
      <c r="T7104">
        <v>-0.141569</v>
      </c>
      <c r="U7104">
        <v>2.4689329999999998</v>
      </c>
      <c r="V7104">
        <v>-0.17568349999999999</v>
      </c>
      <c r="W7104">
        <v>0.19087190000000001</v>
      </c>
      <c r="X7104">
        <v>0.96576569999999995</v>
      </c>
      <c r="Y7104">
        <v>-0.34615899999999999</v>
      </c>
      <c r="Z7104">
        <v>-7.3158559999999999E-3</v>
      </c>
      <c r="AA7104">
        <v>0.93814730000000002</v>
      </c>
      <c r="AB7104">
        <v>23</v>
      </c>
      <c r="AC7104">
        <v>15.025</v>
      </c>
      <c r="AD7104">
        <v>-1.1159092762709999</v>
      </c>
      <c r="AE7104">
        <v>19.40118</v>
      </c>
      <c r="AF7104">
        <v>-8.5129370151632298</v>
      </c>
      <c r="AG7104">
        <v>-1.1159092762709999</v>
      </c>
      <c r="AH7104">
        <v>22.960912678107</v>
      </c>
      <c r="AI7104">
        <v>92.609117939717194</v>
      </c>
      <c r="AJ7104">
        <v>110.342653755805</v>
      </c>
      <c r="AK7104">
        <v>24.513646427013999</v>
      </c>
      <c r="AL7104">
        <v>78.996329250181702</v>
      </c>
      <c r="AM7104">
        <v>100.309999794283</v>
      </c>
      <c r="AN7104">
        <v>1.00000008083917</v>
      </c>
    </row>
    <row r="7105" spans="1:40" x14ac:dyDescent="0.25">
      <c r="A7105" t="str">
        <f>"20190304155240363"</f>
        <v>20190304155240363</v>
      </c>
      <c r="B7105" t="str">
        <f>"1551685960353805"</f>
        <v>1551685960353805</v>
      </c>
      <c r="C7105" t="s">
        <v>40</v>
      </c>
      <c r="D7105">
        <v>4.7530199999999896</v>
      </c>
      <c r="E7105">
        <v>0.42753740000000001</v>
      </c>
      <c r="F7105" t="s">
        <v>41</v>
      </c>
      <c r="G7105">
        <v>-184.953</v>
      </c>
      <c r="H7105" s="1">
        <v>-2.3229959999999999E-6</v>
      </c>
      <c r="I7105">
        <v>-37.471780000000003</v>
      </c>
      <c r="J7105">
        <v>-199.9102</v>
      </c>
      <c r="K7105">
        <v>1.115918</v>
      </c>
      <c r="L7105">
        <v>-56.940339999999999</v>
      </c>
      <c r="M7105">
        <v>0.84689869999999901</v>
      </c>
      <c r="N7105">
        <v>-1.4323249999999999E-2</v>
      </c>
      <c r="O7105">
        <v>0.53156130000000001</v>
      </c>
      <c r="P7105">
        <v>0.72834659999999996</v>
      </c>
      <c r="Q7105">
        <v>0.17915500000000001</v>
      </c>
      <c r="R7105">
        <v>0.66137330000000005</v>
      </c>
      <c r="S7105">
        <v>1.9076690000000001</v>
      </c>
      <c r="T7105">
        <v>-0.14152909999999999</v>
      </c>
      <c r="U7105">
        <v>2.47641</v>
      </c>
      <c r="V7105">
        <v>-0.17541399999999999</v>
      </c>
      <c r="W7105">
        <v>0.19079280000000001</v>
      </c>
      <c r="X7105">
        <v>0.96583019999999997</v>
      </c>
      <c r="Y7105">
        <v>-0.3463618</v>
      </c>
      <c r="Z7105">
        <v>-7.4232809999999899E-3</v>
      </c>
      <c r="AA7105">
        <v>0.93807169999999895</v>
      </c>
      <c r="AB7105">
        <v>23</v>
      </c>
      <c r="AC7105">
        <v>14.9572</v>
      </c>
      <c r="AD7105">
        <v>-1.115920322996</v>
      </c>
      <c r="AE7105">
        <v>19.46856</v>
      </c>
      <c r="AF7105">
        <v>-8.5205019076158397</v>
      </c>
      <c r="AG7105">
        <v>-1.115920322996</v>
      </c>
      <c r="AH7105">
        <v>22.9708695595526</v>
      </c>
      <c r="AI7105">
        <v>92.6078711801689</v>
      </c>
      <c r="AJ7105">
        <v>110.35114685022999</v>
      </c>
      <c r="AK7105">
        <v>24.525600486979702</v>
      </c>
      <c r="AL7105">
        <v>79.000944954165703</v>
      </c>
      <c r="AM7105">
        <v>100.293849815813</v>
      </c>
      <c r="AN7105">
        <v>0.99999996957993897</v>
      </c>
    </row>
    <row r="7106" spans="1:40" x14ac:dyDescent="0.25">
      <c r="A7106" t="str">
        <f>"20190304155240374"</f>
        <v>20190304155240374</v>
      </c>
      <c r="B7106" t="str">
        <f>"1551685960363565"</f>
        <v>1551685960363565</v>
      </c>
      <c r="C7106" t="s">
        <v>40</v>
      </c>
      <c r="D7106">
        <v>4.7178230000000001</v>
      </c>
      <c r="E7106">
        <v>0.42747030000000003</v>
      </c>
      <c r="F7106" t="s">
        <v>41</v>
      </c>
      <c r="G7106">
        <v>-184.8484</v>
      </c>
      <c r="H7106" s="1">
        <v>-2.434071E-6</v>
      </c>
      <c r="I7106">
        <v>-37.227209999999999</v>
      </c>
      <c r="J7106">
        <v>-199.8186</v>
      </c>
      <c r="K7106">
        <v>1.1159269999999999</v>
      </c>
      <c r="L7106">
        <v>-56.877560000000003</v>
      </c>
      <c r="M7106">
        <v>0.8447289</v>
      </c>
      <c r="N7106">
        <v>-1.432455E-2</v>
      </c>
      <c r="O7106">
        <v>0.53500269999999905</v>
      </c>
      <c r="P7106">
        <v>0.72582800000000003</v>
      </c>
      <c r="Q7106">
        <v>0.1785783</v>
      </c>
      <c r="R7106">
        <v>0.66429169999999904</v>
      </c>
      <c r="S7106">
        <v>1.8979029999999999</v>
      </c>
      <c r="T7106">
        <v>-0.14061470000000001</v>
      </c>
      <c r="U7106">
        <v>2.4840089999999999</v>
      </c>
      <c r="V7106">
        <v>-0.17528099999999999</v>
      </c>
      <c r="W7106">
        <v>0.19021750000000001</v>
      </c>
      <c r="X7106">
        <v>0.96596780000000004</v>
      </c>
      <c r="Y7106">
        <v>-0.34626020000000002</v>
      </c>
      <c r="Z7106">
        <v>-7.4421009999999996E-3</v>
      </c>
      <c r="AA7106">
        <v>0.93810899999999997</v>
      </c>
      <c r="AB7106">
        <v>23</v>
      </c>
      <c r="AC7106">
        <v>14.9702</v>
      </c>
      <c r="AD7106">
        <v>-1.115929434071</v>
      </c>
      <c r="AE7106">
        <v>19.65035</v>
      </c>
      <c r="AF7106">
        <v>-8.5735069786683606</v>
      </c>
      <c r="AG7106">
        <v>-1.115929434071</v>
      </c>
      <c r="AH7106">
        <v>23.1139595752453</v>
      </c>
      <c r="AI7106">
        <v>92.591772608309</v>
      </c>
      <c r="AJ7106">
        <v>110.35099258959499</v>
      </c>
      <c r="AK7106">
        <v>24.678035733444698</v>
      </c>
      <c r="AL7106">
        <v>79.034522020212293</v>
      </c>
      <c r="AM7106">
        <v>100.284777666414</v>
      </c>
      <c r="AN7106">
        <v>0.99999995845204404</v>
      </c>
    </row>
    <row r="7107" spans="1:40" x14ac:dyDescent="0.25">
      <c r="A7107" t="str">
        <f>"20190304155240385"</f>
        <v>20190304155240385</v>
      </c>
      <c r="B7107" t="str">
        <f>"1551685960373832"</f>
        <v>1551685960373832</v>
      </c>
      <c r="C7107" t="s">
        <v>40</v>
      </c>
      <c r="D7107">
        <v>4.8518019999999904</v>
      </c>
      <c r="E7107">
        <v>0.4274966</v>
      </c>
      <c r="F7107" t="s">
        <v>41</v>
      </c>
      <c r="G7107">
        <v>-184.9145</v>
      </c>
      <c r="H7107" s="1">
        <v>-2.4278619999999999E-6</v>
      </c>
      <c r="I7107">
        <v>-37.193739999999998</v>
      </c>
      <c r="J7107">
        <v>-199.72720000000001</v>
      </c>
      <c r="K7107">
        <v>1.115931</v>
      </c>
      <c r="L7107">
        <v>-56.814610000000002</v>
      </c>
      <c r="M7107">
        <v>0.84254280000000004</v>
      </c>
      <c r="N7107">
        <v>-1.432582E-2</v>
      </c>
      <c r="O7107">
        <v>0.53843869999999905</v>
      </c>
      <c r="P7107">
        <v>0.72314730000000005</v>
      </c>
      <c r="Q7107">
        <v>0.17828929999999901</v>
      </c>
      <c r="R7107">
        <v>0.66728609999999999</v>
      </c>
      <c r="S7107">
        <v>1.8870389999999999</v>
      </c>
      <c r="T7107">
        <v>-0.14129050000000001</v>
      </c>
      <c r="U7107">
        <v>2.4922179999999998</v>
      </c>
      <c r="V7107">
        <v>-0.17530119999999999</v>
      </c>
      <c r="W7107">
        <v>0.18992719999999999</v>
      </c>
      <c r="X7107">
        <v>0.96602129999999997</v>
      </c>
      <c r="Y7107">
        <v>-0.34652640000000001</v>
      </c>
      <c r="Z7107">
        <v>-7.6462689999999998E-3</v>
      </c>
      <c r="AA7107">
        <v>0.93800899999999998</v>
      </c>
      <c r="AB7107">
        <v>23</v>
      </c>
      <c r="AC7107">
        <v>14.8127</v>
      </c>
      <c r="AD7107">
        <v>-1.1159334278619999</v>
      </c>
      <c r="AE7107">
        <v>19.620869999999901</v>
      </c>
      <c r="AF7107">
        <v>-8.5389767191401802</v>
      </c>
      <c r="AG7107">
        <v>-1.1159334278619999</v>
      </c>
      <c r="AH7107">
        <v>22.999946936597901</v>
      </c>
      <c r="AI7107">
        <v>92.604325686743195</v>
      </c>
      <c r="AJ7107">
        <v>110.367983192463</v>
      </c>
      <c r="AK7107">
        <v>24.559254669304501</v>
      </c>
      <c r="AL7107">
        <v>79.051464316681304</v>
      </c>
      <c r="AM7107">
        <v>100.285380125434</v>
      </c>
      <c r="AN7107">
        <v>1.00000000203748</v>
      </c>
    </row>
    <row r="7108" spans="1:40" x14ac:dyDescent="0.25">
      <c r="A7108" t="str">
        <f>"20190304155240397"</f>
        <v>20190304155240397</v>
      </c>
      <c r="B7108" t="str">
        <f>"1551685960393353"</f>
        <v>1551685960393353</v>
      </c>
      <c r="C7108" t="s">
        <v>40</v>
      </c>
      <c r="D7108">
        <v>4.7204819999999996</v>
      </c>
      <c r="E7108">
        <v>0.42743989999999998</v>
      </c>
      <c r="F7108" t="s">
        <v>41</v>
      </c>
      <c r="G7108">
        <v>-184.98949999999999</v>
      </c>
      <c r="H7108" s="1">
        <v>-2.4117309999999999E-6</v>
      </c>
      <c r="I7108">
        <v>-37.182479999999998</v>
      </c>
      <c r="J7108">
        <v>-199.63460000000001</v>
      </c>
      <c r="K7108">
        <v>1.115939</v>
      </c>
      <c r="L7108">
        <v>-56.749969999999998</v>
      </c>
      <c r="M7108">
        <v>0.84029489999999996</v>
      </c>
      <c r="N7108">
        <v>-1.4327100000000001E-2</v>
      </c>
      <c r="O7108">
        <v>0.54194030000000004</v>
      </c>
      <c r="P7108">
        <v>0.72062850000000001</v>
      </c>
      <c r="Q7108">
        <v>0.17787420000000001</v>
      </c>
      <c r="R7108">
        <v>0.67011589999999999</v>
      </c>
      <c r="S7108">
        <v>1.876709</v>
      </c>
      <c r="T7108">
        <v>-0.142103799999999</v>
      </c>
      <c r="U7108">
        <v>2.4999690000000001</v>
      </c>
      <c r="V7108">
        <v>-0.17501</v>
      </c>
      <c r="W7108">
        <v>0.1895162</v>
      </c>
      <c r="X7108">
        <v>0.96615479999999998</v>
      </c>
      <c r="Y7108">
        <v>-0.34649940000000001</v>
      </c>
      <c r="Z7108">
        <v>-7.8799779999999993E-3</v>
      </c>
      <c r="AA7108">
        <v>0.93801710000000005</v>
      </c>
      <c r="AB7108">
        <v>23</v>
      </c>
      <c r="AC7108">
        <v>14.645099999999999</v>
      </c>
      <c r="AD7108">
        <v>-1.115941411731</v>
      </c>
      <c r="AE7108">
        <v>19.567489999999999</v>
      </c>
      <c r="AF7108">
        <v>-8.4888682478977397</v>
      </c>
      <c r="AG7108">
        <v>-1.115941411731</v>
      </c>
      <c r="AH7108">
        <v>22.865297966338801</v>
      </c>
      <c r="AI7108">
        <v>92.619663858900594</v>
      </c>
      <c r="AJ7108">
        <v>110.36772200862499</v>
      </c>
      <c r="AK7108">
        <v>24.4157338708883</v>
      </c>
      <c r="AL7108">
        <v>79.0754483944811</v>
      </c>
      <c r="AM7108">
        <v>100.26726976524</v>
      </c>
      <c r="AN7108">
        <v>0.99999999386273897</v>
      </c>
    </row>
    <row r="7109" spans="1:40" x14ac:dyDescent="0.25">
      <c r="A7109" t="str">
        <f>"20190304155240409"</f>
        <v>20190304155240409</v>
      </c>
      <c r="B7109" t="str">
        <f>"1551685960404090"</f>
        <v>1551685960404090</v>
      </c>
      <c r="C7109" t="s">
        <v>40</v>
      </c>
      <c r="D7109">
        <v>4.7496619999999998</v>
      </c>
      <c r="E7109">
        <v>0.42739139999999998</v>
      </c>
      <c r="F7109" t="s">
        <v>41</v>
      </c>
      <c r="G7109">
        <v>-185.04859999999999</v>
      </c>
      <c r="H7109" s="1">
        <v>-2.4058860000000002E-6</v>
      </c>
      <c r="I7109">
        <v>-37.153480000000002</v>
      </c>
      <c r="J7109">
        <v>-199.53020000000001</v>
      </c>
      <c r="K7109">
        <v>1.115944</v>
      </c>
      <c r="L7109">
        <v>-56.676639999999999</v>
      </c>
      <c r="M7109">
        <v>0.83773330000000001</v>
      </c>
      <c r="N7109">
        <v>-1.4328459999999999E-2</v>
      </c>
      <c r="O7109">
        <v>0.54589160000000003</v>
      </c>
      <c r="P7109">
        <v>0.71754759999999995</v>
      </c>
      <c r="Q7109">
        <v>0.17788419999999999</v>
      </c>
      <c r="R7109">
        <v>0.67341130000000005</v>
      </c>
      <c r="S7109">
        <v>1.866455</v>
      </c>
      <c r="T7109">
        <v>-0.1427977</v>
      </c>
      <c r="U7109">
        <v>2.5075989999999999</v>
      </c>
      <c r="V7109">
        <v>-0.17489209999999999</v>
      </c>
      <c r="W7109">
        <v>0.18952649999999999</v>
      </c>
      <c r="X7109">
        <v>0.96617410000000004</v>
      </c>
      <c r="Y7109">
        <v>-0.34591889999999997</v>
      </c>
      <c r="Z7109">
        <v>-8.1333180000000005E-3</v>
      </c>
      <c r="AA7109">
        <v>0.93822919999999999</v>
      </c>
      <c r="AB7109">
        <v>23</v>
      </c>
      <c r="AC7109">
        <v>14.4816</v>
      </c>
      <c r="AD7109">
        <v>-1.115946405886</v>
      </c>
      <c r="AE7109">
        <v>19.523160000000001</v>
      </c>
      <c r="AF7109">
        <v>-8.4329114212751399</v>
      </c>
      <c r="AG7109">
        <v>-1.115946405886</v>
      </c>
      <c r="AH7109">
        <v>22.743651843977901</v>
      </c>
      <c r="AI7109">
        <v>92.634074549137495</v>
      </c>
      <c r="AJ7109">
        <v>110.34381771333</v>
      </c>
      <c r="AK7109">
        <v>24.282360482868299</v>
      </c>
      <c r="AL7109">
        <v>79.074847048888003</v>
      </c>
      <c r="AM7109">
        <v>100.260299328621</v>
      </c>
      <c r="AN7109">
        <v>0.99999996617773401</v>
      </c>
    </row>
    <row r="7110" spans="1:40" x14ac:dyDescent="0.25">
      <c r="A7110" t="str">
        <f>"20190304155240421"</f>
        <v>20190304155240421</v>
      </c>
      <c r="B7110" t="str">
        <f>"1551685960413849"</f>
        <v>1551685960413849</v>
      </c>
      <c r="C7110" t="s">
        <v>40</v>
      </c>
      <c r="D7110">
        <v>4.751709</v>
      </c>
      <c r="E7110">
        <v>0.42736200000000002</v>
      </c>
      <c r="F7110" t="s">
        <v>41</v>
      </c>
      <c r="G7110">
        <v>-184.99690000000001</v>
      </c>
      <c r="H7110" s="1">
        <v>-2.4858840000000002E-6</v>
      </c>
      <c r="I7110">
        <v>-36.958799999999997</v>
      </c>
      <c r="J7110">
        <v>-199.4263</v>
      </c>
      <c r="K7110">
        <v>1.115947</v>
      </c>
      <c r="L7110">
        <v>-56.602629999999998</v>
      </c>
      <c r="M7110">
        <v>0.835144199999999</v>
      </c>
      <c r="N7110">
        <v>-1.4329700000000001E-2</v>
      </c>
      <c r="O7110">
        <v>0.54984460000000002</v>
      </c>
      <c r="P7110">
        <v>0.71446940000000003</v>
      </c>
      <c r="Q7110">
        <v>0.17782879999999901</v>
      </c>
      <c r="R7110">
        <v>0.67669080000000004</v>
      </c>
      <c r="S7110">
        <v>1.8546910000000001</v>
      </c>
      <c r="T7110">
        <v>-0.1424135</v>
      </c>
      <c r="U7110">
        <v>2.516327</v>
      </c>
      <c r="V7110">
        <v>-0.17474509999999999</v>
      </c>
      <c r="W7110">
        <v>0.18947259999999999</v>
      </c>
      <c r="X7110">
        <v>0.9662113</v>
      </c>
      <c r="Y7110">
        <v>-0.34588340000000001</v>
      </c>
      <c r="Z7110">
        <v>-8.2357230000000003E-3</v>
      </c>
      <c r="AA7110">
        <v>0.9382414</v>
      </c>
      <c r="AB7110">
        <v>23</v>
      </c>
      <c r="AC7110">
        <v>14.4293999999999</v>
      </c>
      <c r="AD7110">
        <v>-1.115949485884</v>
      </c>
      <c r="AE7110">
        <v>19.643830000000001</v>
      </c>
      <c r="AF7110">
        <v>-8.4546489516974805</v>
      </c>
      <c r="AG7110">
        <v>-1.115949485884</v>
      </c>
      <c r="AH7110">
        <v>22.8062201112206</v>
      </c>
      <c r="AI7110">
        <v>92.626920207092198</v>
      </c>
      <c r="AJ7110">
        <v>110.340589516883</v>
      </c>
      <c r="AK7110">
        <v>24.3485134641301</v>
      </c>
      <c r="AL7110">
        <v>79.077992612351693</v>
      </c>
      <c r="AM7110">
        <v>100.251471990658</v>
      </c>
      <c r="AN7110">
        <v>0.99999999618622903</v>
      </c>
    </row>
    <row r="7111" spans="1:40" x14ac:dyDescent="0.25">
      <c r="A7111" t="str">
        <f>"20190304155240436"</f>
        <v>20190304155240436</v>
      </c>
      <c r="B7111" t="str">
        <f>"1551685960433368"</f>
        <v>1551685960433368</v>
      </c>
      <c r="C7111" t="s">
        <v>40</v>
      </c>
      <c r="D7111">
        <v>4.5783310000000004</v>
      </c>
      <c r="E7111">
        <v>0.4272494</v>
      </c>
      <c r="F7111" t="s">
        <v>41</v>
      </c>
      <c r="G7111">
        <v>-184.9897</v>
      </c>
      <c r="H7111" s="1">
        <v>-2.534222E-6</v>
      </c>
      <c r="I7111">
        <v>-36.822450000000003</v>
      </c>
      <c r="J7111">
        <v>-199.30930000000001</v>
      </c>
      <c r="K7111">
        <v>1.1159429999999999</v>
      </c>
      <c r="L7111">
        <v>-56.518549999999998</v>
      </c>
      <c r="M7111">
        <v>0.83219379999999998</v>
      </c>
      <c r="N7111">
        <v>-1.4330839999999999E-2</v>
      </c>
      <c r="O7111">
        <v>0.55429969999999995</v>
      </c>
      <c r="P7111">
        <v>0.71113440000000006</v>
      </c>
      <c r="Q7111">
        <v>0.1775185</v>
      </c>
      <c r="R7111">
        <v>0.68027569999999904</v>
      </c>
      <c r="S7111">
        <v>1.8428960000000001</v>
      </c>
      <c r="T7111">
        <v>-0.14245569999999999</v>
      </c>
      <c r="U7111">
        <v>2.5250240000000002</v>
      </c>
      <c r="V7111">
        <v>-0.1743953</v>
      </c>
      <c r="W7111">
        <v>0.18916830000000001</v>
      </c>
      <c r="X7111">
        <v>0.96633409999999997</v>
      </c>
      <c r="Y7111">
        <v>-0.34527049999999998</v>
      </c>
      <c r="Z7111">
        <v>-8.4274980000000003E-3</v>
      </c>
      <c r="AA7111">
        <v>0.93846540000000001</v>
      </c>
      <c r="AB7111">
        <v>23</v>
      </c>
      <c r="AC7111">
        <v>14.319599999999999</v>
      </c>
      <c r="AD7111">
        <v>-1.1159455342219999</v>
      </c>
      <c r="AE7111">
        <v>19.696099999999898</v>
      </c>
      <c r="AF7111">
        <v>-8.4367722192314094</v>
      </c>
      <c r="AG7111">
        <v>-1.1159455342219999</v>
      </c>
      <c r="AH7111">
        <v>22.788710562462899</v>
      </c>
      <c r="AI7111">
        <v>92.629353760486296</v>
      </c>
      <c r="AJ7111">
        <v>110.315418178261</v>
      </c>
      <c r="AK7111">
        <v>24.3259077736938</v>
      </c>
      <c r="AL7111">
        <v>79.095748650105705</v>
      </c>
      <c r="AM7111">
        <v>100.230112039551</v>
      </c>
      <c r="AN7111">
        <v>0.99999997960489395</v>
      </c>
    </row>
    <row r="7112" spans="1:40" x14ac:dyDescent="0.25">
      <c r="A7112" t="str">
        <f>"20190304155240450"</f>
        <v>20190304155240450</v>
      </c>
      <c r="B7112" t="str">
        <f>"1551685960444105"</f>
        <v>1551685960444105</v>
      </c>
      <c r="C7112" t="s">
        <v>40</v>
      </c>
      <c r="D7112">
        <v>4.7273820000000004</v>
      </c>
      <c r="E7112">
        <v>0.42722480000000002</v>
      </c>
      <c r="F7112" t="s">
        <v>41</v>
      </c>
      <c r="G7112">
        <v>-185.00720000000001</v>
      </c>
      <c r="H7112" s="1">
        <v>-2.5686829999999998E-6</v>
      </c>
      <c r="I7112">
        <v>-36.707479999999997</v>
      </c>
      <c r="J7112">
        <v>-199.1943</v>
      </c>
      <c r="K7112">
        <v>1.1159429999999999</v>
      </c>
      <c r="L7112">
        <v>-56.43506</v>
      </c>
      <c r="M7112">
        <v>0.82925400000000005</v>
      </c>
      <c r="N7112">
        <v>-1.4331689999999999E-2</v>
      </c>
      <c r="O7112">
        <v>0.55868819999999997</v>
      </c>
      <c r="P7112">
        <v>0.70779969999999903</v>
      </c>
      <c r="Q7112">
        <v>0.17721210000000001</v>
      </c>
      <c r="R7112">
        <v>0.68382419999999899</v>
      </c>
      <c r="S7112">
        <v>1.829712</v>
      </c>
      <c r="T7112">
        <v>-0.142766</v>
      </c>
      <c r="U7112">
        <v>2.5344850000000001</v>
      </c>
      <c r="V7112">
        <v>-0.17407700000000001</v>
      </c>
      <c r="W7112">
        <v>0.18886720000000001</v>
      </c>
      <c r="X7112">
        <v>0.96645040000000004</v>
      </c>
      <c r="Y7112">
        <v>-0.3451861</v>
      </c>
      <c r="Z7112">
        <v>-8.6388079999999996E-3</v>
      </c>
      <c r="AA7112">
        <v>0.93849450000000001</v>
      </c>
      <c r="AB7112">
        <v>23</v>
      </c>
      <c r="AC7112">
        <v>14.1870999999999</v>
      </c>
      <c r="AD7112">
        <v>-1.115945568683</v>
      </c>
      <c r="AE7112">
        <v>19.72758</v>
      </c>
      <c r="AF7112">
        <v>-8.4161243938621908</v>
      </c>
      <c r="AG7112">
        <v>-1.115945568683</v>
      </c>
      <c r="AH7112">
        <v>22.7406520975292</v>
      </c>
      <c r="AI7112">
        <v>92.635010277920003</v>
      </c>
      <c r="AJ7112">
        <v>110.309090055713</v>
      </c>
      <c r="AK7112">
        <v>24.273725345444699</v>
      </c>
      <c r="AL7112">
        <v>79.1133173117518</v>
      </c>
      <c r="AM7112">
        <v>100.210630656866</v>
      </c>
      <c r="AN7112">
        <v>0.99999999841249998</v>
      </c>
    </row>
    <row r="7113" spans="1:40" x14ac:dyDescent="0.25">
      <c r="A7113" t="str">
        <f>"20190304155240465"</f>
        <v>20190304155240465</v>
      </c>
      <c r="B7113" t="str">
        <f>"1551685960453865"</f>
        <v>1551685960453865</v>
      </c>
      <c r="C7113" t="s">
        <v>40</v>
      </c>
      <c r="D7113">
        <v>4.741682</v>
      </c>
      <c r="E7113">
        <v>0.42721730000000002</v>
      </c>
      <c r="F7113" t="s">
        <v>41</v>
      </c>
      <c r="G7113">
        <v>-185.07429999999999</v>
      </c>
      <c r="H7113" s="1">
        <v>-2.5633870000000002E-6</v>
      </c>
      <c r="I7113">
        <v>-36.670589999999997</v>
      </c>
      <c r="J7113">
        <v>-199.07130000000001</v>
      </c>
      <c r="K7113">
        <v>1.1159319999999999</v>
      </c>
      <c r="L7113">
        <v>-56.344540000000002</v>
      </c>
      <c r="M7113">
        <v>0.82606209999999902</v>
      </c>
      <c r="N7113">
        <v>-1.433214E-2</v>
      </c>
      <c r="O7113">
        <v>0.56339689999999998</v>
      </c>
      <c r="P7113">
        <v>0.70466379999999995</v>
      </c>
      <c r="Q7113">
        <v>0.1766017</v>
      </c>
      <c r="R7113">
        <v>0.6872123</v>
      </c>
      <c r="S7113">
        <v>1.8171079999999999</v>
      </c>
      <c r="T7113">
        <v>-0.14361099999999999</v>
      </c>
      <c r="U7113">
        <v>2.543488</v>
      </c>
      <c r="V7113">
        <v>-0.17311860000000001</v>
      </c>
      <c r="W7113">
        <v>0.18827479999999999</v>
      </c>
      <c r="X7113">
        <v>0.96673810000000004</v>
      </c>
      <c r="Y7113">
        <v>-0.34449930000000001</v>
      </c>
      <c r="Z7113">
        <v>-8.9513979999999993E-3</v>
      </c>
      <c r="AA7113">
        <v>0.93874389999999996</v>
      </c>
      <c r="AB7113">
        <v>23</v>
      </c>
      <c r="AC7113">
        <v>13.997</v>
      </c>
      <c r="AD7113">
        <v>-1.1159345633869999</v>
      </c>
      <c r="AE7113">
        <v>19.673950000000001</v>
      </c>
      <c r="AF7113">
        <v>-8.3490626023222401</v>
      </c>
      <c r="AG7113">
        <v>-1.1159345633869999</v>
      </c>
      <c r="AH7113">
        <v>22.600681605938998</v>
      </c>
      <c r="AI7113">
        <v>92.651861624812398</v>
      </c>
      <c r="AJ7113">
        <v>110.275057098746</v>
      </c>
      <c r="AK7113">
        <v>24.119348360606399</v>
      </c>
      <c r="AL7113">
        <v>79.147879430352504</v>
      </c>
      <c r="AM7113">
        <v>100.15262867330701</v>
      </c>
      <c r="AN7113">
        <v>1.0000000019863</v>
      </c>
    </row>
    <row r="7114" spans="1:40" x14ac:dyDescent="0.25">
      <c r="A7114" t="str">
        <f>"20190304155240487"</f>
        <v>20190304155240487</v>
      </c>
      <c r="B7114" t="str">
        <f>"1551685960483652"</f>
        <v>1551685960483652</v>
      </c>
      <c r="C7114" t="s">
        <v>40</v>
      </c>
      <c r="D7114">
        <v>4.780767</v>
      </c>
      <c r="E7114">
        <v>0.42720449999999999</v>
      </c>
      <c r="F7114" t="s">
        <v>41</v>
      </c>
      <c r="G7114">
        <v>-185.19380000000001</v>
      </c>
      <c r="H7114" s="1">
        <v>-2.5154640000000002E-6</v>
      </c>
      <c r="I7114">
        <v>-36.717979999999997</v>
      </c>
      <c r="J7114">
        <v>-198.89320000000001</v>
      </c>
      <c r="K7114">
        <v>1.1159209999999999</v>
      </c>
      <c r="L7114">
        <v>-56.2117</v>
      </c>
      <c r="M7114">
        <v>0.82136629999999999</v>
      </c>
      <c r="N7114">
        <v>-1.433215E-2</v>
      </c>
      <c r="O7114">
        <v>0.57022109999999904</v>
      </c>
      <c r="P7114">
        <v>0.69923179999999996</v>
      </c>
      <c r="Q7114">
        <v>0.17599289999999901</v>
      </c>
      <c r="R7114">
        <v>0.69289350000000005</v>
      </c>
      <c r="S7114">
        <v>1.804657</v>
      </c>
      <c r="T7114">
        <v>-0.14511840000000001</v>
      </c>
      <c r="U7114">
        <v>2.5522770000000001</v>
      </c>
      <c r="V7114">
        <v>-0.17283499999999999</v>
      </c>
      <c r="W7114">
        <v>0.18767490000000001</v>
      </c>
      <c r="X7114">
        <v>0.96690549999999997</v>
      </c>
      <c r="Y7114">
        <v>-0.34130339999999998</v>
      </c>
      <c r="Z7114">
        <v>-9.5092820000000008E-3</v>
      </c>
      <c r="AA7114">
        <v>0.93990510000000005</v>
      </c>
      <c r="AB7114">
        <v>23</v>
      </c>
      <c r="AC7114">
        <v>13.699399999999899</v>
      </c>
      <c r="AD7114">
        <v>-1.1159235154639999</v>
      </c>
      <c r="AE7114">
        <v>19.49372</v>
      </c>
      <c r="AF7114">
        <v>-8.1826896510638907</v>
      </c>
      <c r="AG7114">
        <v>-1.1159235154639999</v>
      </c>
      <c r="AH7114">
        <v>22.321287385009299</v>
      </c>
      <c r="AI7114">
        <v>92.687439901580305</v>
      </c>
      <c r="AJ7114">
        <v>110.132270373368</v>
      </c>
      <c r="AK7114">
        <v>23.800032893720299</v>
      </c>
      <c r="AL7114">
        <v>79.182875264420701</v>
      </c>
      <c r="AM7114">
        <v>100.13462342197199</v>
      </c>
      <c r="AN7114">
        <v>1.00000002562262</v>
      </c>
    </row>
    <row r="7115" spans="1:40" x14ac:dyDescent="0.25">
      <c r="A7115" t="str">
        <f>"20190304155240498"</f>
        <v>20190304155240498</v>
      </c>
      <c r="B7115" t="str">
        <f>"1551685960493412"</f>
        <v>1551685960493412</v>
      </c>
      <c r="C7115" t="s">
        <v>40</v>
      </c>
      <c r="D7115">
        <v>4.7710109999999997</v>
      </c>
      <c r="E7115">
        <v>0.42720340000000001</v>
      </c>
      <c r="F7115" t="s">
        <v>41</v>
      </c>
      <c r="G7115">
        <v>-185.3038</v>
      </c>
      <c r="H7115" s="1">
        <v>-2.5053029999999998E-6</v>
      </c>
      <c r="I7115">
        <v>-36.661790000000003</v>
      </c>
      <c r="J7115">
        <v>-198.80160000000001</v>
      </c>
      <c r="K7115">
        <v>1.115917</v>
      </c>
      <c r="L7115">
        <v>-56.142209999999999</v>
      </c>
      <c r="M7115">
        <v>0.8189111</v>
      </c>
      <c r="N7115">
        <v>-1.4331740000000001E-2</v>
      </c>
      <c r="O7115">
        <v>0.57374139999999996</v>
      </c>
      <c r="P7115">
        <v>0.69641909999999996</v>
      </c>
      <c r="Q7115">
        <v>0.17556949999999999</v>
      </c>
      <c r="R7115">
        <v>0.69582749999999904</v>
      </c>
      <c r="S7115">
        <v>1.784027</v>
      </c>
      <c r="T7115">
        <v>-0.1464994</v>
      </c>
      <c r="U7115">
        <v>2.5665279999999999</v>
      </c>
      <c r="V7115">
        <v>-0.172679799999999</v>
      </c>
      <c r="W7115">
        <v>0.18725710000000001</v>
      </c>
      <c r="X7115">
        <v>0.96701420000000005</v>
      </c>
      <c r="Y7115">
        <v>-0.34480300000000003</v>
      </c>
      <c r="Z7115">
        <v>-9.7430729999999997E-3</v>
      </c>
      <c r="AA7115">
        <v>0.93862449999999997</v>
      </c>
      <c r="AB7115">
        <v>23</v>
      </c>
      <c r="AC7115">
        <v>13.4978</v>
      </c>
      <c r="AD7115">
        <v>-1.115919505303</v>
      </c>
      <c r="AE7115">
        <v>19.480419999999899</v>
      </c>
      <c r="AF7115">
        <v>-8.1911683408987006</v>
      </c>
      <c r="AG7115">
        <v>-1.115919505303</v>
      </c>
      <c r="AH7115">
        <v>22.183323351328401</v>
      </c>
      <c r="AI7115">
        <v>92.701791091576794</v>
      </c>
      <c r="AJ7115">
        <v>110.266613002662</v>
      </c>
      <c r="AK7115">
        <v>23.673621396838499</v>
      </c>
      <c r="AL7115">
        <v>79.207245206584901</v>
      </c>
      <c r="AM7115">
        <v>100.124596600251</v>
      </c>
      <c r="AN7115">
        <v>0.99999999891504499</v>
      </c>
    </row>
    <row r="7116" spans="1:40" x14ac:dyDescent="0.25">
      <c r="A7116" t="str">
        <f>"20190304155240510"</f>
        <v>20190304155240510</v>
      </c>
      <c r="B7116" t="str">
        <f>"1551685960504148"</f>
        <v>1551685960504148</v>
      </c>
      <c r="C7116" t="s">
        <v>40</v>
      </c>
      <c r="D7116">
        <v>4.7551930000000002</v>
      </c>
      <c r="E7116">
        <v>0.42720560000000002</v>
      </c>
      <c r="F7116" t="s">
        <v>41</v>
      </c>
      <c r="G7116">
        <v>-185.3844</v>
      </c>
      <c r="H7116" s="1">
        <v>-2.4828260000000001E-6</v>
      </c>
      <c r="I7116">
        <v>-36.664859999999997</v>
      </c>
      <c r="J7116">
        <v>-198.71350000000001</v>
      </c>
      <c r="K7116">
        <v>1.115909</v>
      </c>
      <c r="L7116">
        <v>-56.075069999999997</v>
      </c>
      <c r="M7116">
        <v>0.81653100000000001</v>
      </c>
      <c r="N7116">
        <v>-1.433133E-2</v>
      </c>
      <c r="O7116">
        <v>0.57712369999999902</v>
      </c>
      <c r="P7116">
        <v>0.69349039999999995</v>
      </c>
      <c r="Q7116">
        <v>0.17552019999999999</v>
      </c>
      <c r="R7116">
        <v>0.69875869999999995</v>
      </c>
      <c r="S7116">
        <v>1.7731169999999901</v>
      </c>
      <c r="T7116">
        <v>-0.1474712</v>
      </c>
      <c r="U7116">
        <v>2.5739749999999999</v>
      </c>
      <c r="V7116">
        <v>-0.17274879999999901</v>
      </c>
      <c r="W7116">
        <v>0.1872093</v>
      </c>
      <c r="X7116">
        <v>0.96701119999999996</v>
      </c>
      <c r="Y7116">
        <v>-0.34488839999999998</v>
      </c>
      <c r="Z7116">
        <v>-1.001147E-2</v>
      </c>
      <c r="AA7116">
        <v>0.93859029999999999</v>
      </c>
      <c r="AB7116">
        <v>23</v>
      </c>
      <c r="AC7116">
        <v>13.3291</v>
      </c>
      <c r="AD7116">
        <v>-1.1159114828259999</v>
      </c>
      <c r="AE7116">
        <v>19.410209999999999</v>
      </c>
      <c r="AF7116">
        <v>-8.1390555765404091</v>
      </c>
      <c r="AG7116">
        <v>-1.1159114828259999</v>
      </c>
      <c r="AH7116">
        <v>22.038484117263302</v>
      </c>
      <c r="AI7116">
        <v>92.719446642327995</v>
      </c>
      <c r="AJ7116">
        <v>110.269744954898</v>
      </c>
      <c r="AK7116">
        <v>23.5198696064069</v>
      </c>
      <c r="AL7116">
        <v>79.210033976176305</v>
      </c>
      <c r="AM7116">
        <v>100.12858925136599</v>
      </c>
      <c r="AN7116">
        <v>1.0000000654166801</v>
      </c>
    </row>
    <row r="7117" spans="1:40" x14ac:dyDescent="0.25">
      <c r="A7117" t="str">
        <f>"20190304155240519"</f>
        <v>20190304155240519</v>
      </c>
      <c r="B7117" t="str">
        <f>"1551685960513908"</f>
        <v>1551685960513908</v>
      </c>
      <c r="C7117" t="s">
        <v>40</v>
      </c>
      <c r="D7117">
        <v>4.7783980000000001</v>
      </c>
      <c r="E7117">
        <v>0.42721219999999999</v>
      </c>
      <c r="F7117" t="s">
        <v>41</v>
      </c>
      <c r="G7117">
        <v>-185.3783</v>
      </c>
      <c r="H7117" s="1">
        <v>-2.5264250000000001E-6</v>
      </c>
      <c r="I7117">
        <v>-36.541519999999998</v>
      </c>
      <c r="J7117">
        <v>-198.62450000000001</v>
      </c>
      <c r="K7117">
        <v>1.115899</v>
      </c>
      <c r="L7117">
        <v>-56.006469999999901</v>
      </c>
      <c r="M7117">
        <v>0.81410300000000002</v>
      </c>
      <c r="N7117">
        <v>-1.4330620000000001E-2</v>
      </c>
      <c r="O7117">
        <v>0.5805437</v>
      </c>
      <c r="P7117">
        <v>0.69042969999999904</v>
      </c>
      <c r="Q7117">
        <v>0.175452</v>
      </c>
      <c r="R7117">
        <v>0.70180019999999999</v>
      </c>
      <c r="S7117">
        <v>1.7622679999999999</v>
      </c>
      <c r="T7117">
        <v>-0.1474695</v>
      </c>
      <c r="U7117">
        <v>2.5813899999999999</v>
      </c>
      <c r="V7117">
        <v>-0.17292859999999999</v>
      </c>
      <c r="W7117">
        <v>0.18714140000000001</v>
      </c>
      <c r="X7117">
        <v>0.96699210000000002</v>
      </c>
      <c r="Y7117">
        <v>-0.34489900000000001</v>
      </c>
      <c r="Z7117">
        <v>-1.01504E-2</v>
      </c>
      <c r="AA7117">
        <v>0.93858490000000006</v>
      </c>
      <c r="AB7117">
        <v>23</v>
      </c>
      <c r="AC7117">
        <v>13.2462</v>
      </c>
      <c r="AD7117">
        <v>-1.1159015264250001</v>
      </c>
      <c r="AE7117">
        <v>19.464949999999899</v>
      </c>
      <c r="AF7117">
        <v>-8.1390308635521809</v>
      </c>
      <c r="AG7117">
        <v>-1.1159015264250001</v>
      </c>
      <c r="AH7117">
        <v>22.036791137286102</v>
      </c>
      <c r="AI7117">
        <v>92.719606971741001</v>
      </c>
      <c r="AJ7117">
        <v>110.271118910125</v>
      </c>
      <c r="AK7117">
        <v>23.5182742403201</v>
      </c>
      <c r="AL7117">
        <v>79.2139932337452</v>
      </c>
      <c r="AM7117">
        <v>100.139108784187</v>
      </c>
      <c r="AN7117">
        <v>0.99999996287716397</v>
      </c>
    </row>
    <row r="7118" spans="1:40" x14ac:dyDescent="0.25">
      <c r="A7118" t="str">
        <f>"20190304155240531"</f>
        <v>20190304155240531</v>
      </c>
      <c r="B7118" t="str">
        <f>"1551685960523668"</f>
        <v>1551685960523668</v>
      </c>
      <c r="C7118" t="s">
        <v>40</v>
      </c>
      <c r="D7118">
        <v>4.6698979999999999</v>
      </c>
      <c r="E7118">
        <v>0.42721219999999999</v>
      </c>
      <c r="F7118" t="s">
        <v>41</v>
      </c>
      <c r="G7118">
        <v>-185.39869999999999</v>
      </c>
      <c r="H7118" s="1">
        <v>-2.5517550000000001E-6</v>
      </c>
      <c r="I7118">
        <v>-36.45111</v>
      </c>
      <c r="J7118">
        <v>-198.5394</v>
      </c>
      <c r="K7118">
        <v>1.1158939999999999</v>
      </c>
      <c r="L7118">
        <v>-55.9405199999999</v>
      </c>
      <c r="M7118">
        <v>0.81176300000000001</v>
      </c>
      <c r="N7118">
        <v>-1.432987E-2</v>
      </c>
      <c r="O7118">
        <v>0.58381110000000003</v>
      </c>
      <c r="P7118">
        <v>0.68757309999999905</v>
      </c>
      <c r="Q7118">
        <v>0.17567530000000001</v>
      </c>
      <c r="R7118">
        <v>0.70454340000000004</v>
      </c>
      <c r="S7118">
        <v>1.7510220000000001</v>
      </c>
      <c r="T7118">
        <v>-0.14773919999999999</v>
      </c>
      <c r="U7118">
        <v>2.5890200000000001</v>
      </c>
      <c r="V7118">
        <v>-0.1729233</v>
      </c>
      <c r="W7118">
        <v>0.18736720000000001</v>
      </c>
      <c r="X7118">
        <v>0.96694930000000001</v>
      </c>
      <c r="Y7118">
        <v>-0.34520849999999997</v>
      </c>
      <c r="Z7118">
        <v>-1.031319E-2</v>
      </c>
      <c r="AA7118">
        <v>0.93846940000000001</v>
      </c>
      <c r="AB7118">
        <v>23</v>
      </c>
      <c r="AC7118">
        <v>13.140700000000001</v>
      </c>
      <c r="AD7118">
        <v>-1.1158965517549999</v>
      </c>
      <c r="AE7118">
        <v>19.4894099999999</v>
      </c>
      <c r="AF7118">
        <v>-8.1316060549320994</v>
      </c>
      <c r="AG7118">
        <v>-1.1158965517549999</v>
      </c>
      <c r="AH7118">
        <v>21.9979550274019</v>
      </c>
      <c r="AI7118">
        <v>92.724110778680696</v>
      </c>
      <c r="AJ7118">
        <v>110.286974950454</v>
      </c>
      <c r="AK7118">
        <v>23.479315738207202</v>
      </c>
      <c r="AL7118">
        <v>79.200822654384396</v>
      </c>
      <c r="AM7118">
        <v>100.139243945085</v>
      </c>
      <c r="AN7118">
        <v>0.99999994204460796</v>
      </c>
    </row>
    <row r="7119" spans="1:40" x14ac:dyDescent="0.25">
      <c r="A7119" t="str">
        <f>"20190304155240542"</f>
        <v>20190304155240542</v>
      </c>
      <c r="B7119" t="str">
        <f>"1551685960533427"</f>
        <v>1551685960533427</v>
      </c>
      <c r="C7119" t="s">
        <v>40</v>
      </c>
      <c r="D7119">
        <v>4.7746110000000002</v>
      </c>
      <c r="E7119">
        <v>0.42723090000000002</v>
      </c>
      <c r="F7119" t="s">
        <v>41</v>
      </c>
      <c r="G7119">
        <v>-185.32910000000001</v>
      </c>
      <c r="H7119" s="1">
        <v>-2.643462E-6</v>
      </c>
      <c r="I7119">
        <v>-36.236060000000002</v>
      </c>
      <c r="J7119">
        <v>-198.44900000000001</v>
      </c>
      <c r="K7119">
        <v>1.1158840000000001</v>
      </c>
      <c r="L7119">
        <v>-55.869660000000003</v>
      </c>
      <c r="M7119">
        <v>0.80925259999999999</v>
      </c>
      <c r="N7119">
        <v>-1.4328850000000001E-2</v>
      </c>
      <c r="O7119">
        <v>0.58728619999999898</v>
      </c>
      <c r="P7119">
        <v>0.68427329999999997</v>
      </c>
      <c r="Q7119">
        <v>0.17598939999999999</v>
      </c>
      <c r="R7119">
        <v>0.70767069999999999</v>
      </c>
      <c r="S7119">
        <v>1.7405090000000001</v>
      </c>
      <c r="T7119">
        <v>-0.14702319999999999</v>
      </c>
      <c r="U7119">
        <v>2.59613</v>
      </c>
      <c r="V7119">
        <v>-0.17323369999999999</v>
      </c>
      <c r="W7119">
        <v>0.1876787</v>
      </c>
      <c r="X7119">
        <v>0.96683339999999995</v>
      </c>
      <c r="Y7119">
        <v>-0.34499750000000001</v>
      </c>
      <c r="Z7119">
        <v>-1.0360050000000001E-2</v>
      </c>
      <c r="AA7119">
        <v>0.9385464</v>
      </c>
      <c r="AB7119">
        <v>23</v>
      </c>
      <c r="AC7119">
        <v>13.119899999999999</v>
      </c>
      <c r="AD7119">
        <v>-1.1158866434620001</v>
      </c>
      <c r="AE7119">
        <v>19.633600000000001</v>
      </c>
      <c r="AF7119">
        <v>-8.1660095932013199</v>
      </c>
      <c r="AG7119">
        <v>-1.1158866434620001</v>
      </c>
      <c r="AH7119">
        <v>22.1007742746323</v>
      </c>
      <c r="AI7119">
        <v>92.711575894851904</v>
      </c>
      <c r="AJ7119">
        <v>110.278754699497</v>
      </c>
      <c r="AK7119">
        <v>23.587563231829598</v>
      </c>
      <c r="AL7119">
        <v>79.182653499668902</v>
      </c>
      <c r="AM7119">
        <v>100.158257689618</v>
      </c>
      <c r="AN7119">
        <v>1.00000001630246</v>
      </c>
    </row>
    <row r="7120" spans="1:40" x14ac:dyDescent="0.25">
      <c r="A7120" t="str">
        <f>"20190304155240554"</f>
        <v>20190304155240554</v>
      </c>
      <c r="B7120" t="str">
        <f>"1551685960544164"</f>
        <v>1551685960544164</v>
      </c>
      <c r="C7120" t="s">
        <v>40</v>
      </c>
      <c r="D7120">
        <v>4.8046939999999996</v>
      </c>
      <c r="E7120">
        <v>0.42723090000000002</v>
      </c>
      <c r="F7120" t="s">
        <v>41</v>
      </c>
      <c r="G7120">
        <v>-185.24520000000001</v>
      </c>
      <c r="H7120" s="1">
        <v>-2.7510309999999998E-6</v>
      </c>
      <c r="I7120">
        <v>-35.985509999999998</v>
      </c>
      <c r="J7120">
        <v>-198.35720000000001</v>
      </c>
      <c r="K7120">
        <v>1.1158790000000001</v>
      </c>
      <c r="L7120">
        <v>-55.797089999999997</v>
      </c>
      <c r="M7120">
        <v>0.80667829999999996</v>
      </c>
      <c r="N7120">
        <v>-1.4327670000000001E-2</v>
      </c>
      <c r="O7120">
        <v>0.59081709999999998</v>
      </c>
      <c r="P7120">
        <v>0.68114390000000002</v>
      </c>
      <c r="Q7120">
        <v>0.17628659999999999</v>
      </c>
      <c r="R7120">
        <v>0.71060959999999995</v>
      </c>
      <c r="S7120">
        <v>1.7289890000000001</v>
      </c>
      <c r="T7120">
        <v>-0.14612149999999999</v>
      </c>
      <c r="U7120">
        <v>2.6037599999999999</v>
      </c>
      <c r="V7120">
        <v>-0.1732148</v>
      </c>
      <c r="W7120">
        <v>0.18797839999999999</v>
      </c>
      <c r="X7120">
        <v>0.96677849999999999</v>
      </c>
      <c r="Y7120">
        <v>-0.34504659999999998</v>
      </c>
      <c r="Z7120">
        <v>-1.037458E-2</v>
      </c>
      <c r="AA7120">
        <v>0.93852820000000003</v>
      </c>
      <c r="AB7120">
        <v>23</v>
      </c>
      <c r="AC7120">
        <v>13.111999999999901</v>
      </c>
      <c r="AD7120">
        <v>-1.115881751031</v>
      </c>
      <c r="AE7120">
        <v>19.811579999999999</v>
      </c>
      <c r="AF7120">
        <v>-8.2174943095939597</v>
      </c>
      <c r="AG7120">
        <v>-1.115881751031</v>
      </c>
      <c r="AH7120">
        <v>22.235419182071301</v>
      </c>
      <c r="AI7120">
        <v>92.695100370662203</v>
      </c>
      <c r="AJ7120">
        <v>110.282687830002</v>
      </c>
      <c r="AK7120">
        <v>23.731545904405799</v>
      </c>
      <c r="AL7120">
        <v>79.165170143590103</v>
      </c>
      <c r="AM7120">
        <v>100.15773726814</v>
      </c>
      <c r="AN7120">
        <v>0.99999995693392396</v>
      </c>
    </row>
    <row r="7121" spans="1:40" x14ac:dyDescent="0.25">
      <c r="A7121" t="str">
        <f>"20190304155240566"</f>
        <v>20190304155240566</v>
      </c>
      <c r="B7121" t="str">
        <f>"1551685960563684"</f>
        <v>1551685960563684</v>
      </c>
      <c r="C7121" t="s">
        <v>40</v>
      </c>
      <c r="D7121">
        <v>4.9941589999999998</v>
      </c>
      <c r="E7121">
        <v>0.4272589</v>
      </c>
      <c r="F7121" t="s">
        <v>41</v>
      </c>
      <c r="G7121">
        <v>-185.16829999999999</v>
      </c>
      <c r="H7121" s="1">
        <v>-2.8522419999999999E-6</v>
      </c>
      <c r="I7121">
        <v>-35.748280000000001</v>
      </c>
      <c r="J7121">
        <v>-198.2578</v>
      </c>
      <c r="K7121">
        <v>1.1158680000000001</v>
      </c>
      <c r="L7121">
        <v>-55.71799</v>
      </c>
      <c r="M7121">
        <v>0.80386880000000005</v>
      </c>
      <c r="N7121">
        <v>-1.432631E-2</v>
      </c>
      <c r="O7121">
        <v>0.59463409999999906</v>
      </c>
      <c r="P7121">
        <v>0.67759749999999996</v>
      </c>
      <c r="Q7121">
        <v>0.1768024</v>
      </c>
      <c r="R7121">
        <v>0.71386459999999996</v>
      </c>
      <c r="S7121">
        <v>1.717773</v>
      </c>
      <c r="T7121">
        <v>-0.14533689999999999</v>
      </c>
      <c r="U7121">
        <v>2.611237</v>
      </c>
      <c r="V7121">
        <v>-0.17334530000000001</v>
      </c>
      <c r="W7121">
        <v>0.18849450000000001</v>
      </c>
      <c r="X7121">
        <v>0.96665469999999998</v>
      </c>
      <c r="Y7121">
        <v>-0.344647599999999</v>
      </c>
      <c r="Z7121">
        <v>-1.0426960000000001E-2</v>
      </c>
      <c r="AA7121">
        <v>0.93867420000000001</v>
      </c>
      <c r="AB7121">
        <v>23</v>
      </c>
      <c r="AC7121">
        <v>13.089499999999999</v>
      </c>
      <c r="AD7121">
        <v>-1.115870852242</v>
      </c>
      <c r="AE7121">
        <v>19.969709999999999</v>
      </c>
      <c r="AF7121">
        <v>-8.2523890607380395</v>
      </c>
      <c r="AG7121">
        <v>-1.115870852242</v>
      </c>
      <c r="AH7121">
        <v>22.3503960089974</v>
      </c>
      <c r="AI7121">
        <v>92.681525954960307</v>
      </c>
      <c r="AJ7121">
        <v>110.265551170835</v>
      </c>
      <c r="AK7121">
        <v>23.851358341354</v>
      </c>
      <c r="AL7121">
        <v>79.135062466966104</v>
      </c>
      <c r="AM7121">
        <v>100.16650529501401</v>
      </c>
      <c r="AN7121">
        <v>1.0000000392972099</v>
      </c>
    </row>
    <row r="7122" spans="1:40" x14ac:dyDescent="0.25">
      <c r="A7122" t="str">
        <f>"20190304155240577"</f>
        <v>20190304155240577</v>
      </c>
      <c r="B7122" t="str">
        <f>"1551685960573952"</f>
        <v>1551685960573952</v>
      </c>
      <c r="C7122" t="s">
        <v>40</v>
      </c>
      <c r="D7122">
        <v>4.7985740000000003</v>
      </c>
      <c r="E7122">
        <v>0.4272609</v>
      </c>
      <c r="F7122" t="s">
        <v>41</v>
      </c>
      <c r="G7122">
        <v>-185.01509999999999</v>
      </c>
      <c r="H7122" s="1">
        <v>-3.0267210000000001E-6</v>
      </c>
      <c r="I7122">
        <v>-35.373019999999997</v>
      </c>
      <c r="J7122">
        <v>-198.17269999999999</v>
      </c>
      <c r="K7122">
        <v>1.1158619999999999</v>
      </c>
      <c r="L7122">
        <v>-55.649290000000001</v>
      </c>
      <c r="M7122">
        <v>0.80143750000000002</v>
      </c>
      <c r="N7122">
        <v>-1.4324959999999999E-2</v>
      </c>
      <c r="O7122">
        <v>0.59790710000000002</v>
      </c>
      <c r="P7122">
        <v>0.67475719999999995</v>
      </c>
      <c r="Q7122">
        <v>0.17676</v>
      </c>
      <c r="R7122">
        <v>0.71656019999999998</v>
      </c>
      <c r="S7122">
        <v>1.705109</v>
      </c>
      <c r="T7122">
        <v>-0.14367849999999999</v>
      </c>
      <c r="U7122">
        <v>2.6195979999999999</v>
      </c>
      <c r="V7122">
        <v>-0.1732457</v>
      </c>
      <c r="W7122">
        <v>0.1884556</v>
      </c>
      <c r="X7122">
        <v>0.96668010000000004</v>
      </c>
      <c r="Y7122">
        <v>-0.34537830000000003</v>
      </c>
      <c r="Z7122">
        <v>-1.0298389999999999E-2</v>
      </c>
      <c r="AA7122">
        <v>0.93840710000000005</v>
      </c>
      <c r="AB7122">
        <v>23</v>
      </c>
      <c r="AC7122">
        <v>13.1576</v>
      </c>
      <c r="AD7122">
        <v>-1.115865026721</v>
      </c>
      <c r="AE7122">
        <v>20.27627</v>
      </c>
      <c r="AF7122">
        <v>-8.3661702112337402</v>
      </c>
      <c r="AG7122">
        <v>-1.115865026721</v>
      </c>
      <c r="AH7122">
        <v>22.622431076846301</v>
      </c>
      <c r="AI7122">
        <v>92.648805886116804</v>
      </c>
      <c r="AJ7122">
        <v>110.295274257532</v>
      </c>
      <c r="AK7122">
        <v>24.145648605656799</v>
      </c>
      <c r="AL7122">
        <v>79.137331522408999</v>
      </c>
      <c r="AM7122">
        <v>100.160524188322</v>
      </c>
      <c r="AN7122">
        <v>1.0000000007379299</v>
      </c>
    </row>
    <row r="7123" spans="1:40" x14ac:dyDescent="0.25">
      <c r="A7123" t="str">
        <f>"20190304155240588"</f>
        <v>20190304155240588</v>
      </c>
      <c r="B7123" t="str">
        <f>"1551685960583712"</f>
        <v>1551685960583712</v>
      </c>
      <c r="C7123" t="s">
        <v>40</v>
      </c>
      <c r="D7123">
        <v>4.7297349999999998</v>
      </c>
      <c r="E7123">
        <v>0.4272609</v>
      </c>
      <c r="F7123" t="s">
        <v>41</v>
      </c>
      <c r="G7123">
        <v>-185.00120000000001</v>
      </c>
      <c r="H7123" s="1">
        <v>-3.0888820000000001E-6</v>
      </c>
      <c r="I7123">
        <v>-35.233870000000003</v>
      </c>
      <c r="J7123">
        <v>-198.08940000000001</v>
      </c>
      <c r="K7123">
        <v>1.1158520000000001</v>
      </c>
      <c r="L7123">
        <v>-55.581879999999998</v>
      </c>
      <c r="M7123">
        <v>0.79904039999999998</v>
      </c>
      <c r="N7123">
        <v>-1.432367E-2</v>
      </c>
      <c r="O7123">
        <v>0.60110680000000005</v>
      </c>
      <c r="P7123">
        <v>0.67188950000000003</v>
      </c>
      <c r="Q7123">
        <v>0.17707779999999901</v>
      </c>
      <c r="R7123">
        <v>0.71917169999999997</v>
      </c>
      <c r="S7123">
        <v>1.694504</v>
      </c>
      <c r="T7123">
        <v>-0.1435555</v>
      </c>
      <c r="U7123">
        <v>2.6264340000000002</v>
      </c>
      <c r="V7123">
        <v>-0.1731791</v>
      </c>
      <c r="W7123">
        <v>0.18877630000000001</v>
      </c>
      <c r="X7123">
        <v>0.96662939999999997</v>
      </c>
      <c r="Y7123">
        <v>-0.34541539999999998</v>
      </c>
      <c r="Z7123">
        <v>-1.040744E-2</v>
      </c>
      <c r="AA7123">
        <v>0.93839220000000001</v>
      </c>
      <c r="AB7123">
        <v>23</v>
      </c>
      <c r="AC7123">
        <v>13.088200000000001</v>
      </c>
      <c r="AD7123">
        <v>-1.115855088882</v>
      </c>
      <c r="AE7123">
        <v>20.348009999999999</v>
      </c>
      <c r="AF7123">
        <v>-8.3745223457546096</v>
      </c>
      <c r="AG7123">
        <v>-1.115855088882</v>
      </c>
      <c r="AH7123">
        <v>22.6434874507502</v>
      </c>
      <c r="AI7123">
        <v>92.6463012512136</v>
      </c>
      <c r="AJ7123">
        <v>110.296532155715</v>
      </c>
      <c r="AK7123">
        <v>24.168270129059898</v>
      </c>
      <c r="AL7123">
        <v>79.118620308954604</v>
      </c>
      <c r="AM7123">
        <v>100.157221187777</v>
      </c>
      <c r="AN7123">
        <v>0.99999994453142804</v>
      </c>
    </row>
    <row r="7124" spans="1:40" x14ac:dyDescent="0.25">
      <c r="A7124" t="str">
        <f>"20190304155240599"</f>
        <v>20190304155240599</v>
      </c>
      <c r="B7124" t="str">
        <f>"1551685960593472"</f>
        <v>1551685960593472</v>
      </c>
      <c r="C7124" t="s">
        <v>40</v>
      </c>
      <c r="D7124">
        <v>4.8179720000000001</v>
      </c>
      <c r="E7124">
        <v>0.42728440000000001</v>
      </c>
      <c r="F7124" t="s">
        <v>41</v>
      </c>
      <c r="G7124">
        <v>-184.9075</v>
      </c>
      <c r="H7124" s="1">
        <v>-3.2167649999999999E-6</v>
      </c>
      <c r="I7124">
        <v>-34.974530000000001</v>
      </c>
      <c r="J7124">
        <v>-198.00319999999999</v>
      </c>
      <c r="K7124">
        <v>1.115842</v>
      </c>
      <c r="L7124">
        <v>-55.511229999999998</v>
      </c>
      <c r="M7124">
        <v>0.79653699999999905</v>
      </c>
      <c r="N7124">
        <v>-1.4322140000000001E-2</v>
      </c>
      <c r="O7124">
        <v>0.60442010000000002</v>
      </c>
      <c r="P7124">
        <v>0.66894849999999995</v>
      </c>
      <c r="Q7124">
        <v>0.1771681</v>
      </c>
      <c r="R7124">
        <v>0.72188599999999903</v>
      </c>
      <c r="S7124">
        <v>1.68428</v>
      </c>
      <c r="T7124">
        <v>-0.14257590000000001</v>
      </c>
      <c r="U7124">
        <v>2.633057</v>
      </c>
      <c r="V7124">
        <v>-0.17308970000000001</v>
      </c>
      <c r="W7124">
        <v>0.18887000000000001</v>
      </c>
      <c r="X7124">
        <v>0.96662720000000002</v>
      </c>
      <c r="Y7124">
        <v>-0.3451767</v>
      </c>
      <c r="Z7124">
        <v>-1.040131E-2</v>
      </c>
      <c r="AA7124">
        <v>0.93848010000000004</v>
      </c>
      <c r="AB7124">
        <v>23</v>
      </c>
      <c r="AC7124">
        <v>13.0956999999999</v>
      </c>
      <c r="AD7124">
        <v>-1.1158452167649999</v>
      </c>
      <c r="AE7124">
        <v>20.5367</v>
      </c>
      <c r="AF7124">
        <v>-8.4261186732337006</v>
      </c>
      <c r="AG7124">
        <v>-1.1158452167649999</v>
      </c>
      <c r="AH7124">
        <v>22.798498331274001</v>
      </c>
      <c r="AI7124">
        <v>92.628525382338793</v>
      </c>
      <c r="AJ7124">
        <v>110.28385631460699</v>
      </c>
      <c r="AK7124">
        <v>24.331381230918598</v>
      </c>
      <c r="AL7124">
        <v>79.113154318553001</v>
      </c>
      <c r="AM7124">
        <v>100.152109451851</v>
      </c>
      <c r="AN7124">
        <v>1.0000000324629601</v>
      </c>
    </row>
    <row r="7125" spans="1:40" x14ac:dyDescent="0.25">
      <c r="A7125" t="str">
        <f>"20190304155240610"</f>
        <v>20190304155240610</v>
      </c>
      <c r="B7125" t="str">
        <f>"1551685960604208"</f>
        <v>1551685960604208</v>
      </c>
      <c r="C7125" t="s">
        <v>40</v>
      </c>
      <c r="D7125">
        <v>4.8025260000000003</v>
      </c>
      <c r="E7125">
        <v>0.42730499999999999</v>
      </c>
      <c r="F7125" t="s">
        <v>41</v>
      </c>
      <c r="G7125">
        <v>-184.86770000000001</v>
      </c>
      <c r="H7125" s="1">
        <v>-3.3021900000000001E-6</v>
      </c>
      <c r="I7125">
        <v>-34.791870000000003</v>
      </c>
      <c r="J7125">
        <v>-197.9196</v>
      </c>
      <c r="K7125">
        <v>1.115834</v>
      </c>
      <c r="L7125">
        <v>-55.442320000000002</v>
      </c>
      <c r="M7125">
        <v>0.79408900000000004</v>
      </c>
      <c r="N7125">
        <v>-1.4320660000000001E-2</v>
      </c>
      <c r="O7125">
        <v>0.60763279999999997</v>
      </c>
      <c r="P7125">
        <v>0.66613149999999999</v>
      </c>
      <c r="Q7125">
        <v>0.17756350000000001</v>
      </c>
      <c r="R7125">
        <v>0.72438950000000002</v>
      </c>
      <c r="S7125">
        <v>1.6735690000000001</v>
      </c>
      <c r="T7125">
        <v>-0.14216699999999999</v>
      </c>
      <c r="U7125">
        <v>2.6398009999999998</v>
      </c>
      <c r="V7125">
        <v>-0.17287379999999999</v>
      </c>
      <c r="W7125">
        <v>0.18926989999999999</v>
      </c>
      <c r="X7125">
        <v>0.96658759999999999</v>
      </c>
      <c r="Y7125">
        <v>-0.34518759999999998</v>
      </c>
      <c r="Z7125">
        <v>-1.046823E-2</v>
      </c>
      <c r="AA7125">
        <v>0.93847539999999996</v>
      </c>
      <c r="AB7125">
        <v>23</v>
      </c>
      <c r="AC7125">
        <v>13.0518999999999</v>
      </c>
      <c r="AD7125">
        <v>-1.1158373021899901</v>
      </c>
      <c r="AE7125">
        <v>20.6504499999999</v>
      </c>
      <c r="AF7125">
        <v>-8.4507699867592194</v>
      </c>
      <c r="AG7125">
        <v>-1.1158373021899901</v>
      </c>
      <c r="AH7125">
        <v>22.866902960049199</v>
      </c>
      <c r="AI7125">
        <v>92.620678221833401</v>
      </c>
      <c r="AJ7125">
        <v>110.28246654991599</v>
      </c>
      <c r="AK7125">
        <v>24.404013137973401</v>
      </c>
      <c r="AL7125">
        <v>79.089820716892902</v>
      </c>
      <c r="AM7125">
        <v>100.14011611414099</v>
      </c>
      <c r="AN7125">
        <v>1.0000000171231</v>
      </c>
    </row>
    <row r="7126" spans="1:40" x14ac:dyDescent="0.25">
      <c r="A7126" t="str">
        <f>"20190304155240620"</f>
        <v>20190304155240620</v>
      </c>
      <c r="B7126" t="str">
        <f>"1551685960613968"</f>
        <v>1551685960613968</v>
      </c>
      <c r="C7126" t="s">
        <v>40</v>
      </c>
      <c r="D7126">
        <v>4.813078</v>
      </c>
      <c r="E7126">
        <v>0.42733369999999998</v>
      </c>
      <c r="F7126" t="s">
        <v>41</v>
      </c>
      <c r="G7126">
        <v>-184.73949999999999</v>
      </c>
      <c r="H7126" s="1">
        <v>-3.460363E-6</v>
      </c>
      <c r="I7126">
        <v>-34.476140000000001</v>
      </c>
      <c r="J7126">
        <v>-197.8365</v>
      </c>
      <c r="K7126">
        <v>1.115829</v>
      </c>
      <c r="L7126">
        <v>-55.373109999999997</v>
      </c>
      <c r="M7126">
        <v>0.79163359999999905</v>
      </c>
      <c r="N7126">
        <v>-1.431905E-2</v>
      </c>
      <c r="O7126">
        <v>0.61082829999999999</v>
      </c>
      <c r="P7126">
        <v>0.66326370000000001</v>
      </c>
      <c r="Q7126">
        <v>0.17791460000000001</v>
      </c>
      <c r="R7126">
        <v>0.72693030000000003</v>
      </c>
      <c r="S7126">
        <v>1.663513</v>
      </c>
      <c r="T7126">
        <v>-0.14083499999999999</v>
      </c>
      <c r="U7126">
        <v>2.6462400000000001</v>
      </c>
      <c r="V7126">
        <v>-0.17272999999999999</v>
      </c>
      <c r="W7126">
        <v>0.1896243</v>
      </c>
      <c r="X7126">
        <v>0.96654390000000001</v>
      </c>
      <c r="Y7126">
        <v>-0.34499200000000002</v>
      </c>
      <c r="Z7126">
        <v>-1.039971E-2</v>
      </c>
      <c r="AA7126">
        <v>0.93854800000000005</v>
      </c>
      <c r="AB7126">
        <v>23</v>
      </c>
      <c r="AC7126">
        <v>13.097</v>
      </c>
      <c r="AD7126">
        <v>-1.1158324603630001</v>
      </c>
      <c r="AE7126">
        <v>20.89697</v>
      </c>
      <c r="AF7126">
        <v>-8.5261472875806508</v>
      </c>
      <c r="AG7126">
        <v>-1.1158324603630001</v>
      </c>
      <c r="AH7126">
        <v>23.087594896216402</v>
      </c>
      <c r="AI7126">
        <v>92.595876248037001</v>
      </c>
      <c r="AJ7126">
        <v>110.26896645081101</v>
      </c>
      <c r="AK7126">
        <v>24.636909460013801</v>
      </c>
      <c r="AL7126">
        <v>79.069141172865599</v>
      </c>
      <c r="AM7126">
        <v>100.13230476559499</v>
      </c>
      <c r="AN7126">
        <v>1.00000006933884</v>
      </c>
    </row>
    <row r="7127" spans="1:40" x14ac:dyDescent="0.25">
      <c r="A7127" t="str">
        <f>"20190304155240633"</f>
        <v>20190304155240633</v>
      </c>
      <c r="B7127" t="str">
        <f>"1551685960623727"</f>
        <v>1551685960623727</v>
      </c>
      <c r="C7127" t="s">
        <v>40</v>
      </c>
      <c r="D7127">
        <v>4.8070430000000002</v>
      </c>
      <c r="E7127">
        <v>0.42737649999999999</v>
      </c>
      <c r="F7127" t="s">
        <v>41</v>
      </c>
      <c r="G7127">
        <v>-184.64349999999999</v>
      </c>
      <c r="H7127" s="1">
        <v>-3.5921549999999999E-6</v>
      </c>
      <c r="I7127">
        <v>-34.208659999999902</v>
      </c>
      <c r="J7127">
        <v>-197.74760000000001</v>
      </c>
      <c r="K7127">
        <v>1.115828</v>
      </c>
      <c r="L7127">
        <v>-55.298520000000003</v>
      </c>
      <c r="M7127">
        <v>0.7889853</v>
      </c>
      <c r="N7127">
        <v>-1.43173E-2</v>
      </c>
      <c r="O7127">
        <v>0.61424540000000005</v>
      </c>
      <c r="P7127">
        <v>0.66015449999999998</v>
      </c>
      <c r="Q7127">
        <v>0.178178799999999</v>
      </c>
      <c r="R7127">
        <v>0.72969059999999997</v>
      </c>
      <c r="S7127">
        <v>1.6534580000000001</v>
      </c>
      <c r="T7127">
        <v>-0.139845</v>
      </c>
      <c r="U7127">
        <v>2.6524960000000002</v>
      </c>
      <c r="V7127">
        <v>-0.172625</v>
      </c>
      <c r="W7127">
        <v>0.18989120000000001</v>
      </c>
      <c r="X7127">
        <v>0.96651019999999999</v>
      </c>
      <c r="Y7127">
        <v>-0.34449190000000002</v>
      </c>
      <c r="Z7127">
        <v>-1.0397109999999999E-2</v>
      </c>
      <c r="AA7127">
        <v>0.93873169999999995</v>
      </c>
      <c r="AB7127">
        <v>23</v>
      </c>
      <c r="AC7127">
        <v>13.104100000000001</v>
      </c>
      <c r="AD7127">
        <v>-1.1158315921549999</v>
      </c>
      <c r="AE7127">
        <v>21.089860000000002</v>
      </c>
      <c r="AF7127">
        <v>-8.5740200502515798</v>
      </c>
      <c r="AG7127">
        <v>-1.1158315921549999</v>
      </c>
      <c r="AH7127">
        <v>23.248724157194101</v>
      </c>
      <c r="AI7127">
        <v>92.578325826612996</v>
      </c>
      <c r="AJ7127">
        <v>110.243736932681</v>
      </c>
      <c r="AK7127">
        <v>24.8044769124742</v>
      </c>
      <c r="AL7127">
        <v>79.053565314146894</v>
      </c>
      <c r="AM7127">
        <v>100.126618759972</v>
      </c>
      <c r="AN7127">
        <v>1.00000001258324</v>
      </c>
    </row>
    <row r="7128" spans="1:40" x14ac:dyDescent="0.25">
      <c r="A7128" t="str">
        <f>"20190304155240646"</f>
        <v>20190304155240646</v>
      </c>
      <c r="B7128" t="str">
        <f>"1551685960633488"</f>
        <v>1551685960633488</v>
      </c>
      <c r="C7128" t="s">
        <v>40</v>
      </c>
      <c r="D7128">
        <v>4.7966449999999998</v>
      </c>
      <c r="E7128">
        <v>0.42743239999999999</v>
      </c>
      <c r="F7128" t="s">
        <v>41</v>
      </c>
      <c r="G7128">
        <v>-184.5823</v>
      </c>
      <c r="H7128" s="1">
        <v>-3.6985880000000001E-6</v>
      </c>
      <c r="I7128">
        <v>-33.985859999999903</v>
      </c>
      <c r="J7128">
        <v>-197.6456</v>
      </c>
      <c r="K7128">
        <v>1.11582</v>
      </c>
      <c r="L7128">
        <v>-55.21219</v>
      </c>
      <c r="M7128">
        <v>0.78591560000000005</v>
      </c>
      <c r="N7128">
        <v>-1.431525E-2</v>
      </c>
      <c r="O7128">
        <v>0.6181681</v>
      </c>
      <c r="P7128">
        <v>0.65651890000000002</v>
      </c>
      <c r="Q7128">
        <v>0.17852100000000001</v>
      </c>
      <c r="R7128">
        <v>0.73288019999999998</v>
      </c>
      <c r="S7128">
        <v>1.6426540000000001</v>
      </c>
      <c r="T7128">
        <v>-0.13922379999999901</v>
      </c>
      <c r="U7128">
        <v>2.6592099999999999</v>
      </c>
      <c r="V7128">
        <v>-0.172548799999999</v>
      </c>
      <c r="W7128">
        <v>0.19023670000000001</v>
      </c>
      <c r="X7128">
        <v>0.96645590000000003</v>
      </c>
      <c r="Y7128">
        <v>-0.34363779999999999</v>
      </c>
      <c r="Z7128">
        <v>-1.047678E-2</v>
      </c>
      <c r="AA7128">
        <v>0.93904379999999998</v>
      </c>
      <c r="AB7128">
        <v>23</v>
      </c>
      <c r="AC7128">
        <v>13.0632999999999</v>
      </c>
      <c r="AD7128">
        <v>-1.1158236985879999</v>
      </c>
      <c r="AE7128">
        <v>21.226330000000001</v>
      </c>
      <c r="AF7128">
        <v>-8.5904527740368692</v>
      </c>
      <c r="AG7128">
        <v>-1.1158236985879999</v>
      </c>
      <c r="AH7128">
        <v>23.343700533307501</v>
      </c>
      <c r="AI7128">
        <v>92.568494220538696</v>
      </c>
      <c r="AJ7128">
        <v>110.203552431047</v>
      </c>
      <c r="AK7128">
        <v>24.899182636745898</v>
      </c>
      <c r="AL7128">
        <v>79.033402480319396</v>
      </c>
      <c r="AM7128">
        <v>100.122798080845</v>
      </c>
      <c r="AN7128">
        <v>1.0000000485265601</v>
      </c>
    </row>
    <row r="7129" spans="1:40" x14ac:dyDescent="0.25">
      <c r="A7129" t="str">
        <f>"20190304155240659"</f>
        <v>20190304155240659</v>
      </c>
      <c r="B7129" t="str">
        <f>"1551685960653983"</f>
        <v>1551685960653983</v>
      </c>
      <c r="C7129" t="s">
        <v>40</v>
      </c>
      <c r="D7129">
        <v>4.7135689999999997</v>
      </c>
      <c r="E7129">
        <v>0.42749110000000001</v>
      </c>
      <c r="F7129" t="s">
        <v>41</v>
      </c>
      <c r="G7129">
        <v>-184.52019999999999</v>
      </c>
      <c r="H7129" s="1">
        <v>-3.8159350000000001E-6</v>
      </c>
      <c r="I7129">
        <v>-33.73798</v>
      </c>
      <c r="J7129">
        <v>-197.547</v>
      </c>
      <c r="K7129">
        <v>1.115812</v>
      </c>
      <c r="L7129">
        <v>-55.127659999999999</v>
      </c>
      <c r="M7129">
        <v>0.78291509999999997</v>
      </c>
      <c r="N7129">
        <v>-1.431322E-2</v>
      </c>
      <c r="O7129">
        <v>0.62196390000000001</v>
      </c>
      <c r="P7129">
        <v>0.65288429999999997</v>
      </c>
      <c r="Q7129">
        <v>0.17877760000000001</v>
      </c>
      <c r="R7129">
        <v>0.73605759999999998</v>
      </c>
      <c r="S7129">
        <v>1.6300809999999999</v>
      </c>
      <c r="T7129">
        <v>-0.13857829999999999</v>
      </c>
      <c r="U7129">
        <v>2.6669619999999998</v>
      </c>
      <c r="V7129">
        <v>-0.17260500000000001</v>
      </c>
      <c r="W7129">
        <v>0.1904932</v>
      </c>
      <c r="X7129">
        <v>0.96639529999999996</v>
      </c>
      <c r="Y7129">
        <v>-0.34353280000000003</v>
      </c>
      <c r="Z7129">
        <v>-1.0527099999999999E-2</v>
      </c>
      <c r="AA7129">
        <v>0.93908170000000002</v>
      </c>
      <c r="AB7129">
        <v>23</v>
      </c>
      <c r="AC7129">
        <v>13.0268</v>
      </c>
      <c r="AD7129">
        <v>-1.115815815935</v>
      </c>
      <c r="AE7129">
        <v>21.389679999999998</v>
      </c>
      <c r="AF7129">
        <v>-8.6278630449107503</v>
      </c>
      <c r="AG7129">
        <v>-1.115815815935</v>
      </c>
      <c r="AH7129">
        <v>23.458329287161199</v>
      </c>
      <c r="AI7129">
        <v>92.556110264698106</v>
      </c>
      <c r="AJ7129">
        <v>110.193284451485</v>
      </c>
      <c r="AK7129">
        <v>25.019557921788198</v>
      </c>
      <c r="AL7129">
        <v>79.018431938835406</v>
      </c>
      <c r="AM7129">
        <v>100.126648745107</v>
      </c>
      <c r="AN7129">
        <v>1.00000001056666</v>
      </c>
    </row>
    <row r="7130" spans="1:40" x14ac:dyDescent="0.25">
      <c r="A7130" t="str">
        <f>"20190304155240677"</f>
        <v>20190304155240677</v>
      </c>
      <c r="B7130" t="str">
        <f>"1551685960674070"</f>
        <v>1551685960674070</v>
      </c>
      <c r="C7130" t="s">
        <v>40</v>
      </c>
      <c r="D7130">
        <v>4.6857680000000004</v>
      </c>
      <c r="E7130">
        <v>0.4412934</v>
      </c>
      <c r="F7130" t="s">
        <v>41</v>
      </c>
      <c r="G7130">
        <v>-184.505</v>
      </c>
      <c r="H7130" s="1">
        <v>-3.8926919999999998E-6</v>
      </c>
      <c r="I7130">
        <v>-33.565359999999998</v>
      </c>
      <c r="J7130">
        <v>-197.40530000000001</v>
      </c>
      <c r="K7130">
        <v>1.115802</v>
      </c>
      <c r="L7130">
        <v>-55.005040000000001</v>
      </c>
      <c r="M7130">
        <v>0.77855390000000002</v>
      </c>
      <c r="N7130">
        <v>-1.4310299999999899E-2</v>
      </c>
      <c r="O7130">
        <v>0.62741449999999999</v>
      </c>
      <c r="P7130">
        <v>0.647478</v>
      </c>
      <c r="Q7130">
        <v>0.17917930000000001</v>
      </c>
      <c r="R7130">
        <v>0.74072059999999995</v>
      </c>
      <c r="S7130">
        <v>1.6176759999999999</v>
      </c>
      <c r="T7130">
        <v>-0.1384013</v>
      </c>
      <c r="U7130">
        <v>2.6745000000000001</v>
      </c>
      <c r="V7130">
        <v>-0.17285719999999999</v>
      </c>
      <c r="W7130">
        <v>0.19089339999999999</v>
      </c>
      <c r="X7130">
        <v>0.9662712</v>
      </c>
      <c r="Y7130">
        <v>-0.34134130000000001</v>
      </c>
      <c r="Z7130">
        <v>-1.076531E-2</v>
      </c>
      <c r="AA7130">
        <v>0.93987779999999999</v>
      </c>
      <c r="AB7130">
        <v>23</v>
      </c>
      <c r="AC7130">
        <v>12.9003</v>
      </c>
      <c r="AD7130">
        <v>-1.115805892692</v>
      </c>
      <c r="AE7130">
        <v>21.439679999999999</v>
      </c>
      <c r="AF7130">
        <v>-8.5819260028452895</v>
      </c>
      <c r="AG7130">
        <v>-1.115805892692</v>
      </c>
      <c r="AH7130">
        <v>23.450917402829699</v>
      </c>
      <c r="AI7130">
        <v>92.558416225429298</v>
      </c>
      <c r="AJ7130">
        <v>110.100234646639</v>
      </c>
      <c r="AK7130">
        <v>24.996799870039801</v>
      </c>
      <c r="AL7130">
        <v>78.995073046313806</v>
      </c>
      <c r="AM7130">
        <v>100.142413722434</v>
      </c>
      <c r="AN7130">
        <v>0.99999996685241899</v>
      </c>
    </row>
    <row r="7131" spans="1:40" x14ac:dyDescent="0.25">
      <c r="A7131" t="str">
        <f>"20190304155240690"</f>
        <v>20190304155240690</v>
      </c>
      <c r="B7131" t="str">
        <f>"1551685960683831"</f>
        <v>1551685960683831</v>
      </c>
      <c r="C7131" t="s">
        <v>40</v>
      </c>
      <c r="D7131">
        <v>4.8154399999999997</v>
      </c>
      <c r="E7131">
        <v>0.4412934</v>
      </c>
      <c r="F7131" t="s">
        <v>77</v>
      </c>
      <c r="G7131">
        <v>-189.0883</v>
      </c>
      <c r="H7131" s="1">
        <v>-7.0459899999999899E-6</v>
      </c>
      <c r="I7131">
        <v>-42.116129999999998</v>
      </c>
      <c r="J7131">
        <v>-197.31319999999999</v>
      </c>
      <c r="K7131">
        <v>1.1157919999999999</v>
      </c>
      <c r="L7131">
        <v>-54.9244699999999</v>
      </c>
      <c r="M7131">
        <v>0.77568490000000001</v>
      </c>
      <c r="N7131">
        <v>-1.4308400000000001E-2</v>
      </c>
      <c r="O7131">
        <v>0.63095809999999997</v>
      </c>
      <c r="P7131">
        <v>0.64394609999999997</v>
      </c>
      <c r="Q7131">
        <v>0.1792078</v>
      </c>
      <c r="R7131">
        <v>0.74378630000000001</v>
      </c>
      <c r="S7131">
        <v>1.6936340000000001</v>
      </c>
      <c r="T7131">
        <v>-0.2272178</v>
      </c>
      <c r="U7131">
        <v>2.6246339999999999</v>
      </c>
      <c r="V7131">
        <v>-0.1730401</v>
      </c>
      <c r="W7131">
        <v>0.19092100000000001</v>
      </c>
      <c r="X7131">
        <v>0.96623300000000001</v>
      </c>
      <c r="Y7131">
        <v>-0.30968899999999999</v>
      </c>
      <c r="Z7131">
        <v>-2.60944E-2</v>
      </c>
      <c r="AA7131">
        <v>0.95047969999999904</v>
      </c>
      <c r="AB7131">
        <v>23</v>
      </c>
      <c r="AC7131">
        <v>8.2248999999999892</v>
      </c>
      <c r="AD7131">
        <v>-1.11579904599</v>
      </c>
      <c r="AE7131">
        <v>12.8083399999999</v>
      </c>
      <c r="AF7131">
        <v>-4.72078849837634</v>
      </c>
      <c r="AG7131">
        <v>-1.11579904599</v>
      </c>
      <c r="AH7131">
        <v>14.3856394043138</v>
      </c>
      <c r="AI7131">
        <v>94.214889110704803</v>
      </c>
      <c r="AJ7131">
        <v>108.16775641093</v>
      </c>
      <c r="AK7131">
        <v>15.1814845330877</v>
      </c>
      <c r="AL7131">
        <v>78.993461947826304</v>
      </c>
      <c r="AM7131">
        <v>100.15331531069801</v>
      </c>
      <c r="AN7131">
        <v>0.99999995736900404</v>
      </c>
    </row>
    <row r="7132" spans="1:40" x14ac:dyDescent="0.25">
      <c r="A7132" t="str">
        <f>"20190304155240701"</f>
        <v>20190304155240701</v>
      </c>
      <c r="B7132" t="str">
        <f>"1551685960693590"</f>
        <v>1551685960693590</v>
      </c>
      <c r="C7132" t="s">
        <v>40</v>
      </c>
      <c r="D7132">
        <v>4.6968899999999998</v>
      </c>
      <c r="E7132">
        <v>0.44038929999999998</v>
      </c>
      <c r="F7132" t="s">
        <v>77</v>
      </c>
      <c r="G7132">
        <v>-189.0556</v>
      </c>
      <c r="H7132" s="1">
        <v>-7.08327E-6</v>
      </c>
      <c r="I7132">
        <v>-41.993760000000002</v>
      </c>
      <c r="J7132">
        <v>-197.22720000000001</v>
      </c>
      <c r="K7132">
        <v>1.1157859999999999</v>
      </c>
      <c r="L7132">
        <v>-54.84836</v>
      </c>
      <c r="M7132">
        <v>0.77297629999999995</v>
      </c>
      <c r="N7132">
        <v>-1.4306559999999999E-2</v>
      </c>
      <c r="O7132">
        <v>0.63427359999999999</v>
      </c>
      <c r="P7132">
        <v>0.64069880000000001</v>
      </c>
      <c r="Q7132">
        <v>0.1790534</v>
      </c>
      <c r="R7132">
        <v>0.74662229999999996</v>
      </c>
      <c r="S7132">
        <v>1.6812130000000001</v>
      </c>
      <c r="T7132">
        <v>-0.2271714</v>
      </c>
      <c r="U7132">
        <v>2.6326290000000001</v>
      </c>
      <c r="V7132">
        <v>-0.17313700000000001</v>
      </c>
      <c r="W7132">
        <v>0.19076660000000001</v>
      </c>
      <c r="X7132">
        <v>0.96624620000000006</v>
      </c>
      <c r="Y7132">
        <v>-0.3101158</v>
      </c>
      <c r="Z7132">
        <v>-2.6303159999999999E-2</v>
      </c>
      <c r="AA7132">
        <v>0.95033480000000004</v>
      </c>
      <c r="AB7132">
        <v>23</v>
      </c>
      <c r="AC7132">
        <v>8.1716000000000104</v>
      </c>
      <c r="AD7132">
        <v>-1.11579308327</v>
      </c>
      <c r="AE7132">
        <v>12.8546</v>
      </c>
      <c r="AF7132">
        <v>-4.7283849630091801</v>
      </c>
      <c r="AG7132">
        <v>-1.11579308327</v>
      </c>
      <c r="AH7132">
        <v>14.394029122921101</v>
      </c>
      <c r="AI7132">
        <v>94.212000279984494</v>
      </c>
      <c r="AJ7132">
        <v>108.18515925401201</v>
      </c>
      <c r="AK7132">
        <v>15.191796896831701</v>
      </c>
      <c r="AL7132">
        <v>79.002474727448899</v>
      </c>
      <c r="AM7132">
        <v>100.15874674819101</v>
      </c>
      <c r="AN7132">
        <v>1.0000000177294901</v>
      </c>
    </row>
    <row r="7133" spans="1:40" x14ac:dyDescent="0.25">
      <c r="A7133" t="str">
        <f>"20190304155240713"</f>
        <v>20190304155240713</v>
      </c>
      <c r="B7133" t="str">
        <f>"1551685960703350"</f>
        <v>1551685960703350</v>
      </c>
      <c r="C7133" t="s">
        <v>40</v>
      </c>
      <c r="D7133">
        <v>4.8170419999999998</v>
      </c>
      <c r="E7133">
        <v>0.4395966</v>
      </c>
      <c r="F7133" t="s">
        <v>77</v>
      </c>
      <c r="G7133">
        <v>-188.7124</v>
      </c>
      <c r="H7133" s="1">
        <v>-7.2737530000000003E-6</v>
      </c>
      <c r="I7133">
        <v>-41.309399999999997</v>
      </c>
      <c r="J7133">
        <v>-197.14349999999999</v>
      </c>
      <c r="K7133">
        <v>1.1157779999999999</v>
      </c>
      <c r="L7133">
        <v>-54.773769999999899</v>
      </c>
      <c r="M7133">
        <v>0.77032019999999901</v>
      </c>
      <c r="N7133">
        <v>-1.430476E-2</v>
      </c>
      <c r="O7133">
        <v>0.63749669999999903</v>
      </c>
      <c r="P7133">
        <v>0.6375286</v>
      </c>
      <c r="Q7133">
        <v>0.1787144</v>
      </c>
      <c r="R7133">
        <v>0.74941210000000003</v>
      </c>
      <c r="S7133">
        <v>1.662598</v>
      </c>
      <c r="T7133">
        <v>-0.2178696</v>
      </c>
      <c r="U7133">
        <v>2.6436160000000002</v>
      </c>
      <c r="V7133">
        <v>-0.1732514</v>
      </c>
      <c r="W7133">
        <v>0.1904286</v>
      </c>
      <c r="X7133">
        <v>0.96629229999999999</v>
      </c>
      <c r="Y7133">
        <v>-0.31269709999999901</v>
      </c>
      <c r="Z7133">
        <v>-2.4920089999999999E-2</v>
      </c>
      <c r="AA7133">
        <v>0.94952599999999998</v>
      </c>
      <c r="AB7133">
        <v>23</v>
      </c>
      <c r="AC7133">
        <v>8.4310999999999794</v>
      </c>
      <c r="AD7133">
        <v>-1.1157852737530001</v>
      </c>
      <c r="AE7133">
        <v>13.464369999999899</v>
      </c>
      <c r="AF7133">
        <v>-4.9730568833615001</v>
      </c>
      <c r="AG7133">
        <v>-1.1157852737530001</v>
      </c>
      <c r="AH7133">
        <v>15.0056576891071</v>
      </c>
      <c r="AI7133">
        <v>94.037379393849605</v>
      </c>
      <c r="AJ7133">
        <v>108.33582230950699</v>
      </c>
      <c r="AK7133">
        <v>15.847587646860701</v>
      </c>
      <c r="AL7133">
        <v>79.022201635947894</v>
      </c>
      <c r="AM7133">
        <v>100.16484433882</v>
      </c>
      <c r="AN7133">
        <v>0.99999995416960397</v>
      </c>
    </row>
    <row r="7134" spans="1:40" x14ac:dyDescent="0.25">
      <c r="A7134" t="str">
        <f>"20190304155240724"</f>
        <v>20190304155240724</v>
      </c>
      <c r="B7134" t="str">
        <f>"1551685960714085"</f>
        <v>1551685960714085</v>
      </c>
      <c r="C7134" t="s">
        <v>40</v>
      </c>
      <c r="D7134">
        <v>4.8273070000000002</v>
      </c>
      <c r="E7134">
        <v>0.43908740000000002</v>
      </c>
      <c r="F7134" t="s">
        <v>77</v>
      </c>
      <c r="G7134">
        <v>-188.43209999999999</v>
      </c>
      <c r="H7134" s="1">
        <v>-7.4384760000000002E-6</v>
      </c>
      <c r="I7134">
        <v>-40.723129999999998</v>
      </c>
      <c r="J7134">
        <v>-197.05070000000001</v>
      </c>
      <c r="K7134">
        <v>1.1157699999999999</v>
      </c>
      <c r="L7134">
        <v>-54.690370000000001</v>
      </c>
      <c r="M7134">
        <v>0.76734669999999905</v>
      </c>
      <c r="N7134">
        <v>-1.4302759999999999E-2</v>
      </c>
      <c r="O7134">
        <v>0.64107289999999995</v>
      </c>
      <c r="P7134">
        <v>0.63408980000000004</v>
      </c>
      <c r="Q7134">
        <v>0.17880489999999999</v>
      </c>
      <c r="R7134">
        <v>0.75230249999999999</v>
      </c>
      <c r="S7134">
        <v>1.6453089999999999</v>
      </c>
      <c r="T7134">
        <v>-0.21073620000000001</v>
      </c>
      <c r="U7134">
        <v>2.6537169999999999</v>
      </c>
      <c r="V7134">
        <v>-0.17316199999999901</v>
      </c>
      <c r="W7134">
        <v>0.19052230000000001</v>
      </c>
      <c r="X7134">
        <v>0.96628990000000003</v>
      </c>
      <c r="Y7134">
        <v>-0.31435210000000002</v>
      </c>
      <c r="Z7134">
        <v>-2.3931790000000001E-2</v>
      </c>
      <c r="AA7134">
        <v>0.94900479999999998</v>
      </c>
      <c r="AB7134">
        <v>23</v>
      </c>
      <c r="AC7134">
        <v>8.6186000000000096</v>
      </c>
      <c r="AD7134">
        <v>-1.115777438476</v>
      </c>
      <c r="AE7134">
        <v>13.967239999999901</v>
      </c>
      <c r="AF7134">
        <v>-5.16920458291278</v>
      </c>
      <c r="AG7134">
        <v>-1.115777438476</v>
      </c>
      <c r="AH7134">
        <v>15.4974391703726</v>
      </c>
      <c r="AI7134">
        <v>93.907140990653005</v>
      </c>
      <c r="AJ7134">
        <v>108.446233050864</v>
      </c>
      <c r="AK7134">
        <v>16.374866599505999</v>
      </c>
      <c r="AL7134">
        <v>79.016733386033394</v>
      </c>
      <c r="AM7134">
        <v>100.15973313978</v>
      </c>
      <c r="AN7134">
        <v>0.99999999794164995</v>
      </c>
    </row>
    <row r="7135" spans="1:40" x14ac:dyDescent="0.25">
      <c r="A7135" t="str">
        <f>"20190304155240736"</f>
        <v>20190304155240736</v>
      </c>
      <c r="B7135" t="str">
        <f>"1551685960733606"</f>
        <v>1551685960733606</v>
      </c>
      <c r="C7135" t="s">
        <v>40</v>
      </c>
      <c r="D7135">
        <v>4.7773379999999896</v>
      </c>
      <c r="E7135">
        <v>0.43804209999999899</v>
      </c>
      <c r="F7135" t="s">
        <v>41</v>
      </c>
      <c r="G7135">
        <v>-188.13939999999999</v>
      </c>
      <c r="H7135" s="1">
        <v>-5.7293779999999995E-7</v>
      </c>
      <c r="I7135">
        <v>-40.123080000000002</v>
      </c>
      <c r="J7135">
        <v>-196.9693</v>
      </c>
      <c r="K7135">
        <v>1.115756</v>
      </c>
      <c r="L7135">
        <v>-54.616329999999998</v>
      </c>
      <c r="M7135">
        <v>0.76470959999999999</v>
      </c>
      <c r="N7135">
        <v>-1.430092E-2</v>
      </c>
      <c r="O7135">
        <v>0.64421640000000002</v>
      </c>
      <c r="P7135">
        <v>0.63092169999999903</v>
      </c>
      <c r="Q7135">
        <v>0.17866599999999999</v>
      </c>
      <c r="R7135">
        <v>0.75499419999999995</v>
      </c>
      <c r="S7135">
        <v>1.6291199999999999</v>
      </c>
      <c r="T7135">
        <v>-0.2039793</v>
      </c>
      <c r="U7135">
        <v>2.663116</v>
      </c>
      <c r="V7135">
        <v>-0.17327879999999901</v>
      </c>
      <c r="W7135">
        <v>0.19038269999999999</v>
      </c>
      <c r="X7135">
        <v>0.9662965</v>
      </c>
      <c r="Y7135">
        <v>-0.31613279999999999</v>
      </c>
      <c r="Z7135">
        <v>-2.295869E-2</v>
      </c>
      <c r="AA7135">
        <v>0.94843710000000003</v>
      </c>
      <c r="AB7135">
        <v>23</v>
      </c>
      <c r="AC7135">
        <v>8.8299000000000092</v>
      </c>
      <c r="AD7135">
        <v>-1.1157565729378001</v>
      </c>
      <c r="AE7135">
        <v>14.49325</v>
      </c>
      <c r="AF7135">
        <v>-5.3720928503517902</v>
      </c>
      <c r="AG7135">
        <v>-1.1157565729378001</v>
      </c>
      <c r="AH7135">
        <v>16.021494081947299</v>
      </c>
      <c r="AI7135">
        <v>93.777659764590794</v>
      </c>
      <c r="AJ7135">
        <v>108.536578546345</v>
      </c>
      <c r="AK7135">
        <v>16.934951046304398</v>
      </c>
      <c r="AL7135">
        <v>79.024881257690197</v>
      </c>
      <c r="AM7135">
        <v>100.16637513158</v>
      </c>
      <c r="AN7135">
        <v>1.00000002045048</v>
      </c>
    </row>
    <row r="7136" spans="1:40" x14ac:dyDescent="0.25">
      <c r="A7136" t="str">
        <f>"20190304155240748"</f>
        <v>20190304155240748</v>
      </c>
      <c r="B7136" t="str">
        <f>"1551685960743365"</f>
        <v>1551685960743365</v>
      </c>
      <c r="C7136" t="s">
        <v>40</v>
      </c>
      <c r="D7136">
        <v>4.8013469999999998</v>
      </c>
      <c r="E7136">
        <v>0.4379286</v>
      </c>
      <c r="F7136" t="s">
        <v>41</v>
      </c>
      <c r="G7136">
        <v>-187.56039999999999</v>
      </c>
      <c r="H7136" s="1">
        <v>-1.115017E-6</v>
      </c>
      <c r="I7136">
        <v>-38.982849999999999</v>
      </c>
      <c r="J7136">
        <v>-196.88550000000001</v>
      </c>
      <c r="K7136">
        <v>1.115748</v>
      </c>
      <c r="L7136">
        <v>-54.539949999999997</v>
      </c>
      <c r="M7136">
        <v>0.7619802</v>
      </c>
      <c r="N7136">
        <v>-1.4299060000000001E-2</v>
      </c>
      <c r="O7136">
        <v>0.64744250000000003</v>
      </c>
      <c r="P7136">
        <v>0.62792559999999997</v>
      </c>
      <c r="Q7136">
        <v>0.1784867</v>
      </c>
      <c r="R7136">
        <v>0.75753019999999904</v>
      </c>
      <c r="S7136">
        <v>1.609253</v>
      </c>
      <c r="T7136">
        <v>-0.19083459999999999</v>
      </c>
      <c r="U7136">
        <v>2.673889</v>
      </c>
      <c r="V7136">
        <v>-0.17304919999999999</v>
      </c>
      <c r="W7136">
        <v>0.19020860000000001</v>
      </c>
      <c r="X7136">
        <v>0.96637189999999995</v>
      </c>
      <c r="Y7136">
        <v>-0.31895959999999901</v>
      </c>
      <c r="Z7136">
        <v>-2.0885250000000001E-2</v>
      </c>
      <c r="AA7136">
        <v>0.9475382</v>
      </c>
      <c r="AB7136">
        <v>23</v>
      </c>
      <c r="AC7136">
        <v>9.3251000000000097</v>
      </c>
      <c r="AD7136">
        <v>-1.115749115017</v>
      </c>
      <c r="AE7136">
        <v>15.557099999999901</v>
      </c>
      <c r="AF7136">
        <v>-5.7954002597202701</v>
      </c>
      <c r="AG7136">
        <v>-1.115749115017</v>
      </c>
      <c r="AH7136">
        <v>17.114860663624501</v>
      </c>
      <c r="AI7136">
        <v>93.533402706307797</v>
      </c>
      <c r="AJ7136">
        <v>108.707026726393</v>
      </c>
      <c r="AK7136">
        <v>18.1038674264177</v>
      </c>
      <c r="AL7136">
        <v>79.035041820591999</v>
      </c>
      <c r="AM7136">
        <v>100.152409066565</v>
      </c>
      <c r="AN7136">
        <v>0.99999999312210397</v>
      </c>
    </row>
    <row r="7137" spans="1:40" x14ac:dyDescent="0.25">
      <c r="A7137" t="str">
        <f>"20190304155240758"</f>
        <v>20190304155240758</v>
      </c>
      <c r="B7137" t="str">
        <f>"1551685960754102"</f>
        <v>1551685960754102</v>
      </c>
      <c r="C7137" t="s">
        <v>40</v>
      </c>
      <c r="D7137">
        <v>4.818028</v>
      </c>
      <c r="E7137">
        <v>0.43785079999999998</v>
      </c>
      <c r="F7137" t="s">
        <v>41</v>
      </c>
      <c r="G7137">
        <v>-187.54259999999999</v>
      </c>
      <c r="H7137" s="1">
        <v>-1.1612E-6</v>
      </c>
      <c r="I7137">
        <v>-38.861089999999997</v>
      </c>
      <c r="J7137">
        <v>-196.80179999999999</v>
      </c>
      <c r="K7137">
        <v>1.1157379999999999</v>
      </c>
      <c r="L7137">
        <v>-54.462400000000002</v>
      </c>
      <c r="M7137">
        <v>0.75921700000000003</v>
      </c>
      <c r="N7137">
        <v>-1.429711E-2</v>
      </c>
      <c r="O7137">
        <v>0.65068059999999905</v>
      </c>
      <c r="P7137">
        <v>0.62478140000000004</v>
      </c>
      <c r="Q7137">
        <v>0.17858669999999999</v>
      </c>
      <c r="R7137">
        <v>0.76010200000000006</v>
      </c>
      <c r="S7137">
        <v>1.59758</v>
      </c>
      <c r="T7137">
        <v>-0.19078490000000001</v>
      </c>
      <c r="U7137">
        <v>2.6809690000000002</v>
      </c>
      <c r="V7137">
        <v>-0.17291899999999999</v>
      </c>
      <c r="W7137">
        <v>0.1903116</v>
      </c>
      <c r="X7137">
        <v>0.96637490000000004</v>
      </c>
      <c r="Y7137">
        <v>-0.31907210000000003</v>
      </c>
      <c r="Z7137">
        <v>-2.1059649999999999E-2</v>
      </c>
      <c r="AA7137">
        <v>0.94749640000000002</v>
      </c>
      <c r="AB7137">
        <v>23</v>
      </c>
      <c r="AC7137">
        <v>9.2591999999999892</v>
      </c>
      <c r="AD7137">
        <v>-1.1157391611999901</v>
      </c>
      <c r="AE7137">
        <v>15.6013099999999</v>
      </c>
      <c r="AF7137">
        <v>-5.79866045127046</v>
      </c>
      <c r="AG7137">
        <v>-1.1157391611999901</v>
      </c>
      <c r="AH7137">
        <v>17.1182213457008</v>
      </c>
      <c r="AI7137">
        <v>93.532546617461193</v>
      </c>
      <c r="AJ7137">
        <v>108.71339895742</v>
      </c>
      <c r="AK7137">
        <v>18.1080876667132</v>
      </c>
      <c r="AL7137">
        <v>79.029030256066704</v>
      </c>
      <c r="AM7137">
        <v>100.144898395296</v>
      </c>
      <c r="AN7137">
        <v>0.999999966502784</v>
      </c>
    </row>
    <row r="7138" spans="1:40" x14ac:dyDescent="0.25">
      <c r="A7138" t="str">
        <f>"20190304155240777"</f>
        <v>20190304155240777</v>
      </c>
      <c r="B7138" t="str">
        <f>"1551685960774127"</f>
        <v>1551685960774127</v>
      </c>
      <c r="C7138" t="s">
        <v>40</v>
      </c>
      <c r="D7138">
        <v>4.8153309999999996</v>
      </c>
      <c r="E7138">
        <v>0.43764199999999998</v>
      </c>
      <c r="F7138" t="s">
        <v>41</v>
      </c>
      <c r="G7138">
        <v>-187.48939999999999</v>
      </c>
      <c r="H7138" s="1">
        <v>-1.237432E-6</v>
      </c>
      <c r="I7138">
        <v>-38.678649999999998</v>
      </c>
      <c r="J7138">
        <v>-196.6772</v>
      </c>
      <c r="K7138">
        <v>1.115729</v>
      </c>
      <c r="L7138">
        <v>-54.34619</v>
      </c>
      <c r="M7138">
        <v>0.7550673</v>
      </c>
      <c r="N7138">
        <v>-1.429423E-2</v>
      </c>
      <c r="O7138">
        <v>0.65549139999999995</v>
      </c>
      <c r="P7138">
        <v>0.62034579999999995</v>
      </c>
      <c r="Q7138">
        <v>0.17829929999999999</v>
      </c>
      <c r="R7138">
        <v>0.76379339999999996</v>
      </c>
      <c r="S7138">
        <v>1.5858920000000001</v>
      </c>
      <c r="T7138">
        <v>-0.19000939999999999</v>
      </c>
      <c r="U7138">
        <v>2.6879580000000001</v>
      </c>
      <c r="V7138">
        <v>-0.17244499999999999</v>
      </c>
      <c r="W7138">
        <v>0.19003400000000001</v>
      </c>
      <c r="X7138">
        <v>0.96651419999999999</v>
      </c>
      <c r="Y7138">
        <v>-0.31719019999999998</v>
      </c>
      <c r="Z7138">
        <v>-2.1263540000000001E-2</v>
      </c>
      <c r="AA7138">
        <v>0.94812350000000001</v>
      </c>
      <c r="AB7138">
        <v>23</v>
      </c>
      <c r="AC7138">
        <v>9.18780000000001</v>
      </c>
      <c r="AD7138">
        <v>-1.1157302374319999</v>
      </c>
      <c r="AE7138">
        <v>15.667540000000001</v>
      </c>
      <c r="AF7138">
        <v>-5.7862819036214104</v>
      </c>
      <c r="AG7138">
        <v>-1.1157302374319999</v>
      </c>
      <c r="AH7138">
        <v>17.144408253447398</v>
      </c>
      <c r="AI7138">
        <v>93.528459771404997</v>
      </c>
      <c r="AJ7138">
        <v>108.649671117412</v>
      </c>
      <c r="AK7138">
        <v>18.128889833405999</v>
      </c>
      <c r="AL7138">
        <v>79.045231028239996</v>
      </c>
      <c r="AM7138">
        <v>100.11623669993701</v>
      </c>
      <c r="AN7138">
        <v>0.99999994899131806</v>
      </c>
    </row>
    <row r="7139" spans="1:40" x14ac:dyDescent="0.25">
      <c r="A7139" t="str">
        <f>"20190304155240788"</f>
        <v>20190304155240788</v>
      </c>
      <c r="B7139" t="str">
        <f>"1551685960783888"</f>
        <v>1551685960783888</v>
      </c>
      <c r="C7139" t="s">
        <v>40</v>
      </c>
      <c r="D7139">
        <v>4.7550140000000001</v>
      </c>
      <c r="E7139">
        <v>0.43789359999999999</v>
      </c>
      <c r="F7139" t="s">
        <v>41</v>
      </c>
      <c r="G7139">
        <v>-187.27690000000001</v>
      </c>
      <c r="H7139" s="1">
        <v>-1.4671009999999999E-6</v>
      </c>
      <c r="I7139">
        <v>-38.169890000000002</v>
      </c>
      <c r="J7139">
        <v>-196.59</v>
      </c>
      <c r="K7139">
        <v>1.1157220000000001</v>
      </c>
      <c r="L7139">
        <v>-54.264189999999999</v>
      </c>
      <c r="M7139">
        <v>0.75213430000000003</v>
      </c>
      <c r="N7139">
        <v>-1.4292239999999999E-2</v>
      </c>
      <c r="O7139">
        <v>0.65885490000000002</v>
      </c>
      <c r="P7139">
        <v>0.61709979999999998</v>
      </c>
      <c r="Q7139">
        <v>0.1781306</v>
      </c>
      <c r="R7139">
        <v>0.76645769999999902</v>
      </c>
      <c r="S7139">
        <v>1.56778</v>
      </c>
      <c r="T7139">
        <v>-0.1860811</v>
      </c>
      <c r="U7139">
        <v>2.6978759999999999</v>
      </c>
      <c r="V7139">
        <v>-0.1722552</v>
      </c>
      <c r="W7139">
        <v>0.18987010000000001</v>
      </c>
      <c r="X7139">
        <v>0.96658029999999995</v>
      </c>
      <c r="Y7139">
        <v>-0.31922240000000002</v>
      </c>
      <c r="Z7139">
        <v>-2.0729310000000001E-2</v>
      </c>
      <c r="AA7139">
        <v>0.94745310000000005</v>
      </c>
      <c r="AB7139">
        <v>23</v>
      </c>
      <c r="AC7139">
        <v>9.3130999999999897</v>
      </c>
      <c r="AD7139">
        <v>-1.1157234671009999</v>
      </c>
      <c r="AE7139">
        <v>16.094299999999901</v>
      </c>
      <c r="AF7139">
        <v>-5.9482874950248403</v>
      </c>
      <c r="AG7139">
        <v>-1.1157234671009999</v>
      </c>
      <c r="AH7139">
        <v>17.547133765109201</v>
      </c>
      <c r="AI7139">
        <v>93.446103121560597</v>
      </c>
      <c r="AJ7139">
        <v>108.726099921624</v>
      </c>
      <c r="AK7139">
        <v>18.5614887966764</v>
      </c>
      <c r="AL7139">
        <v>79.054796434969305</v>
      </c>
      <c r="AM7139">
        <v>100.10465513343</v>
      </c>
      <c r="AN7139">
        <v>0.99999999257456895</v>
      </c>
    </row>
    <row r="7140" spans="1:40" x14ac:dyDescent="0.25">
      <c r="A7140" t="str">
        <f>"20190304155240800"</f>
        <v>20190304155240800</v>
      </c>
      <c r="B7140" t="str">
        <f>"1551685960793649"</f>
        <v>1551685960793649</v>
      </c>
      <c r="C7140" t="s">
        <v>40</v>
      </c>
      <c r="D7140">
        <v>4.7510000000000003</v>
      </c>
      <c r="E7140">
        <v>0.43816300000000002</v>
      </c>
      <c r="F7140" t="s">
        <v>41</v>
      </c>
      <c r="G7140">
        <v>-187.37909999999999</v>
      </c>
      <c r="H7140" s="1">
        <v>-1.402065E-6</v>
      </c>
      <c r="I7140">
        <v>-38.28107</v>
      </c>
      <c r="J7140">
        <v>-196.50479999999999</v>
      </c>
      <c r="K7140">
        <v>1.115713</v>
      </c>
      <c r="L7140">
        <v>-54.182949999999998</v>
      </c>
      <c r="M7140">
        <v>0.74923309999999999</v>
      </c>
      <c r="N7140">
        <v>-1.4290189999999999E-2</v>
      </c>
      <c r="O7140">
        <v>0.66215219999999997</v>
      </c>
      <c r="P7140">
        <v>0.61393050000000005</v>
      </c>
      <c r="Q7140">
        <v>0.17775949999999999</v>
      </c>
      <c r="R7140">
        <v>0.76908449999999995</v>
      </c>
      <c r="S7140">
        <v>1.5580290000000001</v>
      </c>
      <c r="T7140">
        <v>-0.18872510000000001</v>
      </c>
      <c r="U7140">
        <v>2.7035520000000002</v>
      </c>
      <c r="V7140">
        <v>-0.1720556</v>
      </c>
      <c r="W7140">
        <v>0.18950400000000001</v>
      </c>
      <c r="X7140">
        <v>0.96668770000000004</v>
      </c>
      <c r="Y7140">
        <v>-0.31849290000000002</v>
      </c>
      <c r="Z7140">
        <v>-2.1392640000000001E-2</v>
      </c>
      <c r="AA7140">
        <v>0.94768379999999997</v>
      </c>
      <c r="AB7140">
        <v>22</v>
      </c>
      <c r="AC7140">
        <v>9.1256999999999895</v>
      </c>
      <c r="AD7140">
        <v>-1.1157144020649901</v>
      </c>
      <c r="AE7140">
        <v>15.901879999999901</v>
      </c>
      <c r="AF7140">
        <v>-5.85054652531222</v>
      </c>
      <c r="AG7140">
        <v>-1.1157144020649901</v>
      </c>
      <c r="AH7140">
        <v>17.304433464702299</v>
      </c>
      <c r="AI7140">
        <v>93.495235064591398</v>
      </c>
      <c r="AJ7140">
        <v>108.68015029632799</v>
      </c>
      <c r="AK7140">
        <v>18.300741263843001</v>
      </c>
      <c r="AL7140">
        <v>79.0761603982846</v>
      </c>
      <c r="AM7140">
        <v>100.092088961328</v>
      </c>
      <c r="AN7140">
        <v>1.0000000024193201</v>
      </c>
    </row>
    <row r="7141" spans="1:40" x14ac:dyDescent="0.25">
      <c r="A7141" t="str">
        <f>"20190304155240812"</f>
        <v>20190304155240812</v>
      </c>
      <c r="B7141" t="str">
        <f>"1551685960803409"</f>
        <v>1551685960803409</v>
      </c>
      <c r="C7141" t="s">
        <v>40</v>
      </c>
      <c r="D7141">
        <v>4.6584459999999996</v>
      </c>
      <c r="E7141">
        <v>0.43816300000000002</v>
      </c>
      <c r="F7141" t="s">
        <v>41</v>
      </c>
      <c r="G7141">
        <v>-187.48740000000001</v>
      </c>
      <c r="H7141" s="1">
        <v>-1.3306950000000001E-6</v>
      </c>
      <c r="I7141">
        <v>-38.406149999999997</v>
      </c>
      <c r="J7141">
        <v>-196.42349999999999</v>
      </c>
      <c r="K7141">
        <v>1.1157049999999999</v>
      </c>
      <c r="L7141">
        <v>-54.104979999999998</v>
      </c>
      <c r="M7141">
        <v>0.74644319999999997</v>
      </c>
      <c r="N7141">
        <v>-1.4288240000000001E-2</v>
      </c>
      <c r="O7141">
        <v>0.66529579999999999</v>
      </c>
      <c r="P7141">
        <v>0.6110023</v>
      </c>
      <c r="Q7141">
        <v>0.17731559999999999</v>
      </c>
      <c r="R7141">
        <v>0.77151499999999995</v>
      </c>
      <c r="S7141">
        <v>1.54837</v>
      </c>
      <c r="T7141">
        <v>-0.19157779999999999</v>
      </c>
      <c r="U7141">
        <v>2.709015</v>
      </c>
      <c r="V7141">
        <v>-0.17173289999999999</v>
      </c>
      <c r="W7141">
        <v>0.18906719999999999</v>
      </c>
      <c r="X7141">
        <v>0.96683059999999998</v>
      </c>
      <c r="Y7141">
        <v>-0.3178858</v>
      </c>
      <c r="Z7141">
        <v>-2.208748E-2</v>
      </c>
      <c r="AA7141">
        <v>0.94787169999999998</v>
      </c>
      <c r="AB7141">
        <v>22</v>
      </c>
      <c r="AC7141">
        <v>8.9360999999999802</v>
      </c>
      <c r="AD7141">
        <v>-1.1157063306949999</v>
      </c>
      <c r="AE7141">
        <v>15.698829999999999</v>
      </c>
      <c r="AF7141">
        <v>-5.75178221930992</v>
      </c>
      <c r="AG7141">
        <v>-1.1157063306949999</v>
      </c>
      <c r="AH7141">
        <v>17.051355388171299</v>
      </c>
      <c r="AI7141">
        <v>93.547784969965505</v>
      </c>
      <c r="AJ7141">
        <v>108.640337005039</v>
      </c>
      <c r="AK7141">
        <v>18.0298785322708</v>
      </c>
      <c r="AL7141">
        <v>79.101647953343004</v>
      </c>
      <c r="AM7141">
        <v>100.072090284571</v>
      </c>
      <c r="AN7141">
        <v>1.0000000020773001</v>
      </c>
    </row>
    <row r="7142" spans="1:40" x14ac:dyDescent="0.25">
      <c r="A7142" t="str">
        <f>"20190304155240825"</f>
        <v>20190304155240825</v>
      </c>
      <c r="B7142" t="str">
        <f>"1551685960814145"</f>
        <v>1551685960814145</v>
      </c>
      <c r="C7142" t="s">
        <v>40</v>
      </c>
      <c r="D7142">
        <v>4.5980850000000002</v>
      </c>
      <c r="E7142">
        <v>0.45265620000000001</v>
      </c>
      <c r="F7142" t="s">
        <v>41</v>
      </c>
      <c r="G7142">
        <v>-187.53020000000001</v>
      </c>
      <c r="H7142" s="1">
        <v>-1.3212689999999999E-6</v>
      </c>
      <c r="I7142">
        <v>-38.400370000000002</v>
      </c>
      <c r="J7142">
        <v>-196.32810000000001</v>
      </c>
      <c r="K7142">
        <v>1.115694</v>
      </c>
      <c r="L7142">
        <v>-54.012630000000001</v>
      </c>
      <c r="M7142">
        <v>0.74313769999999901</v>
      </c>
      <c r="N7142">
        <v>-1.4285920000000001E-2</v>
      </c>
      <c r="O7142">
        <v>0.66898610000000003</v>
      </c>
      <c r="P7142">
        <v>0.6072265</v>
      </c>
      <c r="Q7142">
        <v>0.17716770000000001</v>
      </c>
      <c r="R7142">
        <v>0.77452410000000005</v>
      </c>
      <c r="S7142">
        <v>1.5375369999999999</v>
      </c>
      <c r="T7142">
        <v>-0.1928909</v>
      </c>
      <c r="U7142">
        <v>2.7151179999999999</v>
      </c>
      <c r="V7142">
        <v>-0.17168429999999901</v>
      </c>
      <c r="W7142">
        <v>0.18892149999999999</v>
      </c>
      <c r="X7142">
        <v>0.9668677</v>
      </c>
      <c r="Y7142">
        <v>-0.31697180000000003</v>
      </c>
      <c r="Z7142">
        <v>-2.256182E-2</v>
      </c>
      <c r="AA7142">
        <v>0.94816650000000002</v>
      </c>
      <c r="AB7142">
        <v>22</v>
      </c>
      <c r="AC7142">
        <v>8.7978999999999896</v>
      </c>
      <c r="AD7142">
        <v>-1.115695321269</v>
      </c>
      <c r="AE7142">
        <v>15.612259999999999</v>
      </c>
      <c r="AF7142">
        <v>-5.6948955300210997</v>
      </c>
      <c r="AG7142">
        <v>-1.115695321269</v>
      </c>
      <c r="AH7142">
        <v>16.918590943385698</v>
      </c>
      <c r="AI7142">
        <v>93.576290239520205</v>
      </c>
      <c r="AJ7142">
        <v>108.603530566315</v>
      </c>
      <c r="AK7142">
        <v>17.886177083361599</v>
      </c>
      <c r="AL7142">
        <v>79.110149029804404</v>
      </c>
      <c r="AM7142">
        <v>100.068919777343</v>
      </c>
      <c r="AN7142">
        <v>0.99999999066601497</v>
      </c>
    </row>
    <row r="7143" spans="1:40" x14ac:dyDescent="0.25">
      <c r="A7143" t="str">
        <f>"20190304155240839"</f>
        <v>20190304155240839</v>
      </c>
      <c r="B7143" t="str">
        <f>"1551685960833664"</f>
        <v>1551685960833664</v>
      </c>
      <c r="C7143" t="s">
        <v>40</v>
      </c>
      <c r="D7143">
        <v>4.5897100000000002</v>
      </c>
      <c r="E7143">
        <v>0.45195839999999998</v>
      </c>
      <c r="F7143" t="s">
        <v>77</v>
      </c>
      <c r="G7143">
        <v>-190.5223</v>
      </c>
      <c r="H7143" s="1">
        <v>-4.3386240000000001E-6</v>
      </c>
      <c r="I7143">
        <v>-44.513309999999997</v>
      </c>
      <c r="J7143">
        <v>-196.23410000000001</v>
      </c>
      <c r="K7143">
        <v>1.1156870000000001</v>
      </c>
      <c r="L7143">
        <v>-53.920470000000002</v>
      </c>
      <c r="M7143">
        <v>0.73984059999999996</v>
      </c>
      <c r="N7143">
        <v>-1.42836E-2</v>
      </c>
      <c r="O7143">
        <v>0.67263059999999997</v>
      </c>
      <c r="P7143">
        <v>0.60371419999999998</v>
      </c>
      <c r="Q7143">
        <v>0.1769405</v>
      </c>
      <c r="R7143">
        <v>0.77731660000000002</v>
      </c>
      <c r="S7143">
        <v>1.6300509999999999</v>
      </c>
      <c r="T7143">
        <v>-0.31324629999999998</v>
      </c>
      <c r="U7143">
        <v>2.6670530000000001</v>
      </c>
      <c r="V7143">
        <v>-0.1713394</v>
      </c>
      <c r="W7143">
        <v>0.18870100000000001</v>
      </c>
      <c r="X7143">
        <v>0.9669719</v>
      </c>
      <c r="Y7143">
        <v>-0.28096670000000001</v>
      </c>
      <c r="Z7143">
        <v>-4.547764E-2</v>
      </c>
      <c r="AA7143">
        <v>0.95863940000000003</v>
      </c>
      <c r="AB7143">
        <v>22</v>
      </c>
      <c r="AC7143">
        <v>5.71180000000001</v>
      </c>
      <c r="AD7143">
        <v>-1.1156913386239999</v>
      </c>
      <c r="AE7143">
        <v>9.4071599999999904</v>
      </c>
      <c r="AF7143">
        <v>-3.0864652373700099</v>
      </c>
      <c r="AG7143">
        <v>-1.1156913386239999</v>
      </c>
      <c r="AH7143">
        <v>10.447074971131499</v>
      </c>
      <c r="AI7143">
        <v>95.847751104405305</v>
      </c>
      <c r="AJ7143">
        <v>106.459154544192</v>
      </c>
      <c r="AK7143">
        <v>10.950452514714501</v>
      </c>
      <c r="AL7143">
        <v>79.123013771785196</v>
      </c>
      <c r="AM7143">
        <v>100.048043990595</v>
      </c>
      <c r="AN7143">
        <v>0.99999995639148398</v>
      </c>
    </row>
    <row r="7144" spans="1:40" x14ac:dyDescent="0.25">
      <c r="A7144" t="str">
        <f>"20190304155240857"</f>
        <v>20190304155240857</v>
      </c>
      <c r="B7144" t="str">
        <f>"1551685960854160"</f>
        <v>1551685960854160</v>
      </c>
      <c r="C7144" t="s">
        <v>40</v>
      </c>
      <c r="D7144">
        <v>4.6285759999999998</v>
      </c>
      <c r="E7144">
        <v>0.45147029999999999</v>
      </c>
      <c r="F7144" t="s">
        <v>77</v>
      </c>
      <c r="G7144">
        <v>-190.38220000000001</v>
      </c>
      <c r="H7144" s="1">
        <v>-4.4576549999999999E-6</v>
      </c>
      <c r="I7144">
        <v>-44.204239999999999</v>
      </c>
      <c r="J7144">
        <v>-196.10749999999999</v>
      </c>
      <c r="K7144">
        <v>1.115675</v>
      </c>
      <c r="L7144">
        <v>-53.795259999999999</v>
      </c>
      <c r="M7144">
        <v>0.7353556</v>
      </c>
      <c r="N7144">
        <v>-1.428044E-2</v>
      </c>
      <c r="O7144">
        <v>0.67753109999999905</v>
      </c>
      <c r="P7144">
        <v>0.59875559999999906</v>
      </c>
      <c r="Q7144">
        <v>0.1769184</v>
      </c>
      <c r="R7144">
        <v>0.7811477</v>
      </c>
      <c r="S7144">
        <v>1.612366</v>
      </c>
      <c r="T7144">
        <v>-0.307407599999999</v>
      </c>
      <c r="U7144">
        <v>2.6771240000000001</v>
      </c>
      <c r="V7144">
        <v>-0.17106559999999901</v>
      </c>
      <c r="W7144">
        <v>0.18868460000000001</v>
      </c>
      <c r="X7144">
        <v>0.96702359999999998</v>
      </c>
      <c r="Y7144">
        <v>-0.28081430000000002</v>
      </c>
      <c r="Z7144">
        <v>-4.4930709999999999E-2</v>
      </c>
      <c r="AA7144">
        <v>0.95870979999999995</v>
      </c>
      <c r="AB7144">
        <v>22</v>
      </c>
      <c r="AC7144">
        <v>5.7252999999999696</v>
      </c>
      <c r="AD7144">
        <v>-1.115679457655</v>
      </c>
      <c r="AE7144">
        <v>9.5910199999999897</v>
      </c>
      <c r="AF7144">
        <v>-3.1427114370895302</v>
      </c>
      <c r="AG7144">
        <v>-1.115679457655</v>
      </c>
      <c r="AH7144">
        <v>10.6036490615465</v>
      </c>
      <c r="AI7144">
        <v>95.760460622075399</v>
      </c>
      <c r="AJ7144">
        <v>106.508779671602</v>
      </c>
      <c r="AK7144">
        <v>11.115698324868401</v>
      </c>
      <c r="AL7144">
        <v>79.123970875072004</v>
      </c>
      <c r="AM7144">
        <v>100.031788209212</v>
      </c>
      <c r="AN7144">
        <v>0.99999998036873905</v>
      </c>
    </row>
    <row r="7145" spans="1:40" x14ac:dyDescent="0.25">
      <c r="A7145" t="str">
        <f>"20190304155240878"</f>
        <v>20190304155240878</v>
      </c>
      <c r="B7145" t="str">
        <f>"1551685960873680"</f>
        <v>1551685960873680</v>
      </c>
      <c r="C7145" t="s">
        <v>40</v>
      </c>
      <c r="D7145">
        <v>4.8228489999999997</v>
      </c>
      <c r="E7145">
        <v>0.45154830000000001</v>
      </c>
      <c r="F7145" t="s">
        <v>77</v>
      </c>
      <c r="G7145">
        <v>-190.24109999999999</v>
      </c>
      <c r="H7145" s="1">
        <v>-4.5817980000000003E-6</v>
      </c>
      <c r="I7145">
        <v>-43.883800000000001</v>
      </c>
      <c r="J7145">
        <v>-195.95740000000001</v>
      </c>
      <c r="K7145">
        <v>1.1156619999999999</v>
      </c>
      <c r="L7145">
        <v>-53.644530000000003</v>
      </c>
      <c r="M7145">
        <v>0.7299525</v>
      </c>
      <c r="N7145">
        <v>-1.427663E-2</v>
      </c>
      <c r="O7145">
        <v>0.68334890000000004</v>
      </c>
      <c r="P7145">
        <v>0.59246409999999905</v>
      </c>
      <c r="Q7145">
        <v>0.1770632</v>
      </c>
      <c r="R7145">
        <v>0.78589759999999997</v>
      </c>
      <c r="S7145">
        <v>1.5916140000000001</v>
      </c>
      <c r="T7145">
        <v>-0.30269279999999998</v>
      </c>
      <c r="U7145">
        <v>2.6890559999999999</v>
      </c>
      <c r="V7145">
        <v>-0.1711239</v>
      </c>
      <c r="W7145">
        <v>0.1888302</v>
      </c>
      <c r="X7145">
        <v>0.96698490000000004</v>
      </c>
      <c r="Y7145">
        <v>-0.2805279</v>
      </c>
      <c r="Z7145">
        <v>-4.4661590000000001E-2</v>
      </c>
      <c r="AA7145">
        <v>0.9588063</v>
      </c>
      <c r="AB7145">
        <v>22</v>
      </c>
      <c r="AC7145">
        <v>5.7163000000000102</v>
      </c>
      <c r="AD7145">
        <v>-1.115666581798</v>
      </c>
      <c r="AE7145">
        <v>9.7607300000000006</v>
      </c>
      <c r="AF7145">
        <v>-3.18795640503664</v>
      </c>
      <c r="AG7145">
        <v>-1.115666581798</v>
      </c>
      <c r="AH7145">
        <v>10.7392414576285</v>
      </c>
      <c r="AI7145">
        <v>95.687418927453294</v>
      </c>
      <c r="AJ7145">
        <v>106.53358314542</v>
      </c>
      <c r="AK7145">
        <v>11.2578454886982</v>
      </c>
      <c r="AL7145">
        <v>79.115476285434298</v>
      </c>
      <c r="AM7145">
        <v>100.03553106806901</v>
      </c>
      <c r="AN7145">
        <v>1.0000000152056201</v>
      </c>
    </row>
    <row r="7146" spans="1:40" x14ac:dyDescent="0.25">
      <c r="A7146" t="str">
        <f>"20190304155240890"</f>
        <v>20190304155240890</v>
      </c>
      <c r="B7146" t="str">
        <f>"1551685960883441"</f>
        <v>1551685960883441</v>
      </c>
      <c r="C7146" t="s">
        <v>40</v>
      </c>
      <c r="D7146">
        <v>4.6758519999999999</v>
      </c>
      <c r="E7146">
        <v>0.4515496</v>
      </c>
      <c r="F7146" t="s">
        <v>77</v>
      </c>
      <c r="G7146">
        <v>-190.15049999999999</v>
      </c>
      <c r="H7146" s="1">
        <v>-4.6719309999999999E-6</v>
      </c>
      <c r="I7146">
        <v>-43.65569</v>
      </c>
      <c r="J7146">
        <v>-195.8725</v>
      </c>
      <c r="K7146">
        <v>1.115656</v>
      </c>
      <c r="L7146">
        <v>-53.558230000000002</v>
      </c>
      <c r="M7146">
        <v>0.72685429999999995</v>
      </c>
      <c r="N7146">
        <v>-1.4274480000000001E-2</v>
      </c>
      <c r="O7146">
        <v>0.68664340000000001</v>
      </c>
      <c r="P7146">
        <v>0.58906849999999999</v>
      </c>
      <c r="Q7146">
        <v>0.17695959999999999</v>
      </c>
      <c r="R7146">
        <v>0.78846910000000003</v>
      </c>
      <c r="S7146">
        <v>1.570419</v>
      </c>
      <c r="T7146">
        <v>-0.30171789999999998</v>
      </c>
      <c r="U7146">
        <v>2.701355</v>
      </c>
      <c r="V7146">
        <v>-0.1709331</v>
      </c>
      <c r="W7146">
        <v>0.18873100000000001</v>
      </c>
      <c r="X7146">
        <v>0.96703799999999995</v>
      </c>
      <c r="Y7146">
        <v>-0.28369670000000002</v>
      </c>
      <c r="Z7146">
        <v>-4.4669689999999998E-2</v>
      </c>
      <c r="AA7146">
        <v>0.95787299999999997</v>
      </c>
      <c r="AB7146">
        <v>22</v>
      </c>
      <c r="AC7146">
        <v>5.7220000000000004</v>
      </c>
      <c r="AD7146">
        <v>-1.115660671931</v>
      </c>
      <c r="AE7146">
        <v>9.9025400000000001</v>
      </c>
      <c r="AF7146">
        <v>-3.2382482193582902</v>
      </c>
      <c r="AG7146">
        <v>-1.115660671931</v>
      </c>
      <c r="AH7146">
        <v>10.856381593716399</v>
      </c>
      <c r="AI7146">
        <v>95.624234038133594</v>
      </c>
      <c r="AJ7146">
        <v>106.608822355947</v>
      </c>
      <c r="AK7146">
        <v>11.383846958451899</v>
      </c>
      <c r="AL7146">
        <v>79.121263974870701</v>
      </c>
      <c r="AM7146">
        <v>100.024029430638</v>
      </c>
      <c r="AN7146">
        <v>1.0000000042403001</v>
      </c>
    </row>
    <row r="7147" spans="1:40" x14ac:dyDescent="0.25">
      <c r="A7147" t="str">
        <f>"20190304155240902"</f>
        <v>20190304155240902</v>
      </c>
      <c r="B7147" t="str">
        <f>"1551685960894177"</f>
        <v>1551685960894177</v>
      </c>
      <c r="C7147" t="s">
        <v>40</v>
      </c>
      <c r="D7147">
        <v>4.827178</v>
      </c>
      <c r="E7147">
        <v>0.4515496</v>
      </c>
      <c r="F7147" t="s">
        <v>77</v>
      </c>
      <c r="G7147">
        <v>-190.10249999999999</v>
      </c>
      <c r="H7147" s="1">
        <v>-4.7204510000000001E-6</v>
      </c>
      <c r="I7147">
        <v>-43.533180000000002</v>
      </c>
      <c r="J7147">
        <v>-195.79079999999999</v>
      </c>
      <c r="K7147">
        <v>1.1156440000000001</v>
      </c>
      <c r="L7147">
        <v>-53.474429999999998</v>
      </c>
      <c r="M7147">
        <v>0.72384839999999995</v>
      </c>
      <c r="N7147">
        <v>-1.4272379999999999E-2</v>
      </c>
      <c r="O7147">
        <v>0.68981150000000002</v>
      </c>
      <c r="P7147">
        <v>0.58547819999999995</v>
      </c>
      <c r="Q7147">
        <v>0.17691860000000001</v>
      </c>
      <c r="R7147">
        <v>0.79114790000000002</v>
      </c>
      <c r="S7147">
        <v>1.5586089999999999</v>
      </c>
      <c r="T7147">
        <v>-0.3013672</v>
      </c>
      <c r="U7147">
        <v>2.708008</v>
      </c>
      <c r="V7147">
        <v>-0.17110839999999999</v>
      </c>
      <c r="W7147">
        <v>0.1886883</v>
      </c>
      <c r="X7147">
        <v>0.96701530000000002</v>
      </c>
      <c r="Y7147">
        <v>-0.28366920000000001</v>
      </c>
      <c r="Z7147">
        <v>-4.491767E-2</v>
      </c>
      <c r="AA7147">
        <v>0.95786959999999999</v>
      </c>
      <c r="AB7147">
        <v>22</v>
      </c>
      <c r="AC7147">
        <v>5.6882999999999901</v>
      </c>
      <c r="AD7147">
        <v>-1.1156487204509999</v>
      </c>
      <c r="AE7147">
        <v>9.9412500000000001</v>
      </c>
      <c r="AF7147">
        <v>-3.24167955319419</v>
      </c>
      <c r="AG7147">
        <v>-1.1156487204509999</v>
      </c>
      <c r="AH7147">
        <v>10.8730107622101</v>
      </c>
      <c r="AI7147">
        <v>95.615842450532696</v>
      </c>
      <c r="AJ7147">
        <v>106.601424074958</v>
      </c>
      <c r="AK7147">
        <v>11.400680744068699</v>
      </c>
      <c r="AL7147">
        <v>79.123754941430406</v>
      </c>
      <c r="AM7147">
        <v>100.03433150083499</v>
      </c>
      <c r="AN7147">
        <v>0.99999997477076896</v>
      </c>
    </row>
    <row r="7148" spans="1:40" x14ac:dyDescent="0.25">
      <c r="A7148" t="str">
        <f>"20190304155240914"</f>
        <v>20190304155240914</v>
      </c>
      <c r="B7148" t="str">
        <f>"1551685960903937"</f>
        <v>1551685960903937</v>
      </c>
      <c r="C7148" t="s">
        <v>40</v>
      </c>
      <c r="D7148">
        <v>4.8242560000000001</v>
      </c>
      <c r="E7148">
        <v>0.44359720000000002</v>
      </c>
      <c r="F7148" t="s">
        <v>77</v>
      </c>
      <c r="G7148">
        <v>-190.06639999999999</v>
      </c>
      <c r="H7148" s="1">
        <v>-4.7669379999999998E-6</v>
      </c>
      <c r="I7148">
        <v>-43.419589999999999</v>
      </c>
      <c r="J7148">
        <v>-195.70869999999999</v>
      </c>
      <c r="K7148">
        <v>1.115637</v>
      </c>
      <c r="L7148">
        <v>-53.389400000000002</v>
      </c>
      <c r="M7148">
        <v>0.72079709999999997</v>
      </c>
      <c r="N7148">
        <v>-1.427026E-2</v>
      </c>
      <c r="O7148">
        <v>0.69299919999999904</v>
      </c>
      <c r="P7148">
        <v>0.58230329999999997</v>
      </c>
      <c r="Q7148">
        <v>0.1768651</v>
      </c>
      <c r="R7148">
        <v>0.79349959999999997</v>
      </c>
      <c r="S7148">
        <v>1.545898</v>
      </c>
      <c r="T7148">
        <v>-0.30128359999999998</v>
      </c>
      <c r="U7148">
        <v>2.7153320000000001</v>
      </c>
      <c r="V7148">
        <v>-0.17071889999999901</v>
      </c>
      <c r="W7148">
        <v>0.188642</v>
      </c>
      <c r="X7148">
        <v>0.96709319999999999</v>
      </c>
      <c r="Y7148">
        <v>-0.28394009999999997</v>
      </c>
      <c r="Z7148">
        <v>-4.5200909999999997E-2</v>
      </c>
      <c r="AA7148">
        <v>0.95777599999999996</v>
      </c>
      <c r="AB7148">
        <v>22</v>
      </c>
      <c r="AC7148">
        <v>5.6422999999999996</v>
      </c>
      <c r="AD7148">
        <v>-1.1156417669380001</v>
      </c>
      <c r="AE7148">
        <v>9.9698100000000007</v>
      </c>
      <c r="AF7148">
        <v>-3.2456514920076698</v>
      </c>
      <c r="AG7148">
        <v>-1.1156417669380001</v>
      </c>
      <c r="AH7148">
        <v>10.874008722589901</v>
      </c>
      <c r="AI7148">
        <v>95.614779149433403</v>
      </c>
      <c r="AJ7148">
        <v>106.619202652523</v>
      </c>
      <c r="AK7148">
        <v>11.402761764531901</v>
      </c>
      <c r="AL7148">
        <v>79.126456549818798</v>
      </c>
      <c r="AM7148">
        <v>100.01116249828</v>
      </c>
      <c r="AN7148">
        <v>1.0000000022337201</v>
      </c>
    </row>
    <row r="7149" spans="1:40" x14ac:dyDescent="0.25">
      <c r="A7149" t="str">
        <f>"20190304155240927"</f>
        <v>20190304155240927</v>
      </c>
      <c r="B7149" t="str">
        <f>"1551685960923456"</f>
        <v>1551685960923456</v>
      </c>
      <c r="C7149" t="s">
        <v>40</v>
      </c>
      <c r="D7149">
        <v>4.7005809999999997</v>
      </c>
      <c r="E7149">
        <v>0.44411820000000002</v>
      </c>
      <c r="F7149" t="s">
        <v>41</v>
      </c>
      <c r="G7149">
        <v>-187.7373</v>
      </c>
      <c r="H7149" s="1">
        <v>-1.224919E-6</v>
      </c>
      <c r="I7149">
        <v>-38.521610000000003</v>
      </c>
      <c r="J7149">
        <v>-195.62100000000001</v>
      </c>
      <c r="K7149">
        <v>1.1156299999999999</v>
      </c>
      <c r="L7149">
        <v>-53.298000000000002</v>
      </c>
      <c r="M7149">
        <v>0.71751039999999999</v>
      </c>
      <c r="N7149">
        <v>-1.4268009999999999E-2</v>
      </c>
      <c r="O7149">
        <v>0.69640170000000001</v>
      </c>
      <c r="P7149">
        <v>0.57837669999999997</v>
      </c>
      <c r="Q7149">
        <v>0.17699860000000001</v>
      </c>
      <c r="R7149">
        <v>0.7963365</v>
      </c>
      <c r="S7149">
        <v>1.4723660000000001</v>
      </c>
      <c r="T7149">
        <v>-0.20606389999999999</v>
      </c>
      <c r="U7149">
        <v>2.7461549999999999</v>
      </c>
      <c r="V7149">
        <v>-0.17089760000000001</v>
      </c>
      <c r="W7149">
        <v>0.18877350000000001</v>
      </c>
      <c r="X7149">
        <v>0.96703589999999995</v>
      </c>
      <c r="Y7149">
        <v>-0.30332290000000001</v>
      </c>
      <c r="Z7149">
        <v>-2.7108050000000002E-2</v>
      </c>
      <c r="AA7149">
        <v>0.95250219999999997</v>
      </c>
      <c r="AB7149">
        <v>22</v>
      </c>
      <c r="AC7149">
        <v>7.88369999999997</v>
      </c>
      <c r="AD7149">
        <v>-1.1156312249189999</v>
      </c>
      <c r="AE7149">
        <v>14.776389999999999</v>
      </c>
      <c r="AF7149">
        <v>-5.0899261961608797</v>
      </c>
      <c r="AG7149">
        <v>-1.1156312249189999</v>
      </c>
      <c r="AH7149">
        <v>15.878107042753999</v>
      </c>
      <c r="AI7149">
        <v>93.827869975692707</v>
      </c>
      <c r="AJ7149">
        <v>107.773903701954</v>
      </c>
      <c r="AK7149">
        <v>16.711261621240201</v>
      </c>
      <c r="AL7149">
        <v>79.118783491639405</v>
      </c>
      <c r="AM7149">
        <v>100.022011135266</v>
      </c>
      <c r="AN7149">
        <v>0.99999992793840697</v>
      </c>
    </row>
    <row r="7150" spans="1:40" x14ac:dyDescent="0.25">
      <c r="A7150" t="str">
        <f>"20190304155240945"</f>
        <v>20190304155240945</v>
      </c>
      <c r="B7150" t="str">
        <f>"1551685960934194"</f>
        <v>1551685960934194</v>
      </c>
      <c r="C7150" t="s">
        <v>40</v>
      </c>
      <c r="D7150">
        <v>4.8181279999999997</v>
      </c>
      <c r="E7150">
        <v>0.44457629999999998</v>
      </c>
      <c r="F7150" t="s">
        <v>41</v>
      </c>
      <c r="G7150">
        <v>-187.7696</v>
      </c>
      <c r="H7150" s="1">
        <v>-1.213971E-6</v>
      </c>
      <c r="I7150">
        <v>-38.528469999999999</v>
      </c>
      <c r="J7150">
        <v>-195.5</v>
      </c>
      <c r="K7150">
        <v>1.1156219999999999</v>
      </c>
      <c r="L7150">
        <v>-53.17004</v>
      </c>
      <c r="M7150">
        <v>0.71291400000000005</v>
      </c>
      <c r="N7150">
        <v>-1.4264789999999999E-2</v>
      </c>
      <c r="O7150">
        <v>0.70110629999999996</v>
      </c>
      <c r="P7150">
        <v>0.57325859999999995</v>
      </c>
      <c r="Q7150">
        <v>0.17674619999999999</v>
      </c>
      <c r="R7150">
        <v>0.80008449999999998</v>
      </c>
      <c r="S7150">
        <v>1.4625090000000001</v>
      </c>
      <c r="T7150">
        <v>-0.2078139</v>
      </c>
      <c r="U7150">
        <v>2.7511899999999998</v>
      </c>
      <c r="V7150">
        <v>-0.17076849999999999</v>
      </c>
      <c r="W7150">
        <v>0.18852540000000001</v>
      </c>
      <c r="X7150">
        <v>0.96710719999999994</v>
      </c>
      <c r="Y7150">
        <v>-0.30044969999999999</v>
      </c>
      <c r="Z7150">
        <v>-2.783302E-2</v>
      </c>
      <c r="AA7150">
        <v>0.95339149999999995</v>
      </c>
      <c r="AB7150">
        <v>22</v>
      </c>
      <c r="AC7150">
        <v>7.7304000000000004</v>
      </c>
      <c r="AD7150">
        <v>-1.1156232139709901</v>
      </c>
      <c r="AE7150">
        <v>14.64157</v>
      </c>
      <c r="AF7150">
        <v>-4.9961755652976398</v>
      </c>
      <c r="AG7150">
        <v>-1.1156232139709901</v>
      </c>
      <c r="AH7150">
        <v>15.7067025771711</v>
      </c>
      <c r="AI7150">
        <v>93.872251737627906</v>
      </c>
      <c r="AJ7150">
        <v>107.64544811405</v>
      </c>
      <c r="AK7150">
        <v>16.519893803609602</v>
      </c>
      <c r="AL7150">
        <v>79.133259512319299</v>
      </c>
      <c r="AM7150">
        <v>100.013870207881</v>
      </c>
      <c r="AN7150">
        <v>1.0000000216646201</v>
      </c>
    </row>
    <row r="7151" spans="1:40" x14ac:dyDescent="0.25">
      <c r="A7151" t="str">
        <f>"20190304155240957"</f>
        <v>20190304155240957</v>
      </c>
      <c r="B7151" t="str">
        <f>"1551685960953713"</f>
        <v>1551685960953713</v>
      </c>
      <c r="C7151" t="s">
        <v>40</v>
      </c>
      <c r="D7151">
        <v>4.7195179999999999</v>
      </c>
      <c r="E7151">
        <v>0.4450691</v>
      </c>
      <c r="F7151" t="s">
        <v>41</v>
      </c>
      <c r="G7151">
        <v>-187.8143</v>
      </c>
      <c r="H7151" s="1">
        <v>-1.2031819999999999E-6</v>
      </c>
      <c r="I7151">
        <v>-38.525210000000001</v>
      </c>
      <c r="J7151">
        <v>-195.4186</v>
      </c>
      <c r="K7151">
        <v>1.115615</v>
      </c>
      <c r="L7151">
        <v>-53.082949999999997</v>
      </c>
      <c r="M7151">
        <v>0.70978469999999905</v>
      </c>
      <c r="N7151">
        <v>-1.426258E-2</v>
      </c>
      <c r="O7151">
        <v>0.70427430000000002</v>
      </c>
      <c r="P7151">
        <v>0.56982159999999904</v>
      </c>
      <c r="Q7151">
        <v>0.1765825</v>
      </c>
      <c r="R7151">
        <v>0.80257209999999901</v>
      </c>
      <c r="S7151">
        <v>1.4477690000000001</v>
      </c>
      <c r="T7151">
        <v>-0.2101538</v>
      </c>
      <c r="U7151">
        <v>2.7586979999999999</v>
      </c>
      <c r="V7151">
        <v>-0.17062949999999999</v>
      </c>
      <c r="W7151">
        <v>0.18836520000000001</v>
      </c>
      <c r="X7151">
        <v>0.96716290000000005</v>
      </c>
      <c r="Y7151">
        <v>-0.30127019999999999</v>
      </c>
      <c r="Z7151">
        <v>-2.8462109999999999E-2</v>
      </c>
      <c r="AA7151">
        <v>0.95311400000000002</v>
      </c>
      <c r="AB7151">
        <v>22</v>
      </c>
      <c r="AC7151">
        <v>7.6042999999999896</v>
      </c>
      <c r="AD7151">
        <v>-1.1156162031820001</v>
      </c>
      <c r="AE7151">
        <v>14.557740000000001</v>
      </c>
      <c r="AF7151">
        <v>-4.9549927358420103</v>
      </c>
      <c r="AG7151">
        <v>-1.1156162031820001</v>
      </c>
      <c r="AH7151">
        <v>15.579767076560801</v>
      </c>
      <c r="AI7151">
        <v>93.903737268356707</v>
      </c>
      <c r="AJ7151">
        <v>107.642757411791</v>
      </c>
      <c r="AK7151">
        <v>16.386753634717799</v>
      </c>
      <c r="AL7151">
        <v>79.142605233116498</v>
      </c>
      <c r="AM7151">
        <v>100.00531941758</v>
      </c>
      <c r="AN7151">
        <v>0.99999997498884896</v>
      </c>
    </row>
    <row r="7152" spans="1:40" x14ac:dyDescent="0.25">
      <c r="A7152" t="str">
        <f>"20190304155240969"</f>
        <v>20190304155240969</v>
      </c>
      <c r="B7152" t="str">
        <f>"1551685960963473"</f>
        <v>1551685960963473</v>
      </c>
      <c r="C7152" t="s">
        <v>40</v>
      </c>
      <c r="D7152">
        <v>4.8301179999999997</v>
      </c>
      <c r="E7152">
        <v>0.44553999999999999</v>
      </c>
      <c r="F7152" t="s">
        <v>41</v>
      </c>
      <c r="G7152">
        <v>-187.8629</v>
      </c>
      <c r="H7152" s="1">
        <v>-1.1724349999999999E-6</v>
      </c>
      <c r="I7152">
        <v>-38.577629999999999</v>
      </c>
      <c r="J7152">
        <v>-195.33949999999999</v>
      </c>
      <c r="K7152">
        <v>1.1156090000000001</v>
      </c>
      <c r="L7152">
        <v>-52.99783</v>
      </c>
      <c r="M7152">
        <v>0.70672119999999905</v>
      </c>
      <c r="N7152">
        <v>-1.4260460000000001E-2</v>
      </c>
      <c r="O7152">
        <v>0.70734839999999999</v>
      </c>
      <c r="P7152">
        <v>0.56649719999999903</v>
      </c>
      <c r="Q7152">
        <v>0.1767166</v>
      </c>
      <c r="R7152">
        <v>0.80489270000000002</v>
      </c>
      <c r="S7152">
        <v>1.4391780000000001</v>
      </c>
      <c r="T7152">
        <v>-0.21249770000000001</v>
      </c>
      <c r="U7152">
        <v>2.7629090000000001</v>
      </c>
      <c r="V7152">
        <v>-0.17040849999999999</v>
      </c>
      <c r="W7152">
        <v>0.18850339999999999</v>
      </c>
      <c r="X7152">
        <v>0.96717489999999995</v>
      </c>
      <c r="Y7152">
        <v>-0.300068</v>
      </c>
      <c r="Z7152">
        <v>-2.9154449999999998E-2</v>
      </c>
      <c r="AA7152">
        <v>0.95347219999999999</v>
      </c>
      <c r="AB7152">
        <v>22</v>
      </c>
      <c r="AC7152">
        <v>7.4765999999999897</v>
      </c>
      <c r="AD7152">
        <v>-1.115610172435</v>
      </c>
      <c r="AE7152">
        <v>14.420199999999999</v>
      </c>
      <c r="AF7152">
        <v>-4.8799789408511201</v>
      </c>
      <c r="AG7152">
        <v>-1.115610172435</v>
      </c>
      <c r="AH7152">
        <v>15.412846968219901</v>
      </c>
      <c r="AI7152">
        <v>93.947473935530894</v>
      </c>
      <c r="AJ7152">
        <v>107.56870474519999</v>
      </c>
      <c r="AK7152">
        <v>16.205388985944001</v>
      </c>
      <c r="AL7152">
        <v>79.134542111604503</v>
      </c>
      <c r="AM7152">
        <v>99.992500355583502</v>
      </c>
      <c r="AN7152">
        <v>0.999999937936908</v>
      </c>
    </row>
    <row r="7153" spans="1:40" x14ac:dyDescent="0.25">
      <c r="A7153" t="str">
        <f>"20190304155240982"</f>
        <v>20190304155240982</v>
      </c>
      <c r="B7153" t="str">
        <f>"1551685960974209"</f>
        <v>1551685960974209</v>
      </c>
      <c r="C7153" t="s">
        <v>40</v>
      </c>
      <c r="D7153">
        <v>4.7171949999999896</v>
      </c>
      <c r="E7153">
        <v>0.44553999999999999</v>
      </c>
      <c r="F7153" t="s">
        <v>41</v>
      </c>
      <c r="G7153">
        <v>-187.8442</v>
      </c>
      <c r="H7153" s="1">
        <v>-1.202389E-6</v>
      </c>
      <c r="I7153">
        <v>-38.504179999999998</v>
      </c>
      <c r="J7153">
        <v>-195.2594</v>
      </c>
      <c r="K7153">
        <v>1.1156029999999999</v>
      </c>
      <c r="L7153">
        <v>-52.910609999999998</v>
      </c>
      <c r="M7153">
        <v>0.70358489999999996</v>
      </c>
      <c r="N7153">
        <v>-1.42583E-2</v>
      </c>
      <c r="O7153">
        <v>0.71046809999999905</v>
      </c>
      <c r="P7153">
        <v>0.56300119999999998</v>
      </c>
      <c r="Q7153">
        <v>0.17670229999999901</v>
      </c>
      <c r="R7153">
        <v>0.80734499999999998</v>
      </c>
      <c r="S7153">
        <v>1.4308620000000001</v>
      </c>
      <c r="T7153">
        <v>-0.212973</v>
      </c>
      <c r="U7153">
        <v>2.7668759999999999</v>
      </c>
      <c r="V7153">
        <v>-0.17032229999999901</v>
      </c>
      <c r="W7153">
        <v>0.1884912</v>
      </c>
      <c r="X7153">
        <v>0.96719250000000001</v>
      </c>
      <c r="Y7153">
        <v>-0.29867250000000001</v>
      </c>
      <c r="Z7153">
        <v>-2.9502759999999999E-2</v>
      </c>
      <c r="AA7153">
        <v>0.95389959999999996</v>
      </c>
      <c r="AB7153">
        <v>22</v>
      </c>
      <c r="AC7153">
        <v>7.4151999999999898</v>
      </c>
      <c r="AD7153">
        <v>-1.115604202389</v>
      </c>
      <c r="AE7153">
        <v>14.406429999999901</v>
      </c>
      <c r="AF7153">
        <v>-4.84540808566683</v>
      </c>
      <c r="AG7153">
        <v>-1.115604202389</v>
      </c>
      <c r="AH7153">
        <v>15.381185927496301</v>
      </c>
      <c r="AI7153">
        <v>93.9573601226585</v>
      </c>
      <c r="AJ7153">
        <v>107.485560933184</v>
      </c>
      <c r="AK7153">
        <v>16.164882702613198</v>
      </c>
      <c r="AL7153">
        <v>79.135254289356794</v>
      </c>
      <c r="AM7153">
        <v>99.987369429672995</v>
      </c>
      <c r="AN7153">
        <v>0.999999975205489</v>
      </c>
    </row>
    <row r="7154" spans="1:40" x14ac:dyDescent="0.25">
      <c r="A7154" t="str">
        <f>"20190304155240994"</f>
        <v>20190304155240994</v>
      </c>
      <c r="B7154" t="str">
        <f>"1551685960983969"</f>
        <v>1551685960983969</v>
      </c>
      <c r="C7154" t="s">
        <v>40</v>
      </c>
      <c r="D7154">
        <v>4.8052720000000004</v>
      </c>
      <c r="E7154">
        <v>0.44597330000000002</v>
      </c>
      <c r="F7154" t="s">
        <v>41</v>
      </c>
      <c r="G7154">
        <v>-187.82749999999999</v>
      </c>
      <c r="H7154" s="1">
        <v>-1.24718E-6</v>
      </c>
      <c r="I7154">
        <v>-38.385669999999998</v>
      </c>
      <c r="J7154">
        <v>-195.1756</v>
      </c>
      <c r="K7154">
        <v>1.1155980000000001</v>
      </c>
      <c r="L7154">
        <v>-52.818600000000004</v>
      </c>
      <c r="M7154">
        <v>0.70027309999999998</v>
      </c>
      <c r="N7154">
        <v>-1.4256059999999999E-2</v>
      </c>
      <c r="O7154">
        <v>0.713732699999999</v>
      </c>
      <c r="P7154">
        <v>0.55926260000000005</v>
      </c>
      <c r="Q7154">
        <v>0.17708180000000001</v>
      </c>
      <c r="R7154">
        <v>0.80985640000000003</v>
      </c>
      <c r="S7154">
        <v>1.4188689999999999</v>
      </c>
      <c r="T7154">
        <v>-0.21298639999999999</v>
      </c>
      <c r="U7154">
        <v>2.7730410000000001</v>
      </c>
      <c r="V7154">
        <v>-0.1702381</v>
      </c>
      <c r="W7154">
        <v>0.18887190000000001</v>
      </c>
      <c r="X7154">
        <v>0.96713309999999997</v>
      </c>
      <c r="Y7154">
        <v>-0.2983673</v>
      </c>
      <c r="Z7154">
        <v>-2.9734650000000001E-2</v>
      </c>
      <c r="AA7154">
        <v>0.95398780000000005</v>
      </c>
      <c r="AB7154">
        <v>22</v>
      </c>
      <c r="AC7154">
        <v>7.3481000000000103</v>
      </c>
      <c r="AD7154">
        <v>-1.11559924717999</v>
      </c>
      <c r="AE7154">
        <v>14.432930000000001</v>
      </c>
      <c r="AF7154">
        <v>-4.8399433005688</v>
      </c>
      <c r="AG7154">
        <v>-1.11559924717999</v>
      </c>
      <c r="AH7154">
        <v>15.3755478404782</v>
      </c>
      <c r="AI7154">
        <v>93.959060347792601</v>
      </c>
      <c r="AJ7154">
        <v>107.47305548967999</v>
      </c>
      <c r="AK7154">
        <v>16.157879942240701</v>
      </c>
      <c r="AL7154">
        <v>79.113043315294703</v>
      </c>
      <c r="AM7154">
        <v>99.983132220167306</v>
      </c>
      <c r="AN7154">
        <v>1.00000001920841</v>
      </c>
    </row>
    <row r="7155" spans="1:40" x14ac:dyDescent="0.25">
      <c r="A7155" t="str">
        <f>"20190304155241006"</f>
        <v>20190304155241006</v>
      </c>
      <c r="B7155" t="str">
        <f>"1551685961003489"</f>
        <v>1551685961003489</v>
      </c>
      <c r="C7155" t="s">
        <v>40</v>
      </c>
      <c r="D7155">
        <v>4.8209689999999998</v>
      </c>
      <c r="E7155">
        <v>0.4466811</v>
      </c>
      <c r="F7155" t="s">
        <v>41</v>
      </c>
      <c r="G7155">
        <v>-187.82419999999999</v>
      </c>
      <c r="H7155" s="1">
        <v>-1.2663029999999999E-6</v>
      </c>
      <c r="I7155">
        <v>-38.332030000000003</v>
      </c>
      <c r="J7155">
        <v>-195.0942</v>
      </c>
      <c r="K7155">
        <v>1.1155870000000001</v>
      </c>
      <c r="L7155">
        <v>-52.728700000000003</v>
      </c>
      <c r="M7155">
        <v>0.69703249999999894</v>
      </c>
      <c r="N7155">
        <v>-1.425391E-2</v>
      </c>
      <c r="O7155">
        <v>0.71689780000000003</v>
      </c>
      <c r="P7155">
        <v>0.55565779999999998</v>
      </c>
      <c r="Q7155">
        <v>0.1770553</v>
      </c>
      <c r="R7155">
        <v>0.81233979999999995</v>
      </c>
      <c r="S7155">
        <v>1.4095759999999999</v>
      </c>
      <c r="T7155">
        <v>-0.2139093</v>
      </c>
      <c r="U7155">
        <v>2.7777099999999999</v>
      </c>
      <c r="V7155">
        <v>-0.1701549</v>
      </c>
      <c r="W7155">
        <v>0.18884799999999999</v>
      </c>
      <c r="X7155">
        <v>0.96715240000000002</v>
      </c>
      <c r="Y7155">
        <v>-0.29723549999999999</v>
      </c>
      <c r="Z7155">
        <v>-3.016392E-2</v>
      </c>
      <c r="AA7155">
        <v>0.95432760000000005</v>
      </c>
      <c r="AB7155">
        <v>22</v>
      </c>
      <c r="AC7155">
        <v>7.27</v>
      </c>
      <c r="AD7155">
        <v>-1.1155882663029999</v>
      </c>
      <c r="AE7155">
        <v>14.39667</v>
      </c>
      <c r="AF7155">
        <v>-4.8006213610768702</v>
      </c>
      <c r="AG7155">
        <v>-1.1155882663029999</v>
      </c>
      <c r="AH7155">
        <v>15.3166483790027</v>
      </c>
      <c r="AI7155">
        <v>93.975733996120894</v>
      </c>
      <c r="AJ7155">
        <v>107.40229820244799</v>
      </c>
      <c r="AK7155">
        <v>16.090065885457001</v>
      </c>
      <c r="AL7155">
        <v>79.114437688259997</v>
      </c>
      <c r="AM7155">
        <v>99.978156150664205</v>
      </c>
      <c r="AN7155">
        <v>1.0000000109618801</v>
      </c>
    </row>
    <row r="7156" spans="1:40" x14ac:dyDescent="0.25">
      <c r="A7156" t="str">
        <f>"20190304155241024"</f>
        <v>20190304155241024</v>
      </c>
      <c r="B7156" t="str">
        <f>"1551685961014225"</f>
        <v>1551685961014225</v>
      </c>
      <c r="C7156" t="s">
        <v>40</v>
      </c>
      <c r="D7156">
        <v>4.7843419999999997</v>
      </c>
      <c r="E7156">
        <v>0.44705539999999999</v>
      </c>
      <c r="F7156" t="s">
        <v>41</v>
      </c>
      <c r="G7156">
        <v>-187.8383</v>
      </c>
      <c r="H7156" s="1">
        <v>-1.2604850000000001E-6</v>
      </c>
      <c r="I7156">
        <v>-38.338090000000001</v>
      </c>
      <c r="J7156">
        <v>-194.9794</v>
      </c>
      <c r="K7156">
        <v>1.115578</v>
      </c>
      <c r="L7156">
        <v>-52.600070000000002</v>
      </c>
      <c r="M7156">
        <v>0.69240019999999902</v>
      </c>
      <c r="N7156">
        <v>-1.4250840000000001E-2</v>
      </c>
      <c r="O7156">
        <v>0.72137289999999998</v>
      </c>
      <c r="P7156">
        <v>0.55084089999999997</v>
      </c>
      <c r="Q7156">
        <v>0.1771131</v>
      </c>
      <c r="R7156">
        <v>0.81560120000000003</v>
      </c>
      <c r="S7156">
        <v>1.402161</v>
      </c>
      <c r="T7156">
        <v>-0.215582</v>
      </c>
      <c r="U7156">
        <v>2.7809140000000001</v>
      </c>
      <c r="V7156">
        <v>-0.1696339</v>
      </c>
      <c r="W7156">
        <v>0.188915</v>
      </c>
      <c r="X7156">
        <v>0.9672309</v>
      </c>
      <c r="Y7156">
        <v>-0.29356860000000001</v>
      </c>
      <c r="Z7156">
        <v>-3.0916880000000001E-2</v>
      </c>
      <c r="AA7156">
        <v>0.95543789999999995</v>
      </c>
      <c r="AB7156">
        <v>22</v>
      </c>
      <c r="AC7156">
        <v>7.14109999999999</v>
      </c>
      <c r="AD7156">
        <v>-1.1155792604849999</v>
      </c>
      <c r="AE7156">
        <v>14.2619799999999</v>
      </c>
      <c r="AF7156">
        <v>-4.7010839323529598</v>
      </c>
      <c r="AG7156">
        <v>-1.1155792604849999</v>
      </c>
      <c r="AH7156">
        <v>15.1600891974314</v>
      </c>
      <c r="AI7156">
        <v>94.020414326994398</v>
      </c>
      <c r="AJ7156">
        <v>107.22845735189</v>
      </c>
      <c r="AK7156">
        <v>15.9114113673026</v>
      </c>
      <c r="AL7156">
        <v>79.110529217646302</v>
      </c>
      <c r="AM7156">
        <v>99.947423867155194</v>
      </c>
      <c r="AN7156">
        <v>1.0000000755845</v>
      </c>
    </row>
    <row r="7157" spans="1:40" x14ac:dyDescent="0.25">
      <c r="A7157" t="str">
        <f>"20190304155241040"</f>
        <v>20190304155241040</v>
      </c>
      <c r="B7157" t="str">
        <f>"1551685961033744"</f>
        <v>1551685961033744</v>
      </c>
      <c r="C7157" t="s">
        <v>40</v>
      </c>
      <c r="D7157">
        <v>4.7310040000000004</v>
      </c>
      <c r="E7157">
        <v>0.44803809999999999</v>
      </c>
      <c r="F7157" t="s">
        <v>41</v>
      </c>
      <c r="G7157">
        <v>-187.8211</v>
      </c>
      <c r="H7157" s="1">
        <v>-1.3050279999999999E-6</v>
      </c>
      <c r="I7157">
        <v>-38.226120000000002</v>
      </c>
      <c r="J7157">
        <v>-194.8802</v>
      </c>
      <c r="K7157">
        <v>1.1155710000000001</v>
      </c>
      <c r="L7157">
        <v>-52.487490000000001</v>
      </c>
      <c r="M7157">
        <v>0.68834280000000003</v>
      </c>
      <c r="N7157">
        <v>-1.4248179999999999E-2</v>
      </c>
      <c r="O7157">
        <v>0.72524560000000005</v>
      </c>
      <c r="P7157">
        <v>0.5464426</v>
      </c>
      <c r="Q7157">
        <v>0.1771472</v>
      </c>
      <c r="R7157">
        <v>0.81854709999999997</v>
      </c>
      <c r="S7157">
        <v>1.38826</v>
      </c>
      <c r="T7157">
        <v>-0.2163513</v>
      </c>
      <c r="U7157">
        <v>2.7876280000000002</v>
      </c>
      <c r="V7157">
        <v>-0.169404799999999</v>
      </c>
      <c r="W7157">
        <v>0.18895290000000001</v>
      </c>
      <c r="X7157">
        <v>0.9672636</v>
      </c>
      <c r="Y7157">
        <v>-0.29294870000000001</v>
      </c>
      <c r="Z7157">
        <v>-3.1357200000000002E-2</v>
      </c>
      <c r="AA7157">
        <v>0.95561390000000002</v>
      </c>
      <c r="AB7157">
        <v>22</v>
      </c>
      <c r="AC7157">
        <v>7.0590999999999999</v>
      </c>
      <c r="AD7157">
        <v>-1.115572305028</v>
      </c>
      <c r="AE7157">
        <v>14.261369999999999</v>
      </c>
      <c r="AF7157">
        <v>-4.6746323369337199</v>
      </c>
      <c r="AG7157">
        <v>-1.115572305028</v>
      </c>
      <c r="AH7157">
        <v>15.1292632407411</v>
      </c>
      <c r="AI7157">
        <v>94.029820565394601</v>
      </c>
      <c r="AJ7157">
        <v>107.170077322891</v>
      </c>
      <c r="AK7157">
        <v>15.874233690509</v>
      </c>
      <c r="AL7157">
        <v>79.108317359667495</v>
      </c>
      <c r="AM7157">
        <v>99.933927976587597</v>
      </c>
      <c r="AN7157">
        <v>1.0000000282832</v>
      </c>
    </row>
    <row r="7158" spans="1:40" x14ac:dyDescent="0.25">
      <c r="A7158" t="str">
        <f>"20190304155241059"</f>
        <v>20190304155241059</v>
      </c>
      <c r="B7158" t="str">
        <f>"1551685961054241"</f>
        <v>1551685961054241</v>
      </c>
      <c r="C7158" t="s">
        <v>40</v>
      </c>
      <c r="D7158">
        <v>4.89351</v>
      </c>
      <c r="E7158">
        <v>0.44855990000000001</v>
      </c>
      <c r="F7158" t="s">
        <v>41</v>
      </c>
      <c r="G7158">
        <v>-187.85839999999999</v>
      </c>
      <c r="H7158" s="1">
        <v>-1.273586E-6</v>
      </c>
      <c r="I7158">
        <v>-38.28398</v>
      </c>
      <c r="J7158">
        <v>-194.75989999999999</v>
      </c>
      <c r="K7158">
        <v>1.115556</v>
      </c>
      <c r="L7158">
        <v>-52.349460000000001</v>
      </c>
      <c r="M7158">
        <v>0.68336529999999995</v>
      </c>
      <c r="N7158">
        <v>-1.4244939999999999E-2</v>
      </c>
      <c r="O7158">
        <v>0.72993769999999902</v>
      </c>
      <c r="P7158">
        <v>0.54093019999999903</v>
      </c>
      <c r="Q7158">
        <v>0.17705799999999999</v>
      </c>
      <c r="R7158">
        <v>0.82221959999999905</v>
      </c>
      <c r="S7158">
        <v>1.3799129999999999</v>
      </c>
      <c r="T7158">
        <v>-0.21923110000000001</v>
      </c>
      <c r="U7158">
        <v>2.7912599999999999</v>
      </c>
      <c r="V7158">
        <v>-0.1692932</v>
      </c>
      <c r="W7158">
        <v>0.1888676</v>
      </c>
      <c r="X7158">
        <v>0.96729980000000004</v>
      </c>
      <c r="Y7158">
        <v>-0.28921429999999998</v>
      </c>
      <c r="Z7158">
        <v>-3.2379819999999997E-2</v>
      </c>
      <c r="AA7158">
        <v>0.95671660000000003</v>
      </c>
      <c r="AB7158">
        <v>22</v>
      </c>
      <c r="AC7158">
        <v>6.9014999999999898</v>
      </c>
      <c r="AD7158">
        <v>-1.115557273586</v>
      </c>
      <c r="AE7158">
        <v>14.0654799999999</v>
      </c>
      <c r="AF7158">
        <v>-4.5515843874614701</v>
      </c>
      <c r="AG7158">
        <v>-1.115557273586</v>
      </c>
      <c r="AH7158">
        <v>14.9091037201442</v>
      </c>
      <c r="AI7158">
        <v>94.093295968204501</v>
      </c>
      <c r="AJ7158">
        <v>106.97685044975201</v>
      </c>
      <c r="AK7158">
        <v>15.6282680487907</v>
      </c>
      <c r="AL7158">
        <v>79.113294326871198</v>
      </c>
      <c r="AM7158">
        <v>99.927149835549798</v>
      </c>
      <c r="AN7158">
        <v>1.0000000304880099</v>
      </c>
    </row>
    <row r="7159" spans="1:40" x14ac:dyDescent="0.25">
      <c r="A7159" t="str">
        <f>"20190304155241079"</f>
        <v>20190304155241079</v>
      </c>
      <c r="B7159" t="str">
        <f>"1551685961073760"</f>
        <v>1551685961073760</v>
      </c>
      <c r="C7159" t="s">
        <v>40</v>
      </c>
      <c r="D7159">
        <v>4.747293</v>
      </c>
      <c r="E7159">
        <v>0.44921119999999998</v>
      </c>
      <c r="F7159" t="s">
        <v>41</v>
      </c>
      <c r="G7159">
        <v>-187.72239999999999</v>
      </c>
      <c r="H7159" s="1">
        <v>-1.455496E-6</v>
      </c>
      <c r="I7159">
        <v>-37.916150000000002</v>
      </c>
      <c r="J7159">
        <v>-194.62719999999999</v>
      </c>
      <c r="K7159">
        <v>1.115545</v>
      </c>
      <c r="L7159">
        <v>-52.194760000000002</v>
      </c>
      <c r="M7159">
        <v>0.677782199999999</v>
      </c>
      <c r="N7159">
        <v>-1.424126E-2</v>
      </c>
      <c r="O7159">
        <v>0.73512489999999997</v>
      </c>
      <c r="P7159">
        <v>0.53438169999999996</v>
      </c>
      <c r="Q7159">
        <v>0.17722760000000001</v>
      </c>
      <c r="R7159">
        <v>0.82645419999999903</v>
      </c>
      <c r="S7159">
        <v>1.3641509999999999</v>
      </c>
      <c r="T7159">
        <v>-0.2162403</v>
      </c>
      <c r="U7159">
        <v>2.7977599999999998</v>
      </c>
      <c r="V7159">
        <v>-0.1695769</v>
      </c>
      <c r="W7159">
        <v>0.1890348</v>
      </c>
      <c r="X7159">
        <v>0.9672174</v>
      </c>
      <c r="Y7159">
        <v>-0.28714679999999998</v>
      </c>
      <c r="Z7159">
        <v>-3.2214299999999897E-2</v>
      </c>
      <c r="AA7159">
        <v>0.9573448</v>
      </c>
      <c r="AB7159">
        <v>22</v>
      </c>
      <c r="AC7159">
        <v>6.9047999999999901</v>
      </c>
      <c r="AD7159">
        <v>-1.115546455496</v>
      </c>
      <c r="AE7159">
        <v>14.278609999999899</v>
      </c>
      <c r="AF7159">
        <v>-4.5797078535361804</v>
      </c>
      <c r="AG7159">
        <v>-1.115546455496</v>
      </c>
      <c r="AH7159">
        <v>15.1033341518276</v>
      </c>
      <c r="AI7159">
        <v>94.043107707207</v>
      </c>
      <c r="AJ7159">
        <v>106.868613080776</v>
      </c>
      <c r="AK7159">
        <v>15.821784678723001</v>
      </c>
      <c r="AL7159">
        <v>79.103538290959605</v>
      </c>
      <c r="AM7159">
        <v>99.944284112435994</v>
      </c>
      <c r="AN7159">
        <v>0.99999998974370496</v>
      </c>
    </row>
    <row r="7160" spans="1:40" x14ac:dyDescent="0.25">
      <c r="A7160" t="str">
        <f>"20190304155241092"</f>
        <v>20190304155241092</v>
      </c>
      <c r="B7160" t="str">
        <f>"1551685961083521"</f>
        <v>1551685961083521</v>
      </c>
      <c r="C7160" t="s">
        <v>40</v>
      </c>
      <c r="D7160">
        <v>4.8480919999999896</v>
      </c>
      <c r="E7160">
        <v>0.44974750000000002</v>
      </c>
      <c r="F7160" t="s">
        <v>41</v>
      </c>
      <c r="G7160">
        <v>-187.68190000000001</v>
      </c>
      <c r="H7160" s="1">
        <v>-1.5475199999999999E-6</v>
      </c>
      <c r="I7160">
        <v>-37.718409999999999</v>
      </c>
      <c r="J7160">
        <v>-194.54750000000001</v>
      </c>
      <c r="K7160">
        <v>1.1155379999999999</v>
      </c>
      <c r="L7160">
        <v>-52.10089</v>
      </c>
      <c r="M7160">
        <v>0.67439169999999904</v>
      </c>
      <c r="N7160">
        <v>-1.423902E-2</v>
      </c>
      <c r="O7160">
        <v>0.73823640000000001</v>
      </c>
      <c r="P7160">
        <v>0.53051769999999998</v>
      </c>
      <c r="Q7160">
        <v>0.17744399999999999</v>
      </c>
      <c r="R7160">
        <v>0.82889360000000001</v>
      </c>
      <c r="S7160">
        <v>1.346176</v>
      </c>
      <c r="T7160">
        <v>-0.216223</v>
      </c>
      <c r="U7160">
        <v>2.8059080000000001</v>
      </c>
      <c r="V7160">
        <v>-0.16960890000000001</v>
      </c>
      <c r="W7160">
        <v>0.18925120000000001</v>
      </c>
      <c r="X7160">
        <v>0.96716950000000002</v>
      </c>
      <c r="Y7160">
        <v>-0.28880670000000003</v>
      </c>
      <c r="Z7160">
        <v>-3.2382609999999999E-2</v>
      </c>
      <c r="AA7160">
        <v>0.95683960000000001</v>
      </c>
      <c r="AB7160">
        <v>22</v>
      </c>
      <c r="AC7160">
        <v>6.8655999999999997</v>
      </c>
      <c r="AD7160">
        <v>-1.1155395475199901</v>
      </c>
      <c r="AE7160">
        <v>14.382479999999999</v>
      </c>
      <c r="AF7160">
        <v>-4.6088780014364898</v>
      </c>
      <c r="AG7160">
        <v>-1.1155395475199901</v>
      </c>
      <c r="AH7160">
        <v>15.174971278132199</v>
      </c>
      <c r="AI7160">
        <v>94.023512271201497</v>
      </c>
      <c r="AJ7160">
        <v>106.894362848813</v>
      </c>
      <c r="AK7160">
        <v>15.8986143486262</v>
      </c>
      <c r="AL7160">
        <v>79.090911885800907</v>
      </c>
      <c r="AM7160">
        <v>99.946605933305406</v>
      </c>
      <c r="AN7160">
        <v>1.0000000186954401</v>
      </c>
    </row>
    <row r="7161" spans="1:40" x14ac:dyDescent="0.25">
      <c r="A7161" t="str">
        <f>"20190304155241104"</f>
        <v>20190304155241104</v>
      </c>
      <c r="B7161" t="str">
        <f>"1551685961094256"</f>
        <v>1551685961094256</v>
      </c>
      <c r="C7161" t="s">
        <v>40</v>
      </c>
      <c r="D7161">
        <v>4.7156630000000002</v>
      </c>
      <c r="E7161">
        <v>0.4500458</v>
      </c>
      <c r="F7161" t="s">
        <v>41</v>
      </c>
      <c r="G7161">
        <v>-187.5898</v>
      </c>
      <c r="H7161" s="1">
        <v>-1.6689170000000001E-6</v>
      </c>
      <c r="I7161">
        <v>-37.473489999999998</v>
      </c>
      <c r="J7161">
        <v>-194.47049999999999</v>
      </c>
      <c r="K7161">
        <v>1.1155310000000001</v>
      </c>
      <c r="L7161">
        <v>-52.009279999999997</v>
      </c>
      <c r="M7161">
        <v>0.67108190000000001</v>
      </c>
      <c r="N7161">
        <v>-1.423687E-2</v>
      </c>
      <c r="O7161">
        <v>0.74124650000000003</v>
      </c>
      <c r="P7161">
        <v>0.52689079999999999</v>
      </c>
      <c r="Q7161">
        <v>0.17757890000000001</v>
      </c>
      <c r="R7161">
        <v>0.831175</v>
      </c>
      <c r="S7161">
        <v>1.336487</v>
      </c>
      <c r="T7161">
        <v>-0.21428230000000001</v>
      </c>
      <c r="U7161">
        <v>2.8097530000000002</v>
      </c>
      <c r="V7161">
        <v>-0.16948579999999999</v>
      </c>
      <c r="W7161">
        <v>0.18938830000000001</v>
      </c>
      <c r="X7161">
        <v>0.96716420000000003</v>
      </c>
      <c r="Y7161">
        <v>-0.28772049999999999</v>
      </c>
      <c r="Z7161">
        <v>-3.223471E-2</v>
      </c>
      <c r="AA7161">
        <v>0.95717180000000002</v>
      </c>
      <c r="AB7161">
        <v>22</v>
      </c>
      <c r="AC7161">
        <v>6.8806999999999903</v>
      </c>
      <c r="AD7161">
        <v>-1.115532668917</v>
      </c>
      <c r="AE7161">
        <v>14.535789999999899</v>
      </c>
      <c r="AF7161">
        <v>-4.6325928879679799</v>
      </c>
      <c r="AG7161">
        <v>-1.115532668917</v>
      </c>
      <c r="AH7161">
        <v>15.319965019671899</v>
      </c>
      <c r="AI7161">
        <v>93.986994043477495</v>
      </c>
      <c r="AJ7161">
        <v>106.824752805139</v>
      </c>
      <c r="AK7161">
        <v>16.043897849495401</v>
      </c>
      <c r="AL7161">
        <v>79.082911500942103</v>
      </c>
      <c r="AM7161">
        <v>99.939584212345594</v>
      </c>
      <c r="AN7161">
        <v>0.99999997717008404</v>
      </c>
    </row>
    <row r="7162" spans="1:40" x14ac:dyDescent="0.25">
      <c r="A7162" t="str">
        <f>"20190304155241124"</f>
        <v>20190304155241124</v>
      </c>
      <c r="B7162" t="str">
        <f>"1551685961113776"</f>
        <v>1551685961113776</v>
      </c>
      <c r="C7162" t="s">
        <v>40</v>
      </c>
      <c r="D7162">
        <v>4.9123910000000004</v>
      </c>
      <c r="E7162">
        <v>0.45070929999999998</v>
      </c>
      <c r="F7162" t="s">
        <v>41</v>
      </c>
      <c r="G7162">
        <v>-187.5925</v>
      </c>
      <c r="H7162" s="1">
        <v>-1.6952140000000001E-6</v>
      </c>
      <c r="I7162">
        <v>-37.411079999999998</v>
      </c>
      <c r="J7162">
        <v>-194.34880000000001</v>
      </c>
      <c r="K7162">
        <v>1.1155189999999999</v>
      </c>
      <c r="L7162">
        <v>-51.862609999999997</v>
      </c>
      <c r="M7162">
        <v>0.66578079999999995</v>
      </c>
      <c r="N7162">
        <v>-1.423336E-2</v>
      </c>
      <c r="O7162">
        <v>0.74601169999999895</v>
      </c>
      <c r="P7162">
        <v>0.52086690000000002</v>
      </c>
      <c r="Q7162">
        <v>0.17746400000000001</v>
      </c>
      <c r="R7162">
        <v>0.83498760000000005</v>
      </c>
      <c r="S7162">
        <v>1.3261259999999999</v>
      </c>
      <c r="T7162">
        <v>-0.21508279999999999</v>
      </c>
      <c r="U7162">
        <v>2.8146360000000001</v>
      </c>
      <c r="V7162">
        <v>-0.1695943</v>
      </c>
      <c r="W7162">
        <v>0.18927359999999999</v>
      </c>
      <c r="X7162">
        <v>0.96716769999999996</v>
      </c>
      <c r="Y7162">
        <v>-0.28442699999999999</v>
      </c>
      <c r="Z7162">
        <v>-3.2825409999999999E-2</v>
      </c>
      <c r="AA7162">
        <v>0.95813559999999998</v>
      </c>
      <c r="AB7162">
        <v>22</v>
      </c>
      <c r="AC7162">
        <v>6.7563000000000004</v>
      </c>
      <c r="AD7162">
        <v>-1.115520695214</v>
      </c>
      <c r="AE7162">
        <v>14.451529999999901</v>
      </c>
      <c r="AF7162">
        <v>-4.5594421646933299</v>
      </c>
      <c r="AG7162">
        <v>-1.115520695214</v>
      </c>
      <c r="AH7162">
        <v>15.2064183445456</v>
      </c>
      <c r="AI7162">
        <v>94.019447255814399</v>
      </c>
      <c r="AJ7162">
        <v>106.690659542962</v>
      </c>
      <c r="AK7162">
        <v>15.9143978253645</v>
      </c>
      <c r="AL7162">
        <v>79.089605084778597</v>
      </c>
      <c r="AM7162">
        <v>99.945784963100706</v>
      </c>
      <c r="AN7162">
        <v>1.0000000410863601</v>
      </c>
    </row>
    <row r="7163" spans="1:40" x14ac:dyDescent="0.25">
      <c r="A7163" t="str">
        <f>"20190304155241138"</f>
        <v>20190304155241138</v>
      </c>
      <c r="B7163" t="str">
        <f>"1551685961133297"</f>
        <v>1551685961133297</v>
      </c>
      <c r="C7163" t="s">
        <v>40</v>
      </c>
      <c r="D7163">
        <v>4.7774479999999997</v>
      </c>
      <c r="E7163">
        <v>0.45143680000000003</v>
      </c>
      <c r="F7163" t="s">
        <v>41</v>
      </c>
      <c r="G7163">
        <v>-187.46420000000001</v>
      </c>
      <c r="H7163" s="1">
        <v>-1.877162E-6</v>
      </c>
      <c r="I7163">
        <v>-37.040019999999998</v>
      </c>
      <c r="J7163">
        <v>-194.26779999999999</v>
      </c>
      <c r="K7163">
        <v>1.115507</v>
      </c>
      <c r="L7163">
        <v>-51.76379</v>
      </c>
      <c r="M7163">
        <v>0.66220999999999997</v>
      </c>
      <c r="N7163">
        <v>-1.423103E-2</v>
      </c>
      <c r="O7163">
        <v>0.74918309999999999</v>
      </c>
      <c r="P7163">
        <v>0.51685429999999999</v>
      </c>
      <c r="Q7163">
        <v>0.17704819999999999</v>
      </c>
      <c r="R7163">
        <v>0.83756520000000001</v>
      </c>
      <c r="S7163">
        <v>1.310135</v>
      </c>
      <c r="T7163">
        <v>-0.21228369999999999</v>
      </c>
      <c r="U7163">
        <v>2.8207399999999998</v>
      </c>
      <c r="V7163">
        <v>-0.16966519999999999</v>
      </c>
      <c r="W7163">
        <v>0.18885879999999999</v>
      </c>
      <c r="X7163">
        <v>0.96723630000000005</v>
      </c>
      <c r="Y7163">
        <v>-0.28510029999999997</v>
      </c>
      <c r="Z7163">
        <v>-3.2457659999999999E-2</v>
      </c>
      <c r="AA7163">
        <v>0.95794800000000002</v>
      </c>
      <c r="AB7163">
        <v>22</v>
      </c>
      <c r="AC7163">
        <v>6.8035999999999799</v>
      </c>
      <c r="AD7163">
        <v>-1.1155088771619901</v>
      </c>
      <c r="AE7163">
        <v>14.72377</v>
      </c>
      <c r="AF7163">
        <v>-4.6316493287807399</v>
      </c>
      <c r="AG7163">
        <v>-1.1155088771619901</v>
      </c>
      <c r="AH7163">
        <v>15.464637956087399</v>
      </c>
      <c r="AI7163">
        <v>93.952871092412707</v>
      </c>
      <c r="AJ7163">
        <v>106.67292503822</v>
      </c>
      <c r="AK7163">
        <v>16.181828162253002</v>
      </c>
      <c r="AL7163">
        <v>79.113807359424598</v>
      </c>
      <c r="AM7163">
        <v>99.949168209041105</v>
      </c>
      <c r="AN7163">
        <v>0.99999999323308497</v>
      </c>
    </row>
    <row r="7164" spans="1:40" x14ac:dyDescent="0.25">
      <c r="A7164" t="str">
        <f>"20190304155241149"</f>
        <v>20190304155241149</v>
      </c>
      <c r="B7164" t="str">
        <f>"1551685961144033"</f>
        <v>1551685961144033</v>
      </c>
      <c r="C7164" t="s">
        <v>40</v>
      </c>
      <c r="D7164">
        <v>4.8990349999999996</v>
      </c>
      <c r="E7164">
        <v>0.4517177</v>
      </c>
      <c r="F7164" t="s">
        <v>41</v>
      </c>
      <c r="G7164">
        <v>-187.5119</v>
      </c>
      <c r="H7164" s="1">
        <v>-1.84017E-6</v>
      </c>
      <c r="I7164">
        <v>-37.10651</v>
      </c>
      <c r="J7164">
        <v>-194.19460000000001</v>
      </c>
      <c r="K7164">
        <v>1.115499</v>
      </c>
      <c r="L7164">
        <v>-51.673859999999998</v>
      </c>
      <c r="M7164">
        <v>0.65895419999999905</v>
      </c>
      <c r="N7164">
        <v>-1.422878E-2</v>
      </c>
      <c r="O7164">
        <v>0.75204850000000001</v>
      </c>
      <c r="P7164">
        <v>0.51323790000000002</v>
      </c>
      <c r="Q7164">
        <v>0.17685390000000001</v>
      </c>
      <c r="R7164">
        <v>0.83982710000000005</v>
      </c>
      <c r="S7164">
        <v>1.3016509999999999</v>
      </c>
      <c r="T7164">
        <v>-0.214924</v>
      </c>
      <c r="U7164">
        <v>2.8240050000000001</v>
      </c>
      <c r="V7164">
        <v>-0.16966149999999999</v>
      </c>
      <c r="W7164">
        <v>0.18866630000000001</v>
      </c>
      <c r="X7164">
        <v>0.96727450000000004</v>
      </c>
      <c r="Y7164">
        <v>-0.28374870000000002</v>
      </c>
      <c r="Z7164">
        <v>-3.3255470000000002E-2</v>
      </c>
      <c r="AA7164">
        <v>0.9583218</v>
      </c>
      <c r="AB7164">
        <v>22</v>
      </c>
      <c r="AC7164">
        <v>6.6827000000000103</v>
      </c>
      <c r="AD7164">
        <v>-1.11550084017</v>
      </c>
      <c r="AE7164">
        <v>14.5673499999999</v>
      </c>
      <c r="AF7164">
        <v>-4.5519139677587699</v>
      </c>
      <c r="AG7164">
        <v>-1.11550084017</v>
      </c>
      <c r="AH7164">
        <v>15.2864491680846</v>
      </c>
      <c r="AI7164">
        <v>94.000656494396495</v>
      </c>
      <c r="AJ7164">
        <v>106.582186714404</v>
      </c>
      <c r="AK7164">
        <v>15.9887395082518</v>
      </c>
      <c r="AL7164">
        <v>79.125038536299797</v>
      </c>
      <c r="AM7164">
        <v>99.948570517823001</v>
      </c>
      <c r="AN7164">
        <v>0.999999977844094</v>
      </c>
    </row>
    <row r="7165" spans="1:40" x14ac:dyDescent="0.25">
      <c r="A7165" t="str">
        <f>"20190304155241169"</f>
        <v>20190304155241169</v>
      </c>
      <c r="B7165" t="str">
        <f>"1551685961163553"</f>
        <v>1551685961163553</v>
      </c>
      <c r="C7165" t="s">
        <v>40</v>
      </c>
      <c r="D7165">
        <v>4.7435340000000004</v>
      </c>
      <c r="E7165">
        <v>0.45233469999999998</v>
      </c>
      <c r="F7165" t="s">
        <v>41</v>
      </c>
      <c r="G7165">
        <v>-187.4324</v>
      </c>
      <c r="H7165" s="1">
        <v>-1.9592069999999998E-6</v>
      </c>
      <c r="I7165">
        <v>-36.861919999999998</v>
      </c>
      <c r="J7165">
        <v>-194.07560000000001</v>
      </c>
      <c r="K7165">
        <v>1.1154839999999999</v>
      </c>
      <c r="L7165">
        <v>-51.52563</v>
      </c>
      <c r="M7165">
        <v>0.65358870000000002</v>
      </c>
      <c r="N7165">
        <v>-1.4223599999999999E-2</v>
      </c>
      <c r="O7165">
        <v>0.75671630000000001</v>
      </c>
      <c r="P7165">
        <v>0.50718560000000001</v>
      </c>
      <c r="Q7165">
        <v>0.17654239999999999</v>
      </c>
      <c r="R7165">
        <v>0.84356129999999996</v>
      </c>
      <c r="S7165">
        <v>1.2910919999999999</v>
      </c>
      <c r="T7165">
        <v>-0.21297940000000001</v>
      </c>
      <c r="U7165">
        <v>2.8280029999999998</v>
      </c>
      <c r="V7165">
        <v>-0.16977110000000001</v>
      </c>
      <c r="W7165">
        <v>0.18835350000000001</v>
      </c>
      <c r="X7165">
        <v>0.96731630000000002</v>
      </c>
      <c r="Y7165">
        <v>-0.28040300000000001</v>
      </c>
      <c r="Z7165">
        <v>-3.3275239999999998E-2</v>
      </c>
      <c r="AA7165">
        <v>0.95930539999999997</v>
      </c>
      <c r="AB7165">
        <v>22</v>
      </c>
      <c r="AC7165">
        <v>6.6432000000000002</v>
      </c>
      <c r="AD7165">
        <v>-1.1154859592070001</v>
      </c>
      <c r="AE7165">
        <v>14.66371</v>
      </c>
      <c r="AF7165">
        <v>-4.5357007115439201</v>
      </c>
      <c r="AG7165">
        <v>-1.1154859592070001</v>
      </c>
      <c r="AH7165">
        <v>15.3659723920644</v>
      </c>
      <c r="AI7165">
        <v>93.982773612072094</v>
      </c>
      <c r="AJ7165">
        <v>106.44545367165099</v>
      </c>
      <c r="AK7165">
        <v>16.060199171354501</v>
      </c>
      <c r="AL7165">
        <v>79.143288589921099</v>
      </c>
      <c r="AM7165">
        <v>99.954447129725693</v>
      </c>
      <c r="AN7165">
        <v>1.0000000458015701</v>
      </c>
    </row>
    <row r="7166" spans="1:40" x14ac:dyDescent="0.25">
      <c r="A7166" t="str">
        <f>"20190304155241182"</f>
        <v>20190304155241182</v>
      </c>
      <c r="B7166" t="str">
        <f>"1551685961174289"</f>
        <v>1551685961174289</v>
      </c>
      <c r="C7166" t="s">
        <v>40</v>
      </c>
      <c r="D7166">
        <v>4.6466409999999998</v>
      </c>
      <c r="E7166">
        <v>0.45268760000000002</v>
      </c>
      <c r="F7166" t="s">
        <v>41</v>
      </c>
      <c r="G7166">
        <v>-187.56610000000001</v>
      </c>
      <c r="H7166" s="1">
        <v>-1.852399E-6</v>
      </c>
      <c r="I7166">
        <v>-37.055630000000001</v>
      </c>
      <c r="J7166">
        <v>-194.00059999999999</v>
      </c>
      <c r="K7166">
        <v>1.1154770000000001</v>
      </c>
      <c r="L7166">
        <v>-51.431060000000002</v>
      </c>
      <c r="M7166">
        <v>0.65016600000000002</v>
      </c>
      <c r="N7166">
        <v>-1.4219280000000001E-2</v>
      </c>
      <c r="O7166">
        <v>0.75965919999999998</v>
      </c>
      <c r="P7166">
        <v>0.50325880000000001</v>
      </c>
      <c r="Q7166">
        <v>0.17652319999999999</v>
      </c>
      <c r="R7166">
        <v>0.84591380000000005</v>
      </c>
      <c r="S7166">
        <v>1.2754669999999999</v>
      </c>
      <c r="T7166">
        <v>-0.21856690000000001</v>
      </c>
      <c r="U7166">
        <v>2.8352360000000001</v>
      </c>
      <c r="V7166">
        <v>-0.1699</v>
      </c>
      <c r="W7166">
        <v>0.18833150000000001</v>
      </c>
      <c r="X7166">
        <v>0.96729790000000004</v>
      </c>
      <c r="Y7166">
        <v>-0.28139950000000002</v>
      </c>
      <c r="Z7166">
        <v>-3.463981E-2</v>
      </c>
      <c r="AA7166">
        <v>0.95896530000000002</v>
      </c>
      <c r="AB7166">
        <v>22</v>
      </c>
      <c r="AC7166">
        <v>6.4344999999999803</v>
      </c>
      <c r="AD7166">
        <v>-1.115478852399</v>
      </c>
      <c r="AE7166">
        <v>14.3754299999999</v>
      </c>
      <c r="AF7166">
        <v>-4.4365845078012702</v>
      </c>
      <c r="AG7166">
        <v>-1.115478852399</v>
      </c>
      <c r="AH7166">
        <v>15.0300535610453</v>
      </c>
      <c r="AI7166">
        <v>94.0714629748894</v>
      </c>
      <c r="AJ7166">
        <v>106.44559297336301</v>
      </c>
      <c r="AK7166">
        <v>15.7108270060141</v>
      </c>
      <c r="AL7166">
        <v>79.1445715155009</v>
      </c>
      <c r="AM7166">
        <v>99.962039474722403</v>
      </c>
      <c r="AN7166">
        <v>0.99999999561832997</v>
      </c>
    </row>
    <row r="7167" spans="1:40" x14ac:dyDescent="0.25">
      <c r="A7167" t="str">
        <f>"20190304155241194"</f>
        <v>20190304155241194</v>
      </c>
      <c r="B7167" t="str">
        <f>"1551685961184049"</f>
        <v>1551685961184049</v>
      </c>
      <c r="C7167" t="s">
        <v>40</v>
      </c>
      <c r="D7167">
        <v>4.7366219999999997</v>
      </c>
      <c r="E7167">
        <v>0.45299699999999998</v>
      </c>
      <c r="F7167" t="s">
        <v>41</v>
      </c>
      <c r="G7167">
        <v>-187.63159999999999</v>
      </c>
      <c r="H7167" s="1">
        <v>-1.8073569999999999E-6</v>
      </c>
      <c r="I7167">
        <v>-37.133499999999998</v>
      </c>
      <c r="J7167">
        <v>-193.92269999999999</v>
      </c>
      <c r="K7167">
        <v>1.115469</v>
      </c>
      <c r="L7167">
        <v>-51.331940000000003</v>
      </c>
      <c r="M7167">
        <v>0.64657439999999999</v>
      </c>
      <c r="N7167">
        <v>-1.4214610000000001E-2</v>
      </c>
      <c r="O7167">
        <v>0.76271849999999997</v>
      </c>
      <c r="P7167">
        <v>0.49910349999999998</v>
      </c>
      <c r="Q7167">
        <v>0.176542899999999</v>
      </c>
      <c r="R7167">
        <v>0.84836800000000001</v>
      </c>
      <c r="S7167">
        <v>1.2651209999999999</v>
      </c>
      <c r="T7167">
        <v>-0.22157560000000001</v>
      </c>
      <c r="U7167">
        <v>2.8400270000000001</v>
      </c>
      <c r="V7167">
        <v>-0.17007520000000001</v>
      </c>
      <c r="W7167">
        <v>0.1883474</v>
      </c>
      <c r="X7167">
        <v>0.96726400000000001</v>
      </c>
      <c r="Y7167">
        <v>-0.28040130000000002</v>
      </c>
      <c r="Z7167">
        <v>-3.5530369999999999E-2</v>
      </c>
      <c r="AA7167">
        <v>0.95922510000000005</v>
      </c>
      <c r="AB7167">
        <v>22</v>
      </c>
      <c r="AC7167">
        <v>6.2911000000000001</v>
      </c>
      <c r="AD7167">
        <v>-1.1154708073569899</v>
      </c>
      <c r="AE7167">
        <v>14.19844</v>
      </c>
      <c r="AF7167">
        <v>-4.3599580810532803</v>
      </c>
      <c r="AG7167">
        <v>-1.1154708073569899</v>
      </c>
      <c r="AH7167">
        <v>14.822111181610801</v>
      </c>
      <c r="AI7167">
        <v>94.129504014772706</v>
      </c>
      <c r="AJ7167">
        <v>106.391367656207</v>
      </c>
      <c r="AK7167">
        <v>15.490270800429499</v>
      </c>
      <c r="AL7167">
        <v>79.143643753983397</v>
      </c>
      <c r="AM7167">
        <v>99.972448657971398</v>
      </c>
      <c r="AN7167">
        <v>0.99999998121889899</v>
      </c>
    </row>
    <row r="7168" spans="1:40" x14ac:dyDescent="0.25">
      <c r="A7168" t="str">
        <f>"20190304155241208"</f>
        <v>20190304155241208</v>
      </c>
      <c r="B7168" t="str">
        <f>"1551685961203570"</f>
        <v>1551685961203570</v>
      </c>
      <c r="C7168" t="s">
        <v>40</v>
      </c>
      <c r="D7168">
        <v>4.7716830000000003</v>
      </c>
      <c r="E7168">
        <v>0.45371850000000002</v>
      </c>
      <c r="F7168" t="s">
        <v>41</v>
      </c>
      <c r="G7168">
        <v>-187.63329999999999</v>
      </c>
      <c r="H7168" s="1">
        <v>-1.8394459999999999E-6</v>
      </c>
      <c r="I7168">
        <v>-37.058</v>
      </c>
      <c r="J7168">
        <v>-193.84710000000001</v>
      </c>
      <c r="K7168">
        <v>1.115461</v>
      </c>
      <c r="L7168">
        <v>-51.234990000000003</v>
      </c>
      <c r="M7168">
        <v>0.64305849999999998</v>
      </c>
      <c r="N7168">
        <v>-1.4209940000000001E-2</v>
      </c>
      <c r="O7168">
        <v>0.76568530000000001</v>
      </c>
      <c r="P7168">
        <v>0.49502380000000001</v>
      </c>
      <c r="Q7168">
        <v>0.1766839</v>
      </c>
      <c r="R7168">
        <v>0.85072569999999903</v>
      </c>
      <c r="S7168">
        <v>1.253555</v>
      </c>
      <c r="T7168">
        <v>-0.22232689999999999</v>
      </c>
      <c r="U7168">
        <v>2.8449710000000001</v>
      </c>
      <c r="V7168">
        <v>-0.17025009999999999</v>
      </c>
      <c r="W7168">
        <v>0.18848419999999999</v>
      </c>
      <c r="X7168">
        <v>0.96720660000000003</v>
      </c>
      <c r="Y7168">
        <v>-0.2798717</v>
      </c>
      <c r="Z7168">
        <v>-3.5926E-2</v>
      </c>
      <c r="AA7168">
        <v>0.95936500000000002</v>
      </c>
      <c r="AB7168">
        <v>22</v>
      </c>
      <c r="AC7168">
        <v>6.2138000000000098</v>
      </c>
      <c r="AD7168">
        <v>-1.115462839446</v>
      </c>
      <c r="AE7168">
        <v>14.17699</v>
      </c>
      <c r="AF7168">
        <v>-4.3367373547756198</v>
      </c>
      <c r="AG7168">
        <v>-1.115462839446</v>
      </c>
      <c r="AH7168">
        <v>14.775716619249501</v>
      </c>
      <c r="AI7168">
        <v>94.143119264171901</v>
      </c>
      <c r="AJ7168">
        <v>106.357194253798</v>
      </c>
      <c r="AK7168">
        <v>15.439344216735901</v>
      </c>
      <c r="AL7168">
        <v>79.135662937715196</v>
      </c>
      <c r="AM7168">
        <v>99.983078340353799</v>
      </c>
      <c r="AN7168">
        <v>0.99999999864160505</v>
      </c>
    </row>
    <row r="7169" spans="1:40" x14ac:dyDescent="0.25">
      <c r="A7169" t="str">
        <f>"20190304155241225"</f>
        <v>20190304155241225</v>
      </c>
      <c r="B7169" t="str">
        <f>"1551685961214304"</f>
        <v>1551685961214304</v>
      </c>
      <c r="C7169" t="s">
        <v>40</v>
      </c>
      <c r="D7169">
        <v>4.7041389999999996</v>
      </c>
      <c r="E7169">
        <v>0.45399450000000002</v>
      </c>
      <c r="F7169" t="s">
        <v>41</v>
      </c>
      <c r="G7169">
        <v>-187.67240000000001</v>
      </c>
      <c r="H7169" s="1">
        <v>-1.810598E-6</v>
      </c>
      <c r="I7169">
        <v>-37.109090000000002</v>
      </c>
      <c r="J7169">
        <v>-193.7456</v>
      </c>
      <c r="K7169">
        <v>1.115451</v>
      </c>
      <c r="L7169">
        <v>-51.102969999999999</v>
      </c>
      <c r="M7169">
        <v>0.6382719</v>
      </c>
      <c r="N7169">
        <v>-1.419986E-2</v>
      </c>
      <c r="O7169">
        <v>0.76968000000000003</v>
      </c>
      <c r="P7169">
        <v>0.48994080000000001</v>
      </c>
      <c r="Q7169">
        <v>0.17632429999999999</v>
      </c>
      <c r="R7169">
        <v>0.85373759999999999</v>
      </c>
      <c r="S7169">
        <v>1.245163</v>
      </c>
      <c r="T7169">
        <v>-0.22493969999999999</v>
      </c>
      <c r="U7169">
        <v>2.8485719999999999</v>
      </c>
      <c r="V7169">
        <v>-0.17002639999999999</v>
      </c>
      <c r="W7169">
        <v>0.18812309999999999</v>
      </c>
      <c r="X7169">
        <v>0.96731630000000002</v>
      </c>
      <c r="Y7169">
        <v>-0.27671950000000001</v>
      </c>
      <c r="Z7169">
        <v>-3.6882039999999998E-2</v>
      </c>
      <c r="AA7169">
        <v>0.9602427</v>
      </c>
      <c r="AB7169">
        <v>22</v>
      </c>
      <c r="AC7169">
        <v>6.0731999999999804</v>
      </c>
      <c r="AD7169">
        <v>-1.1154528105979999</v>
      </c>
      <c r="AE7169">
        <v>13.9938799999999</v>
      </c>
      <c r="AF7169">
        <v>-4.2352646547506696</v>
      </c>
      <c r="AG7169">
        <v>-1.1154528105979999</v>
      </c>
      <c r="AH7169">
        <v>14.570734890134901</v>
      </c>
      <c r="AI7169">
        <v>94.204355179912199</v>
      </c>
      <c r="AJ7169">
        <v>106.20752348044699</v>
      </c>
      <c r="AK7169">
        <v>15.214730260739</v>
      </c>
      <c r="AL7169">
        <v>79.156729876024798</v>
      </c>
      <c r="AM7169">
        <v>99.969116444146394</v>
      </c>
      <c r="AN7169">
        <v>1.0000000508481199</v>
      </c>
    </row>
    <row r="7170" spans="1:40" x14ac:dyDescent="0.25">
      <c r="A7170" t="str">
        <f>"20190304155241238"</f>
        <v>20190304155241238</v>
      </c>
      <c r="B7170" t="str">
        <f>"1551685961233824"</f>
        <v>1551685961233824</v>
      </c>
      <c r="C7170" t="s">
        <v>40</v>
      </c>
      <c r="D7170">
        <v>4.8143379999999896</v>
      </c>
      <c r="E7170">
        <v>0.45392139999999997</v>
      </c>
      <c r="F7170" t="s">
        <v>41</v>
      </c>
      <c r="G7170">
        <v>-187.67930000000001</v>
      </c>
      <c r="H7170" s="1">
        <v>-1.8470399999999999E-6</v>
      </c>
      <c r="I7170">
        <v>-37.02131</v>
      </c>
      <c r="J7170">
        <v>-193.66839999999999</v>
      </c>
      <c r="K7170">
        <v>1.1154470000000001</v>
      </c>
      <c r="L7170">
        <v>-51.001370000000001</v>
      </c>
      <c r="M7170">
        <v>0.63458809999999999</v>
      </c>
      <c r="N7170">
        <v>-1.418998E-2</v>
      </c>
      <c r="O7170">
        <v>0.77272030000000003</v>
      </c>
      <c r="P7170">
        <v>0.4858905</v>
      </c>
      <c r="Q7170">
        <v>0.1764936</v>
      </c>
      <c r="R7170">
        <v>0.85601430000000001</v>
      </c>
      <c r="S7170">
        <v>1.2298579999999999</v>
      </c>
      <c r="T7170">
        <v>-0.22614239999999999</v>
      </c>
      <c r="U7170">
        <v>2.8548580000000001</v>
      </c>
      <c r="V7170">
        <v>-0.16996429999999901</v>
      </c>
      <c r="W7170">
        <v>0.1882856</v>
      </c>
      <c r="X7170">
        <v>0.96729549999999997</v>
      </c>
      <c r="Y7170">
        <v>-0.27724500000000002</v>
      </c>
      <c r="Z7170">
        <v>-3.7364330000000001E-2</v>
      </c>
      <c r="AA7170">
        <v>0.9600725</v>
      </c>
      <c r="AB7170">
        <v>22</v>
      </c>
      <c r="AC7170">
        <v>5.9890999999999703</v>
      </c>
      <c r="AD7170">
        <v>-1.1154488470399999</v>
      </c>
      <c r="AE7170">
        <v>13.98006</v>
      </c>
      <c r="AF7170">
        <v>-4.2214007622688596</v>
      </c>
      <c r="AG7170">
        <v>-1.1154488470399999</v>
      </c>
      <c r="AH7170">
        <v>14.526618836816899</v>
      </c>
      <c r="AI7170">
        <v>94.217143185166606</v>
      </c>
      <c r="AJ7170">
        <v>106.20373842670899</v>
      </c>
      <c r="AK7170">
        <v>15.168622394806</v>
      </c>
      <c r="AL7170">
        <v>79.147248877519402</v>
      </c>
      <c r="AM7170">
        <v>99.9657583497536</v>
      </c>
      <c r="AN7170">
        <v>0.99999995738104897</v>
      </c>
    </row>
    <row r="7171" spans="1:40" x14ac:dyDescent="0.25">
      <c r="A7171" t="str">
        <f>"20190304155241254"</f>
        <v>20190304155241254</v>
      </c>
      <c r="B7171" t="str">
        <f>"1551685961243585"</f>
        <v>1551685961243585</v>
      </c>
      <c r="C7171" t="s">
        <v>40</v>
      </c>
      <c r="D7171">
        <v>4.7114830000000003</v>
      </c>
      <c r="E7171">
        <v>0.45363029999999999</v>
      </c>
      <c r="F7171" t="s">
        <v>41</v>
      </c>
      <c r="G7171">
        <v>-187.5907</v>
      </c>
      <c r="H7171" s="1">
        <v>-2.0007019999999998E-6</v>
      </c>
      <c r="I7171">
        <v>-36.699739999999998</v>
      </c>
      <c r="J7171">
        <v>-193.57820000000001</v>
      </c>
      <c r="K7171">
        <v>1.115437</v>
      </c>
      <c r="L7171">
        <v>-50.881529999999998</v>
      </c>
      <c r="M7171">
        <v>0.63023750000000001</v>
      </c>
      <c r="N7171">
        <v>-1.417759E-2</v>
      </c>
      <c r="O7171">
        <v>0.77627299999999999</v>
      </c>
      <c r="P7171">
        <v>0.48113640000000002</v>
      </c>
      <c r="Q7171">
        <v>0.17638579999999901</v>
      </c>
      <c r="R7171">
        <v>0.85871759999999997</v>
      </c>
      <c r="S7171">
        <v>1.215652</v>
      </c>
      <c r="T7171">
        <v>-0.2231108</v>
      </c>
      <c r="U7171">
        <v>2.8605960000000001</v>
      </c>
      <c r="V7171">
        <v>-0.16990350000000001</v>
      </c>
      <c r="W7171">
        <v>0.18817039999999999</v>
      </c>
      <c r="X7171">
        <v>0.96732870000000004</v>
      </c>
      <c r="Y7171">
        <v>-0.2765745</v>
      </c>
      <c r="Z7171">
        <v>-3.6993430000000001E-2</v>
      </c>
      <c r="AA7171">
        <v>0.96028020000000003</v>
      </c>
      <c r="AB7171">
        <v>22</v>
      </c>
      <c r="AC7171">
        <v>5.9875000000000096</v>
      </c>
      <c r="AD7171">
        <v>-1.1154390007019901</v>
      </c>
      <c r="AE7171">
        <v>14.1817899999999</v>
      </c>
      <c r="AF7171">
        <v>-4.2679837173169801</v>
      </c>
      <c r="AG7171">
        <v>-1.1154390007019901</v>
      </c>
      <c r="AH7171">
        <v>14.7067566755656</v>
      </c>
      <c r="AI7171">
        <v>94.166070990582199</v>
      </c>
      <c r="AJ7171">
        <v>106.183026641808</v>
      </c>
      <c r="AK7171">
        <v>15.354106326643199</v>
      </c>
      <c r="AL7171">
        <v>79.153970565810098</v>
      </c>
      <c r="AM7171">
        <v>99.961929738939205</v>
      </c>
      <c r="AN7171">
        <v>1.0000000562960401</v>
      </c>
    </row>
    <row r="7172" spans="1:40" x14ac:dyDescent="0.25">
      <c r="A7172" t="str">
        <f>"20190304155241271"</f>
        <v>20190304155241271</v>
      </c>
      <c r="B7172" t="str">
        <f>"1551685961264081"</f>
        <v>1551685961264081</v>
      </c>
      <c r="C7172" t="s">
        <v>40</v>
      </c>
      <c r="D7172">
        <v>4.7478619999999996</v>
      </c>
      <c r="E7172">
        <v>0.45277309999999998</v>
      </c>
      <c r="F7172" t="s">
        <v>41</v>
      </c>
      <c r="G7172">
        <v>-187.61660000000001</v>
      </c>
      <c r="H7172" s="1">
        <v>-2.0371240000000002E-6</v>
      </c>
      <c r="I7172">
        <v>-36.604149999999997</v>
      </c>
      <c r="J7172">
        <v>-193.48179999999999</v>
      </c>
      <c r="K7172">
        <v>1.1154280000000001</v>
      </c>
      <c r="L7172">
        <v>-50.752139999999997</v>
      </c>
      <c r="M7172">
        <v>0.62553649999999905</v>
      </c>
      <c r="N7172">
        <v>-1.4163419999999999E-2</v>
      </c>
      <c r="O7172">
        <v>0.78006640000000005</v>
      </c>
      <c r="P7172">
        <v>0.47609459999999998</v>
      </c>
      <c r="Q7172">
        <v>0.17640020000000001</v>
      </c>
      <c r="R7172">
        <v>0.86152019999999996</v>
      </c>
      <c r="S7172">
        <v>1.1977690000000001</v>
      </c>
      <c r="T7172">
        <v>-0.22410759999999999</v>
      </c>
      <c r="U7172">
        <v>2.8685299999999998</v>
      </c>
      <c r="V7172">
        <v>-0.1697234</v>
      </c>
      <c r="W7172">
        <v>0.18817739999999999</v>
      </c>
      <c r="X7172">
        <v>0.96735890000000002</v>
      </c>
      <c r="Y7172">
        <v>-0.27681830000000002</v>
      </c>
      <c r="Z7172">
        <v>-3.7488210000000001E-2</v>
      </c>
      <c r="AA7172">
        <v>0.96019069999999995</v>
      </c>
      <c r="AB7172">
        <v>22</v>
      </c>
      <c r="AC7172">
        <v>5.8651999999999802</v>
      </c>
      <c r="AD7172">
        <v>-1.115430037124</v>
      </c>
      <c r="AE7172">
        <v>14.14799</v>
      </c>
      <c r="AF7172">
        <v>-4.2527101198647204</v>
      </c>
      <c r="AG7172">
        <v>-1.115430037124</v>
      </c>
      <c r="AH7172">
        <v>14.629146915034401</v>
      </c>
      <c r="AI7172">
        <v>94.187506762967303</v>
      </c>
      <c r="AJ7172">
        <v>106.20920958759901</v>
      </c>
      <c r="AK7172">
        <v>15.2755250971277</v>
      </c>
      <c r="AL7172">
        <v>79.153561624955501</v>
      </c>
      <c r="AM7172">
        <v>99.951276696208296</v>
      </c>
      <c r="AN7172">
        <v>1.00000000389376</v>
      </c>
    </row>
    <row r="7173" spans="1:40" x14ac:dyDescent="0.25">
      <c r="A7173" t="str">
        <f>"20190304155241293"</f>
        <v>20190304155241293</v>
      </c>
      <c r="B7173" t="str">
        <f>"1551685961283604"</f>
        <v>1551685961283604</v>
      </c>
      <c r="C7173" t="s">
        <v>40</v>
      </c>
      <c r="D7173">
        <v>4.7387389999999998</v>
      </c>
      <c r="E7173">
        <v>0.45212609999999998</v>
      </c>
      <c r="F7173" t="s">
        <v>41</v>
      </c>
      <c r="G7173">
        <v>-187.571</v>
      </c>
      <c r="H7173" s="1">
        <v>-2.1863379999999999E-6</v>
      </c>
      <c r="I7173">
        <v>-36.275149999999996</v>
      </c>
      <c r="J7173">
        <v>-193.35640000000001</v>
      </c>
      <c r="K7173">
        <v>1.1154109999999999</v>
      </c>
      <c r="L7173">
        <v>-50.580840000000002</v>
      </c>
      <c r="M7173">
        <v>0.61931239999999999</v>
      </c>
      <c r="N7173">
        <v>-1.4141010000000001E-2</v>
      </c>
      <c r="O7173">
        <v>0.78501730000000003</v>
      </c>
      <c r="P7173">
        <v>0.46942390000000001</v>
      </c>
      <c r="Q7173">
        <v>0.17671489999999901</v>
      </c>
      <c r="R7173">
        <v>0.86510869999999995</v>
      </c>
      <c r="S7173">
        <v>1.1751400000000001</v>
      </c>
      <c r="T7173">
        <v>-0.22176129999999999</v>
      </c>
      <c r="U7173">
        <v>2.8782040000000002</v>
      </c>
      <c r="V7173">
        <v>-0.16946020000000001</v>
      </c>
      <c r="W7173">
        <v>0.18847810000000001</v>
      </c>
      <c r="X7173">
        <v>0.9673465</v>
      </c>
      <c r="Y7173">
        <v>-0.27677429999999997</v>
      </c>
      <c r="Z7173">
        <v>-3.7341909999999999E-2</v>
      </c>
      <c r="AA7173">
        <v>0.96020910000000004</v>
      </c>
      <c r="AB7173">
        <v>22</v>
      </c>
      <c r="AC7173">
        <v>5.7854000000000099</v>
      </c>
      <c r="AD7173">
        <v>-1.1154131863379999</v>
      </c>
      <c r="AE7173">
        <v>14.30569</v>
      </c>
      <c r="AF7173">
        <v>-4.2960380595485903</v>
      </c>
      <c r="AG7173">
        <v>-1.1154131863379999</v>
      </c>
      <c r="AH7173">
        <v>14.7376643206227</v>
      </c>
      <c r="AI7173">
        <v>94.1558303740985</v>
      </c>
      <c r="AJ7173">
        <v>106.251435609296</v>
      </c>
      <c r="AK7173">
        <v>15.3915184180347</v>
      </c>
      <c r="AL7173">
        <v>79.136018860897195</v>
      </c>
      <c r="AM7173">
        <v>99.936277275953998</v>
      </c>
      <c r="AN7173">
        <v>1.0000000023129401</v>
      </c>
    </row>
    <row r="7174" spans="1:40" x14ac:dyDescent="0.25">
      <c r="A7174" t="str">
        <f>"20190304155241306"</f>
        <v>20190304155241306</v>
      </c>
      <c r="B7174" t="str">
        <f>"1551685961294337"</f>
        <v>1551685961294337</v>
      </c>
      <c r="C7174" t="s">
        <v>40</v>
      </c>
      <c r="D7174">
        <v>4.7360220000000002</v>
      </c>
      <c r="E7174">
        <v>0.45184439999999998</v>
      </c>
      <c r="F7174" t="s">
        <v>41</v>
      </c>
      <c r="G7174">
        <v>-187.5076</v>
      </c>
      <c r="H7174" s="1">
        <v>-2.3736719999999999E-6</v>
      </c>
      <c r="I7174">
        <v>-35.864690000000003</v>
      </c>
      <c r="J7174">
        <v>-193.28200000000001</v>
      </c>
      <c r="K7174">
        <v>1.1153959999999901</v>
      </c>
      <c r="L7174">
        <v>-50.478209999999997</v>
      </c>
      <c r="M7174">
        <v>0.61557680000000004</v>
      </c>
      <c r="N7174">
        <v>-1.412617E-2</v>
      </c>
      <c r="O7174">
        <v>0.78795029999999999</v>
      </c>
      <c r="P7174">
        <v>0.46541320000000003</v>
      </c>
      <c r="Q7174">
        <v>0.1766452</v>
      </c>
      <c r="R7174">
        <v>0.86728719999999904</v>
      </c>
      <c r="S7174">
        <v>1.148361</v>
      </c>
      <c r="T7174">
        <v>-0.219003</v>
      </c>
      <c r="U7174">
        <v>2.8894039999999999</v>
      </c>
      <c r="V7174">
        <v>-0.1693489</v>
      </c>
      <c r="W7174">
        <v>0.1883985</v>
      </c>
      <c r="X7174">
        <v>0.96738150000000001</v>
      </c>
      <c r="Y7174">
        <v>-0.2811593</v>
      </c>
      <c r="Z7174">
        <v>-3.682121E-2</v>
      </c>
      <c r="AA7174">
        <v>0.95895450000000004</v>
      </c>
      <c r="AB7174">
        <v>22</v>
      </c>
      <c r="AC7174">
        <v>5.7744000000000097</v>
      </c>
      <c r="AD7174">
        <v>-1.1153983736719999</v>
      </c>
      <c r="AE7174">
        <v>14.6135199999999</v>
      </c>
      <c r="AF7174">
        <v>-4.4239551119734601</v>
      </c>
      <c r="AG7174">
        <v>-1.1153983736719999</v>
      </c>
      <c r="AH7174">
        <v>14.995257177442999</v>
      </c>
      <c r="AI7174">
        <v>94.080759078874294</v>
      </c>
      <c r="AJ7174">
        <v>106.437304397563</v>
      </c>
      <c r="AK7174">
        <v>15.673966638423099</v>
      </c>
      <c r="AL7174">
        <v>79.140662837526904</v>
      </c>
      <c r="AM7174">
        <v>99.929529037191003</v>
      </c>
      <c r="AN7174">
        <v>1.00000000563785</v>
      </c>
    </row>
    <row r="7175" spans="1:40" x14ac:dyDescent="0.25">
      <c r="A7175" t="str">
        <f>"20190304155241318"</f>
        <v>20190304155241318</v>
      </c>
      <c r="B7175" t="str">
        <f>"1551685961313856"</f>
        <v>1551685961313856</v>
      </c>
      <c r="C7175" t="s">
        <v>40</v>
      </c>
      <c r="D7175">
        <v>4.6085180000000001</v>
      </c>
      <c r="E7175">
        <v>0.45154899999999998</v>
      </c>
      <c r="F7175" t="s">
        <v>41</v>
      </c>
      <c r="G7175">
        <v>-187.4973</v>
      </c>
      <c r="H7175" s="1">
        <v>-2.4498190000000001E-6</v>
      </c>
      <c r="I7175">
        <v>-35.691450000000003</v>
      </c>
      <c r="J7175">
        <v>-193.21</v>
      </c>
      <c r="K7175">
        <v>1.1153879999999901</v>
      </c>
      <c r="L7175">
        <v>-50.377319999999997</v>
      </c>
      <c r="M7175">
        <v>0.61191019999999996</v>
      </c>
      <c r="N7175">
        <v>-1.411137E-2</v>
      </c>
      <c r="O7175">
        <v>0.79080130000000004</v>
      </c>
      <c r="P7175">
        <v>0.46134269999999999</v>
      </c>
      <c r="Q7175">
        <v>0.17679329999999999</v>
      </c>
      <c r="R7175">
        <v>0.86942919999999901</v>
      </c>
      <c r="S7175">
        <v>1.1328129999999901</v>
      </c>
      <c r="T7175">
        <v>-0.21842619999999999</v>
      </c>
      <c r="U7175">
        <v>2.8956599999999999</v>
      </c>
      <c r="V7175">
        <v>-0.16936970000000001</v>
      </c>
      <c r="W7175">
        <v>0.18853519999999999</v>
      </c>
      <c r="X7175">
        <v>0.96735119999999997</v>
      </c>
      <c r="Y7175">
        <v>-0.28187069999999997</v>
      </c>
      <c r="Z7175">
        <v>-3.688756E-2</v>
      </c>
      <c r="AA7175">
        <v>0.95874300000000001</v>
      </c>
      <c r="AB7175">
        <v>22</v>
      </c>
      <c r="AC7175">
        <v>5.7127000000000097</v>
      </c>
      <c r="AD7175">
        <v>-1.1153904498189999</v>
      </c>
      <c r="AE7175">
        <v>14.68587</v>
      </c>
      <c r="AF7175">
        <v>-4.44698769091623</v>
      </c>
      <c r="AG7175">
        <v>-1.1153904498189999</v>
      </c>
      <c r="AH7175">
        <v>15.0354382475156</v>
      </c>
      <c r="AI7175">
        <v>94.069042217561304</v>
      </c>
      <c r="AJ7175">
        <v>106.476482750348</v>
      </c>
      <c r="AK7175">
        <v>15.718912133909299</v>
      </c>
      <c r="AL7175">
        <v>79.132687308214599</v>
      </c>
      <c r="AM7175">
        <v>99.931029201956804</v>
      </c>
      <c r="AN7175">
        <v>0.99999998052928396</v>
      </c>
    </row>
    <row r="7176" spans="1:40" x14ac:dyDescent="0.25">
      <c r="A7176" t="str">
        <f>"20190304155241338"</f>
        <v>20190304155241338</v>
      </c>
      <c r="B7176" t="str">
        <f>"1551685961334353"</f>
        <v>1551685961334353</v>
      </c>
      <c r="C7176" t="s">
        <v>40</v>
      </c>
      <c r="D7176">
        <v>4.7559019999999999</v>
      </c>
      <c r="E7176">
        <v>0.4511173</v>
      </c>
      <c r="F7176" t="s">
        <v>41</v>
      </c>
      <c r="G7176">
        <v>-187.51730000000001</v>
      </c>
      <c r="H7176" s="1">
        <v>-2.4884030000000001E-6</v>
      </c>
      <c r="I7176">
        <v>-35.593229999999998</v>
      </c>
      <c r="J7176">
        <v>-193.1095</v>
      </c>
      <c r="K7176">
        <v>1.1153789999999999</v>
      </c>
      <c r="L7176">
        <v>-50.235320000000002</v>
      </c>
      <c r="M7176">
        <v>0.60674069999999902</v>
      </c>
      <c r="N7176">
        <v>-1.408907E-2</v>
      </c>
      <c r="O7176">
        <v>0.79477489999999995</v>
      </c>
      <c r="P7176">
        <v>0.4555245</v>
      </c>
      <c r="Q7176">
        <v>0.17728579999999999</v>
      </c>
      <c r="R7176">
        <v>0.87239159999999905</v>
      </c>
      <c r="S7176">
        <v>1.117462</v>
      </c>
      <c r="T7176">
        <v>-0.2189498</v>
      </c>
      <c r="U7176">
        <v>2.9020999999999999</v>
      </c>
      <c r="V7176">
        <v>-0.1694648</v>
      </c>
      <c r="W7176">
        <v>0.18900719999999999</v>
      </c>
      <c r="X7176">
        <v>0.96724250000000001</v>
      </c>
      <c r="Y7176">
        <v>-0.28075159999999899</v>
      </c>
      <c r="Z7176">
        <v>-3.7333980000000003E-2</v>
      </c>
      <c r="AA7176">
        <v>0.95905410000000002</v>
      </c>
      <c r="AB7176">
        <v>22</v>
      </c>
      <c r="AC7176">
        <v>5.5921999999999903</v>
      </c>
      <c r="AD7176">
        <v>-1.115381488403</v>
      </c>
      <c r="AE7176">
        <v>14.64209</v>
      </c>
      <c r="AF7176">
        <v>-4.4174818245241703</v>
      </c>
      <c r="AG7176">
        <v>-1.115381488403</v>
      </c>
      <c r="AH7176">
        <v>14.955934498970199</v>
      </c>
      <c r="AI7176">
        <v>94.091010647372002</v>
      </c>
      <c r="AJ7176">
        <v>106.45537436252199</v>
      </c>
      <c r="AK7176">
        <v>15.634519444874501</v>
      </c>
      <c r="AL7176">
        <v>79.105149315851605</v>
      </c>
      <c r="AM7176">
        <v>99.9375887219135</v>
      </c>
      <c r="AN7176">
        <v>1.0000000469485599</v>
      </c>
    </row>
    <row r="7177" spans="1:40" x14ac:dyDescent="0.25">
      <c r="A7177" t="str">
        <f>"20190304155241351"</f>
        <v>20190304155241351</v>
      </c>
      <c r="B7177" t="str">
        <f>"1551685961344113"</f>
        <v>1551685961344113</v>
      </c>
      <c r="C7177" t="s">
        <v>40</v>
      </c>
      <c r="D7177">
        <v>4.7309380000000001</v>
      </c>
      <c r="E7177">
        <v>0.45093420000000001</v>
      </c>
      <c r="F7177" t="s">
        <v>41</v>
      </c>
      <c r="G7177">
        <v>-187.4521</v>
      </c>
      <c r="H7177" s="1">
        <v>-2.668999E-6</v>
      </c>
      <c r="I7177">
        <v>-35.19923</v>
      </c>
      <c r="J7177">
        <v>-193.03229999999999</v>
      </c>
      <c r="K7177">
        <v>1.11537</v>
      </c>
      <c r="L7177">
        <v>-50.124879999999997</v>
      </c>
      <c r="M7177">
        <v>0.60271790000000003</v>
      </c>
      <c r="N7177">
        <v>-1.4070249999999999E-2</v>
      </c>
      <c r="O7177">
        <v>0.79783029999999999</v>
      </c>
      <c r="P7177">
        <v>0.45114480000000001</v>
      </c>
      <c r="Q7177">
        <v>0.1771152</v>
      </c>
      <c r="R7177">
        <v>0.87469920000000001</v>
      </c>
      <c r="S7177">
        <v>1.095215</v>
      </c>
      <c r="T7177">
        <v>-0.2159259</v>
      </c>
      <c r="U7177">
        <v>2.910828</v>
      </c>
      <c r="V7177">
        <v>-0.16944319999999999</v>
      </c>
      <c r="W7177">
        <v>0.1888223</v>
      </c>
      <c r="X7177">
        <v>0.96728239999999999</v>
      </c>
      <c r="Y7177">
        <v>-0.28326230000000002</v>
      </c>
      <c r="Z7177">
        <v>-3.6811530000000002E-2</v>
      </c>
      <c r="AA7177">
        <v>0.95833570000000001</v>
      </c>
      <c r="AB7177">
        <v>22</v>
      </c>
      <c r="AC7177">
        <v>5.5801999999999898</v>
      </c>
      <c r="AD7177">
        <v>-1.115372668999</v>
      </c>
      <c r="AE7177">
        <v>14.9256499999999</v>
      </c>
      <c r="AF7177">
        <v>-4.5221969586603299</v>
      </c>
      <c r="AG7177">
        <v>-1.115372668999</v>
      </c>
      <c r="AH7177">
        <v>15.1984686521599</v>
      </c>
      <c r="AI7177">
        <v>94.023532591940196</v>
      </c>
      <c r="AJ7177">
        <v>106.570001548844</v>
      </c>
      <c r="AK7177">
        <v>15.8961558527322</v>
      </c>
      <c r="AL7177">
        <v>79.115937599225205</v>
      </c>
      <c r="AM7177">
        <v>99.935945619459204</v>
      </c>
      <c r="AN7177">
        <v>1.00000005017664</v>
      </c>
    </row>
    <row r="7178" spans="1:40" x14ac:dyDescent="0.25">
      <c r="A7178" t="str">
        <f>"20190304155241363"</f>
        <v>20190304155241363</v>
      </c>
      <c r="B7178" t="str">
        <f>"1551685961353873"</f>
        <v>1551685961353873</v>
      </c>
      <c r="C7178" t="s">
        <v>40</v>
      </c>
      <c r="D7178">
        <v>4.7466970000000002</v>
      </c>
      <c r="E7178">
        <v>0.45077610000000001</v>
      </c>
      <c r="F7178" t="s">
        <v>41</v>
      </c>
      <c r="G7178">
        <v>-187.45570000000001</v>
      </c>
      <c r="H7178" s="1">
        <v>-2.732811E-6</v>
      </c>
      <c r="I7178">
        <v>-35.04898</v>
      </c>
      <c r="J7178">
        <v>-192.9639</v>
      </c>
      <c r="K7178">
        <v>1.115362</v>
      </c>
      <c r="L7178">
        <v>-50.026150000000001</v>
      </c>
      <c r="M7178">
        <v>0.59911919999999996</v>
      </c>
      <c r="N7178">
        <v>-1.4052200000000001E-2</v>
      </c>
      <c r="O7178">
        <v>0.80053649999999998</v>
      </c>
      <c r="P7178">
        <v>0.4474532</v>
      </c>
      <c r="Q7178">
        <v>0.17678150000000001</v>
      </c>
      <c r="R7178">
        <v>0.87666069999999996</v>
      </c>
      <c r="S7178">
        <v>1.0789789999999999</v>
      </c>
      <c r="T7178">
        <v>-0.21580820000000001</v>
      </c>
      <c r="U7178">
        <v>2.9169619999999998</v>
      </c>
      <c r="V7178">
        <v>-0.16919819999999999</v>
      </c>
      <c r="W7178">
        <v>0.1884776</v>
      </c>
      <c r="X7178">
        <v>0.96739240000000004</v>
      </c>
      <c r="Y7178">
        <v>-0.2842924</v>
      </c>
      <c r="Z7178">
        <v>-3.6964810000000001E-2</v>
      </c>
      <c r="AA7178">
        <v>0.95802469999999995</v>
      </c>
      <c r="AB7178">
        <v>22</v>
      </c>
      <c r="AC7178">
        <v>5.50819999999998</v>
      </c>
      <c r="AD7178">
        <v>-1.1153647328109999</v>
      </c>
      <c r="AE7178">
        <v>14.977169999999999</v>
      </c>
      <c r="AF7178">
        <v>-4.5418579037876503</v>
      </c>
      <c r="AG7178">
        <v>-1.1153647328109999</v>
      </c>
      <c r="AH7178">
        <v>15.2170119359049</v>
      </c>
      <c r="AI7178">
        <v>94.017598305540304</v>
      </c>
      <c r="AJ7178">
        <v>106.61891173043399</v>
      </c>
      <c r="AK7178">
        <v>15.9194837844344</v>
      </c>
      <c r="AL7178">
        <v>79.136047413275406</v>
      </c>
      <c r="AM7178">
        <v>99.920759030609403</v>
      </c>
      <c r="AN7178">
        <v>0.99999994608137799</v>
      </c>
    </row>
    <row r="7179" spans="1:40" x14ac:dyDescent="0.25">
      <c r="A7179" t="str">
        <f>"20190304155241383"</f>
        <v>20190304155241383</v>
      </c>
      <c r="B7179" t="str">
        <f>"1551685961374369"</f>
        <v>1551685961374369</v>
      </c>
      <c r="C7179" t="s">
        <v>40</v>
      </c>
      <c r="D7179">
        <v>4.7391860000000001</v>
      </c>
      <c r="E7179">
        <v>0.4504726</v>
      </c>
      <c r="F7179" t="s">
        <v>41</v>
      </c>
      <c r="G7179">
        <v>-187.46610000000001</v>
      </c>
      <c r="H7179" s="1">
        <v>-2.7774969999999998E-6</v>
      </c>
      <c r="I7179">
        <v>-34.940539999999999</v>
      </c>
      <c r="J7179">
        <v>-192.86439999999999</v>
      </c>
      <c r="K7179">
        <v>1.115351</v>
      </c>
      <c r="L7179">
        <v>-49.880429999999997</v>
      </c>
      <c r="M7179">
        <v>0.59380829999999996</v>
      </c>
      <c r="N7179">
        <v>-1.402603E-2</v>
      </c>
      <c r="O7179">
        <v>0.80448430000000004</v>
      </c>
      <c r="P7179">
        <v>0.44192589999999998</v>
      </c>
      <c r="Q7179">
        <v>0.17660729999999999</v>
      </c>
      <c r="R7179">
        <v>0.87949500000000003</v>
      </c>
      <c r="S7179">
        <v>1.0649409999999999</v>
      </c>
      <c r="T7179">
        <v>-0.21604660000000001</v>
      </c>
      <c r="U7179">
        <v>2.9220890000000002</v>
      </c>
      <c r="V7179">
        <v>-0.16889860000000001</v>
      </c>
      <c r="W7179">
        <v>0.18828610000000001</v>
      </c>
      <c r="X7179">
        <v>0.96748210000000001</v>
      </c>
      <c r="Y7179">
        <v>-0.28255740000000001</v>
      </c>
      <c r="Z7179">
        <v>-3.7370960000000002E-2</v>
      </c>
      <c r="AA7179">
        <v>0.95852210000000004</v>
      </c>
      <c r="AB7179">
        <v>22</v>
      </c>
      <c r="AC7179">
        <v>5.3982999999999697</v>
      </c>
      <c r="AD7179">
        <v>-1.1153537774969999</v>
      </c>
      <c r="AE7179">
        <v>14.939889999999901</v>
      </c>
      <c r="AF7179">
        <v>-4.50681056153452</v>
      </c>
      <c r="AG7179">
        <v>-1.1153537774969999</v>
      </c>
      <c r="AH7179">
        <v>15.151266114376099</v>
      </c>
      <c r="AI7179">
        <v>94.036055438250102</v>
      </c>
      <c r="AJ7179">
        <v>106.56534063393801</v>
      </c>
      <c r="AK7179">
        <v>15.8466469751546</v>
      </c>
      <c r="AL7179">
        <v>79.147220210961294</v>
      </c>
      <c r="AM7179">
        <v>99.902640377464394</v>
      </c>
      <c r="AN7179">
        <v>1.00000000317779</v>
      </c>
    </row>
    <row r="7180" spans="1:40" x14ac:dyDescent="0.25">
      <c r="A7180" t="str">
        <f>"20190304155241406"</f>
        <v>20190304155241406</v>
      </c>
      <c r="B7180" t="str">
        <f>"1551685961393888"</f>
        <v>1551685961393888</v>
      </c>
      <c r="C7180" t="s">
        <v>40</v>
      </c>
      <c r="D7180">
        <v>4.7518129999999896</v>
      </c>
      <c r="E7180">
        <v>0.45024239999999999</v>
      </c>
      <c r="F7180" t="s">
        <v>41</v>
      </c>
      <c r="G7180">
        <v>-187.44900000000001</v>
      </c>
      <c r="H7180" s="1">
        <v>-2.8906809999999998E-6</v>
      </c>
      <c r="I7180">
        <v>-34.683779999999999</v>
      </c>
      <c r="J7180">
        <v>-192.7414</v>
      </c>
      <c r="K7180">
        <v>1.1153379999999999</v>
      </c>
      <c r="L7180">
        <v>-49.697780000000002</v>
      </c>
      <c r="M7180">
        <v>0.58713930000000003</v>
      </c>
      <c r="N7180">
        <v>-1.399158E-2</v>
      </c>
      <c r="O7180">
        <v>0.809365</v>
      </c>
      <c r="P7180">
        <v>0.43483349999999998</v>
      </c>
      <c r="Q7180">
        <v>0.17627109999999999</v>
      </c>
      <c r="R7180">
        <v>0.88309020000000005</v>
      </c>
      <c r="S7180">
        <v>1.0439909999999999</v>
      </c>
      <c r="T7180">
        <v>-0.21501899999999999</v>
      </c>
      <c r="U7180">
        <v>2.9296259999999998</v>
      </c>
      <c r="V7180">
        <v>-0.1687196</v>
      </c>
      <c r="W7180">
        <v>0.1879236</v>
      </c>
      <c r="X7180">
        <v>0.96758379999999999</v>
      </c>
      <c r="Y7180">
        <v>-0.28149469999999999</v>
      </c>
      <c r="Z7180">
        <v>-3.7541100000000001E-2</v>
      </c>
      <c r="AA7180">
        <v>0.95882820000000002</v>
      </c>
      <c r="AB7180">
        <v>22</v>
      </c>
      <c r="AC7180">
        <v>5.2923999999999802</v>
      </c>
      <c r="AD7180">
        <v>-1.1153408906809901</v>
      </c>
      <c r="AE7180">
        <v>15.013999999999999</v>
      </c>
      <c r="AF7180">
        <v>-4.5101312813831198</v>
      </c>
      <c r="AG7180">
        <v>-1.1153408906809901</v>
      </c>
      <c r="AH7180">
        <v>15.186133099058001</v>
      </c>
      <c r="AI7180">
        <v>94.027281822031995</v>
      </c>
      <c r="AJ7180">
        <v>106.540898586902</v>
      </c>
      <c r="AK7180">
        <v>15.8809290653929</v>
      </c>
      <c r="AL7180">
        <v>79.168367357279607</v>
      </c>
      <c r="AM7180">
        <v>99.891333696121393</v>
      </c>
      <c r="AN7180">
        <v>0.99999999644177995</v>
      </c>
    </row>
    <row r="7181" spans="1:40" x14ac:dyDescent="0.25">
      <c r="A7181" t="str">
        <f>"20190304155241428"</f>
        <v>20190304155241428</v>
      </c>
      <c r="B7181" t="str">
        <f>"1551685961424146"</f>
        <v>1551685961424146</v>
      </c>
      <c r="C7181" t="s">
        <v>40</v>
      </c>
      <c r="D7181">
        <v>4.7702059999999999</v>
      </c>
      <c r="E7181">
        <v>0.450073</v>
      </c>
      <c r="F7181" t="s">
        <v>41</v>
      </c>
      <c r="G7181">
        <v>-187.4555</v>
      </c>
      <c r="H7181" s="1">
        <v>-2.9904440000000001E-6</v>
      </c>
      <c r="I7181">
        <v>-34.448520000000002</v>
      </c>
      <c r="J7181">
        <v>-192.62719999999999</v>
      </c>
      <c r="K7181">
        <v>1.1153310000000001</v>
      </c>
      <c r="L7181">
        <v>-49.525019999999998</v>
      </c>
      <c r="M7181">
        <v>0.58081910000000003</v>
      </c>
      <c r="N7181">
        <v>-1.3956909999999999E-2</v>
      </c>
      <c r="O7181">
        <v>0.813913</v>
      </c>
      <c r="P7181">
        <v>0.4284695</v>
      </c>
      <c r="Q7181">
        <v>0.175674</v>
      </c>
      <c r="R7181">
        <v>0.88631399999999905</v>
      </c>
      <c r="S7181">
        <v>1.0185850000000001</v>
      </c>
      <c r="T7181">
        <v>-0.21492430000000001</v>
      </c>
      <c r="U7181">
        <v>2.938507</v>
      </c>
      <c r="V7181">
        <v>-0.16820379999999999</v>
      </c>
      <c r="W7181">
        <v>0.187303</v>
      </c>
      <c r="X7181">
        <v>0.96779389999999998</v>
      </c>
      <c r="Y7181">
        <v>-0.28232259999999998</v>
      </c>
      <c r="Z7181">
        <v>-3.7854909999999999E-2</v>
      </c>
      <c r="AA7181">
        <v>0.95857230000000004</v>
      </c>
      <c r="AB7181">
        <v>22</v>
      </c>
      <c r="AC7181">
        <v>5.17169999999998</v>
      </c>
      <c r="AD7181">
        <v>-1.1153339904439901</v>
      </c>
      <c r="AE7181">
        <v>15.0764999999999</v>
      </c>
      <c r="AF7181">
        <v>-4.5256877707588297</v>
      </c>
      <c r="AG7181">
        <v>-1.1153339904439901</v>
      </c>
      <c r="AH7181">
        <v>15.201832081573601</v>
      </c>
      <c r="AI7181">
        <v>94.022326716138096</v>
      </c>
      <c r="AJ7181">
        <v>106.57862286864599</v>
      </c>
      <c r="AK7181">
        <v>15.9003622079812</v>
      </c>
      <c r="AL7181">
        <v>79.204567781396094</v>
      </c>
      <c r="AM7181">
        <v>99.859590176452997</v>
      </c>
      <c r="AN7181">
        <v>0.99999998251032496</v>
      </c>
    </row>
    <row r="7182" spans="1:40" x14ac:dyDescent="0.25">
      <c r="A7182" t="str">
        <f>"20190304155241443"</f>
        <v>20190304155241443</v>
      </c>
      <c r="B7182" t="str">
        <f>"1551685961433905"</f>
        <v>1551685961433905</v>
      </c>
      <c r="C7182" t="s">
        <v>40</v>
      </c>
      <c r="D7182">
        <v>4.7193670000000001</v>
      </c>
      <c r="E7182">
        <v>0.45003700000000002</v>
      </c>
      <c r="F7182" t="s">
        <v>41</v>
      </c>
      <c r="G7182">
        <v>-187.48</v>
      </c>
      <c r="H7182" s="1">
        <v>-3.0541039999999998E-6</v>
      </c>
      <c r="I7182">
        <v>-34.289990000000003</v>
      </c>
      <c r="J7182">
        <v>-192.54820000000001</v>
      </c>
      <c r="K7182">
        <v>1.115327</v>
      </c>
      <c r="L7182">
        <v>-49.403660000000002</v>
      </c>
      <c r="M7182">
        <v>0.57637260000000001</v>
      </c>
      <c r="N7182">
        <v>-1.39335E-2</v>
      </c>
      <c r="O7182">
        <v>0.81706820000000002</v>
      </c>
      <c r="P7182">
        <v>0.42371969999999998</v>
      </c>
      <c r="Q7182">
        <v>0.1756086</v>
      </c>
      <c r="R7182">
        <v>0.88860740000000005</v>
      </c>
      <c r="S7182">
        <v>0.99542240000000004</v>
      </c>
      <c r="T7182">
        <v>-0.215698</v>
      </c>
      <c r="U7182">
        <v>2.9463499999999998</v>
      </c>
      <c r="V7182">
        <v>-0.16811289999999901</v>
      </c>
      <c r="W7182">
        <v>0.1872163</v>
      </c>
      <c r="X7182">
        <v>0.96782650000000003</v>
      </c>
      <c r="Y7182">
        <v>-0.2846301</v>
      </c>
      <c r="Z7182">
        <v>-3.8226599999999999E-2</v>
      </c>
      <c r="AA7182">
        <v>0.95787500000000003</v>
      </c>
      <c r="AB7182">
        <v>22</v>
      </c>
      <c r="AC7182">
        <v>5.0682000000000098</v>
      </c>
      <c r="AD7182">
        <v>-1.1153300541040001</v>
      </c>
      <c r="AE7182">
        <v>15.1136699999999</v>
      </c>
      <c r="AF7182">
        <v>-4.54821877930046</v>
      </c>
      <c r="AG7182">
        <v>-1.1153300541040001</v>
      </c>
      <c r="AH7182">
        <v>15.197157833628401</v>
      </c>
      <c r="AI7182">
        <v>94.021815842965793</v>
      </c>
      <c r="AJ7182">
        <v>106.66143629248199</v>
      </c>
      <c r="AK7182">
        <v>15.902322516355399</v>
      </c>
      <c r="AL7182">
        <v>79.209625104921898</v>
      </c>
      <c r="AM7182">
        <v>99.854040957327598</v>
      </c>
      <c r="AN7182">
        <v>1.0000000121171699</v>
      </c>
    </row>
    <row r="7183" spans="1:40" x14ac:dyDescent="0.25">
      <c r="A7183" t="str">
        <f>"20190304155241462"</f>
        <v>20190304155241462</v>
      </c>
      <c r="B7183" t="str">
        <f>"1551685961454402"</f>
        <v>1551685961454402</v>
      </c>
      <c r="C7183" t="s">
        <v>40</v>
      </c>
      <c r="D7183">
        <v>4.7625489999999999</v>
      </c>
      <c r="E7183">
        <v>0.45012400000000002</v>
      </c>
      <c r="F7183" t="s">
        <v>41</v>
      </c>
      <c r="G7183">
        <v>-187.458</v>
      </c>
      <c r="H7183" s="1">
        <v>-3.158773E-6</v>
      </c>
      <c r="I7183">
        <v>-34.055120000000002</v>
      </c>
      <c r="J7183">
        <v>-192.44890000000001</v>
      </c>
      <c r="K7183">
        <v>1.115326</v>
      </c>
      <c r="L7183">
        <v>-49.249049999999997</v>
      </c>
      <c r="M7183">
        <v>0.57069360000000002</v>
      </c>
      <c r="N7183">
        <v>-1.3906119999999999E-2</v>
      </c>
      <c r="O7183">
        <v>0.82104529999999998</v>
      </c>
      <c r="P7183">
        <v>0.4179407</v>
      </c>
      <c r="Q7183">
        <v>0.17543590000000001</v>
      </c>
      <c r="R7183">
        <v>0.89137420000000001</v>
      </c>
      <c r="S7183">
        <v>0.97891240000000002</v>
      </c>
      <c r="T7183">
        <v>-0.21449019999999999</v>
      </c>
      <c r="U7183">
        <v>2.9516909999999998</v>
      </c>
      <c r="V7183">
        <v>-0.1677043</v>
      </c>
      <c r="W7183">
        <v>0.18702150000000001</v>
      </c>
      <c r="X7183">
        <v>0.96793499999999999</v>
      </c>
      <c r="Y7183">
        <v>-0.28332980000000002</v>
      </c>
      <c r="Z7183">
        <v>-3.8290009999999999E-2</v>
      </c>
      <c r="AA7183">
        <v>0.9582579</v>
      </c>
      <c r="AB7183">
        <v>22</v>
      </c>
      <c r="AC7183">
        <v>4.9909000000000097</v>
      </c>
      <c r="AD7183">
        <v>-1.1153291587729901</v>
      </c>
      <c r="AE7183">
        <v>15.1939299999999</v>
      </c>
      <c r="AF7183">
        <v>-4.5516282966953296</v>
      </c>
      <c r="AG7183">
        <v>-1.1153291587729901</v>
      </c>
      <c r="AH7183">
        <v>15.2504880882955</v>
      </c>
      <c r="AI7183">
        <v>94.008696559818404</v>
      </c>
      <c r="AJ7183">
        <v>106.618148267523</v>
      </c>
      <c r="AK7183">
        <v>15.954267962364501</v>
      </c>
      <c r="AL7183">
        <v>79.220986534063201</v>
      </c>
      <c r="AM7183">
        <v>99.829477991676299</v>
      </c>
      <c r="AN7183">
        <v>0.99999996896286902</v>
      </c>
    </row>
    <row r="7184" spans="1:40" x14ac:dyDescent="0.25">
      <c r="A7184" t="str">
        <f>"20190304155241484"</f>
        <v>20190304155241484</v>
      </c>
      <c r="B7184" t="str">
        <f>"1551685961473921"</f>
        <v>1551685961473921</v>
      </c>
      <c r="C7184" t="s">
        <v>40</v>
      </c>
      <c r="D7184">
        <v>4.7211730000000003</v>
      </c>
      <c r="E7184">
        <v>0.45022230000000002</v>
      </c>
      <c r="F7184" t="s">
        <v>41</v>
      </c>
      <c r="G7184">
        <v>-187.50129999999999</v>
      </c>
      <c r="H7184" s="1">
        <v>-3.1741900000000002E-6</v>
      </c>
      <c r="I7184">
        <v>-34.001269999999998</v>
      </c>
      <c r="J7184">
        <v>-192.33799999999999</v>
      </c>
      <c r="K7184">
        <v>1.115326</v>
      </c>
      <c r="L7184">
        <v>-49.07367</v>
      </c>
      <c r="M7184">
        <v>0.56423140000000005</v>
      </c>
      <c r="N7184">
        <v>-1.38786E-2</v>
      </c>
      <c r="O7184">
        <v>0.82550009999999996</v>
      </c>
      <c r="P7184">
        <v>0.4115528</v>
      </c>
      <c r="Q7184">
        <v>0.17511499999999999</v>
      </c>
      <c r="R7184">
        <v>0.89440429999999904</v>
      </c>
      <c r="S7184">
        <v>0.95985410000000004</v>
      </c>
      <c r="T7184">
        <v>-0.21637819999999999</v>
      </c>
      <c r="U7184">
        <v>2.9581300000000001</v>
      </c>
      <c r="V7184">
        <v>-0.16706409999999999</v>
      </c>
      <c r="W7184">
        <v>0.18668090000000001</v>
      </c>
      <c r="X7184">
        <v>0.96811150000000001</v>
      </c>
      <c r="Y7184">
        <v>-0.2820105</v>
      </c>
      <c r="Z7184">
        <v>-3.9116110000000003E-2</v>
      </c>
      <c r="AA7184">
        <v>0.95861359999999995</v>
      </c>
      <c r="AB7184">
        <v>22</v>
      </c>
      <c r="AC7184">
        <v>4.8367000000000004</v>
      </c>
      <c r="AD7184">
        <v>-1.11532917419</v>
      </c>
      <c r="AE7184">
        <v>15.0724</v>
      </c>
      <c r="AF7184">
        <v>-4.4897698930497896</v>
      </c>
      <c r="AG7184">
        <v>-1.11532917419</v>
      </c>
      <c r="AH7184">
        <v>15.097793270834901</v>
      </c>
      <c r="AI7184">
        <v>94.050296578850293</v>
      </c>
      <c r="AJ7184">
        <v>106.56138360164999</v>
      </c>
      <c r="AK7184">
        <v>15.790673022648599</v>
      </c>
      <c r="AL7184">
        <v>79.240851932805199</v>
      </c>
      <c r="AM7184">
        <v>99.790931671777102</v>
      </c>
      <c r="AN7184">
        <v>1.0000000241829301</v>
      </c>
    </row>
    <row r="7185" spans="1:40" x14ac:dyDescent="0.25">
      <c r="A7185" t="str">
        <f>"20190304155241506"</f>
        <v>20190304155241506</v>
      </c>
      <c r="B7185" t="str">
        <f>"1551685961494417"</f>
        <v>1551685961494417</v>
      </c>
      <c r="C7185" t="s">
        <v>40</v>
      </c>
      <c r="D7185">
        <v>4.7293589999999996</v>
      </c>
      <c r="E7185">
        <v>0.45036860000000001</v>
      </c>
      <c r="F7185" t="s">
        <v>41</v>
      </c>
      <c r="G7185">
        <v>-187.51140000000001</v>
      </c>
      <c r="H7185" s="1">
        <v>-3.2457600000000001E-6</v>
      </c>
      <c r="I7185">
        <v>-33.830269999999999</v>
      </c>
      <c r="J7185">
        <v>-192.22880000000001</v>
      </c>
      <c r="K7185">
        <v>1.115329</v>
      </c>
      <c r="L7185">
        <v>-48.897860000000001</v>
      </c>
      <c r="M7185">
        <v>0.55772559999999904</v>
      </c>
      <c r="N7185">
        <v>-1.385403E-2</v>
      </c>
      <c r="O7185">
        <v>0.82990980000000003</v>
      </c>
      <c r="P7185">
        <v>0.40531499999999998</v>
      </c>
      <c r="Q7185">
        <v>0.175127</v>
      </c>
      <c r="R7185">
        <v>0.89724590000000004</v>
      </c>
      <c r="S7185">
        <v>0.93873600000000001</v>
      </c>
      <c r="T7185">
        <v>-0.21692049999999999</v>
      </c>
      <c r="U7185">
        <v>2.9646910000000002</v>
      </c>
      <c r="V7185">
        <v>-0.16619579999999901</v>
      </c>
      <c r="W7185">
        <v>0.18667810000000001</v>
      </c>
      <c r="X7185">
        <v>0.9682615</v>
      </c>
      <c r="Y7185">
        <v>-0.28129169999999998</v>
      </c>
      <c r="Z7185">
        <v>-3.9612340000000003E-2</v>
      </c>
      <c r="AA7185">
        <v>0.9588044</v>
      </c>
      <c r="AB7185">
        <v>22</v>
      </c>
      <c r="AC7185">
        <v>4.7173999999999898</v>
      </c>
      <c r="AD7185">
        <v>-1.1153322457599999</v>
      </c>
      <c r="AE7185">
        <v>15.0675899999999</v>
      </c>
      <c r="AF7185">
        <v>-4.4667055090926704</v>
      </c>
      <c r="AG7185">
        <v>-1.1153322457599999</v>
      </c>
      <c r="AH7185">
        <v>15.062046357757399</v>
      </c>
      <c r="AI7185">
        <v>94.060799897605406</v>
      </c>
      <c r="AJ7185">
        <v>106.51791807303201</v>
      </c>
      <c r="AK7185">
        <v>15.749941733435801</v>
      </c>
      <c r="AL7185">
        <v>79.241015454680394</v>
      </c>
      <c r="AM7185">
        <v>99.739541474535301</v>
      </c>
      <c r="AN7185">
        <v>1.0000000446697399</v>
      </c>
    </row>
    <row r="7186" spans="1:40" x14ac:dyDescent="0.25">
      <c r="A7186" t="str">
        <f>"20190304155241519"</f>
        <v>20190304155241519</v>
      </c>
      <c r="B7186" t="str">
        <f>"1551685961513937"</f>
        <v>1551685961513937</v>
      </c>
      <c r="C7186" t="s">
        <v>40</v>
      </c>
      <c r="D7186">
        <v>4.7131559999999997</v>
      </c>
      <c r="E7186">
        <v>0.45040639999999998</v>
      </c>
      <c r="F7186" t="s">
        <v>41</v>
      </c>
      <c r="G7186">
        <v>-187.52109999999999</v>
      </c>
      <c r="H7186" s="1">
        <v>-3.3153120000000002E-6</v>
      </c>
      <c r="I7186">
        <v>-33.664119999999997</v>
      </c>
      <c r="J7186">
        <v>-192.16079999999999</v>
      </c>
      <c r="K7186">
        <v>1.115337</v>
      </c>
      <c r="L7186">
        <v>-48.786560000000001</v>
      </c>
      <c r="M7186">
        <v>0.55359440000000004</v>
      </c>
      <c r="N7186">
        <v>-1.384E-2</v>
      </c>
      <c r="O7186">
        <v>0.83267139999999995</v>
      </c>
      <c r="P7186">
        <v>0.40155429999999998</v>
      </c>
      <c r="Q7186">
        <v>0.17480799999999999</v>
      </c>
      <c r="R7186">
        <v>0.89899739999999995</v>
      </c>
      <c r="S7186">
        <v>0.91819759999999995</v>
      </c>
      <c r="T7186">
        <v>-0.21753690000000001</v>
      </c>
      <c r="U7186">
        <v>2.971222</v>
      </c>
      <c r="V7186">
        <v>-0.1654697</v>
      </c>
      <c r="W7186">
        <v>0.18635350000000001</v>
      </c>
      <c r="X7186">
        <v>0.96844830000000004</v>
      </c>
      <c r="Y7186">
        <v>-0.28316829999999998</v>
      </c>
      <c r="Z7186">
        <v>-3.9929039999999999E-2</v>
      </c>
      <c r="AA7186">
        <v>0.9582387</v>
      </c>
      <c r="AB7186">
        <v>22</v>
      </c>
      <c r="AC7186">
        <v>4.6397000000000004</v>
      </c>
      <c r="AD7186">
        <v>-1.1153403153120001</v>
      </c>
      <c r="AE7186">
        <v>15.1224399999999</v>
      </c>
      <c r="AF7186">
        <v>-4.4864792698568197</v>
      </c>
      <c r="AG7186">
        <v>-1.1153403153120001</v>
      </c>
      <c r="AH7186">
        <v>15.0869803185485</v>
      </c>
      <c r="AI7186">
        <v>94.053235630355601</v>
      </c>
      <c r="AJ7186">
        <v>106.561121651026</v>
      </c>
      <c r="AK7186">
        <v>15.7793997157713</v>
      </c>
      <c r="AL7186">
        <v>79.259945143590201</v>
      </c>
      <c r="AM7186">
        <v>99.6959646798568</v>
      </c>
      <c r="AN7186">
        <v>0.99999997917661398</v>
      </c>
    </row>
    <row r="7187" spans="1:40" x14ac:dyDescent="0.25">
      <c r="A7187" t="str">
        <f>"20190304155241539"</f>
        <v>20190304155241539</v>
      </c>
      <c r="B7187" t="str">
        <f>"1551685961534433"</f>
        <v>1551685961534433</v>
      </c>
      <c r="C7187" t="s">
        <v>40</v>
      </c>
      <c r="D7187">
        <v>4.7552880000000002</v>
      </c>
      <c r="E7187">
        <v>0.45051790000000003</v>
      </c>
      <c r="F7187" t="s">
        <v>41</v>
      </c>
      <c r="G7187">
        <v>-187.53120000000001</v>
      </c>
      <c r="H7187" s="1">
        <v>-3.3494329999999999E-6</v>
      </c>
      <c r="I7187">
        <v>-33.580399999999997</v>
      </c>
      <c r="J7187">
        <v>-192.0652</v>
      </c>
      <c r="K7187">
        <v>1.11534</v>
      </c>
      <c r="L7187">
        <v>-48.628050000000002</v>
      </c>
      <c r="M7187">
        <v>0.54769049999999997</v>
      </c>
      <c r="N7187">
        <v>-1.382161E-2</v>
      </c>
      <c r="O7187">
        <v>0.8365669</v>
      </c>
      <c r="P7187">
        <v>0.39630090000000001</v>
      </c>
      <c r="Q7187">
        <v>0.17471529999999999</v>
      </c>
      <c r="R7187">
        <v>0.90134349999999996</v>
      </c>
      <c r="S7187">
        <v>0.90573119999999996</v>
      </c>
      <c r="T7187">
        <v>-0.2182038</v>
      </c>
      <c r="U7187">
        <v>2.9749150000000002</v>
      </c>
      <c r="V7187">
        <v>-0.16428029999999999</v>
      </c>
      <c r="W7187">
        <v>0.186256</v>
      </c>
      <c r="X7187">
        <v>0.96866949999999996</v>
      </c>
      <c r="Y7187">
        <v>-0.28039730000000002</v>
      </c>
      <c r="Z7187">
        <v>-4.0466370000000002E-2</v>
      </c>
      <c r="AA7187">
        <v>0.95903070000000001</v>
      </c>
      <c r="AB7187">
        <v>22</v>
      </c>
      <c r="AC7187">
        <v>4.53399999999999</v>
      </c>
      <c r="AD7187">
        <v>-1.1153433494329901</v>
      </c>
      <c r="AE7187">
        <v>15.047650000000001</v>
      </c>
      <c r="AF7187">
        <v>-4.42659030002853</v>
      </c>
      <c r="AG7187">
        <v>-1.1153433494329901</v>
      </c>
      <c r="AH7187">
        <v>14.997496936946799</v>
      </c>
      <c r="AI7187">
        <v>94.0798057997238</v>
      </c>
      <c r="AJ7187">
        <v>106.444243123148</v>
      </c>
      <c r="AK7187">
        <v>15.676849391544099</v>
      </c>
      <c r="AL7187">
        <v>79.265630793809393</v>
      </c>
      <c r="AM7187">
        <v>99.625421583448798</v>
      </c>
      <c r="AN7187">
        <v>0.99999995736716896</v>
      </c>
    </row>
    <row r="7188" spans="1:40" x14ac:dyDescent="0.25">
      <c r="A7188" t="str">
        <f>"20190304155241561"</f>
        <v>20190304155241561</v>
      </c>
      <c r="B7188" t="str">
        <f>"1551685961553953"</f>
        <v>1551685961553953</v>
      </c>
      <c r="C7188" t="s">
        <v>40</v>
      </c>
      <c r="D7188">
        <v>4.6613280000000001</v>
      </c>
      <c r="E7188">
        <v>0.4507255</v>
      </c>
      <c r="F7188" t="s">
        <v>41</v>
      </c>
      <c r="G7188">
        <v>-187.53970000000001</v>
      </c>
      <c r="H7188" s="1">
        <v>-3.4047350000000001E-6</v>
      </c>
      <c r="I7188">
        <v>-33.448009999999996</v>
      </c>
      <c r="J7188">
        <v>-191.9589</v>
      </c>
      <c r="K7188">
        <v>1.115348</v>
      </c>
      <c r="L7188">
        <v>-48.448790000000002</v>
      </c>
      <c r="M7188">
        <v>0.54098550000000001</v>
      </c>
      <c r="N7188">
        <v>-1.380347E-2</v>
      </c>
      <c r="O7188">
        <v>0.84091870000000002</v>
      </c>
      <c r="P7188">
        <v>0.39031300000000002</v>
      </c>
      <c r="Q7188">
        <v>0.17460400000000001</v>
      </c>
      <c r="R7188">
        <v>0.9039741</v>
      </c>
      <c r="S7188">
        <v>0.88845830000000003</v>
      </c>
      <c r="T7188">
        <v>-0.21896550000000001</v>
      </c>
      <c r="U7188">
        <v>2.9801639999999998</v>
      </c>
      <c r="V7188">
        <v>-0.16297429999999999</v>
      </c>
      <c r="W7188">
        <v>0.18614120000000001</v>
      </c>
      <c r="X7188">
        <v>0.9689122</v>
      </c>
      <c r="Y7188">
        <v>-0.27829870000000001</v>
      </c>
      <c r="Z7188">
        <v>-4.1043740000000002E-2</v>
      </c>
      <c r="AA7188">
        <v>0.95961719999999895</v>
      </c>
      <c r="AB7188">
        <v>21</v>
      </c>
      <c r="AC7188">
        <v>4.4191999999999796</v>
      </c>
      <c r="AD7188">
        <v>-1.1153514047349999</v>
      </c>
      <c r="AE7188">
        <v>15.000780000000001</v>
      </c>
      <c r="AF7188">
        <v>-4.3771693531171696</v>
      </c>
      <c r="AG7188">
        <v>-1.1153514047349999</v>
      </c>
      <c r="AH7188">
        <v>14.930638184211199</v>
      </c>
      <c r="AI7188">
        <v>94.100241481762794</v>
      </c>
      <c r="AJ7188">
        <v>106.339392292197</v>
      </c>
      <c r="AK7188">
        <v>15.598960763132199</v>
      </c>
      <c r="AL7188">
        <v>79.272325996335795</v>
      </c>
      <c r="AM7188">
        <v>99.547967935629103</v>
      </c>
      <c r="AN7188">
        <v>1.0000000100533799</v>
      </c>
    </row>
    <row r="7189" spans="1:40" x14ac:dyDescent="0.25">
      <c r="A7189" t="str">
        <f>"20190304155241574"</f>
        <v>20190304155241574</v>
      </c>
      <c r="B7189" t="str">
        <f>"1551685961563713"</f>
        <v>1551685961563713</v>
      </c>
      <c r="C7189" t="s">
        <v>40</v>
      </c>
      <c r="D7189">
        <v>4.9338360000000003</v>
      </c>
      <c r="E7189">
        <v>0.4507544</v>
      </c>
      <c r="F7189" t="s">
        <v>41</v>
      </c>
      <c r="G7189">
        <v>-187.5643</v>
      </c>
      <c r="H7189" s="1">
        <v>-3.4358000000000002E-6</v>
      </c>
      <c r="I7189">
        <v>-33.365389999999998</v>
      </c>
      <c r="J7189">
        <v>-191.89259999999999</v>
      </c>
      <c r="K7189">
        <v>1.115353</v>
      </c>
      <c r="L7189">
        <v>-48.335209999999996</v>
      </c>
      <c r="M7189">
        <v>0.53672249999999999</v>
      </c>
      <c r="N7189">
        <v>-1.3793329999999999E-2</v>
      </c>
      <c r="O7189">
        <v>0.84364609999999995</v>
      </c>
      <c r="P7189">
        <v>0.38613429999999999</v>
      </c>
      <c r="Q7189">
        <v>0.17445539999999901</v>
      </c>
      <c r="R7189">
        <v>0.90579560000000003</v>
      </c>
      <c r="S7189">
        <v>0.86988829999999995</v>
      </c>
      <c r="T7189">
        <v>-0.22078059999999999</v>
      </c>
      <c r="U7189">
        <v>2.9857179999999999</v>
      </c>
      <c r="V7189">
        <v>-0.16256010000000001</v>
      </c>
      <c r="W7189">
        <v>0.18598619999999999</v>
      </c>
      <c r="X7189">
        <v>0.96901150000000003</v>
      </c>
      <c r="Y7189">
        <v>-0.27942349999999999</v>
      </c>
      <c r="Z7189">
        <v>-4.1674719999999998E-2</v>
      </c>
      <c r="AA7189">
        <v>0.95926310000000004</v>
      </c>
      <c r="AB7189">
        <v>21</v>
      </c>
      <c r="AC7189">
        <v>4.3282999999999801</v>
      </c>
      <c r="AD7189">
        <v>-1.1153564357999901</v>
      </c>
      <c r="AE7189">
        <v>14.969819999999901</v>
      </c>
      <c r="AF7189">
        <v>-4.3611604389952001</v>
      </c>
      <c r="AG7189">
        <v>-1.1153564357999901</v>
      </c>
      <c r="AH7189">
        <v>14.8775307433379</v>
      </c>
      <c r="AI7189">
        <v>94.114878889424503</v>
      </c>
      <c r="AJ7189">
        <v>106.337833409366</v>
      </c>
      <c r="AK7189">
        <v>15.5436373276174</v>
      </c>
      <c r="AL7189">
        <v>79.281364243111398</v>
      </c>
      <c r="AM7189">
        <v>99.523188708318003</v>
      </c>
      <c r="AN7189">
        <v>0.99999996991734896</v>
      </c>
    </row>
    <row r="7190" spans="1:40" x14ac:dyDescent="0.25">
      <c r="A7190" t="str">
        <f>"20190304155241593"</f>
        <v>20190304155241593</v>
      </c>
      <c r="B7190" t="str">
        <f>"1551685961584213"</f>
        <v>1551685961584213</v>
      </c>
      <c r="C7190" t="s">
        <v>40</v>
      </c>
      <c r="D7190">
        <v>4.7518640000000003</v>
      </c>
      <c r="E7190">
        <v>0.45097520000000002</v>
      </c>
      <c r="F7190" t="s">
        <v>41</v>
      </c>
      <c r="G7190">
        <v>-187.57839999999999</v>
      </c>
      <c r="H7190" s="1">
        <v>-3.4726239999999998E-6</v>
      </c>
      <c r="I7190">
        <v>-33.273719999999997</v>
      </c>
      <c r="J7190">
        <v>-191.80260000000001</v>
      </c>
      <c r="K7190">
        <v>1.1153599999999999</v>
      </c>
      <c r="L7190">
        <v>-48.179049999999997</v>
      </c>
      <c r="M7190">
        <v>0.53084370000000003</v>
      </c>
      <c r="N7190">
        <v>-1.3780769999999999E-2</v>
      </c>
      <c r="O7190">
        <v>0.84735769999999899</v>
      </c>
      <c r="P7190">
        <v>0.38066650000000002</v>
      </c>
      <c r="Q7190">
        <v>0.17436670000000001</v>
      </c>
      <c r="R7190">
        <v>0.90812409999999999</v>
      </c>
      <c r="S7190">
        <v>0.85632319999999995</v>
      </c>
      <c r="T7190">
        <v>-0.22139</v>
      </c>
      <c r="U7190">
        <v>2.9895939999999999</v>
      </c>
      <c r="V7190">
        <v>-0.16167339999999999</v>
      </c>
      <c r="W7190">
        <v>0.18589530000000001</v>
      </c>
      <c r="X7190">
        <v>0.96917730000000002</v>
      </c>
      <c r="Y7190">
        <v>-0.27710559999999901</v>
      </c>
      <c r="Z7190">
        <v>-4.2175249999999997E-2</v>
      </c>
      <c r="AA7190">
        <v>0.95991340000000003</v>
      </c>
      <c r="AB7190">
        <v>21</v>
      </c>
      <c r="AC7190">
        <v>4.2242000000000202</v>
      </c>
      <c r="AD7190">
        <v>-1.115363472624</v>
      </c>
      <c r="AE7190">
        <v>14.9053299999999</v>
      </c>
      <c r="AF7190">
        <v>-4.3110584857479601</v>
      </c>
      <c r="AG7190">
        <v>-1.115363472624</v>
      </c>
      <c r="AH7190">
        <v>14.797251193598299</v>
      </c>
      <c r="AI7190">
        <v>94.1391456445686</v>
      </c>
      <c r="AJ7190">
        <v>106.243051474723</v>
      </c>
      <c r="AK7190">
        <v>15.452763630821799</v>
      </c>
      <c r="AL7190">
        <v>79.286665137519194</v>
      </c>
      <c r="AM7190">
        <v>99.470596285553</v>
      </c>
      <c r="AN7190">
        <v>0.99999999483247004</v>
      </c>
    </row>
    <row r="7191" spans="1:40" x14ac:dyDescent="0.25">
      <c r="A7191" t="str">
        <f>"20190304155241616"</f>
        <v>20190304155241616</v>
      </c>
      <c r="B7191" t="str">
        <f>"1551685961614465"</f>
        <v>1551685961614465</v>
      </c>
      <c r="C7191" t="s">
        <v>40</v>
      </c>
      <c r="D7191">
        <v>4.8539919999999999</v>
      </c>
      <c r="E7191">
        <v>0.45120480000000002</v>
      </c>
      <c r="F7191" t="s">
        <v>41</v>
      </c>
      <c r="G7191">
        <v>-187.56829999999999</v>
      </c>
      <c r="H7191" s="1">
        <v>-3.557398E-6</v>
      </c>
      <c r="I7191">
        <v>-33.080289999999998</v>
      </c>
      <c r="J7191">
        <v>-191.69749999999999</v>
      </c>
      <c r="K7191">
        <v>1.1153729999999999</v>
      </c>
      <c r="L7191">
        <v>-47.993099999999998</v>
      </c>
      <c r="M7191">
        <v>0.5238199</v>
      </c>
      <c r="N7191">
        <v>-1.376761E-2</v>
      </c>
      <c r="O7191">
        <v>0.85171779999999997</v>
      </c>
      <c r="P7191">
        <v>0.37359360000000003</v>
      </c>
      <c r="Q7191">
        <v>0.17394570000000001</v>
      </c>
      <c r="R7191">
        <v>0.91113699999999997</v>
      </c>
      <c r="S7191">
        <v>0.83964539999999999</v>
      </c>
      <c r="T7191">
        <v>-0.2211719</v>
      </c>
      <c r="U7191">
        <v>2.9940190000000002</v>
      </c>
      <c r="V7191">
        <v>-0.16123470000000001</v>
      </c>
      <c r="W7191">
        <v>0.18546660000000001</v>
      </c>
      <c r="X7191">
        <v>0.96933250000000004</v>
      </c>
      <c r="Y7191">
        <v>-0.27449230000000002</v>
      </c>
      <c r="Z7191">
        <v>-4.2533420000000002E-2</v>
      </c>
      <c r="AA7191">
        <v>0.96064819999999995</v>
      </c>
      <c r="AB7191">
        <v>21</v>
      </c>
      <c r="AC7191">
        <v>4.1291999999999902</v>
      </c>
      <c r="AD7191">
        <v>-1.1153765573979999</v>
      </c>
      <c r="AE7191">
        <v>14.912809999999901</v>
      </c>
      <c r="AF7191">
        <v>-4.2729197674212998</v>
      </c>
      <c r="AG7191">
        <v>-1.1153765573979999</v>
      </c>
      <c r="AH7191">
        <v>14.7890324053519</v>
      </c>
      <c r="AI7191">
        <v>94.144156533396995</v>
      </c>
      <c r="AJ7191">
        <v>106.115322777825</v>
      </c>
      <c r="AK7191">
        <v>15.4342925879407</v>
      </c>
      <c r="AL7191">
        <v>79.311662509246403</v>
      </c>
      <c r="AM7191">
        <v>99.443876494837099</v>
      </c>
      <c r="AN7191">
        <v>0.99999999187794997</v>
      </c>
    </row>
    <row r="7192" spans="1:40" x14ac:dyDescent="0.25">
      <c r="A7192" t="str">
        <f>"20190304155241638"</f>
        <v>20190304155241638</v>
      </c>
      <c r="B7192" t="str">
        <f>"1551685961633985"</f>
        <v>1551685961633985</v>
      </c>
      <c r="C7192" t="s">
        <v>40</v>
      </c>
      <c r="D7192">
        <v>4.8334130000000002</v>
      </c>
      <c r="E7192">
        <v>0.4513645</v>
      </c>
      <c r="F7192" t="s">
        <v>41</v>
      </c>
      <c r="G7192">
        <v>-187.55609999999999</v>
      </c>
      <c r="H7192" s="1">
        <v>-3.6828239999999999E-6</v>
      </c>
      <c r="I7192">
        <v>-32.79298</v>
      </c>
      <c r="J7192">
        <v>-191.59690000000001</v>
      </c>
      <c r="K7192">
        <v>1.1153740000000001</v>
      </c>
      <c r="L7192">
        <v>-47.811680000000003</v>
      </c>
      <c r="M7192">
        <v>0.5169435</v>
      </c>
      <c r="N7192">
        <v>-1.3756320000000001E-2</v>
      </c>
      <c r="O7192">
        <v>0.85590900000000003</v>
      </c>
      <c r="P7192">
        <v>0.36647059999999998</v>
      </c>
      <c r="Q7192">
        <v>0.1738364</v>
      </c>
      <c r="R7192">
        <v>0.91404600000000003</v>
      </c>
      <c r="S7192">
        <v>0.81724549999999996</v>
      </c>
      <c r="T7192">
        <v>-0.22010250000000001</v>
      </c>
      <c r="U7192">
        <v>2.9995120000000002</v>
      </c>
      <c r="V7192">
        <v>-0.16100400000000001</v>
      </c>
      <c r="W7192">
        <v>0.1853485</v>
      </c>
      <c r="X7192">
        <v>0.96939339999999996</v>
      </c>
      <c r="Y7192">
        <v>-0.27387220000000001</v>
      </c>
      <c r="Z7192">
        <v>-4.262328E-2</v>
      </c>
      <c r="AA7192">
        <v>0.96082120000000004</v>
      </c>
      <c r="AB7192">
        <v>21</v>
      </c>
      <c r="AC7192">
        <v>4.0408000000000097</v>
      </c>
      <c r="AD7192">
        <v>-1.1153776828240001</v>
      </c>
      <c r="AE7192">
        <v>15.0186999999999</v>
      </c>
      <c r="AF7192">
        <v>-4.2836383099684303</v>
      </c>
      <c r="AG7192">
        <v>-1.1153776828240001</v>
      </c>
      <c r="AH7192">
        <v>14.8684493743977</v>
      </c>
      <c r="AI7192">
        <v>94.123001800029897</v>
      </c>
      <c r="AJ7192">
        <v>106.071826508653</v>
      </c>
      <c r="AK7192">
        <v>15.51336234815</v>
      </c>
      <c r="AL7192">
        <v>79.3185481797492</v>
      </c>
      <c r="AM7192">
        <v>99.430024966946604</v>
      </c>
      <c r="AN7192">
        <v>0.99999995921590401</v>
      </c>
    </row>
    <row r="7193" spans="1:40" x14ac:dyDescent="0.25">
      <c r="A7193" t="str">
        <f>"20190304155241653"</f>
        <v>20190304155241653</v>
      </c>
      <c r="B7193" t="str">
        <f>"1551685961643745"</f>
        <v>1551685961643745</v>
      </c>
      <c r="C7193" t="s">
        <v>40</v>
      </c>
      <c r="D7193">
        <v>4.7722089999999904</v>
      </c>
      <c r="E7193">
        <v>0.4514476</v>
      </c>
      <c r="F7193" t="s">
        <v>41</v>
      </c>
      <c r="G7193">
        <v>-187.55199999999999</v>
      </c>
      <c r="H7193" s="1">
        <v>-3.8025090000000001E-6</v>
      </c>
      <c r="I7193">
        <v>-32.51567</v>
      </c>
      <c r="J7193">
        <v>-191.53110000000001</v>
      </c>
      <c r="K7193">
        <v>1.1153759999999999</v>
      </c>
      <c r="L7193">
        <v>-47.691130000000001</v>
      </c>
      <c r="M7193">
        <v>0.51236470000000001</v>
      </c>
      <c r="N7193">
        <v>-1.3749630000000001E-2</v>
      </c>
      <c r="O7193">
        <v>0.85865789999999997</v>
      </c>
      <c r="P7193">
        <v>0.3614195</v>
      </c>
      <c r="Q7193">
        <v>0.17378660000000001</v>
      </c>
      <c r="R7193">
        <v>0.91606449999999995</v>
      </c>
      <c r="S7193">
        <v>0.79467769999999904</v>
      </c>
      <c r="T7193">
        <v>-0.21913460000000001</v>
      </c>
      <c r="U7193">
        <v>3.0051570000000001</v>
      </c>
      <c r="V7193">
        <v>-0.161182399999999</v>
      </c>
      <c r="W7193">
        <v>0.18528939999999999</v>
      </c>
      <c r="X7193">
        <v>0.96937510000000005</v>
      </c>
      <c r="Y7193">
        <v>-0.27592139999999998</v>
      </c>
      <c r="Z7193">
        <v>-4.255623E-2</v>
      </c>
      <c r="AA7193">
        <v>0.96023769999999997</v>
      </c>
      <c r="AB7193">
        <v>21</v>
      </c>
      <c r="AC7193">
        <v>3.9790999999999799</v>
      </c>
      <c r="AD7193">
        <v>-1.11537980250899</v>
      </c>
      <c r="AE7193">
        <v>15.175459999999999</v>
      </c>
      <c r="AF7193">
        <v>-4.3371737887339803</v>
      </c>
      <c r="AG7193">
        <v>-1.11537980250899</v>
      </c>
      <c r="AH7193">
        <v>14.9949104957819</v>
      </c>
      <c r="AI7193">
        <v>94.087118111946296</v>
      </c>
      <c r="AJ7193">
        <v>106.132145850649</v>
      </c>
      <c r="AK7193">
        <v>15.6493606691787</v>
      </c>
      <c r="AL7193">
        <v>79.321994555499501</v>
      </c>
      <c r="AM7193">
        <v>99.440460904353202</v>
      </c>
      <c r="AN7193">
        <v>1.0000000061610601</v>
      </c>
    </row>
    <row r="7194" spans="1:40" x14ac:dyDescent="0.25">
      <c r="A7194" t="str">
        <f>"20190304155241674"</f>
        <v>20190304155241674</v>
      </c>
      <c r="B7194" t="str">
        <f>"1551685961664241"</f>
        <v>1551685961664241</v>
      </c>
      <c r="C7194" t="s">
        <v>40</v>
      </c>
      <c r="D7194">
        <v>4.8131399999999998</v>
      </c>
      <c r="E7194">
        <v>0.45164179999999998</v>
      </c>
      <c r="F7194" t="s">
        <v>41</v>
      </c>
      <c r="G7194">
        <v>-187.56970000000001</v>
      </c>
      <c r="H7194" s="1">
        <v>-3.857617E-6</v>
      </c>
      <c r="I7194">
        <v>-32.379919999999998</v>
      </c>
      <c r="J7194">
        <v>-191.43639999999999</v>
      </c>
      <c r="K7194">
        <v>1.11538</v>
      </c>
      <c r="L7194">
        <v>-47.514949999999999</v>
      </c>
      <c r="M7194">
        <v>0.5056562</v>
      </c>
      <c r="N7194">
        <v>-1.374103E-2</v>
      </c>
      <c r="O7194">
        <v>0.86262569999999905</v>
      </c>
      <c r="P7194">
        <v>0.35420780000000002</v>
      </c>
      <c r="Q7194">
        <v>0.17396249999999999</v>
      </c>
      <c r="R7194">
        <v>0.91884379999999999</v>
      </c>
      <c r="S7194">
        <v>0.77857969999999999</v>
      </c>
      <c r="T7194">
        <v>-0.21921779999999999</v>
      </c>
      <c r="U7194">
        <v>3.009277</v>
      </c>
      <c r="V7194">
        <v>-0.16123129999999999</v>
      </c>
      <c r="W7194">
        <v>0.18545529999999999</v>
      </c>
      <c r="X7194">
        <v>0.96933530000000001</v>
      </c>
      <c r="Y7194">
        <v>-0.27356740000000002</v>
      </c>
      <c r="Z7194">
        <v>-4.2943660000000002E-2</v>
      </c>
      <c r="AA7194">
        <v>0.96089369999999996</v>
      </c>
      <c r="AB7194">
        <v>21</v>
      </c>
      <c r="AC7194">
        <v>3.8666999999999798</v>
      </c>
      <c r="AD7194">
        <v>-1.1153838576170001</v>
      </c>
      <c r="AE7194">
        <v>15.135029999999899</v>
      </c>
      <c r="AF7194">
        <v>-4.2961116907701298</v>
      </c>
      <c r="AG7194">
        <v>-1.1153838576170001</v>
      </c>
      <c r="AH7194">
        <v>14.936353754193901</v>
      </c>
      <c r="AI7194">
        <v>94.104860636893804</v>
      </c>
      <c r="AJ7194">
        <v>106.046710412195</v>
      </c>
      <c r="AK7194">
        <v>15.5818907799993</v>
      </c>
      <c r="AL7194">
        <v>79.312322141391306</v>
      </c>
      <c r="AM7194">
        <v>99.443654149058204</v>
      </c>
      <c r="AN7194">
        <v>1.00000006211193</v>
      </c>
    </row>
    <row r="7195" spans="1:40" x14ac:dyDescent="0.25">
      <c r="A7195" t="str">
        <f>"20190304155241696"</f>
        <v>20190304155241696</v>
      </c>
      <c r="B7195" t="str">
        <f>"1551685961683762"</f>
        <v>1551685961683762</v>
      </c>
      <c r="C7195" t="s">
        <v>40</v>
      </c>
      <c r="D7195">
        <v>4.8356750000000002</v>
      </c>
      <c r="E7195">
        <v>0.45186549999999998</v>
      </c>
      <c r="F7195" t="s">
        <v>41</v>
      </c>
      <c r="G7195">
        <v>-187.55860000000001</v>
      </c>
      <c r="H7195" s="1">
        <v>-4.0010950000000002E-6</v>
      </c>
      <c r="I7195">
        <v>-32.050049999999999</v>
      </c>
      <c r="J7195">
        <v>-191.34289999999999</v>
      </c>
      <c r="K7195">
        <v>1.115383</v>
      </c>
      <c r="L7195">
        <v>-47.337400000000002</v>
      </c>
      <c r="M7195">
        <v>0.49888149999999998</v>
      </c>
      <c r="N7195">
        <v>-1.373342E-2</v>
      </c>
      <c r="O7195">
        <v>0.86656139999999904</v>
      </c>
      <c r="P7195">
        <v>0.34778049999999999</v>
      </c>
      <c r="Q7195">
        <v>0.17389849999999901</v>
      </c>
      <c r="R7195">
        <v>0.92130780000000001</v>
      </c>
      <c r="S7195">
        <v>0.75595089999999998</v>
      </c>
      <c r="T7195">
        <v>-0.21743380000000001</v>
      </c>
      <c r="U7195">
        <v>3.0147400000000002</v>
      </c>
      <c r="V7195">
        <v>-0.16041029999999901</v>
      </c>
      <c r="W7195">
        <v>0.1853958</v>
      </c>
      <c r="X7195">
        <v>0.96948279999999998</v>
      </c>
      <c r="Y7195">
        <v>-0.27322570000000002</v>
      </c>
      <c r="Z7195">
        <v>-4.2810790000000001E-2</v>
      </c>
      <c r="AA7195">
        <v>0.96099690000000004</v>
      </c>
      <c r="AB7195">
        <v>21</v>
      </c>
      <c r="AC7195">
        <v>3.7842999999999698</v>
      </c>
      <c r="AD7195">
        <v>-1.115387001095</v>
      </c>
      <c r="AE7195">
        <v>15.28735</v>
      </c>
      <c r="AF7195">
        <v>-4.3259587669130397</v>
      </c>
      <c r="AG7195">
        <v>-1.115387001095</v>
      </c>
      <c r="AH7195">
        <v>15.061224968265799</v>
      </c>
      <c r="AI7195">
        <v>94.071388056085198</v>
      </c>
      <c r="AJ7195">
        <v>106.0253833008</v>
      </c>
      <c r="AK7195">
        <v>15.709821926424199</v>
      </c>
      <c r="AL7195">
        <v>79.315790550407598</v>
      </c>
      <c r="AM7195">
        <v>99.395022088385602</v>
      </c>
      <c r="AN7195">
        <v>0.99999998324978401</v>
      </c>
    </row>
    <row r="7196" spans="1:40" x14ac:dyDescent="0.25">
      <c r="A7196" t="str">
        <f>"20190304155241716"</f>
        <v>20190304155241716</v>
      </c>
      <c r="B7196" t="str">
        <f>"1551685961714017"</f>
        <v>1551685961714017</v>
      </c>
      <c r="C7196" t="s">
        <v>40</v>
      </c>
      <c r="D7196">
        <v>4.7902209999999998</v>
      </c>
      <c r="E7196">
        <v>0.45229140000000001</v>
      </c>
      <c r="F7196" t="s">
        <v>41</v>
      </c>
      <c r="G7196">
        <v>-187.53039999999999</v>
      </c>
      <c r="H7196" s="1">
        <v>-4.1563199999999899E-6</v>
      </c>
      <c r="I7196">
        <v>-31.699860000000001</v>
      </c>
      <c r="J7196">
        <v>-191.25210000000001</v>
      </c>
      <c r="K7196">
        <v>1.115375</v>
      </c>
      <c r="L7196">
        <v>-47.161830000000002</v>
      </c>
      <c r="M7196">
        <v>0.49216490000000002</v>
      </c>
      <c r="N7196">
        <v>-1.3726759999999999E-2</v>
      </c>
      <c r="O7196">
        <v>0.8703938</v>
      </c>
      <c r="P7196">
        <v>0.34137909999999999</v>
      </c>
      <c r="Q7196">
        <v>0.17306959999999999</v>
      </c>
      <c r="R7196">
        <v>0.92385450000000002</v>
      </c>
      <c r="S7196">
        <v>0.73605350000000003</v>
      </c>
      <c r="T7196">
        <v>-0.2153409</v>
      </c>
      <c r="U7196">
        <v>3.0190429999999999</v>
      </c>
      <c r="V7196">
        <v>-0.1597046</v>
      </c>
      <c r="W7196">
        <v>0.1845724</v>
      </c>
      <c r="X7196">
        <v>0.96975639999999996</v>
      </c>
      <c r="Y7196">
        <v>-0.27207789999999998</v>
      </c>
      <c r="Z7196">
        <v>-4.2608350000000003E-2</v>
      </c>
      <c r="AA7196">
        <v>0.96133139999999995</v>
      </c>
      <c r="AB7196">
        <v>21</v>
      </c>
      <c r="AC7196">
        <v>3.7217000000000202</v>
      </c>
      <c r="AD7196">
        <v>-1.11537915632</v>
      </c>
      <c r="AE7196">
        <v>15.461970000000001</v>
      </c>
      <c r="AF7196">
        <v>-4.3495117398519501</v>
      </c>
      <c r="AG7196">
        <v>-1.11537915632</v>
      </c>
      <c r="AH7196">
        <v>15.2162877098772</v>
      </c>
      <c r="AI7196">
        <v>94.031474519651496</v>
      </c>
      <c r="AJ7196">
        <v>105.95236150309</v>
      </c>
      <c r="AK7196">
        <v>15.864984547966699</v>
      </c>
      <c r="AL7196">
        <v>79.363796615526894</v>
      </c>
      <c r="AM7196">
        <v>99.351829749957503</v>
      </c>
      <c r="AN7196">
        <v>1.00000000272194</v>
      </c>
    </row>
    <row r="7197" spans="1:40" x14ac:dyDescent="0.25">
      <c r="A7197" t="str">
        <f>"20190304155241740"</f>
        <v>20190304155241740</v>
      </c>
      <c r="B7197" t="str">
        <f>"1551685961733537"</f>
        <v>1551685961733537</v>
      </c>
      <c r="C7197" t="s">
        <v>40</v>
      </c>
      <c r="D7197">
        <v>4.691484</v>
      </c>
      <c r="E7197">
        <v>0.45256829999999998</v>
      </c>
      <c r="F7197" t="s">
        <v>41</v>
      </c>
      <c r="G7197">
        <v>-187.58969999999999</v>
      </c>
      <c r="H7197" s="1">
        <v>-4.1300619999999999E-6</v>
      </c>
      <c r="I7197">
        <v>-31.736550000000001</v>
      </c>
      <c r="J7197">
        <v>-191.1557</v>
      </c>
      <c r="K7197">
        <v>1.1153759999999999</v>
      </c>
      <c r="L7197">
        <v>-46.971440000000001</v>
      </c>
      <c r="M7197">
        <v>0.4848653</v>
      </c>
      <c r="N7197">
        <v>-1.372047E-2</v>
      </c>
      <c r="O7197">
        <v>0.87448119999999996</v>
      </c>
      <c r="P7197">
        <v>0.33432240000000002</v>
      </c>
      <c r="Q7197">
        <v>0.17259769999999999</v>
      </c>
      <c r="R7197">
        <v>0.9265196</v>
      </c>
      <c r="S7197">
        <v>0.71774289999999996</v>
      </c>
      <c r="T7197">
        <v>-0.21858720000000001</v>
      </c>
      <c r="U7197">
        <v>3.02298</v>
      </c>
      <c r="V7197">
        <v>-0.15902330000000001</v>
      </c>
      <c r="W7197">
        <v>0.1841052</v>
      </c>
      <c r="X7197">
        <v>0.96995719999999996</v>
      </c>
      <c r="Y7197">
        <v>-0.26983059999999998</v>
      </c>
      <c r="Z7197">
        <v>-4.3819730000000001E-2</v>
      </c>
      <c r="AA7197">
        <v>0.96191020000000005</v>
      </c>
      <c r="AB7197">
        <v>21</v>
      </c>
      <c r="AC7197">
        <v>3.5659999999999998</v>
      </c>
      <c r="AD7197">
        <v>-1.1153801300620001</v>
      </c>
      <c r="AE7197">
        <v>15.23489</v>
      </c>
      <c r="AF7197">
        <v>-4.2472883251012901</v>
      </c>
      <c r="AG7197">
        <v>-1.1153801300620001</v>
      </c>
      <c r="AH7197">
        <v>14.976964430292201</v>
      </c>
      <c r="AI7197">
        <v>94.098108975898199</v>
      </c>
      <c r="AJ7197">
        <v>105.83270337246501</v>
      </c>
      <c r="AK7197">
        <v>15.6074659857812</v>
      </c>
      <c r="AL7197">
        <v>79.391032473440902</v>
      </c>
      <c r="AM7197">
        <v>99.310741083642</v>
      </c>
      <c r="AN7197">
        <v>1.0000000522208801</v>
      </c>
    </row>
    <row r="7198" spans="1:40" x14ac:dyDescent="0.25">
      <c r="A7198" t="str">
        <f>"20190304155241761"</f>
        <v>20190304155241761</v>
      </c>
      <c r="B7198" t="str">
        <f>"1551685961754033"</f>
        <v>1551685961754033</v>
      </c>
      <c r="C7198" t="s">
        <v>40</v>
      </c>
      <c r="D7198">
        <v>4.8058120000000004</v>
      </c>
      <c r="E7198">
        <v>0.4528587</v>
      </c>
      <c r="F7198" t="s">
        <v>41</v>
      </c>
      <c r="G7198">
        <v>-187.6413</v>
      </c>
      <c r="H7198" s="1">
        <v>-4.1345820000000001E-6</v>
      </c>
      <c r="I7198">
        <v>-31.704689999999999</v>
      </c>
      <c r="J7198">
        <v>-191.06370000000001</v>
      </c>
      <c r="K7198">
        <v>1.1153759999999999</v>
      </c>
      <c r="L7198">
        <v>-46.786099999999998</v>
      </c>
      <c r="M7198">
        <v>0.47773749999999998</v>
      </c>
      <c r="N7198">
        <v>-1.3715349999999999E-2</v>
      </c>
      <c r="O7198">
        <v>0.87839560000000005</v>
      </c>
      <c r="P7198">
        <v>0.3276173</v>
      </c>
      <c r="Q7198">
        <v>0.17226250000000001</v>
      </c>
      <c r="R7198">
        <v>0.92897390000000002</v>
      </c>
      <c r="S7198">
        <v>0.69696040000000004</v>
      </c>
      <c r="T7198">
        <v>-0.22119839999999999</v>
      </c>
      <c r="U7198">
        <v>3.0276489999999998</v>
      </c>
      <c r="V7198">
        <v>-0.15816910000000001</v>
      </c>
      <c r="W7198">
        <v>0.1837771</v>
      </c>
      <c r="X7198">
        <v>0.97015899999999999</v>
      </c>
      <c r="Y7198">
        <v>-0.26860319999999999</v>
      </c>
      <c r="Z7198">
        <v>-4.4836420000000002E-2</v>
      </c>
      <c r="AA7198">
        <v>0.96220680000000003</v>
      </c>
      <c r="AB7198">
        <v>21</v>
      </c>
      <c r="AC7198">
        <v>3.4224000000000099</v>
      </c>
      <c r="AD7198">
        <v>-1.115380134582</v>
      </c>
      <c r="AE7198">
        <v>15.081409999999901</v>
      </c>
      <c r="AF7198">
        <v>-4.17739883695321</v>
      </c>
      <c r="AG7198">
        <v>-1.115380134582</v>
      </c>
      <c r="AH7198">
        <v>14.806830285635501</v>
      </c>
      <c r="AI7198">
        <v>94.146615542197395</v>
      </c>
      <c r="AJ7198">
        <v>105.755164355996</v>
      </c>
      <c r="AK7198">
        <v>15.425205249694701</v>
      </c>
      <c r="AL7198">
        <v>79.410156834343397</v>
      </c>
      <c r="AM7198">
        <v>99.259703895964293</v>
      </c>
      <c r="AN7198">
        <v>0.99999998598010897</v>
      </c>
    </row>
    <row r="7199" spans="1:40" x14ac:dyDescent="0.25">
      <c r="A7199" t="str">
        <f>"20190304155241785"</f>
        <v>20190304155241785</v>
      </c>
      <c r="B7199" t="str">
        <f>"1551685961773556"</f>
        <v>1551685961773556</v>
      </c>
      <c r="C7199" t="s">
        <v>40</v>
      </c>
      <c r="D7199">
        <v>4.1408050000000003</v>
      </c>
      <c r="E7199">
        <v>0.45281769999999999</v>
      </c>
      <c r="F7199" t="s">
        <v>41</v>
      </c>
      <c r="G7199">
        <v>-187.666</v>
      </c>
      <c r="H7199" s="1">
        <v>-4.1896279999999996E-6</v>
      </c>
      <c r="I7199">
        <v>-31.56617</v>
      </c>
      <c r="J7199">
        <v>-190.96969999999999</v>
      </c>
      <c r="K7199">
        <v>1.1153789999999999</v>
      </c>
      <c r="L7199">
        <v>-46.592829999999999</v>
      </c>
      <c r="M7199">
        <v>0.47028219999999998</v>
      </c>
      <c r="N7199">
        <v>-1.3710979999999999E-2</v>
      </c>
      <c r="O7199">
        <v>0.88240959999999902</v>
      </c>
      <c r="P7199">
        <v>0.32059690000000002</v>
      </c>
      <c r="Q7199">
        <v>0.17221600000000001</v>
      </c>
      <c r="R7199">
        <v>0.93142860000000005</v>
      </c>
      <c r="S7199">
        <v>0.67683409999999999</v>
      </c>
      <c r="T7199">
        <v>-0.22218950000000001</v>
      </c>
      <c r="U7199">
        <v>3.0318909999999999</v>
      </c>
      <c r="V7199">
        <v>-0.15727829999999901</v>
      </c>
      <c r="W7199">
        <v>0.1837377</v>
      </c>
      <c r="X7199">
        <v>0.97031129999999999</v>
      </c>
      <c r="Y7199">
        <v>-0.26682240000000002</v>
      </c>
      <c r="Z7199">
        <v>-4.5459769999999997E-2</v>
      </c>
      <c r="AA7199">
        <v>0.96267290000000005</v>
      </c>
      <c r="AB7199">
        <v>21</v>
      </c>
      <c r="AC7199">
        <v>3.3036999999999899</v>
      </c>
      <c r="AD7199">
        <v>-1.115383189628</v>
      </c>
      <c r="AE7199">
        <v>15.02666</v>
      </c>
      <c r="AF7199">
        <v>-4.1302374393173897</v>
      </c>
      <c r="AG7199">
        <v>-1.115383189628</v>
      </c>
      <c r="AH7199">
        <v>14.7372793428879</v>
      </c>
      <c r="AI7199">
        <v>94.168149715934902</v>
      </c>
      <c r="AJ7199">
        <v>105.655942376299</v>
      </c>
      <c r="AK7199">
        <v>15.345694620809899</v>
      </c>
      <c r="AL7199">
        <v>79.412453678584399</v>
      </c>
      <c r="AM7199">
        <v>99.207028996807495</v>
      </c>
      <c r="AN7199">
        <v>1.00000001247993</v>
      </c>
    </row>
    <row r="7200" spans="1:40" x14ac:dyDescent="0.25">
      <c r="A7200" t="str">
        <f>"20190304155241806"</f>
        <v>20190304155241806</v>
      </c>
      <c r="B7200" t="str">
        <f>"1551685961803809"</f>
        <v>1551685961803809</v>
      </c>
      <c r="C7200" t="s">
        <v>40</v>
      </c>
      <c r="D7200">
        <v>4.8015610000000004</v>
      </c>
      <c r="E7200">
        <v>0.45338539999999999</v>
      </c>
      <c r="F7200" t="s">
        <v>41</v>
      </c>
      <c r="G7200">
        <v>-187.6806</v>
      </c>
      <c r="H7200" s="1">
        <v>-4.3038890000000003E-6</v>
      </c>
      <c r="I7200">
        <v>-31.293769999999999</v>
      </c>
      <c r="J7200">
        <v>-190.88220000000001</v>
      </c>
      <c r="K7200">
        <v>1.115383</v>
      </c>
      <c r="L7200">
        <v>-46.40878</v>
      </c>
      <c r="M7200">
        <v>0.46315830000000002</v>
      </c>
      <c r="N7200">
        <v>-1.370766E-2</v>
      </c>
      <c r="O7200">
        <v>0.8861696</v>
      </c>
      <c r="P7200">
        <v>0.31318380000000001</v>
      </c>
      <c r="Q7200">
        <v>0.17182449999999999</v>
      </c>
      <c r="R7200">
        <v>0.93401940000000006</v>
      </c>
      <c r="S7200">
        <v>0.65292359999999905</v>
      </c>
      <c r="T7200">
        <v>-0.22141710000000001</v>
      </c>
      <c r="U7200">
        <v>3.037048</v>
      </c>
      <c r="V7200">
        <v>-0.15720399999999901</v>
      </c>
      <c r="W7200">
        <v>0.18334310000000001</v>
      </c>
      <c r="X7200">
        <v>0.97039790000000004</v>
      </c>
      <c r="Y7200">
        <v>-0.26663949999999997</v>
      </c>
      <c r="Z7200">
        <v>-4.5563579999999999E-2</v>
      </c>
      <c r="AA7200">
        <v>0.96271870000000004</v>
      </c>
      <c r="AB7200">
        <v>21</v>
      </c>
      <c r="AC7200">
        <v>3.2016000000000102</v>
      </c>
      <c r="AD7200">
        <v>-1.1153873038889901</v>
      </c>
      <c r="AE7200">
        <v>15.1150099999999</v>
      </c>
      <c r="AF7200">
        <v>-4.1422847388397797</v>
      </c>
      <c r="AG7200">
        <v>-1.1153873038889901</v>
      </c>
      <c r="AH7200">
        <v>14.801567019960901</v>
      </c>
      <c r="AI7200">
        <v>94.150558010343303</v>
      </c>
      <c r="AJ7200">
        <v>105.63451426650001</v>
      </c>
      <c r="AK7200">
        <v>15.410678049381699</v>
      </c>
      <c r="AL7200">
        <v>79.435452501693604</v>
      </c>
      <c r="AM7200">
        <v>99.201946713969207</v>
      </c>
      <c r="AN7200">
        <v>0.99999993712900803</v>
      </c>
    </row>
    <row r="7201" spans="1:40" x14ac:dyDescent="0.25">
      <c r="A7201" t="str">
        <f>"20190304155241830"</f>
        <v>20190304155241830</v>
      </c>
      <c r="B7201" t="str">
        <f>"1551685961824306"</f>
        <v>1551685961824306</v>
      </c>
      <c r="C7201" t="s">
        <v>40</v>
      </c>
      <c r="D7201">
        <v>4.8366379999999998</v>
      </c>
      <c r="E7201">
        <v>0.45372839999999998</v>
      </c>
      <c r="F7201" t="s">
        <v>41</v>
      </c>
      <c r="G7201">
        <v>-187.70760000000001</v>
      </c>
      <c r="H7201" s="1">
        <v>-4.3552460000000002E-6</v>
      </c>
      <c r="I7201">
        <v>-31.1629</v>
      </c>
      <c r="J7201">
        <v>-190.792</v>
      </c>
      <c r="K7201">
        <v>1.115389</v>
      </c>
      <c r="L7201">
        <v>-46.214869999999998</v>
      </c>
      <c r="M7201">
        <v>0.45562209999999997</v>
      </c>
      <c r="N7201">
        <v>-1.3704920000000001E-2</v>
      </c>
      <c r="O7201">
        <v>0.89006779999999996</v>
      </c>
      <c r="P7201">
        <v>0.30549359999999998</v>
      </c>
      <c r="Q7201">
        <v>0.17162910000000001</v>
      </c>
      <c r="R7201">
        <v>0.93659870000000001</v>
      </c>
      <c r="S7201">
        <v>0.63311770000000001</v>
      </c>
      <c r="T7201">
        <v>-0.2224469</v>
      </c>
      <c r="U7201">
        <v>3.0405579999999999</v>
      </c>
      <c r="V7201">
        <v>-0.15696460000000001</v>
      </c>
      <c r="W7201">
        <v>0.1831467</v>
      </c>
      <c r="X7201">
        <v>0.97047380000000005</v>
      </c>
      <c r="Y7201">
        <v>-0.26469809999999999</v>
      </c>
      <c r="Z7201">
        <v>-4.6201869999999999E-2</v>
      </c>
      <c r="AA7201">
        <v>0.96322390000000002</v>
      </c>
      <c r="AB7201">
        <v>21</v>
      </c>
      <c r="AC7201">
        <v>3.08439999999998</v>
      </c>
      <c r="AD7201">
        <v>-1.115393355246</v>
      </c>
      <c r="AE7201">
        <v>15.051969999999899</v>
      </c>
      <c r="AF7201">
        <v>-4.0915093205947697</v>
      </c>
      <c r="AG7201">
        <v>-1.115393355246</v>
      </c>
      <c r="AH7201">
        <v>14.7263777885785</v>
      </c>
      <c r="AI7201">
        <v>94.173869756965601</v>
      </c>
      <c r="AJ7201">
        <v>105.52717689229399</v>
      </c>
      <c r="AK7201">
        <v>15.324841063755899</v>
      </c>
      <c r="AL7201">
        <v>79.446899866399505</v>
      </c>
      <c r="AM7201">
        <v>99.187466268276296</v>
      </c>
      <c r="AN7201">
        <v>0.99999999793024497</v>
      </c>
    </row>
    <row r="7202" spans="1:40" x14ac:dyDescent="0.25">
      <c r="A7202" t="str">
        <f>"20190304155241852"</f>
        <v>20190304155241852</v>
      </c>
      <c r="B7202" t="str">
        <f>"1551685961843825"</f>
        <v>1551685961843825</v>
      </c>
      <c r="C7202" t="s">
        <v>40</v>
      </c>
      <c r="D7202">
        <v>4.8501539999999999</v>
      </c>
      <c r="E7202">
        <v>0.4539281</v>
      </c>
      <c r="F7202" t="s">
        <v>41</v>
      </c>
      <c r="G7202">
        <v>-187.7406</v>
      </c>
      <c r="H7202" s="1">
        <v>-4.421932E-6</v>
      </c>
      <c r="I7202">
        <v>-30.993790000000001</v>
      </c>
      <c r="J7202">
        <v>-190.70750000000001</v>
      </c>
      <c r="K7202">
        <v>1.115394</v>
      </c>
      <c r="L7202">
        <v>-46.028930000000003</v>
      </c>
      <c r="M7202">
        <v>0.44836920000000002</v>
      </c>
      <c r="N7202">
        <v>-1.370298E-2</v>
      </c>
      <c r="O7202">
        <v>0.89374349999999902</v>
      </c>
      <c r="P7202">
        <v>0.29858259999999998</v>
      </c>
      <c r="Q7202">
        <v>0.171348</v>
      </c>
      <c r="R7202">
        <v>0.93887609999999999</v>
      </c>
      <c r="S7202">
        <v>0.61039730000000003</v>
      </c>
      <c r="T7202">
        <v>-0.22312589999999999</v>
      </c>
      <c r="U7202">
        <v>3.044861</v>
      </c>
      <c r="V7202">
        <v>-0.15624669999999999</v>
      </c>
      <c r="W7202">
        <v>0.18287149999999999</v>
      </c>
      <c r="X7202">
        <v>0.97064159999999999</v>
      </c>
      <c r="Y7202">
        <v>-0.26403179999999998</v>
      </c>
      <c r="Z7202">
        <v>-4.6699900000000003E-2</v>
      </c>
      <c r="AA7202">
        <v>0.96338279999999998</v>
      </c>
      <c r="AB7202">
        <v>21</v>
      </c>
      <c r="AC7202">
        <v>2.9668999999999999</v>
      </c>
      <c r="AD7202">
        <v>-1.1153984219319999</v>
      </c>
      <c r="AE7202">
        <v>15.035139999999901</v>
      </c>
      <c r="AF7202">
        <v>-4.0684778402622799</v>
      </c>
      <c r="AG7202">
        <v>-1.1153984219319999</v>
      </c>
      <c r="AH7202">
        <v>14.691386041729601</v>
      </c>
      <c r="AI7202">
        <v>94.184767590445205</v>
      </c>
      <c r="AJ7202">
        <v>105.478978698509</v>
      </c>
      <c r="AK7202">
        <v>15.2850727640885</v>
      </c>
      <c r="AL7202">
        <v>79.462939266341806</v>
      </c>
      <c r="AM7202">
        <v>99.144603446903005</v>
      </c>
      <c r="AN7202">
        <v>1.00000006621184</v>
      </c>
    </row>
    <row r="7203" spans="1:40" x14ac:dyDescent="0.25">
      <c r="A7203" t="str">
        <f>"20190304155241876"</f>
        <v>20190304155241876</v>
      </c>
      <c r="B7203" t="str">
        <f>"1551685961874081"</f>
        <v>1551685961874081</v>
      </c>
      <c r="C7203" t="s">
        <v>40</v>
      </c>
      <c r="D7203">
        <v>4.8198309999999998</v>
      </c>
      <c r="E7203">
        <v>0.47608549999999999</v>
      </c>
      <c r="F7203" t="s">
        <v>41</v>
      </c>
      <c r="G7203">
        <v>-187.76820000000001</v>
      </c>
      <c r="H7203" s="1">
        <v>-4.5062500000000003E-6</v>
      </c>
      <c r="I7203">
        <v>-30.78584</v>
      </c>
      <c r="J7203">
        <v>-190.6163</v>
      </c>
      <c r="K7203">
        <v>1.115389</v>
      </c>
      <c r="L7203">
        <v>-45.82349</v>
      </c>
      <c r="M7203">
        <v>0.44032789999999999</v>
      </c>
      <c r="N7203">
        <v>-1.370122E-2</v>
      </c>
      <c r="O7203">
        <v>0.89773250000000004</v>
      </c>
      <c r="P7203">
        <v>0.29013119999999998</v>
      </c>
      <c r="Q7203">
        <v>0.17002809999999999</v>
      </c>
      <c r="R7203">
        <v>0.94176130000000002</v>
      </c>
      <c r="S7203">
        <v>0.58793640000000003</v>
      </c>
      <c r="T7203">
        <v>-0.2231108</v>
      </c>
      <c r="U7203">
        <v>3.049042</v>
      </c>
      <c r="V7203">
        <v>-0.15634999999999999</v>
      </c>
      <c r="W7203">
        <v>0.18154980000000001</v>
      </c>
      <c r="X7203">
        <v>0.97087299999999999</v>
      </c>
      <c r="Y7203">
        <v>-0.26246429999999998</v>
      </c>
      <c r="Z7203">
        <v>-4.7056359999999998E-2</v>
      </c>
      <c r="AA7203">
        <v>0.96379360000000003</v>
      </c>
      <c r="AB7203">
        <v>21</v>
      </c>
      <c r="AC7203">
        <v>2.8480999999999801</v>
      </c>
      <c r="AD7203">
        <v>-1.11539350625</v>
      </c>
      <c r="AE7203">
        <v>15.0376499999999</v>
      </c>
      <c r="AF7203">
        <v>-4.0435703352684502</v>
      </c>
      <c r="AG7203">
        <v>-1.11539350625</v>
      </c>
      <c r="AH7203">
        <v>14.677316110481099</v>
      </c>
      <c r="AI7203">
        <v>94.190280182790005</v>
      </c>
      <c r="AJ7203">
        <v>105.40277178991001</v>
      </c>
      <c r="AK7203">
        <v>15.264932752457</v>
      </c>
      <c r="AL7203">
        <v>79.539955885386703</v>
      </c>
      <c r="AM7203">
        <v>99.148402928940399</v>
      </c>
      <c r="AN7203">
        <v>1.00000001725451</v>
      </c>
    </row>
    <row r="7204" spans="1:40" x14ac:dyDescent="0.25">
      <c r="A7204" t="str">
        <f>"20190304155241898"</f>
        <v>20190304155241898</v>
      </c>
      <c r="B7204" t="str">
        <f>"1551685961893601"</f>
        <v>1551685961893601</v>
      </c>
      <c r="C7204" t="s">
        <v>40</v>
      </c>
      <c r="D7204">
        <v>4.8108219999999999</v>
      </c>
      <c r="E7204">
        <v>0.47517540000000003</v>
      </c>
      <c r="F7204" t="s">
        <v>41</v>
      </c>
      <c r="G7204">
        <v>-187.36500000000001</v>
      </c>
      <c r="H7204" s="1">
        <v>-3.8641050000000003E-6</v>
      </c>
      <c r="I7204">
        <v>-32.449420000000003</v>
      </c>
      <c r="J7204">
        <v>-190.53469999999999</v>
      </c>
      <c r="K7204">
        <v>1.115383</v>
      </c>
      <c r="L7204">
        <v>-45.635590000000001</v>
      </c>
      <c r="M7204">
        <v>0.4329479</v>
      </c>
      <c r="N7204">
        <v>-1.369717E-2</v>
      </c>
      <c r="O7204">
        <v>0.90131490000000003</v>
      </c>
      <c r="P7204">
        <v>0.28226449999999997</v>
      </c>
      <c r="Q7204">
        <v>0.1687987</v>
      </c>
      <c r="R7204">
        <v>0.94436949999999997</v>
      </c>
      <c r="S7204">
        <v>0.73068239999999995</v>
      </c>
      <c r="T7204">
        <v>-0.25067250000000002</v>
      </c>
      <c r="U7204">
        <v>3.0056759999999998</v>
      </c>
      <c r="V7204">
        <v>-0.1565666</v>
      </c>
      <c r="W7204">
        <v>0.1803159</v>
      </c>
      <c r="X7204">
        <v>0.97106800000000004</v>
      </c>
      <c r="Y7204">
        <v>-0.20806330000000001</v>
      </c>
      <c r="Z7204">
        <v>-5.6209960000000003E-2</v>
      </c>
      <c r="AA7204">
        <v>0.97649889999999995</v>
      </c>
      <c r="AB7204">
        <v>21</v>
      </c>
      <c r="AC7204">
        <v>3.16969999999997</v>
      </c>
      <c r="AD7204">
        <v>-1.115386864105</v>
      </c>
      <c r="AE7204">
        <v>13.186169999999899</v>
      </c>
      <c r="AF7204">
        <v>-2.8331303890329198</v>
      </c>
      <c r="AG7204">
        <v>-1.115386864105</v>
      </c>
      <c r="AH7204">
        <v>13.1693695325175</v>
      </c>
      <c r="AI7204">
        <v>94.7333587245937</v>
      </c>
      <c r="AJ7204">
        <v>102.141015645915</v>
      </c>
      <c r="AK7204">
        <v>13.516767717982001</v>
      </c>
      <c r="AL7204">
        <v>79.611839297294495</v>
      </c>
      <c r="AM7204">
        <v>99.159053543126603</v>
      </c>
      <c r="AN7204">
        <v>0.99999999232618497</v>
      </c>
    </row>
    <row r="7205" spans="1:40" x14ac:dyDescent="0.25">
      <c r="A7205" t="str">
        <f>"20190304155241918"</f>
        <v>20190304155241918</v>
      </c>
      <c r="B7205" t="str">
        <f>"1551685961914097"</f>
        <v>1551685961914097</v>
      </c>
      <c r="C7205" t="s">
        <v>40</v>
      </c>
      <c r="D7205">
        <v>4.7930669999999997</v>
      </c>
      <c r="E7205">
        <v>0.47494009999999998</v>
      </c>
      <c r="F7205" t="s">
        <v>41</v>
      </c>
      <c r="G7205">
        <v>-187.40600000000001</v>
      </c>
      <c r="H7205" s="1">
        <v>-3.9891910000000002E-6</v>
      </c>
      <c r="I7205">
        <v>-32.140889999999999</v>
      </c>
      <c r="J7205">
        <v>-190.45779999999999</v>
      </c>
      <c r="K7205">
        <v>1.1153789999999999</v>
      </c>
      <c r="L7205">
        <v>-45.454279999999997</v>
      </c>
      <c r="M7205">
        <v>0.42580750000000001</v>
      </c>
      <c r="N7205">
        <v>-1.3687990000000001E-2</v>
      </c>
      <c r="O7205">
        <v>0.90471020000000002</v>
      </c>
      <c r="P7205">
        <v>0.27465859999999997</v>
      </c>
      <c r="Q7205">
        <v>0.16755309999999901</v>
      </c>
      <c r="R7205">
        <v>0.94683079999999997</v>
      </c>
      <c r="S7205">
        <v>0.69844059999999997</v>
      </c>
      <c r="T7205">
        <v>-0.24899279999999999</v>
      </c>
      <c r="U7205">
        <v>3.0124819999999999</v>
      </c>
      <c r="V7205">
        <v>-0.15677959999999999</v>
      </c>
      <c r="W7205">
        <v>0.17906159999999999</v>
      </c>
      <c r="X7205">
        <v>0.97126570000000001</v>
      </c>
      <c r="Y7205">
        <v>-0.21072340000000001</v>
      </c>
      <c r="Z7205">
        <v>-5.6017129999999998E-2</v>
      </c>
      <c r="AA7205">
        <v>0.97593940000000001</v>
      </c>
      <c r="AB7205">
        <v>21</v>
      </c>
      <c r="AC7205">
        <v>3.0518000000000098</v>
      </c>
      <c r="AD7205">
        <v>-1.1153829891910001</v>
      </c>
      <c r="AE7205">
        <v>13.313389999999901</v>
      </c>
      <c r="AF7205">
        <v>-2.8889542085064899</v>
      </c>
      <c r="AG7205">
        <v>-1.1153829891910001</v>
      </c>
      <c r="AH7205">
        <v>13.2570845494244</v>
      </c>
      <c r="AI7205">
        <v>94.699467280978496</v>
      </c>
      <c r="AJ7205">
        <v>102.293573250386</v>
      </c>
      <c r="AK7205">
        <v>13.6139790796817</v>
      </c>
      <c r="AL7205">
        <v>79.684894350303495</v>
      </c>
      <c r="AM7205">
        <v>99.169467211031304</v>
      </c>
      <c r="AN7205">
        <v>0.999999979783604</v>
      </c>
    </row>
    <row r="7206" spans="1:40" x14ac:dyDescent="0.25">
      <c r="A7206" t="str">
        <f>"20190304155241941"</f>
        <v>20190304155241941</v>
      </c>
      <c r="B7206" t="str">
        <f>"1551685961933618"</f>
        <v>1551685961933618</v>
      </c>
      <c r="C7206" t="s">
        <v>40</v>
      </c>
      <c r="D7206">
        <v>4.819286</v>
      </c>
      <c r="E7206">
        <v>0.47508669999999997</v>
      </c>
      <c r="F7206" t="s">
        <v>41</v>
      </c>
      <c r="G7206">
        <v>-187.4693</v>
      </c>
      <c r="H7206" s="1">
        <v>-4.0297069999999997E-6</v>
      </c>
      <c r="I7206">
        <v>-32.020269999999996</v>
      </c>
      <c r="J7206">
        <v>-190.3785</v>
      </c>
      <c r="K7206">
        <v>1.1153660000000001</v>
      </c>
      <c r="L7206">
        <v>-45.263179999999998</v>
      </c>
      <c r="M7206">
        <v>0.41826039999999998</v>
      </c>
      <c r="N7206">
        <v>-1.367236E-2</v>
      </c>
      <c r="O7206">
        <v>0.90822420000000004</v>
      </c>
      <c r="P7206">
        <v>0.26662259999999999</v>
      </c>
      <c r="Q7206">
        <v>0.16730419999999999</v>
      </c>
      <c r="R7206">
        <v>0.94916900000000004</v>
      </c>
      <c r="S7206">
        <v>0.671386699999999</v>
      </c>
      <c r="T7206">
        <v>-0.25057780000000002</v>
      </c>
      <c r="U7206">
        <v>3.0180359999999999</v>
      </c>
      <c r="V7206">
        <v>-0.15694149999999901</v>
      </c>
      <c r="W7206">
        <v>0.17879610000000001</v>
      </c>
      <c r="X7206">
        <v>0.9712885</v>
      </c>
      <c r="Y7206">
        <v>-0.21130689999999999</v>
      </c>
      <c r="Z7206">
        <v>-5.6781329999999998E-2</v>
      </c>
      <c r="AA7206">
        <v>0.97576909999999994</v>
      </c>
      <c r="AB7206">
        <v>21</v>
      </c>
      <c r="AC7206">
        <v>2.90919999999999</v>
      </c>
      <c r="AD7206">
        <v>-1.1153700297069999</v>
      </c>
      <c r="AE7206">
        <v>13.242909999999901</v>
      </c>
      <c r="AF7206">
        <v>-2.8775770933563098</v>
      </c>
      <c r="AG7206">
        <v>-1.1153700297069999</v>
      </c>
      <c r="AH7206">
        <v>13.156541689755899</v>
      </c>
      <c r="AI7206">
        <v>94.734377036432093</v>
      </c>
      <c r="AJ7206">
        <v>102.337356680938</v>
      </c>
      <c r="AK7206">
        <v>13.513663066158699</v>
      </c>
      <c r="AL7206">
        <v>79.700356265175898</v>
      </c>
      <c r="AM7206">
        <v>99.178563260065204</v>
      </c>
      <c r="AN7206">
        <v>1.00000001501485</v>
      </c>
    </row>
    <row r="7207" spans="1:40" x14ac:dyDescent="0.25">
      <c r="A7207" t="str">
        <f>"20190304155241963"</f>
        <v>20190304155241963</v>
      </c>
      <c r="B7207" t="str">
        <f>"1551685961954116"</f>
        <v>1551685961954116</v>
      </c>
      <c r="C7207" t="s">
        <v>40</v>
      </c>
      <c r="D7207">
        <v>4.8798680000000001</v>
      </c>
      <c r="E7207">
        <v>0.4753713</v>
      </c>
      <c r="F7207" t="s">
        <v>41</v>
      </c>
      <c r="G7207">
        <v>-187.48490000000001</v>
      </c>
      <c r="H7207" s="1">
        <v>-4.1539479999999998E-6</v>
      </c>
      <c r="I7207">
        <v>-31.7242</v>
      </c>
      <c r="J7207">
        <v>-190.30170000000001</v>
      </c>
      <c r="K7207">
        <v>1.1153580000000001</v>
      </c>
      <c r="L7207">
        <v>-45.073459999999997</v>
      </c>
      <c r="M7207">
        <v>0.41074909999999998</v>
      </c>
      <c r="N7207">
        <v>-1.364861E-2</v>
      </c>
      <c r="O7207">
        <v>0.91164619999999996</v>
      </c>
      <c r="P7207">
        <v>0.25885760000000002</v>
      </c>
      <c r="Q7207">
        <v>0.16682839999999999</v>
      </c>
      <c r="R7207">
        <v>0.95139949999999995</v>
      </c>
      <c r="S7207">
        <v>0.64610290000000004</v>
      </c>
      <c r="T7207">
        <v>-0.24904689999999999</v>
      </c>
      <c r="U7207">
        <v>3.0230709999999998</v>
      </c>
      <c r="V7207">
        <v>-0.15688869999999999</v>
      </c>
      <c r="W7207">
        <v>0.17829970000000001</v>
      </c>
      <c r="X7207">
        <v>0.97138829999999998</v>
      </c>
      <c r="Y7207">
        <v>-0.21137230000000001</v>
      </c>
      <c r="Z7207">
        <v>-5.6692050000000001E-2</v>
      </c>
      <c r="AA7207">
        <v>0.97576010000000002</v>
      </c>
      <c r="AB7207">
        <v>21</v>
      </c>
      <c r="AC7207">
        <v>2.8168000000000002</v>
      </c>
      <c r="AD7207">
        <v>-1.1153621539480001</v>
      </c>
      <c r="AE7207">
        <v>13.3492599999999</v>
      </c>
      <c r="AF7207">
        <v>-2.8961867936479502</v>
      </c>
      <c r="AG7207">
        <v>-1.1153621539480001</v>
      </c>
      <c r="AH7207">
        <v>13.2395567950069</v>
      </c>
      <c r="AI7207">
        <v>94.704758562256004</v>
      </c>
      <c r="AJ7207">
        <v>102.339226643826</v>
      </c>
      <c r="AK7207">
        <v>13.5984482499428</v>
      </c>
      <c r="AL7207">
        <v>79.729262617596603</v>
      </c>
      <c r="AM7207">
        <v>99.174601182777593</v>
      </c>
      <c r="AN7207">
        <v>1.00000003829233</v>
      </c>
    </row>
    <row r="7208" spans="1:40" x14ac:dyDescent="0.25">
      <c r="A7208" t="str">
        <f>"20190304155241986"</f>
        <v>20190304155241986</v>
      </c>
      <c r="B7208" t="str">
        <f>"1551685961983745"</f>
        <v>1551685961983745</v>
      </c>
      <c r="C7208" t="s">
        <v>40</v>
      </c>
      <c r="D7208">
        <v>4.8703469999999998</v>
      </c>
      <c r="E7208">
        <v>0.4761783</v>
      </c>
      <c r="F7208" t="s">
        <v>41</v>
      </c>
      <c r="G7208">
        <v>-187.5181</v>
      </c>
      <c r="H7208" s="1">
        <v>-4.2244240000000004E-6</v>
      </c>
      <c r="I7208">
        <v>-31.546199999999999</v>
      </c>
      <c r="J7208">
        <v>-190.22380000000001</v>
      </c>
      <c r="K7208">
        <v>1.1153459999999999</v>
      </c>
      <c r="L7208">
        <v>-44.876429999999999</v>
      </c>
      <c r="M7208">
        <v>0.40293440000000003</v>
      </c>
      <c r="N7208">
        <v>-1.361329E-2</v>
      </c>
      <c r="O7208">
        <v>0.91512760000000004</v>
      </c>
      <c r="P7208">
        <v>0.25161539999999999</v>
      </c>
      <c r="Q7208">
        <v>0.1659629</v>
      </c>
      <c r="R7208">
        <v>0.95349150000000005</v>
      </c>
      <c r="S7208">
        <v>0.62298580000000003</v>
      </c>
      <c r="T7208">
        <v>-0.24962870000000001</v>
      </c>
      <c r="U7208">
        <v>3.0275270000000001</v>
      </c>
      <c r="V7208">
        <v>-0.1560117</v>
      </c>
      <c r="W7208">
        <v>0.177414299999999</v>
      </c>
      <c r="X7208">
        <v>0.97169159999999999</v>
      </c>
      <c r="Y7208">
        <v>-0.21044599999999999</v>
      </c>
      <c r="Z7208">
        <v>-5.7225690000000003E-2</v>
      </c>
      <c r="AA7208">
        <v>0.97592909999999999</v>
      </c>
      <c r="AB7208">
        <v>21</v>
      </c>
      <c r="AC7208">
        <v>2.7057000000000002</v>
      </c>
      <c r="AD7208">
        <v>-1.1153502244239999</v>
      </c>
      <c r="AE7208">
        <v>13.330229999999901</v>
      </c>
      <c r="AF7208">
        <v>-2.8760776992611299</v>
      </c>
      <c r="AG7208">
        <v>-1.1153502244239999</v>
      </c>
      <c r="AH7208">
        <v>13.2015483695703</v>
      </c>
      <c r="AI7208">
        <v>94.719067168037796</v>
      </c>
      <c r="AJ7208">
        <v>102.290365496569</v>
      </c>
      <c r="AK7208">
        <v>13.5571644678898</v>
      </c>
      <c r="AL7208">
        <v>79.780814083854807</v>
      </c>
      <c r="AM7208">
        <v>99.121380544656105</v>
      </c>
      <c r="AN7208">
        <v>1.00000002494596</v>
      </c>
    </row>
    <row r="7209" spans="1:40" x14ac:dyDescent="0.25">
      <c r="A7209" t="str">
        <f>"20190304155242009"</f>
        <v>20190304155242009</v>
      </c>
      <c r="B7209" t="str">
        <f>"1551685962004241"</f>
        <v>1551685962004241</v>
      </c>
      <c r="C7209" t="s">
        <v>40</v>
      </c>
      <c r="D7209">
        <v>4.7573749999999997</v>
      </c>
      <c r="E7209">
        <v>0.47580800000000001</v>
      </c>
      <c r="F7209" t="s">
        <v>41</v>
      </c>
      <c r="G7209">
        <v>-187.39920000000001</v>
      </c>
      <c r="H7209" s="1">
        <v>-4.5955000000000003E-6</v>
      </c>
      <c r="I7209">
        <v>-30.73039</v>
      </c>
      <c r="J7209">
        <v>-190.14920000000001</v>
      </c>
      <c r="K7209">
        <v>1.1153310000000001</v>
      </c>
      <c r="L7209">
        <v>-44.682949999999998</v>
      </c>
      <c r="M7209">
        <v>0.39524809999999999</v>
      </c>
      <c r="N7209">
        <v>-1.356753E-2</v>
      </c>
      <c r="O7209">
        <v>0.91847420000000002</v>
      </c>
      <c r="P7209">
        <v>0.24465729999999999</v>
      </c>
      <c r="Q7209">
        <v>0.16549330000000001</v>
      </c>
      <c r="R7209">
        <v>0.95538199999999995</v>
      </c>
      <c r="S7209">
        <v>0.60467530000000003</v>
      </c>
      <c r="T7209">
        <v>-0.23876919999999999</v>
      </c>
      <c r="U7209">
        <v>3.0283199999999999</v>
      </c>
      <c r="V7209">
        <v>-0.15497159999999999</v>
      </c>
      <c r="W7209">
        <v>0.17691680000000001</v>
      </c>
      <c r="X7209">
        <v>0.9719487</v>
      </c>
      <c r="Y7209">
        <v>-0.20794389999999999</v>
      </c>
      <c r="Z7209">
        <v>-5.4623049999999999E-2</v>
      </c>
      <c r="AA7209">
        <v>0.97661439999999999</v>
      </c>
      <c r="AB7209">
        <v>21</v>
      </c>
      <c r="AC7209">
        <v>2.75</v>
      </c>
      <c r="AD7209">
        <v>-1.1153355954999999</v>
      </c>
      <c r="AE7209">
        <v>13.952559999999901</v>
      </c>
      <c r="AF7209">
        <v>-2.9709195443774599</v>
      </c>
      <c r="AG7209">
        <v>-1.1153355954999999</v>
      </c>
      <c r="AH7209">
        <v>13.818280977146699</v>
      </c>
      <c r="AI7209">
        <v>94.511933327456703</v>
      </c>
      <c r="AJ7209">
        <v>102.133837107893</v>
      </c>
      <c r="AK7209">
        <v>14.177983833857599</v>
      </c>
      <c r="AL7209">
        <v>79.809776773418093</v>
      </c>
      <c r="AM7209">
        <v>99.059225102248604</v>
      </c>
      <c r="AN7209">
        <v>1.00000001318024</v>
      </c>
    </row>
    <row r="7210" spans="1:40" x14ac:dyDescent="0.25">
      <c r="A7210" t="str">
        <f>"20190304155242031"</f>
        <v>20190304155242031</v>
      </c>
      <c r="B7210" t="str">
        <f>"1551685962023762"</f>
        <v>1551685962023762</v>
      </c>
      <c r="C7210" t="s">
        <v>40</v>
      </c>
      <c r="D7210">
        <v>4.8092899999999998</v>
      </c>
      <c r="E7210">
        <v>0.46198450000000002</v>
      </c>
      <c r="F7210" t="s">
        <v>41</v>
      </c>
      <c r="G7210">
        <v>-187.46870000000001</v>
      </c>
      <c r="H7210" s="1">
        <v>-4.622662E-6</v>
      </c>
      <c r="I7210">
        <v>-30.63832</v>
      </c>
      <c r="J7210">
        <v>-190.077</v>
      </c>
      <c r="K7210">
        <v>1.1153189999999999</v>
      </c>
      <c r="L7210">
        <v>-44.490299999999998</v>
      </c>
      <c r="M7210">
        <v>0.3875847</v>
      </c>
      <c r="N7210">
        <v>-1.351342E-2</v>
      </c>
      <c r="O7210">
        <v>0.92173499999999997</v>
      </c>
      <c r="P7210">
        <v>0.237868</v>
      </c>
      <c r="Q7210">
        <v>0.16563269999999999</v>
      </c>
      <c r="R7210">
        <v>0.95707089999999995</v>
      </c>
      <c r="S7210">
        <v>0.57897949999999998</v>
      </c>
      <c r="T7210">
        <v>-0.24090700000000001</v>
      </c>
      <c r="U7210">
        <v>3.033569</v>
      </c>
      <c r="V7210">
        <v>-0.1537645</v>
      </c>
      <c r="W7210">
        <v>0.17702100000000001</v>
      </c>
      <c r="X7210">
        <v>0.97212140000000002</v>
      </c>
      <c r="Y7210">
        <v>-0.2080989</v>
      </c>
      <c r="Z7210">
        <v>-5.555243E-2</v>
      </c>
      <c r="AA7210">
        <v>0.97652890000000003</v>
      </c>
      <c r="AB7210">
        <v>21</v>
      </c>
      <c r="AC7210">
        <v>2.6082999999999799</v>
      </c>
      <c r="AD7210">
        <v>-1.115323622662</v>
      </c>
      <c r="AE7210">
        <v>13.8519799999999</v>
      </c>
      <c r="AF7210">
        <v>-2.9464769497278702</v>
      </c>
      <c r="AG7210">
        <v>-1.115323622662</v>
      </c>
      <c r="AH7210">
        <v>13.6943101500789</v>
      </c>
      <c r="AI7210">
        <v>94.552408551872105</v>
      </c>
      <c r="AJ7210">
        <v>102.142678870685</v>
      </c>
      <c r="AK7210">
        <v>14.052039129076601</v>
      </c>
      <c r="AL7210">
        <v>79.803710531941704</v>
      </c>
      <c r="AM7210">
        <v>98.988247095886393</v>
      </c>
      <c r="AN7210">
        <v>0.99999998611960395</v>
      </c>
    </row>
    <row r="7211" spans="1:40" x14ac:dyDescent="0.25">
      <c r="A7211" t="str">
        <f>"20190304155242054"</f>
        <v>20190304155242054</v>
      </c>
      <c r="B7211" t="str">
        <f>"1551685962044257"</f>
        <v>1551685962044257</v>
      </c>
      <c r="C7211" t="s">
        <v>40</v>
      </c>
      <c r="D7211">
        <v>4.8464919999999996</v>
      </c>
      <c r="E7211">
        <v>0.46322829999999898</v>
      </c>
      <c r="F7211" t="s">
        <v>41</v>
      </c>
      <c r="G7211">
        <v>-187.25890000000001</v>
      </c>
      <c r="H7211" s="1">
        <v>-2.6778419999999999E-6</v>
      </c>
      <c r="I7211">
        <v>-25.258520000000001</v>
      </c>
      <c r="J7211">
        <v>-190.00559999999999</v>
      </c>
      <c r="K7211">
        <v>1.1153120000000001</v>
      </c>
      <c r="L7211">
        <v>-44.295200000000001</v>
      </c>
      <c r="M7211">
        <v>0.37981819999999999</v>
      </c>
      <c r="N7211">
        <v>-1.3456269999999999E-2</v>
      </c>
      <c r="O7211">
        <v>0.92496330000000004</v>
      </c>
      <c r="P7211">
        <v>0.2308605</v>
      </c>
      <c r="Q7211">
        <v>0.16623289999999999</v>
      </c>
      <c r="R7211">
        <v>0.95868140000000002</v>
      </c>
      <c r="S7211">
        <v>0.44750980000000001</v>
      </c>
      <c r="T7211">
        <v>-0.17711189999999999</v>
      </c>
      <c r="U7211">
        <v>3.0539860000000001</v>
      </c>
      <c r="V7211">
        <v>-0.1526604</v>
      </c>
      <c r="W7211">
        <v>0.17758080000000001</v>
      </c>
      <c r="X7211">
        <v>0.97219330000000004</v>
      </c>
      <c r="Y7211">
        <v>-0.24170179999999999</v>
      </c>
      <c r="Z7211">
        <v>-3.7268559999999999E-2</v>
      </c>
      <c r="AA7211">
        <v>0.96963460000000001</v>
      </c>
      <c r="AB7211">
        <v>21</v>
      </c>
      <c r="AC7211">
        <v>2.7466999999999699</v>
      </c>
      <c r="AD7211">
        <v>-1.115314677842</v>
      </c>
      <c r="AE7211">
        <v>19.03668</v>
      </c>
      <c r="AF7211">
        <v>-4.6745870309819404</v>
      </c>
      <c r="AG7211">
        <v>-1.115314677842</v>
      </c>
      <c r="AH7211">
        <v>18.5906541273309</v>
      </c>
      <c r="AI7211">
        <v>93.329838775905401</v>
      </c>
      <c r="AJ7211">
        <v>104.114313128653</v>
      </c>
      <c r="AK7211">
        <v>19.2017736582556</v>
      </c>
      <c r="AL7211">
        <v>79.771119901213495</v>
      </c>
      <c r="AM7211">
        <v>98.924100481713793</v>
      </c>
      <c r="AN7211">
        <v>0.99999997541084396</v>
      </c>
    </row>
    <row r="7212" spans="1:40" x14ac:dyDescent="0.25">
      <c r="A7212" t="str">
        <f>"20190304155242089"</f>
        <v>20190304155242089</v>
      </c>
      <c r="B7212" t="str">
        <f>"1551685962084273"</f>
        <v>1551685962084273</v>
      </c>
      <c r="C7212" t="s">
        <v>40</v>
      </c>
      <c r="D7212">
        <v>4.739986</v>
      </c>
      <c r="E7212">
        <v>0.465808</v>
      </c>
      <c r="F7212" t="s">
        <v>41</v>
      </c>
      <c r="G7212">
        <v>-186.97200000000001</v>
      </c>
      <c r="H7212" s="1">
        <v>-3.7209849999999998E-6</v>
      </c>
      <c r="I7212">
        <v>-22.945550000000001</v>
      </c>
      <c r="J7212">
        <v>-189.89750000000001</v>
      </c>
      <c r="K7212">
        <v>1.1152839999999999</v>
      </c>
      <c r="L7212">
        <v>-43.990079999999999</v>
      </c>
      <c r="M7212">
        <v>0.3676526</v>
      </c>
      <c r="N7212">
        <v>-1.335357E-2</v>
      </c>
      <c r="O7212">
        <v>0.92986729999999995</v>
      </c>
      <c r="P7212">
        <v>0.21938260000000001</v>
      </c>
      <c r="Q7212">
        <v>0.16590829999999901</v>
      </c>
      <c r="R7212">
        <v>0.96142899999999998</v>
      </c>
      <c r="S7212">
        <v>0.43373109999999998</v>
      </c>
      <c r="T7212">
        <v>-0.15946350000000001</v>
      </c>
      <c r="U7212">
        <v>3.0524900000000001</v>
      </c>
      <c r="V7212">
        <v>-0.15153989999999901</v>
      </c>
      <c r="W7212">
        <v>0.17717629999999901</v>
      </c>
      <c r="X7212">
        <v>0.97244240000000004</v>
      </c>
      <c r="Y7212">
        <v>-0.23317570000000001</v>
      </c>
      <c r="Z7212">
        <v>-3.2805050000000002E-2</v>
      </c>
      <c r="AA7212">
        <v>0.9718812</v>
      </c>
      <c r="AB7212">
        <v>21</v>
      </c>
      <c r="AC7212">
        <v>2.9254999999999902</v>
      </c>
      <c r="AD7212">
        <v>-1.1152877209849901</v>
      </c>
      <c r="AE7212">
        <v>21.044530000000002</v>
      </c>
      <c r="AF7212">
        <v>-5.0034105289270903</v>
      </c>
      <c r="AG7212">
        <v>-1.1152877209849901</v>
      </c>
      <c r="AH7212">
        <v>20.589297880395101</v>
      </c>
      <c r="AI7212">
        <v>93.013064047931906</v>
      </c>
      <c r="AJ7212">
        <v>103.65870293325401</v>
      </c>
      <c r="AK7212">
        <v>21.2178502876517</v>
      </c>
      <c r="AL7212">
        <v>79.794669751235901</v>
      </c>
      <c r="AM7212">
        <v>98.8574085648889</v>
      </c>
      <c r="AN7212">
        <v>1.00000000194573</v>
      </c>
    </row>
    <row r="7213" spans="1:40" x14ac:dyDescent="0.25">
      <c r="A7213" t="str">
        <f>"20190304155242109"</f>
        <v>20190304155242109</v>
      </c>
      <c r="B7213" t="str">
        <f>"1551685962103793"</f>
        <v>1551685962103793</v>
      </c>
      <c r="C7213" t="s">
        <v>40</v>
      </c>
      <c r="D7213">
        <v>4.8463260000000004</v>
      </c>
      <c r="E7213">
        <v>0.46651179999999898</v>
      </c>
      <c r="F7213" t="s">
        <v>41</v>
      </c>
      <c r="G7213">
        <v>-187.05410000000001</v>
      </c>
      <c r="H7213" s="1">
        <v>-3.6228209999999998E-6</v>
      </c>
      <c r="I7213">
        <v>-23.140409999999999</v>
      </c>
      <c r="J7213">
        <v>-189.83600000000001</v>
      </c>
      <c r="K7213">
        <v>1.1152660000000001</v>
      </c>
      <c r="L7213">
        <v>-43.810420000000001</v>
      </c>
      <c r="M7213">
        <v>0.36048330000000001</v>
      </c>
      <c r="N7213">
        <v>-1.327769E-2</v>
      </c>
      <c r="O7213">
        <v>0.93267109999999998</v>
      </c>
      <c r="P7213">
        <v>0.21265290000000001</v>
      </c>
      <c r="Q7213">
        <v>0.1652817</v>
      </c>
      <c r="R7213">
        <v>0.9630476</v>
      </c>
      <c r="S7213">
        <v>0.41642760000000001</v>
      </c>
      <c r="T7213">
        <v>-0.16333889999999901</v>
      </c>
      <c r="U7213">
        <v>3.053528</v>
      </c>
      <c r="V7213">
        <v>-0.1508823</v>
      </c>
      <c r="W7213">
        <v>0.17648739999999999</v>
      </c>
      <c r="X7213">
        <v>0.97266989999999998</v>
      </c>
      <c r="Y7213">
        <v>-0.2311434</v>
      </c>
      <c r="Z7213">
        <v>-3.4202610000000001E-2</v>
      </c>
      <c r="AA7213">
        <v>0.97231829999999997</v>
      </c>
      <c r="AB7213">
        <v>21</v>
      </c>
      <c r="AC7213">
        <v>2.7818999999999701</v>
      </c>
      <c r="AD7213">
        <v>-1.115269622821</v>
      </c>
      <c r="AE7213">
        <v>20.670010000000001</v>
      </c>
      <c r="AF7213">
        <v>-4.8431753070747998</v>
      </c>
      <c r="AG7213">
        <v>-1.115269622821</v>
      </c>
      <c r="AH7213">
        <v>20.2251059509287</v>
      </c>
      <c r="AI7213">
        <v>93.069643900549806</v>
      </c>
      <c r="AJ7213">
        <v>103.466666441516</v>
      </c>
      <c r="AK7213">
        <v>20.8267876570761</v>
      </c>
      <c r="AL7213">
        <v>79.834772801956802</v>
      </c>
      <c r="AM7213">
        <v>98.817547430817498</v>
      </c>
      <c r="AN7213">
        <v>1.0000000025890201</v>
      </c>
    </row>
    <row r="7214" spans="1:40" x14ac:dyDescent="0.25">
      <c r="A7214" t="str">
        <f>"20190304155242133"</f>
        <v>20190304155242133</v>
      </c>
      <c r="B7214" t="str">
        <f>"1551685962124290"</f>
        <v>1551685962124290</v>
      </c>
      <c r="C7214" t="s">
        <v>40</v>
      </c>
      <c r="D7214">
        <v>4.8566260000000003</v>
      </c>
      <c r="E7214">
        <v>0.46750209999999998</v>
      </c>
      <c r="F7214" t="s">
        <v>41</v>
      </c>
      <c r="G7214">
        <v>-187.23490000000001</v>
      </c>
      <c r="H7214" s="1">
        <v>-3.2629000000000001E-6</v>
      </c>
      <c r="I7214">
        <v>-23.904640000000001</v>
      </c>
      <c r="J7214">
        <v>-189.7688</v>
      </c>
      <c r="K7214">
        <v>1.1152519999999999</v>
      </c>
      <c r="L7214">
        <v>-43.608429999999998</v>
      </c>
      <c r="M7214">
        <v>0.35242099999999998</v>
      </c>
      <c r="N7214">
        <v>-1.318977E-2</v>
      </c>
      <c r="O7214">
        <v>0.93574860000000004</v>
      </c>
      <c r="P7214">
        <v>0.20491699999999999</v>
      </c>
      <c r="Q7214">
        <v>0.16528319999999999</v>
      </c>
      <c r="R7214">
        <v>0.964723</v>
      </c>
      <c r="S7214">
        <v>0.39936830000000001</v>
      </c>
      <c r="T7214">
        <v>-0.17123679999999999</v>
      </c>
      <c r="U7214">
        <v>3.056305</v>
      </c>
      <c r="V7214">
        <v>-0.1502906</v>
      </c>
      <c r="W7214">
        <v>0.17641180000000001</v>
      </c>
      <c r="X7214">
        <v>0.97277519999999995</v>
      </c>
      <c r="Y7214">
        <v>-0.22820650000000001</v>
      </c>
      <c r="Z7214">
        <v>-3.6786310000000003E-2</v>
      </c>
      <c r="AA7214">
        <v>0.97291760000000005</v>
      </c>
      <c r="AB7214">
        <v>21</v>
      </c>
      <c r="AC7214">
        <v>2.5338999999999801</v>
      </c>
      <c r="AD7214">
        <v>-1.1152552629000001</v>
      </c>
      <c r="AE7214">
        <v>19.703790000000001</v>
      </c>
      <c r="AF7214">
        <v>-4.5589660359497</v>
      </c>
      <c r="AG7214">
        <v>-1.1152552629000001</v>
      </c>
      <c r="AH7214">
        <v>19.2717394157117</v>
      </c>
      <c r="AI7214">
        <v>93.223245839869605</v>
      </c>
      <c r="AJ7214">
        <v>103.309347449087</v>
      </c>
      <c r="AK7214">
        <v>19.8350171596968</v>
      </c>
      <c r="AL7214">
        <v>79.839173267026098</v>
      </c>
      <c r="AM7214">
        <v>98.782572833049997</v>
      </c>
      <c r="AN7214">
        <v>0.99999998868131901</v>
      </c>
    </row>
    <row r="7215" spans="1:40" x14ac:dyDescent="0.25">
      <c r="A7215" t="str">
        <f>"20190304155242156"</f>
        <v>20190304155242156</v>
      </c>
      <c r="B7215" t="str">
        <f>"1551685962153569"</f>
        <v>1551685962153569</v>
      </c>
      <c r="C7215" t="s">
        <v>40</v>
      </c>
      <c r="D7215">
        <v>4.8276450000000004</v>
      </c>
      <c r="E7215">
        <v>0.46917409999999998</v>
      </c>
      <c r="F7215" t="s">
        <v>41</v>
      </c>
      <c r="G7215">
        <v>-187.2825</v>
      </c>
      <c r="H7215" s="1">
        <v>-3.3265470000000001E-6</v>
      </c>
      <c r="I7215">
        <v>-23.73659</v>
      </c>
      <c r="J7215">
        <v>-189.7012</v>
      </c>
      <c r="K7215">
        <v>1.1152409999999999</v>
      </c>
      <c r="L7215">
        <v>-43.399349999999998</v>
      </c>
      <c r="M7215">
        <v>0.34407199999999999</v>
      </c>
      <c r="N7215">
        <v>-1.3093530000000001E-2</v>
      </c>
      <c r="O7215">
        <v>0.93885200000000002</v>
      </c>
      <c r="P7215">
        <v>0.1964371</v>
      </c>
      <c r="Q7215">
        <v>0.1657979</v>
      </c>
      <c r="R7215">
        <v>0.96639719999999996</v>
      </c>
      <c r="S7215">
        <v>0.38258360000000002</v>
      </c>
      <c r="T7215">
        <v>-0.1716145</v>
      </c>
      <c r="U7215">
        <v>3.0578609999999999</v>
      </c>
      <c r="V7215">
        <v>-0.15014129999999901</v>
      </c>
      <c r="W7215">
        <v>0.1768351</v>
      </c>
      <c r="X7215">
        <v>0.97272139999999996</v>
      </c>
      <c r="Y7215">
        <v>-0.2248549</v>
      </c>
      <c r="Z7215">
        <v>-3.7238269999999997E-2</v>
      </c>
      <c r="AA7215">
        <v>0.9736804</v>
      </c>
      <c r="AB7215">
        <v>21</v>
      </c>
      <c r="AC7215">
        <v>2.4186999999999999</v>
      </c>
      <c r="AD7215">
        <v>-1.115244326547</v>
      </c>
      <c r="AE7215">
        <v>19.662759999999999</v>
      </c>
      <c r="AF7215">
        <v>-4.4807891821927104</v>
      </c>
      <c r="AG7215">
        <v>-1.115244326547</v>
      </c>
      <c r="AH7215">
        <v>19.233330547026501</v>
      </c>
      <c r="AI7215">
        <v>93.232214378860405</v>
      </c>
      <c r="AJ7215">
        <v>103.11427859288401</v>
      </c>
      <c r="AK7215">
        <v>19.7798444264442</v>
      </c>
      <c r="AL7215">
        <v>79.814532611436903</v>
      </c>
      <c r="AM7215">
        <v>98.774461699691102</v>
      </c>
      <c r="AN7215">
        <v>0.99999999228782999</v>
      </c>
    </row>
    <row r="7216" spans="1:40" x14ac:dyDescent="0.25">
      <c r="A7216" t="str">
        <f>"20190304155242176"</f>
        <v>20190304155242176</v>
      </c>
      <c r="B7216" t="str">
        <f>"1551685962174065"</f>
        <v>1551685962174065</v>
      </c>
      <c r="C7216" t="s">
        <v>40</v>
      </c>
      <c r="D7216">
        <v>4.7998570000000003</v>
      </c>
      <c r="E7216">
        <v>0.4697519</v>
      </c>
      <c r="F7216" t="s">
        <v>41</v>
      </c>
      <c r="G7216">
        <v>-187.24760000000001</v>
      </c>
      <c r="H7216" s="1">
        <v>-3.620426E-6</v>
      </c>
      <c r="I7216">
        <v>-23.065999999999999</v>
      </c>
      <c r="J7216">
        <v>-189.6465</v>
      </c>
      <c r="K7216">
        <v>1.1152340000000001</v>
      </c>
      <c r="L7216">
        <v>-43.225520000000003</v>
      </c>
      <c r="M7216">
        <v>0.33712740000000002</v>
      </c>
      <c r="N7216">
        <v>-1.300744E-2</v>
      </c>
      <c r="O7216">
        <v>0.94136920000000002</v>
      </c>
      <c r="P7216">
        <v>0.18981290000000001</v>
      </c>
      <c r="Q7216">
        <v>0.16651759999999999</v>
      </c>
      <c r="R7216">
        <v>0.96759649999999997</v>
      </c>
      <c r="S7216">
        <v>0.36901859999999997</v>
      </c>
      <c r="T7216">
        <v>-0.1677312</v>
      </c>
      <c r="U7216">
        <v>3.0581049999999999</v>
      </c>
      <c r="V7216">
        <v>-0.14958189999999999</v>
      </c>
      <c r="W7216">
        <v>0.1774771</v>
      </c>
      <c r="X7216">
        <v>0.97269059999999896</v>
      </c>
      <c r="Y7216">
        <v>-0.22192049999999999</v>
      </c>
      <c r="Z7216">
        <v>-3.6407120000000001E-2</v>
      </c>
      <c r="AA7216">
        <v>0.97438480000000005</v>
      </c>
      <c r="AB7216">
        <v>21</v>
      </c>
      <c r="AC7216">
        <v>2.39889999999999</v>
      </c>
      <c r="AD7216">
        <v>-1.1152376204259999</v>
      </c>
      <c r="AE7216">
        <v>20.159520000000001</v>
      </c>
      <c r="AF7216">
        <v>-4.5248055840530998</v>
      </c>
      <c r="AG7216">
        <v>-1.1152376204259999</v>
      </c>
      <c r="AH7216">
        <v>19.728426365568399</v>
      </c>
      <c r="AI7216">
        <v>93.153742810445905</v>
      </c>
      <c r="AJ7216">
        <v>102.917639439818</v>
      </c>
      <c r="AK7216">
        <v>20.271369647489198</v>
      </c>
      <c r="AL7216">
        <v>79.777156953597</v>
      </c>
      <c r="AM7216">
        <v>98.742548117611804</v>
      </c>
      <c r="AN7216">
        <v>0.99999993458018699</v>
      </c>
    </row>
    <row r="7217" spans="1:40" x14ac:dyDescent="0.25">
      <c r="A7217" t="str">
        <f>"20190304155242198"</f>
        <v>20190304155242198</v>
      </c>
      <c r="B7217" t="str">
        <f>"1551685962193585"</f>
        <v>1551685962193585</v>
      </c>
      <c r="C7217" t="s">
        <v>40</v>
      </c>
      <c r="D7217">
        <v>4.8450680000000004</v>
      </c>
      <c r="E7217">
        <v>0.48174410000000001</v>
      </c>
      <c r="F7217" t="s">
        <v>41</v>
      </c>
      <c r="G7217">
        <v>-187.2749</v>
      </c>
      <c r="H7217" s="1">
        <v>-3.8000750000000002E-6</v>
      </c>
      <c r="I7217">
        <v>-22.635929999999998</v>
      </c>
      <c r="J7217">
        <v>-189.58529999999999</v>
      </c>
      <c r="K7217">
        <v>1.115219</v>
      </c>
      <c r="L7217">
        <v>-43.025300000000001</v>
      </c>
      <c r="M7217">
        <v>0.32912259999999999</v>
      </c>
      <c r="N7217">
        <v>-1.290292E-2</v>
      </c>
      <c r="O7217">
        <v>0.94419900000000001</v>
      </c>
      <c r="P7217">
        <v>0.1826837</v>
      </c>
      <c r="Q7217">
        <v>0.1660925</v>
      </c>
      <c r="R7217">
        <v>0.96904080000000004</v>
      </c>
      <c r="S7217">
        <v>0.35244750000000002</v>
      </c>
      <c r="T7217">
        <v>-0.16573679999999999</v>
      </c>
      <c r="U7217">
        <v>3.0598450000000001</v>
      </c>
      <c r="V7217">
        <v>-0.14850070000000001</v>
      </c>
      <c r="W7217">
        <v>0.1769656</v>
      </c>
      <c r="X7217">
        <v>0.97294950000000002</v>
      </c>
      <c r="Y7217">
        <v>-0.21891289999999999</v>
      </c>
      <c r="Z7217">
        <v>-3.6139419999999998E-2</v>
      </c>
      <c r="AA7217">
        <v>0.97507489999999997</v>
      </c>
      <c r="AB7217">
        <v>21</v>
      </c>
      <c r="AC7217">
        <v>2.31039999999998</v>
      </c>
      <c r="AD7217">
        <v>-1.115222800075</v>
      </c>
      <c r="AE7217">
        <v>20.38937</v>
      </c>
      <c r="AF7217">
        <v>-4.5161626874033702</v>
      </c>
      <c r="AG7217">
        <v>-1.115222800075</v>
      </c>
      <c r="AH7217">
        <v>19.9547529592129</v>
      </c>
      <c r="AI7217">
        <v>93.120048640358206</v>
      </c>
      <c r="AJ7217">
        <v>102.75235742891</v>
      </c>
      <c r="AK7217">
        <v>20.489792897345701</v>
      </c>
      <c r="AL7217">
        <v>79.806935835764904</v>
      </c>
      <c r="AM7217">
        <v>98.678046974123205</v>
      </c>
      <c r="AN7217">
        <v>1.0000000055170499</v>
      </c>
    </row>
    <row r="7218" spans="1:40" x14ac:dyDescent="0.25">
      <c r="A7218" t="str">
        <f>"20190304155242220"</f>
        <v>20190304155242220</v>
      </c>
      <c r="B7218" t="str">
        <f>"1551685962214081"</f>
        <v>1551685962214081</v>
      </c>
      <c r="C7218" t="s">
        <v>40</v>
      </c>
      <c r="D7218">
        <v>4.8077930000000002</v>
      </c>
      <c r="E7218">
        <v>0.48301909999999998</v>
      </c>
      <c r="F7218" t="s">
        <v>41</v>
      </c>
      <c r="G7218">
        <v>-186.6164</v>
      </c>
      <c r="H7218" s="1">
        <v>-4.3382170000000001E-6</v>
      </c>
      <c r="I7218">
        <v>-21.6538</v>
      </c>
      <c r="J7218">
        <v>-189.52539999999999</v>
      </c>
      <c r="K7218">
        <v>1.11521</v>
      </c>
      <c r="L7218">
        <v>-42.82358</v>
      </c>
      <c r="M7218">
        <v>0.32105509999999998</v>
      </c>
      <c r="N7218">
        <v>-1.279486E-2</v>
      </c>
      <c r="O7218">
        <v>0.94697410000000004</v>
      </c>
      <c r="P7218">
        <v>0.17597769999999999</v>
      </c>
      <c r="Q7218">
        <v>0.1657448</v>
      </c>
      <c r="R7218">
        <v>0.97034039999999999</v>
      </c>
      <c r="S7218">
        <v>0.42277530000000002</v>
      </c>
      <c r="T7218">
        <v>-0.15881110000000001</v>
      </c>
      <c r="U7218">
        <v>3.0433650000000001</v>
      </c>
      <c r="V7218">
        <v>-0.14693889999999901</v>
      </c>
      <c r="W7218">
        <v>0.17653339999999901</v>
      </c>
      <c r="X7218">
        <v>0.97326509999999999</v>
      </c>
      <c r="Y7218">
        <v>-0.18772240000000001</v>
      </c>
      <c r="Z7218">
        <v>-3.482275E-2</v>
      </c>
      <c r="AA7218">
        <v>0.98160460000000005</v>
      </c>
      <c r="AB7218">
        <v>21</v>
      </c>
      <c r="AC7218">
        <v>2.90899999999999</v>
      </c>
      <c r="AD7218">
        <v>-1.1152143382169999</v>
      </c>
      <c r="AE7218">
        <v>21.169779999999999</v>
      </c>
      <c r="AF7218">
        <v>-4.0312690170316898</v>
      </c>
      <c r="AG7218">
        <v>-1.1152143382169999</v>
      </c>
      <c r="AH7218">
        <v>20.925903946499002</v>
      </c>
      <c r="AI7218">
        <v>92.9956283265454</v>
      </c>
      <c r="AJ7218">
        <v>100.90415833802901</v>
      </c>
      <c r="AK7218">
        <v>21.339828698608301</v>
      </c>
      <c r="AL7218">
        <v>79.832095314819099</v>
      </c>
      <c r="AM7218">
        <v>98.585403496944906</v>
      </c>
      <c r="AN7218">
        <v>1.0000000182633899</v>
      </c>
    </row>
    <row r="7219" spans="1:40" x14ac:dyDescent="0.25">
      <c r="A7219" t="str">
        <f>"20190304155242243"</f>
        <v>20190304155242243</v>
      </c>
      <c r="B7219" t="str">
        <f>"1551685962233604"</f>
        <v>1551685962233604</v>
      </c>
      <c r="C7219" t="s">
        <v>40</v>
      </c>
      <c r="D7219">
        <v>4.8404020000000001</v>
      </c>
      <c r="E7219">
        <v>0.48396270000000002</v>
      </c>
      <c r="F7219" t="s">
        <v>41</v>
      </c>
      <c r="G7219">
        <v>-186.54769999999999</v>
      </c>
      <c r="H7219" s="1">
        <v>-4.7462789999999998E-6</v>
      </c>
      <c r="I7219">
        <v>-20.731000000000002</v>
      </c>
      <c r="J7219">
        <v>-189.46770000000001</v>
      </c>
      <c r="K7219">
        <v>1.115197</v>
      </c>
      <c r="L7219">
        <v>-42.623199999999997</v>
      </c>
      <c r="M7219">
        <v>0.3130386</v>
      </c>
      <c r="N7219">
        <v>-1.268936E-2</v>
      </c>
      <c r="O7219">
        <v>0.94965560000000004</v>
      </c>
      <c r="P7219">
        <v>0.16878969999999999</v>
      </c>
      <c r="Q7219">
        <v>0.16574990000000001</v>
      </c>
      <c r="R7219">
        <v>0.97161569999999997</v>
      </c>
      <c r="S7219">
        <v>0.41021730000000001</v>
      </c>
      <c r="T7219">
        <v>-0.15363569999999999</v>
      </c>
      <c r="U7219">
        <v>3.0435490000000001</v>
      </c>
      <c r="V7219">
        <v>-0.1459136</v>
      </c>
      <c r="W7219">
        <v>0.17644840000000001</v>
      </c>
      <c r="X7219">
        <v>0.97343469999999999</v>
      </c>
      <c r="Y7219">
        <v>-0.1833998</v>
      </c>
      <c r="Z7219">
        <v>-3.3600270000000002E-2</v>
      </c>
      <c r="AA7219">
        <v>0.982464</v>
      </c>
      <c r="AB7219">
        <v>21</v>
      </c>
      <c r="AC7219">
        <v>2.9200000000000101</v>
      </c>
      <c r="AD7219">
        <v>-1.115201746279</v>
      </c>
      <c r="AE7219">
        <v>21.892199999999999</v>
      </c>
      <c r="AF7219">
        <v>-4.0700609598906103</v>
      </c>
      <c r="AG7219">
        <v>-1.115201746279</v>
      </c>
      <c r="AH7219">
        <v>21.650671007788901</v>
      </c>
      <c r="AI7219">
        <v>92.897962619739999</v>
      </c>
      <c r="AJ7219">
        <v>100.646649875343</v>
      </c>
      <c r="AK7219">
        <v>22.058119281562501</v>
      </c>
      <c r="AL7219">
        <v>79.8370425869972</v>
      </c>
      <c r="AM7219">
        <v>98.524916709614402</v>
      </c>
      <c r="AN7219">
        <v>0.99999996584580397</v>
      </c>
    </row>
    <row r="7220" spans="1:40" x14ac:dyDescent="0.25">
      <c r="A7220" t="str">
        <f>"20190304155242268"</f>
        <v>20190304155242268</v>
      </c>
      <c r="B7220" t="str">
        <f>"1551685962263856"</f>
        <v>1551685962263856</v>
      </c>
      <c r="C7220" t="s">
        <v>40</v>
      </c>
      <c r="D7220">
        <v>4.8069129999999998</v>
      </c>
      <c r="E7220">
        <v>0.49074509999999999</v>
      </c>
      <c r="F7220" t="s">
        <v>41</v>
      </c>
      <c r="G7220">
        <v>-186.5737</v>
      </c>
      <c r="H7220" s="1">
        <v>-9.3565150000000003E-7</v>
      </c>
      <c r="I7220">
        <v>-20.281410000000001</v>
      </c>
      <c r="J7220">
        <v>-189.40710000000001</v>
      </c>
      <c r="K7220">
        <v>1.1151899999999999</v>
      </c>
      <c r="L7220">
        <v>-42.405299999999997</v>
      </c>
      <c r="M7220">
        <v>0.30431900000000001</v>
      </c>
      <c r="N7220">
        <v>-1.2583199999999999E-2</v>
      </c>
      <c r="O7220">
        <v>0.95248710000000003</v>
      </c>
      <c r="P7220">
        <v>0.161017299999999</v>
      </c>
      <c r="Q7220">
        <v>0.165913</v>
      </c>
      <c r="R7220">
        <v>0.9729061</v>
      </c>
      <c r="S7220">
        <v>0.3944397</v>
      </c>
      <c r="T7220">
        <v>-0.1519945</v>
      </c>
      <c r="U7220">
        <v>3.0450439999999999</v>
      </c>
      <c r="V7220">
        <v>-0.14476129999999901</v>
      </c>
      <c r="W7220">
        <v>0.17652209999999999</v>
      </c>
      <c r="X7220">
        <v>0.97359340000000005</v>
      </c>
      <c r="Y7220">
        <v>-0.17945449999999999</v>
      </c>
      <c r="Z7220">
        <v>-3.3414630000000001E-2</v>
      </c>
      <c r="AA7220">
        <v>0.98319860000000003</v>
      </c>
      <c r="AB7220">
        <v>21</v>
      </c>
      <c r="AC7220">
        <v>2.8334000000000099</v>
      </c>
      <c r="AD7220">
        <v>-1.1151909356515</v>
      </c>
      <c r="AE7220">
        <v>22.123889999999999</v>
      </c>
      <c r="AF7220">
        <v>-4.0242025847871004</v>
      </c>
      <c r="AG7220">
        <v>-1.1151909356515</v>
      </c>
      <c r="AH7220">
        <v>21.882012063566599</v>
      </c>
      <c r="AI7220">
        <v>92.869449941993096</v>
      </c>
      <c r="AJ7220">
        <v>100.42052118574099</v>
      </c>
      <c r="AK7220">
        <v>22.276900799178598</v>
      </c>
      <c r="AL7220">
        <v>79.832752869990699</v>
      </c>
      <c r="AM7220">
        <v>98.457213121657205</v>
      </c>
      <c r="AN7220">
        <v>0.99999999714483001</v>
      </c>
    </row>
    <row r="7221" spans="1:40" x14ac:dyDescent="0.25">
      <c r="A7221" t="str">
        <f>"20190304155242290"</f>
        <v>20190304155242290</v>
      </c>
      <c r="B7221" t="str">
        <f>"1551685962284353"</f>
        <v>1551685962284353</v>
      </c>
      <c r="C7221" t="s">
        <v>40</v>
      </c>
      <c r="D7221">
        <v>4.7889989999999996</v>
      </c>
      <c r="E7221">
        <v>0.4915871</v>
      </c>
      <c r="F7221" t="s">
        <v>41</v>
      </c>
      <c r="G7221">
        <v>-185.87389999999999</v>
      </c>
      <c r="H7221" s="1">
        <v>-2.2318599999999999E-6</v>
      </c>
      <c r="I7221">
        <v>-17.019559999999998</v>
      </c>
      <c r="J7221">
        <v>-189.3552</v>
      </c>
      <c r="K7221">
        <v>1.115184</v>
      </c>
      <c r="L7221">
        <v>-42.212069999999997</v>
      </c>
      <c r="M7221">
        <v>0.29658659999999998</v>
      </c>
      <c r="N7221">
        <v>-1.249427E-2</v>
      </c>
      <c r="O7221">
        <v>0.9549242</v>
      </c>
      <c r="P7221">
        <v>0.15446409999999999</v>
      </c>
      <c r="Q7221">
        <v>0.16695409999999999</v>
      </c>
      <c r="R7221">
        <v>0.97379009999999999</v>
      </c>
      <c r="S7221">
        <v>0.42259219999999997</v>
      </c>
      <c r="T7221">
        <v>-0.13338630000000001</v>
      </c>
      <c r="U7221">
        <v>3.036346</v>
      </c>
      <c r="V7221">
        <v>-0.143377799999999</v>
      </c>
      <c r="W7221">
        <v>0.17749210000000001</v>
      </c>
      <c r="X7221">
        <v>0.97362179999999998</v>
      </c>
      <c r="Y7221">
        <v>-0.16213039999999901</v>
      </c>
      <c r="Z7221">
        <v>-2.8235670000000001E-2</v>
      </c>
      <c r="AA7221">
        <v>0.9863653</v>
      </c>
      <c r="AB7221">
        <v>21</v>
      </c>
      <c r="AC7221">
        <v>3.4813000000000001</v>
      </c>
      <c r="AD7221">
        <v>-1.1151862318600001</v>
      </c>
      <c r="AE7221">
        <v>25.192509999999999</v>
      </c>
      <c r="AF7221">
        <v>-4.1397471801683299</v>
      </c>
      <c r="AG7221">
        <v>-1.1151862318600001</v>
      </c>
      <c r="AH7221">
        <v>25.043250146963999</v>
      </c>
      <c r="AI7221">
        <v>92.515626360467806</v>
      </c>
      <c r="AJ7221">
        <v>99.386335556981294</v>
      </c>
      <c r="AK7221">
        <v>25.4075879408269</v>
      </c>
      <c r="AL7221">
        <v>79.776284578712307</v>
      </c>
      <c r="AM7221">
        <v>98.377298172530701</v>
      </c>
      <c r="AN7221">
        <v>1.00000002426524</v>
      </c>
    </row>
    <row r="7222" spans="1:40" x14ac:dyDescent="0.25">
      <c r="A7222" t="str">
        <f>"20190304155242311"</f>
        <v>20190304155242311</v>
      </c>
      <c r="B7222" t="str">
        <f>"1551685962303873"</f>
        <v>1551685962303873</v>
      </c>
      <c r="C7222" t="s">
        <v>40</v>
      </c>
      <c r="D7222">
        <v>4.9047210000000003</v>
      </c>
      <c r="E7222">
        <v>0.49413170000000001</v>
      </c>
      <c r="F7222" t="s">
        <v>41</v>
      </c>
      <c r="G7222">
        <v>-185.8785</v>
      </c>
      <c r="H7222" s="1">
        <v>-2.471272E-6</v>
      </c>
      <c r="I7222">
        <v>-16.31249</v>
      </c>
      <c r="J7222">
        <v>-189.30449999999999</v>
      </c>
      <c r="K7222">
        <v>1.1151819999999999</v>
      </c>
      <c r="L7222">
        <v>-42.017090000000003</v>
      </c>
      <c r="M7222">
        <v>0.28878510000000002</v>
      </c>
      <c r="N7222">
        <v>-1.240808E-2</v>
      </c>
      <c r="O7222">
        <v>0.95731350000000004</v>
      </c>
      <c r="P7222">
        <v>0.14792659999999999</v>
      </c>
      <c r="Q7222">
        <v>0.16802819999999999</v>
      </c>
      <c r="R7222">
        <v>0.97462000000000004</v>
      </c>
      <c r="S7222">
        <v>0.40788269999999999</v>
      </c>
      <c r="T7222">
        <v>-0.13083119999999901</v>
      </c>
      <c r="U7222">
        <v>3.0384829999999998</v>
      </c>
      <c r="V7222">
        <v>-0.14192199999999999</v>
      </c>
      <c r="W7222">
        <v>0.17849860000000001</v>
      </c>
      <c r="X7222">
        <v>0.97365109999999999</v>
      </c>
      <c r="Y7222">
        <v>-0.1588601</v>
      </c>
      <c r="Z7222">
        <v>-2.7678120000000001E-2</v>
      </c>
      <c r="AA7222">
        <v>0.98691300000000004</v>
      </c>
      <c r="AB7222">
        <v>21</v>
      </c>
      <c r="AC7222">
        <v>3.4259999999999802</v>
      </c>
      <c r="AD7222">
        <v>-1.1151844712719901</v>
      </c>
      <c r="AE7222">
        <v>25.704599999999999</v>
      </c>
      <c r="AF7222">
        <v>-4.1360195234305799</v>
      </c>
      <c r="AG7222">
        <v>-1.1151844712719901</v>
      </c>
      <c r="AH7222">
        <v>25.551455726018599</v>
      </c>
      <c r="AI7222">
        <v>92.466997886556996</v>
      </c>
      <c r="AJ7222">
        <v>99.194726812929503</v>
      </c>
      <c r="AK7222">
        <v>25.9080524860873</v>
      </c>
      <c r="AL7222">
        <v>79.717680652211001</v>
      </c>
      <c r="AM7222">
        <v>98.293181454217006</v>
      </c>
      <c r="AN7222">
        <v>1.00000003440858</v>
      </c>
    </row>
    <row r="7223" spans="1:40" x14ac:dyDescent="0.25">
      <c r="A7223" t="str">
        <f>"20190304155242334"</f>
        <v>20190304155242334</v>
      </c>
      <c r="B7223" t="str">
        <f>"1551685962324370"</f>
        <v>1551685962324370</v>
      </c>
      <c r="C7223" t="s">
        <v>40</v>
      </c>
      <c r="D7223">
        <v>4.8095350000000003</v>
      </c>
      <c r="E7223">
        <v>0.49502859999999999</v>
      </c>
      <c r="F7223" t="s">
        <v>41</v>
      </c>
      <c r="G7223">
        <v>-185.89930000000001</v>
      </c>
      <c r="H7223" s="1">
        <v>-2.3832910000000001E-6</v>
      </c>
      <c r="I7223">
        <v>-16.55471</v>
      </c>
      <c r="J7223">
        <v>-189.2534</v>
      </c>
      <c r="K7223">
        <v>1.1151740000000001</v>
      </c>
      <c r="L7223">
        <v>-41.813659999999999</v>
      </c>
      <c r="M7223">
        <v>0.28066170000000001</v>
      </c>
      <c r="N7223">
        <v>-1.2323789999999999E-2</v>
      </c>
      <c r="O7223">
        <v>0.95972760000000001</v>
      </c>
      <c r="P7223">
        <v>0.14090050000000001</v>
      </c>
      <c r="Q7223">
        <v>0.16886779999999901</v>
      </c>
      <c r="R7223">
        <v>0.97551560000000004</v>
      </c>
      <c r="S7223">
        <v>0.40646359999999998</v>
      </c>
      <c r="T7223">
        <v>-0.13311619999999999</v>
      </c>
      <c r="U7223">
        <v>3.0393680000000001</v>
      </c>
      <c r="V7223">
        <v>-0.14065</v>
      </c>
      <c r="W7223">
        <v>0.17927219999999999</v>
      </c>
      <c r="X7223">
        <v>0.97369349999999999</v>
      </c>
      <c r="Y7223">
        <v>-0.15098429999999999</v>
      </c>
      <c r="Z7223">
        <v>-2.8620199999999998E-2</v>
      </c>
      <c r="AA7223">
        <v>0.98812169999999999</v>
      </c>
      <c r="AB7223">
        <v>21</v>
      </c>
      <c r="AC7223">
        <v>3.3540999999999799</v>
      </c>
      <c r="AD7223">
        <v>-1.115176383291</v>
      </c>
      <c r="AE7223">
        <v>25.258949999999999</v>
      </c>
      <c r="AF7223">
        <v>-3.8630920959962101</v>
      </c>
      <c r="AG7223">
        <v>-1.115176383291</v>
      </c>
      <c r="AH7223">
        <v>25.1368445237168</v>
      </c>
      <c r="AI7223">
        <v>92.5107779076273</v>
      </c>
      <c r="AJ7223">
        <v>98.736999909737307</v>
      </c>
      <c r="AK7223">
        <v>25.456395100593198</v>
      </c>
      <c r="AL7223">
        <v>79.672629482365494</v>
      </c>
      <c r="AM7223">
        <v>98.219519550003</v>
      </c>
      <c r="AN7223">
        <v>0.99999998806754398</v>
      </c>
    </row>
    <row r="7224" spans="1:40" x14ac:dyDescent="0.25">
      <c r="A7224" t="str">
        <f>"20190304155242348"</f>
        <v>20190304155242348</v>
      </c>
      <c r="B7224" t="str">
        <f>"1551685962343890"</f>
        <v>1551685962343890</v>
      </c>
      <c r="C7224" t="s">
        <v>40</v>
      </c>
      <c r="D7224">
        <v>4.7789060000000001</v>
      </c>
      <c r="E7224">
        <v>0.49528670000000002</v>
      </c>
      <c r="F7224" t="s">
        <v>41</v>
      </c>
      <c r="G7224">
        <v>-185.86259999999999</v>
      </c>
      <c r="H7224" s="1">
        <v>-2.8554830000000002E-6</v>
      </c>
      <c r="I7224">
        <v>-15.421749999999999</v>
      </c>
      <c r="J7224">
        <v>-189.22229999999999</v>
      </c>
      <c r="K7224">
        <v>1.115165</v>
      </c>
      <c r="L7224">
        <v>-41.686579999999999</v>
      </c>
      <c r="M7224">
        <v>0.27559440000000002</v>
      </c>
      <c r="N7224">
        <v>-1.2272399999999999E-2</v>
      </c>
      <c r="O7224">
        <v>0.96119560000000004</v>
      </c>
      <c r="P7224">
        <v>0.13625680000000001</v>
      </c>
      <c r="Q7224">
        <v>0.16927919999999999</v>
      </c>
      <c r="R7224">
        <v>0.97610379999999997</v>
      </c>
      <c r="S7224">
        <v>0.39071660000000002</v>
      </c>
      <c r="T7224">
        <v>-0.12850049999999999</v>
      </c>
      <c r="U7224">
        <v>3.0411069999999998</v>
      </c>
      <c r="V7224">
        <v>-0.14012740000000001</v>
      </c>
      <c r="W7224">
        <v>0.179641</v>
      </c>
      <c r="X7224">
        <v>0.97370089999999998</v>
      </c>
      <c r="Y7224">
        <v>-0.15087020000000001</v>
      </c>
      <c r="Z7224">
        <v>-2.733029E-2</v>
      </c>
      <c r="AA7224">
        <v>0.98817569999999999</v>
      </c>
      <c r="AB7224">
        <v>21</v>
      </c>
      <c r="AC7224">
        <v>3.3597000000000001</v>
      </c>
      <c r="AD7224">
        <v>-1.115167855483</v>
      </c>
      <c r="AE7224">
        <v>26.26483</v>
      </c>
      <c r="AF7224">
        <v>-4.0023144735501601</v>
      </c>
      <c r="AG7224">
        <v>-1.115167855483</v>
      </c>
      <c r="AH7224">
        <v>26.127184328221201</v>
      </c>
      <c r="AI7224">
        <v>92.415884086822501</v>
      </c>
      <c r="AJ7224">
        <v>98.709199720691998</v>
      </c>
      <c r="AK7224">
        <v>26.4554697824843</v>
      </c>
      <c r="AL7224">
        <v>79.651150328138897</v>
      </c>
      <c r="AM7224">
        <v>98.189332670152496</v>
      </c>
      <c r="AN7224">
        <v>1.00000000988628</v>
      </c>
    </row>
    <row r="7225" spans="1:40" x14ac:dyDescent="0.25">
      <c r="A7225" t="str">
        <f>"20190304155242366"</f>
        <v>20190304155242366</v>
      </c>
      <c r="B7225" t="str">
        <f>"1551685962363410"</f>
        <v>1551685962363410</v>
      </c>
      <c r="C7225" t="s">
        <v>40</v>
      </c>
      <c r="D7225">
        <v>4.8907800000000003</v>
      </c>
      <c r="E7225">
        <v>0.49600379999999999</v>
      </c>
      <c r="F7225" t="s">
        <v>41</v>
      </c>
      <c r="G7225">
        <v>-185.9409</v>
      </c>
      <c r="H7225" s="1">
        <v>-2.905254E-6</v>
      </c>
      <c r="I7225">
        <v>-15.27338</v>
      </c>
      <c r="J7225">
        <v>-189.18260000000001</v>
      </c>
      <c r="K7225">
        <v>1.1151409999999999</v>
      </c>
      <c r="L7225">
        <v>-41.51999</v>
      </c>
      <c r="M7225">
        <v>0.2689839</v>
      </c>
      <c r="N7225">
        <v>-1.2206679999999999E-2</v>
      </c>
      <c r="O7225">
        <v>0.96306740000000002</v>
      </c>
      <c r="P7225">
        <v>0.1299527</v>
      </c>
      <c r="Q7225">
        <v>0.17010059999999999</v>
      </c>
      <c r="R7225">
        <v>0.97682040000000003</v>
      </c>
      <c r="S7225">
        <v>0.3780365</v>
      </c>
      <c r="T7225">
        <v>-0.12847449999999999</v>
      </c>
      <c r="U7225">
        <v>3.0429689999999998</v>
      </c>
      <c r="V7225">
        <v>-0.13968539999999999</v>
      </c>
      <c r="W7225">
        <v>0.18040780000000001</v>
      </c>
      <c r="X7225">
        <v>0.9736226</v>
      </c>
      <c r="Y7225">
        <v>-0.1482086</v>
      </c>
      <c r="Z7225">
        <v>-2.7485820000000001E-2</v>
      </c>
      <c r="AA7225">
        <v>0.98857410000000001</v>
      </c>
      <c r="AB7225">
        <v>21</v>
      </c>
      <c r="AC7225">
        <v>3.2416999999999998</v>
      </c>
      <c r="AD7225">
        <v>-1.115143905254</v>
      </c>
      <c r="AE7225">
        <v>26.246609999999901</v>
      </c>
      <c r="AF7225">
        <v>-3.93124314199942</v>
      </c>
      <c r="AG7225">
        <v>-1.115143905254</v>
      </c>
      <c r="AH7225">
        <v>26.104750686378399</v>
      </c>
      <c r="AI7225">
        <v>92.418835034847504</v>
      </c>
      <c r="AJ7225">
        <v>98.564099680078698</v>
      </c>
      <c r="AK7225">
        <v>26.422646100815001</v>
      </c>
      <c r="AL7225">
        <v>79.606485854247296</v>
      </c>
      <c r="AM7225">
        <v>98.164497725866696</v>
      </c>
      <c r="AN7225">
        <v>0.99999997625237902</v>
      </c>
    </row>
    <row r="7226" spans="1:40" x14ac:dyDescent="0.25">
      <c r="A7226" t="str">
        <f>"20190304155242381"</f>
        <v>20190304155242381</v>
      </c>
      <c r="B7226" t="str">
        <f>"1551685962374145"</f>
        <v>1551685962374145</v>
      </c>
      <c r="C7226" t="s">
        <v>40</v>
      </c>
      <c r="D7226">
        <v>4.7374000000000001</v>
      </c>
      <c r="E7226">
        <v>0.49637179999999997</v>
      </c>
      <c r="F7226" t="s">
        <v>41</v>
      </c>
      <c r="G7226">
        <v>-186.11019999999999</v>
      </c>
      <c r="H7226" s="1">
        <v>-2.626694E-6</v>
      </c>
      <c r="I7226">
        <v>-15.8527</v>
      </c>
      <c r="J7226">
        <v>-189.15170000000001</v>
      </c>
      <c r="K7226">
        <v>1.1151120000000001</v>
      </c>
      <c r="L7226">
        <v>-41.38608</v>
      </c>
      <c r="M7226">
        <v>0.26370949999999999</v>
      </c>
      <c r="N7226">
        <v>-1.215626E-2</v>
      </c>
      <c r="O7226">
        <v>0.96452550000000004</v>
      </c>
      <c r="P7226">
        <v>0.1247403</v>
      </c>
      <c r="Q7226">
        <v>0.17024339999999999</v>
      </c>
      <c r="R7226">
        <v>0.97747479999999998</v>
      </c>
      <c r="S7226">
        <v>0.36457820000000002</v>
      </c>
      <c r="T7226">
        <v>-0.13232449999999901</v>
      </c>
      <c r="U7226">
        <v>3.045715</v>
      </c>
      <c r="V7226">
        <v>-0.1395342</v>
      </c>
      <c r="W7226">
        <v>0.180511</v>
      </c>
      <c r="X7226">
        <v>0.97362519999999997</v>
      </c>
      <c r="Y7226">
        <v>-0.1472135</v>
      </c>
      <c r="Z7226">
        <v>-2.8776550000000001E-2</v>
      </c>
      <c r="AA7226">
        <v>0.98868599999999995</v>
      </c>
      <c r="AB7226">
        <v>21</v>
      </c>
      <c r="AC7226">
        <v>3.0415000000000099</v>
      </c>
      <c r="AD7226">
        <v>-1.115114626694</v>
      </c>
      <c r="AE7226">
        <v>25.533379999999902</v>
      </c>
      <c r="AF7226">
        <v>-3.7929383989324301</v>
      </c>
      <c r="AG7226">
        <v>-1.115114626694</v>
      </c>
      <c r="AH7226">
        <v>25.383811210028401</v>
      </c>
      <c r="AI7226">
        <v>92.487810331832193</v>
      </c>
      <c r="AJ7226">
        <v>98.498459778030494</v>
      </c>
      <c r="AK7226">
        <v>25.689837171051199</v>
      </c>
      <c r="AL7226">
        <v>79.600474715393005</v>
      </c>
      <c r="AM7226">
        <v>98.155757681002896</v>
      </c>
      <c r="AN7226">
        <v>1.00000002208283</v>
      </c>
    </row>
    <row r="7227" spans="1:40" x14ac:dyDescent="0.25">
      <c r="A7227" t="str">
        <f>"20190304155242401"</f>
        <v>20190304155242401</v>
      </c>
      <c r="B7227" t="str">
        <f>"1551685962394326"</f>
        <v>1551685962394326</v>
      </c>
      <c r="C7227" t="s">
        <v>40</v>
      </c>
      <c r="D7227">
        <v>4.708609</v>
      </c>
      <c r="E7227">
        <v>0.497423</v>
      </c>
      <c r="F7227" t="s">
        <v>41</v>
      </c>
      <c r="G7227">
        <v>-186.14160000000001</v>
      </c>
      <c r="H7227" s="1">
        <v>-2.856682E-6</v>
      </c>
      <c r="I7227">
        <v>-15.30359</v>
      </c>
      <c r="J7227">
        <v>-189.11170000000001</v>
      </c>
      <c r="K7227">
        <v>1.1150580000000001</v>
      </c>
      <c r="L7227">
        <v>-41.208280000000002</v>
      </c>
      <c r="M7227">
        <v>0.25676589999999999</v>
      </c>
      <c r="N7227">
        <v>-1.209241E-2</v>
      </c>
      <c r="O7227">
        <v>0.96639790000000003</v>
      </c>
      <c r="P7227">
        <v>0.11830069999999999</v>
      </c>
      <c r="Q7227">
        <v>0.1701086</v>
      </c>
      <c r="R7227">
        <v>0.97829849999999996</v>
      </c>
      <c r="S7227">
        <v>0.35163879999999997</v>
      </c>
      <c r="T7227">
        <v>-0.13026689999999999</v>
      </c>
      <c r="U7227">
        <v>3.0469360000000001</v>
      </c>
      <c r="V7227">
        <v>-0.13892479999999999</v>
      </c>
      <c r="W7227">
        <v>0.18033840000000001</v>
      </c>
      <c r="X7227">
        <v>0.97374430000000001</v>
      </c>
      <c r="Y7227">
        <v>-0.14428759999999999</v>
      </c>
      <c r="Z7227">
        <v>-2.8316339999999999E-2</v>
      </c>
      <c r="AA7227">
        <v>0.98913059999999997</v>
      </c>
      <c r="AB7227">
        <v>21</v>
      </c>
      <c r="AC7227">
        <v>2.9701</v>
      </c>
      <c r="AD7227">
        <v>-1.1150608566819999</v>
      </c>
      <c r="AE7227">
        <v>25.904689999999999</v>
      </c>
      <c r="AF7227">
        <v>-3.7745165245459402</v>
      </c>
      <c r="AG7227">
        <v>-1.1150608566819999</v>
      </c>
      <c r="AH7227">
        <v>25.751651725601601</v>
      </c>
      <c r="AI7227">
        <v>92.453210705088495</v>
      </c>
      <c r="AJ7227">
        <v>98.338680678942197</v>
      </c>
      <c r="AK7227">
        <v>26.050679497948899</v>
      </c>
      <c r="AL7227">
        <v>79.610528738964902</v>
      </c>
      <c r="AM7227">
        <v>98.119634441273703</v>
      </c>
      <c r="AN7227">
        <v>1.0000000001760401</v>
      </c>
    </row>
    <row r="7228" spans="1:40" x14ac:dyDescent="0.25">
      <c r="A7228" t="str">
        <f>"20190304155242423"</f>
        <v>20190304155242423</v>
      </c>
      <c r="B7228" t="str">
        <f>"1551685962413847"</f>
        <v>1551685962413847</v>
      </c>
      <c r="C7228" t="s">
        <v>40</v>
      </c>
      <c r="D7228">
        <v>4.7123030000000004</v>
      </c>
      <c r="E7228">
        <v>0.4980232</v>
      </c>
      <c r="F7228" t="s">
        <v>41</v>
      </c>
      <c r="G7228">
        <v>-186.15299999999999</v>
      </c>
      <c r="H7228" s="1">
        <v>-3.106798E-6</v>
      </c>
      <c r="I7228">
        <v>-14.71589</v>
      </c>
      <c r="J7228">
        <v>-189.0668</v>
      </c>
      <c r="K7228">
        <v>1.1149690000000001</v>
      </c>
      <c r="L7228">
        <v>-41.002139999999997</v>
      </c>
      <c r="M7228">
        <v>0.2488293</v>
      </c>
      <c r="N7228">
        <v>-1.202289E-2</v>
      </c>
      <c r="O7228">
        <v>0.96847269999999996</v>
      </c>
      <c r="P7228">
        <v>0.11087229999999999</v>
      </c>
      <c r="Q7228">
        <v>0.16967750000000001</v>
      </c>
      <c r="R7228">
        <v>0.97924299999999997</v>
      </c>
      <c r="S7228">
        <v>0.34037779999999901</v>
      </c>
      <c r="T7228">
        <v>-0.12827719999999901</v>
      </c>
      <c r="U7228">
        <v>3.0476990000000002</v>
      </c>
      <c r="V7228">
        <v>-0.13830390000000001</v>
      </c>
      <c r="W7228">
        <v>0.17987500000000001</v>
      </c>
      <c r="X7228">
        <v>0.97391839999999996</v>
      </c>
      <c r="Y7228">
        <v>-0.1398056</v>
      </c>
      <c r="Z7228">
        <v>-2.7901019999999999E-2</v>
      </c>
      <c r="AA7228">
        <v>0.98978580000000005</v>
      </c>
      <c r="AB7228">
        <v>21</v>
      </c>
      <c r="AC7228">
        <v>2.9138000000000002</v>
      </c>
      <c r="AD7228">
        <v>-1.1149721067980001</v>
      </c>
      <c r="AE7228">
        <v>26.286249999999999</v>
      </c>
      <c r="AF7228">
        <v>-3.7125239903745801</v>
      </c>
      <c r="AG7228">
        <v>-1.1149721067980001</v>
      </c>
      <c r="AH7228">
        <v>26.137991934456799</v>
      </c>
      <c r="AI7228">
        <v>92.418350580205598</v>
      </c>
      <c r="AJ7228">
        <v>98.083964579848697</v>
      </c>
      <c r="AK7228">
        <v>26.423864583814598</v>
      </c>
      <c r="AL7228">
        <v>79.637521183371405</v>
      </c>
      <c r="AM7228">
        <v>98.082399901174497</v>
      </c>
      <c r="AN7228">
        <v>1.0000000171193799</v>
      </c>
    </row>
    <row r="7229" spans="1:40" x14ac:dyDescent="0.25">
      <c r="A7229" t="str">
        <f>"20190304155242447"</f>
        <v>20190304155242447</v>
      </c>
      <c r="B7229" t="str">
        <f>"1551685962444103"</f>
        <v>1551685962444103</v>
      </c>
      <c r="C7229" t="s">
        <v>40</v>
      </c>
      <c r="D7229">
        <v>4.7272800000000004</v>
      </c>
      <c r="E7229">
        <v>0.49934820000000002</v>
      </c>
      <c r="F7229" t="s">
        <v>41</v>
      </c>
      <c r="G7229">
        <v>-186.33609999999999</v>
      </c>
      <c r="H7229" s="1">
        <v>-2.893757E-6</v>
      </c>
      <c r="I7229">
        <v>-15.136760000000001</v>
      </c>
      <c r="J7229">
        <v>-189.02269999999999</v>
      </c>
      <c r="K7229">
        <v>1.1148640000000001</v>
      </c>
      <c r="L7229">
        <v>-40.792760000000001</v>
      </c>
      <c r="M7229">
        <v>0.2409145</v>
      </c>
      <c r="N7229">
        <v>-1.1952020000000001E-2</v>
      </c>
      <c r="O7229">
        <v>0.97047280000000002</v>
      </c>
      <c r="P7229">
        <v>0.1031734</v>
      </c>
      <c r="Q7229">
        <v>0.1693837</v>
      </c>
      <c r="R7229">
        <v>0.98013490000000003</v>
      </c>
      <c r="S7229">
        <v>0.32199100000000003</v>
      </c>
      <c r="T7229">
        <v>-0.13147229999999999</v>
      </c>
      <c r="U7229">
        <v>3.0499269999999998</v>
      </c>
      <c r="V7229">
        <v>-0.13796949999999999</v>
      </c>
      <c r="W7229">
        <v>0.1795504</v>
      </c>
      <c r="X7229">
        <v>0.97402569999999999</v>
      </c>
      <c r="Y7229">
        <v>-0.13770209999999999</v>
      </c>
      <c r="Z7229">
        <v>-2.9062850000000001E-2</v>
      </c>
      <c r="AA7229">
        <v>0.99004720000000002</v>
      </c>
      <c r="AB7229">
        <v>21</v>
      </c>
      <c r="AC7229">
        <v>2.6865999999999901</v>
      </c>
      <c r="AD7229">
        <v>-1.1148668937570001</v>
      </c>
      <c r="AE7229">
        <v>25.655999999999899</v>
      </c>
      <c r="AF7229">
        <v>-3.5672223992651499</v>
      </c>
      <c r="AG7229">
        <v>-1.1148668937570001</v>
      </c>
      <c r="AH7229">
        <v>25.499885703177601</v>
      </c>
      <c r="AI7229">
        <v>92.479292557032693</v>
      </c>
      <c r="AJ7229">
        <v>97.963524538304199</v>
      </c>
      <c r="AK7229">
        <v>25.772314112468401</v>
      </c>
      <c r="AL7229">
        <v>79.656426985478404</v>
      </c>
      <c r="AM7229">
        <v>98.062238491743003</v>
      </c>
      <c r="AN7229">
        <v>0.99999999666544903</v>
      </c>
    </row>
    <row r="7230" spans="1:40" x14ac:dyDescent="0.25">
      <c r="A7230" t="str">
        <f>"20190304155242470"</f>
        <v>20190304155242470</v>
      </c>
      <c r="B7230" t="str">
        <f>"1551685962463623"</f>
        <v>1551685962463623</v>
      </c>
      <c r="C7230" t="s">
        <v>40</v>
      </c>
      <c r="D7230">
        <v>4.7117559999999896</v>
      </c>
      <c r="E7230">
        <v>0.50042070000000005</v>
      </c>
      <c r="F7230" t="s">
        <v>41</v>
      </c>
      <c r="G7230">
        <v>-186.44540000000001</v>
      </c>
      <c r="H7230" s="1">
        <v>-2.7997460000000001E-6</v>
      </c>
      <c r="I7230">
        <v>-15.310700000000001</v>
      </c>
      <c r="J7230">
        <v>-188.98050000000001</v>
      </c>
      <c r="K7230">
        <v>1.114746</v>
      </c>
      <c r="L7230">
        <v>-40.583889999999997</v>
      </c>
      <c r="M7230">
        <v>0.2332158</v>
      </c>
      <c r="N7230">
        <v>-1.187965E-2</v>
      </c>
      <c r="O7230">
        <v>0.97235240000000001</v>
      </c>
      <c r="P7230">
        <v>9.5532699999999998E-2</v>
      </c>
      <c r="Q7230">
        <v>0.16964899999999999</v>
      </c>
      <c r="R7230">
        <v>0.98086329999999999</v>
      </c>
      <c r="S7230">
        <v>0.30862430000000002</v>
      </c>
      <c r="T7230">
        <v>-0.1335016</v>
      </c>
      <c r="U7230">
        <v>3.0513919999999999</v>
      </c>
      <c r="V7230">
        <v>-0.13778000000000001</v>
      </c>
      <c r="W7230">
        <v>0.17978540000000001</v>
      </c>
      <c r="X7230">
        <v>0.97400920000000002</v>
      </c>
      <c r="Y7230">
        <v>-0.1341955</v>
      </c>
      <c r="Z7230">
        <v>-2.9874680000000001E-2</v>
      </c>
      <c r="AA7230">
        <v>0.99050439999999995</v>
      </c>
      <c r="AB7230">
        <v>21</v>
      </c>
      <c r="AC7230">
        <v>2.5350999999999999</v>
      </c>
      <c r="AD7230">
        <v>-1.1147487997459999</v>
      </c>
      <c r="AE7230">
        <v>25.27319</v>
      </c>
      <c r="AF7230">
        <v>-3.4227461161848001</v>
      </c>
      <c r="AG7230">
        <v>-1.1147487997459999</v>
      </c>
      <c r="AH7230">
        <v>25.119066587945301</v>
      </c>
      <c r="AI7230">
        <v>92.517802525971902</v>
      </c>
      <c r="AJ7230">
        <v>97.759385908620104</v>
      </c>
      <c r="AK7230">
        <v>25.375684465882401</v>
      </c>
      <c r="AL7230">
        <v>79.6427399943056</v>
      </c>
      <c r="AM7230">
        <v>98.051444971594506</v>
      </c>
      <c r="AN7230">
        <v>1.0000000200688901</v>
      </c>
    </row>
    <row r="7231" spans="1:40" x14ac:dyDescent="0.25">
      <c r="A7231" t="str">
        <f>"20190304155242490"</f>
        <v>20190304155242490</v>
      </c>
      <c r="B7231" t="str">
        <f>"1551685962484119"</f>
        <v>1551685962484119</v>
      </c>
      <c r="C7231" t="s">
        <v>40</v>
      </c>
      <c r="D7231">
        <v>4.9604980000000003</v>
      </c>
      <c r="E7231">
        <v>0.5005231</v>
      </c>
      <c r="F7231" t="s">
        <v>41</v>
      </c>
      <c r="G7231">
        <v>-186.51730000000001</v>
      </c>
      <c r="H7231" s="1">
        <v>-2.923997E-6</v>
      </c>
      <c r="I7231">
        <v>-14.99133</v>
      </c>
      <c r="J7231">
        <v>-188.94200000000001</v>
      </c>
      <c r="K7231">
        <v>1.114622</v>
      </c>
      <c r="L7231">
        <v>-40.387329999999999</v>
      </c>
      <c r="M7231">
        <v>0.22616839999999999</v>
      </c>
      <c r="N7231">
        <v>-1.1814299999999899E-2</v>
      </c>
      <c r="O7231">
        <v>0.97401649999999995</v>
      </c>
      <c r="P7231">
        <v>8.8535539999999996E-2</v>
      </c>
      <c r="Q7231">
        <v>0.1704359</v>
      </c>
      <c r="R7231">
        <v>0.98138329999999996</v>
      </c>
      <c r="S7231">
        <v>0.29382320000000001</v>
      </c>
      <c r="T7231">
        <v>-0.1329776</v>
      </c>
      <c r="U7231">
        <v>3.0529169999999999</v>
      </c>
      <c r="V7231">
        <v>-0.13759549999999901</v>
      </c>
      <c r="W7231">
        <v>0.1805495</v>
      </c>
      <c r="X7231">
        <v>0.97389389999999998</v>
      </c>
      <c r="Y7231">
        <v>-0.13182539999999901</v>
      </c>
      <c r="Z7231">
        <v>-2.9868809999999999E-2</v>
      </c>
      <c r="AA7231">
        <v>0.99082289999999995</v>
      </c>
      <c r="AB7231">
        <v>21</v>
      </c>
      <c r="AC7231">
        <v>2.4247000000000001</v>
      </c>
      <c r="AD7231">
        <v>-1.1146249239970001</v>
      </c>
      <c r="AE7231">
        <v>25.396000000000001</v>
      </c>
      <c r="AF7231">
        <v>-3.3758669293977102</v>
      </c>
      <c r="AG7231">
        <v>-1.1146249239970001</v>
      </c>
      <c r="AH7231">
        <v>25.238102699880201</v>
      </c>
      <c r="AI7231">
        <v>92.506494026265401</v>
      </c>
      <c r="AJ7231">
        <v>97.618702058046495</v>
      </c>
      <c r="AK7231">
        <v>25.487265332630301</v>
      </c>
      <c r="AL7231">
        <v>79.598231599134095</v>
      </c>
      <c r="AM7231">
        <v>98.041743954041905</v>
      </c>
      <c r="AN7231">
        <v>0.99999998601385398</v>
      </c>
    </row>
    <row r="7232" spans="1:40" x14ac:dyDescent="0.25">
      <c r="A7232" t="str">
        <f>"20190304155242512"</f>
        <v>20190304155242512</v>
      </c>
      <c r="B7232" t="str">
        <f>"1551685962503640"</f>
        <v>1551685962503640</v>
      </c>
      <c r="C7232" t="s">
        <v>40</v>
      </c>
      <c r="D7232">
        <v>4.7184759999999999</v>
      </c>
      <c r="E7232">
        <v>0.4647847</v>
      </c>
      <c r="F7232" t="s">
        <v>41</v>
      </c>
      <c r="G7232">
        <v>-186.6525</v>
      </c>
      <c r="H7232" s="1">
        <v>-2.9946219999999999E-6</v>
      </c>
      <c r="I7232">
        <v>-14.770799999999999</v>
      </c>
      <c r="J7232">
        <v>-188.9057</v>
      </c>
      <c r="K7232">
        <v>1.114506</v>
      </c>
      <c r="L7232">
        <v>-40.195430000000002</v>
      </c>
      <c r="M7232">
        <v>0.2194557</v>
      </c>
      <c r="N7232">
        <v>-1.175582E-2</v>
      </c>
      <c r="O7232">
        <v>0.97555159999999996</v>
      </c>
      <c r="P7232">
        <v>8.2177459999999994E-2</v>
      </c>
      <c r="Q7232">
        <v>0.17123669999999999</v>
      </c>
      <c r="R7232">
        <v>0.98179669999999997</v>
      </c>
      <c r="S7232">
        <v>0.27307130000000002</v>
      </c>
      <c r="T7232">
        <v>-0.1329446</v>
      </c>
      <c r="U7232">
        <v>3.0553590000000002</v>
      </c>
      <c r="V7232">
        <v>-0.1371231</v>
      </c>
      <c r="W7232">
        <v>0.1813341</v>
      </c>
      <c r="X7232">
        <v>0.97381479999999998</v>
      </c>
      <c r="Y7232">
        <v>-0.13174739999999999</v>
      </c>
      <c r="Z7232">
        <v>-2.9982720000000001E-2</v>
      </c>
      <c r="AA7232">
        <v>0.99082979999999998</v>
      </c>
      <c r="AB7232">
        <v>21</v>
      </c>
      <c r="AC7232">
        <v>2.2531999999999899</v>
      </c>
      <c r="AD7232">
        <v>-1.1145089946219999</v>
      </c>
      <c r="AE7232">
        <v>25.424630000000001</v>
      </c>
      <c r="AF7232">
        <v>-3.37526562194151</v>
      </c>
      <c r="AG7232">
        <v>-1.1145089946219999</v>
      </c>
      <c r="AH7232">
        <v>25.2511213412301</v>
      </c>
      <c r="AI7232">
        <v>92.504973670126006</v>
      </c>
      <c r="AJ7232">
        <v>97.613479774151401</v>
      </c>
      <c r="AK7232">
        <v>25.500072103962399</v>
      </c>
      <c r="AL7232">
        <v>79.552523342585403</v>
      </c>
      <c r="AM7232">
        <v>98.015136493961194</v>
      </c>
      <c r="AN7232">
        <v>1.0000000325377201</v>
      </c>
    </row>
    <row r="7233" spans="1:40" x14ac:dyDescent="0.25">
      <c r="A7233" t="str">
        <f>"20190304155242535"</f>
        <v>20190304155242535</v>
      </c>
      <c r="B7233" t="str">
        <f>"1551685962524138"</f>
        <v>1551685962524138</v>
      </c>
      <c r="C7233" t="s">
        <v>40</v>
      </c>
      <c r="D7233">
        <v>4.7301129999999896</v>
      </c>
      <c r="E7233">
        <v>0.46345190000000003</v>
      </c>
      <c r="F7233" t="s">
        <v>41</v>
      </c>
      <c r="G7233">
        <v>-189.11799999999999</v>
      </c>
      <c r="H7233" s="1">
        <v>-9.6477959999999997E-7</v>
      </c>
      <c r="I7233">
        <v>-18.482970000000002</v>
      </c>
      <c r="J7233">
        <v>-188.86609999999999</v>
      </c>
      <c r="K7233">
        <v>1.114377</v>
      </c>
      <c r="L7233">
        <v>-39.979370000000003</v>
      </c>
      <c r="M7233">
        <v>0.21210770000000001</v>
      </c>
      <c r="N7233">
        <v>-1.169571E-2</v>
      </c>
      <c r="O7233">
        <v>0.9771763</v>
      </c>
      <c r="P7233">
        <v>7.5931139999999994E-2</v>
      </c>
      <c r="Q7233">
        <v>0.17173829999999901</v>
      </c>
      <c r="R7233">
        <v>0.98221199999999997</v>
      </c>
      <c r="S7233">
        <v>-3.0181880000000001E-2</v>
      </c>
      <c r="T7233">
        <v>-0.15839420000000001</v>
      </c>
      <c r="U7233">
        <v>3.085785</v>
      </c>
      <c r="V7233">
        <v>-0.13591829999999999</v>
      </c>
      <c r="W7233">
        <v>0.1818293</v>
      </c>
      <c r="X7233">
        <v>0.97389130000000002</v>
      </c>
      <c r="Y7233">
        <v>-0.2215771</v>
      </c>
      <c r="Z7233">
        <v>-3.7178780000000002E-2</v>
      </c>
      <c r="AA7233">
        <v>0.97443380000000002</v>
      </c>
      <c r="AB7233">
        <v>21</v>
      </c>
      <c r="AC7233">
        <v>-0.25190000000000601</v>
      </c>
      <c r="AD7233">
        <v>-1.1143779647795999</v>
      </c>
      <c r="AE7233">
        <v>21.496400000000001</v>
      </c>
      <c r="AF7233">
        <v>-4.7931520363317901</v>
      </c>
      <c r="AG7233">
        <v>-1.1143779647795999</v>
      </c>
      <c r="AH7233">
        <v>20.897623273646399</v>
      </c>
      <c r="AI7233">
        <v>92.975324742178799</v>
      </c>
      <c r="AJ7233">
        <v>102.918123261579</v>
      </c>
      <c r="AK7233">
        <v>21.4692059280036</v>
      </c>
      <c r="AL7233">
        <v>79.523670177384304</v>
      </c>
      <c r="AM7233">
        <v>97.945000535992605</v>
      </c>
      <c r="AN7233">
        <v>0.99999997141453401</v>
      </c>
    </row>
    <row r="7234" spans="1:40" x14ac:dyDescent="0.25">
      <c r="A7234" t="str">
        <f>"20190304155242557"</f>
        <v>20190304155242557</v>
      </c>
      <c r="B7234" t="str">
        <f>"1551685962553415"</f>
        <v>1551685962553415</v>
      </c>
      <c r="C7234" t="s">
        <v>40</v>
      </c>
      <c r="D7234">
        <v>4.7276759999999998</v>
      </c>
      <c r="E7234">
        <v>0.46511279999999999</v>
      </c>
      <c r="F7234" t="s">
        <v>41</v>
      </c>
      <c r="G7234">
        <v>-189.2877</v>
      </c>
      <c r="H7234" s="1">
        <v>-9.1432859999999996E-7</v>
      </c>
      <c r="I7234">
        <v>-18.530429999999999</v>
      </c>
      <c r="J7234">
        <v>-188.83070000000001</v>
      </c>
      <c r="K7234">
        <v>1.1142609999999999</v>
      </c>
      <c r="L7234">
        <v>-39.778590000000001</v>
      </c>
      <c r="M7234">
        <v>0.2054927</v>
      </c>
      <c r="N7234">
        <v>-1.1643229999999999E-2</v>
      </c>
      <c r="O7234">
        <v>0.97858940000000005</v>
      </c>
      <c r="P7234">
        <v>7.0771210000000001E-2</v>
      </c>
      <c r="Q7234">
        <v>0.1719802</v>
      </c>
      <c r="R7234">
        <v>0.98255499999999996</v>
      </c>
      <c r="S7234">
        <v>-6.0668949999999999E-2</v>
      </c>
      <c r="T7234">
        <v>-0.16038820000000001</v>
      </c>
      <c r="U7234">
        <v>3.0870669999999998</v>
      </c>
      <c r="V7234">
        <v>-0.13438510000000001</v>
      </c>
      <c r="W7234">
        <v>0.1820735</v>
      </c>
      <c r="X7234">
        <v>0.97405839999999999</v>
      </c>
      <c r="Y7234">
        <v>-0.22459460000000001</v>
      </c>
      <c r="Z7234">
        <v>-3.7901079999999997E-2</v>
      </c>
      <c r="AA7234">
        <v>0.97371490000000005</v>
      </c>
      <c r="AB7234">
        <v>21</v>
      </c>
      <c r="AC7234">
        <v>-0.45699999999999302</v>
      </c>
      <c r="AD7234">
        <v>-1.1142619143285999</v>
      </c>
      <c r="AE7234">
        <v>21.248159999999999</v>
      </c>
      <c r="AF7234">
        <v>-4.8006876004753201</v>
      </c>
      <c r="AG7234">
        <v>-1.1142619143285999</v>
      </c>
      <c r="AH7234">
        <v>20.643972306797199</v>
      </c>
      <c r="AI7234">
        <v>93.009405100619304</v>
      </c>
      <c r="AJ7234">
        <v>103.091271164636</v>
      </c>
      <c r="AK7234">
        <v>21.224084754233601</v>
      </c>
      <c r="AL7234">
        <v>79.509440700471103</v>
      </c>
      <c r="AM7234">
        <v>97.855172986244796</v>
      </c>
      <c r="AN7234">
        <v>0.99999994055740804</v>
      </c>
    </row>
    <row r="7235" spans="1:40" x14ac:dyDescent="0.25">
      <c r="A7235" t="str">
        <f>"20190304155242578"</f>
        <v>20190304155242578</v>
      </c>
      <c r="B7235" t="str">
        <f>"1551685962573912"</f>
        <v>1551685962573912</v>
      </c>
      <c r="C7235" t="s">
        <v>40</v>
      </c>
      <c r="D7235">
        <v>4.7069609999999997</v>
      </c>
      <c r="E7235">
        <v>0.46629739999999997</v>
      </c>
      <c r="F7235" t="s">
        <v>41</v>
      </c>
      <c r="G7235">
        <v>-189.2834</v>
      </c>
      <c r="H7235" s="1">
        <v>-1.0860169999999999E-6</v>
      </c>
      <c r="I7235">
        <v>-18.132000000000001</v>
      </c>
      <c r="J7235">
        <v>-188.7961</v>
      </c>
      <c r="K7235">
        <v>1.114128</v>
      </c>
      <c r="L7235">
        <v>-39.57629</v>
      </c>
      <c r="M7235">
        <v>0.19904939999999999</v>
      </c>
      <c r="N7235">
        <v>-1.159227E-2</v>
      </c>
      <c r="O7235">
        <v>0.97992089999999998</v>
      </c>
      <c r="P7235">
        <v>6.5573569999999998E-2</v>
      </c>
      <c r="Q7235">
        <v>0.17240800000000001</v>
      </c>
      <c r="R7235">
        <v>0.98284050000000001</v>
      </c>
      <c r="S7235">
        <v>-6.4529420000000004E-2</v>
      </c>
      <c r="T7235">
        <v>-0.15883820000000001</v>
      </c>
      <c r="U7235">
        <v>3.0857239999999999</v>
      </c>
      <c r="V7235">
        <v>-0.13305729999999999</v>
      </c>
      <c r="W7235">
        <v>0.18250620000000001</v>
      </c>
      <c r="X7235">
        <v>0.97415980000000002</v>
      </c>
      <c r="Y7235">
        <v>-0.2194094</v>
      </c>
      <c r="Z7235">
        <v>-3.7627090000000002E-2</v>
      </c>
      <c r="AA7235">
        <v>0.97490699999999997</v>
      </c>
      <c r="AB7235">
        <v>21</v>
      </c>
      <c r="AC7235">
        <v>-0.48730000000000401</v>
      </c>
      <c r="AD7235">
        <v>-1.1141290860169999</v>
      </c>
      <c r="AE7235">
        <v>21.444289999999999</v>
      </c>
      <c r="AF7235">
        <v>-4.7335368552355703</v>
      </c>
      <c r="AG7235">
        <v>-1.1141290860169999</v>
      </c>
      <c r="AH7235">
        <v>20.861833740070502</v>
      </c>
      <c r="AI7235">
        <v>92.981345183629102</v>
      </c>
      <c r="AJ7235">
        <v>102.783923104137</v>
      </c>
      <c r="AK7235">
        <v>21.421105521856799</v>
      </c>
      <c r="AL7235">
        <v>79.484227370315807</v>
      </c>
      <c r="AM7235">
        <v>97.7777145273363</v>
      </c>
      <c r="AN7235">
        <v>1.00000003702888</v>
      </c>
    </row>
    <row r="7236" spans="1:40" x14ac:dyDescent="0.25">
      <c r="A7236" t="str">
        <f>"20190304155242601"</f>
        <v>20190304155242601</v>
      </c>
      <c r="B7236" t="str">
        <f>"1551685962594163"</f>
        <v>1551685962594163</v>
      </c>
      <c r="C7236" t="s">
        <v>40</v>
      </c>
      <c r="D7236">
        <v>4.7601750000000003</v>
      </c>
      <c r="E7236">
        <v>0.46746480000000001</v>
      </c>
      <c r="F7236" t="s">
        <v>41</v>
      </c>
      <c r="G7236">
        <v>-189.30510000000001</v>
      </c>
      <c r="H7236" s="1">
        <v>-1.322024E-6</v>
      </c>
      <c r="I7236">
        <v>-17.572890000000001</v>
      </c>
      <c r="J7236">
        <v>-188.76140000000001</v>
      </c>
      <c r="K7236">
        <v>1.113977</v>
      </c>
      <c r="L7236">
        <v>-39.366300000000003</v>
      </c>
      <c r="M7236">
        <v>0.19261510000000001</v>
      </c>
      <c r="N7236">
        <v>-1.154138E-2</v>
      </c>
      <c r="O7236">
        <v>0.98120649999999998</v>
      </c>
      <c r="P7236">
        <v>6.0432010000000001E-2</v>
      </c>
      <c r="Q7236">
        <v>0.17256440000000001</v>
      </c>
      <c r="R7236">
        <v>0.98314270000000004</v>
      </c>
      <c r="S7236">
        <v>-7.13501E-2</v>
      </c>
      <c r="T7236">
        <v>-0.1561835</v>
      </c>
      <c r="U7236">
        <v>3.0845340000000001</v>
      </c>
      <c r="V7236">
        <v>-0.13168550000000001</v>
      </c>
      <c r="W7236">
        <v>0.182675</v>
      </c>
      <c r="X7236">
        <v>0.97431449999999997</v>
      </c>
      <c r="Y7236">
        <v>-0.2151719</v>
      </c>
      <c r="Z7236">
        <v>-3.6993930000000001E-2</v>
      </c>
      <c r="AA7236">
        <v>0.9758753</v>
      </c>
      <c r="AB7236">
        <v>21</v>
      </c>
      <c r="AC7236">
        <v>-0.54370000000000096</v>
      </c>
      <c r="AD7236">
        <v>-1.113978322024</v>
      </c>
      <c r="AE7236">
        <v>21.793410000000002</v>
      </c>
      <c r="AF7236">
        <v>-4.7192144099548701</v>
      </c>
      <c r="AG7236">
        <v>-1.113978322024</v>
      </c>
      <c r="AH7236">
        <v>21.225106272028299</v>
      </c>
      <c r="AI7236">
        <v>92.932864891454798</v>
      </c>
      <c r="AJ7236">
        <v>102.535300615881</v>
      </c>
      <c r="AK7236">
        <v>21.7719330471127</v>
      </c>
      <c r="AL7236">
        <v>79.474389929179395</v>
      </c>
      <c r="AM7236">
        <v>97.697286354319303</v>
      </c>
      <c r="AN7236">
        <v>0.99999998572274995</v>
      </c>
    </row>
    <row r="7237" spans="1:40" x14ac:dyDescent="0.25">
      <c r="A7237" t="str">
        <f>"20190304155242624"</f>
        <v>20190304155242624</v>
      </c>
      <c r="B7237" t="str">
        <f>"1551685962613684"</f>
        <v>1551685962613684</v>
      </c>
      <c r="C7237" t="s">
        <v>40</v>
      </c>
      <c r="D7237">
        <v>4.7411469999999998</v>
      </c>
      <c r="E7237">
        <v>0.4685124</v>
      </c>
      <c r="F7237" t="s">
        <v>41</v>
      </c>
      <c r="G7237">
        <v>-189.31659999999999</v>
      </c>
      <c r="H7237" s="1">
        <v>-1.506702E-6</v>
      </c>
      <c r="I7237">
        <v>-17.137640000000001</v>
      </c>
      <c r="J7237">
        <v>-188.72640000000001</v>
      </c>
      <c r="K7237">
        <v>1.113791</v>
      </c>
      <c r="L7237">
        <v>-39.148319999999998</v>
      </c>
      <c r="M7237">
        <v>0.1862171</v>
      </c>
      <c r="N7237">
        <v>-1.149126E-2</v>
      </c>
      <c r="O7237">
        <v>0.98244140000000002</v>
      </c>
      <c r="P7237">
        <v>5.530239E-2</v>
      </c>
      <c r="Q7237">
        <v>0.17147379999999901</v>
      </c>
      <c r="R7237">
        <v>0.98363529999999999</v>
      </c>
      <c r="S7237">
        <v>-7.7011109999999994E-2</v>
      </c>
      <c r="T7237">
        <v>-0.15451719999999999</v>
      </c>
      <c r="U7237">
        <v>3.0832820000000001</v>
      </c>
      <c r="V7237">
        <v>-0.1303638</v>
      </c>
      <c r="W7237">
        <v>0.18160699999999999</v>
      </c>
      <c r="X7237">
        <v>0.9746918</v>
      </c>
      <c r="Y7237">
        <v>-0.21060899999999999</v>
      </c>
      <c r="Z7237">
        <v>-3.666196E-2</v>
      </c>
      <c r="AA7237">
        <v>0.97688260000000005</v>
      </c>
      <c r="AB7237">
        <v>21</v>
      </c>
      <c r="AC7237">
        <v>-0.59019999999998096</v>
      </c>
      <c r="AD7237">
        <v>-1.113792506702</v>
      </c>
      <c r="AE7237">
        <v>22.010680000000001</v>
      </c>
      <c r="AF7237">
        <v>-4.6669692820015403</v>
      </c>
      <c r="AG7237">
        <v>-1.113792506702</v>
      </c>
      <c r="AH7237">
        <v>21.460805917442201</v>
      </c>
      <c r="AI7237">
        <v>92.903189097978398</v>
      </c>
      <c r="AJ7237">
        <v>102.26879314009901</v>
      </c>
      <c r="AK7237">
        <v>21.990619060255099</v>
      </c>
      <c r="AL7237">
        <v>79.536622600659896</v>
      </c>
      <c r="AM7237">
        <v>97.6180273966812</v>
      </c>
      <c r="AN7237">
        <v>0.99999996389333901</v>
      </c>
    </row>
    <row r="7238" spans="1:40" x14ac:dyDescent="0.25">
      <c r="A7238" t="str">
        <f>"20190304155242645"</f>
        <v>20190304155242645</v>
      </c>
      <c r="B7238" t="str">
        <f>"1551685962643937"</f>
        <v>1551685962643937</v>
      </c>
      <c r="C7238" t="s">
        <v>40</v>
      </c>
      <c r="D7238">
        <v>4.7322340000000001</v>
      </c>
      <c r="E7238">
        <v>0.47733550000000002</v>
      </c>
      <c r="F7238" t="s">
        <v>41</v>
      </c>
      <c r="G7238">
        <v>-189.33009999999999</v>
      </c>
      <c r="H7238" s="1">
        <v>-1.5185360000000001E-6</v>
      </c>
      <c r="I7238">
        <v>-17.10446</v>
      </c>
      <c r="J7238">
        <v>-188.69589999999999</v>
      </c>
      <c r="K7238">
        <v>1.113602</v>
      </c>
      <c r="L7238">
        <v>-38.952030000000001</v>
      </c>
      <c r="M7238">
        <v>0.1807288</v>
      </c>
      <c r="N7238">
        <v>-1.1448720000000001E-2</v>
      </c>
      <c r="O7238">
        <v>0.98346630000000002</v>
      </c>
      <c r="P7238">
        <v>5.1818690000000001E-2</v>
      </c>
      <c r="Q7238">
        <v>0.16979520000000001</v>
      </c>
      <c r="R7238">
        <v>0.98411610000000005</v>
      </c>
      <c r="S7238">
        <v>-8.4396360000000004E-2</v>
      </c>
      <c r="T7238">
        <v>-0.15571109999999999</v>
      </c>
      <c r="U7238">
        <v>3.0817869999999998</v>
      </c>
      <c r="V7238">
        <v>-0.128331</v>
      </c>
      <c r="W7238">
        <v>0.17996419999999999</v>
      </c>
      <c r="X7238">
        <v>0.97526619999999997</v>
      </c>
      <c r="Y7238">
        <v>-0.20750150000000001</v>
      </c>
      <c r="Z7238">
        <v>-3.7190529999999999E-2</v>
      </c>
      <c r="AA7238">
        <v>0.97752749999999999</v>
      </c>
      <c r="AB7238">
        <v>21</v>
      </c>
      <c r="AC7238">
        <v>-0.63419999999999199</v>
      </c>
      <c r="AD7238">
        <v>-1.113603518536</v>
      </c>
      <c r="AE7238">
        <v>21.847570000000001</v>
      </c>
      <c r="AF7238">
        <v>-4.56066021048861</v>
      </c>
      <c r="AG7238">
        <v>-1.113603518536</v>
      </c>
      <c r="AH7238">
        <v>21.317793078302198</v>
      </c>
      <c r="AI7238">
        <v>92.924258694446806</v>
      </c>
      <c r="AJ7238">
        <v>102.07564148779301</v>
      </c>
      <c r="AK7238">
        <v>21.828605912456698</v>
      </c>
      <c r="AL7238">
        <v>79.632326063049803</v>
      </c>
      <c r="AM7238">
        <v>97.4962330082421</v>
      </c>
      <c r="AN7238">
        <v>1.00000005985253</v>
      </c>
    </row>
    <row r="7239" spans="1:40" x14ac:dyDescent="0.25">
      <c r="A7239" t="str">
        <f>"20190304155242671"</f>
        <v>20190304155242671</v>
      </c>
      <c r="B7239" t="str">
        <f>"1551685962663457"</f>
        <v>1551685962663457</v>
      </c>
      <c r="C7239" t="s">
        <v>40</v>
      </c>
      <c r="D7239">
        <v>4.7856350000000001</v>
      </c>
      <c r="E7239">
        <v>0.47862680000000002</v>
      </c>
      <c r="F7239" t="s">
        <v>41</v>
      </c>
      <c r="G7239">
        <v>-188.8869</v>
      </c>
      <c r="H7239" s="1">
        <v>-2.1841520000000001E-6</v>
      </c>
      <c r="I7239">
        <v>-15.73615</v>
      </c>
      <c r="J7239">
        <v>-188.66130000000001</v>
      </c>
      <c r="K7239">
        <v>1.1133850000000001</v>
      </c>
      <c r="L7239">
        <v>-38.723140000000001</v>
      </c>
      <c r="M7239">
        <v>0.1746936</v>
      </c>
      <c r="N7239">
        <v>-1.140186E-2</v>
      </c>
      <c r="O7239">
        <v>0.98455689999999996</v>
      </c>
      <c r="P7239">
        <v>4.6984610000000003E-2</v>
      </c>
      <c r="Q7239">
        <v>0.16930339999999999</v>
      </c>
      <c r="R7239">
        <v>0.98444339999999997</v>
      </c>
      <c r="S7239">
        <v>-2.529907E-2</v>
      </c>
      <c r="T7239">
        <v>-0.147509</v>
      </c>
      <c r="U7239">
        <v>3.0751949999999999</v>
      </c>
      <c r="V7239">
        <v>-0.12705350000000001</v>
      </c>
      <c r="W7239">
        <v>0.1795049</v>
      </c>
      <c r="X7239">
        <v>0.975518</v>
      </c>
      <c r="Y7239">
        <v>-0.18273</v>
      </c>
      <c r="Z7239">
        <v>-3.5002949999999998E-2</v>
      </c>
      <c r="AA7239">
        <v>0.98253979999999996</v>
      </c>
      <c r="AB7239">
        <v>21</v>
      </c>
      <c r="AC7239">
        <v>-0.22559999999998501</v>
      </c>
      <c r="AD7239">
        <v>-1.113387184152</v>
      </c>
      <c r="AE7239">
        <v>22.986989999999999</v>
      </c>
      <c r="AF7239">
        <v>-4.2281529565762899</v>
      </c>
      <c r="AG7239">
        <v>-1.113387184152</v>
      </c>
      <c r="AH7239">
        <v>22.5411792423135</v>
      </c>
      <c r="AI7239">
        <v>92.779345648036397</v>
      </c>
      <c r="AJ7239">
        <v>100.623785001131</v>
      </c>
      <c r="AK7239">
        <v>22.9613081090809</v>
      </c>
      <c r="AL7239">
        <v>79.659076872842903</v>
      </c>
      <c r="AM7239">
        <v>97.420551739646001</v>
      </c>
      <c r="AN7239">
        <v>0.99999998465512896</v>
      </c>
    </row>
    <row r="7240" spans="1:40" x14ac:dyDescent="0.25">
      <c r="A7240" t="str">
        <f>"20190304155242693"</f>
        <v>20190304155242693</v>
      </c>
      <c r="B7240" t="str">
        <f>"1551685962683484"</f>
        <v>1551685962683484</v>
      </c>
      <c r="C7240" t="s">
        <v>40</v>
      </c>
      <c r="D7240">
        <v>4.6788339999999904</v>
      </c>
      <c r="E7240">
        <v>0.47890319999999997</v>
      </c>
      <c r="F7240" t="s">
        <v>41</v>
      </c>
      <c r="G7240">
        <v>-188.8913</v>
      </c>
      <c r="H7240" s="1">
        <v>-2.4810789999999999E-6</v>
      </c>
      <c r="I7240">
        <v>-15.04219</v>
      </c>
      <c r="J7240">
        <v>-188.6311</v>
      </c>
      <c r="K7240">
        <v>1.113192</v>
      </c>
      <c r="L7240">
        <v>-38.517240000000001</v>
      </c>
      <c r="M7240">
        <v>0.16958799999999999</v>
      </c>
      <c r="N7240">
        <v>-1.1362229999999999E-2</v>
      </c>
      <c r="O7240">
        <v>0.98544960000000004</v>
      </c>
      <c r="P7240">
        <v>4.2282970000000003E-2</v>
      </c>
      <c r="Q7240">
        <v>0.16861019999999999</v>
      </c>
      <c r="R7240">
        <v>0.98477550000000003</v>
      </c>
      <c r="S7240">
        <v>-2.9846190000000002E-2</v>
      </c>
      <c r="T7240">
        <v>-0.14451359999999999</v>
      </c>
      <c r="U7240">
        <v>3.0737000000000001</v>
      </c>
      <c r="V7240">
        <v>-0.1265878</v>
      </c>
      <c r="W7240">
        <v>0.17883550000000001</v>
      </c>
      <c r="X7240">
        <v>0.9757015</v>
      </c>
      <c r="Y7240">
        <v>-0.17909310000000001</v>
      </c>
      <c r="Z7240">
        <v>-3.420103E-2</v>
      </c>
      <c r="AA7240">
        <v>0.98323749999999999</v>
      </c>
      <c r="AB7240">
        <v>21</v>
      </c>
      <c r="AC7240">
        <v>-0.26019999999999699</v>
      </c>
      <c r="AD7240">
        <v>-1.113194481079</v>
      </c>
      <c r="AE7240">
        <v>23.47505</v>
      </c>
      <c r="AF7240">
        <v>-4.2282672201820297</v>
      </c>
      <c r="AG7240">
        <v>-1.113194481079</v>
      </c>
      <c r="AH7240">
        <v>23.0390399684802</v>
      </c>
      <c r="AI7240">
        <v>92.720878909197694</v>
      </c>
      <c r="AJ7240">
        <v>100.399547985775</v>
      </c>
      <c r="AK7240">
        <v>23.450262435785199</v>
      </c>
      <c r="AL7240">
        <v>79.698061801130294</v>
      </c>
      <c r="AM7240">
        <v>97.392278909801703</v>
      </c>
      <c r="AN7240">
        <v>1.00000001213567</v>
      </c>
    </row>
    <row r="7241" spans="1:40" x14ac:dyDescent="0.25">
      <c r="A7241" t="str">
        <f>"20190304155242713"</f>
        <v>20190304155242713</v>
      </c>
      <c r="B7241" t="str">
        <f>"1551685962703983"</f>
        <v>1551685962703983</v>
      </c>
      <c r="C7241" t="s">
        <v>40</v>
      </c>
      <c r="D7241">
        <v>4.7935420000000004</v>
      </c>
      <c r="E7241">
        <v>0.4799697</v>
      </c>
      <c r="F7241" t="s">
        <v>41</v>
      </c>
      <c r="G7241">
        <v>-188.93790000000001</v>
      </c>
      <c r="H7241" s="1">
        <v>-2.3528729999999998E-6</v>
      </c>
      <c r="I7241">
        <v>-15.32178</v>
      </c>
      <c r="J7241">
        <v>-188.60210000000001</v>
      </c>
      <c r="K7241">
        <v>1.1130329999999999</v>
      </c>
      <c r="L7241">
        <v>-38.315249999999999</v>
      </c>
      <c r="M7241">
        <v>0.16482669999999999</v>
      </c>
      <c r="N7241">
        <v>-1.1326620000000001E-2</v>
      </c>
      <c r="O7241">
        <v>0.98625750000000001</v>
      </c>
      <c r="P7241">
        <v>3.8092460000000002E-2</v>
      </c>
      <c r="Q7241">
        <v>0.166424499999999</v>
      </c>
      <c r="R7241">
        <v>0.98531809999999997</v>
      </c>
      <c r="S7241">
        <v>-4.0649409999999997E-2</v>
      </c>
      <c r="T7241">
        <v>-0.14749660000000001</v>
      </c>
      <c r="U7241">
        <v>3.0733640000000002</v>
      </c>
      <c r="V7241">
        <v>-0.12600410000000001</v>
      </c>
      <c r="W7241">
        <v>0.1766723</v>
      </c>
      <c r="X7241">
        <v>0.97617100000000001</v>
      </c>
      <c r="Y7241">
        <v>-0.17779729999999999</v>
      </c>
      <c r="Z7241">
        <v>-3.5240170000000001E-2</v>
      </c>
      <c r="AA7241">
        <v>0.98343590000000003</v>
      </c>
      <c r="AB7241">
        <v>21</v>
      </c>
      <c r="AC7241">
        <v>-0.33580000000000598</v>
      </c>
      <c r="AD7241">
        <v>-1.1130353528729999</v>
      </c>
      <c r="AE7241">
        <v>22.993469999999999</v>
      </c>
      <c r="AF7241">
        <v>-4.1117548521205602</v>
      </c>
      <c r="AG7241">
        <v>-1.1130353528729999</v>
      </c>
      <c r="AH7241">
        <v>22.5707084634893</v>
      </c>
      <c r="AI7241">
        <v>92.777516278318203</v>
      </c>
      <c r="AJ7241">
        <v>100.324478034766</v>
      </c>
      <c r="AK7241">
        <v>22.9691588048955</v>
      </c>
      <c r="AL7241">
        <v>79.824009431479098</v>
      </c>
      <c r="AM7241">
        <v>97.355066916736902</v>
      </c>
      <c r="AN7241">
        <v>0.99999997802254903</v>
      </c>
    </row>
    <row r="7242" spans="1:40" x14ac:dyDescent="0.25">
      <c r="A7242" t="str">
        <f>"20190304155242736"</f>
        <v>20190304155242736</v>
      </c>
      <c r="B7242" t="str">
        <f>"1551685962723504"</f>
        <v>1551685962723504</v>
      </c>
      <c r="C7242" t="s">
        <v>40</v>
      </c>
      <c r="D7242">
        <v>4.7377200000000004</v>
      </c>
      <c r="E7242">
        <v>0.48055880000000001</v>
      </c>
      <c r="F7242" t="s">
        <v>41</v>
      </c>
      <c r="G7242">
        <v>-188.92529999999999</v>
      </c>
      <c r="H7242" s="1">
        <v>-2.0614369999999998E-6</v>
      </c>
      <c r="I7242">
        <v>-16.006309999999999</v>
      </c>
      <c r="J7242">
        <v>-188.5736</v>
      </c>
      <c r="K7242">
        <v>1.1128819999999999</v>
      </c>
      <c r="L7242">
        <v>-38.111600000000003</v>
      </c>
      <c r="M7242">
        <v>0.16028519999999999</v>
      </c>
      <c r="N7242">
        <v>-1.1293900000000001E-2</v>
      </c>
      <c r="O7242">
        <v>0.9870061</v>
      </c>
      <c r="P7242">
        <v>3.533232E-2</v>
      </c>
      <c r="Q7242">
        <v>0.16548470000000001</v>
      </c>
      <c r="R7242">
        <v>0.98557930000000005</v>
      </c>
      <c r="S7242">
        <v>-4.4509890000000003E-2</v>
      </c>
      <c r="T7242">
        <v>-0.15328259999999999</v>
      </c>
      <c r="U7242">
        <v>3.0722960000000001</v>
      </c>
      <c r="V7242">
        <v>-0.1241998</v>
      </c>
      <c r="W7242">
        <v>0.17575929999999901</v>
      </c>
      <c r="X7242">
        <v>0.97656699999999996</v>
      </c>
      <c r="Y7242">
        <v>-0.17450499999999999</v>
      </c>
      <c r="Z7242">
        <v>-3.7182399999999997E-2</v>
      </c>
      <c r="AA7242">
        <v>0.983954</v>
      </c>
      <c r="AB7242">
        <v>21</v>
      </c>
      <c r="AC7242">
        <v>-0.35169999999999302</v>
      </c>
      <c r="AD7242">
        <v>-1.1128840614369999</v>
      </c>
      <c r="AE7242">
        <v>22.10529</v>
      </c>
      <c r="AF7242">
        <v>-3.8806956472175198</v>
      </c>
      <c r="AG7242">
        <v>-1.1128840614369999</v>
      </c>
      <c r="AH7242">
        <v>21.7080653572092</v>
      </c>
      <c r="AI7242">
        <v>92.889030875321794</v>
      </c>
      <c r="AJ7242">
        <v>100.135555822491</v>
      </c>
      <c r="AK7242">
        <v>22.0802719909289</v>
      </c>
      <c r="AL7242">
        <v>79.877152445713193</v>
      </c>
      <c r="AM7242">
        <v>97.247966874904193</v>
      </c>
      <c r="AN7242">
        <v>1.00000001367276</v>
      </c>
    </row>
    <row r="7243" spans="1:40" x14ac:dyDescent="0.25">
      <c r="A7243" t="str">
        <f>"20190304155242769"</f>
        <v>20190304155242769</v>
      </c>
      <c r="B7243" t="str">
        <f>"1551685962763517"</f>
        <v>1551685962763517</v>
      </c>
      <c r="C7243" t="s">
        <v>40</v>
      </c>
      <c r="D7243">
        <v>4.9029660000000002</v>
      </c>
      <c r="E7243">
        <v>0.49405769999999999</v>
      </c>
      <c r="F7243" t="s">
        <v>41</v>
      </c>
      <c r="G7243">
        <v>-188.91630000000001</v>
      </c>
      <c r="H7243" s="1">
        <v>-2.0250979999999998E-6</v>
      </c>
      <c r="I7243">
        <v>-16.094760000000001</v>
      </c>
      <c r="J7243">
        <v>-188.53120000000001</v>
      </c>
      <c r="K7243">
        <v>1.1126579999999999</v>
      </c>
      <c r="L7243">
        <v>-37.799160000000001</v>
      </c>
      <c r="M7243">
        <v>0.1538302</v>
      </c>
      <c r="N7243">
        <v>-1.124736E-2</v>
      </c>
      <c r="O7243">
        <v>0.9880333</v>
      </c>
      <c r="P7243">
        <v>2.982512E-2</v>
      </c>
      <c r="Q7243">
        <v>0.16746520000000001</v>
      </c>
      <c r="R7243">
        <v>0.98542680000000005</v>
      </c>
      <c r="S7243">
        <v>-4.7805790000000001E-2</v>
      </c>
      <c r="T7243">
        <v>-0.1552644</v>
      </c>
      <c r="U7243">
        <v>3.0716860000000001</v>
      </c>
      <c r="V7243">
        <v>-0.12313540000000001</v>
      </c>
      <c r="W7243">
        <v>0.1777638</v>
      </c>
      <c r="X7243">
        <v>0.97633890000000001</v>
      </c>
      <c r="Y7243">
        <v>-0.16912579999999999</v>
      </c>
      <c r="Z7243">
        <v>-3.79648E-2</v>
      </c>
      <c r="AA7243">
        <v>0.98486300000000004</v>
      </c>
      <c r="AB7243">
        <v>21</v>
      </c>
      <c r="AC7243">
        <v>-0.385099999999994</v>
      </c>
      <c r="AD7243">
        <v>-1.1126600250980001</v>
      </c>
      <c r="AE7243">
        <v>21.7044</v>
      </c>
      <c r="AF7243">
        <v>-3.7097727184276801</v>
      </c>
      <c r="AG7243">
        <v>-1.1126600250980001</v>
      </c>
      <c r="AH7243">
        <v>21.330742287247698</v>
      </c>
      <c r="AI7243">
        <v>92.941890978390106</v>
      </c>
      <c r="AJ7243">
        <v>99.866011367956901</v>
      </c>
      <c r="AK7243">
        <v>21.6795062784838</v>
      </c>
      <c r="AL7243">
        <v>79.760465214148596</v>
      </c>
      <c r="AM7243">
        <v>97.188164945943001</v>
      </c>
      <c r="AN7243">
        <v>0.99999997148840403</v>
      </c>
    </row>
    <row r="7244" spans="1:40" x14ac:dyDescent="0.25">
      <c r="A7244" t="str">
        <f>"20190304155242791"</f>
        <v>20190304155242791</v>
      </c>
      <c r="B7244" t="str">
        <f>"1551685962784013"</f>
        <v>1551685962784013</v>
      </c>
      <c r="C7244" t="s">
        <v>40</v>
      </c>
      <c r="D7244">
        <v>4.7566579999999998</v>
      </c>
      <c r="E7244">
        <v>0.49828990000000001</v>
      </c>
      <c r="F7244" t="s">
        <v>55</v>
      </c>
      <c r="G7244">
        <v>-182.44460000000001</v>
      </c>
      <c r="H7244">
        <v>1.17058</v>
      </c>
      <c r="I7244">
        <v>391.87</v>
      </c>
      <c r="J7244">
        <v>-188.50290000000001</v>
      </c>
      <c r="K7244">
        <v>1.1124879999999999</v>
      </c>
      <c r="L7244">
        <v>-37.585569999999997</v>
      </c>
      <c r="M7244">
        <v>0.14981149999999999</v>
      </c>
      <c r="N7244">
        <v>-1.121725E-2</v>
      </c>
      <c r="O7244">
        <v>0.98865099999999995</v>
      </c>
      <c r="P7244">
        <v>2.5736309999999998E-2</v>
      </c>
      <c r="Q7244">
        <v>0.168098</v>
      </c>
      <c r="R7244">
        <v>0.98543429999999999</v>
      </c>
      <c r="S7244">
        <v>4.3106079999999998E-2</v>
      </c>
      <c r="T7244">
        <v>4.1019919999999999E-4</v>
      </c>
      <c r="U7244">
        <v>3.042999</v>
      </c>
      <c r="V7244">
        <v>-0.1231308</v>
      </c>
      <c r="W7244">
        <v>0.17841650000000001</v>
      </c>
      <c r="X7244">
        <v>0.97622039999999999</v>
      </c>
      <c r="Y7244">
        <v>-0.135794</v>
      </c>
      <c r="Z7244">
        <v>1.1337170000000001E-2</v>
      </c>
      <c r="AA7244">
        <v>0.9906722</v>
      </c>
      <c r="AB7244">
        <v>21</v>
      </c>
      <c r="AC7244">
        <v>6.0583</v>
      </c>
      <c r="AD7244">
        <v>5.8091999999999998E-2</v>
      </c>
      <c r="AE7244">
        <v>429.45557000000002</v>
      </c>
      <c r="AF7244">
        <v>-58.351505639661802</v>
      </c>
      <c r="AG7244">
        <v>5.8091999999999998E-2</v>
      </c>
      <c r="AH7244">
        <v>425.51602160569502</v>
      </c>
      <c r="AI7244">
        <v>89.992250431573297</v>
      </c>
      <c r="AJ7244">
        <v>97.808334634585194</v>
      </c>
      <c r="AK7244">
        <v>429.49829595498301</v>
      </c>
      <c r="AL7244">
        <v>79.722460556543396</v>
      </c>
      <c r="AM7244">
        <v>97.188762611152001</v>
      </c>
      <c r="AN7244">
        <v>0.99999995537852404</v>
      </c>
    </row>
    <row r="7245" spans="1:40" x14ac:dyDescent="0.25">
      <c r="A7245" t="str">
        <f>"20190304155242858"</f>
        <v>20190304155242858</v>
      </c>
      <c r="B7245" t="str">
        <f>"1551685962854285"</f>
        <v>1551685962854285</v>
      </c>
      <c r="C7245" t="s">
        <v>40</v>
      </c>
      <c r="D7245">
        <v>4.5863060000000004</v>
      </c>
      <c r="E7245">
        <v>0.51392380000000004</v>
      </c>
      <c r="F7245" t="s">
        <v>41</v>
      </c>
      <c r="G7245">
        <v>-187.3922</v>
      </c>
      <c r="H7245" s="1">
        <v>-2.6234199999999999E-6</v>
      </c>
      <c r="I7245">
        <v>14.669739999999999</v>
      </c>
      <c r="J7245">
        <v>-188.42269999999999</v>
      </c>
      <c r="K7245">
        <v>1.1119969999999999</v>
      </c>
      <c r="L7245">
        <v>-36.956049999999998</v>
      </c>
      <c r="M7245">
        <v>0.1394657</v>
      </c>
      <c r="N7245">
        <v>-1.1144080000000001E-2</v>
      </c>
      <c r="O7245">
        <v>0.99016420000000005</v>
      </c>
      <c r="P7245">
        <v>1.5921729999999999E-2</v>
      </c>
      <c r="Q7245">
        <v>0.16547970000000001</v>
      </c>
      <c r="R7245">
        <v>0.98608459999999998</v>
      </c>
      <c r="S7245">
        <v>6.4910889999999999E-2</v>
      </c>
      <c r="T7245">
        <v>-6.5012689999999998E-2</v>
      </c>
      <c r="U7245">
        <v>3.053741</v>
      </c>
      <c r="V7245">
        <v>-0.1224852</v>
      </c>
      <c r="W7245">
        <v>0.17587809999999901</v>
      </c>
      <c r="X7245">
        <v>0.97676209999999997</v>
      </c>
      <c r="Y7245">
        <v>-0.1183786</v>
      </c>
      <c r="Z7245">
        <v>-9.7693410000000008E-3</v>
      </c>
      <c r="AA7245">
        <v>0.99292049999999998</v>
      </c>
      <c r="AB7245">
        <v>21</v>
      </c>
      <c r="AC7245">
        <v>1.03049999999998</v>
      </c>
      <c r="AD7245">
        <v>-1.11199962341999</v>
      </c>
      <c r="AE7245">
        <v>51.625790000000002</v>
      </c>
      <c r="AF7245">
        <v>-6.17718165671746</v>
      </c>
      <c r="AG7245">
        <v>-1.11199962341999</v>
      </c>
      <c r="AH7245">
        <v>51.241147364022602</v>
      </c>
      <c r="AI7245">
        <v>91.234264503024903</v>
      </c>
      <c r="AJ7245">
        <v>96.873904334002006</v>
      </c>
      <c r="AK7245">
        <v>51.624115484568399</v>
      </c>
      <c r="AL7245">
        <v>79.870237500992104</v>
      </c>
      <c r="AM7245">
        <v>97.147536644790705</v>
      </c>
      <c r="AN7245">
        <v>0.99999996513752898</v>
      </c>
    </row>
    <row r="7246" spans="1:40" x14ac:dyDescent="0.25">
      <c r="A7246" t="str">
        <f>"20190304155242882"</f>
        <v>20190304155242882</v>
      </c>
      <c r="B7246" t="str">
        <f>"1551685962873805"</f>
        <v>1551685962873805</v>
      </c>
      <c r="C7246" t="s">
        <v>40</v>
      </c>
      <c r="D7246">
        <v>4.9712529999999999</v>
      </c>
      <c r="E7246">
        <v>0.51580890000000001</v>
      </c>
      <c r="F7246" t="s">
        <v>51</v>
      </c>
      <c r="G7246">
        <v>-188.38210000000001</v>
      </c>
      <c r="H7246">
        <v>0.96421489999999999</v>
      </c>
      <c r="I7246">
        <v>-36.167549999999999</v>
      </c>
      <c r="J7246">
        <v>-188.39400000000001</v>
      </c>
      <c r="K7246">
        <v>1.111809</v>
      </c>
      <c r="L7246">
        <v>-36.723880000000001</v>
      </c>
      <c r="M7246">
        <v>0.13629469999999999</v>
      </c>
      <c r="N7246">
        <v>-1.1120730000000001E-2</v>
      </c>
      <c r="O7246">
        <v>0.99060590000000004</v>
      </c>
      <c r="P7246">
        <v>1.27457E-2</v>
      </c>
      <c r="Q7246">
        <v>0.1646907</v>
      </c>
      <c r="R7246">
        <v>0.98626290000000005</v>
      </c>
      <c r="S7246">
        <v>0.1615906</v>
      </c>
      <c r="T7246">
        <v>-0.58824359999999998</v>
      </c>
      <c r="U7246">
        <v>3.1384280000000002</v>
      </c>
      <c r="V7246">
        <v>-0.12243809999999999</v>
      </c>
      <c r="W7246">
        <v>0.17512420000000001</v>
      </c>
      <c r="X7246">
        <v>0.97690350000000004</v>
      </c>
      <c r="Y7246">
        <v>-8.5843699999999995E-2</v>
      </c>
      <c r="Z7246">
        <v>-0.170308399999999</v>
      </c>
      <c r="AA7246">
        <v>0.98164450000000003</v>
      </c>
      <c r="AB7246">
        <v>22</v>
      </c>
      <c r="AC7246">
        <v>1.18999999999971E-2</v>
      </c>
      <c r="AD7246">
        <v>-0.14759410000000001</v>
      </c>
      <c r="AE7246">
        <v>0.55633000000000199</v>
      </c>
      <c r="AF7246">
        <v>-5.9831346667125099E-2</v>
      </c>
      <c r="AG7246">
        <v>-0.14759410000000001</v>
      </c>
      <c r="AH7246">
        <v>0.51642828873282798</v>
      </c>
      <c r="AI7246">
        <v>105.849184817758</v>
      </c>
      <c r="AJ7246">
        <v>96.608600094556706</v>
      </c>
      <c r="AK7246">
        <v>0.54042759533755202</v>
      </c>
      <c r="AL7246">
        <v>79.914114253534294</v>
      </c>
      <c r="AM7246">
        <v>97.143793090583003</v>
      </c>
      <c r="AN7246">
        <v>1.00000001103475</v>
      </c>
    </row>
    <row r="7247" spans="1:40" x14ac:dyDescent="0.25">
      <c r="A7247" t="str">
        <f>"20190304155242905"</f>
        <v>20190304155242905</v>
      </c>
      <c r="B7247" t="str">
        <f>"1551685962894302"</f>
        <v>1551685962894302</v>
      </c>
      <c r="C7247" t="s">
        <v>40</v>
      </c>
      <c r="D7247">
        <v>4.7808080000000004</v>
      </c>
      <c r="E7247">
        <v>0.51863179999999998</v>
      </c>
      <c r="F7247" t="s">
        <v>51</v>
      </c>
      <c r="G7247">
        <v>-188.35310000000001</v>
      </c>
      <c r="H7247">
        <v>0.99633369999999999</v>
      </c>
      <c r="I7247">
        <v>-35.961350000000003</v>
      </c>
      <c r="J7247">
        <v>-188.36779999999999</v>
      </c>
      <c r="K7247">
        <v>1.111632</v>
      </c>
      <c r="L7247">
        <v>-36.509889999999999</v>
      </c>
      <c r="M7247">
        <v>0.1336724</v>
      </c>
      <c r="N7247">
        <v>-1.110099E-2</v>
      </c>
      <c r="O7247">
        <v>0.99096340000000005</v>
      </c>
      <c r="P7247">
        <v>1.041484E-2</v>
      </c>
      <c r="Q7247">
        <v>0.16466069999999999</v>
      </c>
      <c r="R7247">
        <v>0.98629529999999999</v>
      </c>
      <c r="S7247">
        <v>0.16697690000000001</v>
      </c>
      <c r="T7247">
        <v>-0.47228619999999999</v>
      </c>
      <c r="U7247">
        <v>3.1185</v>
      </c>
      <c r="V7247">
        <v>-0.12208819999999999</v>
      </c>
      <c r="W7247">
        <v>0.17512749999999999</v>
      </c>
      <c r="X7247">
        <v>0.97694669999999895</v>
      </c>
      <c r="Y7247">
        <v>-8.0931690000000001E-2</v>
      </c>
      <c r="Z7247">
        <v>-0.136440899999999</v>
      </c>
      <c r="AA7247">
        <v>0.98733680000000001</v>
      </c>
      <c r="AB7247">
        <v>22</v>
      </c>
      <c r="AC7247">
        <v>1.46999999999764E-2</v>
      </c>
      <c r="AD7247">
        <v>-0.11529829999999899</v>
      </c>
      <c r="AE7247">
        <v>0.54854000000000203</v>
      </c>
      <c r="AF7247">
        <v>-5.6276581876452202E-2</v>
      </c>
      <c r="AG7247">
        <v>-0.11529829999999899</v>
      </c>
      <c r="AH7247">
        <v>0.52251340339114205</v>
      </c>
      <c r="AI7247">
        <v>102.37419375262201</v>
      </c>
      <c r="AJ7247">
        <v>96.147266032240793</v>
      </c>
      <c r="AK7247">
        <v>0.53803439330026204</v>
      </c>
      <c r="AL7247">
        <v>79.913922221893301</v>
      </c>
      <c r="AM7247">
        <v>97.123276036353303</v>
      </c>
      <c r="AN7247">
        <v>1.00000001223818</v>
      </c>
    </row>
    <row r="7248" spans="1:40" x14ac:dyDescent="0.25">
      <c r="A7248" t="str">
        <f>"20190304155242927"</f>
        <v>20190304155242927</v>
      </c>
      <c r="B7248" t="str">
        <f>"1551685962923582"</f>
        <v>1551685962923582</v>
      </c>
      <c r="C7248" t="s">
        <v>40</v>
      </c>
      <c r="D7248">
        <v>4.8171920000000004</v>
      </c>
      <c r="E7248">
        <v>0.52201350000000002</v>
      </c>
      <c r="F7248" t="s">
        <v>41</v>
      </c>
      <c r="G7248">
        <v>-187.84370000000001</v>
      </c>
      <c r="H7248" s="1">
        <v>-1.586026E-6</v>
      </c>
      <c r="I7248">
        <v>-27.561769999999999</v>
      </c>
      <c r="J7248">
        <v>-188.34229999999999</v>
      </c>
      <c r="K7248">
        <v>1.1114649999999999</v>
      </c>
      <c r="L7248">
        <v>-36.299439999999997</v>
      </c>
      <c r="M7248">
        <v>0.13136210000000001</v>
      </c>
      <c r="N7248">
        <v>-1.107913E-2</v>
      </c>
      <c r="O7248">
        <v>0.9912725</v>
      </c>
      <c r="P7248">
        <v>8.0596269999999998E-3</v>
      </c>
      <c r="Q7248">
        <v>0.16472679999999901</v>
      </c>
      <c r="R7248">
        <v>0.98630629999999997</v>
      </c>
      <c r="S7248">
        <v>0.181839</v>
      </c>
      <c r="T7248">
        <v>-0.38563239999999999</v>
      </c>
      <c r="U7248">
        <v>3.1041560000000001</v>
      </c>
      <c r="V7248">
        <v>-0.1220741</v>
      </c>
      <c r="W7248">
        <v>0.17521900000000001</v>
      </c>
      <c r="X7248">
        <v>0.97693200000000002</v>
      </c>
      <c r="Y7248">
        <v>-7.3478180000000004E-2</v>
      </c>
      <c r="Z7248">
        <v>-0.1104591</v>
      </c>
      <c r="AA7248">
        <v>0.99116079999999995</v>
      </c>
      <c r="AB7248">
        <v>22</v>
      </c>
      <c r="AC7248">
        <v>0.498599999999982</v>
      </c>
      <c r="AD7248">
        <v>-1.111466586026</v>
      </c>
      <c r="AE7248">
        <v>8.7376699999999996</v>
      </c>
      <c r="AF7248">
        <v>-0.64321634089295698</v>
      </c>
      <c r="AG7248">
        <v>-1.111466586026</v>
      </c>
      <c r="AH7248">
        <v>8.588920109419</v>
      </c>
      <c r="AI7248">
        <v>97.3531347256054</v>
      </c>
      <c r="AJ7248">
        <v>94.282833681193694</v>
      </c>
      <c r="AK7248">
        <v>8.6843902422119506</v>
      </c>
      <c r="AL7248">
        <v>79.908596771890004</v>
      </c>
      <c r="AM7248">
        <v>97.122567888467103</v>
      </c>
      <c r="AN7248">
        <v>0.999999958237904</v>
      </c>
    </row>
    <row r="7249" spans="1:40" x14ac:dyDescent="0.25">
      <c r="A7249" t="str">
        <f>"20190304155242948"</f>
        <v>20190304155242948</v>
      </c>
      <c r="B7249" t="str">
        <f>"1551685962944077"</f>
        <v>1551685962944077</v>
      </c>
      <c r="C7249" t="s">
        <v>40</v>
      </c>
      <c r="D7249">
        <v>4.825736</v>
      </c>
      <c r="E7249">
        <v>0.5217136</v>
      </c>
      <c r="F7249" t="s">
        <v>41</v>
      </c>
      <c r="G7249">
        <v>-187.5668</v>
      </c>
      <c r="H7249" s="1">
        <v>-2.9609159999999999E-6</v>
      </c>
      <c r="I7249">
        <v>-24.471319999999999</v>
      </c>
      <c r="J7249">
        <v>-188.31700000000001</v>
      </c>
      <c r="K7249">
        <v>1.1113170000000001</v>
      </c>
      <c r="L7249">
        <v>-36.088929999999998</v>
      </c>
      <c r="M7249">
        <v>0.1293126</v>
      </c>
      <c r="N7249">
        <v>-1.105341E-2</v>
      </c>
      <c r="O7249">
        <v>0.99154229999999999</v>
      </c>
      <c r="P7249">
        <v>6.5432900000000002E-3</v>
      </c>
      <c r="Q7249">
        <v>0.16370499999999999</v>
      </c>
      <c r="R7249">
        <v>0.98648760000000002</v>
      </c>
      <c r="S7249">
        <v>0.2024841</v>
      </c>
      <c r="T7249">
        <v>-0.29021809999999998</v>
      </c>
      <c r="U7249">
        <v>3.08847</v>
      </c>
      <c r="V7249">
        <v>-0.1215132</v>
      </c>
      <c r="W7249">
        <v>0.17421900000000001</v>
      </c>
      <c r="X7249">
        <v>0.97718079999999996</v>
      </c>
      <c r="Y7249">
        <v>-6.4352149999999997E-2</v>
      </c>
      <c r="Z7249">
        <v>-8.1222649999999993E-2</v>
      </c>
      <c r="AA7249">
        <v>0.99461630000000001</v>
      </c>
      <c r="AB7249">
        <v>22</v>
      </c>
      <c r="AC7249">
        <v>0.75020000000000597</v>
      </c>
      <c r="AD7249">
        <v>-1.111319960916</v>
      </c>
      <c r="AE7249">
        <v>11.6176099999999</v>
      </c>
      <c r="AF7249">
        <v>-0.75164526974079904</v>
      </c>
      <c r="AG7249">
        <v>-1.111319960916</v>
      </c>
      <c r="AH7249">
        <v>11.512166803776401</v>
      </c>
      <c r="AI7249">
        <v>95.502283974245799</v>
      </c>
      <c r="AJ7249">
        <v>93.735618325550107</v>
      </c>
      <c r="AK7249">
        <v>11.590081414081</v>
      </c>
      <c r="AL7249">
        <v>79.966788222438595</v>
      </c>
      <c r="AM7249">
        <v>97.088388438542793</v>
      </c>
      <c r="AN7249">
        <v>1.0000000168119301</v>
      </c>
    </row>
    <row r="7250" spans="1:40" x14ac:dyDescent="0.25">
      <c r="A7250" t="str">
        <f>"20190304155242971"</f>
        <v>20190304155242971</v>
      </c>
      <c r="B7250" t="str">
        <f>"1551685962963598"</f>
        <v>1551685962963598</v>
      </c>
      <c r="C7250" t="s">
        <v>40</v>
      </c>
      <c r="D7250">
        <v>4.1336079999999997</v>
      </c>
      <c r="E7250">
        <v>0.51264359999999998</v>
      </c>
      <c r="F7250" t="s">
        <v>41</v>
      </c>
      <c r="G7250">
        <v>-187.48740000000001</v>
      </c>
      <c r="H7250" s="1">
        <v>-3.5830319999999999E-6</v>
      </c>
      <c r="I7250">
        <v>-23.053999999999998</v>
      </c>
      <c r="J7250">
        <v>-188.29159999999999</v>
      </c>
      <c r="K7250">
        <v>1.1111819999999999</v>
      </c>
      <c r="L7250">
        <v>-35.876459999999902</v>
      </c>
      <c r="M7250">
        <v>0.12746399999999999</v>
      </c>
      <c r="N7250">
        <v>-1.102294E-2</v>
      </c>
      <c r="O7250">
        <v>0.99178189999999999</v>
      </c>
      <c r="P7250">
        <v>5.5796730000000003E-3</v>
      </c>
      <c r="Q7250">
        <v>0.1621862</v>
      </c>
      <c r="R7250">
        <v>0.98674439999999997</v>
      </c>
      <c r="S7250">
        <v>0.19624330000000001</v>
      </c>
      <c r="T7250">
        <v>-0.26288210000000001</v>
      </c>
      <c r="U7250">
        <v>3.083405</v>
      </c>
      <c r="V7250">
        <v>-0.1206226</v>
      </c>
      <c r="W7250">
        <v>0.17271159999999999</v>
      </c>
      <c r="X7250">
        <v>0.9775587</v>
      </c>
      <c r="Y7250">
        <v>-6.4351359999999996E-2</v>
      </c>
      <c r="Z7250">
        <v>-7.2796680000000002E-2</v>
      </c>
      <c r="AA7250">
        <v>0.99526859999999995</v>
      </c>
      <c r="AB7250">
        <v>22</v>
      </c>
      <c r="AC7250">
        <v>0.80419999999998004</v>
      </c>
      <c r="AD7250">
        <v>-1.1111855830320001</v>
      </c>
      <c r="AE7250">
        <v>12.8224599999999</v>
      </c>
      <c r="AF7250">
        <v>-0.83064832495700303</v>
      </c>
      <c r="AG7250">
        <v>-1.1111855830320001</v>
      </c>
      <c r="AH7250">
        <v>12.7251801476864</v>
      </c>
      <c r="AI7250">
        <v>94.979966721812204</v>
      </c>
      <c r="AJ7250">
        <v>93.7347383992945</v>
      </c>
      <c r="AK7250">
        <v>12.8005827926218</v>
      </c>
      <c r="AL7250">
        <v>80.0544858143395</v>
      </c>
      <c r="AM7250">
        <v>97.034265610295805</v>
      </c>
      <c r="AN7250">
        <v>1.0000000601754999</v>
      </c>
    </row>
    <row r="7251" spans="1:40" x14ac:dyDescent="0.25">
      <c r="A7251" t="str">
        <f>"20190304155242992"</f>
        <v>20190304155242992</v>
      </c>
      <c r="B7251" t="str">
        <f>"1551685962984093"</f>
        <v>1551685962984093</v>
      </c>
      <c r="C7251" t="s">
        <v>40</v>
      </c>
      <c r="D7251">
        <v>4.8319739999999998</v>
      </c>
      <c r="E7251">
        <v>0.51403489999999996</v>
      </c>
      <c r="F7251" t="s">
        <v>41</v>
      </c>
      <c r="G7251">
        <v>-187.75360000000001</v>
      </c>
      <c r="H7251" s="1">
        <v>-3.9289389999999998E-6</v>
      </c>
      <c r="I7251">
        <v>-22.137630000000001</v>
      </c>
      <c r="J7251">
        <v>-188.2671</v>
      </c>
      <c r="K7251">
        <v>1.1110960000000001</v>
      </c>
      <c r="L7251">
        <v>-35.669460000000001</v>
      </c>
      <c r="M7251">
        <v>0.12580819999999901</v>
      </c>
      <c r="N7251">
        <v>-1.0991330000000001E-2</v>
      </c>
      <c r="O7251">
        <v>0.99199369999999998</v>
      </c>
      <c r="P7251">
        <v>4.9010290000000003E-3</v>
      </c>
      <c r="Q7251">
        <v>0.16146429999999901</v>
      </c>
      <c r="R7251">
        <v>0.98686640000000003</v>
      </c>
      <c r="S7251">
        <v>0.1206512</v>
      </c>
      <c r="T7251">
        <v>-0.24915370000000001</v>
      </c>
      <c r="U7251">
        <v>3.0805660000000001</v>
      </c>
      <c r="V7251">
        <v>-0.11964130000000001</v>
      </c>
      <c r="W7251">
        <v>0.17198579999999999</v>
      </c>
      <c r="X7251">
        <v>0.97780719999999999</v>
      </c>
      <c r="Y7251">
        <v>-8.6943220000000002E-2</v>
      </c>
      <c r="Z7251">
        <v>-6.8540829999999997E-2</v>
      </c>
      <c r="AA7251">
        <v>0.99385259999999997</v>
      </c>
      <c r="AB7251">
        <v>22</v>
      </c>
      <c r="AC7251">
        <v>0.51349999999999296</v>
      </c>
      <c r="AD7251">
        <v>-1.11109992893899</v>
      </c>
      <c r="AE7251">
        <v>13.531829999999999</v>
      </c>
      <c r="AF7251">
        <v>-1.1851198032750001</v>
      </c>
      <c r="AG7251">
        <v>-1.11109992893899</v>
      </c>
      <c r="AH7251">
        <v>13.3987022733399</v>
      </c>
      <c r="AI7251">
        <v>94.722107973972498</v>
      </c>
      <c r="AJ7251">
        <v>95.054677009102207</v>
      </c>
      <c r="AK7251">
        <v>13.496824612100699</v>
      </c>
      <c r="AL7251">
        <v>80.096702605182898</v>
      </c>
      <c r="AM7251">
        <v>96.975850402697802</v>
      </c>
      <c r="AN7251">
        <v>1.0000000382195799</v>
      </c>
    </row>
    <row r="7252" spans="1:40" x14ac:dyDescent="0.25">
      <c r="A7252" t="str">
        <f>"20190304155243015"</f>
        <v>20190304155243015</v>
      </c>
      <c r="B7252" t="str">
        <f>"1551685963003616"</f>
        <v>1551685963003616</v>
      </c>
      <c r="C7252" t="s">
        <v>40</v>
      </c>
      <c r="D7252">
        <v>4.869313</v>
      </c>
      <c r="E7252">
        <v>0.51498500000000003</v>
      </c>
      <c r="F7252" t="s">
        <v>41</v>
      </c>
      <c r="G7252">
        <v>-187.6439</v>
      </c>
      <c r="H7252" s="1">
        <v>-4.5233920000000004E-6</v>
      </c>
      <c r="I7252">
        <v>-20.79729</v>
      </c>
      <c r="J7252">
        <v>-188.24170000000001</v>
      </c>
      <c r="K7252">
        <v>1.111046</v>
      </c>
      <c r="L7252">
        <v>-35.453159999999997</v>
      </c>
      <c r="M7252">
        <v>0.1241863</v>
      </c>
      <c r="N7252">
        <v>-1.0953650000000001E-2</v>
      </c>
      <c r="O7252">
        <v>0.99219849999999998</v>
      </c>
      <c r="P7252">
        <v>4.185935E-3</v>
      </c>
      <c r="Q7252">
        <v>0.16063529999999901</v>
      </c>
      <c r="R7252">
        <v>0.98700489999999996</v>
      </c>
      <c r="S7252">
        <v>0.12893679999999999</v>
      </c>
      <c r="T7252">
        <v>-0.22987560000000001</v>
      </c>
      <c r="U7252">
        <v>3.0769039999999999</v>
      </c>
      <c r="V7252">
        <v>-0.1187462</v>
      </c>
      <c r="W7252">
        <v>0.1711375</v>
      </c>
      <c r="X7252">
        <v>0.97806510000000002</v>
      </c>
      <c r="Y7252">
        <v>-8.2584389999999994E-2</v>
      </c>
      <c r="Z7252">
        <v>-6.2580419999999998E-2</v>
      </c>
      <c r="AA7252">
        <v>0.99461730000000004</v>
      </c>
      <c r="AB7252">
        <v>22</v>
      </c>
      <c r="AC7252">
        <v>0.59780000000000599</v>
      </c>
      <c r="AD7252">
        <v>-1.1110505233920001</v>
      </c>
      <c r="AE7252">
        <v>14.655869999999901</v>
      </c>
      <c r="AF7252">
        <v>-1.2199958434036999</v>
      </c>
      <c r="AG7252">
        <v>-1.1110505233920001</v>
      </c>
      <c r="AH7252">
        <v>14.533262544644099</v>
      </c>
      <c r="AI7252">
        <v>94.356427181528801</v>
      </c>
      <c r="AJ7252">
        <v>94.798448528231205</v>
      </c>
      <c r="AK7252">
        <v>14.626638141247801</v>
      </c>
      <c r="AL7252">
        <v>80.146037930284294</v>
      </c>
      <c r="AM7252">
        <v>96.922360834437598</v>
      </c>
      <c r="AN7252">
        <v>1.0000000218793399</v>
      </c>
    </row>
    <row r="7253" spans="1:40" x14ac:dyDescent="0.25">
      <c r="A7253" t="str">
        <f>"20190304155243036"</f>
        <v>20190304155243036</v>
      </c>
      <c r="B7253" t="str">
        <f>"1551685963033869"</f>
        <v>1551685963033869</v>
      </c>
      <c r="C7253" t="s">
        <v>40</v>
      </c>
      <c r="D7253">
        <v>4.8732629999999997</v>
      </c>
      <c r="E7253">
        <v>0.51614519999999997</v>
      </c>
      <c r="F7253" t="s">
        <v>41</v>
      </c>
      <c r="G7253">
        <v>-187.5574</v>
      </c>
      <c r="H7253" s="1">
        <v>-8.4889480000000002E-7</v>
      </c>
      <c r="I7253">
        <v>-19.76717</v>
      </c>
      <c r="J7253">
        <v>-188.21809999999999</v>
      </c>
      <c r="K7253">
        <v>1.111022</v>
      </c>
      <c r="L7253">
        <v>-35.250399999999999</v>
      </c>
      <c r="M7253">
        <v>0.1227249</v>
      </c>
      <c r="N7253">
        <v>-1.0913050000000001E-2</v>
      </c>
      <c r="O7253">
        <v>0.9923807</v>
      </c>
      <c r="P7253">
        <v>3.9182449999999999E-3</v>
      </c>
      <c r="Q7253">
        <v>0.160186299999999</v>
      </c>
      <c r="R7253">
        <v>0.98707900000000004</v>
      </c>
      <c r="S7253">
        <v>0.13410949999999999</v>
      </c>
      <c r="T7253">
        <v>-0.21775939999999999</v>
      </c>
      <c r="U7253">
        <v>3.0743710000000002</v>
      </c>
      <c r="V7253">
        <v>-0.11757140000000001</v>
      </c>
      <c r="W7253">
        <v>0.1706568</v>
      </c>
      <c r="X7253">
        <v>0.97829100000000002</v>
      </c>
      <c r="Y7253">
        <v>-7.9404950000000002E-2</v>
      </c>
      <c r="Z7253">
        <v>-5.884851E-2</v>
      </c>
      <c r="AA7253">
        <v>0.99510390000000004</v>
      </c>
      <c r="AB7253">
        <v>22</v>
      </c>
      <c r="AC7253">
        <v>0.66069999999999096</v>
      </c>
      <c r="AD7253">
        <v>-1.1110228488948</v>
      </c>
      <c r="AE7253">
        <v>15.483230000000001</v>
      </c>
      <c r="AF7253">
        <v>-1.2382220538347199</v>
      </c>
      <c r="AG7253">
        <v>-1.1110228488948</v>
      </c>
      <c r="AH7253">
        <v>15.368275811350699</v>
      </c>
      <c r="AI7253">
        <v>94.121595760110793</v>
      </c>
      <c r="AJ7253">
        <v>94.606370960294299</v>
      </c>
      <c r="AK7253">
        <v>15.4580550859128</v>
      </c>
      <c r="AL7253">
        <v>80.173991307269702</v>
      </c>
      <c r="AM7253">
        <v>96.852962412493397</v>
      </c>
      <c r="AN7253">
        <v>1.0000000290825899</v>
      </c>
    </row>
    <row r="7254" spans="1:40" x14ac:dyDescent="0.25">
      <c r="A7254" t="str">
        <f>"20190304155243060"</f>
        <v>20190304155243060</v>
      </c>
      <c r="B7254" t="str">
        <f>"1551685963054365"</f>
        <v>1551685963054365</v>
      </c>
      <c r="C7254" t="s">
        <v>40</v>
      </c>
      <c r="D7254">
        <v>4.826797</v>
      </c>
      <c r="E7254">
        <v>0.51678440000000003</v>
      </c>
      <c r="F7254" t="s">
        <v>41</v>
      </c>
      <c r="G7254">
        <v>-187.446</v>
      </c>
      <c r="H7254" s="1">
        <v>-1.312409E-6</v>
      </c>
      <c r="I7254">
        <v>-18.492249999999999</v>
      </c>
      <c r="J7254">
        <v>-188.19239999999999</v>
      </c>
      <c r="K7254">
        <v>1.111027</v>
      </c>
      <c r="L7254">
        <v>-35.026609999999998</v>
      </c>
      <c r="M7254">
        <v>0.1211348</v>
      </c>
      <c r="N7254">
        <v>-1.086524E-2</v>
      </c>
      <c r="O7254">
        <v>0.99257660000000003</v>
      </c>
      <c r="P7254">
        <v>3.788104E-3</v>
      </c>
      <c r="Q7254">
        <v>0.16003599999999901</v>
      </c>
      <c r="R7254">
        <v>0.98710390000000003</v>
      </c>
      <c r="S7254">
        <v>0.14152529999999999</v>
      </c>
      <c r="T7254">
        <v>-0.20364930000000001</v>
      </c>
      <c r="U7254">
        <v>3.0717469999999998</v>
      </c>
      <c r="V7254">
        <v>-0.1161367</v>
      </c>
      <c r="W7254">
        <v>0.1704618</v>
      </c>
      <c r="X7254">
        <v>0.97849629999999999</v>
      </c>
      <c r="Y7254">
        <v>-7.5365009999999996E-2</v>
      </c>
      <c r="Z7254">
        <v>-5.447929E-2</v>
      </c>
      <c r="AA7254">
        <v>0.99566670000000002</v>
      </c>
      <c r="AB7254">
        <v>22</v>
      </c>
      <c r="AC7254">
        <v>0.74639999999999396</v>
      </c>
      <c r="AD7254">
        <v>-1.1110283124089999</v>
      </c>
      <c r="AE7254">
        <v>16.53436</v>
      </c>
      <c r="AF7254">
        <v>-1.2564401956530999</v>
      </c>
      <c r="AG7254">
        <v>-1.1110283124089999</v>
      </c>
      <c r="AH7254">
        <v>16.428978985323599</v>
      </c>
      <c r="AI7254">
        <v>93.857571075825106</v>
      </c>
      <c r="AJ7254">
        <v>94.373300563887597</v>
      </c>
      <c r="AK7254">
        <v>16.514368785286099</v>
      </c>
      <c r="AL7254">
        <v>80.185329677470307</v>
      </c>
      <c r="AM7254">
        <v>96.768710765069798</v>
      </c>
      <c r="AN7254">
        <v>0.99999998372990995</v>
      </c>
    </row>
    <row r="7255" spans="1:40" x14ac:dyDescent="0.25">
      <c r="A7255" t="str">
        <f>"20190304155243082"</f>
        <v>20190304155243082</v>
      </c>
      <c r="B7255" t="str">
        <f>"1551685963073885"</f>
        <v>1551685963073885</v>
      </c>
      <c r="C7255" t="s">
        <v>40</v>
      </c>
      <c r="D7255">
        <v>4.8410129999999896</v>
      </c>
      <c r="E7255">
        <v>0.51735279999999995</v>
      </c>
      <c r="F7255" t="s">
        <v>41</v>
      </c>
      <c r="G7255">
        <v>-187.36189999999999</v>
      </c>
      <c r="H7255" s="1">
        <v>-1.718286E-6</v>
      </c>
      <c r="I7255">
        <v>-17.452670000000001</v>
      </c>
      <c r="J7255">
        <v>-188.16749999999999</v>
      </c>
      <c r="K7255">
        <v>1.1110500000000001</v>
      </c>
      <c r="L7255">
        <v>-34.80762</v>
      </c>
      <c r="M7255">
        <v>0.1195611</v>
      </c>
      <c r="N7255">
        <v>-1.0813929999999999E-2</v>
      </c>
      <c r="O7255">
        <v>0.99276790000000004</v>
      </c>
      <c r="P7255">
        <v>3.2317190000000001E-3</v>
      </c>
      <c r="Q7255">
        <v>0.16020090000000001</v>
      </c>
      <c r="R7255">
        <v>0.98707909999999999</v>
      </c>
      <c r="S7255">
        <v>0.1450806</v>
      </c>
      <c r="T7255">
        <v>-0.1940923</v>
      </c>
      <c r="U7255">
        <v>3.0700989999999999</v>
      </c>
      <c r="V7255">
        <v>-0.1151438</v>
      </c>
      <c r="W7255">
        <v>0.17057220000000001</v>
      </c>
      <c r="X7255">
        <v>0.97859439999999998</v>
      </c>
      <c r="Y7255">
        <v>-7.2603899999999999E-2</v>
      </c>
      <c r="Z7255">
        <v>-5.1533080000000002E-2</v>
      </c>
      <c r="AA7255">
        <v>0.99602860000000004</v>
      </c>
      <c r="AB7255">
        <v>22</v>
      </c>
      <c r="AC7255">
        <v>0.80559999999999798</v>
      </c>
      <c r="AD7255">
        <v>-1.111051718286</v>
      </c>
      <c r="AE7255">
        <v>17.354949999999999</v>
      </c>
      <c r="AF7255">
        <v>-1.27008351593399</v>
      </c>
      <c r="AG7255">
        <v>-1.111051718286</v>
      </c>
      <c r="AH7255">
        <v>17.2561977266814</v>
      </c>
      <c r="AI7255">
        <v>93.674031015488794</v>
      </c>
      <c r="AJ7255">
        <v>94.2094700048238</v>
      </c>
      <c r="AK7255">
        <v>17.338509394999299</v>
      </c>
      <c r="AL7255">
        <v>80.178910220092902</v>
      </c>
      <c r="AM7255">
        <v>96.710705770131895</v>
      </c>
      <c r="AN7255">
        <v>0.99999998490131903</v>
      </c>
    </row>
    <row r="7256" spans="1:40" x14ac:dyDescent="0.25">
      <c r="A7256" t="str">
        <f>"20190304155243107"</f>
        <v>20190304155243107</v>
      </c>
      <c r="B7256" t="str">
        <f>"1551685963104141"</f>
        <v>1551685963104141</v>
      </c>
      <c r="C7256" t="s">
        <v>40</v>
      </c>
      <c r="D7256">
        <v>4.8424319999999996</v>
      </c>
      <c r="E7256">
        <v>0.5181443</v>
      </c>
      <c r="F7256" t="s">
        <v>41</v>
      </c>
      <c r="G7256">
        <v>-187.28370000000001</v>
      </c>
      <c r="H7256" s="1">
        <v>-2.1970509999999998E-6</v>
      </c>
      <c r="I7256">
        <v>-16.368980000000001</v>
      </c>
      <c r="J7256">
        <v>-188.14150000000001</v>
      </c>
      <c r="K7256">
        <v>1.111086</v>
      </c>
      <c r="L7256">
        <v>-34.574710000000003</v>
      </c>
      <c r="M7256">
        <v>0.1178314</v>
      </c>
      <c r="N7256">
        <v>-1.075158E-2</v>
      </c>
      <c r="O7256">
        <v>0.99297539999999995</v>
      </c>
      <c r="P7256">
        <v>2.6641220000000001E-3</v>
      </c>
      <c r="Q7256">
        <v>0.160706399999999</v>
      </c>
      <c r="R7256">
        <v>0.98699870000000001</v>
      </c>
      <c r="S7256">
        <v>0.14709469999999999</v>
      </c>
      <c r="T7256">
        <v>-0.1849152</v>
      </c>
      <c r="U7256">
        <v>3.0687869999999999</v>
      </c>
      <c r="V7256">
        <v>-0.1140095</v>
      </c>
      <c r="W7256">
        <v>0.171006399999999</v>
      </c>
      <c r="X7256">
        <v>0.97865150000000001</v>
      </c>
      <c r="Y7256">
        <v>-7.0189230000000005E-2</v>
      </c>
      <c r="Z7256">
        <v>-4.8706779999999998E-2</v>
      </c>
      <c r="AA7256">
        <v>0.99634389999999995</v>
      </c>
      <c r="AB7256">
        <v>22</v>
      </c>
      <c r="AC7256">
        <v>0.85779999999999701</v>
      </c>
      <c r="AD7256">
        <v>-1.111088197051</v>
      </c>
      <c r="AE7256">
        <v>18.205729999999999</v>
      </c>
      <c r="AF7256">
        <v>-1.2887177936042</v>
      </c>
      <c r="AG7256">
        <v>-1.111088197051</v>
      </c>
      <c r="AH7256">
        <v>18.112655630844799</v>
      </c>
      <c r="AI7256">
        <v>93.501478056973298</v>
      </c>
      <c r="AJ7256">
        <v>94.069743901044006</v>
      </c>
      <c r="AK7256">
        <v>18.192405133317401</v>
      </c>
      <c r="AL7256">
        <v>80.153662139892504</v>
      </c>
      <c r="AM7256">
        <v>96.644807424575802</v>
      </c>
      <c r="AN7256">
        <v>1.00000005669172</v>
      </c>
    </row>
    <row r="7257" spans="1:40" x14ac:dyDescent="0.25">
      <c r="A7257" t="str">
        <f>"20190304155243127"</f>
        <v>20190304155243127</v>
      </c>
      <c r="B7257" t="str">
        <f>"1551685963123663"</f>
        <v>1551685963123663</v>
      </c>
      <c r="C7257" t="s">
        <v>40</v>
      </c>
      <c r="D7257">
        <v>4.848204</v>
      </c>
      <c r="E7257">
        <v>0.51865109999999903</v>
      </c>
      <c r="F7257" t="s">
        <v>41</v>
      </c>
      <c r="G7257">
        <v>-187.16919999999999</v>
      </c>
      <c r="H7257" s="1">
        <v>-2.8960880000000002E-6</v>
      </c>
      <c r="I7257">
        <v>-14.78687</v>
      </c>
      <c r="J7257">
        <v>-188.11959999999999</v>
      </c>
      <c r="K7257">
        <v>1.1111340000000001</v>
      </c>
      <c r="L7257">
        <v>-34.375609999999902</v>
      </c>
      <c r="M7257">
        <v>0.1162733</v>
      </c>
      <c r="N7257">
        <v>-1.069136E-2</v>
      </c>
      <c r="O7257">
        <v>0.99315969999999998</v>
      </c>
      <c r="P7257">
        <v>3.034887E-3</v>
      </c>
      <c r="Q7257">
        <v>0.16066229999999901</v>
      </c>
      <c r="R7257">
        <v>0.98700480000000002</v>
      </c>
      <c r="S7257">
        <v>0.15071109999999999</v>
      </c>
      <c r="T7257">
        <v>-0.17222019999999999</v>
      </c>
      <c r="U7257">
        <v>3.0671390000000001</v>
      </c>
      <c r="V7257">
        <v>-0.1121272</v>
      </c>
      <c r="W7257">
        <v>0.17089360000000001</v>
      </c>
      <c r="X7257">
        <v>0.9788886</v>
      </c>
      <c r="Y7257">
        <v>-6.7419859999999998E-2</v>
      </c>
      <c r="Z7257">
        <v>-4.4747990000000001E-2</v>
      </c>
      <c r="AA7257">
        <v>0.99672070000000001</v>
      </c>
      <c r="AB7257">
        <v>22</v>
      </c>
      <c r="AC7257">
        <v>0.95040000000000202</v>
      </c>
      <c r="AD7257">
        <v>-1.1111368960879999</v>
      </c>
      <c r="AE7257">
        <v>19.588739999999898</v>
      </c>
      <c r="AF7257">
        <v>-1.3295568758757801</v>
      </c>
      <c r="AG7257">
        <v>-1.1111368960879999</v>
      </c>
      <c r="AH7257">
        <v>19.503765321243399</v>
      </c>
      <c r="AI7257">
        <v>93.253104073693294</v>
      </c>
      <c r="AJ7257">
        <v>93.899776448878796</v>
      </c>
      <c r="AK7257">
        <v>19.580582432455198</v>
      </c>
      <c r="AL7257">
        <v>80.160221211002593</v>
      </c>
      <c r="AM7257">
        <v>96.534489180284595</v>
      </c>
      <c r="AN7257">
        <v>1.00000001135538</v>
      </c>
    </row>
    <row r="7258" spans="1:40" x14ac:dyDescent="0.25">
      <c r="A7258" t="str">
        <f>"20190304155243149"</f>
        <v>20190304155243149</v>
      </c>
      <c r="B7258" t="str">
        <f>"1551685963144158"</f>
        <v>1551685963144158</v>
      </c>
      <c r="C7258" t="s">
        <v>40</v>
      </c>
      <c r="D7258">
        <v>4.8618139999999999</v>
      </c>
      <c r="E7258">
        <v>0.519177</v>
      </c>
      <c r="F7258" t="s">
        <v>41</v>
      </c>
      <c r="G7258">
        <v>-187.08600000000001</v>
      </c>
      <c r="H7258" s="1">
        <v>-3.2802860000000002E-6</v>
      </c>
      <c r="I7258">
        <v>-13.92567</v>
      </c>
      <c r="J7258">
        <v>-188.09719999999999</v>
      </c>
      <c r="K7258">
        <v>1.1112010000000001</v>
      </c>
      <c r="L7258">
        <v>-34.167659999999998</v>
      </c>
      <c r="M7258">
        <v>0.1145433</v>
      </c>
      <c r="N7258">
        <v>-1.062342E-2</v>
      </c>
      <c r="O7258">
        <v>0.99336150000000001</v>
      </c>
      <c r="P7258">
        <v>2.780631E-3</v>
      </c>
      <c r="Q7258">
        <v>0.16009699999999999</v>
      </c>
      <c r="R7258">
        <v>0.98709740000000001</v>
      </c>
      <c r="S7258">
        <v>0.1549683</v>
      </c>
      <c r="T7258">
        <v>-0.16659669999999999</v>
      </c>
      <c r="U7258">
        <v>3.0661320000000001</v>
      </c>
      <c r="V7258">
        <v>-0.1107137</v>
      </c>
      <c r="W7258">
        <v>0.1702466</v>
      </c>
      <c r="X7258">
        <v>0.97916219999999998</v>
      </c>
      <c r="Y7258">
        <v>-6.4283270000000003E-2</v>
      </c>
      <c r="Z7258">
        <v>-4.3049280000000002E-2</v>
      </c>
      <c r="AA7258">
        <v>0.99700270000000002</v>
      </c>
      <c r="AB7258">
        <v>22</v>
      </c>
      <c r="AC7258">
        <v>1.0112000000000001</v>
      </c>
      <c r="AD7258">
        <v>-1.111204280286</v>
      </c>
      <c r="AE7258">
        <v>20.241989999999898</v>
      </c>
      <c r="AF7258">
        <v>-1.3102326315635899</v>
      </c>
      <c r="AG7258">
        <v>-1.111204280286</v>
      </c>
      <c r="AH7258">
        <v>20.163965783978501</v>
      </c>
      <c r="AI7258">
        <v>93.147664555711202</v>
      </c>
      <c r="AJ7258">
        <v>93.717791008960305</v>
      </c>
      <c r="AK7258">
        <v>20.237020547471801</v>
      </c>
      <c r="AL7258">
        <v>80.197843002024698</v>
      </c>
      <c r="AM7258">
        <v>96.451025290295604</v>
      </c>
      <c r="AN7258">
        <v>1.0000000210440401</v>
      </c>
    </row>
    <row r="7259" spans="1:40" x14ac:dyDescent="0.25">
      <c r="A7259" t="str">
        <f>"20190304155243170"</f>
        <v>20190304155243170</v>
      </c>
      <c r="B7259" t="str">
        <f>"1551685963163677"</f>
        <v>1551685963163677</v>
      </c>
      <c r="C7259" t="s">
        <v>40</v>
      </c>
      <c r="D7259">
        <v>4.8567790000000004</v>
      </c>
      <c r="E7259">
        <v>0.51958040000000005</v>
      </c>
      <c r="F7259" t="s">
        <v>41</v>
      </c>
      <c r="G7259">
        <v>-187.02369999999999</v>
      </c>
      <c r="H7259" s="1">
        <v>-3.5620599999999902E-6</v>
      </c>
      <c r="I7259">
        <v>-13.29461</v>
      </c>
      <c r="J7259">
        <v>-188.0745</v>
      </c>
      <c r="K7259">
        <v>1.1112789999999999</v>
      </c>
      <c r="L7259">
        <v>-33.952419999999996</v>
      </c>
      <c r="M7259">
        <v>0.1126342</v>
      </c>
      <c r="N7259">
        <v>-1.0549289999999999E-2</v>
      </c>
      <c r="O7259">
        <v>0.99358049999999998</v>
      </c>
      <c r="P7259">
        <v>2.4091719999999998E-3</v>
      </c>
      <c r="Q7259">
        <v>0.15823579999999901</v>
      </c>
      <c r="R7259">
        <v>0.98739840000000001</v>
      </c>
      <c r="S7259">
        <v>0.15763849999999999</v>
      </c>
      <c r="T7259">
        <v>-0.16318250000000001</v>
      </c>
      <c r="U7259">
        <v>3.0652469999999998</v>
      </c>
      <c r="V7259">
        <v>-0.1092673</v>
      </c>
      <c r="W7259">
        <v>0.1682949</v>
      </c>
      <c r="X7259">
        <v>0.97966189999999997</v>
      </c>
      <c r="Y7259">
        <v>-6.1483820000000002E-2</v>
      </c>
      <c r="Z7259">
        <v>-4.2062660000000002E-2</v>
      </c>
      <c r="AA7259">
        <v>0.99722140000000004</v>
      </c>
      <c r="AB7259">
        <v>22</v>
      </c>
      <c r="AC7259">
        <v>1.0508</v>
      </c>
      <c r="AD7259">
        <v>-1.11128256206</v>
      </c>
      <c r="AE7259">
        <v>20.657810000000001</v>
      </c>
      <c r="AF7259">
        <v>-1.27910090943767</v>
      </c>
      <c r="AG7259">
        <v>-1.11128256206</v>
      </c>
      <c r="AH7259">
        <v>20.5852848009824</v>
      </c>
      <c r="AI7259">
        <v>93.084137485096406</v>
      </c>
      <c r="AJ7259">
        <v>93.555597246679497</v>
      </c>
      <c r="AK7259">
        <v>20.654902527168201</v>
      </c>
      <c r="AL7259">
        <v>80.311304060069901</v>
      </c>
      <c r="AM7259">
        <v>96.364222502605102</v>
      </c>
      <c r="AN7259">
        <v>0.99999997726345402</v>
      </c>
    </row>
    <row r="7260" spans="1:40" x14ac:dyDescent="0.25">
      <c r="A7260" t="str">
        <f>"20190304155243193"</f>
        <v>20190304155243193</v>
      </c>
      <c r="B7260" t="str">
        <f>"1551685963184173"</f>
        <v>1551685963184173</v>
      </c>
      <c r="C7260" t="s">
        <v>40</v>
      </c>
      <c r="D7260">
        <v>4.8345750000000001</v>
      </c>
      <c r="E7260">
        <v>0.52001169999999997</v>
      </c>
      <c r="F7260" t="s">
        <v>41</v>
      </c>
      <c r="G7260">
        <v>-186.99700000000001</v>
      </c>
      <c r="H7260" s="1">
        <v>-3.5811089999999999E-6</v>
      </c>
      <c r="I7260">
        <v>-13.26127</v>
      </c>
      <c r="J7260">
        <v>-188.0522</v>
      </c>
      <c r="K7260">
        <v>1.1113580000000001</v>
      </c>
      <c r="L7260">
        <v>-33.735439999999997</v>
      </c>
      <c r="M7260">
        <v>0.11060540000000001</v>
      </c>
      <c r="N7260">
        <v>-1.047653E-2</v>
      </c>
      <c r="O7260">
        <v>0.99380919999999895</v>
      </c>
      <c r="P7260">
        <v>1.9442319999999999E-3</v>
      </c>
      <c r="Q7260">
        <v>0.156191</v>
      </c>
      <c r="R7260">
        <v>0.98772499999999996</v>
      </c>
      <c r="S7260">
        <v>0.15957639999999901</v>
      </c>
      <c r="T7260">
        <v>-0.1645761</v>
      </c>
      <c r="U7260">
        <v>3.06427</v>
      </c>
      <c r="V7260">
        <v>-0.1077951</v>
      </c>
      <c r="W7260">
        <v>0.1661629</v>
      </c>
      <c r="X7260">
        <v>0.98018879999999997</v>
      </c>
      <c r="Y7260">
        <v>-5.880254E-2</v>
      </c>
      <c r="Z7260">
        <v>-4.2621439999999997E-2</v>
      </c>
      <c r="AA7260">
        <v>0.99735929999999995</v>
      </c>
      <c r="AB7260">
        <v>22</v>
      </c>
      <c r="AC7260">
        <v>1.0551999999999799</v>
      </c>
      <c r="AD7260">
        <v>-1.1113615811090001</v>
      </c>
      <c r="AE7260">
        <v>20.474170000000001</v>
      </c>
      <c r="AF7260">
        <v>-1.2123902271775699</v>
      </c>
      <c r="AG7260">
        <v>-1.1113615811090001</v>
      </c>
      <c r="AH7260">
        <v>20.405288316576399</v>
      </c>
      <c r="AI7260">
        <v>93.112022187763003</v>
      </c>
      <c r="AJ7260">
        <v>93.400259440440294</v>
      </c>
      <c r="AK7260">
        <v>20.471463208806799</v>
      </c>
      <c r="AL7260">
        <v>80.435203535932402</v>
      </c>
      <c r="AM7260">
        <v>96.275816030436005</v>
      </c>
      <c r="AN7260">
        <v>0.99999998828292902</v>
      </c>
    </row>
    <row r="7261" spans="1:40" x14ac:dyDescent="0.25">
      <c r="A7261" t="str">
        <f>"20190304155243226"</f>
        <v>20190304155243226</v>
      </c>
      <c r="B7261" t="str">
        <f>"1551685963224189"</f>
        <v>1551685963224189</v>
      </c>
      <c r="C7261" t="s">
        <v>40</v>
      </c>
      <c r="D7261">
        <v>4.8710940000000003</v>
      </c>
      <c r="E7261">
        <v>0.5207174</v>
      </c>
      <c r="F7261" t="s">
        <v>41</v>
      </c>
      <c r="G7261">
        <v>-186.9717</v>
      </c>
      <c r="H7261" s="1">
        <v>-3.5881610000000002E-6</v>
      </c>
      <c r="I7261">
        <v>-13.255269999999999</v>
      </c>
      <c r="J7261">
        <v>-188.01990000000001</v>
      </c>
      <c r="K7261">
        <v>1.1114679999999999</v>
      </c>
      <c r="L7261">
        <v>-33.411409999999997</v>
      </c>
      <c r="M7261">
        <v>0.1073804</v>
      </c>
      <c r="N7261">
        <v>-1.0374889999999999E-2</v>
      </c>
      <c r="O7261">
        <v>0.99416389999999999</v>
      </c>
      <c r="P7261">
        <v>1.8153640000000001E-3</v>
      </c>
      <c r="Q7261">
        <v>0.1544547</v>
      </c>
      <c r="R7261">
        <v>0.98799820000000005</v>
      </c>
      <c r="S7261">
        <v>0.16160579999999999</v>
      </c>
      <c r="T7261">
        <v>-0.16622879999999901</v>
      </c>
      <c r="U7261">
        <v>3.0632630000000001</v>
      </c>
      <c r="V7261">
        <v>-0.1048134</v>
      </c>
      <c r="W7261">
        <v>0.1643086</v>
      </c>
      <c r="X7261">
        <v>0.98082460000000005</v>
      </c>
      <c r="Y7261">
        <v>-5.4890059999999997E-2</v>
      </c>
      <c r="Z7261">
        <v>-4.3305059999999999E-2</v>
      </c>
      <c r="AA7261">
        <v>0.99755289999999996</v>
      </c>
      <c r="AB7261">
        <v>22</v>
      </c>
      <c r="AC7261">
        <v>1.0482</v>
      </c>
      <c r="AD7261">
        <v>-1.111471588161</v>
      </c>
      <c r="AE7261">
        <v>20.156139999999901</v>
      </c>
      <c r="AF7261">
        <v>-1.1189588467764899</v>
      </c>
      <c r="AG7261">
        <v>-1.111471588161</v>
      </c>
      <c r="AH7261">
        <v>20.091219215571702</v>
      </c>
      <c r="AI7261">
        <v>93.161557657521001</v>
      </c>
      <c r="AJ7261">
        <v>93.187733623974495</v>
      </c>
      <c r="AK7261">
        <v>20.153027751686</v>
      </c>
      <c r="AL7261">
        <v>80.542928288484802</v>
      </c>
      <c r="AM7261">
        <v>96.099623922100093</v>
      </c>
      <c r="AN7261">
        <v>1.0000000304093299</v>
      </c>
    </row>
    <row r="7262" spans="1:40" x14ac:dyDescent="0.25">
      <c r="A7262" t="str">
        <f>"20190304155243249"</f>
        <v>20190304155243249</v>
      </c>
      <c r="B7262" t="str">
        <f>"1551685963243709"</f>
        <v>1551685963243709</v>
      </c>
      <c r="C7262" t="s">
        <v>40</v>
      </c>
      <c r="D7262">
        <v>4.8977789999999999</v>
      </c>
      <c r="E7262">
        <v>0.52101339999999996</v>
      </c>
      <c r="F7262" t="s">
        <v>41</v>
      </c>
      <c r="G7262">
        <v>-186.89789999999999</v>
      </c>
      <c r="H7262" s="1">
        <v>-3.8610330000000002E-6</v>
      </c>
      <c r="I7262">
        <v>-12.649699999999999</v>
      </c>
      <c r="J7262">
        <v>-187.99879999999999</v>
      </c>
      <c r="K7262">
        <v>1.111542</v>
      </c>
      <c r="L7262">
        <v>-33.191800000000001</v>
      </c>
      <c r="M7262">
        <v>0.105045</v>
      </c>
      <c r="N7262">
        <v>-1.0302270000000001E-2</v>
      </c>
      <c r="O7262">
        <v>0.99441409999999997</v>
      </c>
      <c r="P7262">
        <v>7.6944559999999999E-4</v>
      </c>
      <c r="Q7262">
        <v>0.15473770000000001</v>
      </c>
      <c r="R7262">
        <v>0.98795529999999998</v>
      </c>
      <c r="S7262">
        <v>0.16545099999999999</v>
      </c>
      <c r="T7262">
        <v>-0.1639109</v>
      </c>
      <c r="U7262">
        <v>3.0617679999999998</v>
      </c>
      <c r="V7262">
        <v>-0.10357329999999999</v>
      </c>
      <c r="W7262">
        <v>0.1645057</v>
      </c>
      <c r="X7262">
        <v>0.98092330000000005</v>
      </c>
      <c r="Y7262">
        <v>-5.1269559999999999E-2</v>
      </c>
      <c r="Z7262">
        <v>-4.2680349999999999E-2</v>
      </c>
      <c r="AA7262">
        <v>0.99777249999999995</v>
      </c>
      <c r="AB7262">
        <v>22</v>
      </c>
      <c r="AC7262">
        <v>1.10089999999999</v>
      </c>
      <c r="AD7262">
        <v>-1.111545861033</v>
      </c>
      <c r="AE7262">
        <v>20.542100000000001</v>
      </c>
      <c r="AF7262">
        <v>-1.0600559257587301</v>
      </c>
      <c r="AG7262">
        <v>-1.111545861033</v>
      </c>
      <c r="AH7262">
        <v>20.484282901295298</v>
      </c>
      <c r="AI7262">
        <v>93.101872336929105</v>
      </c>
      <c r="AJ7262">
        <v>92.962398025031007</v>
      </c>
      <c r="AK7262">
        <v>20.541789083407799</v>
      </c>
      <c r="AL7262">
        <v>80.531479566394495</v>
      </c>
      <c r="AM7262">
        <v>96.027388643200396</v>
      </c>
      <c r="AN7262">
        <v>1.00000003714413</v>
      </c>
    </row>
    <row r="7263" spans="1:40" x14ac:dyDescent="0.25">
      <c r="A7263" t="str">
        <f>"20190304155243271"</f>
        <v>20190304155243271</v>
      </c>
      <c r="B7263" t="str">
        <f>"1551685963264206"</f>
        <v>1551685963264206</v>
      </c>
      <c r="C7263" t="s">
        <v>40</v>
      </c>
      <c r="D7263">
        <v>4.8681939999999999</v>
      </c>
      <c r="E7263">
        <v>0.52127889999999999</v>
      </c>
      <c r="F7263" t="s">
        <v>41</v>
      </c>
      <c r="G7263">
        <v>-186.8588</v>
      </c>
      <c r="H7263" s="1">
        <v>-4.1910859999999996E-6</v>
      </c>
      <c r="I7263">
        <v>-11.896509999999999</v>
      </c>
      <c r="J7263">
        <v>-187.9785</v>
      </c>
      <c r="K7263">
        <v>1.111605</v>
      </c>
      <c r="L7263">
        <v>-32.973750000000003</v>
      </c>
      <c r="M7263">
        <v>0.1026232</v>
      </c>
      <c r="N7263">
        <v>-1.0225049999999999E-2</v>
      </c>
      <c r="O7263">
        <v>0.99466779999999999</v>
      </c>
      <c r="P7263">
        <v>-3.9892120000000001E-4</v>
      </c>
      <c r="Q7263">
        <v>0.15561129999999901</v>
      </c>
      <c r="R7263">
        <v>0.98781830000000004</v>
      </c>
      <c r="S7263">
        <v>0.16387939999999901</v>
      </c>
      <c r="T7263">
        <v>-0.15979860000000001</v>
      </c>
      <c r="U7263">
        <v>3.0614620000000001</v>
      </c>
      <c r="V7263">
        <v>-0.1023589</v>
      </c>
      <c r="W7263">
        <v>0.16528970000000001</v>
      </c>
      <c r="X7263">
        <v>0.98091890000000004</v>
      </c>
      <c r="Y7263">
        <v>-4.9341250000000003E-2</v>
      </c>
      <c r="Z7263">
        <v>-4.1459210000000003E-2</v>
      </c>
      <c r="AA7263">
        <v>0.99792110000000001</v>
      </c>
      <c r="AB7263">
        <v>22</v>
      </c>
      <c r="AC7263">
        <v>1.1196999999999899</v>
      </c>
      <c r="AD7263">
        <v>-1.111609191086</v>
      </c>
      <c r="AE7263">
        <v>21.07724</v>
      </c>
      <c r="AF7263">
        <v>-1.0464366245688601</v>
      </c>
      <c r="AG7263">
        <v>-1.111609191086</v>
      </c>
      <c r="AH7263">
        <v>21.022550716690599</v>
      </c>
      <c r="AI7263">
        <v>93.023073546438496</v>
      </c>
      <c r="AJ7263">
        <v>92.849652151921404</v>
      </c>
      <c r="AK7263">
        <v>21.0779112636612</v>
      </c>
      <c r="AL7263">
        <v>80.4859354662551</v>
      </c>
      <c r="AM7263">
        <v>95.957255067838403</v>
      </c>
      <c r="AN7263">
        <v>0.99999995885625403</v>
      </c>
    </row>
    <row r="7264" spans="1:40" x14ac:dyDescent="0.25">
      <c r="A7264" t="str">
        <f>"20190304155243296"</f>
        <v>20190304155243296</v>
      </c>
      <c r="B7264" t="str">
        <f>"1551685963283725"</f>
        <v>1551685963283725</v>
      </c>
      <c r="C7264" t="s">
        <v>40</v>
      </c>
      <c r="D7264">
        <v>4.868906</v>
      </c>
      <c r="E7264">
        <v>0.5215535</v>
      </c>
      <c r="F7264" t="s">
        <v>41</v>
      </c>
      <c r="G7264">
        <v>-186.80879999999999</v>
      </c>
      <c r="H7264" s="1">
        <v>-4.6431149999999998E-6</v>
      </c>
      <c r="I7264">
        <v>-10.863490000000001</v>
      </c>
      <c r="J7264">
        <v>-187.95689999999999</v>
      </c>
      <c r="K7264">
        <v>1.1116509999999999</v>
      </c>
      <c r="L7264">
        <v>-32.734340000000003</v>
      </c>
      <c r="M7264">
        <v>9.9888539999999998E-2</v>
      </c>
      <c r="N7264">
        <v>-1.0143579999999999E-2</v>
      </c>
      <c r="O7264">
        <v>0.99494700000000003</v>
      </c>
      <c r="P7264">
        <v>-2.9618320000000002E-3</v>
      </c>
      <c r="Q7264">
        <v>0.15594910000000001</v>
      </c>
      <c r="R7264">
        <v>0.98776070000000005</v>
      </c>
      <c r="S7264">
        <v>0.16194149999999999</v>
      </c>
      <c r="T7264">
        <v>-0.15390960000000001</v>
      </c>
      <c r="U7264">
        <v>3.0613100000000002</v>
      </c>
      <c r="V7264">
        <v>-0.102227</v>
      </c>
      <c r="W7264">
        <v>0.16553319999999999</v>
      </c>
      <c r="X7264">
        <v>0.98089159999999997</v>
      </c>
      <c r="Y7264">
        <v>-4.7220110000000003E-2</v>
      </c>
      <c r="Z7264">
        <v>-3.9666800000000002E-2</v>
      </c>
      <c r="AA7264">
        <v>0.9980966</v>
      </c>
      <c r="AB7264">
        <v>22</v>
      </c>
      <c r="AC7264">
        <v>1.1480999999999899</v>
      </c>
      <c r="AD7264">
        <v>-1.111655643115</v>
      </c>
      <c r="AE7264">
        <v>21.870850000000001</v>
      </c>
      <c r="AF7264">
        <v>-1.0397234290196999</v>
      </c>
      <c r="AG7264">
        <v>-1.111655643115</v>
      </c>
      <c r="AH7264">
        <v>21.819925546957599</v>
      </c>
      <c r="AI7264">
        <v>92.913215991871098</v>
      </c>
      <c r="AJ7264">
        <v>92.728090838356295</v>
      </c>
      <c r="AK7264">
        <v>21.8729502800261</v>
      </c>
      <c r="AL7264">
        <v>80.471789134565199</v>
      </c>
      <c r="AM7264">
        <v>95.949798031291905</v>
      </c>
      <c r="AN7264">
        <v>0.99999996539089897</v>
      </c>
    </row>
    <row r="7265" spans="1:40" x14ac:dyDescent="0.25">
      <c r="A7265" t="str">
        <f>"20190304155243317"</f>
        <v>20190304155243317</v>
      </c>
      <c r="B7265" t="str">
        <f>"1551685963313981"</f>
        <v>1551685963313981</v>
      </c>
      <c r="C7265" t="s">
        <v>40</v>
      </c>
      <c r="D7265">
        <v>4.9052410000000002</v>
      </c>
      <c r="E7265">
        <v>0.52190539999999996</v>
      </c>
      <c r="F7265" t="s">
        <v>41</v>
      </c>
      <c r="G7265">
        <v>-186.7988</v>
      </c>
      <c r="H7265" s="1">
        <v>-9.5896030000000003E-7</v>
      </c>
      <c r="I7265">
        <v>-10.03694</v>
      </c>
      <c r="J7265">
        <v>-187.93770000000001</v>
      </c>
      <c r="K7265">
        <v>1.111683</v>
      </c>
      <c r="L7265">
        <v>-32.513849999999998</v>
      </c>
      <c r="M7265">
        <v>9.7328579999999998E-2</v>
      </c>
      <c r="N7265">
        <v>-1.007656E-2</v>
      </c>
      <c r="O7265">
        <v>0.99520129999999996</v>
      </c>
      <c r="P7265">
        <v>-5.0809940000000001E-3</v>
      </c>
      <c r="Q7265">
        <v>0.155646799999999</v>
      </c>
      <c r="R7265">
        <v>0.98779969999999995</v>
      </c>
      <c r="S7265">
        <v>0.15620419999999999</v>
      </c>
      <c r="T7265">
        <v>-0.14993389999999901</v>
      </c>
      <c r="U7265">
        <v>3.0613100000000002</v>
      </c>
      <c r="V7265">
        <v>-0.1018261</v>
      </c>
      <c r="W7265">
        <v>0.165158</v>
      </c>
      <c r="X7265">
        <v>0.9809966</v>
      </c>
      <c r="Y7265">
        <v>-4.651404E-2</v>
      </c>
      <c r="Z7265">
        <v>-3.8470549999999999E-2</v>
      </c>
      <c r="AA7265">
        <v>0.99817659999999997</v>
      </c>
      <c r="AB7265">
        <v>22</v>
      </c>
      <c r="AC7265">
        <v>1.1389</v>
      </c>
      <c r="AD7265">
        <v>-1.1116839589603</v>
      </c>
      <c r="AE7265">
        <v>22.47691</v>
      </c>
      <c r="AF7265">
        <v>-1.05169842661248</v>
      </c>
      <c r="AG7265">
        <v>-1.1116839589603</v>
      </c>
      <c r="AH7265">
        <v>22.426320274536</v>
      </c>
      <c r="AI7265">
        <v>92.834747360789095</v>
      </c>
      <c r="AJ7265">
        <v>92.684959699562199</v>
      </c>
      <c r="AK7265">
        <v>22.478473076728601</v>
      </c>
      <c r="AL7265">
        <v>80.493587104455699</v>
      </c>
      <c r="AM7265">
        <v>95.926001487983797</v>
      </c>
      <c r="AN7265">
        <v>1.00000002440838</v>
      </c>
    </row>
    <row r="7266" spans="1:40" x14ac:dyDescent="0.25">
      <c r="A7266" t="str">
        <f>"20190304155243339"</f>
        <v>20190304155243339</v>
      </c>
      <c r="B7266" t="str">
        <f>"1551685963333501"</f>
        <v>1551685963333501</v>
      </c>
      <c r="C7266" t="s">
        <v>40</v>
      </c>
      <c r="D7266">
        <v>4.9233019999999996</v>
      </c>
      <c r="E7266">
        <v>0.52216189999999996</v>
      </c>
      <c r="F7266" t="s">
        <v>41</v>
      </c>
      <c r="G7266">
        <v>-186.76820000000001</v>
      </c>
      <c r="H7266" s="1">
        <v>-1.2316110000000001E-6</v>
      </c>
      <c r="I7266">
        <v>-9.2596190000000007</v>
      </c>
      <c r="J7266">
        <v>-187.92019999999999</v>
      </c>
      <c r="K7266">
        <v>1.1116950000000001</v>
      </c>
      <c r="L7266">
        <v>-32.307980000000001</v>
      </c>
      <c r="M7266">
        <v>9.4918859999999994E-2</v>
      </c>
      <c r="N7266">
        <v>-1.001791E-2</v>
      </c>
      <c r="O7266">
        <v>0.99543459999999995</v>
      </c>
      <c r="P7266">
        <v>-7.7789309999999898E-3</v>
      </c>
      <c r="Q7266">
        <v>0.15576400000000001</v>
      </c>
      <c r="R7266">
        <v>0.98776359999999996</v>
      </c>
      <c r="S7266">
        <v>0.1539307</v>
      </c>
      <c r="T7266">
        <v>-0.14632890000000001</v>
      </c>
      <c r="U7266">
        <v>3.0609130000000002</v>
      </c>
      <c r="V7266">
        <v>-0.1021367</v>
      </c>
      <c r="W7266">
        <v>0.16521159999999999</v>
      </c>
      <c r="X7266">
        <v>0.98095520000000003</v>
      </c>
      <c r="Y7266">
        <v>-4.4827209999999999E-2</v>
      </c>
      <c r="Z7266">
        <v>-3.7389260000000001E-2</v>
      </c>
      <c r="AA7266">
        <v>0.99829480000000004</v>
      </c>
      <c r="AB7266">
        <v>22</v>
      </c>
      <c r="AC7266">
        <v>1.1519999999999799</v>
      </c>
      <c r="AD7266">
        <v>-1.111696231611</v>
      </c>
      <c r="AE7266">
        <v>23.048361</v>
      </c>
      <c r="AF7266">
        <v>-1.03862545575739</v>
      </c>
      <c r="AG7266">
        <v>-1.111696231611</v>
      </c>
      <c r="AH7266">
        <v>23.000264050969001</v>
      </c>
      <c r="AI7266">
        <v>92.764371632698598</v>
      </c>
      <c r="AJ7266">
        <v>92.585555319964001</v>
      </c>
      <c r="AK7266">
        <v>23.050526192757999</v>
      </c>
      <c r="AL7266">
        <v>80.490472477601799</v>
      </c>
      <c r="AM7266">
        <v>95.944197402385001</v>
      </c>
      <c r="AN7266">
        <v>0.99999994133424297</v>
      </c>
    </row>
    <row r="7267" spans="1:40" x14ac:dyDescent="0.25">
      <c r="A7267" t="str">
        <f>"20190304155243361"</f>
        <v>20190304155243361</v>
      </c>
      <c r="B7267" t="str">
        <f>"1551685963353997"</f>
        <v>1551685963353997</v>
      </c>
      <c r="C7267" t="s">
        <v>40</v>
      </c>
      <c r="D7267">
        <v>4.9079629999999996</v>
      </c>
      <c r="E7267">
        <v>0.52254269999999903</v>
      </c>
      <c r="F7267" t="s">
        <v>41</v>
      </c>
      <c r="G7267">
        <v>-186.76390000000001</v>
      </c>
      <c r="H7267" s="1">
        <v>-1.4812910000000001E-6</v>
      </c>
      <c r="I7267">
        <v>-8.5292940000000002</v>
      </c>
      <c r="J7267">
        <v>-187.9024</v>
      </c>
      <c r="K7267">
        <v>1.1116969999999999</v>
      </c>
      <c r="L7267">
        <v>-32.089939999999999</v>
      </c>
      <c r="M7267">
        <v>9.2358700000000002E-2</v>
      </c>
      <c r="N7267">
        <v>-9.9558900000000002E-3</v>
      </c>
      <c r="O7267">
        <v>0.99567600000000001</v>
      </c>
      <c r="P7267">
        <v>-1.010347E-2</v>
      </c>
      <c r="Q7267">
        <v>0.1558872</v>
      </c>
      <c r="R7267">
        <v>0.98772320000000002</v>
      </c>
      <c r="S7267">
        <v>0.1488495</v>
      </c>
      <c r="T7267">
        <v>-0.14310320000000001</v>
      </c>
      <c r="U7267">
        <v>3.0609130000000002</v>
      </c>
      <c r="V7267">
        <v>-0.10192279999999999</v>
      </c>
      <c r="W7267">
        <v>0.16527320000000001</v>
      </c>
      <c r="X7267">
        <v>0.98096719999999904</v>
      </c>
      <c r="Y7267">
        <v>-4.3910100000000001E-2</v>
      </c>
      <c r="Z7267">
        <v>-3.6426880000000002E-2</v>
      </c>
      <c r="AA7267">
        <v>0.99837120000000001</v>
      </c>
      <c r="AB7267">
        <v>22</v>
      </c>
      <c r="AC7267">
        <v>1.1384999999999901</v>
      </c>
      <c r="AD7267">
        <v>-1.111698481291</v>
      </c>
      <c r="AE7267">
        <v>23.560645999999998</v>
      </c>
      <c r="AF7267">
        <v>-1.0401947299165499</v>
      </c>
      <c r="AG7267">
        <v>-1.111698481291</v>
      </c>
      <c r="AH7267">
        <v>23.5128620357318</v>
      </c>
      <c r="AI7267">
        <v>92.704312722552302</v>
      </c>
      <c r="AJ7267">
        <v>92.533078817679097</v>
      </c>
      <c r="AK7267">
        <v>23.562100069832599</v>
      </c>
      <c r="AL7267">
        <v>80.486895074782296</v>
      </c>
      <c r="AM7267">
        <v>95.931765563977507</v>
      </c>
      <c r="AN7267">
        <v>1.00000006763695</v>
      </c>
    </row>
    <row r="7268" spans="1:40" x14ac:dyDescent="0.25">
      <c r="A7268" t="str">
        <f>"20190304155243376"</f>
        <v>20190304155243376</v>
      </c>
      <c r="B7268" t="str">
        <f>"1551685963373518"</f>
        <v>1551685963373518</v>
      </c>
      <c r="C7268" t="s">
        <v>40</v>
      </c>
      <c r="D7268">
        <v>4.9222190000000001</v>
      </c>
      <c r="E7268">
        <v>0.52263779999999904</v>
      </c>
      <c r="F7268" t="s">
        <v>41</v>
      </c>
      <c r="G7268">
        <v>-186.74860000000001</v>
      </c>
      <c r="H7268" s="1">
        <v>-1.7127149999999999E-6</v>
      </c>
      <c r="I7268">
        <v>-7.8612259999999896</v>
      </c>
      <c r="J7268">
        <v>-187.8904</v>
      </c>
      <c r="K7268">
        <v>1.1116919999999999</v>
      </c>
      <c r="L7268">
        <v>-31.938929999999999</v>
      </c>
      <c r="M7268">
        <v>9.0587490000000007E-2</v>
      </c>
      <c r="N7268">
        <v>-9.9145420000000001E-3</v>
      </c>
      <c r="O7268">
        <v>0.99583909999999998</v>
      </c>
      <c r="P7268">
        <v>-1.2164650000000001E-2</v>
      </c>
      <c r="Q7268">
        <v>0.15596479999999999</v>
      </c>
      <c r="R7268">
        <v>0.98768769999999995</v>
      </c>
      <c r="S7268">
        <v>0.14576720000000001</v>
      </c>
      <c r="T7268">
        <v>-0.14044690000000001</v>
      </c>
      <c r="U7268">
        <v>3.0609440000000001</v>
      </c>
      <c r="V7268">
        <v>-0.1022243</v>
      </c>
      <c r="W7268">
        <v>0.16530899999999901</v>
      </c>
      <c r="X7268">
        <v>0.98092970000000002</v>
      </c>
      <c r="Y7268">
        <v>-4.313558E-2</v>
      </c>
      <c r="Z7268">
        <v>-3.5620869999999999E-2</v>
      </c>
      <c r="AA7268">
        <v>0.99843400000000004</v>
      </c>
      <c r="AB7268">
        <v>22</v>
      </c>
      <c r="AC7268">
        <v>1.1417999999999799</v>
      </c>
      <c r="AD7268">
        <v>-1.1116937127149999</v>
      </c>
      <c r="AE7268">
        <v>24.077704000000001</v>
      </c>
      <c r="AF7268">
        <v>-1.04192489601083</v>
      </c>
      <c r="AG7268">
        <v>-1.1116937127149999</v>
      </c>
      <c r="AH7268">
        <v>24.031023022849201</v>
      </c>
      <c r="AI7268">
        <v>92.646176196102104</v>
      </c>
      <c r="AJ7268">
        <v>92.482646413018898</v>
      </c>
      <c r="AK7268">
        <v>24.079276108814501</v>
      </c>
      <c r="AL7268">
        <v>80.484814385195804</v>
      </c>
      <c r="AM7268">
        <v>95.949412582844104</v>
      </c>
      <c r="AN7268">
        <v>0.99999997466678903</v>
      </c>
    </row>
    <row r="7269" spans="1:40" x14ac:dyDescent="0.25">
      <c r="A7269" t="str">
        <f>"20190304155243394"</f>
        <v>20190304155243394</v>
      </c>
      <c r="B7269" t="str">
        <f>"1551685963384253"</f>
        <v>1551685963384253</v>
      </c>
      <c r="C7269" t="s">
        <v>40</v>
      </c>
      <c r="D7269">
        <v>5.0060419999999999</v>
      </c>
      <c r="E7269">
        <v>0.52245450000000004</v>
      </c>
      <c r="F7269" t="s">
        <v>41</v>
      </c>
      <c r="G7269">
        <v>-186.7621</v>
      </c>
      <c r="H7269" s="1">
        <v>-1.890027E-6</v>
      </c>
      <c r="I7269">
        <v>-7.3296179999999902</v>
      </c>
      <c r="J7269">
        <v>-187.87620000000001</v>
      </c>
      <c r="K7269">
        <v>1.111677</v>
      </c>
      <c r="L7269">
        <v>-31.757539999999999</v>
      </c>
      <c r="M7269">
        <v>8.8466639999999999E-2</v>
      </c>
      <c r="N7269">
        <v>-9.8685639999999998E-3</v>
      </c>
      <c r="O7269">
        <v>0.99603030000000004</v>
      </c>
      <c r="P7269">
        <v>-1.482991E-2</v>
      </c>
      <c r="Q7269">
        <v>0.1557357</v>
      </c>
      <c r="R7269">
        <v>0.98768750000000005</v>
      </c>
      <c r="S7269">
        <v>0.14033509999999999</v>
      </c>
      <c r="T7269">
        <v>-0.1382755</v>
      </c>
      <c r="U7269">
        <v>3.0609739999999999</v>
      </c>
      <c r="V7269">
        <v>-0.102783399999999</v>
      </c>
      <c r="W7269">
        <v>0.1650334</v>
      </c>
      <c r="X7269">
        <v>0.9809177</v>
      </c>
      <c r="Y7269">
        <v>-4.2775760000000003E-2</v>
      </c>
      <c r="Z7269">
        <v>-3.4977689999999999E-2</v>
      </c>
      <c r="AA7269">
        <v>0.99847220000000003</v>
      </c>
      <c r="AB7269">
        <v>22</v>
      </c>
      <c r="AC7269">
        <v>1.1141000000000001</v>
      </c>
      <c r="AD7269">
        <v>-1.111678890027</v>
      </c>
      <c r="AE7269">
        <v>24.427921999999999</v>
      </c>
      <c r="AF7269">
        <v>-1.04926143740079</v>
      </c>
      <c r="AG7269">
        <v>-1.111678890027</v>
      </c>
      <c r="AH7269">
        <v>24.3803122188069</v>
      </c>
      <c r="AI7269">
        <v>92.608319220022196</v>
      </c>
      <c r="AJ7269">
        <v>92.464331692247697</v>
      </c>
      <c r="AK7269">
        <v>24.428188704958298</v>
      </c>
      <c r="AL7269">
        <v>80.500825178924799</v>
      </c>
      <c r="AM7269">
        <v>95.981789328490606</v>
      </c>
      <c r="AN7269">
        <v>0.99999999230220404</v>
      </c>
    </row>
    <row r="7270" spans="1:40" x14ac:dyDescent="0.25">
      <c r="A7270" t="str">
        <f>"20190304155243418"</f>
        <v>20190304155243418</v>
      </c>
      <c r="B7270" t="str">
        <f>"1551685963413534"</f>
        <v>1551685963413534</v>
      </c>
      <c r="C7270" t="s">
        <v>40</v>
      </c>
      <c r="D7270">
        <v>4.9836919999999996</v>
      </c>
      <c r="E7270">
        <v>0.50796579999999902</v>
      </c>
      <c r="F7270" t="s">
        <v>41</v>
      </c>
      <c r="G7270">
        <v>-186.82259999999999</v>
      </c>
      <c r="H7270" s="1">
        <v>-1.9817969999999999E-6</v>
      </c>
      <c r="I7270">
        <v>-7.0614140000000001</v>
      </c>
      <c r="J7270">
        <v>-187.85890000000001</v>
      </c>
      <c r="K7270">
        <v>1.1116649999999999</v>
      </c>
      <c r="L7270">
        <v>-31.527650000000001</v>
      </c>
      <c r="M7270">
        <v>8.5796040000000004E-2</v>
      </c>
      <c r="N7270">
        <v>-9.8175970000000008E-3</v>
      </c>
      <c r="O7270">
        <v>0.99626429999999999</v>
      </c>
      <c r="P7270">
        <v>-1.8462180000000002E-2</v>
      </c>
      <c r="Q7270">
        <v>0.15513640000000001</v>
      </c>
      <c r="R7270">
        <v>0.9877205</v>
      </c>
      <c r="S7270">
        <v>0.13059999999999999</v>
      </c>
      <c r="T7270">
        <v>-0.1377932</v>
      </c>
      <c r="U7270">
        <v>3.061096</v>
      </c>
      <c r="V7270">
        <v>-0.10376489999999999</v>
      </c>
      <c r="W7270">
        <v>0.16438239999999901</v>
      </c>
      <c r="X7270">
        <v>0.98092369999999995</v>
      </c>
      <c r="Y7270">
        <v>-4.326808E-2</v>
      </c>
      <c r="Z7270">
        <v>-3.4887099999999997E-2</v>
      </c>
      <c r="AA7270">
        <v>0.99845419999999996</v>
      </c>
      <c r="AB7270">
        <v>22</v>
      </c>
      <c r="AC7270">
        <v>1.03630000000001</v>
      </c>
      <c r="AD7270">
        <v>-1.111666981797</v>
      </c>
      <c r="AE7270">
        <v>24.466235999999999</v>
      </c>
      <c r="AF7270">
        <v>-1.06453513281315</v>
      </c>
      <c r="AG7270">
        <v>-1.111666981797</v>
      </c>
      <c r="AH7270">
        <v>24.414614455235998</v>
      </c>
      <c r="AI7270">
        <v>92.604568194172899</v>
      </c>
      <c r="AJ7270">
        <v>92.4966505834809</v>
      </c>
      <c r="AK7270">
        <v>24.4630831565694</v>
      </c>
      <c r="AL7270">
        <v>80.538641440695798</v>
      </c>
      <c r="AM7270">
        <v>96.0384539449703</v>
      </c>
      <c r="AN7270">
        <v>1.00000001656172</v>
      </c>
    </row>
    <row r="7271" spans="1:40" x14ac:dyDescent="0.25">
      <c r="A7271" t="str">
        <f>"20190304155243442"</f>
        <v>20190304155243442</v>
      </c>
      <c r="B7271" t="str">
        <f>"1551685963434029"</f>
        <v>1551685963434029</v>
      </c>
      <c r="C7271" t="s">
        <v>40</v>
      </c>
      <c r="D7271">
        <v>4.9870739999999998</v>
      </c>
      <c r="E7271">
        <v>0.50723929999999995</v>
      </c>
      <c r="F7271" t="s">
        <v>84</v>
      </c>
      <c r="G7271">
        <v>-187.58789999999999</v>
      </c>
      <c r="H7271" s="1">
        <v>-6.9283849999999901E-6</v>
      </c>
      <c r="I7271">
        <v>135.6788</v>
      </c>
      <c r="J7271">
        <v>-187.8415</v>
      </c>
      <c r="K7271">
        <v>1.111656</v>
      </c>
      <c r="L7271">
        <v>-31.28839</v>
      </c>
      <c r="M7271">
        <v>8.3036479999999996E-2</v>
      </c>
      <c r="N7271">
        <v>-9.7712130000000008E-3</v>
      </c>
      <c r="O7271">
        <v>0.99649860000000001</v>
      </c>
      <c r="P7271">
        <v>-2.2173620000000002E-2</v>
      </c>
      <c r="Q7271">
        <v>0.1557799</v>
      </c>
      <c r="R7271">
        <v>0.9875429</v>
      </c>
      <c r="S7271">
        <v>4.9285889999999997E-3</v>
      </c>
      <c r="T7271">
        <v>-2.0215150000000001E-2</v>
      </c>
      <c r="U7271">
        <v>3.0405579999999999</v>
      </c>
      <c r="V7271">
        <v>-0.10472720000000001</v>
      </c>
      <c r="W7271">
        <v>0.1649764</v>
      </c>
      <c r="X7271">
        <v>0.98072170000000003</v>
      </c>
      <c r="Y7271">
        <v>-8.1418459999999998E-2</v>
      </c>
      <c r="Z7271">
        <v>3.1677820000000001E-3</v>
      </c>
      <c r="AA7271">
        <v>0.99667499999999998</v>
      </c>
      <c r="AB7271">
        <v>22</v>
      </c>
      <c r="AC7271">
        <v>0.25360000000000499</v>
      </c>
      <c r="AD7271">
        <v>-1.1116629283849999</v>
      </c>
      <c r="AE7271">
        <v>166.96718999999999</v>
      </c>
      <c r="AF7271">
        <v>-13.6117021905598</v>
      </c>
      <c r="AG7271">
        <v>-1.1116629283849999</v>
      </c>
      <c r="AH7271">
        <v>166.40419762834</v>
      </c>
      <c r="AI7271">
        <v>90.3814845465198</v>
      </c>
      <c r="AJ7271">
        <v>94.676327916606894</v>
      </c>
      <c r="AK7271">
        <v>166.96368233637699</v>
      </c>
      <c r="AL7271">
        <v>80.504136748617597</v>
      </c>
      <c r="AM7271">
        <v>96.095279929787594</v>
      </c>
      <c r="AN7271">
        <v>1.00000002591384</v>
      </c>
    </row>
    <row r="7272" spans="1:40" x14ac:dyDescent="0.25">
      <c r="A7272" t="str">
        <f>"20190304155243463"</f>
        <v>20190304155243463</v>
      </c>
      <c r="B7272" t="str">
        <f>"1551685963453550"</f>
        <v>1551685963453550</v>
      </c>
      <c r="C7272" t="s">
        <v>40</v>
      </c>
      <c r="D7272">
        <v>5.0102029999999997</v>
      </c>
      <c r="E7272">
        <v>0.50812820000000003</v>
      </c>
      <c r="F7272" t="s">
        <v>41</v>
      </c>
      <c r="G7272">
        <v>-188.11109999999999</v>
      </c>
      <c r="H7272" s="1">
        <v>-3.3118190000000001E-6</v>
      </c>
      <c r="I7272">
        <v>36.571669999999997</v>
      </c>
      <c r="J7272">
        <v>-187.82689999999999</v>
      </c>
      <c r="K7272">
        <v>1.1116569999999999</v>
      </c>
      <c r="L7272">
        <v>-31.080469999999998</v>
      </c>
      <c r="M7272">
        <v>8.0652740000000001E-2</v>
      </c>
      <c r="N7272">
        <v>-9.7353379999999996E-3</v>
      </c>
      <c r="O7272">
        <v>0.99669470000000004</v>
      </c>
      <c r="P7272">
        <v>-2.5545579999999998E-2</v>
      </c>
      <c r="Q7272">
        <v>0.15686989999999901</v>
      </c>
      <c r="R7272">
        <v>0.98728879999999997</v>
      </c>
      <c r="S7272">
        <v>-1.210022E-2</v>
      </c>
      <c r="T7272">
        <v>-4.9889330000000003E-2</v>
      </c>
      <c r="U7272">
        <v>3.0454409999999998</v>
      </c>
      <c r="V7272">
        <v>-0.1057207</v>
      </c>
      <c r="W7272">
        <v>0.16602510000000001</v>
      </c>
      <c r="X7272">
        <v>0.98043809999999998</v>
      </c>
      <c r="Y7272">
        <v>-8.4605310000000003E-2</v>
      </c>
      <c r="Z7272">
        <v>-6.5336040000000001E-3</v>
      </c>
      <c r="AA7272">
        <v>0.99639310000000003</v>
      </c>
      <c r="AB7272">
        <v>22</v>
      </c>
      <c r="AC7272">
        <v>-0.28419999999999801</v>
      </c>
      <c r="AD7272">
        <v>-1.1116603118189901</v>
      </c>
      <c r="AE7272">
        <v>67.652140000000003</v>
      </c>
      <c r="AF7272">
        <v>-5.73831381844726</v>
      </c>
      <c r="AG7272">
        <v>-1.1116603118189901</v>
      </c>
      <c r="AH7272">
        <v>67.390607610361897</v>
      </c>
      <c r="AI7272">
        <v>90.941645650369907</v>
      </c>
      <c r="AJ7272">
        <v>94.866998551180004</v>
      </c>
      <c r="AK7272">
        <v>67.643610402030006</v>
      </c>
      <c r="AL7272">
        <v>80.443210548145004</v>
      </c>
      <c r="AM7272">
        <v>96.154427733824207</v>
      </c>
      <c r="AN7272">
        <v>1.0000000340850499</v>
      </c>
    </row>
    <row r="7273" spans="1:40" x14ac:dyDescent="0.25">
      <c r="A7273" t="str">
        <f>"20190304155243485"</f>
        <v>20190304155243485</v>
      </c>
      <c r="B7273" t="str">
        <f>"1551685963474045"</f>
        <v>1551685963474045</v>
      </c>
      <c r="C7273" t="s">
        <v>40</v>
      </c>
      <c r="D7273">
        <v>4.9768670000000004</v>
      </c>
      <c r="E7273">
        <v>0.50834690000000005</v>
      </c>
      <c r="F7273" t="s">
        <v>41</v>
      </c>
      <c r="G7273">
        <v>-188.10040000000001</v>
      </c>
      <c r="H7273" s="1">
        <v>-1.3878850000000001E-6</v>
      </c>
      <c r="I7273">
        <v>22.082519999999999</v>
      </c>
      <c r="J7273">
        <v>-187.81180000000001</v>
      </c>
      <c r="K7273">
        <v>1.1116539999999999</v>
      </c>
      <c r="L7273">
        <v>-30.857790000000001</v>
      </c>
      <c r="M7273">
        <v>7.8108300000000006E-2</v>
      </c>
      <c r="N7273">
        <v>-9.6972280000000004E-3</v>
      </c>
      <c r="O7273">
        <v>0.9968977</v>
      </c>
      <c r="P7273">
        <v>-2.8251890000000002E-2</v>
      </c>
      <c r="Q7273">
        <v>0.1582335</v>
      </c>
      <c r="R7273">
        <v>0.98699749999999997</v>
      </c>
      <c r="S7273">
        <v>-1.5686039999999998E-2</v>
      </c>
      <c r="T7273">
        <v>-6.3741919999999994E-2</v>
      </c>
      <c r="U7273">
        <v>3.04834</v>
      </c>
      <c r="V7273">
        <v>-0.1058935</v>
      </c>
      <c r="W7273">
        <v>0.16734859999999999</v>
      </c>
      <c r="X7273">
        <v>0.98019440000000002</v>
      </c>
      <c r="Y7273">
        <v>-8.3228239999999995E-2</v>
      </c>
      <c r="Z7273">
        <v>-1.107555E-2</v>
      </c>
      <c r="AA7273">
        <v>0.99646900000000005</v>
      </c>
      <c r="AB7273">
        <v>22</v>
      </c>
      <c r="AC7273">
        <v>-0.28860000000000202</v>
      </c>
      <c r="AD7273">
        <v>-1.111655387885</v>
      </c>
      <c r="AE7273">
        <v>52.940309999999997</v>
      </c>
      <c r="AF7273">
        <v>-4.4210410287053001</v>
      </c>
      <c r="AG7273">
        <v>-1.111655387885</v>
      </c>
      <c r="AH7273">
        <v>52.732761992263001</v>
      </c>
      <c r="AI7273">
        <v>91.203448328541896</v>
      </c>
      <c r="AJ7273">
        <v>94.792390577142996</v>
      </c>
      <c r="AK7273">
        <v>52.9294395285985</v>
      </c>
      <c r="AL7273">
        <v>80.366303551083007</v>
      </c>
      <c r="AM7273">
        <v>96.165930548741997</v>
      </c>
      <c r="AN7273">
        <v>1.00000002452778</v>
      </c>
    </row>
    <row r="7274" spans="1:40" x14ac:dyDescent="0.25">
      <c r="A7274" t="str">
        <f>"20190304155243510"</f>
        <v>20190304155243510</v>
      </c>
      <c r="B7274" t="str">
        <f>"1551685963504301"</f>
        <v>1551685963504301</v>
      </c>
      <c r="C7274" t="s">
        <v>40</v>
      </c>
      <c r="D7274">
        <v>4.9666139999999999</v>
      </c>
      <c r="E7274">
        <v>0.50887839999999995</v>
      </c>
      <c r="F7274" t="s">
        <v>41</v>
      </c>
      <c r="G7274">
        <v>-188.18870000000001</v>
      </c>
      <c r="H7274" s="1">
        <v>-9.9859730000000001E-7</v>
      </c>
      <c r="I7274">
        <v>21.1663</v>
      </c>
      <c r="J7274">
        <v>-187.7962</v>
      </c>
      <c r="K7274">
        <v>1.1116410000000001</v>
      </c>
      <c r="L7274">
        <v>-30.617830000000001</v>
      </c>
      <c r="M7274">
        <v>7.5373239999999994E-2</v>
      </c>
      <c r="N7274">
        <v>-9.6556060000000006E-3</v>
      </c>
      <c r="O7274">
        <v>0.99710860000000001</v>
      </c>
      <c r="P7274">
        <v>-3.0987770000000001E-2</v>
      </c>
      <c r="Q7274">
        <v>0.15879190000000001</v>
      </c>
      <c r="R7274">
        <v>0.98682559999999997</v>
      </c>
      <c r="S7274">
        <v>-2.209473E-2</v>
      </c>
      <c r="T7274">
        <v>-6.5158720000000003E-2</v>
      </c>
      <c r="U7274">
        <v>3.049347</v>
      </c>
      <c r="V7274">
        <v>-0.10591680000000001</v>
      </c>
      <c r="W7274">
        <v>0.167865299999999</v>
      </c>
      <c r="X7274">
        <v>0.98010350000000002</v>
      </c>
      <c r="Y7274">
        <v>-8.2586800000000002E-2</v>
      </c>
      <c r="Z7274">
        <v>-1.157825E-2</v>
      </c>
      <c r="AA7274">
        <v>0.99651659999999997</v>
      </c>
      <c r="AB7274">
        <v>22</v>
      </c>
      <c r="AC7274">
        <v>-0.39250000000001201</v>
      </c>
      <c r="AD7274">
        <v>-1.1116419985972901</v>
      </c>
      <c r="AE7274">
        <v>51.784129999999998</v>
      </c>
      <c r="AF7274">
        <v>-4.2927250842509297</v>
      </c>
      <c r="AG7274">
        <v>-1.1116419985972901</v>
      </c>
      <c r="AH7274">
        <v>51.5834556697911</v>
      </c>
      <c r="AI7274">
        <v>91.2303020300333</v>
      </c>
      <c r="AJ7274">
        <v>94.757137629953107</v>
      </c>
      <c r="AK7274">
        <v>51.773701194904902</v>
      </c>
      <c r="AL7274">
        <v>80.336273773241601</v>
      </c>
      <c r="AM7274">
        <v>96.1678443766925</v>
      </c>
      <c r="AN7274">
        <v>0.99999999908928905</v>
      </c>
    </row>
    <row r="7275" spans="1:40" x14ac:dyDescent="0.25">
      <c r="A7275" t="str">
        <f>"20190304155243528"</f>
        <v>20190304155243528</v>
      </c>
      <c r="B7275" t="str">
        <f>"1551685963523821"</f>
        <v>1551685963523821</v>
      </c>
      <c r="C7275" t="s">
        <v>40</v>
      </c>
      <c r="D7275">
        <v>4.9586100000000002</v>
      </c>
      <c r="E7275">
        <v>0.50939040000000002</v>
      </c>
      <c r="F7275" t="s">
        <v>41</v>
      </c>
      <c r="G7275">
        <v>-188.2294</v>
      </c>
      <c r="H7275" s="1">
        <v>-5.7910709999999896E-7</v>
      </c>
      <c r="I7275">
        <v>19.965409999999999</v>
      </c>
      <c r="J7275">
        <v>-187.78380000000001</v>
      </c>
      <c r="K7275">
        <v>1.1116360000000001</v>
      </c>
      <c r="L7275">
        <v>-30.42041</v>
      </c>
      <c r="M7275">
        <v>7.3127120000000004E-2</v>
      </c>
      <c r="N7275">
        <v>-9.6240089999999993E-3</v>
      </c>
      <c r="O7275">
        <v>0.99727619999999895</v>
      </c>
      <c r="P7275">
        <v>-3.230061E-2</v>
      </c>
      <c r="Q7275">
        <v>0.15968489999999999</v>
      </c>
      <c r="R7275">
        <v>0.98663940000000006</v>
      </c>
      <c r="S7275">
        <v>-2.6123049999999998E-2</v>
      </c>
      <c r="T7275">
        <v>-6.702864E-2</v>
      </c>
      <c r="U7275">
        <v>3.0500180000000001</v>
      </c>
      <c r="V7275">
        <v>-0.1050041</v>
      </c>
      <c r="W7275">
        <v>0.16873060000000001</v>
      </c>
      <c r="X7275">
        <v>0.98005310000000001</v>
      </c>
      <c r="Y7275">
        <v>-8.1656370000000006E-2</v>
      </c>
      <c r="Z7275">
        <v>-1.2220119999999999E-2</v>
      </c>
      <c r="AA7275">
        <v>0.99658559999999996</v>
      </c>
      <c r="AB7275">
        <v>23</v>
      </c>
      <c r="AC7275">
        <v>-0.44559999999998401</v>
      </c>
      <c r="AD7275">
        <v>-1.1116365791070999</v>
      </c>
      <c r="AE7275">
        <v>50.385820000000002</v>
      </c>
      <c r="AF7275">
        <v>-4.1271386332478501</v>
      </c>
      <c r="AG7275">
        <v>-1.1116365791070999</v>
      </c>
      <c r="AH7275">
        <v>50.1938888167765</v>
      </c>
      <c r="AI7275">
        <v>91.264447963080102</v>
      </c>
      <c r="AJ7275">
        <v>94.700509974889002</v>
      </c>
      <c r="AK7275">
        <v>50.375544500610403</v>
      </c>
      <c r="AL7275">
        <v>80.285978117141596</v>
      </c>
      <c r="AM7275">
        <v>96.115411708080202</v>
      </c>
      <c r="AN7275">
        <v>0.99999997760638903</v>
      </c>
    </row>
    <row r="7276" spans="1:40" x14ac:dyDescent="0.25">
      <c r="A7276" t="str">
        <f>"20190304155243553"</f>
        <v>20190304155243553</v>
      </c>
      <c r="B7276" t="str">
        <f>"1551685963544317"</f>
        <v>1551685963544317</v>
      </c>
      <c r="C7276" t="s">
        <v>40</v>
      </c>
      <c r="D7276">
        <v>4.9381629999999896</v>
      </c>
      <c r="E7276">
        <v>0.51030589999999998</v>
      </c>
      <c r="F7276" t="s">
        <v>41</v>
      </c>
      <c r="G7276">
        <v>-188.20269999999999</v>
      </c>
      <c r="H7276" s="1">
        <v>-7.9732219999999898E-7</v>
      </c>
      <c r="I7276">
        <v>20.58578</v>
      </c>
      <c r="J7276">
        <v>-187.76939999999999</v>
      </c>
      <c r="K7276">
        <v>1.1116379999999999</v>
      </c>
      <c r="L7276">
        <v>-30.180910000000001</v>
      </c>
      <c r="M7276">
        <v>7.0405869999999995E-2</v>
      </c>
      <c r="N7276">
        <v>-9.5912259999999996E-3</v>
      </c>
      <c r="O7276">
        <v>0.99747229999999998</v>
      </c>
      <c r="P7276">
        <v>-3.3970769999999997E-2</v>
      </c>
      <c r="Q7276">
        <v>0.16021629999999901</v>
      </c>
      <c r="R7276">
        <v>0.98649719999999996</v>
      </c>
      <c r="S7276">
        <v>-2.505493E-2</v>
      </c>
      <c r="T7276">
        <v>-6.6484570000000007E-2</v>
      </c>
      <c r="U7276">
        <v>3.0505680000000002</v>
      </c>
      <c r="V7276">
        <v>-0.1039828</v>
      </c>
      <c r="W7276">
        <v>0.169234</v>
      </c>
      <c r="X7276">
        <v>0.98007520000000004</v>
      </c>
      <c r="Y7276">
        <v>-7.8586820000000002E-2</v>
      </c>
      <c r="Z7276">
        <v>-1.2081089999999999E-2</v>
      </c>
      <c r="AA7276">
        <v>0.996834</v>
      </c>
      <c r="AB7276">
        <v>23</v>
      </c>
      <c r="AC7276">
        <v>-0.43330000000000202</v>
      </c>
      <c r="AD7276">
        <v>-1.1116387973221999</v>
      </c>
      <c r="AE7276">
        <v>50.766689999999997</v>
      </c>
      <c r="AF7276">
        <v>-4.0047420329500403</v>
      </c>
      <c r="AG7276">
        <v>-1.1116387973221999</v>
      </c>
      <c r="AH7276">
        <v>50.585935776013002</v>
      </c>
      <c r="AI7276">
        <v>91.254961414121894</v>
      </c>
      <c r="AJ7276">
        <v>94.526500174120699</v>
      </c>
      <c r="AK7276">
        <v>50.7563847993639</v>
      </c>
      <c r="AL7276">
        <v>80.256714642883594</v>
      </c>
      <c r="AM7276">
        <v>96.056240122643302</v>
      </c>
      <c r="AN7276">
        <v>0.999999983553439</v>
      </c>
    </row>
    <row r="7277" spans="1:40" x14ac:dyDescent="0.25">
      <c r="A7277" t="str">
        <f>"20190304155243574"</f>
        <v>20190304155243574</v>
      </c>
      <c r="B7277" t="str">
        <f>"1551685963563838"</f>
        <v>1551685963563838</v>
      </c>
      <c r="C7277" t="s">
        <v>40</v>
      </c>
      <c r="D7277">
        <v>4.9348640000000001</v>
      </c>
      <c r="E7277">
        <v>0.51111629999999997</v>
      </c>
      <c r="F7277" t="s">
        <v>41</v>
      </c>
      <c r="G7277">
        <v>-188.1533</v>
      </c>
      <c r="H7277" s="1">
        <v>-1.0200500000000001E-6</v>
      </c>
      <c r="I7277">
        <v>21.20166</v>
      </c>
      <c r="J7277">
        <v>-187.75649999999999</v>
      </c>
      <c r="K7277">
        <v>1.111632</v>
      </c>
      <c r="L7277">
        <v>-29.95749</v>
      </c>
      <c r="M7277">
        <v>6.7875270000000001E-2</v>
      </c>
      <c r="N7277">
        <v>-9.5645650000000006E-3</v>
      </c>
      <c r="O7277">
        <v>0.99764790000000003</v>
      </c>
      <c r="P7277">
        <v>-3.5316300000000002E-2</v>
      </c>
      <c r="Q7277">
        <v>0.160686299999999</v>
      </c>
      <c r="R7277">
        <v>0.98637350000000001</v>
      </c>
      <c r="S7277">
        <v>-2.2796629999999998E-2</v>
      </c>
      <c r="T7277">
        <v>-6.6006899999999993E-2</v>
      </c>
      <c r="U7277">
        <v>3.0509949999999999</v>
      </c>
      <c r="V7277">
        <v>-0.1028268</v>
      </c>
      <c r="W7277">
        <v>0.16968320000000001</v>
      </c>
      <c r="X7277">
        <v>0.98011950000000003</v>
      </c>
      <c r="Y7277">
        <v>-7.53191E-2</v>
      </c>
      <c r="Z7277">
        <v>-1.19579E-2</v>
      </c>
      <c r="AA7277">
        <v>0.99708779999999997</v>
      </c>
      <c r="AB7277">
        <v>23</v>
      </c>
      <c r="AC7277">
        <v>-0.39680000000001298</v>
      </c>
      <c r="AD7277">
        <v>-1.11163302005</v>
      </c>
      <c r="AE7277">
        <v>51.159149999999997</v>
      </c>
      <c r="AF7277">
        <v>-3.8666594986314902</v>
      </c>
      <c r="AG7277">
        <v>-1.11163302005</v>
      </c>
      <c r="AH7277">
        <v>50.990149210087203</v>
      </c>
      <c r="AI7277">
        <v>91.245329514675007</v>
      </c>
      <c r="AJ7277">
        <v>94.336525335513201</v>
      </c>
      <c r="AK7277">
        <v>51.1486275487093</v>
      </c>
      <c r="AL7277">
        <v>80.230599716669801</v>
      </c>
      <c r="AM7277">
        <v>95.989134942289795</v>
      </c>
      <c r="AN7277">
        <v>0.99999998672036405</v>
      </c>
    </row>
    <row r="7278" spans="1:40" x14ac:dyDescent="0.25">
      <c r="A7278" t="str">
        <f>"20190304155243597"</f>
        <v>20190304155243597</v>
      </c>
      <c r="B7278" t="str">
        <f>"1551685963594094"</f>
        <v>1551685963594094</v>
      </c>
      <c r="C7278" t="s">
        <v>40</v>
      </c>
      <c r="D7278">
        <v>5.0791789999999999</v>
      </c>
      <c r="E7278">
        <v>0.51207799999999903</v>
      </c>
      <c r="F7278" t="s">
        <v>41</v>
      </c>
      <c r="G7278">
        <v>-188.1028</v>
      </c>
      <c r="H7278" s="1">
        <v>-1.1649150000000001E-6</v>
      </c>
      <c r="I7278">
        <v>21.563749999999999</v>
      </c>
      <c r="J7278">
        <v>-187.74420000000001</v>
      </c>
      <c r="K7278">
        <v>1.1116280000000001</v>
      </c>
      <c r="L7278">
        <v>-29.734190000000002</v>
      </c>
      <c r="M7278">
        <v>6.5361719999999998E-2</v>
      </c>
      <c r="N7278">
        <v>-9.5406740000000007E-3</v>
      </c>
      <c r="O7278">
        <v>0.99781600000000004</v>
      </c>
      <c r="P7278">
        <v>-3.7106470000000003E-2</v>
      </c>
      <c r="Q7278">
        <v>0.16112279999999901</v>
      </c>
      <c r="R7278">
        <v>0.98623660000000002</v>
      </c>
      <c r="S7278">
        <v>-2.0507810000000001E-2</v>
      </c>
      <c r="T7278">
        <v>-6.5838099999999997E-2</v>
      </c>
      <c r="U7278">
        <v>3.0514220000000001</v>
      </c>
      <c r="V7278">
        <v>-0.1021305</v>
      </c>
      <c r="W7278">
        <v>0.1701</v>
      </c>
      <c r="X7278">
        <v>0.98012010000000005</v>
      </c>
      <c r="Y7278">
        <v>-7.2058230000000001E-2</v>
      </c>
      <c r="Z7278">
        <v>-1.1932170000000001E-2</v>
      </c>
      <c r="AA7278">
        <v>0.99732909999999997</v>
      </c>
      <c r="AB7278">
        <v>23</v>
      </c>
      <c r="AC7278">
        <v>-0.35859999999999498</v>
      </c>
      <c r="AD7278">
        <v>-1.1116291649150001</v>
      </c>
      <c r="AE7278">
        <v>51.297939999999997</v>
      </c>
      <c r="AF7278">
        <v>-3.7091656923390501</v>
      </c>
      <c r="AG7278">
        <v>-1.1116291649150001</v>
      </c>
      <c r="AH7278">
        <v>51.140782482717398</v>
      </c>
      <c r="AI7278">
        <v>91.241960788870998</v>
      </c>
      <c r="AJ7278">
        <v>94.148314830193399</v>
      </c>
      <c r="AK7278">
        <v>51.287164695254198</v>
      </c>
      <c r="AL7278">
        <v>80.206366977170902</v>
      </c>
      <c r="AM7278">
        <v>95.948867232054795</v>
      </c>
      <c r="AN7278">
        <v>1.0000000297271201</v>
      </c>
    </row>
    <row r="7279" spans="1:40" x14ac:dyDescent="0.25">
      <c r="A7279" t="str">
        <f>"20190304155243618"</f>
        <v>20190304155243618</v>
      </c>
      <c r="B7279" t="str">
        <f>"1551685963614590"</f>
        <v>1551685963614590</v>
      </c>
      <c r="C7279" t="s">
        <v>40</v>
      </c>
      <c r="D7279">
        <v>4.7834159999999999</v>
      </c>
      <c r="E7279">
        <v>0.51244999999999996</v>
      </c>
      <c r="F7279" t="s">
        <v>41</v>
      </c>
      <c r="G7279">
        <v>-188.04589999999999</v>
      </c>
      <c r="H7279" s="1">
        <v>-1.3825929999999999E-6</v>
      </c>
      <c r="I7279">
        <v>22.047619999999998</v>
      </c>
      <c r="J7279">
        <v>-187.7329</v>
      </c>
      <c r="K7279">
        <v>1.1116239999999999</v>
      </c>
      <c r="L7279">
        <v>-29.519010000000002</v>
      </c>
      <c r="M7279">
        <v>6.2966449999999993E-2</v>
      </c>
      <c r="N7279">
        <v>-9.5200089999999994E-3</v>
      </c>
      <c r="O7279">
        <v>0.99797020000000003</v>
      </c>
      <c r="P7279">
        <v>-3.9578879999999997E-2</v>
      </c>
      <c r="Q7279">
        <v>0.1616264</v>
      </c>
      <c r="R7279">
        <v>0.98605799999999999</v>
      </c>
      <c r="S7279">
        <v>-1.7776489999999999E-2</v>
      </c>
      <c r="T7279">
        <v>-6.5517069999999997E-2</v>
      </c>
      <c r="U7279">
        <v>3.0519099999999999</v>
      </c>
      <c r="V7279">
        <v>-0.102227</v>
      </c>
      <c r="W7279">
        <v>0.17058489999999901</v>
      </c>
      <c r="X7279">
        <v>0.9800257</v>
      </c>
      <c r="Y7279">
        <v>-6.8770730000000002E-2</v>
      </c>
      <c r="Z7279">
        <v>-1.185261E-2</v>
      </c>
      <c r="AA7279">
        <v>0.99756210000000001</v>
      </c>
      <c r="AB7279">
        <v>23</v>
      </c>
      <c r="AC7279">
        <v>-0.31299999999998801</v>
      </c>
      <c r="AD7279">
        <v>-1.111625382593</v>
      </c>
      <c r="AE7279">
        <v>51.566629999999897</v>
      </c>
      <c r="AF7279">
        <v>-3.5578404465073299</v>
      </c>
      <c r="AG7279">
        <v>-1.111625382593</v>
      </c>
      <c r="AH7279">
        <v>51.420690091954903</v>
      </c>
      <c r="AI7279">
        <v>91.235488714198894</v>
      </c>
      <c r="AJ7279">
        <v>93.958034634170204</v>
      </c>
      <c r="AK7279">
        <v>51.555613750268698</v>
      </c>
      <c r="AL7279">
        <v>80.178171594252603</v>
      </c>
      <c r="AM7279">
        <v>95.955017204789797</v>
      </c>
      <c r="AN7279">
        <v>0.99999997014874897</v>
      </c>
    </row>
    <row r="7280" spans="1:40" x14ac:dyDescent="0.25">
      <c r="A7280" t="str">
        <f>"20190304155243641"</f>
        <v>20190304155243641</v>
      </c>
      <c r="B7280" t="str">
        <f>"1551685963634109"</f>
        <v>1551685963634109</v>
      </c>
      <c r="C7280" t="s">
        <v>40</v>
      </c>
      <c r="D7280">
        <v>4.7571789999999998</v>
      </c>
      <c r="E7280">
        <v>0.51281980000000005</v>
      </c>
      <c r="F7280" t="s">
        <v>41</v>
      </c>
      <c r="G7280">
        <v>-188.0951</v>
      </c>
      <c r="H7280" s="1">
        <v>-9.2224130000000004E-7</v>
      </c>
      <c r="I7280">
        <v>20.8687</v>
      </c>
      <c r="J7280">
        <v>-187.7208</v>
      </c>
      <c r="K7280">
        <v>1.1115980000000001</v>
      </c>
      <c r="L7280">
        <v>-29.279389999999999</v>
      </c>
      <c r="M7280">
        <v>6.034813E-2</v>
      </c>
      <c r="N7280">
        <v>-9.4996579999999994E-3</v>
      </c>
      <c r="O7280">
        <v>0.99813220000000002</v>
      </c>
      <c r="P7280">
        <v>-4.2100899999999997E-2</v>
      </c>
      <c r="Q7280">
        <v>0.16233520000000001</v>
      </c>
      <c r="R7280">
        <v>0.98583710000000002</v>
      </c>
      <c r="S7280">
        <v>-2.1942139999999999E-2</v>
      </c>
      <c r="T7280">
        <v>-6.7344310000000004E-2</v>
      </c>
      <c r="U7280">
        <v>3.0525820000000001</v>
      </c>
      <c r="V7280">
        <v>-0.10214760000000001</v>
      </c>
      <c r="W7280">
        <v>0.1712793</v>
      </c>
      <c r="X7280">
        <v>0.97991289999999998</v>
      </c>
      <c r="Y7280">
        <v>-6.7513370000000003E-2</v>
      </c>
      <c r="Z7280">
        <v>-1.2469910000000001E-2</v>
      </c>
      <c r="AA7280">
        <v>0.99764039999999998</v>
      </c>
      <c r="AB7280">
        <v>23</v>
      </c>
      <c r="AC7280">
        <v>-0.37430000000000502</v>
      </c>
      <c r="AD7280">
        <v>-1.1115989222413001</v>
      </c>
      <c r="AE7280">
        <v>50.148090000000003</v>
      </c>
      <c r="AF7280">
        <v>-3.3984279985513002</v>
      </c>
      <c r="AG7280">
        <v>-1.1115989222413001</v>
      </c>
      <c r="AH7280">
        <v>50.0095214339566</v>
      </c>
      <c r="AI7280">
        <v>91.270417302847903</v>
      </c>
      <c r="AJ7280">
        <v>93.887593271985295</v>
      </c>
      <c r="AK7280">
        <v>50.1371837968451</v>
      </c>
      <c r="AL7280">
        <v>80.137791524499207</v>
      </c>
      <c r="AM7280">
        <v>95.951105176729101</v>
      </c>
      <c r="AN7280">
        <v>1.00000001119032</v>
      </c>
    </row>
    <row r="7281" spans="1:40" x14ac:dyDescent="0.25">
      <c r="A7281" t="str">
        <f>"20190304155243663"</f>
        <v>20190304155243663</v>
      </c>
      <c r="B7281" t="str">
        <f>"1551685963654607"</f>
        <v>1551685963654607</v>
      </c>
      <c r="C7281" t="s">
        <v>40</v>
      </c>
      <c r="D7281">
        <v>4.9077500000000001</v>
      </c>
      <c r="E7281">
        <v>0.51332749999999905</v>
      </c>
      <c r="F7281" t="s">
        <v>41</v>
      </c>
      <c r="G7281">
        <v>-188.14709999999999</v>
      </c>
      <c r="H7281" s="1">
        <v>-7.2209939999999998E-7</v>
      </c>
      <c r="I7281">
        <v>20.321290000000001</v>
      </c>
      <c r="J7281">
        <v>-187.7099</v>
      </c>
      <c r="K7281">
        <v>1.111558</v>
      </c>
      <c r="L7281">
        <v>-29.052949999999999</v>
      </c>
      <c r="M7281">
        <v>5.7940529999999997E-2</v>
      </c>
      <c r="N7281">
        <v>-9.4827729999999999E-3</v>
      </c>
      <c r="O7281">
        <v>0.99827500000000002</v>
      </c>
      <c r="P7281">
        <v>-4.5053240000000001E-2</v>
      </c>
      <c r="Q7281">
        <v>0.16275229999999999</v>
      </c>
      <c r="R7281">
        <v>0.98563780000000001</v>
      </c>
      <c r="S7281">
        <v>-2.624512E-2</v>
      </c>
      <c r="T7281">
        <v>-6.842637E-2</v>
      </c>
      <c r="U7281">
        <v>3.0532530000000002</v>
      </c>
      <c r="V7281">
        <v>-0.102701399999999</v>
      </c>
      <c r="W7281">
        <v>0.17168610000000001</v>
      </c>
      <c r="X7281">
        <v>0.97978379999999998</v>
      </c>
      <c r="Y7281">
        <v>-6.6511230000000005E-2</v>
      </c>
      <c r="Z7281">
        <v>-1.28399E-2</v>
      </c>
      <c r="AA7281">
        <v>0.99770309999999995</v>
      </c>
      <c r="AB7281">
        <v>23</v>
      </c>
      <c r="AC7281">
        <v>-0.43719999999998999</v>
      </c>
      <c r="AD7281">
        <v>-1.1115587220993901</v>
      </c>
      <c r="AE7281">
        <v>49.37424</v>
      </c>
      <c r="AF7281">
        <v>-3.29569348393838</v>
      </c>
      <c r="AG7281">
        <v>-1.1115587220993901</v>
      </c>
      <c r="AH7281">
        <v>49.240997913774898</v>
      </c>
      <c r="AI7281">
        <v>91.290280730671597</v>
      </c>
      <c r="AJ7281">
        <v>93.829088162467798</v>
      </c>
      <c r="AK7281">
        <v>49.363681324199597</v>
      </c>
      <c r="AL7281">
        <v>80.114132987662501</v>
      </c>
      <c r="AM7281">
        <v>95.983918709842698</v>
      </c>
      <c r="AN7281">
        <v>0.99999999461880495</v>
      </c>
    </row>
    <row r="7282" spans="1:40" x14ac:dyDescent="0.25">
      <c r="A7282" t="str">
        <f>"20190304155243687"</f>
        <v>20190304155243687</v>
      </c>
      <c r="B7282" t="str">
        <f>"1551685963683885"</f>
        <v>1551685963683885</v>
      </c>
      <c r="C7282" t="s">
        <v>40</v>
      </c>
      <c r="D7282">
        <v>4.8880929999999996</v>
      </c>
      <c r="E7282">
        <v>0.51404359999999905</v>
      </c>
      <c r="F7282" t="s">
        <v>41</v>
      </c>
      <c r="G7282">
        <v>-188.22040000000001</v>
      </c>
      <c r="H7282" s="1">
        <v>-9.8451029999999994E-7</v>
      </c>
      <c r="I7282">
        <v>21.149660000000001</v>
      </c>
      <c r="J7282">
        <v>-187.69890000000001</v>
      </c>
      <c r="K7282">
        <v>1.1115010000000001</v>
      </c>
      <c r="L7282">
        <v>-28.81485</v>
      </c>
      <c r="M7282">
        <v>5.5501519999999999E-2</v>
      </c>
      <c r="N7282">
        <v>-9.4670689999999998E-3</v>
      </c>
      <c r="O7282">
        <v>0.99841369999999896</v>
      </c>
      <c r="P7282">
        <v>-4.7427770000000001E-2</v>
      </c>
      <c r="Q7282">
        <v>0.16298959999999901</v>
      </c>
      <c r="R7282">
        <v>0.98548720000000001</v>
      </c>
      <c r="S7282">
        <v>-3.1051639999999998E-2</v>
      </c>
      <c r="T7282">
        <v>-6.760824E-2</v>
      </c>
      <c r="U7282">
        <v>3.0534669999999999</v>
      </c>
      <c r="V7282">
        <v>-0.102643899999999</v>
      </c>
      <c r="W7282">
        <v>0.17192099999999999</v>
      </c>
      <c r="X7282">
        <v>0.97974870000000003</v>
      </c>
      <c r="Y7282">
        <v>-6.5643599999999996E-2</v>
      </c>
      <c r="Z7282">
        <v>-1.2592000000000001E-2</v>
      </c>
      <c r="AA7282">
        <v>0.99776370000000003</v>
      </c>
      <c r="AB7282">
        <v>23</v>
      </c>
      <c r="AC7282">
        <v>-0.52150000000000296</v>
      </c>
      <c r="AD7282">
        <v>-1.1115019845103</v>
      </c>
      <c r="AE7282">
        <v>49.964509999999997</v>
      </c>
      <c r="AF7282">
        <v>-3.2922975690866698</v>
      </c>
      <c r="AG7282">
        <v>-1.1115019845103</v>
      </c>
      <c r="AH7282">
        <v>49.833883632944598</v>
      </c>
      <c r="AI7282">
        <v>91.274942929594999</v>
      </c>
      <c r="AJ7282">
        <v>93.779778280272197</v>
      </c>
      <c r="AK7282">
        <v>49.954885825981499</v>
      </c>
      <c r="AL7282">
        <v>80.100471704841695</v>
      </c>
      <c r="AM7282">
        <v>95.980805453678002</v>
      </c>
      <c r="AN7282">
        <v>1.0000000577999399</v>
      </c>
    </row>
    <row r="7283" spans="1:40" x14ac:dyDescent="0.25">
      <c r="A7283" t="str">
        <f>"20190304155243710"</f>
        <v>20190304155243710</v>
      </c>
      <c r="B7283" t="str">
        <f>"1551685963704381"</f>
        <v>1551685963704381</v>
      </c>
      <c r="C7283" t="s">
        <v>40</v>
      </c>
      <c r="D7283">
        <v>4.9356019999999896</v>
      </c>
      <c r="E7283">
        <v>0.51427440000000002</v>
      </c>
      <c r="F7283" t="s">
        <v>41</v>
      </c>
      <c r="G7283">
        <v>-188.23920000000001</v>
      </c>
      <c r="H7283" s="1">
        <v>-1.4506079999999999E-6</v>
      </c>
      <c r="I7283">
        <v>22.286100000000001</v>
      </c>
      <c r="J7283">
        <v>-187.68860000000001</v>
      </c>
      <c r="K7283">
        <v>1.111424</v>
      </c>
      <c r="L7283">
        <v>-28.582000000000001</v>
      </c>
      <c r="M7283">
        <v>5.3243949999999998E-2</v>
      </c>
      <c r="N7283">
        <v>-9.4534770000000001E-3</v>
      </c>
      <c r="O7283">
        <v>0.9985368</v>
      </c>
      <c r="P7283">
        <v>-4.975856E-2</v>
      </c>
      <c r="Q7283">
        <v>0.16320689999999999</v>
      </c>
      <c r="R7283">
        <v>0.98533630000000005</v>
      </c>
      <c r="S7283">
        <v>-3.22876E-2</v>
      </c>
      <c r="T7283">
        <v>-6.6419599999999995E-2</v>
      </c>
      <c r="U7283">
        <v>3.0536189999999999</v>
      </c>
      <c r="V7283">
        <v>-0.1027146</v>
      </c>
      <c r="W7283">
        <v>0.17214270000000001</v>
      </c>
      <c r="X7283">
        <v>0.97970230000000003</v>
      </c>
      <c r="Y7283">
        <v>-6.3791099999999906E-2</v>
      </c>
      <c r="Z7283">
        <v>-1.222206E-2</v>
      </c>
      <c r="AA7283">
        <v>0.99788840000000001</v>
      </c>
      <c r="AB7283">
        <v>23</v>
      </c>
      <c r="AC7283">
        <v>-0.55060000000000198</v>
      </c>
      <c r="AD7283">
        <v>-1.1114254506079999</v>
      </c>
      <c r="AE7283">
        <v>50.868099999999998</v>
      </c>
      <c r="AF7283">
        <v>-3.2568039202269699</v>
      </c>
      <c r="AG7283">
        <v>-1.1114254506079999</v>
      </c>
      <c r="AH7283">
        <v>50.742400622112903</v>
      </c>
      <c r="AI7283">
        <v>91.252189662138093</v>
      </c>
      <c r="AJ7283">
        <v>93.672382780967496</v>
      </c>
      <c r="AK7283">
        <v>50.858954562614301</v>
      </c>
      <c r="AL7283">
        <v>80.087576384387305</v>
      </c>
      <c r="AM7283">
        <v>95.985176472307302</v>
      </c>
      <c r="AN7283">
        <v>0.99999999742086998</v>
      </c>
    </row>
    <row r="7284" spans="1:40" x14ac:dyDescent="0.25">
      <c r="A7284" t="str">
        <f>"20190304155243730"</f>
        <v>20190304155243730</v>
      </c>
      <c r="B7284" t="str">
        <f>"1551685963723903"</f>
        <v>1551685963723903</v>
      </c>
      <c r="C7284" t="s">
        <v>40</v>
      </c>
      <c r="D7284">
        <v>4.8886070000000004</v>
      </c>
      <c r="E7284">
        <v>0.53501909999999997</v>
      </c>
      <c r="F7284" t="s">
        <v>41</v>
      </c>
      <c r="G7284">
        <v>-188.31829999999999</v>
      </c>
      <c r="H7284" s="1">
        <v>-1.8797500000000001E-6</v>
      </c>
      <c r="I7284">
        <v>23.319140000000001</v>
      </c>
      <c r="J7284">
        <v>-187.67959999999999</v>
      </c>
      <c r="K7284">
        <v>1.1113440000000001</v>
      </c>
      <c r="L7284">
        <v>-28.37088</v>
      </c>
      <c r="M7284">
        <v>5.1314779999999997E-2</v>
      </c>
      <c r="N7284">
        <v>-9.4424729999999998E-3</v>
      </c>
      <c r="O7284">
        <v>0.99863789999999997</v>
      </c>
      <c r="P7284">
        <v>-5.1913699999999903E-2</v>
      </c>
      <c r="Q7284">
        <v>0.16344839999999999</v>
      </c>
      <c r="R7284">
        <v>0.98518499999999998</v>
      </c>
      <c r="S7284">
        <v>-3.7048339999999999E-2</v>
      </c>
      <c r="T7284">
        <v>-6.5391060000000001E-2</v>
      </c>
      <c r="U7284">
        <v>3.0536189999999999</v>
      </c>
      <c r="V7284">
        <v>-0.10293190000000001</v>
      </c>
      <c r="W7284">
        <v>0.17239119999999999</v>
      </c>
      <c r="X7284">
        <v>0.97963579999999995</v>
      </c>
      <c r="Y7284">
        <v>-6.34189E-2</v>
      </c>
      <c r="Z7284">
        <v>-1.190052E-2</v>
      </c>
      <c r="AA7284">
        <v>0.99791600000000003</v>
      </c>
      <c r="AB7284">
        <v>23</v>
      </c>
      <c r="AC7284">
        <v>-0.63870000000000005</v>
      </c>
      <c r="AD7284">
        <v>-1.11134587975</v>
      </c>
      <c r="AE7284">
        <v>51.690019999999997</v>
      </c>
      <c r="AF7284">
        <v>-3.2889185869971098</v>
      </c>
      <c r="AG7284">
        <v>-1.11134587975</v>
      </c>
      <c r="AH7284">
        <v>51.565304730663797</v>
      </c>
      <c r="AI7284">
        <v>91.232156143895196</v>
      </c>
      <c r="AJ7284">
        <v>93.649474097523097</v>
      </c>
      <c r="AK7284">
        <v>51.682034858377598</v>
      </c>
      <c r="AL7284">
        <v>80.073122337369597</v>
      </c>
      <c r="AM7284">
        <v>95.998150507825798</v>
      </c>
      <c r="AN7284">
        <v>1.0000000012583401</v>
      </c>
    </row>
    <row r="7285" spans="1:40" x14ac:dyDescent="0.25">
      <c r="A7285" t="str">
        <f>"20190304155243753"</f>
        <v>20190304155243753</v>
      </c>
      <c r="B7285" t="str">
        <f>"1551685963744398"</f>
        <v>1551685963744398</v>
      </c>
      <c r="C7285" t="s">
        <v>40</v>
      </c>
      <c r="D7285">
        <v>4.8019980000000002</v>
      </c>
      <c r="E7285">
        <v>0.54090039999999995</v>
      </c>
      <c r="F7285" t="s">
        <v>41</v>
      </c>
      <c r="G7285">
        <v>-185.98009999999999</v>
      </c>
      <c r="H7285" s="1">
        <v>-2.7937009999999999E-6</v>
      </c>
      <c r="I7285">
        <v>14.482799999999999</v>
      </c>
      <c r="J7285">
        <v>-187.67</v>
      </c>
      <c r="K7285">
        <v>1.111262</v>
      </c>
      <c r="L7285">
        <v>-28.138490000000001</v>
      </c>
      <c r="M7285">
        <v>4.9312219999999997E-2</v>
      </c>
      <c r="N7285">
        <v>-9.4319269999999997E-3</v>
      </c>
      <c r="O7285">
        <v>0.99873889999999999</v>
      </c>
      <c r="P7285">
        <v>-5.3834960000000001E-2</v>
      </c>
      <c r="Q7285">
        <v>0.16390460000000001</v>
      </c>
      <c r="R7285">
        <v>0.98500620000000005</v>
      </c>
      <c r="S7285">
        <v>0.1215363</v>
      </c>
      <c r="T7285">
        <v>-7.9478380000000001E-2</v>
      </c>
      <c r="U7285">
        <v>3.0646969999999998</v>
      </c>
      <c r="V7285">
        <v>-0.10284119999999999</v>
      </c>
      <c r="W7285">
        <v>0.17285710000000001</v>
      </c>
      <c r="X7285">
        <v>0.97956319999999997</v>
      </c>
      <c r="Y7285">
        <v>-9.7019370000000008E-3</v>
      </c>
      <c r="Z7285">
        <v>-1.644605E-2</v>
      </c>
      <c r="AA7285">
        <v>0.99981770000000003</v>
      </c>
      <c r="AB7285">
        <v>23</v>
      </c>
      <c r="AC7285">
        <v>1.68989999999999</v>
      </c>
      <c r="AD7285">
        <v>-1.1112647937010001</v>
      </c>
      <c r="AE7285">
        <v>42.621290000000002</v>
      </c>
      <c r="AF7285">
        <v>-0.41371916243766099</v>
      </c>
      <c r="AG7285">
        <v>-1.1112647937010001</v>
      </c>
      <c r="AH7285">
        <v>42.623839023455297</v>
      </c>
      <c r="AI7285">
        <v>91.493374759611299</v>
      </c>
      <c r="AJ7285">
        <v>90.556111746028904</v>
      </c>
      <c r="AK7285">
        <v>42.640329807407802</v>
      </c>
      <c r="AL7285">
        <v>80.046021134895298</v>
      </c>
      <c r="AM7285">
        <v>95.993344557552106</v>
      </c>
      <c r="AN7285">
        <v>0.99999997611604396</v>
      </c>
    </row>
    <row r="7286" spans="1:40" x14ac:dyDescent="0.25">
      <c r="A7286" t="str">
        <f>"20190304155243774"</f>
        <v>20190304155243774</v>
      </c>
      <c r="B7286" t="str">
        <f>"1551685963763926"</f>
        <v>1551685963763926</v>
      </c>
      <c r="C7286" t="s">
        <v>40</v>
      </c>
      <c r="D7286">
        <v>4.7695589999999903</v>
      </c>
      <c r="E7286">
        <v>0.54379789999999995</v>
      </c>
      <c r="F7286" t="s">
        <v>41</v>
      </c>
      <c r="G7286">
        <v>-185.30600000000001</v>
      </c>
      <c r="H7286" s="1">
        <v>-3.780944E-6</v>
      </c>
      <c r="I7286">
        <v>16.50536</v>
      </c>
      <c r="J7286">
        <v>-187.6611</v>
      </c>
      <c r="K7286">
        <v>1.1111799999999901</v>
      </c>
      <c r="L7286">
        <v>-27.915130000000001</v>
      </c>
      <c r="M7286">
        <v>4.7511190000000002E-2</v>
      </c>
      <c r="N7286">
        <v>-9.4232570000000009E-3</v>
      </c>
      <c r="O7286">
        <v>0.99882629999999994</v>
      </c>
      <c r="P7286">
        <v>-5.5651119999999998E-2</v>
      </c>
      <c r="Q7286">
        <v>0.16438749999999999</v>
      </c>
      <c r="R7286">
        <v>0.9848247</v>
      </c>
      <c r="S7286">
        <v>0.16241459999999999</v>
      </c>
      <c r="T7286">
        <v>-7.6349620000000007E-2</v>
      </c>
      <c r="U7286">
        <v>3.0672609999999998</v>
      </c>
      <c r="V7286">
        <v>-0.1028467</v>
      </c>
      <c r="W7286">
        <v>0.17334929999999901</v>
      </c>
      <c r="X7286">
        <v>0.97947569999999995</v>
      </c>
      <c r="Y7286">
        <v>5.3632269999999999E-3</v>
      </c>
      <c r="Z7286">
        <v>-1.5414789999999999E-2</v>
      </c>
      <c r="AA7286">
        <v>0.99986679999999994</v>
      </c>
      <c r="AB7286">
        <v>23</v>
      </c>
      <c r="AC7286">
        <v>2.3551000000000202</v>
      </c>
      <c r="AD7286">
        <v>-1.1111837809439999</v>
      </c>
      <c r="AE7286">
        <v>44.420490000000001</v>
      </c>
      <c r="AF7286">
        <v>0.24172537028129101</v>
      </c>
      <c r="AG7286">
        <v>-1.1111837809439999</v>
      </c>
      <c r="AH7286">
        <v>44.4544806223725</v>
      </c>
      <c r="AI7286">
        <v>91.431845448431602</v>
      </c>
      <c r="AJ7286">
        <v>89.688451943977</v>
      </c>
      <c r="AK7286">
        <v>44.469023015516797</v>
      </c>
      <c r="AL7286">
        <v>80.017388490852994</v>
      </c>
      <c r="AM7286">
        <v>95.994194288229394</v>
      </c>
      <c r="AN7286">
        <v>1.0000000352009299</v>
      </c>
    </row>
    <row r="7287" spans="1:40" x14ac:dyDescent="0.25">
      <c r="A7287" t="str">
        <f>"20190304155243797"</f>
        <v>20190304155243797</v>
      </c>
      <c r="B7287" t="str">
        <f>"1551685963794174"</f>
        <v>1551685963794174</v>
      </c>
      <c r="C7287" t="s">
        <v>40</v>
      </c>
      <c r="D7287">
        <v>4.8502970000000003</v>
      </c>
      <c r="E7287">
        <v>0.54618529999999998</v>
      </c>
      <c r="F7287" t="s">
        <v>41</v>
      </c>
      <c r="G7287">
        <v>-184.86340000000001</v>
      </c>
      <c r="H7287" s="1">
        <v>-1.3669659999999999E-6</v>
      </c>
      <c r="I7287">
        <v>19.648769999999999</v>
      </c>
      <c r="J7287">
        <v>-187.65219999999999</v>
      </c>
      <c r="K7287">
        <v>1.1110960000000001</v>
      </c>
      <c r="L7287">
        <v>-27.685300000000002</v>
      </c>
      <c r="M7287">
        <v>4.5801929999999998E-2</v>
      </c>
      <c r="N7287">
        <v>-9.4155009999999997E-3</v>
      </c>
      <c r="O7287">
        <v>0.99890619999999997</v>
      </c>
      <c r="P7287">
        <v>-5.7128129999999999E-2</v>
      </c>
      <c r="Q7287">
        <v>0.1645267</v>
      </c>
      <c r="R7287">
        <v>0.98471690000000001</v>
      </c>
      <c r="S7287">
        <v>0.180481</v>
      </c>
      <c r="T7287">
        <v>-7.1683289999999997E-2</v>
      </c>
      <c r="U7287">
        <v>3.06839</v>
      </c>
      <c r="V7287">
        <v>-0.10260469999999999</v>
      </c>
      <c r="W7287">
        <v>0.17350189999999999</v>
      </c>
      <c r="X7287">
        <v>0.97947399999999996</v>
      </c>
      <c r="Y7287">
        <v>1.292373E-2</v>
      </c>
      <c r="Z7287">
        <v>-1.389634E-2</v>
      </c>
      <c r="AA7287">
        <v>0.99981989999999998</v>
      </c>
      <c r="AB7287">
        <v>23</v>
      </c>
      <c r="AC7287">
        <v>2.7887999999999802</v>
      </c>
      <c r="AD7287">
        <v>-1.11109736696599</v>
      </c>
      <c r="AE7287">
        <v>47.334069999999997</v>
      </c>
      <c r="AF7287">
        <v>0.617446174404228</v>
      </c>
      <c r="AG7287">
        <v>-1.11109736696599</v>
      </c>
      <c r="AH7287">
        <v>47.386108785962698</v>
      </c>
      <c r="AI7287">
        <v>91.343096693693496</v>
      </c>
      <c r="AJ7287">
        <v>89.253471980920494</v>
      </c>
      <c r="AK7287">
        <v>47.403154779109997</v>
      </c>
      <c r="AL7287">
        <v>80.0085100232873</v>
      </c>
      <c r="AM7287">
        <v>95.980202484746201</v>
      </c>
      <c r="AN7287">
        <v>0.99999997522084905</v>
      </c>
    </row>
    <row r="7288" spans="1:40" x14ac:dyDescent="0.25">
      <c r="A7288" t="str">
        <f>"20190304155243832"</f>
        <v>20190304155243832</v>
      </c>
      <c r="B7288" t="str">
        <f>"1551685963824429"</f>
        <v>1551685963824429</v>
      </c>
      <c r="C7288" t="s">
        <v>40</v>
      </c>
      <c r="D7288">
        <v>4.7400019999999996</v>
      </c>
      <c r="E7288">
        <v>0.54786440000000003</v>
      </c>
      <c r="F7288" t="s">
        <v>41</v>
      </c>
      <c r="G7288">
        <v>-184.3758</v>
      </c>
      <c r="H7288" s="1">
        <v>-2.9054379999999999E-6</v>
      </c>
      <c r="I7288">
        <v>23.788419999999999</v>
      </c>
      <c r="J7288">
        <v>-187.63890000000001</v>
      </c>
      <c r="K7288">
        <v>1.110948</v>
      </c>
      <c r="L7288">
        <v>-27.331209999999999</v>
      </c>
      <c r="M7288">
        <v>4.3466850000000001E-2</v>
      </c>
      <c r="N7288">
        <v>-9.4052700000000003E-3</v>
      </c>
      <c r="O7288">
        <v>0.99901059999999997</v>
      </c>
      <c r="P7288">
        <v>-5.9090539999999997E-2</v>
      </c>
      <c r="Q7288">
        <v>0.16431189999999901</v>
      </c>
      <c r="R7288">
        <v>0.98463699999999998</v>
      </c>
      <c r="S7288">
        <v>0.19534299999999999</v>
      </c>
      <c r="T7288">
        <v>-6.6246029999999997E-2</v>
      </c>
      <c r="U7288">
        <v>3.0689700000000002</v>
      </c>
      <c r="V7288">
        <v>-0.1022079</v>
      </c>
      <c r="W7288">
        <v>0.17331359999999901</v>
      </c>
      <c r="X7288">
        <v>0.97954889999999994</v>
      </c>
      <c r="Y7288">
        <v>2.0073830000000001E-2</v>
      </c>
      <c r="Z7288">
        <v>-1.2135160000000001E-2</v>
      </c>
      <c r="AA7288">
        <v>0.99972490000000003</v>
      </c>
      <c r="AB7288">
        <v>23</v>
      </c>
      <c r="AC7288">
        <v>3.2631000000000001</v>
      </c>
      <c r="AD7288">
        <v>-1.110950905438</v>
      </c>
      <c r="AE7288">
        <v>51.119630000000001</v>
      </c>
      <c r="AF7288">
        <v>1.03742012307495</v>
      </c>
      <c r="AG7288">
        <v>-1.110950905438</v>
      </c>
      <c r="AH7288">
        <v>51.189075681815901</v>
      </c>
      <c r="AI7288">
        <v>91.243033683576499</v>
      </c>
      <c r="AJ7288">
        <v>88.838977692479702</v>
      </c>
      <c r="AK7288">
        <v>51.211638536418</v>
      </c>
      <c r="AL7288">
        <v>80.019465567711904</v>
      </c>
      <c r="AM7288">
        <v>95.956789829461101</v>
      </c>
      <c r="AN7288">
        <v>1.0000000531292801</v>
      </c>
    </row>
    <row r="7289" spans="1:40" x14ac:dyDescent="0.25">
      <c r="A7289" t="str">
        <f>"20190304155243852"</f>
        <v>20190304155243852</v>
      </c>
      <c r="B7289" t="str">
        <f>"1551685963843950"</f>
        <v>1551685963843950</v>
      </c>
      <c r="C7289" t="s">
        <v>40</v>
      </c>
      <c r="D7289">
        <v>4.7478170000000004</v>
      </c>
      <c r="E7289">
        <v>0.54876650000000005</v>
      </c>
      <c r="F7289" t="s">
        <v>41</v>
      </c>
      <c r="G7289">
        <v>-184.09909999999999</v>
      </c>
      <c r="H7289" s="1">
        <v>-3.8361859999999998E-6</v>
      </c>
      <c r="I7289">
        <v>26.135069999999999</v>
      </c>
      <c r="J7289">
        <v>-187.63069999999999</v>
      </c>
      <c r="K7289">
        <v>1.110851</v>
      </c>
      <c r="L7289">
        <v>-27.10754</v>
      </c>
      <c r="M7289">
        <v>4.2185809999999997E-2</v>
      </c>
      <c r="N7289">
        <v>-9.3999510000000001E-3</v>
      </c>
      <c r="O7289">
        <v>0.9990656</v>
      </c>
      <c r="P7289">
        <v>-6.0191790000000002E-2</v>
      </c>
      <c r="Q7289">
        <v>0.16453029999999999</v>
      </c>
      <c r="R7289">
        <v>0.98453380000000001</v>
      </c>
      <c r="S7289">
        <v>0.20323179999999999</v>
      </c>
      <c r="T7289">
        <v>-6.3782690000000003E-2</v>
      </c>
      <c r="U7289">
        <v>3.0696409999999998</v>
      </c>
      <c r="V7289">
        <v>-0.1020041</v>
      </c>
      <c r="W7289">
        <v>0.1735517</v>
      </c>
      <c r="X7289">
        <v>0.97952799999999995</v>
      </c>
      <c r="Y7289">
        <v>2.3900439999999998E-2</v>
      </c>
      <c r="Z7289">
        <v>-1.133497E-2</v>
      </c>
      <c r="AA7289">
        <v>0.99965009999999999</v>
      </c>
      <c r="AB7289">
        <v>23</v>
      </c>
      <c r="AC7289">
        <v>3.5315999999999899</v>
      </c>
      <c r="AD7289">
        <v>-1.110854836186</v>
      </c>
      <c r="AE7289">
        <v>53.242609999999999</v>
      </c>
      <c r="AF7289">
        <v>1.28171854979121</v>
      </c>
      <c r="AG7289">
        <v>-1.110854836186</v>
      </c>
      <c r="AH7289">
        <v>53.3210889078319</v>
      </c>
      <c r="AI7289">
        <v>91.193143596148303</v>
      </c>
      <c r="AJ7289">
        <v>88.623004039579698</v>
      </c>
      <c r="AK7289">
        <v>53.348058289171803</v>
      </c>
      <c r="AL7289">
        <v>80.005613654578397</v>
      </c>
      <c r="AM7289">
        <v>95.945123229562</v>
      </c>
      <c r="AN7289">
        <v>1.00000006588684</v>
      </c>
    </row>
    <row r="7290" spans="1:40" x14ac:dyDescent="0.25">
      <c r="A7290" t="str">
        <f>"20190304155243877"</f>
        <v>20190304155243877</v>
      </c>
      <c r="B7290" t="str">
        <f>"1551685963874207"</f>
        <v>1551685963874207</v>
      </c>
      <c r="C7290" t="s">
        <v>40</v>
      </c>
      <c r="D7290">
        <v>4.7145099999999998</v>
      </c>
      <c r="E7290">
        <v>0.54956939999999999</v>
      </c>
      <c r="F7290" t="s">
        <v>41</v>
      </c>
      <c r="G7290">
        <v>-183.8742</v>
      </c>
      <c r="H7290" s="1">
        <v>-4.8572510000000002E-6</v>
      </c>
      <c r="I7290">
        <v>28.42221</v>
      </c>
      <c r="J7290">
        <v>-187.6217</v>
      </c>
      <c r="K7290">
        <v>1.1107419999999999</v>
      </c>
      <c r="L7290">
        <v>-26.855499999999999</v>
      </c>
      <c r="M7290">
        <v>4.0890009999999997E-2</v>
      </c>
      <c r="N7290">
        <v>-9.3950769999999999E-3</v>
      </c>
      <c r="O7290">
        <v>0.99911950000000005</v>
      </c>
      <c r="P7290">
        <v>-6.1436629999999999E-2</v>
      </c>
      <c r="Q7290">
        <v>0.1650382</v>
      </c>
      <c r="R7290">
        <v>0.98437180000000002</v>
      </c>
      <c r="S7290">
        <v>0.20768739999999999</v>
      </c>
      <c r="T7290">
        <v>-6.1415789999999998E-2</v>
      </c>
      <c r="U7290">
        <v>3.070068</v>
      </c>
      <c r="V7290">
        <v>-0.1019263</v>
      </c>
      <c r="W7290">
        <v>0.1740795</v>
      </c>
      <c r="X7290">
        <v>0.97944240000000005</v>
      </c>
      <c r="Y7290">
        <v>2.6632380000000001E-2</v>
      </c>
      <c r="Z7290">
        <v>-1.056817E-2</v>
      </c>
      <c r="AA7290">
        <v>0.99958939999999996</v>
      </c>
      <c r="AB7290">
        <v>23</v>
      </c>
      <c r="AC7290">
        <v>3.7475000000000001</v>
      </c>
      <c r="AD7290">
        <v>-1.110746857251</v>
      </c>
      <c r="AE7290">
        <v>55.277709999999999</v>
      </c>
      <c r="AF7290">
        <v>1.4833634871235799</v>
      </c>
      <c r="AG7290">
        <v>-1.110746857251</v>
      </c>
      <c r="AH7290">
        <v>55.3624654573293</v>
      </c>
      <c r="AI7290">
        <v>91.148968834249402</v>
      </c>
      <c r="AJ7290">
        <v>88.465203145960402</v>
      </c>
      <c r="AK7290">
        <v>55.393471703169197</v>
      </c>
      <c r="AL7290">
        <v>79.974905136847696</v>
      </c>
      <c r="AM7290">
        <v>95.941136715215606</v>
      </c>
      <c r="AN7290">
        <v>1.0000000289348401</v>
      </c>
    </row>
    <row r="7291" spans="1:40" x14ac:dyDescent="0.25">
      <c r="A7291" t="str">
        <f>"20190304155243899"</f>
        <v>20190304155243899</v>
      </c>
      <c r="B7291" t="str">
        <f>"1551685963893726"</f>
        <v>1551685963893726</v>
      </c>
      <c r="C7291" t="s">
        <v>40</v>
      </c>
      <c r="D7291">
        <v>4.730461</v>
      </c>
      <c r="E7291">
        <v>0.55019030000000002</v>
      </c>
      <c r="F7291" t="s">
        <v>41</v>
      </c>
      <c r="G7291">
        <v>-183.5506</v>
      </c>
      <c r="H7291" s="1">
        <v>-2.6540809999999998E-6</v>
      </c>
      <c r="I7291">
        <v>32.40455</v>
      </c>
      <c r="J7291">
        <v>-187.61340000000001</v>
      </c>
      <c r="K7291">
        <v>1.1106480000000001</v>
      </c>
      <c r="L7291">
        <v>-26.62323</v>
      </c>
      <c r="M7291">
        <v>3.9844490000000003E-2</v>
      </c>
      <c r="N7291">
        <v>-9.3914789999999995E-3</v>
      </c>
      <c r="O7291">
        <v>0.99916179999999999</v>
      </c>
      <c r="P7291">
        <v>-6.2269350000000001E-2</v>
      </c>
      <c r="Q7291">
        <v>0.164439</v>
      </c>
      <c r="R7291">
        <v>0.98441979999999996</v>
      </c>
      <c r="S7291">
        <v>0.2109375</v>
      </c>
      <c r="T7291">
        <v>-5.7550909999999997E-2</v>
      </c>
      <c r="U7291">
        <v>3.0704349999999998</v>
      </c>
      <c r="V7291">
        <v>-0.1016944</v>
      </c>
      <c r="W7291">
        <v>0.17350099999999999</v>
      </c>
      <c r="X7291">
        <v>0.97956909999999997</v>
      </c>
      <c r="Y7291">
        <v>2.872429E-2</v>
      </c>
      <c r="Z7291">
        <v>-9.3142569999999994E-3</v>
      </c>
      <c r="AA7291">
        <v>0.99954399999999999</v>
      </c>
      <c r="AB7291">
        <v>23</v>
      </c>
      <c r="AC7291">
        <v>4.06280000000001</v>
      </c>
      <c r="AD7291">
        <v>-1.1106506540809999</v>
      </c>
      <c r="AE7291">
        <v>59.02778</v>
      </c>
      <c r="AF7291">
        <v>1.70693654163194</v>
      </c>
      <c r="AG7291">
        <v>-1.1106506540809999</v>
      </c>
      <c r="AH7291">
        <v>59.1219564697614</v>
      </c>
      <c r="AI7291">
        <v>91.075769789503397</v>
      </c>
      <c r="AJ7291">
        <v>88.346247231880696</v>
      </c>
      <c r="AK7291">
        <v>59.157019144349498</v>
      </c>
      <c r="AL7291">
        <v>80.008562480637593</v>
      </c>
      <c r="AM7291">
        <v>95.9269547081946</v>
      </c>
      <c r="AN7291">
        <v>0.99999998483358399</v>
      </c>
    </row>
    <row r="7292" spans="1:40" x14ac:dyDescent="0.25">
      <c r="A7292" t="str">
        <f>"20190304155243922"</f>
        <v>20190304155243922</v>
      </c>
      <c r="B7292" t="str">
        <f>"1551685963914221"</f>
        <v>1551685963914221</v>
      </c>
      <c r="C7292" t="s">
        <v>40</v>
      </c>
      <c r="D7292">
        <v>4.7061970000000004</v>
      </c>
      <c r="E7292">
        <v>0.55036929999999995</v>
      </c>
      <c r="F7292" t="s">
        <v>41</v>
      </c>
      <c r="G7292">
        <v>-183.52449999999999</v>
      </c>
      <c r="H7292" s="1">
        <v>-2.5571160000000001E-6</v>
      </c>
      <c r="I7292">
        <v>32.099209999999999</v>
      </c>
      <c r="J7292">
        <v>-187.6052</v>
      </c>
      <c r="K7292">
        <v>1.110555</v>
      </c>
      <c r="L7292">
        <v>-26.386810000000001</v>
      </c>
      <c r="M7292">
        <v>3.8931899999999998E-2</v>
      </c>
      <c r="N7292">
        <v>-9.3885259999999995E-3</v>
      </c>
      <c r="O7292">
        <v>0.99919780000000002</v>
      </c>
      <c r="P7292">
        <v>-6.2541879999999994E-2</v>
      </c>
      <c r="Q7292">
        <v>0.16374540000000001</v>
      </c>
      <c r="R7292">
        <v>0.98451820000000001</v>
      </c>
      <c r="S7292">
        <v>0.21382139999999999</v>
      </c>
      <c r="T7292">
        <v>-5.8078049999999999E-2</v>
      </c>
      <c r="U7292">
        <v>3.0707089999999999</v>
      </c>
      <c r="V7292">
        <v>-0.10103529999999999</v>
      </c>
      <c r="W7292">
        <v>0.17282890000000001</v>
      </c>
      <c r="X7292">
        <v>0.97975610000000002</v>
      </c>
      <c r="Y7292">
        <v>3.0564959999999999E-2</v>
      </c>
      <c r="Z7292">
        <v>-9.4864619999999993E-3</v>
      </c>
      <c r="AA7292">
        <v>0.99948780000000004</v>
      </c>
      <c r="AB7292">
        <v>23</v>
      </c>
      <c r="AC7292">
        <v>4.0807000000000002</v>
      </c>
      <c r="AD7292">
        <v>-1.110557557116</v>
      </c>
      <c r="AE7292">
        <v>58.486020000000003</v>
      </c>
      <c r="AF7292">
        <v>1.79988803860616</v>
      </c>
      <c r="AG7292">
        <v>-1.110557557116</v>
      </c>
      <c r="AH7292">
        <v>58.579533130473003</v>
      </c>
      <c r="AI7292">
        <v>91.085577721762903</v>
      </c>
      <c r="AJ7292">
        <v>88.240109664123906</v>
      </c>
      <c r="AK7292">
        <v>58.617699006557501</v>
      </c>
      <c r="AL7292">
        <v>80.047661684920001</v>
      </c>
      <c r="AM7292">
        <v>95.887695789213396</v>
      </c>
      <c r="AN7292">
        <v>0.99999998800425405</v>
      </c>
    </row>
    <row r="7293" spans="1:40" x14ac:dyDescent="0.25">
      <c r="A7293" t="str">
        <f>"20190304155243943"</f>
        <v>20190304155243943</v>
      </c>
      <c r="B7293" t="str">
        <f>"1551685963933742"</f>
        <v>1551685963933742</v>
      </c>
      <c r="C7293" t="s">
        <v>40</v>
      </c>
      <c r="D7293">
        <v>4.7147389999999998</v>
      </c>
      <c r="E7293">
        <v>0.55097879999999999</v>
      </c>
      <c r="F7293" t="s">
        <v>41</v>
      </c>
      <c r="G7293">
        <v>-183.58519999999999</v>
      </c>
      <c r="H7293" s="1">
        <v>-2.1672460000000002E-6</v>
      </c>
      <c r="I7293">
        <v>31.00102</v>
      </c>
      <c r="J7293">
        <v>-187.59719999999999</v>
      </c>
      <c r="K7293">
        <v>1.110479</v>
      </c>
      <c r="L7293">
        <v>-26.159849999999999</v>
      </c>
      <c r="M7293">
        <v>3.8190490000000001E-2</v>
      </c>
      <c r="N7293">
        <v>-9.3863200000000001E-3</v>
      </c>
      <c r="O7293">
        <v>0.99922639999999996</v>
      </c>
      <c r="P7293">
        <v>-6.3015799999999997E-2</v>
      </c>
      <c r="Q7293">
        <v>0.16361709999999999</v>
      </c>
      <c r="R7293">
        <v>0.98450919999999997</v>
      </c>
      <c r="S7293">
        <v>0.21510309999999999</v>
      </c>
      <c r="T7293">
        <v>-5.9423690000000001E-2</v>
      </c>
      <c r="U7293">
        <v>3.0707089999999999</v>
      </c>
      <c r="V7293">
        <v>-0.10074569999999999</v>
      </c>
      <c r="W7293">
        <v>0.1727195</v>
      </c>
      <c r="X7293">
        <v>0.97980520000000004</v>
      </c>
      <c r="Y7293">
        <v>3.1721249999999999E-2</v>
      </c>
      <c r="Z7293">
        <v>-9.925606E-3</v>
      </c>
      <c r="AA7293">
        <v>0.99944750000000004</v>
      </c>
      <c r="AB7293">
        <v>23</v>
      </c>
      <c r="AC7293">
        <v>4.0119999999999996</v>
      </c>
      <c r="AD7293">
        <v>-1.110481167246</v>
      </c>
      <c r="AE7293">
        <v>57.160869999999903</v>
      </c>
      <c r="AF7293">
        <v>1.82528958431067</v>
      </c>
      <c r="AG7293">
        <v>-1.110481167246</v>
      </c>
      <c r="AH7293">
        <v>57.2508914600567</v>
      </c>
      <c r="AI7293">
        <v>91.110648313596201</v>
      </c>
      <c r="AJ7293">
        <v>88.173897846492196</v>
      </c>
      <c r="AK7293">
        <v>57.290744657934098</v>
      </c>
      <c r="AL7293">
        <v>80.054025424336203</v>
      </c>
      <c r="AM7293">
        <v>95.870645637099699</v>
      </c>
      <c r="AN7293">
        <v>0.99999997584788902</v>
      </c>
    </row>
    <row r="7294" spans="1:40" x14ac:dyDescent="0.25">
      <c r="A7294" t="str">
        <f>"20190304155243964"</f>
        <v>20190304155243964</v>
      </c>
      <c r="B7294" t="str">
        <f>"1551685963954237"</f>
        <v>1551685963954237</v>
      </c>
      <c r="C7294" t="s">
        <v>40</v>
      </c>
      <c r="D7294">
        <v>4.7199</v>
      </c>
      <c r="E7294">
        <v>0.55155600000000005</v>
      </c>
      <c r="F7294" t="s">
        <v>41</v>
      </c>
      <c r="G7294">
        <v>-183.42609999999999</v>
      </c>
      <c r="H7294" s="1">
        <v>-2.7092479999999999E-6</v>
      </c>
      <c r="I7294">
        <v>32.469329999999999</v>
      </c>
      <c r="J7294">
        <v>-187.58930000000001</v>
      </c>
      <c r="K7294">
        <v>1.1103989999999999</v>
      </c>
      <c r="L7294">
        <v>-25.929929999999999</v>
      </c>
      <c r="M7294">
        <v>3.7556579999999999E-2</v>
      </c>
      <c r="N7294">
        <v>-9.3847559999999993E-3</v>
      </c>
      <c r="O7294">
        <v>0.99925039999999998</v>
      </c>
      <c r="P7294">
        <v>-6.3071039999999995E-2</v>
      </c>
      <c r="Q7294">
        <v>0.16441239999999999</v>
      </c>
      <c r="R7294">
        <v>0.98437319999999995</v>
      </c>
      <c r="S7294">
        <v>0.21847530000000001</v>
      </c>
      <c r="T7294">
        <v>-5.8164479999999998E-2</v>
      </c>
      <c r="U7294">
        <v>3.070862</v>
      </c>
      <c r="V7294">
        <v>-0.1001406</v>
      </c>
      <c r="W7294">
        <v>0.17353250000000001</v>
      </c>
      <c r="X7294">
        <v>0.97972360000000003</v>
      </c>
      <c r="Y7294">
        <v>3.3444000000000002E-2</v>
      </c>
      <c r="Z7294">
        <v>-9.5167849999999998E-3</v>
      </c>
      <c r="AA7294">
        <v>0.99939529999999999</v>
      </c>
      <c r="AB7294">
        <v>23</v>
      </c>
      <c r="AC7294">
        <v>4.1632000000000096</v>
      </c>
      <c r="AD7294">
        <v>-1.1104017092480001</v>
      </c>
      <c r="AE7294">
        <v>58.399259999999998</v>
      </c>
      <c r="AF7294">
        <v>1.9661822276507299</v>
      </c>
      <c r="AG7294">
        <v>-1.1104017092480001</v>
      </c>
      <c r="AH7294">
        <v>58.493378054428199</v>
      </c>
      <c r="AI7294">
        <v>91.086922894017206</v>
      </c>
      <c r="AJ7294">
        <v>88.074798426273105</v>
      </c>
      <c r="AK7294">
        <v>58.536946800516397</v>
      </c>
      <c r="AL7294">
        <v>80.006730021210103</v>
      </c>
      <c r="AM7294">
        <v>95.836112057566694</v>
      </c>
      <c r="AN7294">
        <v>1.0000000003607801</v>
      </c>
    </row>
    <row r="7295" spans="1:40" x14ac:dyDescent="0.25">
      <c r="A7295" t="str">
        <f>"20190304155243987"</f>
        <v>20190304155243987</v>
      </c>
      <c r="B7295" t="str">
        <f>"1551685963984494"</f>
        <v>1551685963984494</v>
      </c>
      <c r="C7295" t="s">
        <v>40</v>
      </c>
      <c r="D7295">
        <v>4.8150250000000003</v>
      </c>
      <c r="E7295">
        <v>0.55245599999999995</v>
      </c>
      <c r="F7295" t="s">
        <v>41</v>
      </c>
      <c r="G7295">
        <v>-183.01</v>
      </c>
      <c r="H7295" s="1">
        <v>-4.4466529999999999E-6</v>
      </c>
      <c r="I7295">
        <v>37.107770000000002</v>
      </c>
      <c r="J7295">
        <v>-187.58109999999999</v>
      </c>
      <c r="K7295">
        <v>1.1103259999999999</v>
      </c>
      <c r="L7295">
        <v>-25.69492</v>
      </c>
      <c r="M7295">
        <v>3.7013909999999997E-2</v>
      </c>
      <c r="N7295">
        <v>-9.3837850000000004E-3</v>
      </c>
      <c r="O7295">
        <v>0.99927069999999996</v>
      </c>
      <c r="P7295">
        <v>-6.3266219999999998E-2</v>
      </c>
      <c r="Q7295">
        <v>0.1646637</v>
      </c>
      <c r="R7295">
        <v>0.98431869999999999</v>
      </c>
      <c r="S7295">
        <v>0.22308349999999999</v>
      </c>
      <c r="T7295">
        <v>-5.4094549999999998E-2</v>
      </c>
      <c r="U7295">
        <v>3.0709529999999998</v>
      </c>
      <c r="V7295">
        <v>-9.9771449999999998E-2</v>
      </c>
      <c r="W7295">
        <v>0.1737996</v>
      </c>
      <c r="X7295">
        <v>0.97971390000000003</v>
      </c>
      <c r="Y7295">
        <v>3.5477340000000003E-2</v>
      </c>
      <c r="Z7295">
        <v>-8.1948860000000002E-3</v>
      </c>
      <c r="AA7295">
        <v>0.99933689999999997</v>
      </c>
      <c r="AB7295">
        <v>24</v>
      </c>
      <c r="AC7295">
        <v>4.5711000000000004</v>
      </c>
      <c r="AD7295">
        <v>-1.110330446653</v>
      </c>
      <c r="AE7295">
        <v>62.802689999999998</v>
      </c>
      <c r="AF7295">
        <v>2.24259465662375</v>
      </c>
      <c r="AG7295">
        <v>-1.110330446653</v>
      </c>
      <c r="AH7295">
        <v>62.909292459257799</v>
      </c>
      <c r="AI7295">
        <v>91.010506882231994</v>
      </c>
      <c r="AJ7295">
        <v>87.958380754172694</v>
      </c>
      <c r="AK7295">
        <v>62.9590433712196</v>
      </c>
      <c r="AL7295">
        <v>79.991190024306604</v>
      </c>
      <c r="AM7295">
        <v>95.814803161086999</v>
      </c>
      <c r="AN7295">
        <v>0.999999984524236</v>
      </c>
    </row>
    <row r="7296" spans="1:40" x14ac:dyDescent="0.25">
      <c r="A7296" t="str">
        <f>"20190304155244009"</f>
        <v>20190304155244009</v>
      </c>
      <c r="B7296" t="str">
        <f>"1551685964004014"</f>
        <v>1551685964004014</v>
      </c>
      <c r="C7296" t="s">
        <v>40</v>
      </c>
      <c r="D7296">
        <v>4.7180400000000002</v>
      </c>
      <c r="E7296">
        <v>0.55300590000000005</v>
      </c>
      <c r="F7296" t="s">
        <v>41</v>
      </c>
      <c r="G7296">
        <v>-182.5376</v>
      </c>
      <c r="H7296" s="1">
        <v>-2.6919520000000002E-6</v>
      </c>
      <c r="I7296">
        <v>41.723869999999998</v>
      </c>
      <c r="J7296">
        <v>-187.57320000000001</v>
      </c>
      <c r="K7296">
        <v>1.110269</v>
      </c>
      <c r="L7296">
        <v>-25.464780000000001</v>
      </c>
      <c r="M7296">
        <v>3.6579229999999997E-2</v>
      </c>
      <c r="N7296">
        <v>-9.3833579999999996E-3</v>
      </c>
      <c r="O7296">
        <v>0.99928669999999997</v>
      </c>
      <c r="P7296">
        <v>-6.3683299999999998E-2</v>
      </c>
      <c r="Q7296">
        <v>0.16505500000000001</v>
      </c>
      <c r="R7296">
        <v>0.98422619999999905</v>
      </c>
      <c r="S7296">
        <v>0.2297363</v>
      </c>
      <c r="T7296">
        <v>-5.0576929999999999E-2</v>
      </c>
      <c r="U7296">
        <v>3.0710139999999999</v>
      </c>
      <c r="V7296">
        <v>-9.9734310000000007E-2</v>
      </c>
      <c r="W7296">
        <v>0.17420350000000001</v>
      </c>
      <c r="X7296">
        <v>0.97964600000000002</v>
      </c>
      <c r="Y7296">
        <v>3.8064210000000001E-2</v>
      </c>
      <c r="Z7296">
        <v>-7.0514699999999998E-3</v>
      </c>
      <c r="AA7296">
        <v>0.99925039999999998</v>
      </c>
      <c r="AB7296">
        <v>24</v>
      </c>
      <c r="AC7296">
        <v>5.0356000000000103</v>
      </c>
      <c r="AD7296">
        <v>-1.1102716919519999</v>
      </c>
      <c r="AE7296">
        <v>67.188649999999996</v>
      </c>
      <c r="AF7296">
        <v>2.5737135006771399</v>
      </c>
      <c r="AG7296">
        <v>-1.1102716919519999</v>
      </c>
      <c r="AH7296">
        <v>67.3096096583606</v>
      </c>
      <c r="AI7296">
        <v>90.944317960776402</v>
      </c>
      <c r="AJ7296">
        <v>87.810251489062495</v>
      </c>
      <c r="AK7296">
        <v>67.367946805393899</v>
      </c>
      <c r="AL7296">
        <v>79.967690319668904</v>
      </c>
      <c r="AM7296">
        <v>95.813053540660206</v>
      </c>
      <c r="AN7296">
        <v>1.0000000386597101</v>
      </c>
    </row>
    <row r="7297" spans="1:40" x14ac:dyDescent="0.25">
      <c r="A7297" t="str">
        <f>"20190304155244032"</f>
        <v>20190304155244032</v>
      </c>
      <c r="B7297" t="str">
        <f>"1551685964024509"</f>
        <v>1551685964024509</v>
      </c>
      <c r="C7297" t="s">
        <v>40</v>
      </c>
      <c r="D7297">
        <v>4.7182250000000003</v>
      </c>
      <c r="E7297">
        <v>0.55353699999999995</v>
      </c>
      <c r="F7297" t="s">
        <v>41</v>
      </c>
      <c r="G7297">
        <v>-182.00360000000001</v>
      </c>
      <c r="H7297" s="1">
        <v>-4.9605509999999997E-6</v>
      </c>
      <c r="I7297">
        <v>47.889530000000001</v>
      </c>
      <c r="J7297">
        <v>-187.5651</v>
      </c>
      <c r="K7297">
        <v>1.110223</v>
      </c>
      <c r="L7297">
        <v>-25.231079999999999</v>
      </c>
      <c r="M7297">
        <v>3.6211790000000001E-2</v>
      </c>
      <c r="N7297">
        <v>-9.3834250000000008E-3</v>
      </c>
      <c r="O7297">
        <v>0.99930010000000002</v>
      </c>
      <c r="P7297">
        <v>-6.3240190000000002E-2</v>
      </c>
      <c r="Q7297">
        <v>0.165801799999999</v>
      </c>
      <c r="R7297">
        <v>0.98412929999999998</v>
      </c>
      <c r="S7297">
        <v>0.2331696</v>
      </c>
      <c r="T7297">
        <v>-4.6481250000000002E-2</v>
      </c>
      <c r="U7297">
        <v>3.0709529999999998</v>
      </c>
      <c r="V7297">
        <v>-9.8908919999999997E-2</v>
      </c>
      <c r="W7297">
        <v>0.1749608</v>
      </c>
      <c r="X7297">
        <v>0.97959470000000004</v>
      </c>
      <c r="Y7297">
        <v>3.9544620000000003E-2</v>
      </c>
      <c r="Z7297">
        <v>-5.7213819999999997E-3</v>
      </c>
      <c r="AA7297">
        <v>0.99920140000000002</v>
      </c>
      <c r="AB7297">
        <v>24</v>
      </c>
      <c r="AC7297">
        <v>5.5614999999999899</v>
      </c>
      <c r="AD7297">
        <v>-1.1102279605509999</v>
      </c>
      <c r="AE7297">
        <v>73.120609999999999</v>
      </c>
      <c r="AF7297">
        <v>2.90924055854591</v>
      </c>
      <c r="AG7297">
        <v>-1.1102279605509999</v>
      </c>
      <c r="AH7297">
        <v>73.257257957662503</v>
      </c>
      <c r="AI7297">
        <v>90.8675784344222</v>
      </c>
      <c r="AJ7297">
        <v>87.725827230544397</v>
      </c>
      <c r="AK7297">
        <v>73.323407791969004</v>
      </c>
      <c r="AL7297">
        <v>79.9236232453718</v>
      </c>
      <c r="AM7297">
        <v>95.765570654709606</v>
      </c>
      <c r="AN7297">
        <v>1.0000000161301399</v>
      </c>
    </row>
    <row r="7298" spans="1:40" x14ac:dyDescent="0.25">
      <c r="A7298" t="str">
        <f>"20190304155244054"</f>
        <v>20190304155244054</v>
      </c>
      <c r="B7298" t="str">
        <f>"1551685964044030"</f>
        <v>1551685964044030</v>
      </c>
      <c r="C7298" t="s">
        <v>40</v>
      </c>
      <c r="D7298">
        <v>4.6875269999999896</v>
      </c>
      <c r="E7298">
        <v>0.55397390000000002</v>
      </c>
      <c r="F7298" t="s">
        <v>41</v>
      </c>
      <c r="G7298">
        <v>-181.57069999999999</v>
      </c>
      <c r="H7298" s="1">
        <v>-3.0326680000000002E-6</v>
      </c>
      <c r="I7298">
        <v>51.969090000000001</v>
      </c>
      <c r="J7298">
        <v>-187.55670000000001</v>
      </c>
      <c r="K7298">
        <v>1.1101920000000001</v>
      </c>
      <c r="L7298">
        <v>-24.987210000000001</v>
      </c>
      <c r="M7298">
        <v>3.5881700000000002E-2</v>
      </c>
      <c r="N7298">
        <v>-9.3839609999999997E-3</v>
      </c>
      <c r="O7298">
        <v>0.99931199999999998</v>
      </c>
      <c r="P7298">
        <v>-6.3144450000000005E-2</v>
      </c>
      <c r="Q7298">
        <v>0.1642691</v>
      </c>
      <c r="R7298">
        <v>0.98439239999999995</v>
      </c>
      <c r="S7298">
        <v>0.23846439999999999</v>
      </c>
      <c r="T7298">
        <v>-4.4166450000000003E-2</v>
      </c>
      <c r="U7298">
        <v>3.0711360000000001</v>
      </c>
      <c r="V7298">
        <v>-9.8485550000000005E-2</v>
      </c>
      <c r="W7298">
        <v>0.17343900000000001</v>
      </c>
      <c r="X7298">
        <v>0.97990790000000005</v>
      </c>
      <c r="Y7298">
        <v>4.1582889999999997E-2</v>
      </c>
      <c r="Z7298">
        <v>-4.9673989999999999E-3</v>
      </c>
      <c r="AA7298">
        <v>0.99912270000000003</v>
      </c>
      <c r="AB7298">
        <v>24</v>
      </c>
      <c r="AC7298">
        <v>5.9860000000000104</v>
      </c>
      <c r="AD7298">
        <v>-1.1101950326679999</v>
      </c>
      <c r="AE7298">
        <v>76.956299999999999</v>
      </c>
      <c r="AF7298">
        <v>3.22003440726979</v>
      </c>
      <c r="AG7298">
        <v>-1.1101950326679999</v>
      </c>
      <c r="AH7298">
        <v>77.105585937620802</v>
      </c>
      <c r="AI7298">
        <v>90.824190750460502</v>
      </c>
      <c r="AJ7298">
        <v>87.608639661676307</v>
      </c>
      <c r="AK7298">
        <v>77.180778289535198</v>
      </c>
      <c r="AL7298">
        <v>80.012169570624096</v>
      </c>
      <c r="AM7298">
        <v>95.7392341808265</v>
      </c>
      <c r="AN7298">
        <v>0.99999999138110596</v>
      </c>
    </row>
    <row r="7299" spans="1:40" x14ac:dyDescent="0.25">
      <c r="A7299" t="str">
        <f>"20190304155244076"</f>
        <v>20190304155244076</v>
      </c>
      <c r="B7299" t="str">
        <f>"1551685964074286"</f>
        <v>1551685964074286</v>
      </c>
      <c r="C7299" t="s">
        <v>40</v>
      </c>
      <c r="D7299">
        <v>4.7885140000000002</v>
      </c>
      <c r="E7299">
        <v>0.56411719999999999</v>
      </c>
      <c r="F7299" t="s">
        <v>41</v>
      </c>
      <c r="G7299">
        <v>-181.95410000000001</v>
      </c>
      <c r="H7299" s="1">
        <v>-4.3143609999999997E-6</v>
      </c>
      <c r="I7299">
        <v>46.035159999999998</v>
      </c>
      <c r="J7299">
        <v>-187.5487</v>
      </c>
      <c r="K7299">
        <v>1.1101669999999999</v>
      </c>
      <c r="L7299">
        <v>-24.75543</v>
      </c>
      <c r="M7299">
        <v>3.5602660000000001E-2</v>
      </c>
      <c r="N7299">
        <v>-9.3848760000000003E-3</v>
      </c>
      <c r="O7299">
        <v>0.99932189999999999</v>
      </c>
      <c r="P7299">
        <v>-6.3834550000000004E-2</v>
      </c>
      <c r="Q7299">
        <v>0.16336289999999901</v>
      </c>
      <c r="R7299">
        <v>0.98449869999999995</v>
      </c>
      <c r="S7299">
        <v>0.2422638</v>
      </c>
      <c r="T7299">
        <v>-4.8006420000000001E-2</v>
      </c>
      <c r="U7299">
        <v>3.0711059999999999</v>
      </c>
      <c r="V7299">
        <v>-9.8897639999999995E-2</v>
      </c>
      <c r="W7299">
        <v>0.17253869999999999</v>
      </c>
      <c r="X7299">
        <v>0.98002540000000005</v>
      </c>
      <c r="Y7299">
        <v>4.3090179999999999E-2</v>
      </c>
      <c r="Z7299">
        <v>-6.2121470000000003E-3</v>
      </c>
      <c r="AA7299">
        <v>0.99905189999999999</v>
      </c>
      <c r="AB7299">
        <v>24</v>
      </c>
      <c r="AC7299">
        <v>5.5945999999999803</v>
      </c>
      <c r="AD7299">
        <v>-1.1101713143609999</v>
      </c>
      <c r="AE7299">
        <v>70.790589999999995</v>
      </c>
      <c r="AF7299">
        <v>3.0698580832361899</v>
      </c>
      <c r="AG7299">
        <v>-1.1101713143609999</v>
      </c>
      <c r="AH7299">
        <v>70.927562313756695</v>
      </c>
      <c r="AI7299">
        <v>90.895892298531393</v>
      </c>
      <c r="AJ7299">
        <v>87.521693991706798</v>
      </c>
      <c r="AK7299">
        <v>71.002645054746296</v>
      </c>
      <c r="AL7299">
        <v>80.064543292828105</v>
      </c>
      <c r="AM7299">
        <v>95.762401050066302</v>
      </c>
      <c r="AN7299">
        <v>1.0000000654201999</v>
      </c>
    </row>
    <row r="7300" spans="1:40" x14ac:dyDescent="0.25">
      <c r="A7300" t="str">
        <f>"20190304155244099"</f>
        <v>20190304155244099</v>
      </c>
      <c r="B7300" t="str">
        <f>"1551685964093806"</f>
        <v>1551685964093806</v>
      </c>
      <c r="C7300" t="s">
        <v>40</v>
      </c>
      <c r="D7300">
        <v>4.7574519999999998</v>
      </c>
      <c r="E7300">
        <v>0.5280089</v>
      </c>
      <c r="F7300" t="s">
        <v>41</v>
      </c>
      <c r="G7300">
        <v>-179.95779999999999</v>
      </c>
      <c r="H7300">
        <v>1.0570299999999999E-2</v>
      </c>
      <c r="I7300">
        <v>47.887709999999998</v>
      </c>
      <c r="J7300">
        <v>-187.5402</v>
      </c>
      <c r="K7300">
        <v>1.1101510000000001</v>
      </c>
      <c r="L7300">
        <v>-24.506129999999999</v>
      </c>
      <c r="M7300">
        <v>3.532573E-2</v>
      </c>
      <c r="N7300">
        <v>-9.3861970000000006E-3</v>
      </c>
      <c r="O7300">
        <v>0.99933179999999999</v>
      </c>
      <c r="P7300">
        <v>-6.4513420000000002E-2</v>
      </c>
      <c r="Q7300">
        <v>0.1633039</v>
      </c>
      <c r="R7300">
        <v>0.98446420000000001</v>
      </c>
      <c r="S7300">
        <v>0.32141110000000001</v>
      </c>
      <c r="T7300">
        <v>-4.6558380000000003E-2</v>
      </c>
      <c r="U7300">
        <v>3.075806</v>
      </c>
      <c r="V7300">
        <v>-9.9299589999999993E-2</v>
      </c>
      <c r="W7300">
        <v>0.17248279999999999</v>
      </c>
      <c r="X7300">
        <v>0.97999449999999999</v>
      </c>
      <c r="Y7300">
        <v>6.8720279999999995E-2</v>
      </c>
      <c r="Z7300">
        <v>-5.6936629999999998E-3</v>
      </c>
      <c r="AA7300">
        <v>0.9976197</v>
      </c>
      <c r="AB7300">
        <v>24</v>
      </c>
      <c r="AC7300">
        <v>7.5823999999999998</v>
      </c>
      <c r="AD7300">
        <v>-1.0995807</v>
      </c>
      <c r="AE7300">
        <v>72.393839999999997</v>
      </c>
      <c r="AF7300">
        <v>5.0190438662340497</v>
      </c>
      <c r="AG7300">
        <v>-1.0995807</v>
      </c>
      <c r="AH7300">
        <v>72.599949934004599</v>
      </c>
      <c r="AI7300">
        <v>90.865655357187805</v>
      </c>
      <c r="AJ7300">
        <v>86.045269905467606</v>
      </c>
      <c r="AK7300">
        <v>72.7815403070515</v>
      </c>
      <c r="AL7300">
        <v>80.067793942843096</v>
      </c>
      <c r="AM7300">
        <v>95.7858438207886</v>
      </c>
      <c r="AN7300">
        <v>0.99999997245012795</v>
      </c>
    </row>
    <row r="7301" spans="1:40" x14ac:dyDescent="0.25">
      <c r="A7301" t="str">
        <f>"20190304155244123"</f>
        <v>20190304155244123</v>
      </c>
      <c r="B7301" t="str">
        <f>"1551685964114302"</f>
        <v>1551685964114302</v>
      </c>
      <c r="C7301" t="s">
        <v>40</v>
      </c>
      <c r="D7301">
        <v>4.7758929999999999</v>
      </c>
      <c r="E7301">
        <v>0.52474370000000004</v>
      </c>
      <c r="F7301" t="s">
        <v>41</v>
      </c>
      <c r="G7301">
        <v>-187.2603</v>
      </c>
      <c r="H7301" s="1">
        <v>-1.4238149999999901E-6</v>
      </c>
      <c r="I7301">
        <v>1.6899689999999901</v>
      </c>
      <c r="J7301">
        <v>-187.5318</v>
      </c>
      <c r="K7301">
        <v>1.110152</v>
      </c>
      <c r="L7301">
        <v>-24.25836</v>
      </c>
      <c r="M7301">
        <v>3.5060099999999997E-2</v>
      </c>
      <c r="N7301">
        <v>-9.3878669999999994E-3</v>
      </c>
      <c r="O7301">
        <v>0.99934109999999998</v>
      </c>
      <c r="P7301">
        <v>-6.4755160000000006E-2</v>
      </c>
      <c r="Q7301">
        <v>0.16318650000000001</v>
      </c>
      <c r="R7301">
        <v>0.98446789999999995</v>
      </c>
      <c r="S7301">
        <v>3.2806399999999999E-2</v>
      </c>
      <c r="T7301">
        <v>-0.13014769999999901</v>
      </c>
      <c r="U7301">
        <v>3.071075</v>
      </c>
      <c r="V7301">
        <v>-9.9279660000000006E-2</v>
      </c>
      <c r="W7301">
        <v>0.172367299999999</v>
      </c>
      <c r="X7301">
        <v>0.98001689999999997</v>
      </c>
      <c r="Y7301">
        <v>-2.4384300000000001E-2</v>
      </c>
      <c r="Z7301">
        <v>-3.2914449999999998E-2</v>
      </c>
      <c r="AA7301">
        <v>0.99916059999999995</v>
      </c>
      <c r="AB7301">
        <v>24</v>
      </c>
      <c r="AC7301">
        <v>0.27150000000000302</v>
      </c>
      <c r="AD7301">
        <v>-1.1101534238149999</v>
      </c>
      <c r="AE7301">
        <v>25.948329000000001</v>
      </c>
      <c r="AF7301">
        <v>-0.63729166903199197</v>
      </c>
      <c r="AG7301">
        <v>-1.1101534238149999</v>
      </c>
      <c r="AH7301">
        <v>25.894501706012299</v>
      </c>
      <c r="AI7301">
        <v>92.454148741076395</v>
      </c>
      <c r="AJ7301">
        <v>91.409826448144997</v>
      </c>
      <c r="AK7301">
        <v>25.9261219602643</v>
      </c>
      <c r="AL7301">
        <v>80.074512811171203</v>
      </c>
      <c r="AM7301">
        <v>95.784559122053807</v>
      </c>
      <c r="AN7301">
        <v>1.0000000306423</v>
      </c>
    </row>
    <row r="7302" spans="1:40" x14ac:dyDescent="0.25">
      <c r="A7302" t="str">
        <f>"20190304155244145"</f>
        <v>20190304155244145</v>
      </c>
      <c r="B7302" t="str">
        <f>"1551685964133822"</f>
        <v>1551685964133822</v>
      </c>
      <c r="C7302" t="s">
        <v>40</v>
      </c>
      <c r="D7302">
        <v>4.8311609999999998</v>
      </c>
      <c r="E7302">
        <v>0.52433750000000001</v>
      </c>
      <c r="F7302" t="s">
        <v>41</v>
      </c>
      <c r="G7302">
        <v>-187.47710000000001</v>
      </c>
      <c r="H7302" s="1">
        <v>-2.025794E-6</v>
      </c>
      <c r="I7302">
        <v>3.3117589999999901</v>
      </c>
      <c r="J7302">
        <v>-187.52379999999999</v>
      </c>
      <c r="K7302">
        <v>1.1101510000000001</v>
      </c>
      <c r="L7302">
        <v>-24.023319999999998</v>
      </c>
      <c r="M7302">
        <v>3.4807159999999997E-2</v>
      </c>
      <c r="N7302">
        <v>-9.3897119999999997E-3</v>
      </c>
      <c r="O7302">
        <v>0.99934999999999996</v>
      </c>
      <c r="P7302">
        <v>-6.5150799999999995E-2</v>
      </c>
      <c r="Q7302">
        <v>0.16246459999999999</v>
      </c>
      <c r="R7302">
        <v>0.98456109999999997</v>
      </c>
      <c r="S7302">
        <v>6.0882569999999997E-3</v>
      </c>
      <c r="T7302">
        <v>-0.12354610000000001</v>
      </c>
      <c r="U7302">
        <v>3.0682070000000001</v>
      </c>
      <c r="V7302">
        <v>-9.9431130000000006E-2</v>
      </c>
      <c r="W7302">
        <v>0.1716471</v>
      </c>
      <c r="X7302">
        <v>0.98012790000000005</v>
      </c>
      <c r="Y7302">
        <v>-3.2818819999999999E-2</v>
      </c>
      <c r="Z7302">
        <v>-3.0802960000000001E-2</v>
      </c>
      <c r="AA7302">
        <v>0.9989865</v>
      </c>
      <c r="AB7302">
        <v>24</v>
      </c>
      <c r="AC7302">
        <v>4.6699999999987002E-2</v>
      </c>
      <c r="AD7302">
        <v>-1.110153025794</v>
      </c>
      <c r="AE7302">
        <v>27.335078999999901</v>
      </c>
      <c r="AF7302">
        <v>-0.90333669841259401</v>
      </c>
      <c r="AG7302">
        <v>-1.110153025794</v>
      </c>
      <c r="AH7302">
        <v>27.275151935368001</v>
      </c>
      <c r="AI7302">
        <v>92.329490014606506</v>
      </c>
      <c r="AJ7302">
        <v>91.896908539070097</v>
      </c>
      <c r="AK7302">
        <v>27.312677826034999</v>
      </c>
      <c r="AL7302">
        <v>80.1164011328367</v>
      </c>
      <c r="AM7302">
        <v>95.792672947185906</v>
      </c>
      <c r="AN7302">
        <v>0.99999998845494797</v>
      </c>
    </row>
    <row r="7303" spans="1:40" x14ac:dyDescent="0.25">
      <c r="A7303" t="str">
        <f>"20190304155244166"</f>
        <v>20190304155244166</v>
      </c>
      <c r="B7303" t="str">
        <f>"1551685964164078"</f>
        <v>1551685964164078</v>
      </c>
      <c r="C7303" t="s">
        <v>40</v>
      </c>
      <c r="D7303">
        <v>4.802054</v>
      </c>
      <c r="E7303">
        <v>0.52496430000000005</v>
      </c>
      <c r="F7303" t="s">
        <v>41</v>
      </c>
      <c r="G7303">
        <v>-187.50909999999999</v>
      </c>
      <c r="H7303" s="1">
        <v>-3.3845360000000001E-6</v>
      </c>
      <c r="I7303">
        <v>6.4922610000000001</v>
      </c>
      <c r="J7303">
        <v>-187.5162</v>
      </c>
      <c r="K7303">
        <v>1.1101559999999999</v>
      </c>
      <c r="L7303">
        <v>-23.79654</v>
      </c>
      <c r="M7303">
        <v>3.4558119999999998E-2</v>
      </c>
      <c r="N7303">
        <v>-9.3916989999999999E-3</v>
      </c>
      <c r="O7303">
        <v>0.99935850000000004</v>
      </c>
      <c r="P7303">
        <v>-6.5525440000000004E-2</v>
      </c>
      <c r="Q7303">
        <v>0.1615818</v>
      </c>
      <c r="R7303">
        <v>0.98468149999999999</v>
      </c>
      <c r="S7303">
        <v>1.480103E-3</v>
      </c>
      <c r="T7303">
        <v>-0.1115246</v>
      </c>
      <c r="U7303">
        <v>3.0655519999999998</v>
      </c>
      <c r="V7303">
        <v>-9.9567649999999994E-2</v>
      </c>
      <c r="W7303">
        <v>0.17076629999999901</v>
      </c>
      <c r="X7303">
        <v>0.98026789999999997</v>
      </c>
      <c r="Y7303">
        <v>-3.4069960000000003E-2</v>
      </c>
      <c r="Z7303">
        <v>-2.6925749999999998E-2</v>
      </c>
      <c r="AA7303">
        <v>0.99905670000000002</v>
      </c>
      <c r="AB7303">
        <v>24</v>
      </c>
      <c r="AC7303">
        <v>7.1000000000083201E-3</v>
      </c>
      <c r="AD7303">
        <v>-1.1101593845359901</v>
      </c>
      <c r="AE7303">
        <v>30.288800999999999</v>
      </c>
      <c r="AF7303">
        <v>-1.03827966125888</v>
      </c>
      <c r="AG7303">
        <v>-1.1101593845359901</v>
      </c>
      <c r="AH7303">
        <v>30.230341417538401</v>
      </c>
      <c r="AI7303">
        <v>92.1019095702475</v>
      </c>
      <c r="AJ7303">
        <v>91.967085543361804</v>
      </c>
      <c r="AK7303">
        <v>30.2685318562859</v>
      </c>
      <c r="AL7303">
        <v>80.167623674219001</v>
      </c>
      <c r="AM7303">
        <v>95.799749373134603</v>
      </c>
      <c r="AN7303">
        <v>1.0000000009563099</v>
      </c>
    </row>
    <row r="7304" spans="1:40" x14ac:dyDescent="0.25">
      <c r="A7304" t="str">
        <f>"20190304155244188"</f>
        <v>20190304155244188</v>
      </c>
      <c r="B7304" t="str">
        <f>"1551685964183598"</f>
        <v>1551685964183598</v>
      </c>
      <c r="C7304" t="s">
        <v>40</v>
      </c>
      <c r="D7304">
        <v>4.8297910000000002</v>
      </c>
      <c r="E7304">
        <v>0.52495509999999901</v>
      </c>
      <c r="F7304" t="s">
        <v>41</v>
      </c>
      <c r="G7304">
        <v>-187.45679999999999</v>
      </c>
      <c r="H7304" s="1">
        <v>-9.2624580000000004E-7</v>
      </c>
      <c r="I7304">
        <v>10.381399999999999</v>
      </c>
      <c r="J7304">
        <v>-187.50829999999999</v>
      </c>
      <c r="K7304">
        <v>1.110166</v>
      </c>
      <c r="L7304">
        <v>-23.55988</v>
      </c>
      <c r="M7304">
        <v>3.4291759999999998E-2</v>
      </c>
      <c r="N7304">
        <v>-9.3939780000000007E-3</v>
      </c>
      <c r="O7304">
        <v>0.99936769999999997</v>
      </c>
      <c r="P7304">
        <v>-6.6410570000000002E-2</v>
      </c>
      <c r="Q7304">
        <v>0.1614342</v>
      </c>
      <c r="R7304">
        <v>0.98464640000000003</v>
      </c>
      <c r="S7304">
        <v>5.3253170000000004E-3</v>
      </c>
      <c r="T7304">
        <v>-9.9502919999999995E-2</v>
      </c>
      <c r="U7304">
        <v>3.0633539999999999</v>
      </c>
      <c r="V7304">
        <v>-0.1001929</v>
      </c>
      <c r="W7304">
        <v>0.17061779999999999</v>
      </c>
      <c r="X7304">
        <v>0.98023000000000005</v>
      </c>
      <c r="Y7304">
        <v>-3.2549910000000001E-2</v>
      </c>
      <c r="Z7304">
        <v>-2.3037120000000001E-2</v>
      </c>
      <c r="AA7304">
        <v>0.9992046</v>
      </c>
      <c r="AB7304">
        <v>24</v>
      </c>
      <c r="AC7304">
        <v>5.1500000000004299E-2</v>
      </c>
      <c r="AD7304">
        <v>-1.1101669262458</v>
      </c>
      <c r="AE7304">
        <v>33.941279999999999</v>
      </c>
      <c r="AF7304">
        <v>-1.11129898210092</v>
      </c>
      <c r="AG7304">
        <v>-1.1101669262458</v>
      </c>
      <c r="AH7304">
        <v>33.8868287636855</v>
      </c>
      <c r="AI7304">
        <v>91.875389342109699</v>
      </c>
      <c r="AJ7304">
        <v>91.878308840413396</v>
      </c>
      <c r="AK7304">
        <v>33.9232165292605</v>
      </c>
      <c r="AL7304">
        <v>80.176258336489099</v>
      </c>
      <c r="AM7304">
        <v>95.8361432532446</v>
      </c>
      <c r="AN7304">
        <v>0.99999995189362301</v>
      </c>
    </row>
    <row r="7305" spans="1:40" x14ac:dyDescent="0.25">
      <c r="A7305" t="str">
        <f>"20190304155244209"</f>
        <v>20190304155244209</v>
      </c>
      <c r="B7305" t="str">
        <f>"1551685964204094"</f>
        <v>1551685964204094</v>
      </c>
      <c r="C7305" t="s">
        <v>40</v>
      </c>
      <c r="D7305">
        <v>4.8701970000000001</v>
      </c>
      <c r="E7305">
        <v>0.5250648</v>
      </c>
      <c r="F7305" t="s">
        <v>41</v>
      </c>
      <c r="G7305">
        <v>-187.47550000000001</v>
      </c>
      <c r="H7305" s="1">
        <v>-1.0597730000000001E-6</v>
      </c>
      <c r="I7305">
        <v>10.78839</v>
      </c>
      <c r="J7305">
        <v>-187.50049999999999</v>
      </c>
      <c r="K7305">
        <v>1.110174</v>
      </c>
      <c r="L7305">
        <v>-23.323730000000001</v>
      </c>
      <c r="M7305">
        <v>3.4019679999999997E-2</v>
      </c>
      <c r="N7305">
        <v>-9.3964419999999996E-3</v>
      </c>
      <c r="O7305">
        <v>0.99937699999999996</v>
      </c>
      <c r="P7305">
        <v>-6.7084179999999993E-2</v>
      </c>
      <c r="Q7305">
        <v>0.1616879</v>
      </c>
      <c r="R7305">
        <v>0.98455919999999997</v>
      </c>
      <c r="S7305">
        <v>2.9296880000000002E-3</v>
      </c>
      <c r="T7305">
        <v>-9.9005460000000003E-2</v>
      </c>
      <c r="U7305">
        <v>3.063202</v>
      </c>
      <c r="V7305">
        <v>-0.1006002</v>
      </c>
      <c r="W7305">
        <v>0.17087060000000001</v>
      </c>
      <c r="X7305">
        <v>0.98014429999999997</v>
      </c>
      <c r="Y7305">
        <v>-3.3059079999999998E-2</v>
      </c>
      <c r="Z7305">
        <v>-2.2874350000000002E-2</v>
      </c>
      <c r="AA7305">
        <v>0.99919159999999996</v>
      </c>
      <c r="AB7305">
        <v>24</v>
      </c>
      <c r="AC7305">
        <v>2.49999999999772E-2</v>
      </c>
      <c r="AD7305">
        <v>-1.110175059773</v>
      </c>
      <c r="AE7305">
        <v>34.112119999999997</v>
      </c>
      <c r="AF7305">
        <v>-1.1343476360302001</v>
      </c>
      <c r="AG7305">
        <v>-1.110175059773</v>
      </c>
      <c r="AH7305">
        <v>34.057151154002199</v>
      </c>
      <c r="AI7305">
        <v>91.865999120374994</v>
      </c>
      <c r="AJ7305">
        <v>91.907655572576004</v>
      </c>
      <c r="AK7305">
        <v>34.094116471163503</v>
      </c>
      <c r="AL7305">
        <v>80.1615586280451</v>
      </c>
      <c r="AM7305">
        <v>95.8602121282875</v>
      </c>
      <c r="AN7305">
        <v>1.0000000055034399</v>
      </c>
    </row>
    <row r="7306" spans="1:40" x14ac:dyDescent="0.25">
      <c r="A7306" t="str">
        <f>"20190304155244233"</f>
        <v>20190304155244233</v>
      </c>
      <c r="B7306" t="str">
        <f>"1551685964223615"</f>
        <v>1551685964223615</v>
      </c>
      <c r="C7306" t="s">
        <v>40</v>
      </c>
      <c r="D7306">
        <v>4.8340949999999996</v>
      </c>
      <c r="E7306">
        <v>0.52497550000000004</v>
      </c>
      <c r="F7306" t="s">
        <v>41</v>
      </c>
      <c r="G7306">
        <v>-187.4753</v>
      </c>
      <c r="H7306" s="1">
        <v>-1.7412039999999901E-6</v>
      </c>
      <c r="I7306">
        <v>12.64761</v>
      </c>
      <c r="J7306">
        <v>-187.49270000000001</v>
      </c>
      <c r="K7306">
        <v>1.1101780000000001</v>
      </c>
      <c r="L7306">
        <v>-23.083559999999999</v>
      </c>
      <c r="M7306">
        <v>3.3737410000000002E-2</v>
      </c>
      <c r="N7306">
        <v>-9.3990589999999995E-3</v>
      </c>
      <c r="O7306">
        <v>0.99938649999999996</v>
      </c>
      <c r="P7306">
        <v>-6.7527719999999999E-2</v>
      </c>
      <c r="Q7306">
        <v>0.16135039999999901</v>
      </c>
      <c r="R7306">
        <v>0.98458420000000002</v>
      </c>
      <c r="S7306">
        <v>2.1514889999999999E-3</v>
      </c>
      <c r="T7306">
        <v>-9.4523910000000003E-2</v>
      </c>
      <c r="U7306">
        <v>3.0627140000000002</v>
      </c>
      <c r="V7306">
        <v>-0.1007706</v>
      </c>
      <c r="W7306">
        <v>0.1705342</v>
      </c>
      <c r="X7306">
        <v>0.98018539999999998</v>
      </c>
      <c r="Y7306">
        <v>-3.303072E-2</v>
      </c>
      <c r="Z7306">
        <v>-2.1417510000000001E-2</v>
      </c>
      <c r="AA7306">
        <v>0.99922480000000002</v>
      </c>
      <c r="AB7306">
        <v>24</v>
      </c>
      <c r="AC7306">
        <v>1.7400000000009099E-2</v>
      </c>
      <c r="AD7306">
        <v>-1.110179741204</v>
      </c>
      <c r="AE7306">
        <v>35.731169999999999</v>
      </c>
      <c r="AF7306">
        <v>-1.1869944462076301</v>
      </c>
      <c r="AG7306">
        <v>-1.110179741204</v>
      </c>
      <c r="AH7306">
        <v>35.676973291569297</v>
      </c>
      <c r="AI7306">
        <v>91.781343733149001</v>
      </c>
      <c r="AJ7306">
        <v>91.905562281923196</v>
      </c>
      <c r="AK7306">
        <v>35.713973149461403</v>
      </c>
      <c r="AL7306">
        <v>80.181120209619905</v>
      </c>
      <c r="AM7306">
        <v>95.869824678011497</v>
      </c>
      <c r="AN7306">
        <v>1.0000000227835699</v>
      </c>
    </row>
    <row r="7307" spans="1:40" x14ac:dyDescent="0.25">
      <c r="A7307" t="str">
        <f>"20190304155244255"</f>
        <v>20190304155244255</v>
      </c>
      <c r="B7307" t="str">
        <f>"1551685964244110"</f>
        <v>1551685964244110</v>
      </c>
      <c r="C7307" t="s">
        <v>40</v>
      </c>
      <c r="D7307">
        <v>4.861872</v>
      </c>
      <c r="E7307">
        <v>0.52500259999999999</v>
      </c>
      <c r="F7307" t="s">
        <v>41</v>
      </c>
      <c r="G7307">
        <v>-187.48660000000001</v>
      </c>
      <c r="H7307" s="1">
        <v>-1.871116E-6</v>
      </c>
      <c r="I7307">
        <v>12.955120000000001</v>
      </c>
      <c r="J7307">
        <v>-187.4845</v>
      </c>
      <c r="K7307">
        <v>1.110182</v>
      </c>
      <c r="L7307">
        <v>-22.831669999999999</v>
      </c>
      <c r="M7307">
        <v>3.3436899999999999E-2</v>
      </c>
      <c r="N7307">
        <v>-9.4019480000000002E-3</v>
      </c>
      <c r="O7307">
        <v>0.99939659999999997</v>
      </c>
      <c r="P7307">
        <v>-6.8410120000000005E-2</v>
      </c>
      <c r="Q7307">
        <v>0.1600713</v>
      </c>
      <c r="R7307">
        <v>0.98473200000000005</v>
      </c>
      <c r="S7307">
        <v>5.1879879999999995E-4</v>
      </c>
      <c r="T7307">
        <v>-9.4340090000000001E-2</v>
      </c>
      <c r="U7307">
        <v>3.0624690000000001</v>
      </c>
      <c r="V7307">
        <v>-0.10136439999999999</v>
      </c>
      <c r="W7307">
        <v>0.16925699999999999</v>
      </c>
      <c r="X7307">
        <v>0.98034549999999998</v>
      </c>
      <c r="Y7307">
        <v>-3.3262819999999998E-2</v>
      </c>
      <c r="Z7307">
        <v>-2.1357460000000002E-2</v>
      </c>
      <c r="AA7307">
        <v>0.99921839999999995</v>
      </c>
      <c r="AB7307">
        <v>24</v>
      </c>
      <c r="AC7307">
        <v>-2.1000000000128598E-3</v>
      </c>
      <c r="AD7307">
        <v>-1.1101838711159999</v>
      </c>
      <c r="AE7307">
        <v>35.786790000000003</v>
      </c>
      <c r="AF7307">
        <v>-1.1975985042791</v>
      </c>
      <c r="AG7307">
        <v>-1.1101838711159999</v>
      </c>
      <c r="AH7307">
        <v>35.732319237996201</v>
      </c>
      <c r="AI7307">
        <v>91.778578448345002</v>
      </c>
      <c r="AJ7307">
        <v>91.919597320773505</v>
      </c>
      <c r="AK7307">
        <v>35.769615437284401</v>
      </c>
      <c r="AL7307">
        <v>80.255377579968894</v>
      </c>
      <c r="AM7307">
        <v>95.903212129279694</v>
      </c>
      <c r="AN7307">
        <v>0.99999998650330402</v>
      </c>
    </row>
    <row r="7308" spans="1:40" x14ac:dyDescent="0.25">
      <c r="A7308" t="str">
        <f>"20190304155244277"</f>
        <v>20190304155244277</v>
      </c>
      <c r="B7308" t="str">
        <f>"1551685964274366"</f>
        <v>1551685964274366</v>
      </c>
      <c r="C7308" t="s">
        <v>40</v>
      </c>
      <c r="D7308">
        <v>4.8596979999999999</v>
      </c>
      <c r="E7308">
        <v>0.52507109999999901</v>
      </c>
      <c r="F7308" t="s">
        <v>41</v>
      </c>
      <c r="G7308">
        <v>-187.50049999999999</v>
      </c>
      <c r="H7308" s="1">
        <v>-1.4933740000000001E-6</v>
      </c>
      <c r="I7308">
        <v>12.08034</v>
      </c>
      <c r="J7308">
        <v>-187.47710000000001</v>
      </c>
      <c r="K7308">
        <v>1.110182</v>
      </c>
      <c r="L7308">
        <v>-22.60248</v>
      </c>
      <c r="M7308">
        <v>3.3161019999999999E-2</v>
      </c>
      <c r="N7308">
        <v>-9.4047060000000005E-3</v>
      </c>
      <c r="O7308">
        <v>0.99940580000000001</v>
      </c>
      <c r="P7308">
        <v>-6.9606219999999996E-2</v>
      </c>
      <c r="Q7308">
        <v>0.15940679999999999</v>
      </c>
      <c r="R7308">
        <v>0.98475610000000002</v>
      </c>
      <c r="S7308">
        <v>-1.403809E-3</v>
      </c>
      <c r="T7308">
        <v>-9.7378129999999993E-2</v>
      </c>
      <c r="U7308">
        <v>3.0622560000000001</v>
      </c>
      <c r="V7308">
        <v>-0.10229149999999999</v>
      </c>
      <c r="W7308">
        <v>0.1685943</v>
      </c>
      <c r="X7308">
        <v>0.9803634</v>
      </c>
      <c r="Y7308">
        <v>-3.3614020000000001E-2</v>
      </c>
      <c r="Z7308">
        <v>-2.234678E-2</v>
      </c>
      <c r="AA7308">
        <v>0.99918499999999999</v>
      </c>
      <c r="AB7308">
        <v>24</v>
      </c>
      <c r="AC7308">
        <v>-2.3399999999980901E-2</v>
      </c>
      <c r="AD7308">
        <v>-1.110183493374</v>
      </c>
      <c r="AE7308">
        <v>34.68282</v>
      </c>
      <c r="AF7308">
        <v>-1.1723544405449</v>
      </c>
      <c r="AG7308">
        <v>-1.110183493374</v>
      </c>
      <c r="AH7308">
        <v>34.627487699315097</v>
      </c>
      <c r="AI7308">
        <v>91.835266291036802</v>
      </c>
      <c r="AJ7308">
        <v>91.939075541807497</v>
      </c>
      <c r="AK7308">
        <v>34.665109644849601</v>
      </c>
      <c r="AL7308">
        <v>80.293901182930696</v>
      </c>
      <c r="AM7308">
        <v>95.956709676157601</v>
      </c>
      <c r="AN7308">
        <v>0.99999999251214999</v>
      </c>
    </row>
    <row r="7309" spans="1:40" x14ac:dyDescent="0.25">
      <c r="A7309" t="str">
        <f>"20190304155244299"</f>
        <v>20190304155244299</v>
      </c>
      <c r="B7309" t="str">
        <f>"1551685964293669"</f>
        <v>1551685964293669</v>
      </c>
      <c r="C7309" t="s">
        <v>40</v>
      </c>
      <c r="D7309">
        <v>4.8653700000000004</v>
      </c>
      <c r="E7309">
        <v>0.52523980000000003</v>
      </c>
      <c r="F7309" t="s">
        <v>41</v>
      </c>
      <c r="G7309">
        <v>-187.53280000000001</v>
      </c>
      <c r="H7309" s="1">
        <v>-1.4556709999999999E-6</v>
      </c>
      <c r="I7309">
        <v>11.99658</v>
      </c>
      <c r="J7309">
        <v>-187.46940000000001</v>
      </c>
      <c r="K7309">
        <v>1.1101840000000001</v>
      </c>
      <c r="L7309">
        <v>-22.361789999999999</v>
      </c>
      <c r="M7309">
        <v>3.287031E-2</v>
      </c>
      <c r="N7309">
        <v>-9.4076980000000008E-3</v>
      </c>
      <c r="O7309">
        <v>0.99941530000000001</v>
      </c>
      <c r="P7309">
        <v>-7.0430030000000005E-2</v>
      </c>
      <c r="Q7309">
        <v>0.1586727</v>
      </c>
      <c r="R7309">
        <v>0.98481600000000002</v>
      </c>
      <c r="S7309">
        <v>-4.9285889999999997E-3</v>
      </c>
      <c r="T7309">
        <v>-9.8250149999999994E-2</v>
      </c>
      <c r="U7309">
        <v>3.0619809999999998</v>
      </c>
      <c r="V7309">
        <v>-0.1028327</v>
      </c>
      <c r="W7309">
        <v>0.16786199999999901</v>
      </c>
      <c r="X7309">
        <v>0.98043250000000004</v>
      </c>
      <c r="Y7309">
        <v>-3.447331E-2</v>
      </c>
      <c r="Z7309">
        <v>-2.2630540000000001E-2</v>
      </c>
      <c r="AA7309">
        <v>0.99914939999999997</v>
      </c>
      <c r="AB7309">
        <v>24</v>
      </c>
      <c r="AC7309">
        <v>-6.34000000000014E-2</v>
      </c>
      <c r="AD7309">
        <v>-1.110185455671</v>
      </c>
      <c r="AE7309">
        <v>34.358370000000001</v>
      </c>
      <c r="AF7309">
        <v>-1.1915420065537701</v>
      </c>
      <c r="AG7309">
        <v>-1.110185455671</v>
      </c>
      <c r="AH7309">
        <v>34.301904726188397</v>
      </c>
      <c r="AI7309">
        <v>91.852621399280196</v>
      </c>
      <c r="AJ7309">
        <v>91.9894781054834</v>
      </c>
      <c r="AK7309">
        <v>34.340543850438301</v>
      </c>
      <c r="AL7309">
        <v>80.336466078744607</v>
      </c>
      <c r="AM7309">
        <v>95.987577860830399</v>
      </c>
      <c r="AN7309">
        <v>1.00000005114476</v>
      </c>
    </row>
    <row r="7310" spans="1:40" x14ac:dyDescent="0.25">
      <c r="A7310" t="str">
        <f>"20190304155244323"</f>
        <v>20190304155244323</v>
      </c>
      <c r="B7310" t="str">
        <f>"1551685964314165"</f>
        <v>1551685964314165</v>
      </c>
      <c r="C7310" t="s">
        <v>40</v>
      </c>
      <c r="D7310">
        <v>4.8581459999999996</v>
      </c>
      <c r="E7310">
        <v>0.52534159999999996</v>
      </c>
      <c r="F7310" t="s">
        <v>41</v>
      </c>
      <c r="G7310">
        <v>-187.535</v>
      </c>
      <c r="H7310" s="1">
        <v>-1.352792E-6</v>
      </c>
      <c r="I7310">
        <v>11.695959999999999</v>
      </c>
      <c r="J7310">
        <v>-187.46100000000001</v>
      </c>
      <c r="K7310">
        <v>1.11019</v>
      </c>
      <c r="L7310">
        <v>-22.093440000000001</v>
      </c>
      <c r="M7310">
        <v>3.2546270000000002E-2</v>
      </c>
      <c r="N7310">
        <v>-9.4111179999999996E-3</v>
      </c>
      <c r="O7310">
        <v>0.99942589999999998</v>
      </c>
      <c r="P7310">
        <v>-7.0891960000000004E-2</v>
      </c>
      <c r="Q7310">
        <v>0.1577585</v>
      </c>
      <c r="R7310">
        <v>0.98492970000000002</v>
      </c>
      <c r="S7310">
        <v>-5.8898930000000002E-3</v>
      </c>
      <c r="T7310">
        <v>-9.9809889999999998E-2</v>
      </c>
      <c r="U7310">
        <v>3.0619200000000002</v>
      </c>
      <c r="V7310">
        <v>-0.10298069999999999</v>
      </c>
      <c r="W7310">
        <v>0.16695189999999999</v>
      </c>
      <c r="X7310">
        <v>0.98057229999999995</v>
      </c>
      <c r="Y7310">
        <v>-3.4462890000000003E-2</v>
      </c>
      <c r="Z7310">
        <v>-2.3136400000000001E-2</v>
      </c>
      <c r="AA7310">
        <v>0.99913810000000003</v>
      </c>
      <c r="AB7310">
        <v>24</v>
      </c>
      <c r="AC7310">
        <v>-7.4000000000012195E-2</v>
      </c>
      <c r="AD7310">
        <v>-1.110191352792</v>
      </c>
      <c r="AE7310">
        <v>33.789400000000001</v>
      </c>
      <c r="AF7310">
        <v>-1.1724627530919101</v>
      </c>
      <c r="AG7310">
        <v>-1.110191352792</v>
      </c>
      <c r="AH7310">
        <v>33.732674006945203</v>
      </c>
      <c r="AI7310">
        <v>91.883870253132997</v>
      </c>
      <c r="AJ7310">
        <v>91.990655561850204</v>
      </c>
      <c r="AK7310">
        <v>33.771296827424798</v>
      </c>
      <c r="AL7310">
        <v>80.389356864554998</v>
      </c>
      <c r="AM7310">
        <v>95.995283989669005</v>
      </c>
      <c r="AN7310">
        <v>0.99999999850669496</v>
      </c>
    </row>
    <row r="7311" spans="1:40" x14ac:dyDescent="0.25">
      <c r="A7311" t="str">
        <f>"20190304155244346"</f>
        <v>20190304155244346</v>
      </c>
      <c r="B7311" t="str">
        <f>"1551685964344422"</f>
        <v>1551685964344422</v>
      </c>
      <c r="C7311" t="s">
        <v>40</v>
      </c>
      <c r="D7311">
        <v>4.884887</v>
      </c>
      <c r="E7311">
        <v>0.52558899999999997</v>
      </c>
      <c r="F7311" t="s">
        <v>41</v>
      </c>
      <c r="G7311">
        <v>-187.52799999999999</v>
      </c>
      <c r="H7311" s="1">
        <v>-1.280851E-6</v>
      </c>
      <c r="I7311">
        <v>11.479150000000001</v>
      </c>
      <c r="J7311">
        <v>-187.45330000000001</v>
      </c>
      <c r="K7311">
        <v>1.11019</v>
      </c>
      <c r="L7311">
        <v>-21.849240000000002</v>
      </c>
      <c r="M7311">
        <v>3.2252320000000001E-2</v>
      </c>
      <c r="N7311">
        <v>-9.4142630000000008E-3</v>
      </c>
      <c r="O7311">
        <v>0.99943539999999997</v>
      </c>
      <c r="P7311">
        <v>-7.0894799999999994E-2</v>
      </c>
      <c r="Q7311">
        <v>0.15786149999999999</v>
      </c>
      <c r="R7311">
        <v>0.98491309999999999</v>
      </c>
      <c r="S7311">
        <v>-6.1187739999999996E-3</v>
      </c>
      <c r="T7311">
        <v>-0.10124470000000001</v>
      </c>
      <c r="U7311">
        <v>3.0616759999999998</v>
      </c>
      <c r="V7311">
        <v>-0.10269499999999999</v>
      </c>
      <c r="W7311">
        <v>0.16705719999999999</v>
      </c>
      <c r="X7311">
        <v>0.98058429999999996</v>
      </c>
      <c r="Y7311">
        <v>-3.424373E-2</v>
      </c>
      <c r="Z7311">
        <v>-2.360392E-2</v>
      </c>
      <c r="AA7311">
        <v>0.99913470000000004</v>
      </c>
      <c r="AB7311">
        <v>24</v>
      </c>
      <c r="AC7311">
        <v>-7.4699999999978603E-2</v>
      </c>
      <c r="AD7311">
        <v>-1.1101912808509999</v>
      </c>
      <c r="AE7311">
        <v>33.328389999999999</v>
      </c>
      <c r="AF7311">
        <v>-1.1483524860410601</v>
      </c>
      <c r="AG7311">
        <v>-1.1101912808509999</v>
      </c>
      <c r="AH7311">
        <v>33.271722138184202</v>
      </c>
      <c r="AI7311">
        <v>91.909966428294496</v>
      </c>
      <c r="AJ7311">
        <v>91.976742983581005</v>
      </c>
      <c r="AK7311">
        <v>33.310039509925701</v>
      </c>
      <c r="AL7311">
        <v>80.383237407620797</v>
      </c>
      <c r="AM7311">
        <v>95.978699243027293</v>
      </c>
      <c r="AN7311">
        <v>0.99999997025166398</v>
      </c>
    </row>
    <row r="7312" spans="1:40" x14ac:dyDescent="0.25">
      <c r="A7312" t="str">
        <f>"20190304155244367"</f>
        <v>20190304155244367</v>
      </c>
      <c r="B7312" t="str">
        <f>"1551685964363942"</f>
        <v>1551685964363942</v>
      </c>
      <c r="C7312" t="s">
        <v>40</v>
      </c>
      <c r="D7312">
        <v>4.9377599999999999</v>
      </c>
      <c r="E7312">
        <v>0.52582189999999995</v>
      </c>
      <c r="F7312" t="s">
        <v>41</v>
      </c>
      <c r="G7312">
        <v>-187.49600000000001</v>
      </c>
      <c r="H7312" s="1">
        <v>-1.4689009999999901E-6</v>
      </c>
      <c r="I7312">
        <v>12.00671</v>
      </c>
      <c r="J7312">
        <v>-187.44630000000001</v>
      </c>
      <c r="K7312">
        <v>1.110188</v>
      </c>
      <c r="L7312">
        <v>-21.621459999999999</v>
      </c>
      <c r="M7312">
        <v>3.1979050000000002E-2</v>
      </c>
      <c r="N7312">
        <v>-9.4172270000000002E-3</v>
      </c>
      <c r="O7312">
        <v>0.9994442</v>
      </c>
      <c r="P7312">
        <v>-7.0480879999999996E-2</v>
      </c>
      <c r="Q7312">
        <v>0.15821849999999901</v>
      </c>
      <c r="R7312">
        <v>0.98488549999999997</v>
      </c>
      <c r="S7312">
        <v>-3.860474E-3</v>
      </c>
      <c r="T7312">
        <v>-0.1004003</v>
      </c>
      <c r="U7312">
        <v>3.0617679999999998</v>
      </c>
      <c r="V7312">
        <v>-0.10201300000000001</v>
      </c>
      <c r="W7312">
        <v>0.16741729999999999</v>
      </c>
      <c r="X7312">
        <v>0.98059410000000002</v>
      </c>
      <c r="Y7312">
        <v>-3.323371E-2</v>
      </c>
      <c r="Z7312">
        <v>-2.3325990000000001E-2</v>
      </c>
      <c r="AA7312">
        <v>0.99917540000000005</v>
      </c>
      <c r="AB7312">
        <v>24</v>
      </c>
      <c r="AC7312">
        <v>-4.9699999999972898E-2</v>
      </c>
      <c r="AD7312">
        <v>-1.1101894689009999</v>
      </c>
      <c r="AE7312">
        <v>33.628169999999997</v>
      </c>
      <c r="AF7312">
        <v>-1.1238942354397601</v>
      </c>
      <c r="AG7312">
        <v>-1.1101894689009999</v>
      </c>
      <c r="AH7312">
        <v>33.572788567505</v>
      </c>
      <c r="AI7312">
        <v>91.892914764204207</v>
      </c>
      <c r="AJ7312">
        <v>91.917337235166997</v>
      </c>
      <c r="AK7312">
        <v>33.609935898595701</v>
      </c>
      <c r="AL7312">
        <v>80.362310733651697</v>
      </c>
      <c r="AM7312">
        <v>95.939220378450898</v>
      </c>
      <c r="AN7312">
        <v>0.99999999673155004</v>
      </c>
    </row>
    <row r="7313" spans="1:40" x14ac:dyDescent="0.25">
      <c r="A7313" t="str">
        <f>"20190304155244389"</f>
        <v>20190304155244389</v>
      </c>
      <c r="B7313" t="str">
        <f>"1551685964384437"</f>
        <v>1551685964384437</v>
      </c>
      <c r="C7313" t="s">
        <v>40</v>
      </c>
      <c r="D7313">
        <v>5.0133780000000003</v>
      </c>
      <c r="E7313">
        <v>0.52590609999999904</v>
      </c>
      <c r="F7313" t="s">
        <v>41</v>
      </c>
      <c r="G7313">
        <v>-187.46270000000001</v>
      </c>
      <c r="H7313" s="1">
        <v>-1.4896209999999901E-6</v>
      </c>
      <c r="I7313">
        <v>12.04156</v>
      </c>
      <c r="J7313">
        <v>-187.43899999999999</v>
      </c>
      <c r="K7313">
        <v>1.1101859999999999</v>
      </c>
      <c r="L7313">
        <v>-21.383939999999999</v>
      </c>
      <c r="M7313">
        <v>3.1694670000000001E-2</v>
      </c>
      <c r="N7313">
        <v>-9.4204340000000001E-3</v>
      </c>
      <c r="O7313">
        <v>0.99945320000000004</v>
      </c>
      <c r="P7313">
        <v>-7.0525530000000003E-2</v>
      </c>
      <c r="Q7313">
        <v>0.1580946</v>
      </c>
      <c r="R7313">
        <v>0.9849021</v>
      </c>
      <c r="S7313">
        <v>-1.495361E-3</v>
      </c>
      <c r="T7313">
        <v>-0.1009886</v>
      </c>
      <c r="U7313">
        <v>3.0621640000000001</v>
      </c>
      <c r="V7313">
        <v>-0.10177899999999999</v>
      </c>
      <c r="W7313">
        <v>0.16729639999999901</v>
      </c>
      <c r="X7313">
        <v>0.98063900000000004</v>
      </c>
      <c r="Y7313">
        <v>-3.2177600000000001E-2</v>
      </c>
      <c r="Z7313">
        <v>-2.351135E-2</v>
      </c>
      <c r="AA7313">
        <v>0.99920560000000003</v>
      </c>
      <c r="AB7313">
        <v>24</v>
      </c>
      <c r="AC7313">
        <v>-2.3699999999990898E-2</v>
      </c>
      <c r="AD7313">
        <v>-1.110187489621</v>
      </c>
      <c r="AE7313">
        <v>33.4255</v>
      </c>
      <c r="AF7313">
        <v>-1.08195173728917</v>
      </c>
      <c r="AG7313">
        <v>-1.110187489621</v>
      </c>
      <c r="AH7313">
        <v>33.371140718182197</v>
      </c>
      <c r="AI7313">
        <v>91.904407118058003</v>
      </c>
      <c r="AJ7313">
        <v>91.856980594099497</v>
      </c>
      <c r="AK7313">
        <v>33.407127512802603</v>
      </c>
      <c r="AL7313">
        <v>80.369336426507004</v>
      </c>
      <c r="AM7313">
        <v>95.925424508408994</v>
      </c>
      <c r="AN7313">
        <v>0.99999994930747804</v>
      </c>
    </row>
    <row r="7314" spans="1:40" x14ac:dyDescent="0.25">
      <c r="A7314" t="str">
        <f>"20190304155244412"</f>
        <v>20190304155244412</v>
      </c>
      <c r="B7314" t="str">
        <f>"1551685964404007"</f>
        <v>1551685964404007</v>
      </c>
      <c r="C7314" t="s">
        <v>40</v>
      </c>
      <c r="D7314">
        <v>4.9020320000000002</v>
      </c>
      <c r="E7314">
        <v>0.52616700000000005</v>
      </c>
      <c r="F7314" t="s">
        <v>41</v>
      </c>
      <c r="G7314">
        <v>-187.45400000000001</v>
      </c>
      <c r="H7314" s="1">
        <v>-1.5225639999999999E-6</v>
      </c>
      <c r="I7314">
        <v>12.12918</v>
      </c>
      <c r="J7314">
        <v>-187.43129999999999</v>
      </c>
      <c r="K7314">
        <v>1.1101829999999999</v>
      </c>
      <c r="L7314">
        <v>-21.130369999999999</v>
      </c>
      <c r="M7314">
        <v>3.1391889999999999E-2</v>
      </c>
      <c r="N7314">
        <v>-9.4238129999999996E-3</v>
      </c>
      <c r="O7314">
        <v>0.99946270000000004</v>
      </c>
      <c r="P7314">
        <v>-7.0320610000000006E-2</v>
      </c>
      <c r="Q7314">
        <v>0.1576342</v>
      </c>
      <c r="R7314">
        <v>0.98499060000000005</v>
      </c>
      <c r="S7314">
        <v>-1.373291E-3</v>
      </c>
      <c r="T7314">
        <v>-0.10144019999999999</v>
      </c>
      <c r="U7314">
        <v>3.0621640000000001</v>
      </c>
      <c r="V7314">
        <v>-0.1012796</v>
      </c>
      <c r="W7314">
        <v>0.16684089999999999</v>
      </c>
      <c r="X7314">
        <v>0.98076830000000004</v>
      </c>
      <c r="Y7314">
        <v>-3.1835019999999999E-2</v>
      </c>
      <c r="Z7314">
        <v>-2.365575E-2</v>
      </c>
      <c r="AA7314">
        <v>0.99921320000000002</v>
      </c>
      <c r="AB7314">
        <v>24</v>
      </c>
      <c r="AC7314">
        <v>-2.2700000000014601E-2</v>
      </c>
      <c r="AD7314">
        <v>-1.1101845225639999</v>
      </c>
      <c r="AE7314">
        <v>33.259549999999997</v>
      </c>
      <c r="AF7314">
        <v>-1.0656280312798501</v>
      </c>
      <c r="AG7314">
        <v>-1.1101845225639999</v>
      </c>
      <c r="AH7314">
        <v>33.205447033035199</v>
      </c>
      <c r="AI7314">
        <v>91.913918187968704</v>
      </c>
      <c r="AJ7314">
        <v>91.838103284752606</v>
      </c>
      <c r="AK7314">
        <v>33.241085804150501</v>
      </c>
      <c r="AL7314">
        <v>80.395806702537001</v>
      </c>
      <c r="AM7314">
        <v>95.895783628301999</v>
      </c>
      <c r="AN7314">
        <v>0.99999995078692805</v>
      </c>
    </row>
    <row r="7315" spans="1:40" x14ac:dyDescent="0.25">
      <c r="A7315" t="str">
        <f>"20190304155244435"</f>
        <v>20190304155244435</v>
      </c>
      <c r="B7315" t="str">
        <f>"1551685964423527"</f>
        <v>1551685964423527</v>
      </c>
      <c r="C7315" t="s">
        <v>40</v>
      </c>
      <c r="D7315">
        <v>4.9661580000000001</v>
      </c>
      <c r="E7315">
        <v>0.52657030000000005</v>
      </c>
      <c r="F7315" t="s">
        <v>41</v>
      </c>
      <c r="G7315">
        <v>-187.41839999999999</v>
      </c>
      <c r="H7315" s="1">
        <v>-1.3936849999999999E-6</v>
      </c>
      <c r="I7315">
        <v>11.724970000000001</v>
      </c>
      <c r="J7315">
        <v>-187.4238</v>
      </c>
      <c r="K7315">
        <v>1.110177</v>
      </c>
      <c r="L7315">
        <v>-20.87979</v>
      </c>
      <c r="M7315">
        <v>3.1092290000000002E-2</v>
      </c>
      <c r="N7315">
        <v>-9.4269909999999991E-3</v>
      </c>
      <c r="O7315">
        <v>0.99947209999999997</v>
      </c>
      <c r="P7315">
        <v>-7.056171E-2</v>
      </c>
      <c r="Q7315">
        <v>0.15594330000000001</v>
      </c>
      <c r="R7315">
        <v>0.98524250000000002</v>
      </c>
      <c r="S7315">
        <v>1.205444E-3</v>
      </c>
      <c r="T7315">
        <v>-0.103478</v>
      </c>
      <c r="U7315">
        <v>3.0623779999999998</v>
      </c>
      <c r="V7315">
        <v>-0.1012334</v>
      </c>
      <c r="W7315">
        <v>0.1651551</v>
      </c>
      <c r="X7315">
        <v>0.9810584</v>
      </c>
      <c r="Y7315">
        <v>-3.069409E-2</v>
      </c>
      <c r="Z7315">
        <v>-2.431529E-2</v>
      </c>
      <c r="AA7315">
        <v>0.99923300000000004</v>
      </c>
      <c r="AB7315">
        <v>24</v>
      </c>
      <c r="AC7315">
        <v>5.4000000000087303E-3</v>
      </c>
      <c r="AD7315">
        <v>-1.110178393685</v>
      </c>
      <c r="AE7315">
        <v>32.604759999999999</v>
      </c>
      <c r="AF7315">
        <v>-1.0072365097703899</v>
      </c>
      <c r="AG7315">
        <v>-1.110178393685</v>
      </c>
      <c r="AH7315">
        <v>32.5514234167048</v>
      </c>
      <c r="AI7315">
        <v>91.952402999714494</v>
      </c>
      <c r="AJ7315">
        <v>91.772333954548998</v>
      </c>
      <c r="AK7315">
        <v>32.585920086841497</v>
      </c>
      <c r="AL7315">
        <v>80.493755305805294</v>
      </c>
      <c r="AM7315">
        <v>95.891382781040207</v>
      </c>
      <c r="AN7315">
        <v>0.99999999627106495</v>
      </c>
    </row>
    <row r="7316" spans="1:40" x14ac:dyDescent="0.25">
      <c r="A7316" t="str">
        <f>"20190304155244458"</f>
        <v>20190304155244458</v>
      </c>
      <c r="B7316" t="str">
        <f>"1551685964453782"</f>
        <v>1551685964453782</v>
      </c>
      <c r="C7316" t="s">
        <v>40</v>
      </c>
      <c r="D7316">
        <v>4.8150750000000002</v>
      </c>
      <c r="E7316">
        <v>0.52678849999999999</v>
      </c>
      <c r="F7316" t="s">
        <v>41</v>
      </c>
      <c r="G7316">
        <v>-187.38130000000001</v>
      </c>
      <c r="H7316" s="1">
        <v>-9.9422080000000001E-7</v>
      </c>
      <c r="I7316">
        <v>10.522169999999999</v>
      </c>
      <c r="J7316">
        <v>-187.41630000000001</v>
      </c>
      <c r="K7316">
        <v>1.1101700000000001</v>
      </c>
      <c r="L7316">
        <v>-20.630310000000001</v>
      </c>
      <c r="M7316">
        <v>3.0791519999999999E-2</v>
      </c>
      <c r="N7316">
        <v>-9.4302029999999998E-3</v>
      </c>
      <c r="O7316">
        <v>0.99948130000000002</v>
      </c>
      <c r="P7316">
        <v>-7.0802889999999993E-2</v>
      </c>
      <c r="Q7316">
        <v>0.15413450000000001</v>
      </c>
      <c r="R7316">
        <v>0.98550979999999999</v>
      </c>
      <c r="S7316">
        <v>4.1351319999999997E-3</v>
      </c>
      <c r="T7316">
        <v>-0.1082666</v>
      </c>
      <c r="U7316">
        <v>3.0623779999999998</v>
      </c>
      <c r="V7316">
        <v>-0.1011875</v>
      </c>
      <c r="W7316">
        <v>0.16335229999999901</v>
      </c>
      <c r="X7316">
        <v>0.98136489999999998</v>
      </c>
      <c r="Y7316">
        <v>-2.9437430000000001E-2</v>
      </c>
      <c r="Z7316">
        <v>-2.5873210000000001E-2</v>
      </c>
      <c r="AA7316">
        <v>0.99923169999999994</v>
      </c>
      <c r="AB7316">
        <v>25</v>
      </c>
      <c r="AC7316">
        <v>3.4999999999996499E-2</v>
      </c>
      <c r="AD7316">
        <v>-1.1101709942208</v>
      </c>
      <c r="AE7316">
        <v>31.152479999999901</v>
      </c>
      <c r="AF7316">
        <v>-0.92311916850414699</v>
      </c>
      <c r="AG7316">
        <v>-1.1101709942208</v>
      </c>
      <c r="AH7316">
        <v>31.099289615385299</v>
      </c>
      <c r="AI7316">
        <v>92.043556207893005</v>
      </c>
      <c r="AJ7316">
        <v>91.700209475688894</v>
      </c>
      <c r="AK7316">
        <v>31.1327872702924</v>
      </c>
      <c r="AL7316">
        <v>80.598470182935898</v>
      </c>
      <c r="AM7316">
        <v>95.886904107913907</v>
      </c>
      <c r="AN7316">
        <v>0.999999975511774</v>
      </c>
    </row>
    <row r="7317" spans="1:40" x14ac:dyDescent="0.25">
      <c r="A7317" t="str">
        <f>"20190304155244478"</f>
        <v>20190304155244478</v>
      </c>
      <c r="B7317" t="str">
        <f>"1551685964474278"</f>
        <v>1551685964474278</v>
      </c>
      <c r="C7317" t="s">
        <v>40</v>
      </c>
      <c r="D7317">
        <v>4.9260409999999997</v>
      </c>
      <c r="E7317">
        <v>0.52678249999999904</v>
      </c>
      <c r="F7317" t="s">
        <v>41</v>
      </c>
      <c r="G7317">
        <v>-187.37049999999999</v>
      </c>
      <c r="H7317" s="1">
        <v>-4.508358E-6</v>
      </c>
      <c r="I7317">
        <v>9.054608</v>
      </c>
      <c r="J7317">
        <v>-187.40969999999999</v>
      </c>
      <c r="K7317">
        <v>1.1101650000000001</v>
      </c>
      <c r="L7317">
        <v>-20.406220000000001</v>
      </c>
      <c r="M7317">
        <v>3.05162E-2</v>
      </c>
      <c r="N7317">
        <v>-9.4331450000000004E-3</v>
      </c>
      <c r="O7317">
        <v>0.99948979999999998</v>
      </c>
      <c r="P7317">
        <v>-7.137135E-2</v>
      </c>
      <c r="Q7317">
        <v>0.1529451</v>
      </c>
      <c r="R7317">
        <v>0.98565409999999998</v>
      </c>
      <c r="S7317">
        <v>4.7302250000000002E-3</v>
      </c>
      <c r="T7317">
        <v>-0.1145287</v>
      </c>
      <c r="U7317">
        <v>3.0623779999999998</v>
      </c>
      <c r="V7317">
        <v>-0.10148980000000001</v>
      </c>
      <c r="W7317">
        <v>0.16216620000000001</v>
      </c>
      <c r="X7317">
        <v>0.98153040000000003</v>
      </c>
      <c r="Y7317">
        <v>-2.8967819999999998E-2</v>
      </c>
      <c r="Z7317">
        <v>-2.7910520000000001E-2</v>
      </c>
      <c r="AA7317">
        <v>0.99919060000000004</v>
      </c>
      <c r="AB7317">
        <v>25</v>
      </c>
      <c r="AC7317">
        <v>3.9199999999993899E-2</v>
      </c>
      <c r="AD7317">
        <v>-1.1101695083580001</v>
      </c>
      <c r="AE7317">
        <v>29.460827999999999</v>
      </c>
      <c r="AF7317">
        <v>-0.85867143052641504</v>
      </c>
      <c r="AG7317">
        <v>-1.1101695083580001</v>
      </c>
      <c r="AH7317">
        <v>29.406545091297101</v>
      </c>
      <c r="AI7317">
        <v>92.161109793675607</v>
      </c>
      <c r="AJ7317">
        <v>91.672562116542593</v>
      </c>
      <c r="AK7317">
        <v>29.4400184641481</v>
      </c>
      <c r="AL7317">
        <v>80.667347277337697</v>
      </c>
      <c r="AM7317">
        <v>95.903378777307196</v>
      </c>
      <c r="AN7317">
        <v>0.99999999102532</v>
      </c>
    </row>
    <row r="7318" spans="1:40" x14ac:dyDescent="0.25">
      <c r="A7318" t="str">
        <f>"20190304155244501"</f>
        <v>20190304155244501</v>
      </c>
      <c r="B7318" t="str">
        <f>"1551685964493798"</f>
        <v>1551685964493798</v>
      </c>
      <c r="C7318" t="s">
        <v>40</v>
      </c>
      <c r="D7318">
        <v>4.7894009999999998</v>
      </c>
      <c r="E7318">
        <v>0.52690349999999997</v>
      </c>
      <c r="F7318" t="s">
        <v>41</v>
      </c>
      <c r="G7318">
        <v>-187.3818</v>
      </c>
      <c r="H7318" s="1">
        <v>-4.2538809999999997E-6</v>
      </c>
      <c r="I7318">
        <v>8.4661100000000005</v>
      </c>
      <c r="J7318">
        <v>-187.4025</v>
      </c>
      <c r="K7318">
        <v>1.1101730000000001</v>
      </c>
      <c r="L7318">
        <v>-20.15607</v>
      </c>
      <c r="M7318">
        <v>3.019782E-2</v>
      </c>
      <c r="N7318">
        <v>-9.4364719999999996E-3</v>
      </c>
      <c r="O7318">
        <v>0.99949940000000004</v>
      </c>
      <c r="P7318">
        <v>-7.2280010000000006E-2</v>
      </c>
      <c r="Q7318">
        <v>0.15290979999999901</v>
      </c>
      <c r="R7318">
        <v>0.98559330000000001</v>
      </c>
      <c r="S7318">
        <v>2.960205E-3</v>
      </c>
      <c r="T7318">
        <v>-0.1177433</v>
      </c>
      <c r="U7318">
        <v>3.0621640000000001</v>
      </c>
      <c r="V7318">
        <v>-0.1020866</v>
      </c>
      <c r="W7318">
        <v>0.16213139999999901</v>
      </c>
      <c r="X7318">
        <v>0.98147430000000002</v>
      </c>
      <c r="Y7318">
        <v>-2.9226680000000001E-2</v>
      </c>
      <c r="Z7318">
        <v>-2.895702E-2</v>
      </c>
      <c r="AA7318">
        <v>0.99915330000000002</v>
      </c>
      <c r="AB7318">
        <v>25</v>
      </c>
      <c r="AC7318">
        <v>2.0700000000004999E-2</v>
      </c>
      <c r="AD7318">
        <v>-1.11017725388099</v>
      </c>
      <c r="AE7318">
        <v>28.62218</v>
      </c>
      <c r="AF7318">
        <v>-0.84240799942756195</v>
      </c>
      <c r="AG7318">
        <v>-1.11017725388099</v>
      </c>
      <c r="AH7318">
        <v>28.566773175982298</v>
      </c>
      <c r="AI7318">
        <v>92.224573273586003</v>
      </c>
      <c r="AJ7318">
        <v>91.689110599495805</v>
      </c>
      <c r="AK7318">
        <v>28.600746047272199</v>
      </c>
      <c r="AL7318">
        <v>80.669368307589096</v>
      </c>
      <c r="AM7318">
        <v>95.938182637215803</v>
      </c>
      <c r="AN7318">
        <v>1.0000000331629999</v>
      </c>
    </row>
    <row r="7319" spans="1:40" x14ac:dyDescent="0.25">
      <c r="A7319" t="str">
        <f>"20190304155244525"</f>
        <v>20190304155244525</v>
      </c>
      <c r="B7319" t="str">
        <f>"1551685964514295"</f>
        <v>1551685964514295</v>
      </c>
      <c r="C7319" t="s">
        <v>40</v>
      </c>
      <c r="D7319">
        <v>4.8460979999999996</v>
      </c>
      <c r="E7319">
        <v>0.52701180000000003</v>
      </c>
      <c r="F7319" t="s">
        <v>41</v>
      </c>
      <c r="G7319">
        <v>-187.38579999999999</v>
      </c>
      <c r="H7319" s="1">
        <v>-4.1987330000000004E-6</v>
      </c>
      <c r="I7319">
        <v>8.3392210000000002</v>
      </c>
      <c r="J7319">
        <v>-187.39490000000001</v>
      </c>
      <c r="K7319">
        <v>1.110188</v>
      </c>
      <c r="L7319">
        <v>-19.89359</v>
      </c>
      <c r="M7319">
        <v>2.9842540000000001E-2</v>
      </c>
      <c r="N7319">
        <v>-9.4400449999999993E-3</v>
      </c>
      <c r="O7319">
        <v>0.99951000000000001</v>
      </c>
      <c r="P7319">
        <v>-7.3174879999999998E-2</v>
      </c>
      <c r="Q7319">
        <v>0.15317069999999999</v>
      </c>
      <c r="R7319">
        <v>0.98548670000000005</v>
      </c>
      <c r="S7319">
        <v>1.785278E-3</v>
      </c>
      <c r="T7319">
        <v>-0.119315</v>
      </c>
      <c r="U7319">
        <v>3.0625</v>
      </c>
      <c r="V7319">
        <v>-0.1026339</v>
      </c>
      <c r="W7319">
        <v>0.16239110000000001</v>
      </c>
      <c r="X7319">
        <v>0.98137430000000003</v>
      </c>
      <c r="Y7319">
        <v>-2.9254740000000001E-2</v>
      </c>
      <c r="Z7319">
        <v>-2.9461600000000001E-2</v>
      </c>
      <c r="AA7319">
        <v>0.99913770000000002</v>
      </c>
      <c r="AB7319">
        <v>25</v>
      </c>
      <c r="AC7319">
        <v>9.1000000000178698E-3</v>
      </c>
      <c r="AD7319">
        <v>-1.1101921987329999</v>
      </c>
      <c r="AE7319">
        <v>28.232811000000002</v>
      </c>
      <c r="AF7319">
        <v>-0.83219361333359398</v>
      </c>
      <c r="AG7319">
        <v>-1.1101921987329999</v>
      </c>
      <c r="AH7319">
        <v>28.176937481804</v>
      </c>
      <c r="AI7319">
        <v>92.255346600045897</v>
      </c>
      <c r="AJ7319">
        <v>91.6917141941192</v>
      </c>
      <c r="AK7319">
        <v>28.211077235399799</v>
      </c>
      <c r="AL7319">
        <v>80.654288932612303</v>
      </c>
      <c r="AM7319">
        <v>95.970392649613103</v>
      </c>
      <c r="AN7319">
        <v>1.0000000517444501</v>
      </c>
    </row>
    <row r="7320" spans="1:40" x14ac:dyDescent="0.25">
      <c r="A7320" t="str">
        <f>"20190304155244547"</f>
        <v>20190304155244547</v>
      </c>
      <c r="B7320" t="str">
        <f>"1551685964543574"</f>
        <v>1551685964543574</v>
      </c>
      <c r="C7320" t="s">
        <v>40</v>
      </c>
      <c r="D7320">
        <v>4.9135839999999904</v>
      </c>
      <c r="E7320">
        <v>0.52708180000000004</v>
      </c>
      <c r="F7320" t="s">
        <v>41</v>
      </c>
      <c r="G7320">
        <v>-187.39529999999999</v>
      </c>
      <c r="H7320" s="1">
        <v>-4.3927140000000003E-6</v>
      </c>
      <c r="I7320">
        <v>8.7953200000000002</v>
      </c>
      <c r="J7320">
        <v>-187.38800000000001</v>
      </c>
      <c r="K7320">
        <v>1.110215</v>
      </c>
      <c r="L7320">
        <v>-19.648620000000001</v>
      </c>
      <c r="M7320">
        <v>2.9479100000000001E-2</v>
      </c>
      <c r="N7320">
        <v>-9.4434259999999996E-3</v>
      </c>
      <c r="O7320">
        <v>0.99952079999999999</v>
      </c>
      <c r="P7320">
        <v>-7.3138449999999994E-2</v>
      </c>
      <c r="Q7320">
        <v>0.15373489999999901</v>
      </c>
      <c r="R7320">
        <v>0.98540159999999999</v>
      </c>
      <c r="S7320" s="1">
        <v>-4.5776370000000002E-5</v>
      </c>
      <c r="T7320">
        <v>-0.118515</v>
      </c>
      <c r="U7320">
        <v>3.062592</v>
      </c>
      <c r="V7320">
        <v>-0.1022467</v>
      </c>
      <c r="W7320">
        <v>0.16295290000000001</v>
      </c>
      <c r="X7320">
        <v>0.98132160000000002</v>
      </c>
      <c r="Y7320">
        <v>-2.948864E-2</v>
      </c>
      <c r="Z7320">
        <v>-2.9196980000000001E-2</v>
      </c>
      <c r="AA7320">
        <v>0.99913859999999999</v>
      </c>
      <c r="AB7320">
        <v>25</v>
      </c>
      <c r="AC7320">
        <v>-7.2999999999865299E-3</v>
      </c>
      <c r="AD7320">
        <v>-1.1102193927140001</v>
      </c>
      <c r="AE7320">
        <v>28.443940000000001</v>
      </c>
      <c r="AF7320">
        <v>-0.84454930086077795</v>
      </c>
      <c r="AG7320">
        <v>-1.1102193927140001</v>
      </c>
      <c r="AH7320">
        <v>28.388113011488599</v>
      </c>
      <c r="AI7320">
        <v>92.238627001012802</v>
      </c>
      <c r="AJ7320">
        <v>91.704052755873704</v>
      </c>
      <c r="AK7320">
        <v>28.422364626726502</v>
      </c>
      <c r="AL7320">
        <v>80.621665697313404</v>
      </c>
      <c r="AM7320">
        <v>95.948347471972099</v>
      </c>
      <c r="AN7320">
        <v>1.0000000589529201</v>
      </c>
    </row>
    <row r="7321" spans="1:40" x14ac:dyDescent="0.25">
      <c r="A7321" t="str">
        <f>"20190304155244568"</f>
        <v>20190304155244568</v>
      </c>
      <c r="B7321" t="str">
        <f>"1551685964564071"</f>
        <v>1551685964564071</v>
      </c>
      <c r="C7321" t="s">
        <v>40</v>
      </c>
      <c r="D7321">
        <v>4.7945399999999996</v>
      </c>
      <c r="E7321">
        <v>0.52713739999999998</v>
      </c>
      <c r="F7321" t="s">
        <v>41</v>
      </c>
      <c r="G7321">
        <v>-187.3843</v>
      </c>
      <c r="H7321" s="1">
        <v>-7.0767709999999996E-7</v>
      </c>
      <c r="I7321">
        <v>9.6824600000000007</v>
      </c>
      <c r="J7321">
        <v>-187.38140000000001</v>
      </c>
      <c r="K7321">
        <v>1.1102459999999901</v>
      </c>
      <c r="L7321">
        <v>-19.41479</v>
      </c>
      <c r="M7321">
        <v>2.9088119999999999E-2</v>
      </c>
      <c r="N7321">
        <v>-9.4467790000000006E-3</v>
      </c>
      <c r="O7321">
        <v>0.99953219999999998</v>
      </c>
      <c r="P7321">
        <v>-7.2808819999999996E-2</v>
      </c>
      <c r="Q7321">
        <v>0.15419269999999999</v>
      </c>
      <c r="R7321">
        <v>0.98535450000000002</v>
      </c>
      <c r="S7321">
        <v>3.8146970000000002E-4</v>
      </c>
      <c r="T7321">
        <v>-0.1159215</v>
      </c>
      <c r="U7321">
        <v>3.0625610000000001</v>
      </c>
      <c r="V7321">
        <v>-0.1015436</v>
      </c>
      <c r="W7321">
        <v>0.16340679999999999</v>
      </c>
      <c r="X7321">
        <v>0.9813191</v>
      </c>
      <c r="Y7321">
        <v>-2.895849E-2</v>
      </c>
      <c r="Z7321">
        <v>-2.8350449999999999E-2</v>
      </c>
      <c r="AA7321">
        <v>0.99917849999999997</v>
      </c>
      <c r="AB7321">
        <v>25</v>
      </c>
      <c r="AC7321">
        <v>-2.8999999999825801E-3</v>
      </c>
      <c r="AD7321">
        <v>-1.1102467076771001</v>
      </c>
      <c r="AE7321">
        <v>29.097249999999999</v>
      </c>
      <c r="AF7321">
        <v>-0.84808611146758495</v>
      </c>
      <c r="AG7321">
        <v>-1.1102467076771001</v>
      </c>
      <c r="AH7321">
        <v>29.0425686512658</v>
      </c>
      <c r="AI7321">
        <v>92.188319690089799</v>
      </c>
      <c r="AJ7321">
        <v>91.672646475170296</v>
      </c>
      <c r="AK7321">
        <v>29.076153316211901</v>
      </c>
      <c r="AL7321">
        <v>80.595305555576203</v>
      </c>
      <c r="AM7321">
        <v>95.907748860146199</v>
      </c>
      <c r="AN7321">
        <v>1.0000000305059999</v>
      </c>
    </row>
    <row r="7322" spans="1:40" x14ac:dyDescent="0.25">
      <c r="A7322" t="str">
        <f>"20190304155244591"</f>
        <v>20190304155244591</v>
      </c>
      <c r="B7322" t="str">
        <f>"1551685964583591"</f>
        <v>1551685964583591</v>
      </c>
      <c r="C7322" t="s">
        <v>40</v>
      </c>
      <c r="D7322">
        <v>4.4538690000000001</v>
      </c>
      <c r="E7322">
        <v>0.5397016</v>
      </c>
      <c r="F7322" t="s">
        <v>41</v>
      </c>
      <c r="G7322">
        <v>-187.37200000000001</v>
      </c>
      <c r="H7322" s="1">
        <v>-9.0979979999999997E-7</v>
      </c>
      <c r="I7322">
        <v>10.266769999999999</v>
      </c>
      <c r="J7322">
        <v>-187.37450000000001</v>
      </c>
      <c r="K7322">
        <v>1.110293</v>
      </c>
      <c r="L7322">
        <v>-19.15756</v>
      </c>
      <c r="M7322">
        <v>2.859211E-2</v>
      </c>
      <c r="N7322">
        <v>-9.4506539999999993E-3</v>
      </c>
      <c r="O7322">
        <v>0.9995465</v>
      </c>
      <c r="P7322">
        <v>-7.2143109999999996E-2</v>
      </c>
      <c r="Q7322">
        <v>0.15440509999999999</v>
      </c>
      <c r="R7322">
        <v>0.98537019999999997</v>
      </c>
      <c r="S7322">
        <v>9.765625E-4</v>
      </c>
      <c r="T7322">
        <v>-0.11455700000000001</v>
      </c>
      <c r="U7322">
        <v>3.062592</v>
      </c>
      <c r="V7322">
        <v>-0.1004086</v>
      </c>
      <c r="W7322">
        <v>0.1636138</v>
      </c>
      <c r="X7322">
        <v>0.98140139999999998</v>
      </c>
      <c r="Y7322">
        <v>-2.8268499999999998E-2</v>
      </c>
      <c r="Z7322">
        <v>-2.7903049999999999E-2</v>
      </c>
      <c r="AA7322">
        <v>0.99921079999999995</v>
      </c>
      <c r="AB7322">
        <v>25</v>
      </c>
      <c r="AC7322">
        <v>2.4999999999977202E-3</v>
      </c>
      <c r="AD7322">
        <v>-1.1102939097997999</v>
      </c>
      <c r="AE7322">
        <v>29.424330000000001</v>
      </c>
      <c r="AF7322">
        <v>-0.83764957962812503</v>
      </c>
      <c r="AG7322">
        <v>-1.1102939097997999</v>
      </c>
      <c r="AH7322">
        <v>29.3705515102364</v>
      </c>
      <c r="AI7322">
        <v>92.164040337961694</v>
      </c>
      <c r="AJ7322">
        <v>91.633635628096599</v>
      </c>
      <c r="AK7322">
        <v>29.4034641734582</v>
      </c>
      <c r="AL7322">
        <v>80.583283577426599</v>
      </c>
      <c r="AM7322">
        <v>95.841687970179194</v>
      </c>
      <c r="AN7322">
        <v>1.0000000352131699</v>
      </c>
    </row>
    <row r="7323" spans="1:40" x14ac:dyDescent="0.25">
      <c r="A7323" t="str">
        <f>"20190304155244656"</f>
        <v>20190304155244656</v>
      </c>
      <c r="B7323" t="str">
        <f>"1551685964654369"</f>
        <v>1551685964654369</v>
      </c>
      <c r="C7323" t="s">
        <v>40</v>
      </c>
      <c r="D7323">
        <v>4.1420579999999996</v>
      </c>
      <c r="E7323">
        <v>0.56329379999999996</v>
      </c>
      <c r="F7323" t="s">
        <v>41</v>
      </c>
      <c r="G7323">
        <v>-183.2714</v>
      </c>
      <c r="H7323" s="1">
        <v>-3.353448E-6</v>
      </c>
      <c r="I7323">
        <v>104.2414</v>
      </c>
      <c r="J7323">
        <v>-187.35599999999999</v>
      </c>
      <c r="K7323">
        <v>1.1104240000000001</v>
      </c>
      <c r="L7323">
        <v>-18.431519999999999</v>
      </c>
      <c r="M7323">
        <v>2.6843929999999998E-2</v>
      </c>
      <c r="N7323">
        <v>-9.4621340000000005E-3</v>
      </c>
      <c r="O7323">
        <v>0.99959489999999995</v>
      </c>
      <c r="P7323">
        <v>-7.0020299999999994E-2</v>
      </c>
      <c r="Q7323">
        <v>0.1569441</v>
      </c>
      <c r="R7323">
        <v>0.98512219999999995</v>
      </c>
      <c r="S7323">
        <v>0.10162350000000001</v>
      </c>
      <c r="T7323">
        <v>-2.749944E-2</v>
      </c>
      <c r="U7323">
        <v>3.056305</v>
      </c>
      <c r="V7323">
        <v>-9.6616250000000001E-2</v>
      </c>
      <c r="W7323">
        <v>0.16613559999999999</v>
      </c>
      <c r="X7323">
        <v>0.98135830000000002</v>
      </c>
      <c r="Y7323">
        <v>6.3892489999999996E-3</v>
      </c>
      <c r="Z7323">
        <v>4.681261E-4</v>
      </c>
      <c r="AA7323">
        <v>0.99997950000000002</v>
      </c>
      <c r="AB7323">
        <v>25</v>
      </c>
      <c r="AC7323">
        <v>4.0845999999999902</v>
      </c>
      <c r="AD7323">
        <v>-1.110427353448</v>
      </c>
      <c r="AE7323">
        <v>122.672919999999</v>
      </c>
      <c r="AF7323">
        <v>0.78989272839040403</v>
      </c>
      <c r="AG7323">
        <v>-1.110427353448</v>
      </c>
      <c r="AH7323">
        <v>122.728315937601</v>
      </c>
      <c r="AI7323">
        <v>90.518378718774997</v>
      </c>
      <c r="AJ7323">
        <v>89.631243251677503</v>
      </c>
      <c r="AK7323">
        <v>122.735881111879</v>
      </c>
      <c r="AL7323">
        <v>80.436789148966497</v>
      </c>
      <c r="AM7323">
        <v>95.622738746077999</v>
      </c>
      <c r="AN7323">
        <v>0.99999992516515301</v>
      </c>
    </row>
    <row r="7324" spans="1:40" x14ac:dyDescent="0.25">
      <c r="A7324" t="str">
        <f>"20190304155244679"</f>
        <v>20190304155244679</v>
      </c>
      <c r="B7324" t="str">
        <f>"1551685964673889"</f>
        <v>1551685964673889</v>
      </c>
      <c r="C7324" t="s">
        <v>40</v>
      </c>
      <c r="D7324">
        <v>4.8091489999999997</v>
      </c>
      <c r="E7324">
        <v>0.55827399999999905</v>
      </c>
      <c r="F7324" t="s">
        <v>51</v>
      </c>
      <c r="G7324">
        <v>-187.28020000000001</v>
      </c>
      <c r="H7324">
        <v>0.95851540000000002</v>
      </c>
      <c r="I7324">
        <v>-17.618879999999901</v>
      </c>
      <c r="J7324">
        <v>-187.34979999999999</v>
      </c>
      <c r="K7324">
        <v>1.1104810000000001</v>
      </c>
      <c r="L7324">
        <v>-18.173400000000001</v>
      </c>
      <c r="M7324">
        <v>2.6069390000000001E-2</v>
      </c>
      <c r="N7324">
        <v>-9.4663639999999997E-3</v>
      </c>
      <c r="O7324">
        <v>0.99961529999999998</v>
      </c>
      <c r="P7324">
        <v>-6.9330840000000005E-2</v>
      </c>
      <c r="Q7324">
        <v>0.15704779999999999</v>
      </c>
      <c r="R7324">
        <v>0.98515439999999999</v>
      </c>
      <c r="S7324">
        <v>0.29391479999999998</v>
      </c>
      <c r="T7324">
        <v>-0.59078030000000004</v>
      </c>
      <c r="U7324">
        <v>3.1603089999999998</v>
      </c>
      <c r="V7324">
        <v>-9.5188250000000002E-2</v>
      </c>
      <c r="W7324">
        <v>0.16623389999999999</v>
      </c>
      <c r="X7324">
        <v>0.9814813</v>
      </c>
      <c r="Y7324">
        <v>6.5142229999999995E-2</v>
      </c>
      <c r="Z7324">
        <v>-0.17378350000000001</v>
      </c>
      <c r="AA7324">
        <v>0.98262700000000003</v>
      </c>
      <c r="AB7324">
        <v>25</v>
      </c>
      <c r="AC7324">
        <v>6.95999999999799E-2</v>
      </c>
      <c r="AD7324">
        <v>-0.15196560000000001</v>
      </c>
      <c r="AE7324">
        <v>0.55452000000000301</v>
      </c>
      <c r="AF7324">
        <v>5.1324841007659203E-2</v>
      </c>
      <c r="AG7324">
        <v>-0.15196560000000001</v>
      </c>
      <c r="AH7324">
        <v>0.51785673954822697</v>
      </c>
      <c r="AI7324">
        <v>106.278876980623</v>
      </c>
      <c r="AJ7324">
        <v>84.339893134311595</v>
      </c>
      <c r="AK7324">
        <v>0.54212856923735497</v>
      </c>
      <c r="AL7324">
        <v>80.431078538534393</v>
      </c>
      <c r="AM7324">
        <v>95.539464876963194</v>
      </c>
      <c r="AN7324">
        <v>1.0000000273484799</v>
      </c>
    </row>
    <row r="7325" spans="1:40" x14ac:dyDescent="0.25">
      <c r="A7325" t="str">
        <f>"20190304155244703"</f>
        <v>20190304155244703</v>
      </c>
      <c r="B7325" t="str">
        <f>"1551685964694385"</f>
        <v>1551685964694385</v>
      </c>
      <c r="C7325" t="s">
        <v>40</v>
      </c>
      <c r="D7325">
        <v>4.8166979999999997</v>
      </c>
      <c r="E7325">
        <v>0.5451549</v>
      </c>
      <c r="F7325" t="s">
        <v>51</v>
      </c>
      <c r="G7325">
        <v>-187.28540000000001</v>
      </c>
      <c r="H7325">
        <v>0.98386289999999998</v>
      </c>
      <c r="I7325">
        <v>-17.382390000000001</v>
      </c>
      <c r="J7325">
        <v>-187.34389999999999</v>
      </c>
      <c r="K7325">
        <v>1.110544</v>
      </c>
      <c r="L7325">
        <v>-17.911069999999999</v>
      </c>
      <c r="M7325">
        <v>2.5197049999999999E-2</v>
      </c>
      <c r="N7325">
        <v>-9.4709089999999996E-3</v>
      </c>
      <c r="O7325">
        <v>0.99963769999999996</v>
      </c>
      <c r="P7325">
        <v>-6.9532529999999995E-2</v>
      </c>
      <c r="Q7325">
        <v>0.15731210000000001</v>
      </c>
      <c r="R7325">
        <v>0.98509800000000003</v>
      </c>
      <c r="S7325">
        <v>0.25578309999999999</v>
      </c>
      <c r="T7325">
        <v>-0.50317909999999999</v>
      </c>
      <c r="U7325">
        <v>3.1434329999999999</v>
      </c>
      <c r="V7325">
        <v>-9.4554609999999997E-2</v>
      </c>
      <c r="W7325">
        <v>0.1664902</v>
      </c>
      <c r="X7325">
        <v>0.98149909999999996</v>
      </c>
      <c r="Y7325">
        <v>5.5020810000000003E-2</v>
      </c>
      <c r="Z7325">
        <v>-0.14826349999999999</v>
      </c>
      <c r="AA7325">
        <v>0.98741610000000002</v>
      </c>
      <c r="AB7325">
        <v>25</v>
      </c>
      <c r="AC7325">
        <v>5.8499999999980901E-2</v>
      </c>
      <c r="AD7325">
        <v>-0.12668109999999899</v>
      </c>
      <c r="AE7325">
        <v>0.52868000000000104</v>
      </c>
      <c r="AF7325">
        <v>4.2735597013356601E-2</v>
      </c>
      <c r="AG7325">
        <v>-0.12668109999999899</v>
      </c>
      <c r="AH7325">
        <v>0.50153791807945403</v>
      </c>
      <c r="AI7325">
        <v>104.126440939443</v>
      </c>
      <c r="AJ7325">
        <v>85.129642410112993</v>
      </c>
      <c r="AK7325">
        <v>0.51905174657327802</v>
      </c>
      <c r="AL7325">
        <v>80.416186050154195</v>
      </c>
      <c r="AM7325">
        <v>95.502718205245898</v>
      </c>
      <c r="AN7325">
        <v>1.00000002213455</v>
      </c>
    </row>
    <row r="7326" spans="1:40" x14ac:dyDescent="0.25">
      <c r="A7326" t="str">
        <f>"20190304155244725"</f>
        <v>20190304155244725</v>
      </c>
      <c r="B7326" t="str">
        <f>"1551685964713906"</f>
        <v>1551685964713906</v>
      </c>
      <c r="C7326" t="s">
        <v>40</v>
      </c>
      <c r="D7326">
        <v>4.780341</v>
      </c>
      <c r="E7326">
        <v>0.54666740000000003</v>
      </c>
      <c r="F7326" t="s">
        <v>41</v>
      </c>
      <c r="G7326">
        <v>-185.0257</v>
      </c>
      <c r="H7326" s="1">
        <v>-5.0506450000000002E-6</v>
      </c>
      <c r="I7326">
        <v>29.349150000000002</v>
      </c>
      <c r="J7326">
        <v>-187.33850000000001</v>
      </c>
      <c r="K7326">
        <v>1.1106009999999999</v>
      </c>
      <c r="L7326">
        <v>-17.656220000000001</v>
      </c>
      <c r="M7326">
        <v>2.4267469999999999E-2</v>
      </c>
      <c r="N7326">
        <v>-9.4713260000000004E-3</v>
      </c>
      <c r="O7326">
        <v>0.99966060000000001</v>
      </c>
      <c r="P7326">
        <v>-6.9774630000000004E-2</v>
      </c>
      <c r="Q7326">
        <v>0.158105299999999</v>
      </c>
      <c r="R7326">
        <v>0.98495390000000005</v>
      </c>
      <c r="S7326">
        <v>0.15046689999999999</v>
      </c>
      <c r="T7326">
        <v>-7.208204E-2</v>
      </c>
      <c r="U7326">
        <v>3.0675050000000001</v>
      </c>
      <c r="V7326">
        <v>-9.3904119999999994E-2</v>
      </c>
      <c r="W7326">
        <v>0.1672701</v>
      </c>
      <c r="X7326">
        <v>0.98142890000000005</v>
      </c>
      <c r="Y7326">
        <v>2.4730490000000001E-2</v>
      </c>
      <c r="Z7326">
        <v>-1.3999910000000001E-2</v>
      </c>
      <c r="AA7326">
        <v>0.99959609999999999</v>
      </c>
      <c r="AB7326">
        <v>25</v>
      </c>
      <c r="AC7326">
        <v>2.31280000000001</v>
      </c>
      <c r="AD7326">
        <v>-1.110606050645</v>
      </c>
      <c r="AE7326">
        <v>47.005369999999999</v>
      </c>
      <c r="AF7326">
        <v>1.17071424264965</v>
      </c>
      <c r="AG7326">
        <v>-1.110606050645</v>
      </c>
      <c r="AH7326">
        <v>47.021467952604098</v>
      </c>
      <c r="AI7326">
        <v>91.352605755081399</v>
      </c>
      <c r="AJ7326">
        <v>88.573776335774696</v>
      </c>
      <c r="AK7326">
        <v>47.049149472179103</v>
      </c>
      <c r="AL7326">
        <v>80.370865120932095</v>
      </c>
      <c r="AM7326">
        <v>95.4654806868257</v>
      </c>
      <c r="AN7326">
        <v>0.99999997793109696</v>
      </c>
    </row>
    <row r="7327" spans="1:40" x14ac:dyDescent="0.25">
      <c r="A7327" t="str">
        <f>"20190304155244749"</f>
        <v>20190304155244749</v>
      </c>
      <c r="B7327" t="str">
        <f>"1551685964744161"</f>
        <v>1551685964744161</v>
      </c>
      <c r="C7327" t="s">
        <v>40</v>
      </c>
      <c r="D7327">
        <v>4.8956189999999999</v>
      </c>
      <c r="E7327">
        <v>0.54268479999999997</v>
      </c>
      <c r="F7327" t="s">
        <v>41</v>
      </c>
      <c r="G7327">
        <v>-183.5016</v>
      </c>
      <c r="H7327" s="1">
        <v>-3.589682E-6</v>
      </c>
      <c r="I7327">
        <v>55.115569999999998</v>
      </c>
      <c r="J7327">
        <v>-187.33340000000001</v>
      </c>
      <c r="K7327">
        <v>1.11066</v>
      </c>
      <c r="L7327">
        <v>-17.407139999999998</v>
      </c>
      <c r="M7327">
        <v>2.3279870000000001E-2</v>
      </c>
      <c r="N7327">
        <v>-9.4620280000000008E-3</v>
      </c>
      <c r="O7327">
        <v>0.99968420000000002</v>
      </c>
      <c r="P7327">
        <v>-7.0773639999999999E-2</v>
      </c>
      <c r="Q7327">
        <v>0.158253799999999</v>
      </c>
      <c r="R7327">
        <v>0.98485880000000003</v>
      </c>
      <c r="S7327">
        <v>0.1615906</v>
      </c>
      <c r="T7327">
        <v>-4.6773200000000001E-2</v>
      </c>
      <c r="U7327">
        <v>3.0647890000000002</v>
      </c>
      <c r="V7327">
        <v>-9.3953560000000005E-2</v>
      </c>
      <c r="W7327">
        <v>0.1673962</v>
      </c>
      <c r="X7327">
        <v>0.98140269999999996</v>
      </c>
      <c r="Y7327">
        <v>2.9384529999999999E-2</v>
      </c>
      <c r="Z7327">
        <v>-5.7838119999999897E-3</v>
      </c>
      <c r="AA7327">
        <v>0.99955150000000004</v>
      </c>
      <c r="AB7327">
        <v>25</v>
      </c>
      <c r="AC7327">
        <v>3.8318000000000101</v>
      </c>
      <c r="AD7327">
        <v>-1.1106635896820001</v>
      </c>
      <c r="AE7327">
        <v>72.522709999999904</v>
      </c>
      <c r="AF7327">
        <v>2.1418656262984199</v>
      </c>
      <c r="AG7327">
        <v>-1.1106635896820001</v>
      </c>
      <c r="AH7327">
        <v>72.575287024476907</v>
      </c>
      <c r="AI7327">
        <v>90.876382074855997</v>
      </c>
      <c r="AJ7327">
        <v>88.309558865501302</v>
      </c>
      <c r="AK7327">
        <v>72.615380248648194</v>
      </c>
      <c r="AL7327">
        <v>80.363537102627802</v>
      </c>
      <c r="AM7327">
        <v>95.468485894892595</v>
      </c>
      <c r="AN7327">
        <v>1.0000000093892001</v>
      </c>
    </row>
    <row r="7328" spans="1:40" x14ac:dyDescent="0.25">
      <c r="A7328" t="str">
        <f>"20190304155244769"</f>
        <v>20190304155244769</v>
      </c>
      <c r="B7328" t="str">
        <f>"1551685964763681"</f>
        <v>1551685964763681</v>
      </c>
      <c r="C7328" t="s">
        <v>40</v>
      </c>
      <c r="D7328">
        <v>4.8817349999999999</v>
      </c>
      <c r="E7328">
        <v>0.540554599999999</v>
      </c>
      <c r="F7328" t="s">
        <v>41</v>
      </c>
      <c r="G7328">
        <v>-185.2243</v>
      </c>
      <c r="H7328" s="1">
        <v>-2.6499269999999999E-6</v>
      </c>
      <c r="I7328">
        <v>33.700980000000001</v>
      </c>
      <c r="J7328">
        <v>-187.3289</v>
      </c>
      <c r="K7328">
        <v>1.1107070000000001</v>
      </c>
      <c r="L7328">
        <v>-17.16611</v>
      </c>
      <c r="M7328">
        <v>2.2248520000000001E-2</v>
      </c>
      <c r="N7328">
        <v>-9.4368820000000006E-3</v>
      </c>
      <c r="O7328">
        <v>0.99970789999999998</v>
      </c>
      <c r="P7328">
        <v>-7.1913779999999997E-2</v>
      </c>
      <c r="Q7328">
        <v>0.15826309999999999</v>
      </c>
      <c r="R7328">
        <v>0.9847747</v>
      </c>
      <c r="S7328">
        <v>0.1265259</v>
      </c>
      <c r="T7328">
        <v>-6.662738E-2</v>
      </c>
      <c r="U7328">
        <v>3.0659179999999999</v>
      </c>
      <c r="V7328">
        <v>-9.4098609999999999E-2</v>
      </c>
      <c r="W7328">
        <v>0.16736789999999999</v>
      </c>
      <c r="X7328">
        <v>0.98139359999999998</v>
      </c>
      <c r="Y7328">
        <v>1.8986719999999999E-2</v>
      </c>
      <c r="Z7328">
        <v>-1.2275950000000001E-2</v>
      </c>
      <c r="AA7328">
        <v>0.99974439999999998</v>
      </c>
      <c r="AB7328">
        <v>25</v>
      </c>
      <c r="AC7328">
        <v>2.1046</v>
      </c>
      <c r="AD7328">
        <v>-1.1107096499269999</v>
      </c>
      <c r="AE7328">
        <v>50.867089999999997</v>
      </c>
      <c r="AF7328">
        <v>0.97184852735026706</v>
      </c>
      <c r="AG7328">
        <v>-1.1107096499269999</v>
      </c>
      <c r="AH7328">
        <v>50.877107870789096</v>
      </c>
      <c r="AI7328">
        <v>91.250410429043299</v>
      </c>
      <c r="AJ7328">
        <v>88.905675849031695</v>
      </c>
      <c r="AK7328">
        <v>50.898509514350899</v>
      </c>
      <c r="AL7328">
        <v>80.365181492499104</v>
      </c>
      <c r="AM7328">
        <v>95.476927585606902</v>
      </c>
      <c r="AN7328">
        <v>0.99999998023765002</v>
      </c>
    </row>
    <row r="7329" spans="1:40" x14ac:dyDescent="0.25">
      <c r="A7329" t="str">
        <f>"20190304155244791"</f>
        <v>20190304155244791</v>
      </c>
      <c r="B7329" t="str">
        <f>"1551685964784177"</f>
        <v>1551685964784177</v>
      </c>
      <c r="C7329" t="s">
        <v>40</v>
      </c>
      <c r="D7329">
        <v>5.0158880000000003</v>
      </c>
      <c r="E7329">
        <v>0.53770030000000002</v>
      </c>
      <c r="F7329" t="s">
        <v>41</v>
      </c>
      <c r="G7329">
        <v>-185.82040000000001</v>
      </c>
      <c r="H7329" s="1">
        <v>-3.6412739999999999E-6</v>
      </c>
      <c r="I7329">
        <v>26.392489999999999</v>
      </c>
      <c r="J7329">
        <v>-187.3244</v>
      </c>
      <c r="K7329">
        <v>1.1107450000000001</v>
      </c>
      <c r="L7329">
        <v>-16.90558</v>
      </c>
      <c r="M7329">
        <v>2.1072589999999999E-2</v>
      </c>
      <c r="N7329">
        <v>-9.399503E-3</v>
      </c>
      <c r="O7329">
        <v>0.99973369999999995</v>
      </c>
      <c r="P7329">
        <v>-7.3038720000000001E-2</v>
      </c>
      <c r="Q7329">
        <v>0.15806129999999999</v>
      </c>
      <c r="R7329">
        <v>0.9847243</v>
      </c>
      <c r="S7329">
        <v>0.1062012</v>
      </c>
      <c r="T7329">
        <v>-7.8198790000000004E-2</v>
      </c>
      <c r="U7329">
        <v>3.0667110000000002</v>
      </c>
      <c r="V7329">
        <v>-9.4084849999999998E-2</v>
      </c>
      <c r="W7329">
        <v>0.1671192</v>
      </c>
      <c r="X7329">
        <v>0.98143729999999996</v>
      </c>
      <c r="Y7329">
        <v>1.3534289999999999E-2</v>
      </c>
      <c r="Z7329">
        <v>-1.607952E-2</v>
      </c>
      <c r="AA7329">
        <v>0.99977910000000003</v>
      </c>
      <c r="AB7329">
        <v>25</v>
      </c>
      <c r="AC7329">
        <v>1.50399999999999</v>
      </c>
      <c r="AD7329">
        <v>-1.110748641274</v>
      </c>
      <c r="AE7329">
        <v>43.298070000000003</v>
      </c>
      <c r="AF7329">
        <v>0.59083480059218496</v>
      </c>
      <c r="AG7329">
        <v>-1.110748641274</v>
      </c>
      <c r="AH7329">
        <v>43.291693217535403</v>
      </c>
      <c r="AI7329">
        <v>91.4695966557682</v>
      </c>
      <c r="AJ7329">
        <v>89.218089282561493</v>
      </c>
      <c r="AK7329">
        <v>43.3099705604481</v>
      </c>
      <c r="AL7329">
        <v>80.379634512078894</v>
      </c>
      <c r="AM7329">
        <v>95.475889214556602</v>
      </c>
      <c r="AN7329">
        <v>0.999999979919726</v>
      </c>
    </row>
    <row r="7330" spans="1:40" x14ac:dyDescent="0.25">
      <c r="A7330" t="str">
        <f>"20190304155244813"</f>
        <v>20190304155244813</v>
      </c>
      <c r="B7330" t="str">
        <f>"1551685964803698"</f>
        <v>1551685964803698</v>
      </c>
      <c r="C7330" t="s">
        <v>40</v>
      </c>
      <c r="D7330">
        <v>4.9164260000000004</v>
      </c>
      <c r="E7330">
        <v>0.5355915</v>
      </c>
      <c r="F7330" t="s">
        <v>41</v>
      </c>
      <c r="G7330">
        <v>-186.36439999999999</v>
      </c>
      <c r="H7330" s="1">
        <v>-1.122015E-6</v>
      </c>
      <c r="I7330">
        <v>20.102609999999999</v>
      </c>
      <c r="J7330">
        <v>-187.32050000000001</v>
      </c>
      <c r="K7330">
        <v>1.1107629999999999</v>
      </c>
      <c r="L7330">
        <v>-16.66339</v>
      </c>
      <c r="M7330">
        <v>1.993226E-2</v>
      </c>
      <c r="N7330">
        <v>-9.3541949999999992E-3</v>
      </c>
      <c r="O7330">
        <v>0.99975760000000002</v>
      </c>
      <c r="P7330">
        <v>-7.480858E-2</v>
      </c>
      <c r="Q7330">
        <v>0.15770609999999999</v>
      </c>
      <c r="R7330">
        <v>0.98464839999999998</v>
      </c>
      <c r="S7330">
        <v>7.9559329999999998E-2</v>
      </c>
      <c r="T7330">
        <v>-9.2058420000000002E-2</v>
      </c>
      <c r="U7330">
        <v>3.0672299999999999</v>
      </c>
      <c r="V7330">
        <v>-9.4744800000000004E-2</v>
      </c>
      <c r="W7330">
        <v>0.1667102</v>
      </c>
      <c r="X7330">
        <v>0.98144339999999997</v>
      </c>
      <c r="Y7330">
        <v>5.9915669999999997E-3</v>
      </c>
      <c r="Z7330">
        <v>-2.06369E-2</v>
      </c>
      <c r="AA7330">
        <v>0.99976909999999997</v>
      </c>
      <c r="AB7330">
        <v>25</v>
      </c>
      <c r="AC7330">
        <v>0.95610000000002004</v>
      </c>
      <c r="AD7330">
        <v>-1.110764122015</v>
      </c>
      <c r="AE7330">
        <v>36.765999999999998</v>
      </c>
      <c r="AF7330">
        <v>0.222845258672731</v>
      </c>
      <c r="AG7330">
        <v>-1.110764122015</v>
      </c>
      <c r="AH7330">
        <v>36.744237662305501</v>
      </c>
      <c r="AI7330">
        <v>91.731470172313394</v>
      </c>
      <c r="AJ7330">
        <v>89.652518678317705</v>
      </c>
      <c r="AK7330">
        <v>36.7616982514146</v>
      </c>
      <c r="AL7330">
        <v>80.403402180038</v>
      </c>
      <c r="AM7330">
        <v>95.514029391846506</v>
      </c>
      <c r="AN7330">
        <v>1.0000000076573199</v>
      </c>
    </row>
    <row r="7331" spans="1:40" x14ac:dyDescent="0.25">
      <c r="A7331" t="str">
        <f>"20190304155244836"</f>
        <v>20190304155244836</v>
      </c>
      <c r="B7331" t="str">
        <f>"1551685964833953"</f>
        <v>1551685964833953</v>
      </c>
      <c r="C7331" t="s">
        <v>40</v>
      </c>
      <c r="D7331">
        <v>4.922339</v>
      </c>
      <c r="E7331">
        <v>0.53443319999999905</v>
      </c>
      <c r="F7331" t="s">
        <v>41</v>
      </c>
      <c r="G7331">
        <v>-186.697</v>
      </c>
      <c r="H7331" s="1">
        <v>-3.5710740000000001E-6</v>
      </c>
      <c r="I7331">
        <v>16.59131</v>
      </c>
      <c r="J7331">
        <v>-187.3167</v>
      </c>
      <c r="K7331">
        <v>1.110781</v>
      </c>
      <c r="L7331">
        <v>-16.40427</v>
      </c>
      <c r="M7331">
        <v>1.8664779999999999E-2</v>
      </c>
      <c r="N7331">
        <v>-9.2942560000000007E-3</v>
      </c>
      <c r="O7331">
        <v>0.99978259999999997</v>
      </c>
      <c r="P7331">
        <v>-7.7724500000000002E-2</v>
      </c>
      <c r="Q7331">
        <v>0.1577761</v>
      </c>
      <c r="R7331">
        <v>0.98441129999999999</v>
      </c>
      <c r="S7331">
        <v>5.751038E-2</v>
      </c>
      <c r="T7331">
        <v>-0.1024622</v>
      </c>
      <c r="U7331">
        <v>3.0675659999999998</v>
      </c>
      <c r="V7331">
        <v>-9.6422889999999997E-2</v>
      </c>
      <c r="W7331">
        <v>0.1667092</v>
      </c>
      <c r="X7331">
        <v>0.98128009999999999</v>
      </c>
      <c r="Y7331" s="1">
        <v>7.3568660000000003E-5</v>
      </c>
      <c r="Z7331">
        <v>-2.4082630000000001E-2</v>
      </c>
      <c r="AA7331">
        <v>0.99970999999999999</v>
      </c>
      <c r="AB7331">
        <v>25</v>
      </c>
      <c r="AC7331">
        <v>0.61969999999999403</v>
      </c>
      <c r="AD7331">
        <v>-1.1107845710740001</v>
      </c>
      <c r="AE7331">
        <v>32.995579999999997</v>
      </c>
      <c r="AF7331">
        <v>3.7059972348887299E-3</v>
      </c>
      <c r="AG7331">
        <v>-1.1107845710740001</v>
      </c>
      <c r="AH7331">
        <v>32.964053396581797</v>
      </c>
      <c r="AI7331">
        <v>91.929956689671002</v>
      </c>
      <c r="AJ7331">
        <v>89.993558498495403</v>
      </c>
      <c r="AK7331">
        <v>32.982763262505003</v>
      </c>
      <c r="AL7331">
        <v>80.403460048853901</v>
      </c>
      <c r="AM7331">
        <v>95.6120020831208</v>
      </c>
      <c r="AN7331">
        <v>0.99999998286830005</v>
      </c>
    </row>
    <row r="7332" spans="1:40" x14ac:dyDescent="0.25">
      <c r="A7332" t="str">
        <f>"20190304155244870"</f>
        <v>20190304155244870</v>
      </c>
      <c r="B7332" t="str">
        <f>"1551685964864210"</f>
        <v>1551685964864210</v>
      </c>
      <c r="C7332" t="s">
        <v>40</v>
      </c>
      <c r="D7332">
        <v>4.8786300000000002</v>
      </c>
      <c r="E7332">
        <v>0.53305419999999903</v>
      </c>
      <c r="F7332" t="s">
        <v>41</v>
      </c>
      <c r="G7332">
        <v>-186.9023</v>
      </c>
      <c r="H7332" s="1">
        <v>-3.1244659999999998E-6</v>
      </c>
      <c r="I7332">
        <v>15.635149999999999</v>
      </c>
      <c r="J7332">
        <v>-187.31180000000001</v>
      </c>
      <c r="K7332">
        <v>1.1107880000000001</v>
      </c>
      <c r="L7332">
        <v>-16.025600000000001</v>
      </c>
      <c r="M7332">
        <v>1.6744780000000001E-2</v>
      </c>
      <c r="N7332">
        <v>-9.1920089999999992E-3</v>
      </c>
      <c r="O7332">
        <v>0.99981759999999997</v>
      </c>
      <c r="P7332">
        <v>-8.1508499999999998E-2</v>
      </c>
      <c r="Q7332">
        <v>0.15732460000000001</v>
      </c>
      <c r="R7332">
        <v>0.98417750000000004</v>
      </c>
      <c r="S7332">
        <v>3.9672850000000003E-2</v>
      </c>
      <c r="T7332">
        <v>-0.10635459999999999</v>
      </c>
      <c r="U7332">
        <v>3.067688</v>
      </c>
      <c r="V7332">
        <v>-9.8330100000000004E-2</v>
      </c>
      <c r="W7332">
        <v>0.1661427</v>
      </c>
      <c r="X7332">
        <v>0.98118689999999997</v>
      </c>
      <c r="Y7332">
        <v>-3.817913E-3</v>
      </c>
      <c r="Z7332">
        <v>-2.545267E-2</v>
      </c>
      <c r="AA7332">
        <v>0.99966869999999997</v>
      </c>
      <c r="AB7332">
        <v>25</v>
      </c>
      <c r="AC7332">
        <v>0.40950000000000802</v>
      </c>
      <c r="AD7332">
        <v>-1.11079112446599</v>
      </c>
      <c r="AE7332">
        <v>31.66075</v>
      </c>
      <c r="AF7332">
        <v>-0.120583678424335</v>
      </c>
      <c r="AG7332">
        <v>-1.11079112446599</v>
      </c>
      <c r="AH7332">
        <v>31.624248205742301</v>
      </c>
      <c r="AI7332">
        <v>92.011653429073206</v>
      </c>
      <c r="AJ7332">
        <v>90.218468509482094</v>
      </c>
      <c r="AK7332">
        <v>31.6439800266036</v>
      </c>
      <c r="AL7332">
        <v>80.436377039095106</v>
      </c>
      <c r="AM7332">
        <v>95.722815798659994</v>
      </c>
      <c r="AN7332">
        <v>0.99999996903045396</v>
      </c>
    </row>
    <row r="7333" spans="1:40" x14ac:dyDescent="0.25">
      <c r="A7333" t="str">
        <f>"20190304155244891"</f>
        <v>20190304155244891</v>
      </c>
      <c r="B7333" t="str">
        <f>"1551685964883729"</f>
        <v>1551685964883729</v>
      </c>
      <c r="C7333" t="s">
        <v>40</v>
      </c>
      <c r="D7333">
        <v>5.000102</v>
      </c>
      <c r="E7333">
        <v>0.53323779999999998</v>
      </c>
      <c r="F7333" t="s">
        <v>41</v>
      </c>
      <c r="G7333">
        <v>-187.1413</v>
      </c>
      <c r="H7333" s="1">
        <v>-2.2757390000000001E-6</v>
      </c>
      <c r="I7333">
        <v>13.755549999999999</v>
      </c>
      <c r="J7333">
        <v>-187.309</v>
      </c>
      <c r="K7333">
        <v>1.110798</v>
      </c>
      <c r="L7333">
        <v>-15.77408</v>
      </c>
      <c r="M7333">
        <v>1.5434359999999999E-2</v>
      </c>
      <c r="N7333">
        <v>-9.1221889999999993E-3</v>
      </c>
      <c r="O7333">
        <v>0.99983920000000004</v>
      </c>
      <c r="P7333">
        <v>-8.3996039999999994E-2</v>
      </c>
      <c r="Q7333">
        <v>0.15664</v>
      </c>
      <c r="R7333">
        <v>0.98407750000000005</v>
      </c>
      <c r="S7333">
        <v>1.7562870000000001E-2</v>
      </c>
      <c r="T7333">
        <v>-0.1144314</v>
      </c>
      <c r="U7333">
        <v>3.067993</v>
      </c>
      <c r="V7333">
        <v>-9.9535990000000005E-2</v>
      </c>
      <c r="W7333">
        <v>0.16538139999999901</v>
      </c>
      <c r="X7333">
        <v>0.98119400000000001</v>
      </c>
      <c r="Y7333">
        <v>-9.7111990000000002E-3</v>
      </c>
      <c r="Z7333">
        <v>-2.814769E-2</v>
      </c>
      <c r="AA7333">
        <v>0.99955660000000002</v>
      </c>
      <c r="AB7333">
        <v>26</v>
      </c>
      <c r="AC7333">
        <v>0.167700000000024</v>
      </c>
      <c r="AD7333">
        <v>-1.1108002757390001</v>
      </c>
      <c r="AE7333">
        <v>29.529630000000001</v>
      </c>
      <c r="AF7333">
        <v>-0.28770282824026999</v>
      </c>
      <c r="AG7333">
        <v>-1.1108002757390001</v>
      </c>
      <c r="AH7333">
        <v>29.486978000034799</v>
      </c>
      <c r="AI7333">
        <v>92.157259475569106</v>
      </c>
      <c r="AJ7333">
        <v>90.559014041921401</v>
      </c>
      <c r="AK7333">
        <v>29.509295514201899</v>
      </c>
      <c r="AL7333">
        <v>80.480608935242799</v>
      </c>
      <c r="AM7333">
        <v>95.792482629152005</v>
      </c>
      <c r="AN7333">
        <v>1.00000004320361</v>
      </c>
    </row>
    <row r="7334" spans="1:40" x14ac:dyDescent="0.25">
      <c r="A7334" t="str">
        <f>"20190304155244913"</f>
        <v>20190304155244913</v>
      </c>
      <c r="B7334" t="str">
        <f>"1551685964904226"</f>
        <v>1551685964904226</v>
      </c>
      <c r="C7334" t="s">
        <v>40</v>
      </c>
      <c r="D7334">
        <v>4.9067420000000004</v>
      </c>
      <c r="E7334">
        <v>0.53294770000000002</v>
      </c>
      <c r="F7334" t="s">
        <v>41</v>
      </c>
      <c r="G7334">
        <v>-187.1969</v>
      </c>
      <c r="H7334" s="1">
        <v>-2.2296510000000001E-6</v>
      </c>
      <c r="I7334">
        <v>13.67112</v>
      </c>
      <c r="J7334">
        <v>-187.3065</v>
      </c>
      <c r="K7334">
        <v>1.1108089999999999</v>
      </c>
      <c r="L7334">
        <v>-15.522030000000001</v>
      </c>
      <c r="M7334">
        <v>1.4105609999999999E-2</v>
      </c>
      <c r="N7334">
        <v>-9.0556590000000006E-3</v>
      </c>
      <c r="O7334">
        <v>0.99985950000000001</v>
      </c>
      <c r="P7334">
        <v>-8.5807110000000006E-2</v>
      </c>
      <c r="Q7334">
        <v>0.15656419999999999</v>
      </c>
      <c r="R7334">
        <v>0.98393330000000001</v>
      </c>
      <c r="S7334">
        <v>1.167297E-2</v>
      </c>
      <c r="T7334">
        <v>-0.1157368</v>
      </c>
      <c r="U7334">
        <v>3.0679630000000002</v>
      </c>
      <c r="V7334">
        <v>-0.1000461</v>
      </c>
      <c r="W7334">
        <v>0.16523409999999999</v>
      </c>
      <c r="X7334">
        <v>0.98116689999999995</v>
      </c>
      <c r="Y7334">
        <v>-1.0301080000000001E-2</v>
      </c>
      <c r="Z7334">
        <v>-2.8640229999999999E-2</v>
      </c>
      <c r="AA7334">
        <v>0.99953669999999994</v>
      </c>
      <c r="AB7334">
        <v>26</v>
      </c>
      <c r="AC7334">
        <v>0.1096</v>
      </c>
      <c r="AD7334">
        <v>-1.110811229651</v>
      </c>
      <c r="AE7334">
        <v>29.193149999999999</v>
      </c>
      <c r="AF7334">
        <v>-0.30177806204316598</v>
      </c>
      <c r="AG7334">
        <v>-1.110811229651</v>
      </c>
      <c r="AH7334">
        <v>29.149588246786902</v>
      </c>
      <c r="AI7334">
        <v>92.1822129537656</v>
      </c>
      <c r="AJ7334">
        <v>90.593147027219302</v>
      </c>
      <c r="AK7334">
        <v>29.172306500238701</v>
      </c>
      <c r="AL7334">
        <v>80.4891659957066</v>
      </c>
      <c r="AM7334">
        <v>95.822124703132602</v>
      </c>
      <c r="AN7334">
        <v>1.0000000077918101</v>
      </c>
    </row>
    <row r="7335" spans="1:40" x14ac:dyDescent="0.25">
      <c r="A7335" t="str">
        <f>"20190304155244938"</f>
        <v>20190304155244938</v>
      </c>
      <c r="B7335" t="str">
        <f>"1551685964934480"</f>
        <v>1551685964934480</v>
      </c>
      <c r="C7335" t="s">
        <v>40</v>
      </c>
      <c r="D7335">
        <v>4.9589549999999996</v>
      </c>
      <c r="E7335">
        <v>0.53310049999999998</v>
      </c>
      <c r="F7335" t="s">
        <v>41</v>
      </c>
      <c r="G7335">
        <v>-187.26769999999999</v>
      </c>
      <c r="H7335" s="1">
        <v>-2.5219719999999998E-6</v>
      </c>
      <c r="I7335">
        <v>14.381779999999999</v>
      </c>
      <c r="J7335">
        <v>-187.30420000000001</v>
      </c>
      <c r="K7335">
        <v>1.1108229999999999</v>
      </c>
      <c r="L7335">
        <v>-15.24704</v>
      </c>
      <c r="M7335">
        <v>1.264441E-2</v>
      </c>
      <c r="N7335">
        <v>-8.9837949999999993E-3</v>
      </c>
      <c r="O7335">
        <v>0.99987969999999904</v>
      </c>
      <c r="P7335">
        <v>-8.725687E-2</v>
      </c>
      <c r="Q7335">
        <v>0.15705939999999999</v>
      </c>
      <c r="R7335">
        <v>0.98372689999999996</v>
      </c>
      <c r="S7335">
        <v>3.9825440000000002E-3</v>
      </c>
      <c r="T7335">
        <v>-0.1139449</v>
      </c>
      <c r="U7335">
        <v>3.0674739999999998</v>
      </c>
      <c r="V7335">
        <v>-0.10006370000000001</v>
      </c>
      <c r="W7335">
        <v>0.16565460000000001</v>
      </c>
      <c r="X7335">
        <v>0.98109420000000003</v>
      </c>
      <c r="Y7335">
        <v>-1.134487E-2</v>
      </c>
      <c r="Z7335">
        <v>-2.813587E-2</v>
      </c>
      <c r="AA7335">
        <v>0.99953970000000003</v>
      </c>
      <c r="AB7335">
        <v>26</v>
      </c>
      <c r="AC7335">
        <v>3.65000000000179E-2</v>
      </c>
      <c r="AD7335">
        <v>-1.11082552197199</v>
      </c>
      <c r="AE7335">
        <v>29.628820000000001</v>
      </c>
      <c r="AF7335">
        <v>-0.33768233757609101</v>
      </c>
      <c r="AG7335">
        <v>-1.11082552197199</v>
      </c>
      <c r="AH7335">
        <v>29.585327517594099</v>
      </c>
      <c r="AI7335">
        <v>92.150106061821106</v>
      </c>
      <c r="AJ7335">
        <v>90.653936740461702</v>
      </c>
      <c r="AK7335">
        <v>29.608099686144801</v>
      </c>
      <c r="AL7335">
        <v>80.4647364805422</v>
      </c>
      <c r="AM7335">
        <v>95.823570421800298</v>
      </c>
      <c r="AN7335">
        <v>1.0000000099162401</v>
      </c>
    </row>
    <row r="7336" spans="1:40" x14ac:dyDescent="0.25">
      <c r="A7336" t="str">
        <f>"20190304155244958"</f>
        <v>20190304155244958</v>
      </c>
      <c r="B7336" t="str">
        <f>"1551685964954002"</f>
        <v>1551685964954002</v>
      </c>
      <c r="C7336" t="s">
        <v>40</v>
      </c>
      <c r="D7336">
        <v>5.0121029999999998</v>
      </c>
      <c r="E7336">
        <v>0.53233079999999999</v>
      </c>
      <c r="F7336" t="s">
        <v>41</v>
      </c>
      <c r="G7336">
        <v>-187.29589999999999</v>
      </c>
      <c r="H7336" s="1">
        <v>-2.9342269999999999E-6</v>
      </c>
      <c r="I7336">
        <v>15.3544</v>
      </c>
      <c r="J7336">
        <v>-187.30260000000001</v>
      </c>
      <c r="K7336">
        <v>1.1108229999999999</v>
      </c>
      <c r="L7336">
        <v>-15.0102799999999</v>
      </c>
      <c r="M7336">
        <v>1.1381240000000001E-2</v>
      </c>
      <c r="N7336">
        <v>-8.9244230000000008E-3</v>
      </c>
      <c r="O7336">
        <v>0.99989539999999999</v>
      </c>
      <c r="P7336">
        <v>-8.8018429999999995E-2</v>
      </c>
      <c r="Q7336">
        <v>0.15765290000000001</v>
      </c>
      <c r="R7336">
        <v>0.98356410000000005</v>
      </c>
      <c r="S7336">
        <v>8.3923339999999905E-4</v>
      </c>
      <c r="T7336">
        <v>-0.11134860000000001</v>
      </c>
      <c r="U7336">
        <v>3.0674739999999998</v>
      </c>
      <c r="V7336">
        <v>-9.958591E-2</v>
      </c>
      <c r="W7336">
        <v>0.1661888</v>
      </c>
      <c r="X7336">
        <v>0.98105249999999999</v>
      </c>
      <c r="Y7336">
        <v>-1.110599E-2</v>
      </c>
      <c r="Z7336">
        <v>-2.7351259999999999E-2</v>
      </c>
      <c r="AA7336">
        <v>0.99956420000000001</v>
      </c>
      <c r="AB7336">
        <v>26</v>
      </c>
      <c r="AC7336">
        <v>6.7000000000234598E-3</v>
      </c>
      <c r="AD7336">
        <v>-1.1108259342269999</v>
      </c>
      <c r="AE7336">
        <v>30.36468</v>
      </c>
      <c r="AF7336">
        <v>-0.33844896215266701</v>
      </c>
      <c r="AG7336">
        <v>-1.1108259342269999</v>
      </c>
      <c r="AH7336">
        <v>30.3222091129578</v>
      </c>
      <c r="AI7336">
        <v>92.097908814474295</v>
      </c>
      <c r="AJ7336">
        <v>90.639494695026599</v>
      </c>
      <c r="AK7336">
        <v>30.344436845096901</v>
      </c>
      <c r="AL7336">
        <v>80.433699143528699</v>
      </c>
      <c r="AM7336">
        <v>95.7961981388342</v>
      </c>
      <c r="AN7336">
        <v>1.0000000392360999</v>
      </c>
    </row>
    <row r="7337" spans="1:40" x14ac:dyDescent="0.25">
      <c r="A7337" t="str">
        <f>"20190304155244981"</f>
        <v>20190304155244981</v>
      </c>
      <c r="B7337" t="str">
        <f>"1551685964974497"</f>
        <v>1551685964974497</v>
      </c>
      <c r="C7337" t="s">
        <v>40</v>
      </c>
      <c r="D7337">
        <v>5.0447220000000002</v>
      </c>
      <c r="E7337">
        <v>0.53182879999999999</v>
      </c>
      <c r="F7337" t="s">
        <v>41</v>
      </c>
      <c r="G7337">
        <v>-187.37530000000001</v>
      </c>
      <c r="H7337" s="1">
        <v>-2.743174E-6</v>
      </c>
      <c r="I7337">
        <v>14.9419</v>
      </c>
      <c r="J7337">
        <v>-187.30109999999999</v>
      </c>
      <c r="K7337">
        <v>1.110822</v>
      </c>
      <c r="L7337">
        <v>-14.750730000000001</v>
      </c>
      <c r="M7337">
        <v>9.9948099999999998E-3</v>
      </c>
      <c r="N7337">
        <v>-8.8651249999999997E-3</v>
      </c>
      <c r="O7337">
        <v>0.99991079999999999</v>
      </c>
      <c r="P7337">
        <v>-8.8236090000000003E-2</v>
      </c>
      <c r="Q7337">
        <v>0.15828439999999999</v>
      </c>
      <c r="R7337">
        <v>0.98344310000000001</v>
      </c>
      <c r="S7337">
        <v>-7.446289E-3</v>
      </c>
      <c r="T7337">
        <v>-0.1137702</v>
      </c>
      <c r="U7337">
        <v>3.067688</v>
      </c>
      <c r="V7337">
        <v>-9.8443139999999998E-2</v>
      </c>
      <c r="W7337">
        <v>0.16676379999999999</v>
      </c>
      <c r="X7337">
        <v>0.9810702</v>
      </c>
      <c r="Y7337">
        <v>-1.241888E-2</v>
      </c>
      <c r="Z7337">
        <v>-2.8196309999999999E-2</v>
      </c>
      <c r="AA7337">
        <v>0.9995252</v>
      </c>
      <c r="AB7337">
        <v>26</v>
      </c>
      <c r="AC7337">
        <v>-7.4200000000018904E-2</v>
      </c>
      <c r="AD7337">
        <v>-1.1108247431739999</v>
      </c>
      <c r="AE7337">
        <v>29.692629999999902</v>
      </c>
      <c r="AF7337">
        <v>-0.37046165434693601</v>
      </c>
      <c r="AG7337">
        <v>-1.1108247431739999</v>
      </c>
      <c r="AH7337">
        <v>29.6489097291402</v>
      </c>
      <c r="AI7337">
        <v>92.145470262961197</v>
      </c>
      <c r="AJ7337">
        <v>90.715870665762296</v>
      </c>
      <c r="AK7337">
        <v>29.672024224411999</v>
      </c>
      <c r="AL7337">
        <v>80.400287229046498</v>
      </c>
      <c r="AM7337">
        <v>95.730027969060998</v>
      </c>
      <c r="AN7337">
        <v>0.99999997706576904</v>
      </c>
    </row>
    <row r="7338" spans="1:40" x14ac:dyDescent="0.25">
      <c r="A7338" t="str">
        <f>"20190304155245003"</f>
        <v>20190304155245003</v>
      </c>
      <c r="B7338" t="str">
        <f>"1551685964994018"</f>
        <v>1551685964994018</v>
      </c>
      <c r="C7338" t="s">
        <v>40</v>
      </c>
      <c r="D7338">
        <v>4.9960719999999998</v>
      </c>
      <c r="E7338">
        <v>0.53147819999999901</v>
      </c>
      <c r="F7338" t="s">
        <v>41</v>
      </c>
      <c r="G7338">
        <v>-187.42189999999999</v>
      </c>
      <c r="H7338" s="1">
        <v>-2.5791809999999999E-6</v>
      </c>
      <c r="I7338">
        <v>14.57891</v>
      </c>
      <c r="J7338">
        <v>-187.30009999999999</v>
      </c>
      <c r="K7338">
        <v>1.110824</v>
      </c>
      <c r="L7338">
        <v>-14.496119999999999</v>
      </c>
      <c r="M7338">
        <v>8.6358210000000001E-3</v>
      </c>
      <c r="N7338">
        <v>-8.8102489999999992E-3</v>
      </c>
      <c r="O7338">
        <v>0.99992389999999998</v>
      </c>
      <c r="P7338">
        <v>-8.9117269999999998E-2</v>
      </c>
      <c r="Q7338">
        <v>0.15831139999999999</v>
      </c>
      <c r="R7338">
        <v>0.98335930000000005</v>
      </c>
      <c r="S7338">
        <v>-1.2634279999999999E-2</v>
      </c>
      <c r="T7338">
        <v>-0.1162</v>
      </c>
      <c r="U7338">
        <v>3.068085</v>
      </c>
      <c r="V7338">
        <v>-9.7988839999999994E-2</v>
      </c>
      <c r="W7338">
        <v>0.16673789999999999</v>
      </c>
      <c r="X7338">
        <v>0.98112010000000005</v>
      </c>
      <c r="Y7338">
        <v>-1.274951E-2</v>
      </c>
      <c r="Z7338">
        <v>-2.903727E-2</v>
      </c>
      <c r="AA7338">
        <v>0.99949699999999997</v>
      </c>
      <c r="AB7338">
        <v>26</v>
      </c>
      <c r="AC7338">
        <v>-0.121800000000007</v>
      </c>
      <c r="AD7338">
        <v>-1.1108265791809999</v>
      </c>
      <c r="AE7338">
        <v>29.075029999999899</v>
      </c>
      <c r="AF7338">
        <v>-0.37234846407516098</v>
      </c>
      <c r="AG7338">
        <v>-1.1108265791809999</v>
      </c>
      <c r="AH7338">
        <v>29.0305198502944</v>
      </c>
      <c r="AI7338">
        <v>92.191122081912198</v>
      </c>
      <c r="AJ7338">
        <v>90.734841327247395</v>
      </c>
      <c r="AK7338">
        <v>29.054150509798902</v>
      </c>
      <c r="AL7338">
        <v>80.401792438719397</v>
      </c>
      <c r="AM7338">
        <v>95.703471343245695</v>
      </c>
      <c r="AN7338">
        <v>0.99999999534248196</v>
      </c>
    </row>
    <row r="7339" spans="1:40" x14ac:dyDescent="0.25">
      <c r="A7339" t="str">
        <f>"20190304155245027"</f>
        <v>20190304155245027</v>
      </c>
      <c r="B7339" t="str">
        <f>"1551685965024273"</f>
        <v>1551685965024273</v>
      </c>
      <c r="C7339" t="s">
        <v>40</v>
      </c>
      <c r="D7339">
        <v>5.0041140000000004</v>
      </c>
      <c r="E7339">
        <v>0.53118500000000002</v>
      </c>
      <c r="F7339" t="s">
        <v>41</v>
      </c>
      <c r="G7339">
        <v>-187.4648</v>
      </c>
      <c r="H7339" s="1">
        <v>-2.2862880000000001E-6</v>
      </c>
      <c r="I7339">
        <v>13.9139</v>
      </c>
      <c r="J7339">
        <v>-187.29929999999999</v>
      </c>
      <c r="K7339">
        <v>1.110822</v>
      </c>
      <c r="L7339">
        <v>-14.224</v>
      </c>
      <c r="M7339">
        <v>7.1874460000000001E-3</v>
      </c>
      <c r="N7339">
        <v>-8.7528569999999993E-3</v>
      </c>
      <c r="O7339">
        <v>0.99993589999999999</v>
      </c>
      <c r="P7339">
        <v>-8.999451E-2</v>
      </c>
      <c r="Q7339">
        <v>0.15916029999999901</v>
      </c>
      <c r="R7339">
        <v>0.98314239999999997</v>
      </c>
      <c r="S7339">
        <v>-1.7791749999999999E-2</v>
      </c>
      <c r="T7339">
        <v>-0.119977</v>
      </c>
      <c r="U7339">
        <v>3.0684809999999998</v>
      </c>
      <c r="V7339">
        <v>-9.744361E-2</v>
      </c>
      <c r="W7339">
        <v>0.1675306</v>
      </c>
      <c r="X7339">
        <v>0.98103940000000001</v>
      </c>
      <c r="Y7339">
        <v>-1.2980190000000001E-2</v>
      </c>
      <c r="Z7339">
        <v>-3.0318600000000001E-2</v>
      </c>
      <c r="AA7339">
        <v>0.99945600000000001</v>
      </c>
      <c r="AB7339">
        <v>26</v>
      </c>
      <c r="AC7339">
        <v>-0.165500000000008</v>
      </c>
      <c r="AD7339">
        <v>-1.110824286288</v>
      </c>
      <c r="AE7339">
        <v>28.137899999999998</v>
      </c>
      <c r="AF7339">
        <v>-0.36717088464092501</v>
      </c>
      <c r="AG7339">
        <v>-1.110824286288</v>
      </c>
      <c r="AH7339">
        <v>28.092203332908301</v>
      </c>
      <c r="AI7339">
        <v>92.264221679105006</v>
      </c>
      <c r="AJ7339">
        <v>90.748825002621203</v>
      </c>
      <c r="AK7339">
        <v>28.1165544324158</v>
      </c>
      <c r="AL7339">
        <v>80.355726464640497</v>
      </c>
      <c r="AM7339">
        <v>95.672407089268603</v>
      </c>
      <c r="AN7339">
        <v>1.0000000317092701</v>
      </c>
    </row>
    <row r="7340" spans="1:40" x14ac:dyDescent="0.25">
      <c r="A7340" t="str">
        <f>"20190304155245048"</f>
        <v>20190304155245048</v>
      </c>
      <c r="B7340" t="str">
        <f>"1551685965043794"</f>
        <v>1551685965043794</v>
      </c>
      <c r="C7340" t="s">
        <v>40</v>
      </c>
      <c r="D7340">
        <v>5.0006690000000003</v>
      </c>
      <c r="E7340">
        <v>0.53105389999999997</v>
      </c>
      <c r="F7340" t="s">
        <v>41</v>
      </c>
      <c r="G7340">
        <v>-187.5103</v>
      </c>
      <c r="H7340" s="1">
        <v>-2.2634580000000001E-6</v>
      </c>
      <c r="I7340">
        <v>13.879490000000001</v>
      </c>
      <c r="J7340">
        <v>-187.2989</v>
      </c>
      <c r="K7340">
        <v>1.110822</v>
      </c>
      <c r="L7340">
        <v>-13.975680000000001</v>
      </c>
      <c r="M7340">
        <v>5.8704880000000001E-3</v>
      </c>
      <c r="N7340">
        <v>-8.7045860000000003E-3</v>
      </c>
      <c r="O7340">
        <v>0.99994490000000003</v>
      </c>
      <c r="P7340">
        <v>-9.100345E-2</v>
      </c>
      <c r="Q7340">
        <v>0.15977839999999999</v>
      </c>
      <c r="R7340">
        <v>0.98294930000000003</v>
      </c>
      <c r="S7340">
        <v>-2.3040769999999999E-2</v>
      </c>
      <c r="T7340">
        <v>-0.1213048</v>
      </c>
      <c r="U7340">
        <v>3.0689700000000002</v>
      </c>
      <c r="V7340">
        <v>-9.7158960000000003E-2</v>
      </c>
      <c r="W7340">
        <v>0.16810129999999901</v>
      </c>
      <c r="X7340">
        <v>0.98097000000000001</v>
      </c>
      <c r="Y7340">
        <v>-1.337149E-2</v>
      </c>
      <c r="Z7340">
        <v>-3.0792549999999998E-2</v>
      </c>
      <c r="AA7340">
        <v>0.9994364</v>
      </c>
      <c r="AB7340">
        <v>26</v>
      </c>
      <c r="AC7340">
        <v>-0.21139999999999701</v>
      </c>
      <c r="AD7340">
        <v>-1.1108242634579999</v>
      </c>
      <c r="AE7340">
        <v>27.855170000000001</v>
      </c>
      <c r="AF7340">
        <v>-0.37433072682740998</v>
      </c>
      <c r="AG7340">
        <v>-1.1108242634579999</v>
      </c>
      <c r="AH7340">
        <v>27.809226441441101</v>
      </c>
      <c r="AI7340">
        <v>92.287225375295506</v>
      </c>
      <c r="AJ7340">
        <v>90.771192813172902</v>
      </c>
      <c r="AK7340">
        <v>27.833920480390098</v>
      </c>
      <c r="AL7340">
        <v>80.322557312789996</v>
      </c>
      <c r="AM7340">
        <v>95.6563421209365</v>
      </c>
      <c r="AN7340">
        <v>1.0000000257349799</v>
      </c>
    </row>
    <row r="7341" spans="1:40" x14ac:dyDescent="0.25">
      <c r="A7341" t="str">
        <f>"20190304155245071"</f>
        <v>20190304155245071</v>
      </c>
      <c r="B7341" t="str">
        <f>"1551685965064289"</f>
        <v>1551685965064289</v>
      </c>
      <c r="C7341" t="s">
        <v>40</v>
      </c>
      <c r="D7341">
        <v>4.974647</v>
      </c>
      <c r="E7341">
        <v>0.53111359999999996</v>
      </c>
      <c r="F7341" t="s">
        <v>41</v>
      </c>
      <c r="G7341">
        <v>-187.55410000000001</v>
      </c>
      <c r="H7341" s="1">
        <v>-2.2814739999999998E-6</v>
      </c>
      <c r="I7341">
        <v>13.93961</v>
      </c>
      <c r="J7341">
        <v>-187.2989</v>
      </c>
      <c r="K7341">
        <v>1.1108209999999901</v>
      </c>
      <c r="L7341">
        <v>-13.71231</v>
      </c>
      <c r="M7341">
        <v>4.4779590000000001E-3</v>
      </c>
      <c r="N7341">
        <v>-8.6600719999999996E-3</v>
      </c>
      <c r="O7341">
        <v>0.99995250000000002</v>
      </c>
      <c r="P7341">
        <v>-9.2500990000000005E-2</v>
      </c>
      <c r="Q7341">
        <v>0.15972720000000001</v>
      </c>
      <c r="R7341">
        <v>0.98281779999999996</v>
      </c>
      <c r="S7341">
        <v>-2.8060910000000001E-2</v>
      </c>
      <c r="T7341">
        <v>-0.12213590000000001</v>
      </c>
      <c r="U7341">
        <v>3.0693049999999999</v>
      </c>
      <c r="V7341">
        <v>-9.7288769999999997E-2</v>
      </c>
      <c r="W7341">
        <v>0.16800489999999901</v>
      </c>
      <c r="X7341">
        <v>0.9809736</v>
      </c>
      <c r="Y7341">
        <v>-1.3612620000000001E-2</v>
      </c>
      <c r="Z7341">
        <v>-3.110305E-2</v>
      </c>
      <c r="AA7341">
        <v>0.99942350000000002</v>
      </c>
      <c r="AB7341">
        <v>26</v>
      </c>
      <c r="AC7341">
        <v>-0.25520000000000198</v>
      </c>
      <c r="AD7341">
        <v>-1.11082328147399</v>
      </c>
      <c r="AE7341">
        <v>27.65192</v>
      </c>
      <c r="AF7341">
        <v>-0.37841562490157898</v>
      </c>
      <c r="AG7341">
        <v>-1.11082328147399</v>
      </c>
      <c r="AH7341">
        <v>27.6059542867098</v>
      </c>
      <c r="AI7341">
        <v>92.304039161240794</v>
      </c>
      <c r="AJ7341">
        <v>90.785347252494503</v>
      </c>
      <c r="AK7341">
        <v>27.630885596153899</v>
      </c>
      <c r="AL7341">
        <v>80.328159841388697</v>
      </c>
      <c r="AM7341">
        <v>95.663829568067996</v>
      </c>
      <c r="AN7341">
        <v>0.99999997754454095</v>
      </c>
    </row>
    <row r="7342" spans="1:40" x14ac:dyDescent="0.25">
      <c r="A7342" t="str">
        <f>"20190304155245092"</f>
        <v>20190304155245092</v>
      </c>
      <c r="B7342" t="str">
        <f>"1551685965083810"</f>
        <v>1551685965083810</v>
      </c>
      <c r="C7342" t="s">
        <v>40</v>
      </c>
      <c r="D7342">
        <v>4.9907110000000001</v>
      </c>
      <c r="E7342">
        <v>0.53094079999999999</v>
      </c>
      <c r="F7342" t="s">
        <v>41</v>
      </c>
      <c r="G7342">
        <v>-187.58709999999999</v>
      </c>
      <c r="H7342" s="1">
        <v>-2.317299E-6</v>
      </c>
      <c r="I7342">
        <v>14.03675</v>
      </c>
      <c r="J7342">
        <v>-187.29920000000001</v>
      </c>
      <c r="K7342">
        <v>1.1108180000000001</v>
      </c>
      <c r="L7342">
        <v>-13.461</v>
      </c>
      <c r="M7342">
        <v>3.1517049999999999E-3</v>
      </c>
      <c r="N7342">
        <v>-8.622925E-3</v>
      </c>
      <c r="O7342">
        <v>0.99995789999999996</v>
      </c>
      <c r="P7342">
        <v>-9.3716110000000005E-2</v>
      </c>
      <c r="Q7342">
        <v>0.15973019999999999</v>
      </c>
      <c r="R7342">
        <v>0.98270219999999997</v>
      </c>
      <c r="S7342">
        <v>-3.1875609999999999E-2</v>
      </c>
      <c r="T7342">
        <v>-0.12287240000000001</v>
      </c>
      <c r="U7342">
        <v>3.0694270000000001</v>
      </c>
      <c r="V7342">
        <v>-9.7201399999999993E-2</v>
      </c>
      <c r="W7342">
        <v>0.1679715</v>
      </c>
      <c r="X7342">
        <v>0.98098799999999997</v>
      </c>
      <c r="Y7342">
        <v>-1.352796E-2</v>
      </c>
      <c r="Z7342">
        <v>-3.137815E-2</v>
      </c>
      <c r="AA7342">
        <v>0.99941610000000003</v>
      </c>
      <c r="AB7342">
        <v>26</v>
      </c>
      <c r="AC7342">
        <v>-0.28789999999997901</v>
      </c>
      <c r="AD7342">
        <v>-1.1108203172990001</v>
      </c>
      <c r="AE7342">
        <v>27.49775</v>
      </c>
      <c r="AF7342">
        <v>-0.373956392200814</v>
      </c>
      <c r="AG7342">
        <v>-1.1108203172990001</v>
      </c>
      <c r="AH7342">
        <v>27.451912167743501</v>
      </c>
      <c r="AI7342">
        <v>92.316950394672403</v>
      </c>
      <c r="AJ7342">
        <v>90.7804482870567</v>
      </c>
      <c r="AK7342">
        <v>27.4769220770103</v>
      </c>
      <c r="AL7342">
        <v>80.330101293428399</v>
      </c>
      <c r="AM7342">
        <v>95.658693676501599</v>
      </c>
      <c r="AN7342">
        <v>0.99999999655910399</v>
      </c>
    </row>
    <row r="7343" spans="1:40" x14ac:dyDescent="0.25">
      <c r="A7343" t="str">
        <f>"20190304155245116"</f>
        <v>20190304155245116</v>
      </c>
      <c r="B7343" t="str">
        <f>"1551685965114067"</f>
        <v>1551685965114067</v>
      </c>
      <c r="C7343" t="s">
        <v>40</v>
      </c>
      <c r="D7343">
        <v>4.997992</v>
      </c>
      <c r="E7343">
        <v>0.53078289999999995</v>
      </c>
      <c r="F7343" t="s">
        <v>41</v>
      </c>
      <c r="G7343">
        <v>-187.62629999999999</v>
      </c>
      <c r="H7343" s="1">
        <v>-2.182039E-6</v>
      </c>
      <c r="I7343">
        <v>13.73766</v>
      </c>
      <c r="J7343">
        <v>-187.29990000000001</v>
      </c>
      <c r="K7343">
        <v>1.1108180000000001</v>
      </c>
      <c r="L7343">
        <v>-13.18051</v>
      </c>
      <c r="M7343">
        <v>1.6733989999999999E-3</v>
      </c>
      <c r="N7343">
        <v>-8.5868739999999995E-3</v>
      </c>
      <c r="O7343">
        <v>0.99996169999999995</v>
      </c>
      <c r="P7343">
        <v>-9.5134410000000003E-2</v>
      </c>
      <c r="Q7343">
        <v>0.15929679999999999</v>
      </c>
      <c r="R7343">
        <v>0.98263630000000002</v>
      </c>
      <c r="S7343">
        <v>-3.6911010000000001E-2</v>
      </c>
      <c r="T7343">
        <v>-0.12536849999999999</v>
      </c>
      <c r="U7343">
        <v>3.0696720000000002</v>
      </c>
      <c r="V7343">
        <v>-9.7168099999999993E-2</v>
      </c>
      <c r="W7343">
        <v>0.16750190000000001</v>
      </c>
      <c r="X7343">
        <v>0.98107160000000004</v>
      </c>
      <c r="Y7343">
        <v>-1.368772E-2</v>
      </c>
      <c r="Z7343">
        <v>-3.2222210000000001E-2</v>
      </c>
      <c r="AA7343">
        <v>0.99938700000000003</v>
      </c>
      <c r="AB7343">
        <v>26</v>
      </c>
      <c r="AC7343">
        <v>-0.32639999999997799</v>
      </c>
      <c r="AD7343">
        <v>-1.110820182039</v>
      </c>
      <c r="AE7343">
        <v>26.91817</v>
      </c>
      <c r="AF7343">
        <v>-0.37081466583232398</v>
      </c>
      <c r="AG7343">
        <v>-1.110820182039</v>
      </c>
      <c r="AH7343">
        <v>26.871832004428502</v>
      </c>
      <c r="AI7343">
        <v>92.366903911373498</v>
      </c>
      <c r="AJ7343">
        <v>90.790596149222793</v>
      </c>
      <c r="AK7343">
        <v>26.897337791451601</v>
      </c>
      <c r="AL7343">
        <v>80.357394165219006</v>
      </c>
      <c r="AM7343">
        <v>95.656288749140103</v>
      </c>
      <c r="AN7343">
        <v>1.00000000524389</v>
      </c>
    </row>
    <row r="7344" spans="1:40" x14ac:dyDescent="0.25">
      <c r="A7344" t="str">
        <f>"20190304155245139"</f>
        <v>20190304155245139</v>
      </c>
      <c r="B7344" t="str">
        <f>"1551685965134561"</f>
        <v>1551685965134561</v>
      </c>
      <c r="C7344" t="s">
        <v>40</v>
      </c>
      <c r="D7344">
        <v>4.9209680000000002</v>
      </c>
      <c r="E7344">
        <v>0.53066930000000001</v>
      </c>
      <c r="F7344" t="s">
        <v>41</v>
      </c>
      <c r="G7344">
        <v>-187.6627</v>
      </c>
      <c r="H7344" s="1">
        <v>-1.9337659999999999E-6</v>
      </c>
      <c r="I7344">
        <v>13.173970000000001</v>
      </c>
      <c r="J7344">
        <v>-187.30109999999999</v>
      </c>
      <c r="K7344">
        <v>1.1108100000000001</v>
      </c>
      <c r="L7344">
        <v>-12.90781</v>
      </c>
      <c r="M7344">
        <v>2.3679570000000001E-4</v>
      </c>
      <c r="N7344">
        <v>-8.5566770000000004E-3</v>
      </c>
      <c r="O7344">
        <v>0.9999633</v>
      </c>
      <c r="P7344">
        <v>-9.5946939999999994E-2</v>
      </c>
      <c r="Q7344">
        <v>0.15920139999999999</v>
      </c>
      <c r="R7344">
        <v>0.98257269999999997</v>
      </c>
      <c r="S7344">
        <v>-4.2251589999999999E-2</v>
      </c>
      <c r="T7344">
        <v>-0.12939310000000001</v>
      </c>
      <c r="U7344">
        <v>3.0698850000000002</v>
      </c>
      <c r="V7344">
        <v>-9.6569929999999998E-2</v>
      </c>
      <c r="W7344">
        <v>0.16737869999999999</v>
      </c>
      <c r="X7344">
        <v>0.98115169999999996</v>
      </c>
      <c r="Y7344">
        <v>-1.3987940000000001E-2</v>
      </c>
      <c r="Z7344">
        <v>-3.3557080000000003E-2</v>
      </c>
      <c r="AA7344">
        <v>0.99933890000000003</v>
      </c>
      <c r="AB7344">
        <v>26</v>
      </c>
      <c r="AC7344">
        <v>-0.36160000000000903</v>
      </c>
      <c r="AD7344">
        <v>-1.1108119337660001</v>
      </c>
      <c r="AE7344">
        <v>26.081779999999998</v>
      </c>
      <c r="AF7344">
        <v>-0.36711050623739599</v>
      </c>
      <c r="AG7344">
        <v>-1.1108119337660001</v>
      </c>
      <c r="AH7344">
        <v>26.034479503936101</v>
      </c>
      <c r="AI7344">
        <v>92.442911969640093</v>
      </c>
      <c r="AJ7344">
        <v>90.807870527433806</v>
      </c>
      <c r="AK7344">
        <v>26.060752028996699</v>
      </c>
      <c r="AL7344">
        <v>80.3645542261565</v>
      </c>
      <c r="AM7344">
        <v>95.621236171639893</v>
      </c>
      <c r="AN7344">
        <v>1.00000001950339</v>
      </c>
    </row>
    <row r="7345" spans="1:40" x14ac:dyDescent="0.25">
      <c r="A7345" t="str">
        <f>"20190304155245160"</f>
        <v>20190304155245160</v>
      </c>
      <c r="B7345" t="str">
        <f>"1551685965154081"</f>
        <v>1551685965154081</v>
      </c>
      <c r="C7345" t="s">
        <v>40</v>
      </c>
      <c r="D7345">
        <v>4.962358</v>
      </c>
      <c r="E7345">
        <v>0.51018249999999998</v>
      </c>
      <c r="F7345" t="s">
        <v>41</v>
      </c>
      <c r="G7345">
        <v>-187.691</v>
      </c>
      <c r="H7345" s="1">
        <v>-1.9431000000000001E-6</v>
      </c>
      <c r="I7345">
        <v>13.20745</v>
      </c>
      <c r="J7345">
        <v>-187.30250000000001</v>
      </c>
      <c r="K7345">
        <v>1.110808</v>
      </c>
      <c r="L7345">
        <v>-12.649480000000001</v>
      </c>
      <c r="M7345">
        <v>-1.12393E-3</v>
      </c>
      <c r="N7345">
        <v>-8.5323559999999996E-3</v>
      </c>
      <c r="O7345">
        <v>0.99996300000000005</v>
      </c>
      <c r="P7345">
        <v>-9.6045050000000007E-2</v>
      </c>
      <c r="Q7345">
        <v>0.15948479999999901</v>
      </c>
      <c r="R7345">
        <v>0.98251719999999998</v>
      </c>
      <c r="S7345">
        <v>-4.58374E-2</v>
      </c>
      <c r="T7345">
        <v>-0.13057759999999999</v>
      </c>
      <c r="U7345">
        <v>3.0698850000000002</v>
      </c>
      <c r="V7345">
        <v>-9.5332769999999997E-2</v>
      </c>
      <c r="W7345">
        <v>0.1676406</v>
      </c>
      <c r="X7345">
        <v>0.98122790000000004</v>
      </c>
      <c r="Y7345">
        <v>-1.379417E-2</v>
      </c>
      <c r="Z7345">
        <v>-3.3966030000000001E-2</v>
      </c>
      <c r="AA7345">
        <v>0.99932779999999999</v>
      </c>
      <c r="AB7345">
        <v>26</v>
      </c>
      <c r="AC7345">
        <v>-0.38849999999996399</v>
      </c>
      <c r="AD7345">
        <v>-1.1108099431</v>
      </c>
      <c r="AE7345">
        <v>25.856929999999998</v>
      </c>
      <c r="AF7345">
        <v>-0.35877533027902098</v>
      </c>
      <c r="AG7345">
        <v>-1.1108099431</v>
      </c>
      <c r="AH7345">
        <v>25.809727961242402</v>
      </c>
      <c r="AI7345">
        <v>92.464161263848098</v>
      </c>
      <c r="AJ7345">
        <v>90.796404687383202</v>
      </c>
      <c r="AK7345">
        <v>25.8361118572561</v>
      </c>
      <c r="AL7345">
        <v>80.349332718697198</v>
      </c>
      <c r="AM7345">
        <v>95.549246536610298</v>
      </c>
      <c r="AN7345">
        <v>0.99999994977132001</v>
      </c>
    </row>
    <row r="7346" spans="1:40" x14ac:dyDescent="0.25">
      <c r="A7346" t="str">
        <f>"20190304155245183"</f>
        <v>20190304155245183</v>
      </c>
      <c r="B7346" t="str">
        <f>"1551685965173602"</f>
        <v>1551685965173602</v>
      </c>
      <c r="C7346" t="s">
        <v>40</v>
      </c>
      <c r="D7346">
        <v>5.0057939999999999</v>
      </c>
      <c r="E7346">
        <v>0.5090964</v>
      </c>
      <c r="F7346" t="s">
        <v>41</v>
      </c>
      <c r="G7346">
        <v>-188.90039999999999</v>
      </c>
      <c r="H7346" s="1">
        <v>-6.679155E-7</v>
      </c>
      <c r="I7346">
        <v>10.73503</v>
      </c>
      <c r="J7346">
        <v>-187.30410000000001</v>
      </c>
      <c r="K7346">
        <v>1.110808</v>
      </c>
      <c r="L7346">
        <v>-12.39969</v>
      </c>
      <c r="M7346">
        <v>-2.4369280000000001E-3</v>
      </c>
      <c r="N7346">
        <v>-8.5124869999999991E-3</v>
      </c>
      <c r="O7346">
        <v>0.99996079999999998</v>
      </c>
      <c r="P7346">
        <v>-9.6057619999999996E-2</v>
      </c>
      <c r="Q7346">
        <v>0.15937560000000001</v>
      </c>
      <c r="R7346">
        <v>0.98253360000000001</v>
      </c>
      <c r="S7346">
        <v>-0.2088623</v>
      </c>
      <c r="T7346">
        <v>-0.1451905</v>
      </c>
      <c r="U7346">
        <v>3.0565190000000002</v>
      </c>
      <c r="V7346">
        <v>-9.4055979999999997E-2</v>
      </c>
      <c r="W7346">
        <v>0.16751549999999901</v>
      </c>
      <c r="X7346">
        <v>0.98137249999999998</v>
      </c>
      <c r="Y7346">
        <v>-6.5675810000000001E-2</v>
      </c>
      <c r="Z7346">
        <v>-3.8837980000000001E-2</v>
      </c>
      <c r="AA7346">
        <v>0.99708490000000005</v>
      </c>
      <c r="AB7346">
        <v>26</v>
      </c>
      <c r="AC7346">
        <v>-1.5962999999999801</v>
      </c>
      <c r="AD7346">
        <v>-1.1108086679155</v>
      </c>
      <c r="AE7346">
        <v>23.134720000000002</v>
      </c>
      <c r="AF7346">
        <v>-1.5363903291608501</v>
      </c>
      <c r="AG7346">
        <v>-1.1108086679155</v>
      </c>
      <c r="AH7346">
        <v>23.0855717652334</v>
      </c>
      <c r="AI7346">
        <v>92.748705708379504</v>
      </c>
      <c r="AJ7346">
        <v>93.807532350197903</v>
      </c>
      <c r="AK7346">
        <v>23.163290242709401</v>
      </c>
      <c r="AL7346">
        <v>80.356603499278805</v>
      </c>
      <c r="AM7346">
        <v>95.474578409357704</v>
      </c>
      <c r="AN7346">
        <v>0.99999997693512899</v>
      </c>
    </row>
    <row r="7347" spans="1:40" x14ac:dyDescent="0.25">
      <c r="A7347" t="str">
        <f>"20190304155245205"</f>
        <v>20190304155245205</v>
      </c>
      <c r="B7347" t="str">
        <f>"1551685965194097"</f>
        <v>1551685965194097</v>
      </c>
      <c r="C7347" t="s">
        <v>40</v>
      </c>
      <c r="D7347">
        <v>4.9545949999999896</v>
      </c>
      <c r="E7347">
        <v>0.50986790000000004</v>
      </c>
      <c r="F7347" t="s">
        <v>41</v>
      </c>
      <c r="G7347">
        <v>-189.12180000000001</v>
      </c>
      <c r="H7347" s="1">
        <v>-1.643475E-6</v>
      </c>
      <c r="I7347">
        <v>13.10064</v>
      </c>
      <c r="J7347">
        <v>-187.30629999999999</v>
      </c>
      <c r="K7347">
        <v>1.1108089999999999</v>
      </c>
      <c r="L7347">
        <v>-12.131410000000001</v>
      </c>
      <c r="M7347">
        <v>-3.838803E-3</v>
      </c>
      <c r="N7347">
        <v>-8.4945049999999994E-3</v>
      </c>
      <c r="O7347">
        <v>0.99995650000000003</v>
      </c>
      <c r="P7347">
        <v>-9.6339350000000004E-2</v>
      </c>
      <c r="Q7347">
        <v>0.15920719999999999</v>
      </c>
      <c r="R7347">
        <v>0.9825334</v>
      </c>
      <c r="S7347">
        <v>-0.21766659999999999</v>
      </c>
      <c r="T7347">
        <v>-0.13301749999999901</v>
      </c>
      <c r="U7347">
        <v>3.0536189999999999</v>
      </c>
      <c r="V7347">
        <v>-9.2959609999999998E-2</v>
      </c>
      <c r="W7347">
        <v>0.16733310000000001</v>
      </c>
      <c r="X7347">
        <v>0.98150809999999999</v>
      </c>
      <c r="Y7347">
        <v>-6.7213179999999997E-2</v>
      </c>
      <c r="Z7347">
        <v>-3.4927809999999997E-2</v>
      </c>
      <c r="AA7347">
        <v>0.99712710000000004</v>
      </c>
      <c r="AB7347">
        <v>26</v>
      </c>
      <c r="AC7347">
        <v>-1.8155000000000101</v>
      </c>
      <c r="AD7347">
        <v>-1.110810643475</v>
      </c>
      <c r="AE7347">
        <v>25.232050000000001</v>
      </c>
      <c r="AF7347">
        <v>-1.7153149325191701</v>
      </c>
      <c r="AG7347">
        <v>-1.110810643475</v>
      </c>
      <c r="AH7347">
        <v>25.190264003283101</v>
      </c>
      <c r="AI7347">
        <v>92.519100127445697</v>
      </c>
      <c r="AJ7347">
        <v>93.8955059762567</v>
      </c>
      <c r="AK7347">
        <v>25.2730213104504</v>
      </c>
      <c r="AL7347">
        <v>80.367204127280502</v>
      </c>
      <c r="AM7347">
        <v>95.410401464160302</v>
      </c>
      <c r="AN7347">
        <v>1.0000000029062801</v>
      </c>
    </row>
    <row r="7348" spans="1:40" x14ac:dyDescent="0.25">
      <c r="A7348" t="str">
        <f>"20190304155245227"</f>
        <v>20190304155245227</v>
      </c>
      <c r="B7348" t="str">
        <f>"1551685965224354"</f>
        <v>1551685965224354</v>
      </c>
      <c r="C7348" t="s">
        <v>40</v>
      </c>
      <c r="D7348">
        <v>4.946072</v>
      </c>
      <c r="E7348">
        <v>0.50923850000000004</v>
      </c>
      <c r="F7348" t="s">
        <v>41</v>
      </c>
      <c r="G7348">
        <v>-189.09299999999999</v>
      </c>
      <c r="H7348" s="1">
        <v>-1.8219840000000001E-6</v>
      </c>
      <c r="I7348">
        <v>13.504849999999999</v>
      </c>
      <c r="J7348">
        <v>-187.30869999999999</v>
      </c>
      <c r="K7348">
        <v>1.1108</v>
      </c>
      <c r="L7348">
        <v>-11.87546</v>
      </c>
      <c r="M7348">
        <v>-5.1599920000000004E-3</v>
      </c>
      <c r="N7348">
        <v>-8.4802509999999994E-3</v>
      </c>
      <c r="O7348">
        <v>0.99995069999999997</v>
      </c>
      <c r="P7348">
        <v>-9.6666139999999998E-2</v>
      </c>
      <c r="Q7348">
        <v>0.1598395</v>
      </c>
      <c r="R7348">
        <v>0.98239860000000001</v>
      </c>
      <c r="S7348">
        <v>-0.2128448</v>
      </c>
      <c r="T7348">
        <v>-0.1323242</v>
      </c>
      <c r="U7348">
        <v>3.0538940000000001</v>
      </c>
      <c r="V7348">
        <v>-9.1987449999999998E-2</v>
      </c>
      <c r="W7348">
        <v>0.1679551</v>
      </c>
      <c r="X7348">
        <v>0.98149350000000002</v>
      </c>
      <c r="Y7348">
        <v>-6.432293E-2</v>
      </c>
      <c r="Z7348">
        <v>-3.4718730000000003E-2</v>
      </c>
      <c r="AA7348">
        <v>0.99732500000000002</v>
      </c>
      <c r="AB7348">
        <v>26</v>
      </c>
      <c r="AC7348">
        <v>-1.7843</v>
      </c>
      <c r="AD7348">
        <v>-1.1108018219839999</v>
      </c>
      <c r="AE7348">
        <v>25.380310000000001</v>
      </c>
      <c r="AF7348">
        <v>-1.65016401160699</v>
      </c>
      <c r="AG7348">
        <v>-1.1108018219839999</v>
      </c>
      <c r="AH7348">
        <v>25.3408779886208</v>
      </c>
      <c r="AI7348">
        <v>92.504620610159805</v>
      </c>
      <c r="AJ7348">
        <v>93.725764020558103</v>
      </c>
      <c r="AK7348">
        <v>25.418831979205699</v>
      </c>
      <c r="AL7348">
        <v>80.331054993586093</v>
      </c>
      <c r="AM7348">
        <v>95.354229884448799</v>
      </c>
      <c r="AN7348">
        <v>1.0000000485578799</v>
      </c>
    </row>
    <row r="7349" spans="1:40" x14ac:dyDescent="0.25">
      <c r="A7349" t="str">
        <f>"20190304155245250"</f>
        <v>20190304155245250</v>
      </c>
      <c r="B7349" t="str">
        <f>"1551685965243874"</f>
        <v>1551685965243874</v>
      </c>
      <c r="C7349" t="s">
        <v>40</v>
      </c>
      <c r="D7349">
        <v>5.0767720000000001</v>
      </c>
      <c r="E7349">
        <v>0.50973900000000005</v>
      </c>
      <c r="F7349" t="s">
        <v>41</v>
      </c>
      <c r="G7349">
        <v>-189.2466</v>
      </c>
      <c r="H7349" s="1">
        <v>-2.4764429999999998E-6</v>
      </c>
      <c r="I7349">
        <v>15.09389</v>
      </c>
      <c r="J7349">
        <v>-187.3117</v>
      </c>
      <c r="K7349">
        <v>1.1107899999999999</v>
      </c>
      <c r="L7349">
        <v>-11.597289999999999</v>
      </c>
      <c r="M7349">
        <v>-6.5631919999999998E-3</v>
      </c>
      <c r="N7349">
        <v>-8.462163E-3</v>
      </c>
      <c r="O7349">
        <v>0.99994269999999996</v>
      </c>
      <c r="P7349">
        <v>-9.7098980000000001E-2</v>
      </c>
      <c r="Q7349">
        <v>0.16052829999999901</v>
      </c>
      <c r="R7349">
        <v>0.98224359999999999</v>
      </c>
      <c r="S7349">
        <v>-0.21934509999999999</v>
      </c>
      <c r="T7349">
        <v>-0.1257298</v>
      </c>
      <c r="U7349">
        <v>3.0526119999999999</v>
      </c>
      <c r="V7349">
        <v>-9.103696E-2</v>
      </c>
      <c r="W7349">
        <v>0.16863139999999999</v>
      </c>
      <c r="X7349">
        <v>0.98146610000000001</v>
      </c>
      <c r="Y7349">
        <v>-6.5070290000000003E-2</v>
      </c>
      <c r="Z7349">
        <v>-3.2600459999999998E-2</v>
      </c>
      <c r="AA7349">
        <v>0.99734800000000001</v>
      </c>
      <c r="AB7349">
        <v>27</v>
      </c>
      <c r="AC7349">
        <v>-1.9348999999999901</v>
      </c>
      <c r="AD7349">
        <v>-1.1107924764429999</v>
      </c>
      <c r="AE7349">
        <v>26.691179999999999</v>
      </c>
      <c r="AF7349">
        <v>-1.75664623563214</v>
      </c>
      <c r="AG7349">
        <v>-1.1107924764429999</v>
      </c>
      <c r="AH7349">
        <v>26.657377303448101</v>
      </c>
      <c r="AI7349">
        <v>92.380932871447996</v>
      </c>
      <c r="AJ7349">
        <v>93.770179868402593</v>
      </c>
      <c r="AK7349">
        <v>26.738276508056298</v>
      </c>
      <c r="AL7349">
        <v>80.2917446209009</v>
      </c>
      <c r="AM7349">
        <v>95.299369268301305</v>
      </c>
      <c r="AN7349">
        <v>0.99999999130060502</v>
      </c>
    </row>
    <row r="7350" spans="1:40" x14ac:dyDescent="0.25">
      <c r="A7350" t="str">
        <f>"20190304155245271"</f>
        <v>20190304155245271</v>
      </c>
      <c r="B7350" t="str">
        <f>"1551685965264369"</f>
        <v>1551685965264369</v>
      </c>
      <c r="C7350" t="s">
        <v>40</v>
      </c>
      <c r="D7350">
        <v>4.9142830000000002</v>
      </c>
      <c r="E7350">
        <v>0.51016309999999998</v>
      </c>
      <c r="F7350" t="s">
        <v>41</v>
      </c>
      <c r="G7350">
        <v>-189.29320000000001</v>
      </c>
      <c r="H7350" s="1">
        <v>-2.9647889999999999E-6</v>
      </c>
      <c r="I7350">
        <v>16.251519999999999</v>
      </c>
      <c r="J7350">
        <v>-187.31460000000001</v>
      </c>
      <c r="K7350">
        <v>1.1107590000000001</v>
      </c>
      <c r="L7350">
        <v>-11.348420000000001</v>
      </c>
      <c r="M7350">
        <v>-7.7811879999999996E-3</v>
      </c>
      <c r="N7350">
        <v>-8.4443009999999995E-3</v>
      </c>
      <c r="O7350">
        <v>0.99993410000000005</v>
      </c>
      <c r="P7350">
        <v>-9.7413479999999997E-2</v>
      </c>
      <c r="Q7350">
        <v>0.16120580000000001</v>
      </c>
      <c r="R7350">
        <v>0.98210149999999996</v>
      </c>
      <c r="S7350">
        <v>-0.21720890000000001</v>
      </c>
      <c r="T7350">
        <v>-0.1217606</v>
      </c>
      <c r="U7350">
        <v>3.052673</v>
      </c>
      <c r="V7350">
        <v>-9.0147580000000005E-2</v>
      </c>
      <c r="W7350">
        <v>0.16929839999999999</v>
      </c>
      <c r="X7350">
        <v>0.98143340000000001</v>
      </c>
      <c r="Y7350">
        <v>-6.3162560000000006E-2</v>
      </c>
      <c r="Z7350">
        <v>-3.1326390000000003E-2</v>
      </c>
      <c r="AA7350">
        <v>0.9975115</v>
      </c>
      <c r="AB7350">
        <v>27</v>
      </c>
      <c r="AC7350">
        <v>-1.9785999999999999</v>
      </c>
      <c r="AD7350">
        <v>-1.1107619647889999</v>
      </c>
      <c r="AE7350">
        <v>27.59994</v>
      </c>
      <c r="AF7350">
        <v>-1.7609345780369901</v>
      </c>
      <c r="AG7350">
        <v>-1.1107619647889999</v>
      </c>
      <c r="AH7350">
        <v>27.5700747667969</v>
      </c>
      <c r="AI7350">
        <v>92.302437078271296</v>
      </c>
      <c r="AJ7350">
        <v>93.654587617027602</v>
      </c>
      <c r="AK7350">
        <v>27.648575105732299</v>
      </c>
      <c r="AL7350">
        <v>80.252971194918103</v>
      </c>
      <c r="AM7350">
        <v>95.248061760634002</v>
      </c>
      <c r="AN7350">
        <v>1.0000000265289799</v>
      </c>
    </row>
    <row r="7351" spans="1:40" x14ac:dyDescent="0.25">
      <c r="A7351" t="str">
        <f>"20190304155245293"</f>
        <v>20190304155245293</v>
      </c>
      <c r="B7351" t="str">
        <f>"1551685965283889"</f>
        <v>1551685965283889</v>
      </c>
      <c r="C7351" t="s">
        <v>40</v>
      </c>
      <c r="D7351">
        <v>4.906339</v>
      </c>
      <c r="E7351">
        <v>0.51004640000000001</v>
      </c>
      <c r="F7351" t="s">
        <v>41</v>
      </c>
      <c r="G7351">
        <v>-189.3289</v>
      </c>
      <c r="H7351" s="1">
        <v>-3.3847080000000002E-6</v>
      </c>
      <c r="I7351">
        <v>17.24513</v>
      </c>
      <c r="J7351">
        <v>-187.31819999999999</v>
      </c>
      <c r="K7351">
        <v>1.110725</v>
      </c>
      <c r="L7351">
        <v>-11.07281</v>
      </c>
      <c r="M7351">
        <v>-9.0869039999999998E-3</v>
      </c>
      <c r="N7351">
        <v>-8.4244660000000002E-3</v>
      </c>
      <c r="O7351">
        <v>0.99992320000000001</v>
      </c>
      <c r="P7351">
        <v>-9.8550449999999998E-2</v>
      </c>
      <c r="Q7351">
        <v>0.16141839999999999</v>
      </c>
      <c r="R7351">
        <v>0.98195310000000002</v>
      </c>
      <c r="S7351">
        <v>-0.21505740000000001</v>
      </c>
      <c r="T7351">
        <v>-0.11859069999999999</v>
      </c>
      <c r="U7351">
        <v>3.0527950000000001</v>
      </c>
      <c r="V7351">
        <v>-8.999095E-2</v>
      </c>
      <c r="W7351">
        <v>0.1694976</v>
      </c>
      <c r="X7351">
        <v>0.98141339999999999</v>
      </c>
      <c r="Y7351">
        <v>-6.11598E-2</v>
      </c>
      <c r="Z7351">
        <v>-3.031385E-2</v>
      </c>
      <c r="AA7351">
        <v>0.99766759999999999</v>
      </c>
      <c r="AB7351">
        <v>27</v>
      </c>
      <c r="AC7351">
        <v>-2.0107000000000101</v>
      </c>
      <c r="AD7351">
        <v>-1.1107283847080001</v>
      </c>
      <c r="AE7351">
        <v>28.31794</v>
      </c>
      <c r="AF7351">
        <v>-1.7506056732816699</v>
      </c>
      <c r="AG7351">
        <v>-1.1107283847080001</v>
      </c>
      <c r="AH7351">
        <v>28.291734465609199</v>
      </c>
      <c r="AI7351">
        <v>92.243979998478395</v>
      </c>
      <c r="AJ7351">
        <v>93.540772626831497</v>
      </c>
      <c r="AK7351">
        <v>28.367597304679499</v>
      </c>
      <c r="AL7351">
        <v>80.241390588132802</v>
      </c>
      <c r="AM7351">
        <v>95.239100290201193</v>
      </c>
      <c r="AN7351">
        <v>1.00000003459361</v>
      </c>
    </row>
    <row r="7352" spans="1:40" x14ac:dyDescent="0.25">
      <c r="A7352" t="str">
        <f>"20190304155245317"</f>
        <v>20190304155245317</v>
      </c>
      <c r="B7352" t="str">
        <f>"1551685965314147"</f>
        <v>1551685965314147</v>
      </c>
      <c r="C7352" t="s">
        <v>40</v>
      </c>
      <c r="D7352">
        <v>4.90829</v>
      </c>
      <c r="E7352">
        <v>0.50991439999999999</v>
      </c>
      <c r="F7352" t="s">
        <v>41</v>
      </c>
      <c r="G7352">
        <v>-189.40530000000001</v>
      </c>
      <c r="H7352" s="1">
        <v>-3.6746790000000002E-6</v>
      </c>
      <c r="I7352">
        <v>17.952660000000002</v>
      </c>
      <c r="J7352">
        <v>-187.322</v>
      </c>
      <c r="K7352">
        <v>1.1106910000000001</v>
      </c>
      <c r="L7352">
        <v>-10.80255</v>
      </c>
      <c r="M7352">
        <v>-1.031148E-2</v>
      </c>
      <c r="N7352">
        <v>-8.4021979999999996E-3</v>
      </c>
      <c r="O7352">
        <v>0.99991149999999995</v>
      </c>
      <c r="P7352">
        <v>-0.1009258</v>
      </c>
      <c r="Q7352">
        <v>0.16198070000000001</v>
      </c>
      <c r="R7352">
        <v>0.98161920000000003</v>
      </c>
      <c r="S7352">
        <v>-0.21948239999999999</v>
      </c>
      <c r="T7352">
        <v>-0.1168038</v>
      </c>
      <c r="U7352">
        <v>3.0523069999999999</v>
      </c>
      <c r="V7352">
        <v>-9.1153100000000001E-2</v>
      </c>
      <c r="W7352">
        <v>0.17004129999999901</v>
      </c>
      <c r="X7352">
        <v>0.98121199999999997</v>
      </c>
      <c r="Y7352">
        <v>-6.1389020000000002E-2</v>
      </c>
      <c r="Z7352">
        <v>-2.9756790000000002E-2</v>
      </c>
      <c r="AA7352">
        <v>0.99767019999999995</v>
      </c>
      <c r="AB7352">
        <v>27</v>
      </c>
      <c r="AC7352">
        <v>-2.0832999999999999</v>
      </c>
      <c r="AD7352">
        <v>-1.1106946746789901</v>
      </c>
      <c r="AE7352">
        <v>28.755209999999899</v>
      </c>
      <c r="AF7352">
        <v>-1.7840221979803199</v>
      </c>
      <c r="AG7352">
        <v>-1.1106946746789901</v>
      </c>
      <c r="AH7352">
        <v>28.732519946133198</v>
      </c>
      <c r="AI7352">
        <v>92.209493368087706</v>
      </c>
      <c r="AJ7352">
        <v>93.552973712712998</v>
      </c>
      <c r="AK7352">
        <v>28.809270735618899</v>
      </c>
      <c r="AL7352">
        <v>80.209779272162507</v>
      </c>
      <c r="AM7352">
        <v>95.307457599498406</v>
      </c>
      <c r="AN7352">
        <v>0.99999996014464898</v>
      </c>
    </row>
    <row r="7353" spans="1:40" x14ac:dyDescent="0.25">
      <c r="A7353" t="str">
        <f>"20190304155245340"</f>
        <v>20190304155245340</v>
      </c>
      <c r="B7353" t="str">
        <f>"1551685965333666"</f>
        <v>1551685965333666</v>
      </c>
      <c r="C7353" t="s">
        <v>40</v>
      </c>
      <c r="D7353">
        <v>4.8662660000000004</v>
      </c>
      <c r="E7353">
        <v>0.50999300000000003</v>
      </c>
      <c r="F7353" t="s">
        <v>41</v>
      </c>
      <c r="G7353">
        <v>-189.55029999999999</v>
      </c>
      <c r="H7353" s="1">
        <v>-4.1243520000000002E-6</v>
      </c>
      <c r="I7353">
        <v>19.0608</v>
      </c>
      <c r="J7353">
        <v>-187.3262</v>
      </c>
      <c r="K7353">
        <v>1.1106419999999999</v>
      </c>
      <c r="L7353">
        <v>-10.52112</v>
      </c>
      <c r="M7353">
        <v>-1.150822E-2</v>
      </c>
      <c r="N7353">
        <v>-8.3753200000000003E-3</v>
      </c>
      <c r="O7353">
        <v>0.99989870000000003</v>
      </c>
      <c r="P7353">
        <v>-0.1035606</v>
      </c>
      <c r="Q7353">
        <v>0.1618088</v>
      </c>
      <c r="R7353">
        <v>0.9813731</v>
      </c>
      <c r="S7353">
        <v>-0.2276917</v>
      </c>
      <c r="T7353">
        <v>-0.1134925</v>
      </c>
      <c r="U7353">
        <v>3.0514830000000002</v>
      </c>
      <c r="V7353">
        <v>-9.2596239999999996E-2</v>
      </c>
      <c r="W7353">
        <v>0.16984859999999999</v>
      </c>
      <c r="X7353">
        <v>0.98111029999999999</v>
      </c>
      <c r="Y7353">
        <v>-6.28856E-2</v>
      </c>
      <c r="Z7353">
        <v>-2.8707690000000001E-2</v>
      </c>
      <c r="AA7353">
        <v>0.99760780000000004</v>
      </c>
      <c r="AB7353">
        <v>27</v>
      </c>
      <c r="AC7353">
        <v>-2.2240999999999902</v>
      </c>
      <c r="AD7353">
        <v>-1.1106461243519901</v>
      </c>
      <c r="AE7353">
        <v>29.58192</v>
      </c>
      <c r="AF7353">
        <v>-1.88086913343985</v>
      </c>
      <c r="AG7353">
        <v>-1.1106461243519901</v>
      </c>
      <c r="AH7353">
        <v>29.564117622205401</v>
      </c>
      <c r="AI7353">
        <v>92.147103232136303</v>
      </c>
      <c r="AJ7353">
        <v>93.640251413780803</v>
      </c>
      <c r="AK7353">
        <v>29.644700273240399</v>
      </c>
      <c r="AL7353">
        <v>80.220983694219697</v>
      </c>
      <c r="AM7353">
        <v>95.391549799777295</v>
      </c>
      <c r="AN7353">
        <v>1.0000000156750899</v>
      </c>
    </row>
    <row r="7354" spans="1:40" x14ac:dyDescent="0.25">
      <c r="A7354" t="str">
        <f>"20190304155245362"</f>
        <v>20190304155245362</v>
      </c>
      <c r="B7354" t="str">
        <f>"1551685965354161"</f>
        <v>1551685965354161</v>
      </c>
      <c r="C7354" t="s">
        <v>40</v>
      </c>
      <c r="D7354">
        <v>4.8763589999999999</v>
      </c>
      <c r="E7354">
        <v>0.50999319999999904</v>
      </c>
      <c r="F7354" t="s">
        <v>41</v>
      </c>
      <c r="G7354">
        <v>-189.6233</v>
      </c>
      <c r="H7354" s="1">
        <v>-4.2217209999999997E-6</v>
      </c>
      <c r="I7354">
        <v>19.317959999999999</v>
      </c>
      <c r="J7354">
        <v>-187.3305</v>
      </c>
      <c r="K7354">
        <v>1.1105750000000001</v>
      </c>
      <c r="L7354">
        <v>-10.25165</v>
      </c>
      <c r="M7354">
        <v>-1.2561930000000001E-2</v>
      </c>
      <c r="N7354">
        <v>-8.3462720000000001E-3</v>
      </c>
      <c r="O7354">
        <v>0.99988630000000001</v>
      </c>
      <c r="P7354">
        <v>-0.105420899999999</v>
      </c>
      <c r="Q7354">
        <v>0.16111110000000001</v>
      </c>
      <c r="R7354">
        <v>0.98128979999999999</v>
      </c>
      <c r="S7354">
        <v>-0.2348633</v>
      </c>
      <c r="T7354">
        <v>-0.11355709999999999</v>
      </c>
      <c r="U7354">
        <v>3.0508730000000002</v>
      </c>
      <c r="V7354">
        <v>-9.3398040000000002E-2</v>
      </c>
      <c r="W7354">
        <v>0.1691338</v>
      </c>
      <c r="X7354">
        <v>0.98115779999999997</v>
      </c>
      <c r="Y7354">
        <v>-6.4179959999999994E-2</v>
      </c>
      <c r="Z7354">
        <v>-2.8760109999999998E-2</v>
      </c>
      <c r="AA7354">
        <v>0.99752379999999996</v>
      </c>
      <c r="AB7354">
        <v>27</v>
      </c>
      <c r="AC7354">
        <v>-2.2928000000000002</v>
      </c>
      <c r="AD7354">
        <v>-1.110579221721</v>
      </c>
      <c r="AE7354">
        <v>29.569610000000001</v>
      </c>
      <c r="AF7354">
        <v>-1.9184647425710699</v>
      </c>
      <c r="AG7354">
        <v>-1.110579221721</v>
      </c>
      <c r="AH7354">
        <v>29.5546386650824</v>
      </c>
      <c r="AI7354">
        <v>92.147484480913803</v>
      </c>
      <c r="AJ7354">
        <v>93.714000228465693</v>
      </c>
      <c r="AK7354">
        <v>29.637654424731299</v>
      </c>
      <c r="AL7354">
        <v>80.262540130163799</v>
      </c>
      <c r="AM7354">
        <v>95.437695408416104</v>
      </c>
      <c r="AN7354">
        <v>1.0000000323395599</v>
      </c>
    </row>
    <row r="7355" spans="1:40" x14ac:dyDescent="0.25">
      <c r="A7355" t="str">
        <f>"20190304155245383"</f>
        <v>20190304155245383</v>
      </c>
      <c r="B7355" t="str">
        <f>"1551685965373682"</f>
        <v>1551685965373682</v>
      </c>
      <c r="C7355" t="s">
        <v>40</v>
      </c>
      <c r="D7355">
        <v>4.8806250000000002</v>
      </c>
      <c r="E7355">
        <v>0.5102139</v>
      </c>
      <c r="F7355" t="s">
        <v>41</v>
      </c>
      <c r="G7355">
        <v>-189.64109999999999</v>
      </c>
      <c r="H7355" s="1">
        <v>-4.1216139999999996E-6</v>
      </c>
      <c r="I7355">
        <v>19.091930000000001</v>
      </c>
      <c r="J7355">
        <v>-187.33459999999999</v>
      </c>
      <c r="K7355">
        <v>1.1105050000000001</v>
      </c>
      <c r="L7355">
        <v>-10.00433</v>
      </c>
      <c r="M7355">
        <v>-1.3435509999999999E-2</v>
      </c>
      <c r="N7355">
        <v>-8.3199390000000002E-3</v>
      </c>
      <c r="O7355">
        <v>0.99987510000000002</v>
      </c>
      <c r="P7355">
        <v>-0.1066288</v>
      </c>
      <c r="Q7355">
        <v>0.161075</v>
      </c>
      <c r="R7355">
        <v>0.98116519999999996</v>
      </c>
      <c r="S7355">
        <v>-0.2401886</v>
      </c>
      <c r="T7355">
        <v>-0.115448</v>
      </c>
      <c r="U7355">
        <v>3.050354</v>
      </c>
      <c r="V7355">
        <v>-9.3722570000000005E-2</v>
      </c>
      <c r="W7355">
        <v>0.1690854</v>
      </c>
      <c r="X7355">
        <v>0.98113510000000004</v>
      </c>
      <c r="Y7355">
        <v>-6.5050250000000004E-2</v>
      </c>
      <c r="Z7355">
        <v>-2.9405959999999998E-2</v>
      </c>
      <c r="AA7355">
        <v>0.99744860000000002</v>
      </c>
      <c r="AB7355">
        <v>27</v>
      </c>
      <c r="AC7355">
        <v>-2.3065000000000002</v>
      </c>
      <c r="AD7355">
        <v>-1.1105091216139999</v>
      </c>
      <c r="AE7355">
        <v>29.096260000000001</v>
      </c>
      <c r="AF7355">
        <v>-1.9125865015013299</v>
      </c>
      <c r="AG7355">
        <v>-1.1105091216139999</v>
      </c>
      <c r="AH7355">
        <v>29.082523711987701</v>
      </c>
      <c r="AI7355">
        <v>92.182054107741706</v>
      </c>
      <c r="AJ7355">
        <v>93.762588311177694</v>
      </c>
      <c r="AK7355">
        <v>29.166494528709499</v>
      </c>
      <c r="AL7355">
        <v>80.265352847914102</v>
      </c>
      <c r="AM7355">
        <v>95.456601402524697</v>
      </c>
      <c r="AN7355">
        <v>0.99999993853628499</v>
      </c>
    </row>
    <row r="7356" spans="1:40" x14ac:dyDescent="0.25">
      <c r="A7356" t="str">
        <f>"20190304155245406"</f>
        <v>20190304155245406</v>
      </c>
      <c r="B7356" t="str">
        <f>"1551685965394177"</f>
        <v>1551685965394177</v>
      </c>
      <c r="C7356" t="s">
        <v>40</v>
      </c>
      <c r="D7356">
        <v>4.843407</v>
      </c>
      <c r="E7356">
        <v>0.51051340000000001</v>
      </c>
      <c r="F7356" t="s">
        <v>41</v>
      </c>
      <c r="G7356">
        <v>-189.66120000000001</v>
      </c>
      <c r="H7356" s="1">
        <v>-4.2286259999999999E-6</v>
      </c>
      <c r="I7356">
        <v>19.349699999999999</v>
      </c>
      <c r="J7356">
        <v>-187.33940000000001</v>
      </c>
      <c r="K7356">
        <v>1.110414</v>
      </c>
      <c r="L7356">
        <v>-9.7207950000000007</v>
      </c>
      <c r="M7356">
        <v>-1.4322690000000001E-2</v>
      </c>
      <c r="N7356">
        <v>-8.2883009999999997E-3</v>
      </c>
      <c r="O7356">
        <v>0.9998631</v>
      </c>
      <c r="P7356">
        <v>-0.10749010000000001</v>
      </c>
      <c r="Q7356">
        <v>0.16141459999999999</v>
      </c>
      <c r="R7356">
        <v>0.98101539999999998</v>
      </c>
      <c r="S7356">
        <v>-0.24176030000000001</v>
      </c>
      <c r="T7356">
        <v>-0.11539629999999999</v>
      </c>
      <c r="U7356">
        <v>3.050262</v>
      </c>
      <c r="V7356">
        <v>-9.3680260000000001E-2</v>
      </c>
      <c r="W7356">
        <v>0.1694126</v>
      </c>
      <c r="X7356">
        <v>0.98108280000000003</v>
      </c>
      <c r="Y7356">
        <v>-6.4678040000000006E-2</v>
      </c>
      <c r="Z7356">
        <v>-2.942113E-2</v>
      </c>
      <c r="AA7356">
        <v>0.99747240000000004</v>
      </c>
      <c r="AB7356">
        <v>27</v>
      </c>
      <c r="AC7356">
        <v>-2.3217999999999899</v>
      </c>
      <c r="AD7356">
        <v>-1.110418228626</v>
      </c>
      <c r="AE7356">
        <v>29.070495000000001</v>
      </c>
      <c r="AF7356">
        <v>-1.9024217234085199</v>
      </c>
      <c r="AG7356">
        <v>-1.110418228626</v>
      </c>
      <c r="AH7356">
        <v>29.058639363484101</v>
      </c>
      <c r="AI7356">
        <v>92.183709464706894</v>
      </c>
      <c r="AJ7356">
        <v>93.745715822707695</v>
      </c>
      <c r="AK7356">
        <v>29.1420102037108</v>
      </c>
      <c r="AL7356">
        <v>80.246332251436002</v>
      </c>
      <c r="AM7356">
        <v>95.454441937805498</v>
      </c>
      <c r="AN7356">
        <v>1.00000004030413</v>
      </c>
    </row>
    <row r="7357" spans="1:40" x14ac:dyDescent="0.25">
      <c r="A7357" t="str">
        <f>"20190304155245430"</f>
        <v>20190304155245430</v>
      </c>
      <c r="B7357" t="str">
        <f>"1551685965424434"</f>
        <v>1551685965424434</v>
      </c>
      <c r="C7357" t="s">
        <v>40</v>
      </c>
      <c r="D7357">
        <v>4.8434670000000004</v>
      </c>
      <c r="E7357">
        <v>0.51096889999999995</v>
      </c>
      <c r="F7357" t="s">
        <v>41</v>
      </c>
      <c r="G7357">
        <v>-189.69720000000001</v>
      </c>
      <c r="H7357" s="1">
        <v>-2.1429560000000001E-7</v>
      </c>
      <c r="I7357">
        <v>20.007100000000001</v>
      </c>
      <c r="J7357">
        <v>-187.3443</v>
      </c>
      <c r="K7357">
        <v>1.1103179999999999</v>
      </c>
      <c r="L7357">
        <v>-9.4364930000000005</v>
      </c>
      <c r="M7357">
        <v>-1.507257E-2</v>
      </c>
      <c r="N7357">
        <v>-8.2543619999999995E-3</v>
      </c>
      <c r="O7357">
        <v>0.99985239999999997</v>
      </c>
      <c r="P7357">
        <v>-0.10853980000000001</v>
      </c>
      <c r="Q7357">
        <v>0.16147139999999999</v>
      </c>
      <c r="R7357">
        <v>0.9808905</v>
      </c>
      <c r="S7357">
        <v>-0.24192810000000001</v>
      </c>
      <c r="T7357">
        <v>-0.11393639999999999</v>
      </c>
      <c r="U7357">
        <v>3.0502929999999999</v>
      </c>
      <c r="V7357">
        <v>-9.3957440000000003E-2</v>
      </c>
      <c r="W7357">
        <v>0.1694562</v>
      </c>
      <c r="X7357">
        <v>0.9810487</v>
      </c>
      <c r="Y7357">
        <v>-6.3984719999999995E-2</v>
      </c>
      <c r="Z7357">
        <v>-2.897866E-2</v>
      </c>
      <c r="AA7357">
        <v>0.99753000000000003</v>
      </c>
      <c r="AB7357">
        <v>27</v>
      </c>
      <c r="AC7357">
        <v>-2.3529</v>
      </c>
      <c r="AD7357">
        <v>-1.1103182142956001</v>
      </c>
      <c r="AE7357">
        <v>29.443593</v>
      </c>
      <c r="AF7357">
        <v>-1.90613358504126</v>
      </c>
      <c r="AG7357">
        <v>-1.1103182142956001</v>
      </c>
      <c r="AH7357">
        <v>29.434122459475201</v>
      </c>
      <c r="AI7357">
        <v>92.155783952585907</v>
      </c>
      <c r="AJ7357">
        <v>93.705261498706804</v>
      </c>
      <c r="AK7357">
        <v>29.5166684559827</v>
      </c>
      <c r="AL7357">
        <v>80.243796893176096</v>
      </c>
      <c r="AM7357">
        <v>95.470671708936294</v>
      </c>
      <c r="AN7357">
        <v>0.99999997801074103</v>
      </c>
    </row>
    <row r="7358" spans="1:40" x14ac:dyDescent="0.25">
      <c r="A7358" t="str">
        <f>"20190304155245451"</f>
        <v>20190304155245451</v>
      </c>
      <c r="B7358" t="str">
        <f>"1551685965443954"</f>
        <v>1551685965443954</v>
      </c>
      <c r="C7358" t="s">
        <v>40</v>
      </c>
      <c r="D7358">
        <v>4.8045390000000001</v>
      </c>
      <c r="E7358">
        <v>0.51124820000000004</v>
      </c>
      <c r="F7358" t="s">
        <v>41</v>
      </c>
      <c r="G7358">
        <v>-189.72900000000001</v>
      </c>
      <c r="H7358" s="1">
        <v>-5.1098879999999999E-7</v>
      </c>
      <c r="I7358">
        <v>20.711860000000001</v>
      </c>
      <c r="J7358">
        <v>-187.34909999999999</v>
      </c>
      <c r="K7358">
        <v>1.1102289999999999</v>
      </c>
      <c r="L7358">
        <v>-9.1669920000000005</v>
      </c>
      <c r="M7358">
        <v>-1.5658620000000002E-2</v>
      </c>
      <c r="N7358">
        <v>-8.2189849999999998E-3</v>
      </c>
      <c r="O7358">
        <v>0.99984360000000005</v>
      </c>
      <c r="P7358">
        <v>-0.108894699999999</v>
      </c>
      <c r="Q7358">
        <v>0.16140550000000001</v>
      </c>
      <c r="R7358">
        <v>0.98086200000000001</v>
      </c>
      <c r="S7358">
        <v>-0.24127199999999999</v>
      </c>
      <c r="T7358">
        <v>-0.1123354</v>
      </c>
      <c r="U7358">
        <v>3.0502319999999998</v>
      </c>
      <c r="V7358">
        <v>-9.3702400000000005E-2</v>
      </c>
      <c r="W7358">
        <v>0.16937539999999901</v>
      </c>
      <c r="X7358">
        <v>0.98108709999999999</v>
      </c>
      <c r="Y7358">
        <v>-6.3189540000000002E-2</v>
      </c>
      <c r="Z7358">
        <v>-2.8493170000000002E-2</v>
      </c>
      <c r="AA7358">
        <v>0.99759469999999995</v>
      </c>
      <c r="AB7358">
        <v>27</v>
      </c>
      <c r="AC7358">
        <v>-2.3799000000000201</v>
      </c>
      <c r="AD7358">
        <v>-1.1102295109888001</v>
      </c>
      <c r="AE7358">
        <v>29.878851999999998</v>
      </c>
      <c r="AF7358">
        <v>-1.90911151284559</v>
      </c>
      <c r="AG7358">
        <v>-1.1102295109888001</v>
      </c>
      <c r="AH7358">
        <v>29.871472328394301</v>
      </c>
      <c r="AI7358">
        <v>92.124195943535</v>
      </c>
      <c r="AJ7358">
        <v>93.6568490865304</v>
      </c>
      <c r="AK7358">
        <v>29.9529994391476</v>
      </c>
      <c r="AL7358">
        <v>80.2484948248118</v>
      </c>
      <c r="AM7358">
        <v>95.4556994732188</v>
      </c>
      <c r="AN7358">
        <v>1.0000000318386599</v>
      </c>
    </row>
    <row r="7359" spans="1:40" x14ac:dyDescent="0.25">
      <c r="A7359" t="str">
        <f>"20190304155245474"</f>
        <v>20190304155245474</v>
      </c>
      <c r="B7359" t="str">
        <f>"1551685965464451"</f>
        <v>1551685965464451</v>
      </c>
      <c r="C7359" t="s">
        <v>40</v>
      </c>
      <c r="D7359">
        <v>4.78409</v>
      </c>
      <c r="E7359">
        <v>0.51155989999999996</v>
      </c>
      <c r="F7359" t="s">
        <v>41</v>
      </c>
      <c r="G7359">
        <v>-189.73259999999999</v>
      </c>
      <c r="H7359" s="1">
        <v>-6.8140369999999897E-7</v>
      </c>
      <c r="I7359">
        <v>21.110579999999999</v>
      </c>
      <c r="J7359">
        <v>-187.35409999999999</v>
      </c>
      <c r="K7359">
        <v>1.110139</v>
      </c>
      <c r="L7359">
        <v>-8.8873289999999994</v>
      </c>
      <c r="M7359">
        <v>-1.6164189999999998E-2</v>
      </c>
      <c r="N7359">
        <v>-8.1822700000000002E-3</v>
      </c>
      <c r="O7359">
        <v>0.99983580000000005</v>
      </c>
      <c r="P7359">
        <v>-0.10997609999999999</v>
      </c>
      <c r="Q7359">
        <v>0.16124949999999999</v>
      </c>
      <c r="R7359">
        <v>0.98076700000000006</v>
      </c>
      <c r="S7359">
        <v>-0.2401276</v>
      </c>
      <c r="T7359">
        <v>-0.1118493</v>
      </c>
      <c r="U7359">
        <v>3.0502929999999999</v>
      </c>
      <c r="V7359">
        <v>-9.425683E-2</v>
      </c>
      <c r="W7359">
        <v>0.16919970000000001</v>
      </c>
      <c r="X7359">
        <v>0.9810643</v>
      </c>
      <c r="Y7359">
        <v>-6.2311869999999998E-2</v>
      </c>
      <c r="Z7359">
        <v>-2.83717E-2</v>
      </c>
      <c r="AA7359">
        <v>0.99765340000000002</v>
      </c>
      <c r="AB7359">
        <v>27</v>
      </c>
      <c r="AC7359">
        <v>-2.3784999999999998</v>
      </c>
      <c r="AD7359">
        <v>-1.1101396814036999</v>
      </c>
      <c r="AE7359">
        <v>29.997909</v>
      </c>
      <c r="AF7359">
        <v>-1.89070784830743</v>
      </c>
      <c r="AG7359">
        <v>-1.1101396814036999</v>
      </c>
      <c r="AH7359">
        <v>29.991619378901699</v>
      </c>
      <c r="AI7359">
        <v>92.115639302632403</v>
      </c>
      <c r="AJ7359">
        <v>93.607221480303096</v>
      </c>
      <c r="AK7359">
        <v>30.071654747432699</v>
      </c>
      <c r="AL7359">
        <v>80.258709047778794</v>
      </c>
      <c r="AM7359">
        <v>95.487910701499302</v>
      </c>
      <c r="AN7359">
        <v>1.00000002460811</v>
      </c>
    </row>
    <row r="7360" spans="1:40" x14ac:dyDescent="0.25">
      <c r="A7360" t="str">
        <f>"20190304155245496"</f>
        <v>20190304155245496</v>
      </c>
      <c r="B7360" t="str">
        <f>"1551685965493729"</f>
        <v>1551685965493729</v>
      </c>
      <c r="C7360" t="s">
        <v>40</v>
      </c>
      <c r="D7360">
        <v>4.7685190000000004</v>
      </c>
      <c r="E7360">
        <v>0.51202159999999997</v>
      </c>
      <c r="F7360" t="s">
        <v>41</v>
      </c>
      <c r="G7360">
        <v>-189.7542</v>
      </c>
      <c r="H7360" s="1">
        <v>-8.4365469999999996E-7</v>
      </c>
      <c r="I7360">
        <v>21.497730000000001</v>
      </c>
      <c r="J7360">
        <v>-187.35890000000001</v>
      </c>
      <c r="K7360">
        <v>1.11007099999999</v>
      </c>
      <c r="L7360">
        <v>-8.6198730000000001</v>
      </c>
      <c r="M7360">
        <v>-1.6558420000000001E-2</v>
      </c>
      <c r="N7360">
        <v>-8.1499099999999998E-3</v>
      </c>
      <c r="O7360">
        <v>0.99982969999999904</v>
      </c>
      <c r="P7360">
        <v>-0.1103418</v>
      </c>
      <c r="Q7360">
        <v>0.16161120000000001</v>
      </c>
      <c r="R7360">
        <v>0.98066629999999999</v>
      </c>
      <c r="S7360">
        <v>-0.24093629999999999</v>
      </c>
      <c r="T7360">
        <v>-0.1114391</v>
      </c>
      <c r="U7360">
        <v>3.0501399999999999</v>
      </c>
      <c r="V7360">
        <v>-9.4211890000000006E-2</v>
      </c>
      <c r="W7360">
        <v>0.16954269999999999</v>
      </c>
      <c r="X7360">
        <v>0.98100940000000003</v>
      </c>
      <c r="Y7360">
        <v>-6.218547E-2</v>
      </c>
      <c r="Z7360">
        <v>-2.8271520000000001E-2</v>
      </c>
      <c r="AA7360">
        <v>0.99766410000000005</v>
      </c>
      <c r="AB7360">
        <v>27</v>
      </c>
      <c r="AC7360">
        <v>-2.39529999999999</v>
      </c>
      <c r="AD7360">
        <v>-1.1100718436546999</v>
      </c>
      <c r="AE7360">
        <v>30.1176029999999</v>
      </c>
      <c r="AF7360">
        <v>-1.8936986777614599</v>
      </c>
      <c r="AG7360">
        <v>-1.1100718436546999</v>
      </c>
      <c r="AH7360">
        <v>30.112486453908001</v>
      </c>
      <c r="AI7360">
        <v>92.1070467568601</v>
      </c>
      <c r="AJ7360">
        <v>93.598448970083197</v>
      </c>
      <c r="AK7360">
        <v>30.192386368371402</v>
      </c>
      <c r="AL7360">
        <v>80.238768506367705</v>
      </c>
      <c r="AM7360">
        <v>95.485615225272298</v>
      </c>
      <c r="AN7360">
        <v>1.00000002511451</v>
      </c>
    </row>
    <row r="7361" spans="1:40" x14ac:dyDescent="0.25">
      <c r="A7361" t="str">
        <f>"20190304155245517"</f>
        <v>20190304155245517</v>
      </c>
      <c r="B7361" t="str">
        <f>"1551685965514226"</f>
        <v>1551685965514226</v>
      </c>
      <c r="C7361" t="s">
        <v>40</v>
      </c>
      <c r="D7361">
        <v>4.7505129999999998</v>
      </c>
      <c r="E7361">
        <v>0.51233050000000002</v>
      </c>
      <c r="F7361" t="s">
        <v>41</v>
      </c>
      <c r="G7361">
        <v>-189.81479999999999</v>
      </c>
      <c r="H7361" s="1">
        <v>-1.381454E-6</v>
      </c>
      <c r="I7361">
        <v>22.77638</v>
      </c>
      <c r="J7361">
        <v>-187.36340000000001</v>
      </c>
      <c r="K7361">
        <v>1.1100139999999901</v>
      </c>
      <c r="L7361">
        <v>-8.366638</v>
      </c>
      <c r="M7361">
        <v>-1.6855120000000001E-2</v>
      </c>
      <c r="N7361">
        <v>-8.1204350000000005E-3</v>
      </c>
      <c r="O7361">
        <v>0.99982490000000002</v>
      </c>
      <c r="P7361">
        <v>-0.110769699999999</v>
      </c>
      <c r="Q7361">
        <v>0.16200349999999999</v>
      </c>
      <c r="R7361">
        <v>0.98055340000000002</v>
      </c>
      <c r="S7361">
        <v>-0.2385864</v>
      </c>
      <c r="T7361">
        <v>-0.1078411</v>
      </c>
      <c r="U7361">
        <v>3.0500790000000002</v>
      </c>
      <c r="V7361">
        <v>-9.4329220000000005E-2</v>
      </c>
      <c r="W7361">
        <v>0.1699177</v>
      </c>
      <c r="X7361">
        <v>0.98093319999999995</v>
      </c>
      <c r="Y7361">
        <v>-6.1129940000000001E-2</v>
      </c>
      <c r="Z7361">
        <v>-2.7129239999999999E-2</v>
      </c>
      <c r="AA7361">
        <v>0.99776109999999896</v>
      </c>
      <c r="AB7361">
        <v>27</v>
      </c>
      <c r="AC7361">
        <v>-2.4513999999999698</v>
      </c>
      <c r="AD7361">
        <v>-1.1100153814539999</v>
      </c>
      <c r="AE7361">
        <v>31.143018000000001</v>
      </c>
      <c r="AF7361">
        <v>-1.92368630802963</v>
      </c>
      <c r="AG7361">
        <v>-1.1100153814539999</v>
      </c>
      <c r="AH7361">
        <v>31.1405965567448</v>
      </c>
      <c r="AI7361">
        <v>92.037579187179105</v>
      </c>
      <c r="AJ7361">
        <v>93.534910635374999</v>
      </c>
      <c r="AK7361">
        <v>31.219696620382301</v>
      </c>
      <c r="AL7361">
        <v>80.216965851764002</v>
      </c>
      <c r="AM7361">
        <v>95.492829221292297</v>
      </c>
      <c r="AN7361">
        <v>0.99999998469066897</v>
      </c>
    </row>
    <row r="7362" spans="1:40" x14ac:dyDescent="0.25">
      <c r="A7362" t="str">
        <f>"20190304155245541"</f>
        <v>20190304155245541</v>
      </c>
      <c r="B7362" t="str">
        <f>"1551685965533746"</f>
        <v>1551685965533746</v>
      </c>
      <c r="C7362" t="s">
        <v>40</v>
      </c>
      <c r="D7362">
        <v>4.7024350000000004</v>
      </c>
      <c r="E7362">
        <v>0.51805559999999995</v>
      </c>
      <c r="F7362" t="s">
        <v>41</v>
      </c>
      <c r="G7362">
        <v>-189.86240000000001</v>
      </c>
      <c r="H7362" s="1">
        <v>-1.7832069999999999E-6</v>
      </c>
      <c r="I7362">
        <v>23.732569999999999</v>
      </c>
      <c r="J7362">
        <v>-187.3689</v>
      </c>
      <c r="K7362">
        <v>1.109953</v>
      </c>
      <c r="L7362">
        <v>-8.0657960000000006</v>
      </c>
      <c r="M7362">
        <v>-1.7122140000000001E-2</v>
      </c>
      <c r="N7362">
        <v>-8.0838179999999996E-3</v>
      </c>
      <c r="O7362">
        <v>0.99982070000000001</v>
      </c>
      <c r="P7362">
        <v>-0.1102616</v>
      </c>
      <c r="Q7362">
        <v>0.16200309999999901</v>
      </c>
      <c r="R7362">
        <v>0.98061069999999995</v>
      </c>
      <c r="S7362">
        <v>-0.23745730000000001</v>
      </c>
      <c r="T7362">
        <v>-0.10547520000000001</v>
      </c>
      <c r="U7362">
        <v>3.0501100000000001</v>
      </c>
      <c r="V7362">
        <v>-9.3533900000000003E-2</v>
      </c>
      <c r="W7362">
        <v>0.16989560000000001</v>
      </c>
      <c r="X7362">
        <v>0.98101320000000003</v>
      </c>
      <c r="Y7362">
        <v>-6.049732E-2</v>
      </c>
      <c r="Z7362">
        <v>-2.6394040000000001E-2</v>
      </c>
      <c r="AA7362">
        <v>0.99781940000000002</v>
      </c>
      <c r="AB7362">
        <v>28</v>
      </c>
      <c r="AC7362">
        <v>-2.4935000000000098</v>
      </c>
      <c r="AD7362">
        <v>-1.109954783207</v>
      </c>
      <c r="AE7362">
        <v>31.798365999999898</v>
      </c>
      <c r="AF7362">
        <v>-1.94630361962983</v>
      </c>
      <c r="AG7362">
        <v>-1.109954783207</v>
      </c>
      <c r="AH7362">
        <v>31.797892918881001</v>
      </c>
      <c r="AI7362">
        <v>91.995454901327193</v>
      </c>
      <c r="AJ7362">
        <v>93.502623029884404</v>
      </c>
      <c r="AK7362">
        <v>31.876732760450398</v>
      </c>
      <c r="AL7362">
        <v>80.218250941628199</v>
      </c>
      <c r="AM7362">
        <v>95.446355594962299</v>
      </c>
      <c r="AN7362">
        <v>1.0000000019613999</v>
      </c>
    </row>
    <row r="7363" spans="1:40" x14ac:dyDescent="0.25">
      <c r="A7363" t="str">
        <f>"20190304155245564"</f>
        <v>20190304155245564</v>
      </c>
      <c r="B7363" t="str">
        <f>"1551685965554242"</f>
        <v>1551685965554242</v>
      </c>
      <c r="C7363" t="s">
        <v>40</v>
      </c>
      <c r="D7363">
        <v>4.7513319999999997</v>
      </c>
      <c r="E7363">
        <v>0.51933589999999996</v>
      </c>
      <c r="F7363" t="s">
        <v>41</v>
      </c>
      <c r="G7363">
        <v>-189.9734</v>
      </c>
      <c r="H7363" s="1">
        <v>-1.7085079999999901E-6</v>
      </c>
      <c r="I7363">
        <v>33.588149999999999</v>
      </c>
      <c r="J7363">
        <v>-187.37370000000001</v>
      </c>
      <c r="K7363">
        <v>1.1098920000000001</v>
      </c>
      <c r="L7363">
        <v>-7.7943729999999896</v>
      </c>
      <c r="M7363">
        <v>-1.7298839999999999E-2</v>
      </c>
      <c r="N7363">
        <v>-8.0518810000000003E-3</v>
      </c>
      <c r="O7363">
        <v>0.99981799999999998</v>
      </c>
      <c r="P7363">
        <v>-0.10986849999999999</v>
      </c>
      <c r="Q7363">
        <v>0.16114220000000001</v>
      </c>
      <c r="R7363">
        <v>0.98079669999999997</v>
      </c>
      <c r="S7363">
        <v>-0.19079589999999999</v>
      </c>
      <c r="T7363">
        <v>-8.1308130000000006E-2</v>
      </c>
      <c r="U7363">
        <v>3.0512999999999999</v>
      </c>
      <c r="V7363">
        <v>-9.2942839999999999E-2</v>
      </c>
      <c r="W7363">
        <v>0.16901640000000001</v>
      </c>
      <c r="X7363">
        <v>0.98122120000000002</v>
      </c>
      <c r="Y7363">
        <v>-4.5115469999999998E-2</v>
      </c>
      <c r="Z7363">
        <v>-1.854656E-2</v>
      </c>
      <c r="AA7363">
        <v>0.99880959999999996</v>
      </c>
      <c r="AB7363">
        <v>28</v>
      </c>
      <c r="AC7363">
        <v>-2.5996999999999799</v>
      </c>
      <c r="AD7363">
        <v>-1.1098937085079901</v>
      </c>
      <c r="AE7363">
        <v>41.382522999999999</v>
      </c>
      <c r="AF7363">
        <v>-1.8820696466410001</v>
      </c>
      <c r="AG7363">
        <v>-1.1098937085079901</v>
      </c>
      <c r="AH7363">
        <v>41.391646271553697</v>
      </c>
      <c r="AI7363">
        <v>91.5344014216098</v>
      </c>
      <c r="AJ7363">
        <v>92.603434101768897</v>
      </c>
      <c r="AK7363">
        <v>41.4492754010057</v>
      </c>
      <c r="AL7363">
        <v>80.269364387068094</v>
      </c>
      <c r="AM7363">
        <v>95.411003494274297</v>
      </c>
      <c r="AN7363">
        <v>0.99999997915283201</v>
      </c>
    </row>
    <row r="7364" spans="1:40" x14ac:dyDescent="0.25">
      <c r="A7364" t="str">
        <f>"20190304155245584"</f>
        <v>20190304155245584</v>
      </c>
      <c r="B7364" t="str">
        <f>"1551685965573762"</f>
        <v>1551685965573762</v>
      </c>
      <c r="C7364" t="s">
        <v>40</v>
      </c>
      <c r="D7364">
        <v>4.7198609999999999</v>
      </c>
      <c r="E7364">
        <v>0.53991559999999905</v>
      </c>
      <c r="F7364" t="s">
        <v>41</v>
      </c>
      <c r="G7364">
        <v>-189.57579999999999</v>
      </c>
      <c r="H7364" s="1">
        <v>-1.5721709999999999E-7</v>
      </c>
      <c r="I7364">
        <v>29.77835</v>
      </c>
      <c r="J7364">
        <v>-187.3785</v>
      </c>
      <c r="K7364">
        <v>1.109845</v>
      </c>
      <c r="L7364">
        <v>-7.5279239999999996</v>
      </c>
      <c r="M7364">
        <v>-1.7426440000000001E-2</v>
      </c>
      <c r="N7364">
        <v>-8.0202119999999901E-3</v>
      </c>
      <c r="O7364">
        <v>0.99981600000000004</v>
      </c>
      <c r="P7364">
        <v>-0.10906879999999999</v>
      </c>
      <c r="Q7364">
        <v>0.1603212</v>
      </c>
      <c r="R7364">
        <v>0.98102049999999996</v>
      </c>
      <c r="S7364">
        <v>-0.17895510000000001</v>
      </c>
      <c r="T7364">
        <v>-9.0199829999999995E-2</v>
      </c>
      <c r="U7364">
        <v>3.0534970000000001</v>
      </c>
      <c r="V7364">
        <v>-9.1997049999999997E-2</v>
      </c>
      <c r="W7364">
        <v>0.16817550000000001</v>
      </c>
      <c r="X7364">
        <v>0.98145479999999996</v>
      </c>
      <c r="Y7364">
        <v>-4.1080520000000002E-2</v>
      </c>
      <c r="Z7364">
        <v>-2.1468930000000001E-2</v>
      </c>
      <c r="AA7364">
        <v>0.99892510000000001</v>
      </c>
      <c r="AB7364">
        <v>28</v>
      </c>
      <c r="AC7364">
        <v>-2.1972999999999798</v>
      </c>
      <c r="AD7364">
        <v>-1.1098451572171</v>
      </c>
      <c r="AE7364">
        <v>37.306274000000002</v>
      </c>
      <c r="AF7364">
        <v>-1.5454668058824601</v>
      </c>
      <c r="AG7364">
        <v>-1.1098451572171</v>
      </c>
      <c r="AH7364">
        <v>37.305997938280399</v>
      </c>
      <c r="AI7364">
        <v>91.702574649419802</v>
      </c>
      <c r="AJ7364">
        <v>92.3722223570106</v>
      </c>
      <c r="AK7364">
        <v>37.354487094485201</v>
      </c>
      <c r="AL7364">
        <v>80.318244220123702</v>
      </c>
      <c r="AM7364">
        <v>95.354995333504306</v>
      </c>
      <c r="AN7364">
        <v>0.99999999022599595</v>
      </c>
    </row>
    <row r="7365" spans="1:40" x14ac:dyDescent="0.25">
      <c r="A7365" t="str">
        <f>"20190304155245607"</f>
        <v>20190304155245607</v>
      </c>
      <c r="B7365" t="str">
        <f>"1551685965604018"</f>
        <v>1551685965604018</v>
      </c>
      <c r="C7365" t="s">
        <v>40</v>
      </c>
      <c r="D7365">
        <v>4.8051719999999998</v>
      </c>
      <c r="E7365">
        <v>0.54314090000000004</v>
      </c>
      <c r="F7365" t="s">
        <v>41</v>
      </c>
      <c r="G7365">
        <v>-187.63630000000001</v>
      </c>
      <c r="H7365" s="1">
        <v>-2.3516839999999998E-6</v>
      </c>
      <c r="I7365">
        <v>54.137259999999998</v>
      </c>
      <c r="J7365">
        <v>-187.3835</v>
      </c>
      <c r="K7365">
        <v>1.1098079999999999</v>
      </c>
      <c r="L7365">
        <v>-7.2492979999999996</v>
      </c>
      <c r="M7365">
        <v>-1.752337E-2</v>
      </c>
      <c r="N7365">
        <v>-7.9863350000000007E-3</v>
      </c>
      <c r="O7365">
        <v>0.9998146</v>
      </c>
      <c r="P7365">
        <v>-0.108045</v>
      </c>
      <c r="Q7365">
        <v>0.15969810000000001</v>
      </c>
      <c r="R7365">
        <v>0.98123530000000003</v>
      </c>
      <c r="S7365">
        <v>-1.281738E-2</v>
      </c>
      <c r="T7365">
        <v>-5.5175299999999997E-2</v>
      </c>
      <c r="U7365">
        <v>3.0656430000000001</v>
      </c>
      <c r="V7365">
        <v>-9.0860079999999996E-2</v>
      </c>
      <c r="W7365">
        <v>0.16752919999999999</v>
      </c>
      <c r="X7365">
        <v>0.98167119999999997</v>
      </c>
      <c r="Y7365">
        <v>1.33423E-2</v>
      </c>
      <c r="Z7365">
        <v>-1.000469E-2</v>
      </c>
      <c r="AA7365">
        <v>0.99986090000000005</v>
      </c>
      <c r="AB7365">
        <v>28</v>
      </c>
      <c r="AC7365">
        <v>-0.25280000000000702</v>
      </c>
      <c r="AD7365">
        <v>-1.1098103516840001</v>
      </c>
      <c r="AE7365">
        <v>61.386558000000001</v>
      </c>
      <c r="AF7365">
        <v>0.82270355125385097</v>
      </c>
      <c r="AG7365">
        <v>-1.1098103516840001</v>
      </c>
      <c r="AH7365">
        <v>61.361506002899702</v>
      </c>
      <c r="AI7365">
        <v>91.036069818686499</v>
      </c>
      <c r="AJ7365">
        <v>89.231853646269101</v>
      </c>
      <c r="AK7365">
        <v>61.377055477546698</v>
      </c>
      <c r="AL7365">
        <v>80.355807188392305</v>
      </c>
      <c r="AM7365">
        <v>95.288032535634599</v>
      </c>
      <c r="AN7365">
        <v>0.99999996594984197</v>
      </c>
    </row>
    <row r="7366" spans="1:40" x14ac:dyDescent="0.25">
      <c r="A7366" t="str">
        <f>"20190304155245629"</f>
        <v>20190304155245629</v>
      </c>
      <c r="B7366" t="str">
        <f>"1551685965623538"</f>
        <v>1551685965623538</v>
      </c>
      <c r="C7366" t="s">
        <v>40</v>
      </c>
      <c r="D7366">
        <v>4.6512370000000001</v>
      </c>
      <c r="E7366">
        <v>0.54419980000000001</v>
      </c>
      <c r="F7366" t="s">
        <v>41</v>
      </c>
      <c r="G7366">
        <v>-186.93010000000001</v>
      </c>
      <c r="H7366" s="1">
        <v>-1.3085339999999999E-6</v>
      </c>
      <c r="I7366">
        <v>81.093019999999996</v>
      </c>
      <c r="J7366">
        <v>-187.38839999999999</v>
      </c>
      <c r="K7366">
        <v>1.109777</v>
      </c>
      <c r="L7366">
        <v>-6.9771419999999997</v>
      </c>
      <c r="M7366">
        <v>-1.7591369999999999E-2</v>
      </c>
      <c r="N7366">
        <v>-7.9554429999999995E-3</v>
      </c>
      <c r="O7366">
        <v>0.99981359999999997</v>
      </c>
      <c r="P7366">
        <v>-0.10729</v>
      </c>
      <c r="Q7366">
        <v>0.15944710000000001</v>
      </c>
      <c r="R7366">
        <v>0.98135899999999998</v>
      </c>
      <c r="S7366">
        <v>1.5731809999999999E-2</v>
      </c>
      <c r="T7366">
        <v>-3.8509010000000003E-2</v>
      </c>
      <c r="U7366">
        <v>3.065369</v>
      </c>
      <c r="V7366">
        <v>-9.0027350000000006E-2</v>
      </c>
      <c r="W7366">
        <v>0.16725370000000001</v>
      </c>
      <c r="X7366">
        <v>0.98179499999999997</v>
      </c>
      <c r="Y7366">
        <v>2.2721040000000001E-2</v>
      </c>
      <c r="Z7366">
        <v>-4.601422E-3</v>
      </c>
      <c r="AA7366">
        <v>0.99973120000000004</v>
      </c>
      <c r="AB7366">
        <v>28</v>
      </c>
      <c r="AC7366">
        <v>0.45829999999998</v>
      </c>
      <c r="AD7366">
        <v>-1.1097783085340001</v>
      </c>
      <c r="AE7366">
        <v>88.070161999999996</v>
      </c>
      <c r="AF7366">
        <v>2.0072342136112802</v>
      </c>
      <c r="AG7366">
        <v>-1.1097783085340001</v>
      </c>
      <c r="AH7366">
        <v>88.034492417288106</v>
      </c>
      <c r="AI7366">
        <v>90.722054784505204</v>
      </c>
      <c r="AJ7366">
        <v>88.693851434888998</v>
      </c>
      <c r="AK7366">
        <v>88.064365394022701</v>
      </c>
      <c r="AL7366">
        <v>80.371819121961494</v>
      </c>
      <c r="AM7366">
        <v>95.239181836574602</v>
      </c>
      <c r="AN7366">
        <v>1.00000007296835</v>
      </c>
    </row>
    <row r="7367" spans="1:40" x14ac:dyDescent="0.25">
      <c r="A7367" t="str">
        <f>"20190304155245651"</f>
        <v>20190304155245651</v>
      </c>
      <c r="B7367" t="str">
        <f>"1551685965644035"</f>
        <v>1551685965644035</v>
      </c>
      <c r="C7367" t="s">
        <v>40</v>
      </c>
      <c r="D7367">
        <v>4.6490210000000003</v>
      </c>
      <c r="E7367">
        <v>0.5448501</v>
      </c>
      <c r="F7367" t="s">
        <v>41</v>
      </c>
      <c r="G7367">
        <v>-186.5788</v>
      </c>
      <c r="H7367" s="1">
        <v>-3.7642260000000002E-6</v>
      </c>
      <c r="I7367">
        <v>86.992679999999993</v>
      </c>
      <c r="J7367">
        <v>-187.39340000000001</v>
      </c>
      <c r="K7367">
        <v>1.1097520000000001</v>
      </c>
      <c r="L7367">
        <v>-6.6976009999999997</v>
      </c>
      <c r="M7367">
        <v>-1.7645500000000001E-2</v>
      </c>
      <c r="N7367">
        <v>-7.9275760000000004E-3</v>
      </c>
      <c r="O7367">
        <v>0.9998129</v>
      </c>
      <c r="P7367">
        <v>-0.10682179999999999</v>
      </c>
      <c r="Q7367">
        <v>0.15911429999999999</v>
      </c>
      <c r="R7367">
        <v>0.98146409999999995</v>
      </c>
      <c r="S7367">
        <v>2.6412959999999999E-2</v>
      </c>
      <c r="T7367">
        <v>-3.6206599999999999E-2</v>
      </c>
      <c r="U7367">
        <v>3.0657649999999999</v>
      </c>
      <c r="V7367">
        <v>-8.9498670000000002E-2</v>
      </c>
      <c r="W7367">
        <v>0.16689679999999901</v>
      </c>
      <c r="X7367">
        <v>0.981904</v>
      </c>
      <c r="Y7367">
        <v>2.6257079999999999E-2</v>
      </c>
      <c r="Z7367">
        <v>-3.8761400000000001E-3</v>
      </c>
      <c r="AA7367">
        <v>0.99964770000000003</v>
      </c>
      <c r="AB7367">
        <v>28</v>
      </c>
      <c r="AC7367">
        <v>0.81460000000001198</v>
      </c>
      <c r="AD7367">
        <v>-1.1097557642260001</v>
      </c>
      <c r="AE7367">
        <v>93.690280999999999</v>
      </c>
      <c r="AF7367">
        <v>2.4673907763281</v>
      </c>
      <c r="AG7367">
        <v>-1.1097557642260001</v>
      </c>
      <c r="AH7367">
        <v>93.648180507149107</v>
      </c>
      <c r="AI7367">
        <v>90.6787028853077</v>
      </c>
      <c r="AJ7367">
        <v>88.490751469618104</v>
      </c>
      <c r="AK7367">
        <v>93.687252534157096</v>
      </c>
      <c r="AL7367">
        <v>80.392558892518096</v>
      </c>
      <c r="AM7367">
        <v>95.208009770154604</v>
      </c>
      <c r="AN7367">
        <v>1.000000009499</v>
      </c>
    </row>
    <row r="7368" spans="1:40" x14ac:dyDescent="0.25">
      <c r="A7368" t="str">
        <f>"20190304155245673"</f>
        <v>20190304155245673</v>
      </c>
      <c r="B7368" t="str">
        <f>"1551685965663554"</f>
        <v>1551685965663554</v>
      </c>
      <c r="C7368" t="s">
        <v>40</v>
      </c>
      <c r="D7368">
        <v>4.6343050000000003</v>
      </c>
      <c r="E7368">
        <v>0.54490300000000003</v>
      </c>
      <c r="F7368" t="s">
        <v>41</v>
      </c>
      <c r="G7368">
        <v>-186.29820000000001</v>
      </c>
      <c r="H7368" s="1">
        <v>-2.7312460000000002E-6</v>
      </c>
      <c r="I7368">
        <v>94.46875</v>
      </c>
      <c r="J7368">
        <v>-187.39830000000001</v>
      </c>
      <c r="K7368">
        <v>1.109745</v>
      </c>
      <c r="L7368">
        <v>-6.4249879999999999</v>
      </c>
      <c r="M7368">
        <v>-1.7692360000000001E-2</v>
      </c>
      <c r="N7368">
        <v>-7.9038649999999995E-3</v>
      </c>
      <c r="O7368">
        <v>0.99981220000000004</v>
      </c>
      <c r="P7368">
        <v>-0.1062213</v>
      </c>
      <c r="Q7368">
        <v>0.15835009999999999</v>
      </c>
      <c r="R7368">
        <v>0.98165290000000005</v>
      </c>
      <c r="S7368">
        <v>3.3187870000000001E-2</v>
      </c>
      <c r="T7368">
        <v>-3.3629890000000003E-2</v>
      </c>
      <c r="U7368">
        <v>3.0657350000000001</v>
      </c>
      <c r="V7368">
        <v>-8.8846190000000005E-2</v>
      </c>
      <c r="W7368">
        <v>0.1661126</v>
      </c>
      <c r="X7368">
        <v>0.98209619999999997</v>
      </c>
      <c r="Y7368">
        <v>2.851279E-2</v>
      </c>
      <c r="Z7368">
        <v>-3.059329E-3</v>
      </c>
      <c r="AA7368">
        <v>0.9995887</v>
      </c>
      <c r="AB7368">
        <v>28</v>
      </c>
      <c r="AC7368">
        <v>1.1000999999999901</v>
      </c>
      <c r="AD7368">
        <v>-1.109747731246</v>
      </c>
      <c r="AE7368">
        <v>100.893738</v>
      </c>
      <c r="AF7368">
        <v>2.8846830067114801</v>
      </c>
      <c r="AG7368">
        <v>-1.109747731246</v>
      </c>
      <c r="AH7368">
        <v>100.846281827224</v>
      </c>
      <c r="AI7368">
        <v>90.630219574872598</v>
      </c>
      <c r="AJ7368">
        <v>88.361515154800898</v>
      </c>
      <c r="AK7368">
        <v>100.89363455863899</v>
      </c>
      <c r="AL7368">
        <v>80.438126182607803</v>
      </c>
      <c r="AM7368">
        <v>95.1692415330252</v>
      </c>
      <c r="AN7368">
        <v>0.99999999370535797</v>
      </c>
    </row>
    <row r="7369" spans="1:40" x14ac:dyDescent="0.25">
      <c r="A7369" t="str">
        <f>"20190304155245695"</f>
        <v>20190304155245695</v>
      </c>
      <c r="B7369" t="str">
        <f>"1551685965684050"</f>
        <v>1551685965684050</v>
      </c>
      <c r="C7369" t="s">
        <v>40</v>
      </c>
      <c r="D7369">
        <v>4.6439779999999997</v>
      </c>
      <c r="E7369">
        <v>0.54475769999999901</v>
      </c>
      <c r="F7369" t="s">
        <v>41</v>
      </c>
      <c r="G7369">
        <v>-186.29320000000001</v>
      </c>
      <c r="H7369" s="1">
        <v>-4.3582169999999999E-6</v>
      </c>
      <c r="I7369">
        <v>88.259169999999997</v>
      </c>
      <c r="J7369">
        <v>-187.40350000000001</v>
      </c>
      <c r="K7369">
        <v>1.109745</v>
      </c>
      <c r="L7369">
        <v>-6.1337890000000002</v>
      </c>
      <c r="M7369">
        <v>-1.7742210000000001E-2</v>
      </c>
      <c r="N7369">
        <v>-7.8820469999999997E-3</v>
      </c>
      <c r="O7369">
        <v>0.99981149999999996</v>
      </c>
      <c r="P7369">
        <v>-0.10572869999999999</v>
      </c>
      <c r="Q7369">
        <v>0.1581331</v>
      </c>
      <c r="R7369">
        <v>0.98174099999999997</v>
      </c>
      <c r="S7369">
        <v>3.5781859999999999E-2</v>
      </c>
      <c r="T7369">
        <v>-3.5932060000000002E-2</v>
      </c>
      <c r="U7369">
        <v>3.0657350000000001</v>
      </c>
      <c r="V7369">
        <v>-8.8303259999999995E-2</v>
      </c>
      <c r="W7369">
        <v>0.16587460000000001</v>
      </c>
      <c r="X7369">
        <v>0.98218539999999999</v>
      </c>
      <c r="Y7369">
        <v>2.9408110000000001E-2</v>
      </c>
      <c r="Z7369">
        <v>-3.8313470000000001E-3</v>
      </c>
      <c r="AA7369">
        <v>0.99956009999999995</v>
      </c>
      <c r="AB7369">
        <v>28</v>
      </c>
      <c r="AC7369">
        <v>1.1102999999999901</v>
      </c>
      <c r="AD7369">
        <v>-1.1097493582169999</v>
      </c>
      <c r="AE7369">
        <v>94.392959000000005</v>
      </c>
      <c r="AF7369">
        <v>2.7845321672682299</v>
      </c>
      <c r="AG7369">
        <v>-1.1097493582169999</v>
      </c>
      <c r="AH7369">
        <v>94.345361723329205</v>
      </c>
      <c r="AI7369">
        <v>90.673624536040805</v>
      </c>
      <c r="AJ7369">
        <v>88.309449058012603</v>
      </c>
      <c r="AK7369">
        <v>94.392968179491206</v>
      </c>
      <c r="AL7369">
        <v>80.451954521966499</v>
      </c>
      <c r="AM7369">
        <v>95.137358297171303</v>
      </c>
      <c r="AN7369">
        <v>1.0000000043124699</v>
      </c>
    </row>
    <row r="7370" spans="1:40" x14ac:dyDescent="0.25">
      <c r="A7370" t="str">
        <f>"20190304155245718"</f>
        <v>20190304155245718</v>
      </c>
      <c r="B7370" t="str">
        <f>"1551685965714306"</f>
        <v>1551685965714306</v>
      </c>
      <c r="C7370" t="s">
        <v>40</v>
      </c>
      <c r="D7370">
        <v>4.6694319999999996</v>
      </c>
      <c r="E7370">
        <v>0.54475379999999995</v>
      </c>
      <c r="F7370" t="s">
        <v>41</v>
      </c>
      <c r="G7370">
        <v>-186.25620000000001</v>
      </c>
      <c r="H7370" s="1">
        <v>-1.1106490000000001E-6</v>
      </c>
      <c r="I7370">
        <v>89.9846</v>
      </c>
      <c r="J7370">
        <v>-187.4084</v>
      </c>
      <c r="K7370">
        <v>1.1097410000000001</v>
      </c>
      <c r="L7370">
        <v>-5.8653870000000001</v>
      </c>
      <c r="M7370">
        <v>-1.7791459999999999E-2</v>
      </c>
      <c r="N7370">
        <v>-7.8649619999999996E-3</v>
      </c>
      <c r="O7370">
        <v>0.9998108</v>
      </c>
      <c r="P7370">
        <v>-0.1056747</v>
      </c>
      <c r="Q7370">
        <v>0.158945899999999</v>
      </c>
      <c r="R7370">
        <v>0.98161549999999997</v>
      </c>
      <c r="S7370">
        <v>3.6590579999999998E-2</v>
      </c>
      <c r="T7370">
        <v>-3.5392279999999998E-2</v>
      </c>
      <c r="U7370">
        <v>3.0654300000000001</v>
      </c>
      <c r="V7370">
        <v>-8.8203680000000007E-2</v>
      </c>
      <c r="W7370">
        <v>0.16666979999999901</v>
      </c>
      <c r="X7370">
        <v>0.98205969999999998</v>
      </c>
      <c r="Y7370">
        <v>2.9722180000000001E-2</v>
      </c>
      <c r="Z7370">
        <v>-3.6735169999999998E-3</v>
      </c>
      <c r="AA7370">
        <v>0.99955150000000004</v>
      </c>
      <c r="AB7370">
        <v>28</v>
      </c>
      <c r="AC7370">
        <v>1.1521999999999899</v>
      </c>
      <c r="AD7370">
        <v>-1.109742110649</v>
      </c>
      <c r="AE7370">
        <v>95.849986999999999</v>
      </c>
      <c r="AF7370">
        <v>2.8569986288150502</v>
      </c>
      <c r="AG7370">
        <v>-1.109742110649</v>
      </c>
      <c r="AH7370">
        <v>95.801474788031499</v>
      </c>
      <c r="AI7370">
        <v>90.663376468169105</v>
      </c>
      <c r="AJ7370">
        <v>88.291827319573997</v>
      </c>
      <c r="AK7370">
        <v>95.850490558364001</v>
      </c>
      <c r="AL7370">
        <v>80.405749533910395</v>
      </c>
      <c r="AM7370">
        <v>95.132249141062999</v>
      </c>
      <c r="AN7370">
        <v>0.99999998288083602</v>
      </c>
    </row>
    <row r="7371" spans="1:40" x14ac:dyDescent="0.25">
      <c r="A7371" t="str">
        <f>"20190304155245742"</f>
        <v>20190304155245742</v>
      </c>
      <c r="B7371" t="str">
        <f>"1551685965733826"</f>
        <v>1551685965733826</v>
      </c>
      <c r="C7371" t="s">
        <v>40</v>
      </c>
      <c r="D7371">
        <v>4.663767</v>
      </c>
      <c r="E7371">
        <v>0.54463339999999905</v>
      </c>
      <c r="F7371" t="s">
        <v>41</v>
      </c>
      <c r="G7371">
        <v>-186.12219999999999</v>
      </c>
      <c r="H7371" s="1">
        <v>-1.5943689999999999E-6</v>
      </c>
      <c r="I7371">
        <v>101.30119999999999</v>
      </c>
      <c r="J7371">
        <v>-187.41390000000001</v>
      </c>
      <c r="K7371">
        <v>1.1097459999999999</v>
      </c>
      <c r="L7371">
        <v>-5.5567019999999996</v>
      </c>
      <c r="M7371">
        <v>-1.78526E-2</v>
      </c>
      <c r="N7371">
        <v>-7.8486679999999996E-3</v>
      </c>
      <c r="O7371">
        <v>0.99980979999999997</v>
      </c>
      <c r="P7371">
        <v>-0.10577549999999999</v>
      </c>
      <c r="Q7371">
        <v>0.1598648</v>
      </c>
      <c r="R7371">
        <v>0.98145539999999998</v>
      </c>
      <c r="S7371">
        <v>3.6788939999999999E-2</v>
      </c>
      <c r="T7371">
        <v>-3.1741859999999997E-2</v>
      </c>
      <c r="U7371">
        <v>3.065277</v>
      </c>
      <c r="V7371">
        <v>-8.8247140000000002E-2</v>
      </c>
      <c r="W7371">
        <v>0.167571</v>
      </c>
      <c r="X7371">
        <v>0.98190239999999995</v>
      </c>
      <c r="Y7371">
        <v>2.984875E-2</v>
      </c>
      <c r="Z7371">
        <v>-2.5001799999999999E-3</v>
      </c>
      <c r="AA7371">
        <v>0.99955130000000003</v>
      </c>
      <c r="AB7371">
        <v>28</v>
      </c>
      <c r="AC7371">
        <v>1.2917000000000201</v>
      </c>
      <c r="AD7371">
        <v>-1.1097475943689901</v>
      </c>
      <c r="AE7371">
        <v>106.857902</v>
      </c>
      <c r="AF7371">
        <v>3.1988993529308698</v>
      </c>
      <c r="AG7371">
        <v>-1.1097475943689901</v>
      </c>
      <c r="AH7371">
        <v>106.806292279893</v>
      </c>
      <c r="AI7371">
        <v>90.595031135782094</v>
      </c>
      <c r="AJ7371">
        <v>88.284476935455601</v>
      </c>
      <c r="AK7371">
        <v>106.859948378105</v>
      </c>
      <c r="AL7371">
        <v>80.353377829365499</v>
      </c>
      <c r="AM7371">
        <v>95.135582591345496</v>
      </c>
      <c r="AN7371">
        <v>0.99999996044246897</v>
      </c>
    </row>
    <row r="7372" spans="1:40" x14ac:dyDescent="0.25">
      <c r="A7372" t="str">
        <f>"20190304155245765"</f>
        <v>20190304155245765</v>
      </c>
      <c r="B7372" t="str">
        <f>"1551685965754321"</f>
        <v>1551685965754321</v>
      </c>
      <c r="C7372" t="s">
        <v>40</v>
      </c>
      <c r="D7372">
        <v>4.6910740000000004</v>
      </c>
      <c r="E7372">
        <v>0.5443983</v>
      </c>
      <c r="F7372" t="s">
        <v>41</v>
      </c>
      <c r="G7372">
        <v>-185.9425</v>
      </c>
      <c r="H7372" s="1">
        <v>-4.8272439999999997E-6</v>
      </c>
      <c r="I7372">
        <v>119.2075</v>
      </c>
      <c r="J7372">
        <v>-187.41909999999999</v>
      </c>
      <c r="K7372">
        <v>1.109745</v>
      </c>
      <c r="L7372">
        <v>-5.2717900000000002</v>
      </c>
      <c r="M7372">
        <v>-1.7910499999999999E-2</v>
      </c>
      <c r="N7372">
        <v>-7.836516E-3</v>
      </c>
      <c r="O7372">
        <v>0.9998089</v>
      </c>
      <c r="P7372">
        <v>-0.10636089999999999</v>
      </c>
      <c r="Q7372">
        <v>0.16062009999999999</v>
      </c>
      <c r="R7372">
        <v>0.98126880000000005</v>
      </c>
      <c r="S7372">
        <v>3.6148069999999997E-2</v>
      </c>
      <c r="T7372">
        <v>-2.7262809999999998E-2</v>
      </c>
      <c r="U7372">
        <v>3.0650330000000001</v>
      </c>
      <c r="V7372">
        <v>-8.8779319999999995E-2</v>
      </c>
      <c r="W7372">
        <v>0.16831279999999901</v>
      </c>
      <c r="X7372">
        <v>0.98172760000000003</v>
      </c>
      <c r="Y7372">
        <v>2.9698840000000001E-2</v>
      </c>
      <c r="Z7372">
        <v>-1.0527150000000001E-3</v>
      </c>
      <c r="AA7372">
        <v>0.99955830000000001</v>
      </c>
      <c r="AB7372">
        <v>28</v>
      </c>
      <c r="AC7372">
        <v>1.4765999999999899</v>
      </c>
      <c r="AD7372">
        <v>-1.1097498272440001</v>
      </c>
      <c r="AE7372">
        <v>124.47929000000001</v>
      </c>
      <c r="AF7372">
        <v>3.70562339673481</v>
      </c>
      <c r="AG7372">
        <v>-1.1097498272440001</v>
      </c>
      <c r="AH7372">
        <v>124.42298640493701</v>
      </c>
      <c r="AI7372">
        <v>90.510790802440098</v>
      </c>
      <c r="AJ7372">
        <v>88.294094636248602</v>
      </c>
      <c r="AK7372">
        <v>124.483102208134</v>
      </c>
      <c r="AL7372">
        <v>80.310264075819404</v>
      </c>
      <c r="AM7372">
        <v>95.167300859063005</v>
      </c>
      <c r="AN7372">
        <v>1.0000000234526301</v>
      </c>
    </row>
    <row r="7373" spans="1:40" x14ac:dyDescent="0.25">
      <c r="A7373" t="str">
        <f>"20190304155245786"</f>
        <v>20190304155245786</v>
      </c>
      <c r="B7373" t="str">
        <f>"1551685965773845"</f>
        <v>1551685965773845</v>
      </c>
      <c r="C7373" t="s">
        <v>40</v>
      </c>
      <c r="D7373">
        <v>4.7168970000000003</v>
      </c>
      <c r="E7373">
        <v>0.54450580000000004</v>
      </c>
      <c r="F7373" t="s">
        <v>84</v>
      </c>
      <c r="G7373">
        <v>-185.964</v>
      </c>
      <c r="H7373" s="1">
        <v>-5.1807229999999998E-6</v>
      </c>
      <c r="I7373">
        <v>129.92060000000001</v>
      </c>
      <c r="J7373">
        <v>-187.42410000000001</v>
      </c>
      <c r="K7373">
        <v>1.109745</v>
      </c>
      <c r="L7373">
        <v>-4.9955749999999997</v>
      </c>
      <c r="M7373">
        <v>-1.7961009999999999E-2</v>
      </c>
      <c r="N7373">
        <v>-7.8271390000000003E-3</v>
      </c>
      <c r="O7373">
        <v>0.99980809999999998</v>
      </c>
      <c r="P7373">
        <v>-0.106736999999999</v>
      </c>
      <c r="Q7373">
        <v>0.16035250000000001</v>
      </c>
      <c r="R7373">
        <v>0.98127169999999997</v>
      </c>
      <c r="S7373">
        <v>3.2989499999999998E-2</v>
      </c>
      <c r="T7373">
        <v>-2.5159359999999999E-2</v>
      </c>
      <c r="U7373">
        <v>3.064972</v>
      </c>
      <c r="V7373">
        <v>-8.9104249999999996E-2</v>
      </c>
      <c r="W7373">
        <v>0.16803679999999999</v>
      </c>
      <c r="X7373">
        <v>0.98174539999999999</v>
      </c>
      <c r="Y7373">
        <v>2.871976E-2</v>
      </c>
      <c r="Z7373">
        <v>-3.7659930000000002E-4</v>
      </c>
      <c r="AA7373">
        <v>0.99958740000000001</v>
      </c>
      <c r="AB7373">
        <v>28</v>
      </c>
      <c r="AC7373">
        <v>1.46009999999998</v>
      </c>
      <c r="AD7373">
        <v>-1.1097501807229999</v>
      </c>
      <c r="AE7373">
        <v>134.91617500000001</v>
      </c>
      <c r="AF7373">
        <v>3.8829066536595001</v>
      </c>
      <c r="AG7373">
        <v>-1.1097501807229999</v>
      </c>
      <c r="AH7373">
        <v>134.859061110309</v>
      </c>
      <c r="AI7373">
        <v>90.471278893931199</v>
      </c>
      <c r="AJ7373">
        <v>88.350776615774805</v>
      </c>
      <c r="AK7373">
        <v>134.91951257360299</v>
      </c>
      <c r="AL7373">
        <v>80.326305790379905</v>
      </c>
      <c r="AM7373">
        <v>95.186016587486804</v>
      </c>
      <c r="AN7373">
        <v>0.99999998197173101</v>
      </c>
    </row>
    <row r="7374" spans="1:40" x14ac:dyDescent="0.25">
      <c r="A7374" t="str">
        <f>"20190304155245808"</f>
        <v>20190304155245808</v>
      </c>
      <c r="B7374" t="str">
        <f>"1551685965804098"</f>
        <v>1551685965804098</v>
      </c>
      <c r="C7374" t="s">
        <v>40</v>
      </c>
      <c r="D7374">
        <v>4.8286239999999996</v>
      </c>
      <c r="E7374">
        <v>0.54434249999999995</v>
      </c>
      <c r="F7374" t="s">
        <v>84</v>
      </c>
      <c r="G7374">
        <v>-186.06809999999999</v>
      </c>
      <c r="H7374" s="1">
        <v>-1.683036E-6</v>
      </c>
      <c r="I7374">
        <v>121.6985</v>
      </c>
      <c r="J7374">
        <v>-187.42910000000001</v>
      </c>
      <c r="K7374">
        <v>1.1097379999999999</v>
      </c>
      <c r="L7374">
        <v>-4.7196660000000001</v>
      </c>
      <c r="M7374">
        <v>-1.7999649999999999E-2</v>
      </c>
      <c r="N7374">
        <v>-7.8198429999999999E-3</v>
      </c>
      <c r="O7374">
        <v>0.99980740000000001</v>
      </c>
      <c r="P7374">
        <v>-0.10727780000000001</v>
      </c>
      <c r="Q7374">
        <v>0.1602229</v>
      </c>
      <c r="R7374">
        <v>0.98123400000000005</v>
      </c>
      <c r="S7374">
        <v>3.2806399999999999E-2</v>
      </c>
      <c r="T7374">
        <v>-2.6849029999999999E-2</v>
      </c>
      <c r="U7374">
        <v>3.0652159999999999</v>
      </c>
      <c r="V7374">
        <v>-8.9603950000000002E-2</v>
      </c>
      <c r="W7374">
        <v>0.16790189999999999</v>
      </c>
      <c r="X7374">
        <v>0.98172300000000001</v>
      </c>
      <c r="Y7374">
        <v>2.8697759999999999E-2</v>
      </c>
      <c r="Z7374">
        <v>-9.3417909999999997E-4</v>
      </c>
      <c r="AA7374">
        <v>0.99958769999999997</v>
      </c>
      <c r="AB7374">
        <v>28</v>
      </c>
      <c r="AC7374">
        <v>1.36100000000001</v>
      </c>
      <c r="AD7374">
        <v>-1.10973968303599</v>
      </c>
      <c r="AE7374">
        <v>126.418165999999</v>
      </c>
      <c r="AF7374">
        <v>3.6360516839956798</v>
      </c>
      <c r="AG7374">
        <v>-1.10973968303599</v>
      </c>
      <c r="AH7374">
        <v>126.36344955826399</v>
      </c>
      <c r="AI7374">
        <v>90.502957631256606</v>
      </c>
      <c r="AJ7374">
        <v>88.351794388245295</v>
      </c>
      <c r="AK7374">
        <v>126.42062244063101</v>
      </c>
      <c r="AL7374">
        <v>80.334146391939697</v>
      </c>
      <c r="AM7374">
        <v>95.215058384176601</v>
      </c>
      <c r="AN7374">
        <v>0.99999998230410603</v>
      </c>
    </row>
    <row r="7375" spans="1:40" x14ac:dyDescent="0.25">
      <c r="A7375" t="str">
        <f>"20190304155245831"</f>
        <v>20190304155245831</v>
      </c>
      <c r="B7375" t="str">
        <f>"1551685965823619"</f>
        <v>1551685965823619</v>
      </c>
      <c r="C7375" t="s">
        <v>40</v>
      </c>
      <c r="D7375">
        <v>4.7749439999999996</v>
      </c>
      <c r="E7375">
        <v>0.54433469999999995</v>
      </c>
      <c r="F7375" t="s">
        <v>41</v>
      </c>
      <c r="G7375">
        <v>-186.20400000000001</v>
      </c>
      <c r="H7375" s="1">
        <v>-4.511578E-6</v>
      </c>
      <c r="I7375">
        <v>118.57980000000001</v>
      </c>
      <c r="J7375">
        <v>-187.43459999999999</v>
      </c>
      <c r="K7375">
        <v>1.1097250000000001</v>
      </c>
      <c r="L7375">
        <v>-4.4198909999999998</v>
      </c>
      <c r="M7375">
        <v>-1.80272E-2</v>
      </c>
      <c r="N7375">
        <v>-7.8141670000000003E-3</v>
      </c>
      <c r="O7375">
        <v>0.99980690000000005</v>
      </c>
      <c r="P7375">
        <v>-0.10787679999999999</v>
      </c>
      <c r="Q7375">
        <v>0.1606358</v>
      </c>
      <c r="R7375">
        <v>0.9811008</v>
      </c>
      <c r="S7375">
        <v>3.0456540000000001E-2</v>
      </c>
      <c r="T7375">
        <v>-2.7588129999999999E-2</v>
      </c>
      <c r="U7375">
        <v>3.0652159999999999</v>
      </c>
      <c r="V7375">
        <v>-9.0173809999999993E-2</v>
      </c>
      <c r="W7375">
        <v>0.1683104</v>
      </c>
      <c r="X7375">
        <v>0.9816009</v>
      </c>
      <c r="Y7375">
        <v>2.7959100000000001E-2</v>
      </c>
      <c r="Z7375">
        <v>-1.1810200000000001E-3</v>
      </c>
      <c r="AA7375">
        <v>0.99960839999999995</v>
      </c>
      <c r="AB7375">
        <v>28</v>
      </c>
      <c r="AC7375">
        <v>1.2305999999999799</v>
      </c>
      <c r="AD7375">
        <v>-1.1097295115779999</v>
      </c>
      <c r="AE7375">
        <v>122.999691</v>
      </c>
      <c r="AF7375">
        <v>3.4475272737590799</v>
      </c>
      <c r="AG7375">
        <v>-1.1097295115779999</v>
      </c>
      <c r="AH7375">
        <v>122.947510018077</v>
      </c>
      <c r="AI7375">
        <v>90.516936948900806</v>
      </c>
      <c r="AJ7375">
        <v>88.393810365864297</v>
      </c>
      <c r="AK7375">
        <v>123.00084212531701</v>
      </c>
      <c r="AL7375">
        <v>80.310403510923294</v>
      </c>
      <c r="AM7375">
        <v>95.248689462007206</v>
      </c>
      <c r="AN7375">
        <v>1.0000000168194401</v>
      </c>
    </row>
    <row r="7376" spans="1:40" x14ac:dyDescent="0.25">
      <c r="A7376" t="str">
        <f>"20190304155245852"</f>
        <v>20190304155245852</v>
      </c>
      <c r="B7376" t="str">
        <f>"1551685965844115"</f>
        <v>1551685965844115</v>
      </c>
      <c r="C7376" t="s">
        <v>40</v>
      </c>
      <c r="D7376">
        <v>4.7149910000000004</v>
      </c>
      <c r="E7376">
        <v>0.54444890000000001</v>
      </c>
      <c r="F7376" t="s">
        <v>84</v>
      </c>
      <c r="G7376">
        <v>-186.16929999999999</v>
      </c>
      <c r="H7376" s="1">
        <v>-5.0483819999999997E-6</v>
      </c>
      <c r="I7376">
        <v>129.5616</v>
      </c>
      <c r="J7376">
        <v>-187.43960000000001</v>
      </c>
      <c r="K7376">
        <v>1.1097129999999999</v>
      </c>
      <c r="L7376">
        <v>-4.1417539999999997</v>
      </c>
      <c r="M7376">
        <v>-1.8042820000000001E-2</v>
      </c>
      <c r="N7376">
        <v>-7.81059599999999E-3</v>
      </c>
      <c r="O7376">
        <v>0.99980670000000005</v>
      </c>
      <c r="P7376">
        <v>-0.1084522</v>
      </c>
      <c r="Q7376">
        <v>0.16053609999999999</v>
      </c>
      <c r="R7376">
        <v>0.98105370000000003</v>
      </c>
      <c r="S7376">
        <v>2.894592E-2</v>
      </c>
      <c r="T7376">
        <v>-2.5387529999999998E-2</v>
      </c>
      <c r="U7376">
        <v>3.0651250000000001</v>
      </c>
      <c r="V7376">
        <v>-9.0730989999999997E-2</v>
      </c>
      <c r="W7376">
        <v>0.16820889999999999</v>
      </c>
      <c r="X7376">
        <v>0.98156699999999997</v>
      </c>
      <c r="Y7376">
        <v>2.748252E-2</v>
      </c>
      <c r="Z7376">
        <v>-4.6740470000000001E-4</v>
      </c>
      <c r="AA7376">
        <v>0.99962220000000002</v>
      </c>
      <c r="AB7376">
        <v>29</v>
      </c>
      <c r="AC7376">
        <v>1.27030000000002</v>
      </c>
      <c r="AD7376">
        <v>-1.1097180483819999</v>
      </c>
      <c r="AE7376">
        <v>133.70335399999999</v>
      </c>
      <c r="AF7376">
        <v>3.6822987140761798</v>
      </c>
      <c r="AG7376">
        <v>-1.1097180483819999</v>
      </c>
      <c r="AH7376">
        <v>133.64946133553599</v>
      </c>
      <c r="AI7376">
        <v>90.475546862595493</v>
      </c>
      <c r="AJ7376">
        <v>88.421790766435095</v>
      </c>
      <c r="AK7376">
        <v>133.70478418233799</v>
      </c>
      <c r="AL7376">
        <v>80.316303577560305</v>
      </c>
      <c r="AM7376">
        <v>95.281119431600999</v>
      </c>
      <c r="AN7376">
        <v>1.0000000610372899</v>
      </c>
    </row>
    <row r="7377" spans="1:40" x14ac:dyDescent="0.25">
      <c r="A7377" t="str">
        <f>"20190304155245875"</f>
        <v>20190304155245875</v>
      </c>
      <c r="B7377" t="str">
        <f>"1551685965863637"</f>
        <v>1551685965863637</v>
      </c>
      <c r="C7377" t="s">
        <v>40</v>
      </c>
      <c r="D7377">
        <v>4.7610010000000003</v>
      </c>
      <c r="E7377">
        <v>0.54444380000000003</v>
      </c>
      <c r="F7377" t="s">
        <v>84</v>
      </c>
      <c r="G7377">
        <v>-186.22200000000001</v>
      </c>
      <c r="H7377" s="1">
        <v>-3.4520780000000002E-6</v>
      </c>
      <c r="I7377">
        <v>125.3514</v>
      </c>
      <c r="J7377">
        <v>-187.44499999999999</v>
      </c>
      <c r="K7377">
        <v>1.1096999999999999</v>
      </c>
      <c r="L7377">
        <v>-3.8459780000000001</v>
      </c>
      <c r="M7377">
        <v>-1.8049260000000001E-2</v>
      </c>
      <c r="N7377">
        <v>-7.80840099999999E-3</v>
      </c>
      <c r="O7377">
        <v>0.99980659999999999</v>
      </c>
      <c r="P7377">
        <v>-0.1088691</v>
      </c>
      <c r="Q7377">
        <v>0.16046769999999999</v>
      </c>
      <c r="R7377">
        <v>0.98101870000000002</v>
      </c>
      <c r="S7377">
        <v>2.8823850000000002E-2</v>
      </c>
      <c r="T7377">
        <v>-2.6269790000000001E-2</v>
      </c>
      <c r="U7377">
        <v>3.0654300000000001</v>
      </c>
      <c r="V7377">
        <v>-9.1139750000000005E-2</v>
      </c>
      <c r="W7377">
        <v>0.16813979999999901</v>
      </c>
      <c r="X7377">
        <v>0.98154090000000005</v>
      </c>
      <c r="Y7377">
        <v>2.7448179999999999E-2</v>
      </c>
      <c r="Z7377">
        <v>-7.5644250000000003E-4</v>
      </c>
      <c r="AA7377">
        <v>0.99962289999999998</v>
      </c>
      <c r="AB7377">
        <v>29</v>
      </c>
      <c r="AC7377">
        <v>1.2229999999999801</v>
      </c>
      <c r="AD7377">
        <v>-1.10970345207799</v>
      </c>
      <c r="AE7377">
        <v>129.19737799999999</v>
      </c>
      <c r="AF7377">
        <v>3.5545267278551602</v>
      </c>
      <c r="AG7377">
        <v>-1.10970345207799</v>
      </c>
      <c r="AH7377">
        <v>129.14472865668401</v>
      </c>
      <c r="AI7377">
        <v>90.492127651707605</v>
      </c>
      <c r="AJ7377">
        <v>88.4234124156999</v>
      </c>
      <c r="AK7377">
        <v>129.19840185474101</v>
      </c>
      <c r="AL7377">
        <v>80.320319248323401</v>
      </c>
      <c r="AM7377">
        <v>95.304916678103694</v>
      </c>
      <c r="AN7377">
        <v>0.99999999237345605</v>
      </c>
    </row>
    <row r="7378" spans="1:40" x14ac:dyDescent="0.25">
      <c r="A7378" t="str">
        <f>"20190304155245897"</f>
        <v>20190304155245897</v>
      </c>
      <c r="B7378" t="str">
        <f>"1551685965893890"</f>
        <v>1551685965893890</v>
      </c>
      <c r="C7378" t="s">
        <v>40</v>
      </c>
      <c r="D7378">
        <v>4.7859309999999997</v>
      </c>
      <c r="E7378">
        <v>0.54446490000000003</v>
      </c>
      <c r="F7378" t="s">
        <v>84</v>
      </c>
      <c r="G7378">
        <v>-186.2567</v>
      </c>
      <c r="H7378" s="1">
        <v>-3.6597619999999999E-6</v>
      </c>
      <c r="I7378">
        <v>126.1696</v>
      </c>
      <c r="J7378">
        <v>-187.45009999999999</v>
      </c>
      <c r="K7378">
        <v>1.109685</v>
      </c>
      <c r="L7378">
        <v>-3.5644840000000002</v>
      </c>
      <c r="M7378">
        <v>-1.8040859999999999E-2</v>
      </c>
      <c r="N7378">
        <v>-7.8076680000000002E-3</v>
      </c>
      <c r="O7378">
        <v>0.9998068</v>
      </c>
      <c r="P7378">
        <v>-0.109381199999999</v>
      </c>
      <c r="Q7378">
        <v>0.16031719999999999</v>
      </c>
      <c r="R7378">
        <v>0.98098629999999998</v>
      </c>
      <c r="S7378">
        <v>2.8015140000000001E-2</v>
      </c>
      <c r="T7378">
        <v>-2.616394E-2</v>
      </c>
      <c r="U7378">
        <v>3.0654300000000001</v>
      </c>
      <c r="V7378">
        <v>-9.16574E-2</v>
      </c>
      <c r="W7378">
        <v>0.1679899</v>
      </c>
      <c r="X7378">
        <v>0.98151840000000001</v>
      </c>
      <c r="Y7378">
        <v>2.7176120000000002E-2</v>
      </c>
      <c r="Z7378">
        <v>-7.2272410000000004E-4</v>
      </c>
      <c r="AA7378">
        <v>0.99963040000000003</v>
      </c>
      <c r="AB7378">
        <v>29</v>
      </c>
      <c r="AC7378">
        <v>1.19339999999999</v>
      </c>
      <c r="AD7378">
        <v>-1.1096886597619999</v>
      </c>
      <c r="AE7378">
        <v>129.734084</v>
      </c>
      <c r="AF7378">
        <v>3.5335329662368702</v>
      </c>
      <c r="AG7378">
        <v>-1.1096886597619999</v>
      </c>
      <c r="AH7378">
        <v>129.68195075663101</v>
      </c>
      <c r="AI7378">
        <v>90.490086224580693</v>
      </c>
      <c r="AJ7378">
        <v>88.439208824606993</v>
      </c>
      <c r="AK7378">
        <v>129.73482807708399</v>
      </c>
      <c r="AL7378">
        <v>80.329032156838394</v>
      </c>
      <c r="AM7378">
        <v>95.334995449941999</v>
      </c>
      <c r="AN7378">
        <v>1.0000000275076599</v>
      </c>
    </row>
    <row r="7379" spans="1:40" x14ac:dyDescent="0.25">
      <c r="A7379" t="str">
        <f>"20190304155245930"</f>
        <v>20190304155245930</v>
      </c>
      <c r="B7379" t="str">
        <f>"1551685965924146"</f>
        <v>1551685965924146</v>
      </c>
      <c r="C7379" t="s">
        <v>40</v>
      </c>
      <c r="D7379">
        <v>4.7774720000000004</v>
      </c>
      <c r="E7379">
        <v>0.544323</v>
      </c>
      <c r="F7379" t="s">
        <v>84</v>
      </c>
      <c r="G7379">
        <v>-186.3073</v>
      </c>
      <c r="H7379" s="1">
        <v>-3.6818800000000001E-6</v>
      </c>
      <c r="I7379">
        <v>126.28189999999999</v>
      </c>
      <c r="J7379">
        <v>-187.45760000000001</v>
      </c>
      <c r="K7379">
        <v>1.109661</v>
      </c>
      <c r="L7379">
        <v>-3.1442570000000001</v>
      </c>
      <c r="M7379">
        <v>-1.798458E-2</v>
      </c>
      <c r="N7379">
        <v>-7.8086350000000004E-3</v>
      </c>
      <c r="O7379">
        <v>0.99980780000000002</v>
      </c>
      <c r="P7379">
        <v>-0.1095822</v>
      </c>
      <c r="Q7379">
        <v>0.15931719999999999</v>
      </c>
      <c r="R7379">
        <v>0.98112679999999997</v>
      </c>
      <c r="S7379">
        <v>2.6977540000000001E-2</v>
      </c>
      <c r="T7379">
        <v>-2.6197669999999999E-2</v>
      </c>
      <c r="U7379">
        <v>3.0654300000000001</v>
      </c>
      <c r="V7379">
        <v>-9.1902960000000006E-2</v>
      </c>
      <c r="W7379">
        <v>0.16699649999999999</v>
      </c>
      <c r="X7379">
        <v>0.98166489999999995</v>
      </c>
      <c r="Y7379">
        <v>2.6781530000000001E-2</v>
      </c>
      <c r="Z7379">
        <v>-7.3285339999999905E-4</v>
      </c>
      <c r="AA7379">
        <v>0.99964109999999995</v>
      </c>
      <c r="AB7379">
        <v>29</v>
      </c>
      <c r="AC7379">
        <v>1.1503000000000101</v>
      </c>
      <c r="AD7379">
        <v>-1.10966468188</v>
      </c>
      <c r="AE7379">
        <v>129.42615699999999</v>
      </c>
      <c r="AF7379">
        <v>3.4776043062693098</v>
      </c>
      <c r="AG7379">
        <v>-1.10966468188</v>
      </c>
      <c r="AH7379">
        <v>129.37502515653301</v>
      </c>
      <c r="AI7379">
        <v>90.491243104046305</v>
      </c>
      <c r="AJ7379">
        <v>88.460258607115094</v>
      </c>
      <c r="AK7379">
        <v>129.426512823574</v>
      </c>
      <c r="AL7379">
        <v>80.386764912579594</v>
      </c>
      <c r="AM7379">
        <v>95.348412008208001</v>
      </c>
      <c r="AN7379">
        <v>0.99999998048050998</v>
      </c>
    </row>
    <row r="7380" spans="1:40" x14ac:dyDescent="0.25">
      <c r="A7380" t="str">
        <f>"20190304155245955"</f>
        <v>20190304155245955</v>
      </c>
      <c r="B7380" t="str">
        <f>"1551685965944643"</f>
        <v>1551685965944643</v>
      </c>
      <c r="C7380" t="s">
        <v>40</v>
      </c>
      <c r="D7380">
        <v>4.7487279999999998</v>
      </c>
      <c r="E7380">
        <v>0.54441079999999997</v>
      </c>
      <c r="F7380" t="s">
        <v>41</v>
      </c>
      <c r="G7380">
        <v>-186.45359999999999</v>
      </c>
      <c r="H7380" s="1">
        <v>-2.8788069999999998E-6</v>
      </c>
      <c r="I7380">
        <v>114.877</v>
      </c>
      <c r="J7380">
        <v>-187.4633</v>
      </c>
      <c r="K7380">
        <v>1.109632</v>
      </c>
      <c r="L7380">
        <v>-2.822784</v>
      </c>
      <c r="M7380">
        <v>-1.7891850000000001E-2</v>
      </c>
      <c r="N7380">
        <v>-7.8109479999999998E-3</v>
      </c>
      <c r="O7380">
        <v>0.99980939999999996</v>
      </c>
      <c r="P7380">
        <v>-0.11005760000000001</v>
      </c>
      <c r="Q7380">
        <v>0.15900629999999999</v>
      </c>
      <c r="R7380">
        <v>0.981124</v>
      </c>
      <c r="S7380">
        <v>2.607727E-2</v>
      </c>
      <c r="T7380">
        <v>-2.8820749999999999E-2</v>
      </c>
      <c r="U7380">
        <v>3.0653079999999999</v>
      </c>
      <c r="V7380">
        <v>-9.2458680000000001E-2</v>
      </c>
      <c r="W7380">
        <v>0.16669419999999999</v>
      </c>
      <c r="X7380">
        <v>0.98166410000000004</v>
      </c>
      <c r="Y7380">
        <v>2.639553E-2</v>
      </c>
      <c r="Z7380">
        <v>-1.5862739999999999E-3</v>
      </c>
      <c r="AA7380">
        <v>0.99965029999999999</v>
      </c>
      <c r="AB7380">
        <v>29</v>
      </c>
      <c r="AC7380">
        <v>1.0097</v>
      </c>
      <c r="AD7380">
        <v>-1.1096348788069901</v>
      </c>
      <c r="AE7380">
        <v>117.69978399999999</v>
      </c>
      <c r="AF7380">
        <v>3.11519266447204</v>
      </c>
      <c r="AG7380">
        <v>-1.1096348788069901</v>
      </c>
      <c r="AH7380">
        <v>117.65242016857501</v>
      </c>
      <c r="AI7380">
        <v>90.540177902733802</v>
      </c>
      <c r="AJ7380">
        <v>88.483280684216197</v>
      </c>
      <c r="AK7380">
        <v>117.69888566347601</v>
      </c>
      <c r="AL7380">
        <v>80.404331698044004</v>
      </c>
      <c r="AM7380">
        <v>95.380567975332099</v>
      </c>
      <c r="AN7380">
        <v>0.99999998452489602</v>
      </c>
    </row>
    <row r="7381" spans="1:40" x14ac:dyDescent="0.25">
      <c r="A7381" t="str">
        <f>"20190304155245977"</f>
        <v>20190304155245977</v>
      </c>
      <c r="B7381" t="str">
        <f>"1551685965973922"</f>
        <v>1551685965973922</v>
      </c>
      <c r="C7381" t="s">
        <v>40</v>
      </c>
      <c r="D7381">
        <v>4.0234839999999998</v>
      </c>
      <c r="E7381">
        <v>0.54449409999999998</v>
      </c>
      <c r="F7381" t="s">
        <v>41</v>
      </c>
      <c r="G7381">
        <v>-186.49700000000001</v>
      </c>
      <c r="H7381" s="1">
        <v>-2.0061830000000001E-6</v>
      </c>
      <c r="I7381">
        <v>112.8044</v>
      </c>
      <c r="J7381">
        <v>-187.46860000000001</v>
      </c>
      <c r="K7381">
        <v>1.10959599999999</v>
      </c>
      <c r="L7381">
        <v>-2.52298</v>
      </c>
      <c r="M7381">
        <v>-1.777049E-2</v>
      </c>
      <c r="N7381">
        <v>-7.8139650000000008E-3</v>
      </c>
      <c r="O7381">
        <v>0.99981149999999996</v>
      </c>
      <c r="P7381">
        <v>-0.110239</v>
      </c>
      <c r="Q7381">
        <v>0.15895979999999901</v>
      </c>
      <c r="R7381">
        <v>0.98111119999999996</v>
      </c>
      <c r="S7381">
        <v>2.5619510000000002E-2</v>
      </c>
      <c r="T7381">
        <v>-2.9417280000000001E-2</v>
      </c>
      <c r="U7381">
        <v>3.065369</v>
      </c>
      <c r="V7381">
        <v>-9.2747140000000006E-2</v>
      </c>
      <c r="W7381">
        <v>0.166657</v>
      </c>
      <c r="X7381">
        <v>0.98164320000000005</v>
      </c>
      <c r="Y7381">
        <v>2.612474E-2</v>
      </c>
      <c r="Z7381">
        <v>-1.777654E-3</v>
      </c>
      <c r="AA7381">
        <v>0.99965709999999997</v>
      </c>
      <c r="AB7381">
        <v>29</v>
      </c>
      <c r="AC7381">
        <v>0.97159999999999502</v>
      </c>
      <c r="AD7381">
        <v>-1.10959800618299</v>
      </c>
      <c r="AE7381">
        <v>115.32738000000001</v>
      </c>
      <c r="AF7381">
        <v>3.0206537097121799</v>
      </c>
      <c r="AG7381">
        <v>-1.10959800618299</v>
      </c>
      <c r="AH7381">
        <v>115.281230743642</v>
      </c>
      <c r="AI7381">
        <v>90.551273680482296</v>
      </c>
      <c r="AJ7381">
        <v>88.499052137477506</v>
      </c>
      <c r="AK7381">
        <v>115.32613631930199</v>
      </c>
      <c r="AL7381">
        <v>80.406493293452996</v>
      </c>
      <c r="AM7381">
        <v>95.397369958780203</v>
      </c>
      <c r="AN7381">
        <v>0.99999997986670897</v>
      </c>
    </row>
    <row r="7382" spans="1:40" x14ac:dyDescent="0.25">
      <c r="A7382" t="str">
        <f>"20190304155246063"</f>
        <v>20190304155246063</v>
      </c>
      <c r="B7382" t="str">
        <f>"1551685966053954"</f>
        <v>1551685966053954</v>
      </c>
      <c r="C7382" t="s">
        <v>40</v>
      </c>
      <c r="D7382">
        <v>3.4363549999999998</v>
      </c>
      <c r="E7382">
        <v>0.54449409999999998</v>
      </c>
      <c r="F7382" t="s">
        <v>41</v>
      </c>
      <c r="G7382">
        <v>-186.47370000000001</v>
      </c>
      <c r="H7382" s="1">
        <v>-2.4786279999999998E-6</v>
      </c>
      <c r="I7382">
        <v>113.9524</v>
      </c>
      <c r="J7382">
        <v>-187.48769999999999</v>
      </c>
      <c r="K7382">
        <v>1.109475</v>
      </c>
      <c r="L7382">
        <v>-1.3866579999999999</v>
      </c>
      <c r="M7382">
        <v>-1.6918599999999999E-2</v>
      </c>
      <c r="N7382">
        <v>-7.8315829999999996E-3</v>
      </c>
      <c r="O7382">
        <v>0.9998262</v>
      </c>
      <c r="P7382">
        <v>-0.108385</v>
      </c>
      <c r="Q7382">
        <v>0.16015270000000001</v>
      </c>
      <c r="R7382">
        <v>0.98112370000000004</v>
      </c>
      <c r="S7382">
        <v>2.6184079999999998E-2</v>
      </c>
      <c r="T7382">
        <v>-2.9202700000000002E-2</v>
      </c>
      <c r="U7382">
        <v>3.0654300000000001</v>
      </c>
      <c r="V7382">
        <v>-9.1681860000000004E-2</v>
      </c>
      <c r="W7382">
        <v>0.16789299999999999</v>
      </c>
      <c r="X7382">
        <v>0.98153270000000004</v>
      </c>
      <c r="Y7382">
        <v>2.5456960000000001E-2</v>
      </c>
      <c r="Z7382">
        <v>-1.6901819999999999E-3</v>
      </c>
      <c r="AA7382">
        <v>0.99967450000000002</v>
      </c>
      <c r="AB7382">
        <v>29</v>
      </c>
      <c r="AC7382">
        <v>1.01399999999998</v>
      </c>
      <c r="AD7382">
        <v>-1.1094774786279999</v>
      </c>
      <c r="AE7382">
        <v>115.33905799999999</v>
      </c>
      <c r="AF7382">
        <v>2.9650157539041002</v>
      </c>
      <c r="AG7382">
        <v>-1.1094774786279999</v>
      </c>
      <c r="AH7382">
        <v>115.294725113444</v>
      </c>
      <c r="AI7382">
        <v>90.551156235208495</v>
      </c>
      <c r="AJ7382">
        <v>88.526858426810506</v>
      </c>
      <c r="AK7382">
        <v>115.338180572095</v>
      </c>
      <c r="AL7382">
        <v>80.334664152671905</v>
      </c>
      <c r="AM7382">
        <v>95.336333648886495</v>
      </c>
      <c r="AN7382">
        <v>1.0000000320356699</v>
      </c>
    </row>
    <row r="7383" spans="1:40" x14ac:dyDescent="0.25">
      <c r="A7383" t="str">
        <f>"20190304155246086"</f>
        <v>20190304155246086</v>
      </c>
      <c r="B7383" t="str">
        <f>"1551685966084211"</f>
        <v>1551685966084211</v>
      </c>
      <c r="C7383" t="s">
        <v>40</v>
      </c>
      <c r="D7383">
        <v>4.9549560000000001</v>
      </c>
      <c r="E7383">
        <v>0.57718009999999997</v>
      </c>
      <c r="F7383" t="s">
        <v>84</v>
      </c>
      <c r="G7383">
        <v>-185.93180000000001</v>
      </c>
      <c r="H7383" s="1">
        <v>-8.3565989999999995E-6</v>
      </c>
      <c r="I7383">
        <v>139.48070000000001</v>
      </c>
      <c r="J7383">
        <v>-187.4924</v>
      </c>
      <c r="K7383">
        <v>1.1094569999999999</v>
      </c>
      <c r="L7383">
        <v>-1.093628</v>
      </c>
      <c r="M7383">
        <v>-1.6620570000000001E-2</v>
      </c>
      <c r="N7383">
        <v>-7.8372909999999997E-3</v>
      </c>
      <c r="O7383">
        <v>0.99983109999999997</v>
      </c>
      <c r="P7383">
        <v>-0.1067039</v>
      </c>
      <c r="Q7383">
        <v>0.15991420000000001</v>
      </c>
      <c r="R7383">
        <v>0.98134690000000002</v>
      </c>
      <c r="S7383">
        <v>3.385925E-2</v>
      </c>
      <c r="T7383">
        <v>-2.4143339999999999E-2</v>
      </c>
      <c r="U7383">
        <v>3.0653990000000002</v>
      </c>
      <c r="V7383">
        <v>-9.0281710000000001E-2</v>
      </c>
      <c r="W7383">
        <v>0.1676655</v>
      </c>
      <c r="X7383">
        <v>0.9817013</v>
      </c>
      <c r="Y7383">
        <v>2.76618E-2</v>
      </c>
      <c r="Z7383" s="1">
        <v>-3.4450589999999998E-5</v>
      </c>
      <c r="AA7383">
        <v>0.99961730000000004</v>
      </c>
      <c r="AB7383">
        <v>29</v>
      </c>
      <c r="AC7383">
        <v>1.56059999999999</v>
      </c>
      <c r="AD7383">
        <v>-1.10946535659899</v>
      </c>
      <c r="AE7383">
        <v>140.57432800000001</v>
      </c>
      <c r="AF7383">
        <v>3.89663906901403</v>
      </c>
      <c r="AG7383">
        <v>-1.10946535659899</v>
      </c>
      <c r="AH7383">
        <v>140.52021837513001</v>
      </c>
      <c r="AI7383">
        <v>90.452190706159001</v>
      </c>
      <c r="AJ7383">
        <v>88.411589621826096</v>
      </c>
      <c r="AK7383">
        <v>140.57861317286401</v>
      </c>
      <c r="AL7383">
        <v>80.347885814140497</v>
      </c>
      <c r="AM7383">
        <v>95.254400367075604</v>
      </c>
      <c r="AN7383">
        <v>0.99999997473623103</v>
      </c>
    </row>
    <row r="7384" spans="1:40" x14ac:dyDescent="0.25">
      <c r="A7384" t="str">
        <f>"20190304155246130"</f>
        <v>20190304155246130</v>
      </c>
      <c r="B7384" t="str">
        <f>"1551685966123850"</f>
        <v>1551685966123850</v>
      </c>
      <c r="C7384" t="s">
        <v>40</v>
      </c>
      <c r="D7384">
        <v>4.6567980000000002</v>
      </c>
      <c r="E7384">
        <v>0.57606290000000004</v>
      </c>
      <c r="F7384" t="s">
        <v>51</v>
      </c>
      <c r="G7384">
        <v>-187.4203</v>
      </c>
      <c r="H7384">
        <v>1.0422039999999999</v>
      </c>
      <c r="I7384">
        <v>-0.34663820000000001</v>
      </c>
      <c r="J7384">
        <v>-187.50149999999999</v>
      </c>
      <c r="K7384">
        <v>1.1094329999999999</v>
      </c>
      <c r="L7384">
        <v>-0.49978640000000002</v>
      </c>
      <c r="M7384">
        <v>-1.596941E-2</v>
      </c>
      <c r="N7384">
        <v>-7.8494029999999996E-3</v>
      </c>
      <c r="O7384">
        <v>0.99984170000000006</v>
      </c>
      <c r="P7384">
        <v>-0.1035683</v>
      </c>
      <c r="Q7384">
        <v>0.15970309999999999</v>
      </c>
      <c r="R7384">
        <v>0.98171710000000001</v>
      </c>
      <c r="S7384">
        <v>0.3021393</v>
      </c>
      <c r="T7384">
        <v>-0.28230729999999998</v>
      </c>
      <c r="U7384">
        <v>3.1358640000000002</v>
      </c>
      <c r="V7384">
        <v>-8.7770570000000006E-2</v>
      </c>
      <c r="W7384">
        <v>0.16747229999999999</v>
      </c>
      <c r="X7384">
        <v>0.981962</v>
      </c>
      <c r="Y7384">
        <v>0.111429</v>
      </c>
      <c r="Z7384">
        <v>-8.1334899999999904E-2</v>
      </c>
      <c r="AA7384">
        <v>0.99043840000000005</v>
      </c>
      <c r="AB7384">
        <v>30</v>
      </c>
      <c r="AC7384">
        <v>8.1199999999995498E-2</v>
      </c>
      <c r="AD7384">
        <v>-6.7228999999999706E-2</v>
      </c>
      <c r="AE7384">
        <v>0.15314820000000001</v>
      </c>
      <c r="AF7384">
        <v>7.2700001276841494E-2</v>
      </c>
      <c r="AG7384">
        <v>-6.7228999999999706E-2</v>
      </c>
      <c r="AH7384">
        <v>0.13197975316772501</v>
      </c>
      <c r="AI7384">
        <v>114.045270992224</v>
      </c>
      <c r="AJ7384">
        <v>61.152177261259297</v>
      </c>
      <c r="AK7384">
        <v>0.16499601168775599</v>
      </c>
      <c r="AL7384">
        <v>80.359114435627703</v>
      </c>
      <c r="AM7384">
        <v>95.107687108947403</v>
      </c>
      <c r="AN7384">
        <v>1.0000000068346999</v>
      </c>
    </row>
    <row r="7385" spans="1:40" x14ac:dyDescent="0.25">
      <c r="A7385" t="str">
        <f>"20190304155246155"</f>
        <v>20190304155246155</v>
      </c>
      <c r="B7385" t="str">
        <f>"1551685966144346"</f>
        <v>1551685966144346</v>
      </c>
      <c r="C7385" t="s">
        <v>40</v>
      </c>
      <c r="D7385">
        <v>7.2402749999999996</v>
      </c>
      <c r="E7385">
        <v>0.56694250000000002</v>
      </c>
      <c r="F7385" t="s">
        <v>41</v>
      </c>
      <c r="G7385">
        <v>-182.8252</v>
      </c>
      <c r="H7385" s="1">
        <v>-4.7484589999999999E-6</v>
      </c>
      <c r="I7385">
        <v>47.734879999999997</v>
      </c>
      <c r="J7385">
        <v>-187.50630000000001</v>
      </c>
      <c r="K7385">
        <v>1.109426</v>
      </c>
      <c r="L7385">
        <v>-0.18026729999999999</v>
      </c>
      <c r="M7385">
        <v>-1.5609079999999999E-2</v>
      </c>
      <c r="N7385">
        <v>-7.8563460000000002E-3</v>
      </c>
      <c r="O7385">
        <v>0.99984729999999999</v>
      </c>
      <c r="P7385">
        <v>-0.10241749999999999</v>
      </c>
      <c r="Q7385">
        <v>0.15919549999999999</v>
      </c>
      <c r="R7385">
        <v>0.98192029999999997</v>
      </c>
      <c r="S7385">
        <v>0.30046079999999997</v>
      </c>
      <c r="T7385">
        <v>-7.1283100000000002E-2</v>
      </c>
      <c r="U7385">
        <v>3.0991520000000001</v>
      </c>
      <c r="V7385">
        <v>-8.6968420000000005E-2</v>
      </c>
      <c r="W7385">
        <v>0.16697390000000001</v>
      </c>
      <c r="X7385">
        <v>0.98211820000000005</v>
      </c>
      <c r="Y7385">
        <v>0.1119975</v>
      </c>
      <c r="Z7385">
        <v>-1.500374E-2</v>
      </c>
      <c r="AA7385">
        <v>0.99359520000000001</v>
      </c>
      <c r="AB7385">
        <v>30</v>
      </c>
      <c r="AC7385">
        <v>4.6811000000000096</v>
      </c>
      <c r="AD7385">
        <v>-1.109430748459</v>
      </c>
      <c r="AE7385">
        <v>47.915147300000001</v>
      </c>
      <c r="AF7385">
        <v>5.4255829092805703</v>
      </c>
      <c r="AG7385">
        <v>-1.109430748459</v>
      </c>
      <c r="AH7385">
        <v>47.810849965318397</v>
      </c>
      <c r="AI7385">
        <v>91.320811711946703</v>
      </c>
      <c r="AJ7385">
        <v>83.525762166982403</v>
      </c>
      <c r="AK7385">
        <v>48.130501357219302</v>
      </c>
      <c r="AL7385">
        <v>80.388078174831904</v>
      </c>
      <c r="AM7385">
        <v>95.060449880369504</v>
      </c>
      <c r="AN7385">
        <v>0.99999997406487195</v>
      </c>
    </row>
    <row r="7386" spans="1:40" x14ac:dyDescent="0.25">
      <c r="A7386" t="str">
        <f>"20190304155246178"</f>
        <v>20190304155246178</v>
      </c>
      <c r="B7386" t="str">
        <f>"1551685966174602"</f>
        <v>1551685966174602</v>
      </c>
      <c r="C7386" t="s">
        <v>40</v>
      </c>
      <c r="D7386">
        <v>4.8700650000000003</v>
      </c>
      <c r="E7386">
        <v>0.55880050000000003</v>
      </c>
      <c r="F7386" t="s">
        <v>41</v>
      </c>
      <c r="G7386">
        <v>-184.4101</v>
      </c>
      <c r="H7386" s="1">
        <v>-2.0015299999999998E-6</v>
      </c>
      <c r="I7386">
        <v>41.159080000000003</v>
      </c>
      <c r="J7386">
        <v>-187.51070000000001</v>
      </c>
      <c r="K7386">
        <v>1.109413</v>
      </c>
      <c r="L7386">
        <v>0.1214905</v>
      </c>
      <c r="M7386">
        <v>-1.526834E-2</v>
      </c>
      <c r="N7386">
        <v>-7.8631109999999903E-3</v>
      </c>
      <c r="O7386">
        <v>0.99985250000000003</v>
      </c>
      <c r="P7386">
        <v>-0.10203470000000001</v>
      </c>
      <c r="Q7386">
        <v>0.15900610000000001</v>
      </c>
      <c r="R7386">
        <v>0.98199080000000005</v>
      </c>
      <c r="S7386">
        <v>0.23164370000000001</v>
      </c>
      <c r="T7386">
        <v>-8.3003519999999997E-2</v>
      </c>
      <c r="U7386">
        <v>3.0928650000000002</v>
      </c>
      <c r="V7386">
        <v>-8.6917739999999993E-2</v>
      </c>
      <c r="W7386">
        <v>0.166792</v>
      </c>
      <c r="X7386">
        <v>0.98215359999999996</v>
      </c>
      <c r="Y7386">
        <v>8.9878890000000003E-2</v>
      </c>
      <c r="Z7386">
        <v>-1.8865449999999999E-2</v>
      </c>
      <c r="AA7386">
        <v>0.99577400000000005</v>
      </c>
      <c r="AB7386">
        <v>30</v>
      </c>
      <c r="AC7386">
        <v>3.1006000000000098</v>
      </c>
      <c r="AD7386">
        <v>-1.1094150015299999</v>
      </c>
      <c r="AE7386">
        <v>41.037589500000003</v>
      </c>
      <c r="AF7386">
        <v>3.7241274909532902</v>
      </c>
      <c r="AG7386">
        <v>-1.1094150015299999</v>
      </c>
      <c r="AH7386">
        <v>40.955700752464601</v>
      </c>
      <c r="AI7386">
        <v>91.545286150380406</v>
      </c>
      <c r="AJ7386">
        <v>84.804347361730507</v>
      </c>
      <c r="AK7386">
        <v>41.139632367583502</v>
      </c>
      <c r="AL7386">
        <v>80.398648559855502</v>
      </c>
      <c r="AM7386">
        <v>95.057334907127299</v>
      </c>
      <c r="AN7386">
        <v>0.99999997939183305</v>
      </c>
    </row>
    <row r="7387" spans="1:40" x14ac:dyDescent="0.25">
      <c r="A7387" t="str">
        <f>"20190304155246199"</f>
        <v>20190304155246199</v>
      </c>
      <c r="B7387" t="str">
        <f>"1551685966194122"</f>
        <v>1551685966194122</v>
      </c>
      <c r="C7387" t="s">
        <v>40</v>
      </c>
      <c r="D7387">
        <v>4.8588190000000004</v>
      </c>
      <c r="E7387">
        <v>0.55540599999999996</v>
      </c>
      <c r="F7387" t="s">
        <v>41</v>
      </c>
      <c r="G7387">
        <v>-185.3862</v>
      </c>
      <c r="H7387" s="1">
        <v>-4.87827099999999E-6</v>
      </c>
      <c r="I7387">
        <v>39.09639</v>
      </c>
      <c r="J7387">
        <v>-187.5145</v>
      </c>
      <c r="K7387">
        <v>1.1094010000000001</v>
      </c>
      <c r="L7387">
        <v>0.3939819</v>
      </c>
      <c r="M7387">
        <v>-1.4962349999999999E-2</v>
      </c>
      <c r="N7387">
        <v>-7.869371E-3</v>
      </c>
      <c r="O7387">
        <v>0.99985710000000005</v>
      </c>
      <c r="P7387">
        <v>-0.1023966</v>
      </c>
      <c r="Q7387">
        <v>0.1590329</v>
      </c>
      <c r="R7387">
        <v>0.98194879999999996</v>
      </c>
      <c r="S7387">
        <v>0.16825870000000001</v>
      </c>
      <c r="T7387">
        <v>-8.7863559999999993E-2</v>
      </c>
      <c r="U7387">
        <v>3.0867309999999999</v>
      </c>
      <c r="V7387">
        <v>-8.7580370000000005E-2</v>
      </c>
      <c r="W7387">
        <v>0.166825799999999</v>
      </c>
      <c r="X7387">
        <v>0.98208899999999999</v>
      </c>
      <c r="Y7387">
        <v>6.9342680000000004E-2</v>
      </c>
      <c r="Z7387">
        <v>-2.0523050000000001E-2</v>
      </c>
      <c r="AA7387">
        <v>0.99738170000000004</v>
      </c>
      <c r="AB7387">
        <v>30</v>
      </c>
      <c r="AC7387">
        <v>2.1282999999999901</v>
      </c>
      <c r="AD7387">
        <v>-1.1094058782709999</v>
      </c>
      <c r="AE7387">
        <v>38.7024081</v>
      </c>
      <c r="AF7387">
        <v>2.7049427322481301</v>
      </c>
      <c r="AG7387">
        <v>-1.1094058782709999</v>
      </c>
      <c r="AH7387">
        <v>38.634580328146797</v>
      </c>
      <c r="AI7387">
        <v>91.640802539641101</v>
      </c>
      <c r="AJ7387">
        <v>85.995056538096605</v>
      </c>
      <c r="AK7387">
        <v>38.7450421824459</v>
      </c>
      <c r="AL7387">
        <v>80.396684511054303</v>
      </c>
      <c r="AM7387">
        <v>95.096021428848502</v>
      </c>
      <c r="AN7387">
        <v>0.99999998633798803</v>
      </c>
    </row>
    <row r="7388" spans="1:40" x14ac:dyDescent="0.25">
      <c r="A7388" t="str">
        <f>"20190304155246221"</f>
        <v>20190304155246221</v>
      </c>
      <c r="B7388" t="str">
        <f>"1551685966214617"</f>
        <v>1551685966214617</v>
      </c>
      <c r="C7388" t="s">
        <v>40</v>
      </c>
      <c r="D7388">
        <v>4.8344449999999997</v>
      </c>
      <c r="E7388">
        <v>0.55275969999999996</v>
      </c>
      <c r="F7388" t="s">
        <v>41</v>
      </c>
      <c r="G7388">
        <v>-185.79140000000001</v>
      </c>
      <c r="H7388" s="1">
        <v>-4.443189E-6</v>
      </c>
      <c r="I7388">
        <v>38.249769999999998</v>
      </c>
      <c r="J7388">
        <v>-187.5189</v>
      </c>
      <c r="K7388">
        <v>1.1093930000000001</v>
      </c>
      <c r="L7388">
        <v>0.70626829999999996</v>
      </c>
      <c r="M7388">
        <v>-1.4613839999999999E-2</v>
      </c>
      <c r="N7388">
        <v>-7.8767160000000006E-3</v>
      </c>
      <c r="O7388">
        <v>0.99986220000000003</v>
      </c>
      <c r="P7388">
        <v>-0.1030824</v>
      </c>
      <c r="Q7388">
        <v>0.1585126</v>
      </c>
      <c r="R7388">
        <v>0.98196119999999998</v>
      </c>
      <c r="S7388">
        <v>0.1403961</v>
      </c>
      <c r="T7388">
        <v>-9.0392109999999998E-2</v>
      </c>
      <c r="U7388">
        <v>3.0844119999999999</v>
      </c>
      <c r="V7388">
        <v>-8.8608060000000002E-2</v>
      </c>
      <c r="W7388">
        <v>0.1663134</v>
      </c>
      <c r="X7388">
        <v>0.9820837</v>
      </c>
      <c r="Y7388">
        <v>6.004603E-2</v>
      </c>
      <c r="Z7388">
        <v>-2.1370429999999999E-2</v>
      </c>
      <c r="AA7388">
        <v>0.99796680000000004</v>
      </c>
      <c r="AB7388">
        <v>30</v>
      </c>
      <c r="AC7388">
        <v>1.72749999999999</v>
      </c>
      <c r="AD7388">
        <v>-1.1093974431889999</v>
      </c>
      <c r="AE7388">
        <v>37.5435017</v>
      </c>
      <c r="AF7388">
        <v>2.2740058272742898</v>
      </c>
      <c r="AG7388">
        <v>-1.1093974431889999</v>
      </c>
      <c r="AH7388">
        <v>37.481586969680102</v>
      </c>
      <c r="AI7388">
        <v>91.692262356810403</v>
      </c>
      <c r="AJ7388">
        <v>86.528123833319498</v>
      </c>
      <c r="AK7388">
        <v>37.566890035710003</v>
      </c>
      <c r="AL7388">
        <v>80.426458614921103</v>
      </c>
      <c r="AM7388">
        <v>95.155526699830105</v>
      </c>
      <c r="AN7388">
        <v>0.99999996456110596</v>
      </c>
    </row>
    <row r="7389" spans="1:40" x14ac:dyDescent="0.25">
      <c r="A7389" t="str">
        <f>"20190304155246243"</f>
        <v>20190304155246243</v>
      </c>
      <c r="B7389" t="str">
        <f>"1551685966234140"</f>
        <v>1551685966234140</v>
      </c>
      <c r="C7389" t="s">
        <v>40</v>
      </c>
      <c r="D7389">
        <v>4.7707300000000004</v>
      </c>
      <c r="E7389">
        <v>0.5503865</v>
      </c>
      <c r="F7389" t="s">
        <v>41</v>
      </c>
      <c r="G7389">
        <v>-186.09809999999999</v>
      </c>
      <c r="H7389" s="1">
        <v>-4.2250709999999901E-6</v>
      </c>
      <c r="I7389">
        <v>37.86815</v>
      </c>
      <c r="J7389">
        <v>-187.52289999999999</v>
      </c>
      <c r="K7389">
        <v>1.1093839999999999</v>
      </c>
      <c r="L7389">
        <v>0.9995117</v>
      </c>
      <c r="M7389">
        <v>-1.428812E-2</v>
      </c>
      <c r="N7389">
        <v>-7.8838950000000001E-3</v>
      </c>
      <c r="O7389">
        <v>0.99986679999999994</v>
      </c>
      <c r="P7389">
        <v>-0.1035722</v>
      </c>
      <c r="Q7389">
        <v>0.15846759999999999</v>
      </c>
      <c r="R7389">
        <v>0.98191689999999998</v>
      </c>
      <c r="S7389">
        <v>0.11784360000000001</v>
      </c>
      <c r="T7389">
        <v>-9.2017290000000002E-2</v>
      </c>
      <c r="U7389">
        <v>3.0823360000000002</v>
      </c>
      <c r="V7389">
        <v>-8.941781E-2</v>
      </c>
      <c r="W7389">
        <v>0.16627620000000001</v>
      </c>
      <c r="X7389">
        <v>0.98201660000000002</v>
      </c>
      <c r="Y7389">
        <v>5.2461260000000003E-2</v>
      </c>
      <c r="Z7389">
        <v>-2.1920350000000002E-2</v>
      </c>
      <c r="AA7389">
        <v>0.99838229999999994</v>
      </c>
      <c r="AB7389">
        <v>30</v>
      </c>
      <c r="AC7389">
        <v>1.4248000000000001</v>
      </c>
      <c r="AD7389">
        <v>-1.1093882250710001</v>
      </c>
      <c r="AE7389">
        <v>36.868638300000001</v>
      </c>
      <c r="AF7389">
        <v>1.94969179824098</v>
      </c>
      <c r="AG7389">
        <v>-1.1093882250710001</v>
      </c>
      <c r="AH7389">
        <v>36.811236010128503</v>
      </c>
      <c r="AI7389">
        <v>91.723798196038302</v>
      </c>
      <c r="AJ7389">
        <v>86.968185757109694</v>
      </c>
      <c r="AK7389">
        <v>36.879521918477103</v>
      </c>
      <c r="AL7389">
        <v>80.428620080652806</v>
      </c>
      <c r="AM7389">
        <v>95.202736942688503</v>
      </c>
      <c r="AN7389">
        <v>0.99999996105359701</v>
      </c>
    </row>
    <row r="7390" spans="1:40" x14ac:dyDescent="0.25">
      <c r="A7390" t="str">
        <f>"20190304155246266"</f>
        <v>20190304155246266</v>
      </c>
      <c r="B7390" t="str">
        <f>"1551685966254637"</f>
        <v>1551685966254637</v>
      </c>
      <c r="C7390" t="s">
        <v>40</v>
      </c>
      <c r="D7390">
        <v>4.8901329999999996</v>
      </c>
      <c r="E7390">
        <v>0.54878899999999997</v>
      </c>
      <c r="F7390" t="s">
        <v>41</v>
      </c>
      <c r="G7390">
        <v>-186.3527</v>
      </c>
      <c r="H7390" s="1">
        <v>-4.1666150000000003E-6</v>
      </c>
      <c r="I7390">
        <v>37.837150000000001</v>
      </c>
      <c r="J7390">
        <v>-187.52690000000001</v>
      </c>
      <c r="K7390">
        <v>1.109378</v>
      </c>
      <c r="L7390">
        <v>1.3020320000000001</v>
      </c>
      <c r="M7390">
        <v>-1.3953689999999999E-2</v>
      </c>
      <c r="N7390">
        <v>-7.8914229999999998E-3</v>
      </c>
      <c r="O7390">
        <v>0.99987150000000002</v>
      </c>
      <c r="P7390">
        <v>-0.1040326</v>
      </c>
      <c r="Q7390">
        <v>0.15818209999999999</v>
      </c>
      <c r="R7390">
        <v>0.98191430000000002</v>
      </c>
      <c r="S7390">
        <v>9.7854609999999995E-2</v>
      </c>
      <c r="T7390">
        <v>-9.2772250000000001E-2</v>
      </c>
      <c r="U7390">
        <v>3.0805359999999999</v>
      </c>
      <c r="V7390">
        <v>-9.0206389999999997E-2</v>
      </c>
      <c r="W7390">
        <v>0.165998799999999</v>
      </c>
      <c r="X7390">
        <v>0.98199150000000002</v>
      </c>
      <c r="Y7390">
        <v>4.567877E-2</v>
      </c>
      <c r="Z7390">
        <v>-2.2183749999999999E-2</v>
      </c>
      <c r="AA7390">
        <v>0.99870990000000004</v>
      </c>
      <c r="AB7390">
        <v>30</v>
      </c>
      <c r="AC7390">
        <v>1.1742000000000099</v>
      </c>
      <c r="AD7390">
        <v>-1.1093821666150001</v>
      </c>
      <c r="AE7390">
        <v>36.535117999999997</v>
      </c>
      <c r="AF7390">
        <v>1.6823516969378001</v>
      </c>
      <c r="AG7390">
        <v>-1.1093821666150001</v>
      </c>
      <c r="AH7390">
        <v>36.481573769392398</v>
      </c>
      <c r="AI7390">
        <v>91.739944602046293</v>
      </c>
      <c r="AJ7390">
        <v>87.3596695520027</v>
      </c>
      <c r="AK7390">
        <v>36.5371901042679</v>
      </c>
      <c r="AL7390">
        <v>80.444738786935503</v>
      </c>
      <c r="AM7390">
        <v>95.248498408907196</v>
      </c>
      <c r="AN7390">
        <v>1.00000005023525</v>
      </c>
    </row>
    <row r="7391" spans="1:40" x14ac:dyDescent="0.25">
      <c r="A7391" t="str">
        <f>"20190304155246288"</f>
        <v>20190304155246288</v>
      </c>
      <c r="B7391" t="str">
        <f>"1551685966283914"</f>
        <v>1551685966283914</v>
      </c>
      <c r="C7391" t="s">
        <v>40</v>
      </c>
      <c r="D7391">
        <v>4.8691449999999996</v>
      </c>
      <c r="E7391">
        <v>0.54713290000000003</v>
      </c>
      <c r="F7391" t="s">
        <v>41</v>
      </c>
      <c r="G7391">
        <v>-186.56059999999999</v>
      </c>
      <c r="H7391" s="1">
        <v>-3.8425019999999997E-6</v>
      </c>
      <c r="I7391">
        <v>37.1676</v>
      </c>
      <c r="J7391">
        <v>-187.5307</v>
      </c>
      <c r="K7391">
        <v>1.109378</v>
      </c>
      <c r="L7391">
        <v>1.6039429999999999</v>
      </c>
      <c r="M7391">
        <v>-1.3619849999999999E-2</v>
      </c>
      <c r="N7391">
        <v>-7.8990009999999992E-3</v>
      </c>
      <c r="O7391">
        <v>0.99987599999999999</v>
      </c>
      <c r="P7391">
        <v>-0.10460319999999999</v>
      </c>
      <c r="Q7391">
        <v>0.1581205</v>
      </c>
      <c r="R7391">
        <v>0.98186359999999995</v>
      </c>
      <c r="S7391">
        <v>8.2962040000000001E-2</v>
      </c>
      <c r="T7391">
        <v>-9.5251199999999994E-2</v>
      </c>
      <c r="U7391">
        <v>3.0794069999999998</v>
      </c>
      <c r="V7391">
        <v>-9.11053E-2</v>
      </c>
      <c r="W7391">
        <v>0.1659447</v>
      </c>
      <c r="X7391">
        <v>0.98191759999999995</v>
      </c>
      <c r="Y7391">
        <v>4.0530650000000001E-2</v>
      </c>
      <c r="Z7391">
        <v>-2.299665E-2</v>
      </c>
      <c r="AA7391">
        <v>0.99891359999999996</v>
      </c>
      <c r="AB7391">
        <v>30</v>
      </c>
      <c r="AC7391">
        <v>0.97010000000000196</v>
      </c>
      <c r="AD7391">
        <v>-1.1093818425019999</v>
      </c>
      <c r="AE7391">
        <v>35.563656999999999</v>
      </c>
      <c r="AF7391">
        <v>1.4529839997837299</v>
      </c>
      <c r="AG7391">
        <v>-1.1093818425019999</v>
      </c>
      <c r="AH7391">
        <v>35.512614097691497</v>
      </c>
      <c r="AI7391">
        <v>91.787791486301202</v>
      </c>
      <c r="AJ7391">
        <v>87.657073519138393</v>
      </c>
      <c r="AK7391">
        <v>35.559635130687901</v>
      </c>
      <c r="AL7391">
        <v>80.447881563091499</v>
      </c>
      <c r="AM7391">
        <v>95.300900095063099</v>
      </c>
      <c r="AN7391">
        <v>0.99999999616796897</v>
      </c>
    </row>
    <row r="7392" spans="1:40" x14ac:dyDescent="0.25">
      <c r="A7392" t="str">
        <f>"20190304155246310"</f>
        <v>20190304155246310</v>
      </c>
      <c r="B7392" t="str">
        <f>"1551685966304410"</f>
        <v>1551685966304410</v>
      </c>
      <c r="C7392" t="s">
        <v>40</v>
      </c>
      <c r="D7392">
        <v>4.8471520000000003</v>
      </c>
      <c r="E7392">
        <v>0.54630489999999998</v>
      </c>
      <c r="F7392" t="s">
        <v>41</v>
      </c>
      <c r="G7392">
        <v>-186.72659999999999</v>
      </c>
      <c r="H7392" s="1">
        <v>-4.0886110000000002E-6</v>
      </c>
      <c r="I7392">
        <v>37.809930000000001</v>
      </c>
      <c r="J7392">
        <v>-187.53440000000001</v>
      </c>
      <c r="K7392">
        <v>1.1093770000000001</v>
      </c>
      <c r="L7392">
        <v>1.898895</v>
      </c>
      <c r="M7392">
        <v>-1.329104E-2</v>
      </c>
      <c r="N7392">
        <v>-7.906471E-3</v>
      </c>
      <c r="O7392">
        <v>0.9998804</v>
      </c>
      <c r="P7392">
        <v>-0.1051444</v>
      </c>
      <c r="Q7392">
        <v>0.15881219999999999</v>
      </c>
      <c r="R7392">
        <v>0.98169410000000001</v>
      </c>
      <c r="S7392">
        <v>6.8359379999999997E-2</v>
      </c>
      <c r="T7392">
        <v>-9.430885E-2</v>
      </c>
      <c r="U7392">
        <v>3.0778810000000001</v>
      </c>
      <c r="V7392">
        <v>-9.1970289999999996E-2</v>
      </c>
      <c r="W7392">
        <v>0.16664389999999901</v>
      </c>
      <c r="X7392">
        <v>0.98171850000000005</v>
      </c>
      <c r="Y7392">
        <v>3.5479490000000002E-2</v>
      </c>
      <c r="Z7392">
        <v>-2.270411E-2</v>
      </c>
      <c r="AA7392">
        <v>0.99911249999999996</v>
      </c>
      <c r="AB7392">
        <v>30</v>
      </c>
      <c r="AC7392">
        <v>0.80780000000001395</v>
      </c>
      <c r="AD7392">
        <v>-1.109381088611</v>
      </c>
      <c r="AE7392">
        <v>35.911034999999998</v>
      </c>
      <c r="AF7392">
        <v>1.2838139870648799</v>
      </c>
      <c r="AG7392">
        <v>-1.109381088611</v>
      </c>
      <c r="AH7392">
        <v>35.862917642286199</v>
      </c>
      <c r="AI7392">
        <v>91.770685322214604</v>
      </c>
      <c r="AJ7392">
        <v>87.949811912511393</v>
      </c>
      <c r="AK7392">
        <v>35.903032832485799</v>
      </c>
      <c r="AL7392">
        <v>80.407254402455393</v>
      </c>
      <c r="AM7392">
        <v>95.352017088343899</v>
      </c>
      <c r="AN7392">
        <v>0.99999996844607097</v>
      </c>
    </row>
    <row r="7393" spans="1:40" x14ac:dyDescent="0.25">
      <c r="A7393" t="str">
        <f>"20190304155246331"</f>
        <v>20190304155246331</v>
      </c>
      <c r="B7393" t="str">
        <f>"1551685966323932"</f>
        <v>1551685966323932</v>
      </c>
      <c r="C7393" t="s">
        <v>40</v>
      </c>
      <c r="D7393">
        <v>4.8941239999999997</v>
      </c>
      <c r="E7393">
        <v>0.54574269999999903</v>
      </c>
      <c r="F7393" t="s">
        <v>41</v>
      </c>
      <c r="G7393">
        <v>-186.79050000000001</v>
      </c>
      <c r="H7393" s="1">
        <v>-4.7621310000000003E-6</v>
      </c>
      <c r="I7393">
        <v>39.406329999999997</v>
      </c>
      <c r="J7393">
        <v>-187.53809999999999</v>
      </c>
      <c r="K7393">
        <v>1.10937</v>
      </c>
      <c r="L7393">
        <v>2.1983950000000001</v>
      </c>
      <c r="M7393">
        <v>-1.295377E-2</v>
      </c>
      <c r="N7393">
        <v>-7.9141999999999997E-3</v>
      </c>
      <c r="O7393">
        <v>0.99988480000000002</v>
      </c>
      <c r="P7393">
        <v>-0.10510079999999999</v>
      </c>
      <c r="Q7393">
        <v>0.15866529999999901</v>
      </c>
      <c r="R7393">
        <v>0.98172250000000005</v>
      </c>
      <c r="S7393">
        <v>6.1035159999999998E-2</v>
      </c>
      <c r="T7393">
        <v>-9.1016650000000004E-2</v>
      </c>
      <c r="U7393">
        <v>3.0772089999999999</v>
      </c>
      <c r="V7393">
        <v>-9.2256640000000001E-2</v>
      </c>
      <c r="W7393">
        <v>0.16650519999999999</v>
      </c>
      <c r="X7393">
        <v>0.98171520000000001</v>
      </c>
      <c r="Y7393">
        <v>3.2771130000000002E-2</v>
      </c>
      <c r="Z7393">
        <v>-2.1637480000000001E-2</v>
      </c>
      <c r="AA7393">
        <v>0.99922869999999997</v>
      </c>
      <c r="AB7393">
        <v>30</v>
      </c>
      <c r="AC7393">
        <v>0.74759999999997695</v>
      </c>
      <c r="AD7393">
        <v>-1.1093747621309999</v>
      </c>
      <c r="AE7393">
        <v>37.207934999999999</v>
      </c>
      <c r="AF7393">
        <v>1.22844378068941</v>
      </c>
      <c r="AG7393">
        <v>-1.1093747621309999</v>
      </c>
      <c r="AH7393">
        <v>37.162105845272499</v>
      </c>
      <c r="AI7393">
        <v>91.7089707426302</v>
      </c>
      <c r="AJ7393">
        <v>88.106699762217502</v>
      </c>
      <c r="AK7393">
        <v>37.198950218257501</v>
      </c>
      <c r="AL7393">
        <v>80.415314248657594</v>
      </c>
      <c r="AM7393">
        <v>95.368601351784093</v>
      </c>
      <c r="AN7393">
        <v>1.0000000015810799</v>
      </c>
    </row>
    <row r="7394" spans="1:40" x14ac:dyDescent="0.25">
      <c r="A7394" t="str">
        <f>"20190304155246356"</f>
        <v>20190304155246356</v>
      </c>
      <c r="B7394" t="str">
        <f>"1551685966354186"</f>
        <v>1551685966354186</v>
      </c>
      <c r="C7394" t="s">
        <v>40</v>
      </c>
      <c r="D7394">
        <v>4.8515649999999999</v>
      </c>
      <c r="E7394">
        <v>0.54523330000000003</v>
      </c>
      <c r="F7394" t="s">
        <v>41</v>
      </c>
      <c r="G7394">
        <v>-186.83449999999999</v>
      </c>
      <c r="H7394" s="1">
        <v>-9.4436239999999999E-7</v>
      </c>
      <c r="I7394">
        <v>39.948099999999997</v>
      </c>
      <c r="J7394">
        <v>-187.542</v>
      </c>
      <c r="K7394">
        <v>1.1093630000000001</v>
      </c>
      <c r="L7394">
        <v>2.5306700000000002</v>
      </c>
      <c r="M7394">
        <v>-1.256971E-2</v>
      </c>
      <c r="N7394">
        <v>-7.9228949999999992E-3</v>
      </c>
      <c r="O7394">
        <v>0.99988960000000005</v>
      </c>
      <c r="P7394">
        <v>-0.1051837</v>
      </c>
      <c r="Q7394">
        <v>0.1579053</v>
      </c>
      <c r="R7394">
        <v>0.98183620000000005</v>
      </c>
      <c r="S7394">
        <v>5.7342530000000003E-2</v>
      </c>
      <c r="T7394">
        <v>-9.0413690000000005E-2</v>
      </c>
      <c r="U7394">
        <v>3.0765989999999999</v>
      </c>
      <c r="V7394">
        <v>-9.2713180000000006E-2</v>
      </c>
      <c r="W7394">
        <v>0.1657566</v>
      </c>
      <c r="X7394">
        <v>0.98179890000000003</v>
      </c>
      <c r="Y7394">
        <v>3.1192600000000001E-2</v>
      </c>
      <c r="Z7394">
        <v>-2.1440359999999999E-2</v>
      </c>
      <c r="AA7394">
        <v>0.99928340000000004</v>
      </c>
      <c r="AB7394">
        <v>30</v>
      </c>
      <c r="AC7394">
        <v>0.70750000000001001</v>
      </c>
      <c r="AD7394">
        <v>-1.1093639443623999</v>
      </c>
      <c r="AE7394">
        <v>37.417430000000003</v>
      </c>
      <c r="AF7394">
        <v>1.1767510918519899</v>
      </c>
      <c r="AG7394">
        <v>-1.1093639443623999</v>
      </c>
      <c r="AH7394">
        <v>37.372740662862903</v>
      </c>
      <c r="AI7394">
        <v>91.699413924442595</v>
      </c>
      <c r="AJ7394">
        <v>88.1965303693447</v>
      </c>
      <c r="AK7394">
        <v>37.407715462813698</v>
      </c>
      <c r="AL7394">
        <v>80.458810598166707</v>
      </c>
      <c r="AM7394">
        <v>95.394554749369306</v>
      </c>
      <c r="AN7394">
        <v>1.00000003211524</v>
      </c>
    </row>
    <row r="7395" spans="1:40" x14ac:dyDescent="0.25">
      <c r="A7395" t="str">
        <f>"20190304155246378"</f>
        <v>20190304155246378</v>
      </c>
      <c r="B7395" t="str">
        <f>"1551685966373706"</f>
        <v>1551685966373706</v>
      </c>
      <c r="C7395" t="s">
        <v>40</v>
      </c>
      <c r="D7395">
        <v>4.9126250000000002</v>
      </c>
      <c r="E7395">
        <v>0.54490669999999897</v>
      </c>
      <c r="F7395" t="s">
        <v>41</v>
      </c>
      <c r="G7395">
        <v>-186.89699999999999</v>
      </c>
      <c r="H7395" s="1">
        <v>-4.7182309999999998E-6</v>
      </c>
      <c r="I7395">
        <v>39.348030000000001</v>
      </c>
      <c r="J7395">
        <v>-187.5455</v>
      </c>
      <c r="K7395">
        <v>1.1093459999999999</v>
      </c>
      <c r="L7395">
        <v>2.8346559999999998</v>
      </c>
      <c r="M7395">
        <v>-1.2202670000000001E-2</v>
      </c>
      <c r="N7395">
        <v>-7.9309580000000001E-3</v>
      </c>
      <c r="O7395">
        <v>0.99989410000000001</v>
      </c>
      <c r="P7395">
        <v>-0.10517269999999899</v>
      </c>
      <c r="Q7395">
        <v>0.15708069999999999</v>
      </c>
      <c r="R7395">
        <v>0.98196969999999995</v>
      </c>
      <c r="S7395">
        <v>5.3894039999999997E-2</v>
      </c>
      <c r="T7395">
        <v>-9.2690110000000006E-2</v>
      </c>
      <c r="U7395">
        <v>3.0761720000000001</v>
      </c>
      <c r="V7395">
        <v>-9.3057979999999998E-2</v>
      </c>
      <c r="W7395">
        <v>0.16494349999999999</v>
      </c>
      <c r="X7395">
        <v>0.98190319999999998</v>
      </c>
      <c r="Y7395">
        <v>2.9708229999999999E-2</v>
      </c>
      <c r="Z7395">
        <v>-2.2176499999999998E-2</v>
      </c>
      <c r="AA7395">
        <v>0.9993126</v>
      </c>
      <c r="AB7395">
        <v>30</v>
      </c>
      <c r="AC7395">
        <v>0.64849999999998398</v>
      </c>
      <c r="AD7395">
        <v>-1.1093507182309901</v>
      </c>
      <c r="AE7395">
        <v>36.513373999999999</v>
      </c>
      <c r="AF7395">
        <v>1.0930177642505801</v>
      </c>
      <c r="AG7395">
        <v>-1.1093507182309901</v>
      </c>
      <c r="AH7395">
        <v>36.469088690753203</v>
      </c>
      <c r="AI7395">
        <v>91.741557601559094</v>
      </c>
      <c r="AJ7395">
        <v>88.2832978340696</v>
      </c>
      <c r="AK7395">
        <v>36.502325635266402</v>
      </c>
      <c r="AL7395">
        <v>80.506047906194297</v>
      </c>
      <c r="AM7395">
        <v>95.413926346024397</v>
      </c>
      <c r="AN7395">
        <v>1.00000002000208</v>
      </c>
    </row>
    <row r="7396" spans="1:40" x14ac:dyDescent="0.25">
      <c r="A7396" t="str">
        <f>"20190304155246400"</f>
        <v>20190304155246400</v>
      </c>
      <c r="B7396" t="str">
        <f>"1551685966394202"</f>
        <v>1551685966394202</v>
      </c>
      <c r="C7396" t="s">
        <v>40</v>
      </c>
      <c r="D7396">
        <v>4.8748909999999999</v>
      </c>
      <c r="E7396">
        <v>0.54462189999999999</v>
      </c>
      <c r="F7396" t="s">
        <v>41</v>
      </c>
      <c r="G7396">
        <v>-186.93010000000001</v>
      </c>
      <c r="H7396" s="1">
        <v>-4.5500499999999997E-6</v>
      </c>
      <c r="I7396">
        <v>38.969679999999997</v>
      </c>
      <c r="J7396">
        <v>-187.5487</v>
      </c>
      <c r="K7396">
        <v>1.1093299999999999</v>
      </c>
      <c r="L7396">
        <v>3.1274410000000001</v>
      </c>
      <c r="M7396">
        <v>-1.182535E-2</v>
      </c>
      <c r="N7396">
        <v>-7.9388140000000006E-3</v>
      </c>
      <c r="O7396">
        <v>0.99989859999999997</v>
      </c>
      <c r="P7396">
        <v>-0.1052414</v>
      </c>
      <c r="Q7396">
        <v>0.15655669999999999</v>
      </c>
      <c r="R7396">
        <v>0.98204590000000003</v>
      </c>
      <c r="S7396">
        <v>5.238342E-2</v>
      </c>
      <c r="T7396">
        <v>-9.4427700000000003E-2</v>
      </c>
      <c r="U7396">
        <v>3.075806</v>
      </c>
      <c r="V7396">
        <v>-9.3489799999999998E-2</v>
      </c>
      <c r="W7396">
        <v>0.16443179999999999</v>
      </c>
      <c r="X7396">
        <v>0.98194800000000004</v>
      </c>
      <c r="Y7396">
        <v>2.8842320000000001E-2</v>
      </c>
      <c r="Z7396">
        <v>-2.2737029999999998E-2</v>
      </c>
      <c r="AA7396">
        <v>0.99932529999999997</v>
      </c>
      <c r="AB7396">
        <v>31</v>
      </c>
      <c r="AC7396">
        <v>0.61859999999998605</v>
      </c>
      <c r="AD7396">
        <v>-1.10933455005</v>
      </c>
      <c r="AE7396">
        <v>35.842238999999999</v>
      </c>
      <c r="AF7396">
        <v>1.0414197933556899</v>
      </c>
      <c r="AG7396">
        <v>-1.10933455005</v>
      </c>
      <c r="AH7396">
        <v>35.798135314819497</v>
      </c>
      <c r="AI7396">
        <v>91.7741985829675</v>
      </c>
      <c r="AJ7396">
        <v>88.333652465050207</v>
      </c>
      <c r="AK7396">
        <v>35.830457300292103</v>
      </c>
      <c r="AL7396">
        <v>80.535771988724093</v>
      </c>
      <c r="AM7396">
        <v>95.438651808326398</v>
      </c>
      <c r="AN7396">
        <v>1.0000000171296399</v>
      </c>
    </row>
    <row r="7397" spans="1:40" x14ac:dyDescent="0.25">
      <c r="A7397" t="str">
        <f>"20190304155246423"</f>
        <v>20190304155246423</v>
      </c>
      <c r="B7397" t="str">
        <f>"1551685966414699"</f>
        <v>1551685966414699</v>
      </c>
      <c r="C7397" t="s">
        <v>40</v>
      </c>
      <c r="D7397">
        <v>4.8615159999999999</v>
      </c>
      <c r="E7397">
        <v>0.54436899999999999</v>
      </c>
      <c r="F7397" t="s">
        <v>41</v>
      </c>
      <c r="G7397">
        <v>-186.9622</v>
      </c>
      <c r="H7397" s="1">
        <v>-4.4901639999999997E-6</v>
      </c>
      <c r="I7397">
        <v>38.843350000000001</v>
      </c>
      <c r="J7397">
        <v>-187.55199999999999</v>
      </c>
      <c r="K7397">
        <v>1.1093029999999999</v>
      </c>
      <c r="L7397">
        <v>3.4469910000000001</v>
      </c>
      <c r="M7397">
        <v>-1.1374270000000001E-2</v>
      </c>
      <c r="N7397">
        <v>-7.9475399999999995E-3</v>
      </c>
      <c r="O7397">
        <v>0.99990369999999995</v>
      </c>
      <c r="P7397">
        <v>-0.1048356</v>
      </c>
      <c r="Q7397">
        <v>0.15633559999999999</v>
      </c>
      <c r="R7397">
        <v>0.98212460000000001</v>
      </c>
      <c r="S7397">
        <v>5.0506589999999997E-2</v>
      </c>
      <c r="T7397">
        <v>-9.5524910000000005E-2</v>
      </c>
      <c r="U7397">
        <v>3.0754999999999999</v>
      </c>
      <c r="V7397">
        <v>-9.3515529999999999E-2</v>
      </c>
      <c r="W7397">
        <v>0.16422579999999901</v>
      </c>
      <c r="X7397">
        <v>0.98197999999999996</v>
      </c>
      <c r="Y7397">
        <v>2.7783370000000002E-2</v>
      </c>
      <c r="Z7397">
        <v>-2.3088460000000002E-2</v>
      </c>
      <c r="AA7397">
        <v>0.99934730000000005</v>
      </c>
      <c r="AB7397">
        <v>31</v>
      </c>
      <c r="AC7397">
        <v>0.58980000000002497</v>
      </c>
      <c r="AD7397">
        <v>-1.1093074901639901</v>
      </c>
      <c r="AE7397">
        <v>35.396358999999997</v>
      </c>
      <c r="AF7397">
        <v>0.991408852757652</v>
      </c>
      <c r="AG7397">
        <v>-1.1093074901639901</v>
      </c>
      <c r="AH7397">
        <v>35.352647664477502</v>
      </c>
      <c r="AI7397">
        <v>91.796551062330394</v>
      </c>
      <c r="AJ7397">
        <v>88.393651873814093</v>
      </c>
      <c r="AK7397">
        <v>35.383939174571097</v>
      </c>
      <c r="AL7397">
        <v>80.547737363998195</v>
      </c>
      <c r="AM7397">
        <v>95.439963424663503</v>
      </c>
      <c r="AN7397">
        <v>0.99999999406841</v>
      </c>
    </row>
    <row r="7398" spans="1:40" x14ac:dyDescent="0.25">
      <c r="A7398" t="str">
        <f>"20190304155246444"</f>
        <v>20190304155246444</v>
      </c>
      <c r="B7398" t="str">
        <f>"1551685966434218"</f>
        <v>1551685966434218</v>
      </c>
      <c r="C7398" t="s">
        <v>40</v>
      </c>
      <c r="D7398">
        <v>4.8952349999999996</v>
      </c>
      <c r="E7398">
        <v>0.52614229999999995</v>
      </c>
      <c r="F7398" t="s">
        <v>41</v>
      </c>
      <c r="G7398">
        <v>-186.96709999999999</v>
      </c>
      <c r="H7398" s="1">
        <v>-4.6243290000000001E-6</v>
      </c>
      <c r="I7398">
        <v>39.15813</v>
      </c>
      <c r="J7398">
        <v>-187.55500000000001</v>
      </c>
      <c r="K7398">
        <v>1.109267</v>
      </c>
      <c r="L7398">
        <v>3.7485659999999998</v>
      </c>
      <c r="M7398">
        <v>-1.0899570000000001E-2</v>
      </c>
      <c r="N7398">
        <v>-7.9559309999999994E-3</v>
      </c>
      <c r="O7398">
        <v>0.99990889999999999</v>
      </c>
      <c r="P7398">
        <v>-0.1048637</v>
      </c>
      <c r="Q7398">
        <v>0.15663779999999999</v>
      </c>
      <c r="R7398">
        <v>0.98207339999999999</v>
      </c>
      <c r="S7398">
        <v>5.0369259999999999E-2</v>
      </c>
      <c r="T7398">
        <v>-9.5525860000000004E-2</v>
      </c>
      <c r="U7398">
        <v>3.0751949999999999</v>
      </c>
      <c r="V7398">
        <v>-9.3995999999999996E-2</v>
      </c>
      <c r="W7398">
        <v>0.1645442</v>
      </c>
      <c r="X7398">
        <v>0.9818808</v>
      </c>
      <c r="Y7398">
        <v>2.7265890000000001E-2</v>
      </c>
      <c r="Z7398">
        <v>-2.3083969999999999E-2</v>
      </c>
      <c r="AA7398">
        <v>0.99936159999999996</v>
      </c>
      <c r="AB7398">
        <v>31</v>
      </c>
      <c r="AC7398">
        <v>0.58790000000001896</v>
      </c>
      <c r="AD7398">
        <v>-1.109271624329</v>
      </c>
      <c r="AE7398">
        <v>35.409564000000003</v>
      </c>
      <c r="AF7398">
        <v>0.97287184199187504</v>
      </c>
      <c r="AG7398">
        <v>-1.109271624329</v>
      </c>
      <c r="AH7398">
        <v>35.366354340677297</v>
      </c>
      <c r="AI7398">
        <v>91.795823865719896</v>
      </c>
      <c r="AJ7398">
        <v>88.4242821208001</v>
      </c>
      <c r="AK7398">
        <v>35.397118279710703</v>
      </c>
      <c r="AL7398">
        <v>80.529242596423899</v>
      </c>
      <c r="AM7398">
        <v>95.468293320466799</v>
      </c>
      <c r="AN7398">
        <v>0.99999997358913895</v>
      </c>
    </row>
    <row r="7399" spans="1:40" x14ac:dyDescent="0.25">
      <c r="A7399" t="str">
        <f>"20190304155246468"</f>
        <v>20190304155246468</v>
      </c>
      <c r="B7399" t="str">
        <f>"1551685966464474"</f>
        <v>1551685966464474</v>
      </c>
      <c r="C7399" t="s">
        <v>40</v>
      </c>
      <c r="D7399">
        <v>4.9579170000000001</v>
      </c>
      <c r="E7399">
        <v>0.51884960000000002</v>
      </c>
      <c r="F7399" t="s">
        <v>41</v>
      </c>
      <c r="G7399">
        <v>-188.39099999999999</v>
      </c>
      <c r="H7399" s="1">
        <v>-9.3216489999999999E-7</v>
      </c>
      <c r="I7399">
        <v>31.12923</v>
      </c>
      <c r="J7399">
        <v>-187.55789999999999</v>
      </c>
      <c r="K7399">
        <v>1.1092229999999901</v>
      </c>
      <c r="L7399">
        <v>4.0616760000000003</v>
      </c>
      <c r="M7399">
        <v>-1.0347810000000001E-2</v>
      </c>
      <c r="N7399">
        <v>-7.9647399999999997E-3</v>
      </c>
      <c r="O7399">
        <v>0.99991479999999999</v>
      </c>
      <c r="P7399">
        <v>-0.1048887</v>
      </c>
      <c r="Q7399">
        <v>0.1568176</v>
      </c>
      <c r="R7399">
        <v>0.98204210000000003</v>
      </c>
      <c r="S7399">
        <v>-9.356689E-2</v>
      </c>
      <c r="T7399">
        <v>-0.1241546</v>
      </c>
      <c r="U7399">
        <v>3.064575</v>
      </c>
      <c r="V7399">
        <v>-9.4545299999999999E-2</v>
      </c>
      <c r="W7399">
        <v>0.16474369999999999</v>
      </c>
      <c r="X7399">
        <v>0.98179470000000002</v>
      </c>
      <c r="Y7399">
        <v>-2.0152570000000002E-2</v>
      </c>
      <c r="Z7399">
        <v>-3.2504600000000002E-2</v>
      </c>
      <c r="AA7399">
        <v>0.99926839999999995</v>
      </c>
      <c r="AB7399">
        <v>31</v>
      </c>
      <c r="AC7399">
        <v>-0.83310000000000095</v>
      </c>
      <c r="AD7399">
        <v>-1.10922393216489</v>
      </c>
      <c r="AE7399">
        <v>27.067553999999902</v>
      </c>
      <c r="AF7399">
        <v>-0.55203044629849796</v>
      </c>
      <c r="AG7399">
        <v>-1.10922393216489</v>
      </c>
      <c r="AH7399">
        <v>27.029377001297899</v>
      </c>
      <c r="AI7399">
        <v>92.349480004736805</v>
      </c>
      <c r="AJ7399">
        <v>91.170009142544103</v>
      </c>
      <c r="AK7399">
        <v>27.057759264647501</v>
      </c>
      <c r="AL7399">
        <v>80.517654829433397</v>
      </c>
      <c r="AM7399">
        <v>95.500533281911501</v>
      </c>
      <c r="AN7399">
        <v>1.00000006669493</v>
      </c>
    </row>
    <row r="7400" spans="1:40" x14ac:dyDescent="0.25">
      <c r="A7400" t="str">
        <f>"20190304155246488"</f>
        <v>20190304155246488</v>
      </c>
      <c r="B7400" t="str">
        <f>"1551685966483994"</f>
        <v>1551685966483994</v>
      </c>
      <c r="C7400" t="s">
        <v>40</v>
      </c>
      <c r="D7400">
        <v>4.9221519999999996</v>
      </c>
      <c r="E7400">
        <v>0.51847879999999902</v>
      </c>
      <c r="F7400" t="s">
        <v>41</v>
      </c>
      <c r="G7400">
        <v>-188.79640000000001</v>
      </c>
      <c r="H7400" s="1">
        <v>-4.30429899999999E-6</v>
      </c>
      <c r="I7400">
        <v>29.16854</v>
      </c>
      <c r="J7400">
        <v>-187.56030000000001</v>
      </c>
      <c r="K7400">
        <v>1.1091759999999999</v>
      </c>
      <c r="L7400">
        <v>4.3476869999999996</v>
      </c>
      <c r="M7400">
        <v>-9.7795179999999992E-3</v>
      </c>
      <c r="N7400">
        <v>-7.9728769999999997E-3</v>
      </c>
      <c r="O7400">
        <v>0.99992040000000004</v>
      </c>
      <c r="P7400">
        <v>-0.1047831</v>
      </c>
      <c r="Q7400">
        <v>0.15724070000000001</v>
      </c>
      <c r="R7400">
        <v>0.98198569999999996</v>
      </c>
      <c r="S7400">
        <v>-0.15097049999999901</v>
      </c>
      <c r="T7400">
        <v>-0.1352062</v>
      </c>
      <c r="U7400">
        <v>3.060333</v>
      </c>
      <c r="V7400">
        <v>-9.4978709999999994E-2</v>
      </c>
      <c r="W7400">
        <v>0.16518529999999901</v>
      </c>
      <c r="X7400">
        <v>0.98167859999999996</v>
      </c>
      <c r="Y7400">
        <v>-3.9460809999999999E-2</v>
      </c>
      <c r="Z7400">
        <v>-3.612547E-2</v>
      </c>
      <c r="AA7400">
        <v>0.99856789999999995</v>
      </c>
      <c r="AB7400">
        <v>31</v>
      </c>
      <c r="AC7400">
        <v>-1.23609999999999</v>
      </c>
      <c r="AD7400">
        <v>-1.1091803042989901</v>
      </c>
      <c r="AE7400">
        <v>24.820853</v>
      </c>
      <c r="AF7400">
        <v>-0.99132245196050295</v>
      </c>
      <c r="AG7400">
        <v>-1.1091803042989901</v>
      </c>
      <c r="AH7400">
        <v>24.782387648015899</v>
      </c>
      <c r="AI7400">
        <v>92.560620299402999</v>
      </c>
      <c r="AJ7400">
        <v>92.290672241165495</v>
      </c>
      <c r="AK7400">
        <v>24.826996167231702</v>
      </c>
      <c r="AL7400">
        <v>80.492000971525499</v>
      </c>
      <c r="AM7400">
        <v>95.526242307927504</v>
      </c>
      <c r="AN7400">
        <v>1.00000000619365</v>
      </c>
    </row>
    <row r="7401" spans="1:40" x14ac:dyDescent="0.25">
      <c r="A7401" t="str">
        <f>"20190304155246511"</f>
        <v>20190304155246511</v>
      </c>
      <c r="B7401" t="str">
        <f>"1551685966504491"</f>
        <v>1551685966504491</v>
      </c>
      <c r="C7401" t="s">
        <v>40</v>
      </c>
      <c r="D7401">
        <v>4.964734</v>
      </c>
      <c r="E7401">
        <v>0.51825690000000002</v>
      </c>
      <c r="F7401" t="s">
        <v>41</v>
      </c>
      <c r="G7401">
        <v>-188.7979</v>
      </c>
      <c r="H7401" s="1">
        <v>-4.259707E-6</v>
      </c>
      <c r="I7401">
        <v>29.065190000000001</v>
      </c>
      <c r="J7401">
        <v>-187.56270000000001</v>
      </c>
      <c r="K7401">
        <v>1.109116</v>
      </c>
      <c r="L7401">
        <v>4.6647949999999998</v>
      </c>
      <c r="M7401">
        <v>-9.0893680000000004E-3</v>
      </c>
      <c r="N7401">
        <v>-7.9819869999999994E-3</v>
      </c>
      <c r="O7401">
        <v>0.9999268</v>
      </c>
      <c r="P7401">
        <v>-0.10521469999999999</v>
      </c>
      <c r="Q7401">
        <v>0.15792200000000001</v>
      </c>
      <c r="R7401">
        <v>0.98183019999999999</v>
      </c>
      <c r="S7401">
        <v>-0.15324399999999999</v>
      </c>
      <c r="T7401">
        <v>-0.1373453</v>
      </c>
      <c r="U7401">
        <v>3.0606689999999999</v>
      </c>
      <c r="V7401">
        <v>-9.6069080000000001E-2</v>
      </c>
      <c r="W7401">
        <v>0.1658869</v>
      </c>
      <c r="X7401">
        <v>0.9814541</v>
      </c>
      <c r="Y7401">
        <v>-4.0883299999999997E-2</v>
      </c>
      <c r="Z7401">
        <v>-3.6806079999999998E-2</v>
      </c>
      <c r="AA7401">
        <v>0.99848579999999998</v>
      </c>
      <c r="AB7401">
        <v>31</v>
      </c>
      <c r="AC7401">
        <v>-1.2351999999999901</v>
      </c>
      <c r="AD7401">
        <v>-1.109120259707</v>
      </c>
      <c r="AE7401">
        <v>24.400395</v>
      </c>
      <c r="AF7401">
        <v>-1.01127361885633</v>
      </c>
      <c r="AG7401">
        <v>-1.109120259707</v>
      </c>
      <c r="AH7401">
        <v>24.3604107122028</v>
      </c>
      <c r="AI7401">
        <v>92.604614569023695</v>
      </c>
      <c r="AJ7401">
        <v>92.377154521126798</v>
      </c>
      <c r="AK7401">
        <v>24.4066063218526</v>
      </c>
      <c r="AL7401">
        <v>80.451239273559295</v>
      </c>
      <c r="AM7401">
        <v>95.590555348846607</v>
      </c>
      <c r="AN7401">
        <v>0.99999994106523105</v>
      </c>
    </row>
    <row r="7402" spans="1:40" x14ac:dyDescent="0.25">
      <c r="A7402" t="str">
        <f>"20190304155246532"</f>
        <v>20190304155246532</v>
      </c>
      <c r="B7402" t="str">
        <f>"1551685966524011"</f>
        <v>1551685966524011</v>
      </c>
      <c r="C7402" t="s">
        <v>40</v>
      </c>
      <c r="D7402">
        <v>4.8926100000000003</v>
      </c>
      <c r="E7402">
        <v>0.51756159999999996</v>
      </c>
      <c r="F7402" t="s">
        <v>41</v>
      </c>
      <c r="G7402">
        <v>-188.83590000000001</v>
      </c>
      <c r="H7402" s="1">
        <v>-4.4825389999999999E-6</v>
      </c>
      <c r="I7402">
        <v>29.600349999999999</v>
      </c>
      <c r="J7402">
        <v>-187.56469999999999</v>
      </c>
      <c r="K7402">
        <v>1.10907</v>
      </c>
      <c r="L7402">
        <v>4.9640199999999997</v>
      </c>
      <c r="M7402">
        <v>-8.3788059999999904E-3</v>
      </c>
      <c r="N7402">
        <v>-7.9906119999999994E-3</v>
      </c>
      <c r="O7402">
        <v>0.99993290000000001</v>
      </c>
      <c r="P7402">
        <v>-0.104702</v>
      </c>
      <c r="Q7402">
        <v>0.15859679999999901</v>
      </c>
      <c r="R7402">
        <v>0.98177619999999999</v>
      </c>
      <c r="S7402">
        <v>-0.15628049999999999</v>
      </c>
      <c r="T7402">
        <v>-0.13613699999999901</v>
      </c>
      <c r="U7402">
        <v>3.0606689999999999</v>
      </c>
      <c r="V7402">
        <v>-9.6234550000000002E-2</v>
      </c>
      <c r="W7402">
        <v>0.1665809</v>
      </c>
      <c r="X7402">
        <v>0.98132039999999998</v>
      </c>
      <c r="Y7402">
        <v>-4.2581800000000003E-2</v>
      </c>
      <c r="Z7402">
        <v>-3.640177E-2</v>
      </c>
      <c r="AA7402">
        <v>0.99842960000000003</v>
      </c>
      <c r="AB7402">
        <v>31</v>
      </c>
      <c r="AC7402">
        <v>-1.2712000000000201</v>
      </c>
      <c r="AD7402">
        <v>-1.109074482539</v>
      </c>
      <c r="AE7402">
        <v>24.636329999999901</v>
      </c>
      <c r="AF7402">
        <v>-1.0625780305930701</v>
      </c>
      <c r="AG7402">
        <v>-1.109074482539</v>
      </c>
      <c r="AH7402">
        <v>24.596401756611701</v>
      </c>
      <c r="AI7402">
        <v>92.579368297521896</v>
      </c>
      <c r="AJ7402">
        <v>92.473670968295593</v>
      </c>
      <c r="AK7402">
        <v>24.644311669258901</v>
      </c>
      <c r="AL7402">
        <v>80.410915570706294</v>
      </c>
      <c r="AM7402">
        <v>95.600881537548204</v>
      </c>
      <c r="AN7402">
        <v>1.00000000615733</v>
      </c>
    </row>
    <row r="7403" spans="1:40" x14ac:dyDescent="0.25">
      <c r="A7403" t="str">
        <f>"20190304155246557"</f>
        <v>20190304155246557</v>
      </c>
      <c r="B7403" t="str">
        <f>"1551685966554266"</f>
        <v>1551685966554266</v>
      </c>
      <c r="C7403" t="s">
        <v>40</v>
      </c>
      <c r="D7403">
        <v>4.9079319999999997</v>
      </c>
      <c r="E7403">
        <v>0.51679520000000001</v>
      </c>
      <c r="F7403" t="s">
        <v>41</v>
      </c>
      <c r="G7403">
        <v>-188.86519999999999</v>
      </c>
      <c r="H7403" s="1">
        <v>-4.4660159999999997E-6</v>
      </c>
      <c r="I7403">
        <v>29.57396</v>
      </c>
      <c r="J7403">
        <v>-187.5667</v>
      </c>
      <c r="K7403">
        <v>1.1090249999999999</v>
      </c>
      <c r="L7403">
        <v>5.3004150000000001</v>
      </c>
      <c r="M7403">
        <v>-7.5036529999999999E-3</v>
      </c>
      <c r="N7403">
        <v>-8.0003780000000007E-3</v>
      </c>
      <c r="O7403">
        <v>0.99993989999999999</v>
      </c>
      <c r="P7403">
        <v>-0.1033893</v>
      </c>
      <c r="Q7403">
        <v>0.16000590000000001</v>
      </c>
      <c r="R7403">
        <v>0.98168670000000002</v>
      </c>
      <c r="S7403">
        <v>-0.1617432</v>
      </c>
      <c r="T7403">
        <v>-0.13793529999999901</v>
      </c>
      <c r="U7403">
        <v>3.06073</v>
      </c>
      <c r="V7403">
        <v>-9.5758040000000003E-2</v>
      </c>
      <c r="W7403">
        <v>0.1680101</v>
      </c>
      <c r="X7403">
        <v>0.98112330000000003</v>
      </c>
      <c r="Y7403">
        <v>-4.523042E-2</v>
      </c>
      <c r="Z7403">
        <v>-3.6972079999999997E-2</v>
      </c>
      <c r="AA7403">
        <v>0.99829219999999996</v>
      </c>
      <c r="AB7403">
        <v>31</v>
      </c>
      <c r="AC7403">
        <v>-1.29849999999999</v>
      </c>
      <c r="AD7403">
        <v>-1.1090294660159901</v>
      </c>
      <c r="AE7403">
        <v>24.273544999999899</v>
      </c>
      <c r="AF7403">
        <v>-1.1139985632331499</v>
      </c>
      <c r="AG7403">
        <v>-1.1090294660159901</v>
      </c>
      <c r="AH7403">
        <v>24.232165870708599</v>
      </c>
      <c r="AI7403">
        <v>92.6176569753232</v>
      </c>
      <c r="AJ7403">
        <v>92.632142282346194</v>
      </c>
      <c r="AK7403">
        <v>24.283097041788299</v>
      </c>
      <c r="AL7403">
        <v>80.327857463938201</v>
      </c>
      <c r="AM7403">
        <v>95.574436128488898</v>
      </c>
      <c r="AN7403">
        <v>0.99999996286477</v>
      </c>
    </row>
    <row r="7404" spans="1:40" x14ac:dyDescent="0.25">
      <c r="A7404" t="str">
        <f>"20190304155246579"</f>
        <v>20190304155246579</v>
      </c>
      <c r="B7404" t="str">
        <f>"1551685966573786"</f>
        <v>1551685966573786</v>
      </c>
      <c r="C7404" t="s">
        <v>40</v>
      </c>
      <c r="D7404">
        <v>4.9049339999999999</v>
      </c>
      <c r="E7404">
        <v>0.5164301</v>
      </c>
      <c r="F7404" t="s">
        <v>41</v>
      </c>
      <c r="G7404">
        <v>-188.9273</v>
      </c>
      <c r="H7404" s="1">
        <v>-5.7519580000000003E-7</v>
      </c>
      <c r="I7404">
        <v>30.499600000000001</v>
      </c>
      <c r="J7404">
        <v>-187.56809999999999</v>
      </c>
      <c r="K7404">
        <v>1.108976</v>
      </c>
      <c r="L7404">
        <v>5.614471</v>
      </c>
      <c r="M7404">
        <v>-6.6167429999999996E-3</v>
      </c>
      <c r="N7404">
        <v>-8.0096639999999997E-3</v>
      </c>
      <c r="O7404">
        <v>0.99994609999999995</v>
      </c>
      <c r="P7404">
        <v>-0.10154009999999999</v>
      </c>
      <c r="Q7404">
        <v>0.1615974</v>
      </c>
      <c r="R7404">
        <v>0.98161900000000002</v>
      </c>
      <c r="S7404">
        <v>-0.1652527</v>
      </c>
      <c r="T7404">
        <v>-0.13469449999999999</v>
      </c>
      <c r="U7404">
        <v>3.0605159999999998</v>
      </c>
      <c r="V7404">
        <v>-9.4756010000000002E-2</v>
      </c>
      <c r="W7404">
        <v>0.1696203</v>
      </c>
      <c r="X7404">
        <v>0.98094360000000003</v>
      </c>
      <c r="Y7404">
        <v>-4.7263380000000001E-2</v>
      </c>
      <c r="Z7404">
        <v>-3.5907979999999999E-2</v>
      </c>
      <c r="AA7404">
        <v>0.99823680000000004</v>
      </c>
      <c r="AB7404">
        <v>31</v>
      </c>
      <c r="AC7404">
        <v>-1.35920000000001</v>
      </c>
      <c r="AD7404">
        <v>-1.1089765751958001</v>
      </c>
      <c r="AE7404">
        <v>24.885128999999999</v>
      </c>
      <c r="AF7404">
        <v>-1.19214598810758</v>
      </c>
      <c r="AG7404">
        <v>-1.1089765751958001</v>
      </c>
      <c r="AH7404">
        <v>24.844385399710902</v>
      </c>
      <c r="AI7404">
        <v>92.552876529226097</v>
      </c>
      <c r="AJ7404">
        <v>92.747203463628395</v>
      </c>
      <c r="AK7404">
        <v>24.897681156900202</v>
      </c>
      <c r="AL7404">
        <v>80.234257225977402</v>
      </c>
      <c r="AM7404">
        <v>95.517470224512905</v>
      </c>
      <c r="AN7404">
        <v>1.00000004699208</v>
      </c>
    </row>
    <row r="7405" spans="1:40" x14ac:dyDescent="0.25">
      <c r="A7405" t="str">
        <f>"20190304155246603"</f>
        <v>20190304155246603</v>
      </c>
      <c r="B7405" t="str">
        <f>"1551685966594282"</f>
        <v>1551685966594282</v>
      </c>
      <c r="C7405" t="s">
        <v>40</v>
      </c>
      <c r="D7405">
        <v>4.9223249999999998</v>
      </c>
      <c r="E7405">
        <v>0.51606989999999997</v>
      </c>
      <c r="F7405" t="s">
        <v>41</v>
      </c>
      <c r="G7405">
        <v>-188.9546</v>
      </c>
      <c r="H7405" s="1">
        <v>-1.009261E-6</v>
      </c>
      <c r="I7405">
        <v>31.553129999999999</v>
      </c>
      <c r="J7405">
        <v>-187.5694</v>
      </c>
      <c r="K7405">
        <v>1.1089260000000001</v>
      </c>
      <c r="L7405">
        <v>5.9463200000000001</v>
      </c>
      <c r="M7405">
        <v>-5.6119100000000003E-3</v>
      </c>
      <c r="N7405">
        <v>-8.0195849999999992E-3</v>
      </c>
      <c r="O7405">
        <v>0.99995210000000001</v>
      </c>
      <c r="P7405">
        <v>-9.9192000000000002E-2</v>
      </c>
      <c r="Q7405">
        <v>0.1623618</v>
      </c>
      <c r="R7405">
        <v>0.98173299999999997</v>
      </c>
      <c r="S7405">
        <v>-0.16360469999999999</v>
      </c>
      <c r="T7405">
        <v>-0.13086059999999999</v>
      </c>
      <c r="U7405">
        <v>3.060791</v>
      </c>
      <c r="V7405">
        <v>-9.3368370000000006E-2</v>
      </c>
      <c r="W7405">
        <v>0.17040539999999901</v>
      </c>
      <c r="X7405">
        <v>0.98094049999999999</v>
      </c>
      <c r="Y7405">
        <v>-4.7728920000000001E-2</v>
      </c>
      <c r="Z7405">
        <v>-3.4646650000000001E-2</v>
      </c>
      <c r="AA7405">
        <v>0.99825920000000001</v>
      </c>
      <c r="AB7405">
        <v>31</v>
      </c>
      <c r="AC7405">
        <v>-1.38519999999999</v>
      </c>
      <c r="AD7405">
        <v>-1.108927009261</v>
      </c>
      <c r="AE7405">
        <v>25.606809999999999</v>
      </c>
      <c r="AF7405">
        <v>-1.2391533191016499</v>
      </c>
      <c r="AG7405">
        <v>-1.108927009261</v>
      </c>
      <c r="AH7405">
        <v>25.566373218747898</v>
      </c>
      <c r="AI7405">
        <v>92.480706940696194</v>
      </c>
      <c r="AJ7405">
        <v>92.7748456010398</v>
      </c>
      <c r="AK7405">
        <v>25.6203953837645</v>
      </c>
      <c r="AL7405">
        <v>80.188608892803501</v>
      </c>
      <c r="AM7405">
        <v>95.437175324210898</v>
      </c>
      <c r="AN7405">
        <v>0.99999995870293201</v>
      </c>
    </row>
    <row r="7406" spans="1:40" x14ac:dyDescent="0.25">
      <c r="A7406" t="str">
        <f>"20190304155246623"</f>
        <v>20190304155246623</v>
      </c>
      <c r="B7406" t="str">
        <f>"1551685966613803"</f>
        <v>1551685966613803</v>
      </c>
      <c r="C7406" t="s">
        <v>40</v>
      </c>
      <c r="D7406">
        <v>4.9438079999999998</v>
      </c>
      <c r="E7406">
        <v>0.51585209999999904</v>
      </c>
      <c r="F7406" t="s">
        <v>41</v>
      </c>
      <c r="G7406">
        <v>-188.947</v>
      </c>
      <c r="H7406" s="1">
        <v>-1.2978080000000001E-6</v>
      </c>
      <c r="I7406">
        <v>32.222580000000001</v>
      </c>
      <c r="J7406">
        <v>-187.5701</v>
      </c>
      <c r="K7406">
        <v>1.1088739999999999</v>
      </c>
      <c r="L7406">
        <v>6.2350159999999999</v>
      </c>
      <c r="M7406">
        <v>-4.6841189999999996E-3</v>
      </c>
      <c r="N7406">
        <v>-8.0282189999999996E-3</v>
      </c>
      <c r="O7406">
        <v>0.99995679999999998</v>
      </c>
      <c r="P7406">
        <v>-9.6277650000000006E-2</v>
      </c>
      <c r="Q7406">
        <v>0.1629052</v>
      </c>
      <c r="R7406">
        <v>0.9819331</v>
      </c>
      <c r="S7406">
        <v>-0.1604767</v>
      </c>
      <c r="T7406">
        <v>-0.12918109999999999</v>
      </c>
      <c r="U7406">
        <v>3.0609739999999999</v>
      </c>
      <c r="V7406">
        <v>-9.134225E-2</v>
      </c>
      <c r="W7406">
        <v>0.17096549999999999</v>
      </c>
      <c r="X7406">
        <v>0.98103390000000001</v>
      </c>
      <c r="Y7406">
        <v>-4.7636329999999998E-2</v>
      </c>
      <c r="Z7406">
        <v>-3.4090139999999998E-2</v>
      </c>
      <c r="AA7406">
        <v>0.99828280000000003</v>
      </c>
      <c r="AB7406">
        <v>31</v>
      </c>
      <c r="AC7406">
        <v>-1.3769</v>
      </c>
      <c r="AD7406">
        <v>-1.1088752978080001</v>
      </c>
      <c r="AE7406">
        <v>25.987563999999999</v>
      </c>
      <c r="AF7406">
        <v>-1.2528774213191001</v>
      </c>
      <c r="AG7406">
        <v>-1.1088752978080001</v>
      </c>
      <c r="AH7406">
        <v>25.946620334077299</v>
      </c>
      <c r="AI7406">
        <v>92.444304183775799</v>
      </c>
      <c r="AJ7406">
        <v>92.764478545081303</v>
      </c>
      <c r="AK7406">
        <v>26.000507937724901</v>
      </c>
      <c r="AL7406">
        <v>80.156040604776905</v>
      </c>
      <c r="AM7406">
        <v>95.319367893587696</v>
      </c>
      <c r="AN7406">
        <v>1.0000000608872499</v>
      </c>
    </row>
    <row r="7407" spans="1:40" x14ac:dyDescent="0.25">
      <c r="A7407" t="str">
        <f>"20190304155246645"</f>
        <v>20190304155246645</v>
      </c>
      <c r="B7407" t="str">
        <f>"1551685966634298"</f>
        <v>1551685966634298</v>
      </c>
      <c r="C7407" t="s">
        <v>40</v>
      </c>
      <c r="D7407">
        <v>5.0972289999999996</v>
      </c>
      <c r="E7407">
        <v>0.51572039999999997</v>
      </c>
      <c r="F7407" t="s">
        <v>41</v>
      </c>
      <c r="G7407">
        <v>-188.89840000000001</v>
      </c>
      <c r="H7407" s="1">
        <v>-1.4504130000000001E-6</v>
      </c>
      <c r="I7407">
        <v>32.558209999999903</v>
      </c>
      <c r="J7407">
        <v>-187.57050000000001</v>
      </c>
      <c r="K7407">
        <v>1.1088229999999999</v>
      </c>
      <c r="L7407">
        <v>6.538818</v>
      </c>
      <c r="M7407">
        <v>-3.660553E-3</v>
      </c>
      <c r="N7407">
        <v>-8.0372129999999996E-3</v>
      </c>
      <c r="O7407">
        <v>0.99996099999999999</v>
      </c>
      <c r="P7407">
        <v>-9.3321000000000001E-2</v>
      </c>
      <c r="Q7407">
        <v>0.16320960000000001</v>
      </c>
      <c r="R7407">
        <v>0.98216789999999998</v>
      </c>
      <c r="S7407">
        <v>-0.15448000000000001</v>
      </c>
      <c r="T7407">
        <v>-0.1289641</v>
      </c>
      <c r="U7407">
        <v>3.0614319999999999</v>
      </c>
      <c r="V7407">
        <v>-8.9369480000000001E-2</v>
      </c>
      <c r="W7407">
        <v>0.17128689999999999</v>
      </c>
      <c r="X7407">
        <v>0.98115940000000001</v>
      </c>
      <c r="Y7407">
        <v>-4.6701020000000003E-2</v>
      </c>
      <c r="Z7407">
        <v>-3.4007299999999997E-2</v>
      </c>
      <c r="AA7407">
        <v>0.99832989999999999</v>
      </c>
      <c r="AB7407">
        <v>31</v>
      </c>
      <c r="AC7407">
        <v>-1.3278999999999901</v>
      </c>
      <c r="AD7407">
        <v>-1.10882445041299</v>
      </c>
      <c r="AE7407">
        <v>26.019392</v>
      </c>
      <c r="AF7407">
        <v>-1.2304139563005301</v>
      </c>
      <c r="AG7407">
        <v>-1.10882445041299</v>
      </c>
      <c r="AH7407">
        <v>25.977025265422</v>
      </c>
      <c r="AI7407">
        <v>92.441442076429695</v>
      </c>
      <c r="AJ7407">
        <v>92.711814642939999</v>
      </c>
      <c r="AK7407">
        <v>26.0297762534769</v>
      </c>
      <c r="AL7407">
        <v>80.137348807285804</v>
      </c>
      <c r="AM7407">
        <v>95.204458346344097</v>
      </c>
      <c r="AN7407">
        <v>0.99999993713771795</v>
      </c>
    </row>
    <row r="7408" spans="1:40" x14ac:dyDescent="0.25">
      <c r="A7408" t="str">
        <f>"20190304155246666"</f>
        <v>20190304155246666</v>
      </c>
      <c r="B7408" t="str">
        <f>"1551685966664555"</f>
        <v>1551685966664555</v>
      </c>
      <c r="C7408" t="s">
        <v>40</v>
      </c>
      <c r="D7408">
        <v>4.9833809999999996</v>
      </c>
      <c r="E7408">
        <v>0.5102508</v>
      </c>
      <c r="F7408" t="s">
        <v>41</v>
      </c>
      <c r="G7408">
        <v>-188.82550000000001</v>
      </c>
      <c r="H7408" s="1">
        <v>-1.500559E-6</v>
      </c>
      <c r="I7408">
        <v>32.644979999999997</v>
      </c>
      <c r="J7408">
        <v>-187.57060000000001</v>
      </c>
      <c r="K7408">
        <v>1.108778</v>
      </c>
      <c r="L7408">
        <v>6.8444520000000004</v>
      </c>
      <c r="M7408">
        <v>-2.5879499999999999E-3</v>
      </c>
      <c r="N7408">
        <v>-8.046213E-3</v>
      </c>
      <c r="O7408">
        <v>0.99996430000000003</v>
      </c>
      <c r="P7408">
        <v>-9.0588000000000002E-2</v>
      </c>
      <c r="Q7408">
        <v>0.16373509999999999</v>
      </c>
      <c r="R7408">
        <v>0.98233630000000005</v>
      </c>
      <c r="S7408">
        <v>-0.14720150000000001</v>
      </c>
      <c r="T7408">
        <v>-0.1300588</v>
      </c>
      <c r="U7408">
        <v>3.062103</v>
      </c>
      <c r="V7408">
        <v>-8.7671079999999998E-2</v>
      </c>
      <c r="W7408">
        <v>0.17182709999999901</v>
      </c>
      <c r="X7408">
        <v>0.98121820000000004</v>
      </c>
      <c r="Y7408">
        <v>-4.5393820000000001E-2</v>
      </c>
      <c r="Z7408">
        <v>-3.4349049999999999E-2</v>
      </c>
      <c r="AA7408">
        <v>0.99837849999999995</v>
      </c>
      <c r="AB7408">
        <v>31</v>
      </c>
      <c r="AC7408">
        <v>-1.2548999999999899</v>
      </c>
      <c r="AD7408">
        <v>-1.108779500559</v>
      </c>
      <c r="AE7408">
        <v>25.800528</v>
      </c>
      <c r="AF7408">
        <v>-1.18593807243493</v>
      </c>
      <c r="AG7408">
        <v>-1.108779500559</v>
      </c>
      <c r="AH7408">
        <v>25.756233513769899</v>
      </c>
      <c r="AI7408">
        <v>92.462397028702298</v>
      </c>
      <c r="AJ7408">
        <v>92.636305002044693</v>
      </c>
      <c r="AK7408">
        <v>25.807351780226401</v>
      </c>
      <c r="AL7408">
        <v>80.105932104324594</v>
      </c>
      <c r="AM7408">
        <v>95.105775016599296</v>
      </c>
      <c r="AN7408">
        <v>0.99999996328700702</v>
      </c>
    </row>
    <row r="7409" spans="1:40" x14ac:dyDescent="0.25">
      <c r="A7409" t="str">
        <f>"20190304155246689"</f>
        <v>20190304155246689</v>
      </c>
      <c r="B7409" t="str">
        <f>"1551685966684075"</f>
        <v>1551685966684075</v>
      </c>
      <c r="C7409" t="s">
        <v>40</v>
      </c>
      <c r="D7409">
        <v>4.9444160000000004</v>
      </c>
      <c r="E7409">
        <v>0.51055969999999995</v>
      </c>
      <c r="F7409" t="s">
        <v>41</v>
      </c>
      <c r="G7409">
        <v>-188.97059999999999</v>
      </c>
      <c r="H7409" s="1">
        <v>-5.0304490000000002E-7</v>
      </c>
      <c r="I7409">
        <v>30.321390000000001</v>
      </c>
      <c r="J7409">
        <v>-187.5703</v>
      </c>
      <c r="K7409">
        <v>1.1087400000000001</v>
      </c>
      <c r="L7409">
        <v>7.1622919999999999</v>
      </c>
      <c r="M7409">
        <v>-1.4334560000000001E-3</v>
      </c>
      <c r="N7409">
        <v>-8.055464E-3</v>
      </c>
      <c r="O7409">
        <v>0.99996649999999998</v>
      </c>
      <c r="P7409">
        <v>-8.8319880000000003E-2</v>
      </c>
      <c r="Q7409">
        <v>0.164022</v>
      </c>
      <c r="R7409">
        <v>0.98249500000000001</v>
      </c>
      <c r="S7409">
        <v>-0.18254090000000001</v>
      </c>
      <c r="T7409">
        <v>-0.1445765</v>
      </c>
      <c r="U7409">
        <v>3.0612180000000002</v>
      </c>
      <c r="V7409">
        <v>-8.6520079999999999E-2</v>
      </c>
      <c r="W7409">
        <v>0.17212910000000001</v>
      </c>
      <c r="X7409">
        <v>0.98126749999999996</v>
      </c>
      <c r="Y7409">
        <v>-5.8035110000000001E-2</v>
      </c>
      <c r="Z7409">
        <v>-3.9046610000000002E-2</v>
      </c>
      <c r="AA7409">
        <v>0.99755070000000001</v>
      </c>
      <c r="AB7409">
        <v>31</v>
      </c>
      <c r="AC7409">
        <v>-1.4002999999999799</v>
      </c>
      <c r="AD7409">
        <v>-1.10874050304489</v>
      </c>
      <c r="AE7409">
        <v>23.159098</v>
      </c>
      <c r="AF7409">
        <v>-1.3639850553717301</v>
      </c>
      <c r="AG7409">
        <v>-1.10874050304489</v>
      </c>
      <c r="AH7409">
        <v>23.108309985963601</v>
      </c>
      <c r="AI7409">
        <v>92.742188785711505</v>
      </c>
      <c r="AJ7409">
        <v>93.378006285580298</v>
      </c>
      <c r="AK7409">
        <v>23.175067446325901</v>
      </c>
      <c r="AL7409">
        <v>80.088367730021801</v>
      </c>
      <c r="AM7409">
        <v>95.038838789103494</v>
      </c>
      <c r="AN7409">
        <v>1.0000000289331299</v>
      </c>
    </row>
    <row r="7410" spans="1:40" x14ac:dyDescent="0.25">
      <c r="A7410" t="str">
        <f>"20190304155246711"</f>
        <v>20190304155246711</v>
      </c>
      <c r="B7410" t="str">
        <f>"1551685966704571"</f>
        <v>1551685966704571</v>
      </c>
      <c r="C7410" t="s">
        <v>40</v>
      </c>
      <c r="D7410">
        <v>4.9513109999999996</v>
      </c>
      <c r="E7410">
        <v>0.51021269999999996</v>
      </c>
      <c r="F7410" t="s">
        <v>41</v>
      </c>
      <c r="G7410">
        <v>-188.91759999999999</v>
      </c>
      <c r="H7410" s="1">
        <v>-7.6425540000000003E-7</v>
      </c>
      <c r="I7410">
        <v>30.96669</v>
      </c>
      <c r="J7410">
        <v>-187.56960000000001</v>
      </c>
      <c r="K7410">
        <v>1.108706</v>
      </c>
      <c r="L7410">
        <v>7.4694820000000002</v>
      </c>
      <c r="M7410">
        <v>-2.9067230000000001E-4</v>
      </c>
      <c r="N7410">
        <v>-8.0642999999999999E-3</v>
      </c>
      <c r="O7410">
        <v>0.99996750000000001</v>
      </c>
      <c r="P7410">
        <v>-8.6162299999999997E-2</v>
      </c>
      <c r="Q7410">
        <v>0.16462260000000001</v>
      </c>
      <c r="R7410">
        <v>0.98258610000000002</v>
      </c>
      <c r="S7410">
        <v>-0.17327879999999901</v>
      </c>
      <c r="T7410">
        <v>-0.14260410000000001</v>
      </c>
      <c r="U7410">
        <v>3.0616759999999998</v>
      </c>
      <c r="V7410">
        <v>-8.5471989999999998E-2</v>
      </c>
      <c r="W7410">
        <v>0.17274200000000001</v>
      </c>
      <c r="X7410">
        <v>0.9812516</v>
      </c>
      <c r="Y7410">
        <v>-5.61614E-2</v>
      </c>
      <c r="Z7410">
        <v>-3.8395869999999999E-2</v>
      </c>
      <c r="AA7410">
        <v>0.99768319999999999</v>
      </c>
      <c r="AB7410">
        <v>32</v>
      </c>
      <c r="AC7410">
        <v>-1.3479999999999801</v>
      </c>
      <c r="AD7410">
        <v>-1.1087067642553901</v>
      </c>
      <c r="AE7410">
        <v>23.497207999999901</v>
      </c>
      <c r="AF7410">
        <v>-1.33820015428937</v>
      </c>
      <c r="AG7410">
        <v>-1.1087067642553901</v>
      </c>
      <c r="AH7410">
        <v>23.445571136566301</v>
      </c>
      <c r="AI7410">
        <v>92.703023897313798</v>
      </c>
      <c r="AJ7410">
        <v>93.266720253892402</v>
      </c>
      <c r="AK7410">
        <v>23.509887627588501</v>
      </c>
      <c r="AL7410">
        <v>80.052716648856006</v>
      </c>
      <c r="AM7410">
        <v>94.978187974561394</v>
      </c>
      <c r="AN7410">
        <v>0.99999998107055899</v>
      </c>
    </row>
    <row r="7411" spans="1:40" x14ac:dyDescent="0.25">
      <c r="A7411" t="str">
        <f>"20190304155246734"</f>
        <v>20190304155246734</v>
      </c>
      <c r="B7411" t="str">
        <f>"1551685966724106"</f>
        <v>1551685966724106</v>
      </c>
      <c r="C7411" t="s">
        <v>40</v>
      </c>
      <c r="D7411">
        <v>5.1728239999999897</v>
      </c>
      <c r="E7411">
        <v>0.510067099999999</v>
      </c>
      <c r="F7411" t="s">
        <v>41</v>
      </c>
      <c r="G7411">
        <v>-188.89</v>
      </c>
      <c r="H7411" s="1">
        <v>-9.3554350000000002E-7</v>
      </c>
      <c r="I7411">
        <v>31.354600000000001</v>
      </c>
      <c r="J7411">
        <v>-187.5685</v>
      </c>
      <c r="K7411">
        <v>1.108676</v>
      </c>
      <c r="L7411">
        <v>7.8003539999999996</v>
      </c>
      <c r="M7411">
        <v>9.5893689999999995E-4</v>
      </c>
      <c r="N7411">
        <v>-8.0737480000000004E-3</v>
      </c>
      <c r="O7411">
        <v>0.99996689999999999</v>
      </c>
      <c r="P7411">
        <v>-8.4565329999999994E-2</v>
      </c>
      <c r="Q7411">
        <v>0.16527039999999901</v>
      </c>
      <c r="R7411">
        <v>0.98261609999999999</v>
      </c>
      <c r="S7411">
        <v>-0.16928099999999999</v>
      </c>
      <c r="T7411">
        <v>-0.14213909999999999</v>
      </c>
      <c r="U7411">
        <v>3.0621339999999999</v>
      </c>
      <c r="V7411">
        <v>-8.5090429999999995E-2</v>
      </c>
      <c r="W7411">
        <v>0.17340329999999901</v>
      </c>
      <c r="X7411">
        <v>0.98116820000000005</v>
      </c>
      <c r="Y7411">
        <v>-5.6102569999999997E-2</v>
      </c>
      <c r="Z7411">
        <v>-3.8229770000000003E-2</v>
      </c>
      <c r="AA7411">
        <v>0.99769280000000005</v>
      </c>
      <c r="AB7411">
        <v>32</v>
      </c>
      <c r="AC7411">
        <v>-1.3214999999999799</v>
      </c>
      <c r="AD7411">
        <v>-1.1086769355435</v>
      </c>
      <c r="AE7411">
        <v>23.554245999999999</v>
      </c>
      <c r="AF7411">
        <v>-1.3411252266524201</v>
      </c>
      <c r="AG7411">
        <v>-1.1086769355435</v>
      </c>
      <c r="AH7411">
        <v>23.5010646779829</v>
      </c>
      <c r="AI7411">
        <v>92.696579760458206</v>
      </c>
      <c r="AJ7411">
        <v>93.266131379068597</v>
      </c>
      <c r="AK7411">
        <v>23.565394595034999</v>
      </c>
      <c r="AL7411">
        <v>80.0142472045506</v>
      </c>
      <c r="AM7411">
        <v>94.956494689606799</v>
      </c>
      <c r="AN7411">
        <v>1.0000000612098501</v>
      </c>
    </row>
    <row r="7412" spans="1:40" x14ac:dyDescent="0.25">
      <c r="A7412" t="str">
        <f>"20190304155246758"</f>
        <v>20190304155246758</v>
      </c>
      <c r="B7412" t="str">
        <f>"1551685966754347"</f>
        <v>1551685966754347</v>
      </c>
      <c r="C7412" t="s">
        <v>40</v>
      </c>
      <c r="D7412">
        <v>4.8235440000000001</v>
      </c>
      <c r="E7412">
        <v>0.54578990000000005</v>
      </c>
      <c r="F7412" t="s">
        <v>41</v>
      </c>
      <c r="G7412">
        <v>-188.87100000000001</v>
      </c>
      <c r="H7412" s="1">
        <v>-1.190411E-6</v>
      </c>
      <c r="I7412">
        <v>31.940819999999999</v>
      </c>
      <c r="J7412">
        <v>-187.56700000000001</v>
      </c>
      <c r="K7412">
        <v>1.108657</v>
      </c>
      <c r="L7412">
        <v>8.1258850000000002</v>
      </c>
      <c r="M7412">
        <v>2.1984690000000002E-3</v>
      </c>
      <c r="N7412">
        <v>-8.0829430000000004E-3</v>
      </c>
      <c r="O7412">
        <v>0.99996490000000005</v>
      </c>
      <c r="P7412">
        <v>-8.3763160000000003E-2</v>
      </c>
      <c r="Q7412">
        <v>0.16574920000000001</v>
      </c>
      <c r="R7412">
        <v>0.98260409999999998</v>
      </c>
      <c r="S7412">
        <v>-0.16523740000000001</v>
      </c>
      <c r="T7412">
        <v>-0.14064860000000001</v>
      </c>
      <c r="U7412">
        <v>3.0625</v>
      </c>
      <c r="V7412">
        <v>-8.5496459999999996E-2</v>
      </c>
      <c r="W7412">
        <v>0.17389540000000001</v>
      </c>
      <c r="X7412">
        <v>0.98104570000000002</v>
      </c>
      <c r="Y7412">
        <v>-5.6021370000000001E-2</v>
      </c>
      <c r="Z7412">
        <v>-3.7731870000000001E-2</v>
      </c>
      <c r="AA7412">
        <v>0.99771639999999995</v>
      </c>
      <c r="AB7412">
        <v>32</v>
      </c>
      <c r="AC7412">
        <v>-1.3039999999999701</v>
      </c>
      <c r="AD7412">
        <v>-1.108658190411</v>
      </c>
      <c r="AE7412">
        <v>23.814934999999998</v>
      </c>
      <c r="AF7412">
        <v>-1.3534305856375899</v>
      </c>
      <c r="AG7412">
        <v>-1.108658190411</v>
      </c>
      <c r="AH7412">
        <v>23.760670638253099</v>
      </c>
      <c r="AI7412">
        <v>92.667131018261102</v>
      </c>
      <c r="AJ7412">
        <v>93.260099739069602</v>
      </c>
      <c r="AK7412">
        <v>23.8249945752953</v>
      </c>
      <c r="AL7412">
        <v>79.985615967222898</v>
      </c>
      <c r="AM7412">
        <v>94.9806458817568</v>
      </c>
      <c r="AN7412">
        <v>0.99999996015109005</v>
      </c>
    </row>
    <row r="7413" spans="1:40" x14ac:dyDescent="0.25">
      <c r="A7413" t="str">
        <f>"20190304155246780"</f>
        <v>20190304155246780</v>
      </c>
      <c r="B7413" t="str">
        <f>"1551685966773866"</f>
        <v>1551685966773866</v>
      </c>
      <c r="C7413" t="s">
        <v>40</v>
      </c>
      <c r="D7413">
        <v>4.7637039999999997</v>
      </c>
      <c r="E7413">
        <v>0.54330179999999995</v>
      </c>
      <c r="F7413" t="s">
        <v>41</v>
      </c>
      <c r="G7413">
        <v>-185.79730000000001</v>
      </c>
      <c r="H7413" s="1">
        <v>-2.3678800000000001E-6</v>
      </c>
      <c r="I7413">
        <v>53.320180000000001</v>
      </c>
      <c r="J7413">
        <v>-187.565</v>
      </c>
      <c r="K7413">
        <v>1.1086480000000001</v>
      </c>
      <c r="L7413">
        <v>8.4576419999999999</v>
      </c>
      <c r="M7413">
        <v>3.4669969999999999E-3</v>
      </c>
      <c r="N7413">
        <v>-8.0923969999999994E-3</v>
      </c>
      <c r="O7413">
        <v>0.99996130000000005</v>
      </c>
      <c r="P7413">
        <v>-8.3045999999999995E-2</v>
      </c>
      <c r="Q7413">
        <v>0.16691149999999999</v>
      </c>
      <c r="R7413">
        <v>0.98246829999999996</v>
      </c>
      <c r="S7413">
        <v>0.1204529</v>
      </c>
      <c r="T7413">
        <v>-7.5459960000000006E-2</v>
      </c>
      <c r="U7413">
        <v>3.076111</v>
      </c>
      <c r="V7413">
        <v>-8.6016250000000002E-2</v>
      </c>
      <c r="W7413">
        <v>0.17506920000000001</v>
      </c>
      <c r="X7413">
        <v>0.98079150000000004</v>
      </c>
      <c r="Y7413">
        <v>3.5652870000000003E-2</v>
      </c>
      <c r="Z7413">
        <v>-1.641596E-2</v>
      </c>
      <c r="AA7413">
        <v>0.99922940000000005</v>
      </c>
      <c r="AB7413">
        <v>32</v>
      </c>
      <c r="AC7413">
        <v>1.7676999999999901</v>
      </c>
      <c r="AD7413">
        <v>-1.1086503678799999</v>
      </c>
      <c r="AE7413">
        <v>44.862538000000001</v>
      </c>
      <c r="AF7413">
        <v>1.61116360809507</v>
      </c>
      <c r="AG7413">
        <v>-1.1086503678799999</v>
      </c>
      <c r="AH7413">
        <v>44.841055586785401</v>
      </c>
      <c r="AI7413">
        <v>91.415379493865899</v>
      </c>
      <c r="AJ7413">
        <v>87.942216592579697</v>
      </c>
      <c r="AK7413">
        <v>44.883685454153898</v>
      </c>
      <c r="AL7413">
        <v>79.917314787381102</v>
      </c>
      <c r="AM7413">
        <v>95.012064920984898</v>
      </c>
      <c r="AN7413">
        <v>0.99999999326247602</v>
      </c>
    </row>
    <row r="7414" spans="1:40" x14ac:dyDescent="0.25">
      <c r="A7414" t="str">
        <f>"20190304155246803"</f>
        <v>20190304155246803</v>
      </c>
      <c r="B7414" t="str">
        <f>"1551685966794362"</f>
        <v>1551685966794362</v>
      </c>
      <c r="C7414" t="s">
        <v>40</v>
      </c>
      <c r="D7414">
        <v>4.8265140000000004</v>
      </c>
      <c r="E7414">
        <v>0.54394699999999996</v>
      </c>
      <c r="F7414" t="s">
        <v>41</v>
      </c>
      <c r="G7414">
        <v>-185.62729999999999</v>
      </c>
      <c r="H7414" s="1">
        <v>-3.720108E-6</v>
      </c>
      <c r="I7414">
        <v>66.496380000000002</v>
      </c>
      <c r="J7414">
        <v>-187.56270000000001</v>
      </c>
      <c r="K7414">
        <v>1.1086370000000001</v>
      </c>
      <c r="L7414">
        <v>8.7796939999999992</v>
      </c>
      <c r="M7414">
        <v>4.6996249999999998E-3</v>
      </c>
      <c r="N7414">
        <v>-8.1015519999999997E-3</v>
      </c>
      <c r="O7414">
        <v>0.99995610000000001</v>
      </c>
      <c r="P7414">
        <v>-8.2683129999999994E-2</v>
      </c>
      <c r="Q7414">
        <v>0.16802429999999999</v>
      </c>
      <c r="R7414">
        <v>0.98230919999999999</v>
      </c>
      <c r="S7414">
        <v>0.1025696</v>
      </c>
      <c r="T7414">
        <v>-5.8684470000000002E-2</v>
      </c>
      <c r="U7414">
        <v>3.072174</v>
      </c>
      <c r="V7414">
        <v>-8.6855310000000005E-2</v>
      </c>
      <c r="W7414">
        <v>0.17619309999999999</v>
      </c>
      <c r="X7414">
        <v>0.98051630000000001</v>
      </c>
      <c r="Y7414">
        <v>2.8665349999999999E-2</v>
      </c>
      <c r="Z7414">
        <v>-1.098883E-2</v>
      </c>
      <c r="AA7414">
        <v>0.99952859999999999</v>
      </c>
      <c r="AB7414">
        <v>32</v>
      </c>
      <c r="AC7414">
        <v>1.93540000000001</v>
      </c>
      <c r="AD7414">
        <v>-1.108640720108</v>
      </c>
      <c r="AE7414">
        <v>57.716685999999903</v>
      </c>
      <c r="AF7414">
        <v>1.66350985383692</v>
      </c>
      <c r="AG7414">
        <v>-1.108640720108</v>
      </c>
      <c r="AH7414">
        <v>57.703878038726501</v>
      </c>
      <c r="AI7414">
        <v>91.100207707603801</v>
      </c>
      <c r="AJ7414">
        <v>88.348712316485901</v>
      </c>
      <c r="AK7414">
        <v>57.738495737145001</v>
      </c>
      <c r="AL7414">
        <v>79.851903720581106</v>
      </c>
      <c r="AM7414">
        <v>95.062116284794897</v>
      </c>
      <c r="AN7414">
        <v>1.0000000339642401</v>
      </c>
    </row>
    <row r="7415" spans="1:40" x14ac:dyDescent="0.25">
      <c r="A7415" t="str">
        <f>"20190304155246825"</f>
        <v>20190304155246825</v>
      </c>
      <c r="B7415" t="str">
        <f>"1551685966813883"</f>
        <v>1551685966813883</v>
      </c>
      <c r="C7415" t="s">
        <v>40</v>
      </c>
      <c r="D7415">
        <v>4.8173890000000004</v>
      </c>
      <c r="E7415">
        <v>0.54463419999999996</v>
      </c>
      <c r="F7415" t="s">
        <v>41</v>
      </c>
      <c r="G7415">
        <v>-185.51669999999999</v>
      </c>
      <c r="H7415" s="1">
        <v>-3.6912989999999999E-6</v>
      </c>
      <c r="I7415">
        <v>66.383480000000006</v>
      </c>
      <c r="J7415">
        <v>-187.56</v>
      </c>
      <c r="K7415">
        <v>1.1086290000000001</v>
      </c>
      <c r="L7415">
        <v>9.1002200000000002</v>
      </c>
      <c r="M7415">
        <v>5.9256159999999999E-3</v>
      </c>
      <c r="N7415">
        <v>-8.1104190000000007E-3</v>
      </c>
      <c r="O7415">
        <v>0.99994959999999999</v>
      </c>
      <c r="P7415">
        <v>-8.2663699999999896E-2</v>
      </c>
      <c r="Q7415">
        <v>0.16882549999999999</v>
      </c>
      <c r="R7415">
        <v>0.98217339999999997</v>
      </c>
      <c r="S7415">
        <v>0.10916140000000001</v>
      </c>
      <c r="T7415">
        <v>-5.9149269999999997E-2</v>
      </c>
      <c r="U7415">
        <v>3.073334</v>
      </c>
      <c r="V7415">
        <v>-8.8032570000000004E-2</v>
      </c>
      <c r="W7415">
        <v>0.17700639999999901</v>
      </c>
      <c r="X7415">
        <v>0.98026480000000005</v>
      </c>
      <c r="Y7415">
        <v>2.956833E-2</v>
      </c>
      <c r="Z7415">
        <v>-1.112293E-2</v>
      </c>
      <c r="AA7415">
        <v>0.99950090000000003</v>
      </c>
      <c r="AB7415">
        <v>32</v>
      </c>
      <c r="AC7415">
        <v>2.0433000000000101</v>
      </c>
      <c r="AD7415">
        <v>-1.1086326912989899</v>
      </c>
      <c r="AE7415">
        <v>57.283259999999999</v>
      </c>
      <c r="AF7415">
        <v>1.7031772445078699</v>
      </c>
      <c r="AG7415">
        <v>-1.1086326912989899</v>
      </c>
      <c r="AH7415">
        <v>57.272937624439798</v>
      </c>
      <c r="AI7415">
        <v>91.108446459090402</v>
      </c>
      <c r="AJ7415">
        <v>88.296645483777695</v>
      </c>
      <c r="AK7415">
        <v>57.308980651407502</v>
      </c>
      <c r="AL7415">
        <v>79.804561012738304</v>
      </c>
      <c r="AM7415">
        <v>95.131675060517196</v>
      </c>
      <c r="AN7415">
        <v>1.0000000385704</v>
      </c>
    </row>
    <row r="7416" spans="1:40" x14ac:dyDescent="0.25">
      <c r="A7416" t="str">
        <f>"20190304155246846"</f>
        <v>20190304155246846</v>
      </c>
      <c r="B7416" t="str">
        <f>"1551685966844139"</f>
        <v>1551685966844139</v>
      </c>
      <c r="C7416" t="s">
        <v>40</v>
      </c>
      <c r="D7416">
        <v>4.854069</v>
      </c>
      <c r="E7416">
        <v>0.54545269999999901</v>
      </c>
      <c r="F7416" t="s">
        <v>41</v>
      </c>
      <c r="G7416">
        <v>-185.476</v>
      </c>
      <c r="H7416" s="1">
        <v>-3.0696280000000001E-6</v>
      </c>
      <c r="I7416">
        <v>64.917559999999995</v>
      </c>
      <c r="J7416">
        <v>-187.55709999999999</v>
      </c>
      <c r="K7416">
        <v>1.108625</v>
      </c>
      <c r="L7416">
        <v>9.4048459999999992</v>
      </c>
      <c r="M7416">
        <v>7.089288E-3</v>
      </c>
      <c r="N7416">
        <v>-8.1187849999999999E-3</v>
      </c>
      <c r="O7416">
        <v>0.99994190000000005</v>
      </c>
      <c r="P7416">
        <v>-8.2963289999999995E-2</v>
      </c>
      <c r="Q7416">
        <v>0.16964499999999999</v>
      </c>
      <c r="R7416">
        <v>0.98200699999999996</v>
      </c>
      <c r="S7416">
        <v>0.1147919</v>
      </c>
      <c r="T7416">
        <v>-6.1067339999999998E-2</v>
      </c>
      <c r="U7416">
        <v>3.0746150000000001</v>
      </c>
      <c r="V7416">
        <v>-8.9467889999999994E-2</v>
      </c>
      <c r="W7416">
        <v>0.17783660000000001</v>
      </c>
      <c r="X7416">
        <v>0.97998450000000004</v>
      </c>
      <c r="Y7416">
        <v>3.0217850000000001E-2</v>
      </c>
      <c r="Z7416">
        <v>-1.172891E-2</v>
      </c>
      <c r="AA7416">
        <v>0.99947450000000004</v>
      </c>
      <c r="AB7416">
        <v>32</v>
      </c>
      <c r="AC7416">
        <v>2.08109999999999</v>
      </c>
      <c r="AD7416">
        <v>-1.108628069628</v>
      </c>
      <c r="AE7416">
        <v>55.512714000000003</v>
      </c>
      <c r="AF7416">
        <v>1.6868172995148401</v>
      </c>
      <c r="AG7416">
        <v>-1.108628069628</v>
      </c>
      <c r="AH7416">
        <v>55.503967385828801</v>
      </c>
      <c r="AI7416">
        <v>91.143737386633902</v>
      </c>
      <c r="AJ7416">
        <v>88.259263647781793</v>
      </c>
      <c r="AK7416">
        <v>55.540659019909597</v>
      </c>
      <c r="AL7416">
        <v>79.756226735955707</v>
      </c>
      <c r="AM7416">
        <v>95.216369759097603</v>
      </c>
      <c r="AN7416">
        <v>0.99999998994043104</v>
      </c>
    </row>
    <row r="7417" spans="1:40" x14ac:dyDescent="0.25">
      <c r="A7417" t="str">
        <f>"20190304155246868"</f>
        <v>20190304155246868</v>
      </c>
      <c r="B7417" t="str">
        <f>"1551685966864635"</f>
        <v>1551685966864635</v>
      </c>
      <c r="C7417" t="s">
        <v>40</v>
      </c>
      <c r="D7417">
        <v>4.9256869999999999</v>
      </c>
      <c r="E7417">
        <v>0.54611399999999999</v>
      </c>
      <c r="F7417" t="s">
        <v>41</v>
      </c>
      <c r="G7417">
        <v>-185.43819999999999</v>
      </c>
      <c r="H7417" s="1">
        <v>-2.5363779999999998E-6</v>
      </c>
      <c r="I7417">
        <v>63.534610000000001</v>
      </c>
      <c r="J7417">
        <v>-187.55369999999999</v>
      </c>
      <c r="K7417">
        <v>1.108617</v>
      </c>
      <c r="L7417">
        <v>9.7161559999999998</v>
      </c>
      <c r="M7417">
        <v>8.2767740000000006E-3</v>
      </c>
      <c r="N7417">
        <v>-8.1273600000000001E-3</v>
      </c>
      <c r="O7417">
        <v>0.99993270000000001</v>
      </c>
      <c r="P7417">
        <v>-8.3553489999999994E-2</v>
      </c>
      <c r="Q7417">
        <v>0.17056579999999999</v>
      </c>
      <c r="R7417">
        <v>0.98179740000000004</v>
      </c>
      <c r="S7417">
        <v>0.1204071</v>
      </c>
      <c r="T7417">
        <v>-6.2999730000000004E-2</v>
      </c>
      <c r="U7417">
        <v>3.0760190000000001</v>
      </c>
      <c r="V7417">
        <v>-9.1216569999999997E-2</v>
      </c>
      <c r="W7417">
        <v>0.17876929999999999</v>
      </c>
      <c r="X7417">
        <v>0.97965349999999995</v>
      </c>
      <c r="Y7417">
        <v>3.083524E-2</v>
      </c>
      <c r="Z7417">
        <v>-1.2337860000000001E-2</v>
      </c>
      <c r="AA7417">
        <v>0.99944840000000001</v>
      </c>
      <c r="AB7417">
        <v>32</v>
      </c>
      <c r="AC7417">
        <v>2.1154999999999902</v>
      </c>
      <c r="AD7417">
        <v>-1.108619536378</v>
      </c>
      <c r="AE7417">
        <v>53.818454000000003</v>
      </c>
      <c r="AF7417">
        <v>1.66926240797893</v>
      </c>
      <c r="AG7417">
        <v>-1.108619536378</v>
      </c>
      <c r="AH7417">
        <v>53.811322051339701</v>
      </c>
      <c r="AI7417">
        <v>91.179671990578598</v>
      </c>
      <c r="AJ7417">
        <v>88.223217217629895</v>
      </c>
      <c r="AK7417">
        <v>53.848619807532103</v>
      </c>
      <c r="AL7417">
        <v>79.701916287567698</v>
      </c>
      <c r="AM7417">
        <v>95.319532941741102</v>
      </c>
      <c r="AN7417">
        <v>0.99999995266365105</v>
      </c>
    </row>
    <row r="7418" spans="1:40" x14ac:dyDescent="0.25">
      <c r="A7418" t="str">
        <f>"20190304155246890"</f>
        <v>20190304155246890</v>
      </c>
      <c r="B7418" t="str">
        <f>"1551685966884157"</f>
        <v>1551685966884157</v>
      </c>
      <c r="C7418" t="s">
        <v>40</v>
      </c>
      <c r="D7418">
        <v>4.826676</v>
      </c>
      <c r="E7418">
        <v>0.54631549999999995</v>
      </c>
      <c r="F7418" t="s">
        <v>41</v>
      </c>
      <c r="G7418">
        <v>-185.36770000000001</v>
      </c>
      <c r="H7418" s="1">
        <v>-2.6660369999999999E-6</v>
      </c>
      <c r="I7418">
        <v>63.860460000000003</v>
      </c>
      <c r="J7418">
        <v>-187.5498</v>
      </c>
      <c r="K7418">
        <v>1.1086069999999999</v>
      </c>
      <c r="L7418">
        <v>10.04068</v>
      </c>
      <c r="M7418">
        <v>9.5134299999999998E-3</v>
      </c>
      <c r="N7418">
        <v>-8.1362889999999997E-3</v>
      </c>
      <c r="O7418">
        <v>0.99992159999999997</v>
      </c>
      <c r="P7418">
        <v>-8.4005070000000001E-2</v>
      </c>
      <c r="Q7418">
        <v>0.17165169999999999</v>
      </c>
      <c r="R7418">
        <v>0.98156960000000004</v>
      </c>
      <c r="S7418">
        <v>0.1242371</v>
      </c>
      <c r="T7418">
        <v>-6.3005450000000005E-2</v>
      </c>
      <c r="U7418">
        <v>3.0771480000000002</v>
      </c>
      <c r="V7418">
        <v>-9.287318E-2</v>
      </c>
      <c r="W7418">
        <v>0.1798671</v>
      </c>
      <c r="X7418">
        <v>0.97929690000000003</v>
      </c>
      <c r="Y7418">
        <v>3.082675E-2</v>
      </c>
      <c r="Z7418">
        <v>-1.2322700000000001E-2</v>
      </c>
      <c r="AA7418">
        <v>0.99944880000000003</v>
      </c>
      <c r="AB7418">
        <v>32</v>
      </c>
      <c r="AC7418">
        <v>2.1820999999999899</v>
      </c>
      <c r="AD7418">
        <v>-1.108609666037</v>
      </c>
      <c r="AE7418">
        <v>53.819780000000002</v>
      </c>
      <c r="AF7418">
        <v>1.6692664565467099</v>
      </c>
      <c r="AG7418">
        <v>-1.108609666037</v>
      </c>
      <c r="AH7418">
        <v>53.815307853234202</v>
      </c>
      <c r="AI7418">
        <v>91.179574225509995</v>
      </c>
      <c r="AJ7418">
        <v>88.223344423487902</v>
      </c>
      <c r="AK7418">
        <v>53.852602771202697</v>
      </c>
      <c r="AL7418">
        <v>79.637981248027202</v>
      </c>
      <c r="AM7418">
        <v>95.417533476736693</v>
      </c>
      <c r="AN7418">
        <v>1.00000000978766</v>
      </c>
    </row>
    <row r="7419" spans="1:40" x14ac:dyDescent="0.25">
      <c r="A7419" t="str">
        <f>"20190304155246913"</f>
        <v>20190304155246913</v>
      </c>
      <c r="B7419" t="str">
        <f>"1551685966904650"</f>
        <v>1551685966904650</v>
      </c>
      <c r="C7419" t="s">
        <v>40</v>
      </c>
      <c r="D7419">
        <v>4.8517830000000002</v>
      </c>
      <c r="E7419">
        <v>0.54637089999999999</v>
      </c>
      <c r="F7419" t="s">
        <v>41</v>
      </c>
      <c r="G7419">
        <v>-185.27549999999999</v>
      </c>
      <c r="H7419" s="1">
        <v>-3.5514649999999999E-6</v>
      </c>
      <c r="I7419">
        <v>65.957790000000003</v>
      </c>
      <c r="J7419">
        <v>-187.5455</v>
      </c>
      <c r="K7419">
        <v>1.108603</v>
      </c>
      <c r="L7419">
        <v>10.3674</v>
      </c>
      <c r="M7419">
        <v>1.075718E-2</v>
      </c>
      <c r="N7419">
        <v>-8.1453540000000005E-3</v>
      </c>
      <c r="O7419">
        <v>0.99990900000000005</v>
      </c>
      <c r="P7419">
        <v>-8.4264270000000002E-2</v>
      </c>
      <c r="Q7419">
        <v>0.17252290000000001</v>
      </c>
      <c r="R7419">
        <v>0.98139460000000001</v>
      </c>
      <c r="S7419">
        <v>0.12518309999999999</v>
      </c>
      <c r="T7419">
        <v>-6.1018940000000001E-2</v>
      </c>
      <c r="U7419">
        <v>3.077728</v>
      </c>
      <c r="V7419">
        <v>-9.4345750000000006E-2</v>
      </c>
      <c r="W7419">
        <v>0.18074979999999999</v>
      </c>
      <c r="X7419">
        <v>0.97899360000000002</v>
      </c>
      <c r="Y7419">
        <v>2.9883090000000001E-2</v>
      </c>
      <c r="Z7419">
        <v>-1.1665109999999999E-2</v>
      </c>
      <c r="AA7419">
        <v>0.99948530000000002</v>
      </c>
      <c r="AB7419">
        <v>32</v>
      </c>
      <c r="AC7419">
        <v>2.2700000000000098</v>
      </c>
      <c r="AD7419">
        <v>-1.1086065514650001</v>
      </c>
      <c r="AE7419">
        <v>55.590389999999999</v>
      </c>
      <c r="AF7419">
        <v>1.6711894748485301</v>
      </c>
      <c r="AG7419">
        <v>-1.1086065514650001</v>
      </c>
      <c r="AH7419">
        <v>55.5895217845353</v>
      </c>
      <c r="AI7419">
        <v>91.141966743184</v>
      </c>
      <c r="AJ7419">
        <v>88.278033885314301</v>
      </c>
      <c r="AK7419">
        <v>55.625684849537997</v>
      </c>
      <c r="AL7419">
        <v>79.586563847691096</v>
      </c>
      <c r="AM7419">
        <v>95.504603483473204</v>
      </c>
      <c r="AN7419">
        <v>1.0000000397920299</v>
      </c>
    </row>
    <row r="7420" spans="1:40" x14ac:dyDescent="0.25">
      <c r="A7420" t="str">
        <f>"20190304155246934"</f>
        <v>20190304155246934</v>
      </c>
      <c r="B7420" t="str">
        <f>"1551685966924171"</f>
        <v>1551685966924171</v>
      </c>
      <c r="C7420" t="s">
        <v>40</v>
      </c>
      <c r="D7420">
        <v>4.7423929999999999</v>
      </c>
      <c r="E7420">
        <v>0.546552699999999</v>
      </c>
      <c r="F7420" t="s">
        <v>41</v>
      </c>
      <c r="G7420">
        <v>-185.1739</v>
      </c>
      <c r="H7420" s="1">
        <v>-4.5803489999999999E-6</v>
      </c>
      <c r="I7420">
        <v>68.314160000000001</v>
      </c>
      <c r="J7420">
        <v>-187.54089999999999</v>
      </c>
      <c r="K7420">
        <v>1.108598</v>
      </c>
      <c r="L7420">
        <v>10.68689</v>
      </c>
      <c r="M7420">
        <v>1.197288E-2</v>
      </c>
      <c r="N7420">
        <v>-8.1542019999999993E-3</v>
      </c>
      <c r="O7420">
        <v>0.99989510000000004</v>
      </c>
      <c r="P7420">
        <v>-8.5060250000000004E-2</v>
      </c>
      <c r="Q7420">
        <v>0.1741016</v>
      </c>
      <c r="R7420">
        <v>0.98104709999999995</v>
      </c>
      <c r="S7420">
        <v>0.12597659999999999</v>
      </c>
      <c r="T7420">
        <v>-5.888736E-2</v>
      </c>
      <c r="U7420">
        <v>3.078033</v>
      </c>
      <c r="V7420">
        <v>-9.6322720000000001E-2</v>
      </c>
      <c r="W7420">
        <v>0.1823398</v>
      </c>
      <c r="X7420">
        <v>0.97850610000000005</v>
      </c>
      <c r="Y7420">
        <v>2.8921510000000001E-2</v>
      </c>
      <c r="Z7420">
        <v>-1.096258E-2</v>
      </c>
      <c r="AA7420">
        <v>0.99952160000000001</v>
      </c>
      <c r="AB7420">
        <v>32</v>
      </c>
      <c r="AC7420">
        <v>2.3669999999999898</v>
      </c>
      <c r="AD7420">
        <v>-1.1086025803490001</v>
      </c>
      <c r="AE7420">
        <v>57.627269999999903</v>
      </c>
      <c r="AF7420">
        <v>1.6762237260328801</v>
      </c>
      <c r="AG7420">
        <v>-1.1086025803490001</v>
      </c>
      <c r="AH7420">
        <v>57.630188033935902</v>
      </c>
      <c r="AI7420">
        <v>91.101568071206898</v>
      </c>
      <c r="AJ7420">
        <v>88.333972541033404</v>
      </c>
      <c r="AK7420">
        <v>57.665217406055802</v>
      </c>
      <c r="AL7420">
        <v>79.493924005628401</v>
      </c>
      <c r="AM7420">
        <v>95.622000708265801</v>
      </c>
      <c r="AN7420">
        <v>1.0000000283947199</v>
      </c>
    </row>
    <row r="7421" spans="1:40" x14ac:dyDescent="0.25">
      <c r="A7421" t="str">
        <f>"20190304155246969"</f>
        <v>20190304155246969</v>
      </c>
      <c r="B7421" t="str">
        <f>"1551685966964187"</f>
        <v>1551685966964187</v>
      </c>
      <c r="C7421" t="s">
        <v>40</v>
      </c>
      <c r="D7421">
        <v>4.8485329999999998</v>
      </c>
      <c r="E7421">
        <v>0.54641379999999995</v>
      </c>
      <c r="F7421" t="s">
        <v>41</v>
      </c>
      <c r="G7421">
        <v>-185.11009999999999</v>
      </c>
      <c r="H7421" s="1">
        <v>-1.5259299999999899E-6</v>
      </c>
      <c r="I7421">
        <v>70.308779999999999</v>
      </c>
      <c r="J7421">
        <v>-187.5333</v>
      </c>
      <c r="K7421">
        <v>1.1086020000000001</v>
      </c>
      <c r="L7421">
        <v>11.168240000000001</v>
      </c>
      <c r="M7421">
        <v>1.380355E-2</v>
      </c>
      <c r="N7421">
        <v>-8.1675729999999992E-3</v>
      </c>
      <c r="O7421">
        <v>0.99987139999999997</v>
      </c>
      <c r="P7421">
        <v>-8.5312009999999994E-2</v>
      </c>
      <c r="Q7421">
        <v>0.17604339999999999</v>
      </c>
      <c r="R7421">
        <v>0.98067859999999996</v>
      </c>
      <c r="S7421">
        <v>0.12553410000000001</v>
      </c>
      <c r="T7421">
        <v>-5.7250620000000002E-2</v>
      </c>
      <c r="U7421">
        <v>3.0790099999999998</v>
      </c>
      <c r="V7421">
        <v>-9.8355310000000001E-2</v>
      </c>
      <c r="W7421">
        <v>0.18429690000000001</v>
      </c>
      <c r="X7421">
        <v>0.97793699999999995</v>
      </c>
      <c r="Y7421">
        <v>2.6935489999999999E-2</v>
      </c>
      <c r="Z7421">
        <v>-1.04124E-2</v>
      </c>
      <c r="AA7421">
        <v>0.99958290000000005</v>
      </c>
      <c r="AB7421">
        <v>32</v>
      </c>
      <c r="AC7421">
        <v>2.4232</v>
      </c>
      <c r="AD7421">
        <v>-1.10860352593</v>
      </c>
      <c r="AE7421">
        <v>59.140540000000001</v>
      </c>
      <c r="AF7421">
        <v>1.6060291254619901</v>
      </c>
      <c r="AG7421">
        <v>-1.10860352593</v>
      </c>
      <c r="AH7421">
        <v>59.147606286331197</v>
      </c>
      <c r="AI7421">
        <v>91.073373489058298</v>
      </c>
      <c r="AJ7421">
        <v>88.444635515726802</v>
      </c>
      <c r="AK7421">
        <v>59.179790982500002</v>
      </c>
      <c r="AL7421">
        <v>79.3798565059776</v>
      </c>
      <c r="AM7421">
        <v>95.743169341286603</v>
      </c>
      <c r="AN7421">
        <v>0.99999994516190105</v>
      </c>
    </row>
    <row r="7422" spans="1:40" x14ac:dyDescent="0.25">
      <c r="A7422" t="str">
        <f>"20190304155247004"</f>
        <v>20190304155247004</v>
      </c>
      <c r="B7422" t="str">
        <f>"1551685966994443"</f>
        <v>1551685966994443</v>
      </c>
      <c r="C7422" t="s">
        <v>40</v>
      </c>
      <c r="D7422">
        <v>4.8580969999999999</v>
      </c>
      <c r="E7422">
        <v>0.54651969999999905</v>
      </c>
      <c r="F7422" t="s">
        <v>41</v>
      </c>
      <c r="G7422">
        <v>-184.87870000000001</v>
      </c>
      <c r="H7422" s="1">
        <v>-3.729523E-6</v>
      </c>
      <c r="I7422">
        <v>76.208789999999993</v>
      </c>
      <c r="J7422">
        <v>-187.5241</v>
      </c>
      <c r="K7422">
        <v>1.108598</v>
      </c>
      <c r="L7422">
        <v>11.68225</v>
      </c>
      <c r="M7422">
        <v>1.5757190000000001E-2</v>
      </c>
      <c r="N7422">
        <v>-8.1818199999999994E-3</v>
      </c>
      <c r="O7422">
        <v>0.99984229999999996</v>
      </c>
      <c r="P7422">
        <v>-8.4580180000000005E-2</v>
      </c>
      <c r="Q7422">
        <v>0.1767463</v>
      </c>
      <c r="R7422">
        <v>0.98061560000000003</v>
      </c>
      <c r="S7422">
        <v>0.12568660000000001</v>
      </c>
      <c r="T7422">
        <v>-5.2489040000000001E-2</v>
      </c>
      <c r="U7422">
        <v>3.0794679999999999</v>
      </c>
      <c r="V7422">
        <v>-9.9531099999999997E-2</v>
      </c>
      <c r="W7422">
        <v>0.18501670000000001</v>
      </c>
      <c r="X7422">
        <v>0.9776821</v>
      </c>
      <c r="Y7422">
        <v>2.50266E-2</v>
      </c>
      <c r="Z7422">
        <v>-8.850864E-3</v>
      </c>
      <c r="AA7422">
        <v>0.99964759999999997</v>
      </c>
      <c r="AB7422">
        <v>32</v>
      </c>
      <c r="AC7422">
        <v>2.6453999999999902</v>
      </c>
      <c r="AD7422">
        <v>-1.108601729523</v>
      </c>
      <c r="AE7422">
        <v>64.526539999999997</v>
      </c>
      <c r="AF7422">
        <v>1.62780081389519</v>
      </c>
      <c r="AG7422">
        <v>-1.108601729523</v>
      </c>
      <c r="AH7422">
        <v>64.541195065592305</v>
      </c>
      <c r="AI7422">
        <v>90.983740199309906</v>
      </c>
      <c r="AJ7422">
        <v>88.555242921890695</v>
      </c>
      <c r="AK7422">
        <v>64.571236582392203</v>
      </c>
      <c r="AL7422">
        <v>79.337893457410303</v>
      </c>
      <c r="AM7422">
        <v>95.812863741516097</v>
      </c>
      <c r="AN7422">
        <v>0.99999995390325302</v>
      </c>
    </row>
    <row r="7423" spans="1:40" x14ac:dyDescent="0.25">
      <c r="A7423" t="str">
        <f>"20190304155247026"</f>
        <v>20190304155247026</v>
      </c>
      <c r="B7423" t="str">
        <f>"1551685967023722"</f>
        <v>1551685967023722</v>
      </c>
      <c r="C7423" t="s">
        <v>40</v>
      </c>
      <c r="D7423">
        <v>4.7979099999999999</v>
      </c>
      <c r="E7423">
        <v>0.54659709999999995</v>
      </c>
      <c r="F7423" t="s">
        <v>41</v>
      </c>
      <c r="G7423">
        <v>-184.74610000000001</v>
      </c>
      <c r="H7423" s="1">
        <v>-4.2616010000000002E-6</v>
      </c>
      <c r="I7423">
        <v>77.39425</v>
      </c>
      <c r="J7423">
        <v>-187.51769999999999</v>
      </c>
      <c r="K7423">
        <v>1.1086009999999999</v>
      </c>
      <c r="L7423">
        <v>12.013400000000001</v>
      </c>
      <c r="M7423">
        <v>1.7008209999999999E-2</v>
      </c>
      <c r="N7423">
        <v>-8.1908699999999994E-3</v>
      </c>
      <c r="O7423">
        <v>0.99982179999999998</v>
      </c>
      <c r="P7423">
        <v>-8.3752430000000003E-2</v>
      </c>
      <c r="Q7423">
        <v>0.17655489999999999</v>
      </c>
      <c r="R7423">
        <v>0.98072110000000001</v>
      </c>
      <c r="S7423">
        <v>0.13020319999999999</v>
      </c>
      <c r="T7423">
        <v>-5.1959749999999999E-2</v>
      </c>
      <c r="U7423">
        <v>3.079895</v>
      </c>
      <c r="V7423">
        <v>-9.9929879999999999E-2</v>
      </c>
      <c r="W7423">
        <v>0.18483579999999999</v>
      </c>
      <c r="X7423">
        <v>0.97767570000000004</v>
      </c>
      <c r="Y7423">
        <v>2.523361E-2</v>
      </c>
      <c r="Z7423">
        <v>-8.6670269999999903E-3</v>
      </c>
      <c r="AA7423">
        <v>0.99964399999999998</v>
      </c>
      <c r="AB7423">
        <v>33</v>
      </c>
      <c r="AC7423">
        <v>2.7715999999999701</v>
      </c>
      <c r="AD7423">
        <v>-1.108605261601</v>
      </c>
      <c r="AE7423">
        <v>65.380849999999995</v>
      </c>
      <c r="AF7423">
        <v>1.6586745006133099</v>
      </c>
      <c r="AG7423">
        <v>-1.108605261601</v>
      </c>
      <c r="AH7423">
        <v>65.399764209657604</v>
      </c>
      <c r="AI7423">
        <v>90.9708277644839</v>
      </c>
      <c r="AJ7423">
        <v>88.547170913495904</v>
      </c>
      <c r="AK7423">
        <v>65.430186958343896</v>
      </c>
      <c r="AL7423">
        <v>79.348440818843898</v>
      </c>
      <c r="AM7423">
        <v>95.836030989853498</v>
      </c>
      <c r="AN7423">
        <v>1.00000001412447</v>
      </c>
    </row>
    <row r="7424" spans="1:40" x14ac:dyDescent="0.25">
      <c r="A7424" t="str">
        <f>"20190304155247046"</f>
        <v>20190304155247046</v>
      </c>
      <c r="B7424" t="str">
        <f>"1551685967034462"</f>
        <v>1551685967034462</v>
      </c>
      <c r="C7424" t="s">
        <v>40</v>
      </c>
      <c r="D7424">
        <v>4.7884510000000002</v>
      </c>
      <c r="E7424">
        <v>0.54673369999999999</v>
      </c>
      <c r="F7424" t="s">
        <v>41</v>
      </c>
      <c r="G7424">
        <v>-184.88310000000001</v>
      </c>
      <c r="H7424" s="1">
        <v>-2.4809089999999999E-6</v>
      </c>
      <c r="I7424">
        <v>72.937550000000002</v>
      </c>
      <c r="J7424">
        <v>-187.51169999999999</v>
      </c>
      <c r="K7424">
        <v>1.1086119999999999</v>
      </c>
      <c r="L7424">
        <v>12.305479999999999</v>
      </c>
      <c r="M7424">
        <v>1.808732E-2</v>
      </c>
      <c r="N7424">
        <v>-8.1986999999999997E-3</v>
      </c>
      <c r="O7424">
        <v>0.99980279999999999</v>
      </c>
      <c r="P7424">
        <v>-8.2777039999999996E-2</v>
      </c>
      <c r="Q7424">
        <v>0.17658370000000001</v>
      </c>
      <c r="R7424">
        <v>0.98079870000000002</v>
      </c>
      <c r="S7424">
        <v>0.1332092</v>
      </c>
      <c r="T7424">
        <v>-5.6053159999999998E-2</v>
      </c>
      <c r="U7424">
        <v>3.080444</v>
      </c>
      <c r="V7424">
        <v>-0.10001690000000001</v>
      </c>
      <c r="W7424">
        <v>0.18487000000000001</v>
      </c>
      <c r="X7424">
        <v>0.97766030000000004</v>
      </c>
      <c r="Y7424">
        <v>2.5120159999999999E-2</v>
      </c>
      <c r="Z7424">
        <v>-9.9828680000000006E-3</v>
      </c>
      <c r="AA7424">
        <v>0.99963460000000004</v>
      </c>
      <c r="AB7424">
        <v>33</v>
      </c>
      <c r="AC7424">
        <v>2.6285999999999698</v>
      </c>
      <c r="AD7424">
        <v>-1.1086144809089999</v>
      </c>
      <c r="AE7424">
        <v>60.632069999999999</v>
      </c>
      <c r="AF7424">
        <v>1.5309505932285901</v>
      </c>
      <c r="AG7424">
        <v>-1.1086144809089999</v>
      </c>
      <c r="AH7424">
        <v>60.649458516780101</v>
      </c>
      <c r="AI7424">
        <v>91.046862396934799</v>
      </c>
      <c r="AJ7424">
        <v>88.554012086523599</v>
      </c>
      <c r="AK7424">
        <v>60.678906171459801</v>
      </c>
      <c r="AL7424">
        <v>79.346446569997397</v>
      </c>
      <c r="AM7424">
        <v>95.841169315651896</v>
      </c>
      <c r="AN7424">
        <v>0.99999997969084897</v>
      </c>
    </row>
    <row r="7425" spans="1:40" x14ac:dyDescent="0.25">
      <c r="A7425" t="str">
        <f>"20190304155247071"</f>
        <v>20190304155247071</v>
      </c>
      <c r="B7425" t="str">
        <f>"1551685967063739"</f>
        <v>1551685967063739</v>
      </c>
      <c r="C7425" t="s">
        <v>40</v>
      </c>
      <c r="D7425">
        <v>4.7468309999999896</v>
      </c>
      <c r="E7425">
        <v>0.54670109999999905</v>
      </c>
      <c r="F7425" t="s">
        <v>41</v>
      </c>
      <c r="G7425">
        <v>-184.8604</v>
      </c>
      <c r="H7425" s="1">
        <v>-2.0573519999999999E-6</v>
      </c>
      <c r="I7425">
        <v>71.675169999999994</v>
      </c>
      <c r="J7425">
        <v>-187.50360000000001</v>
      </c>
      <c r="K7425">
        <v>1.108635</v>
      </c>
      <c r="L7425">
        <v>12.67496</v>
      </c>
      <c r="M7425">
        <v>1.9395349999999999E-2</v>
      </c>
      <c r="N7425">
        <v>-8.208323E-3</v>
      </c>
      <c r="O7425">
        <v>0.99977819999999995</v>
      </c>
      <c r="P7425">
        <v>-8.220044E-2</v>
      </c>
      <c r="Q7425">
        <v>0.17622370000000001</v>
      </c>
      <c r="R7425">
        <v>0.98091200000000001</v>
      </c>
      <c r="S7425">
        <v>0.13757320000000001</v>
      </c>
      <c r="T7425">
        <v>-5.752587E-2</v>
      </c>
      <c r="U7425">
        <v>3.0806879999999999</v>
      </c>
      <c r="V7425">
        <v>-0.10073790000000001</v>
      </c>
      <c r="W7425">
        <v>0.18451390000000001</v>
      </c>
      <c r="X7425">
        <v>0.97765360000000001</v>
      </c>
      <c r="Y7425">
        <v>2.522189E-2</v>
      </c>
      <c r="Z7425">
        <v>-1.0448310000000001E-2</v>
      </c>
      <c r="AA7425">
        <v>0.9996273</v>
      </c>
      <c r="AB7425">
        <v>33</v>
      </c>
      <c r="AC7425">
        <v>2.6432000000000002</v>
      </c>
      <c r="AD7425">
        <v>-1.1086370573519999</v>
      </c>
      <c r="AE7425">
        <v>59.000210000000003</v>
      </c>
      <c r="AF7425">
        <v>1.4978067038174301</v>
      </c>
      <c r="AG7425">
        <v>-1.1086370573519999</v>
      </c>
      <c r="AH7425">
        <v>59.019581562195299</v>
      </c>
      <c r="AI7425">
        <v>91.075783923261099</v>
      </c>
      <c r="AJ7425">
        <v>88.5462522129435</v>
      </c>
      <c r="AK7425">
        <v>59.048992445456399</v>
      </c>
      <c r="AL7425">
        <v>79.367207316238193</v>
      </c>
      <c r="AM7425">
        <v>95.883022781535701</v>
      </c>
      <c r="AN7425">
        <v>1.0000000326912799</v>
      </c>
    </row>
    <row r="7426" spans="1:40" x14ac:dyDescent="0.25">
      <c r="A7426" t="str">
        <f>"20190304155247092"</f>
        <v>20190304155247092</v>
      </c>
      <c r="B7426" t="str">
        <f>"1551685967084235"</f>
        <v>1551685967084235</v>
      </c>
      <c r="C7426" t="s">
        <v>40</v>
      </c>
      <c r="D7426">
        <v>4.7579640000000003</v>
      </c>
      <c r="E7426">
        <v>0.54677779999999998</v>
      </c>
      <c r="F7426" t="s">
        <v>41</v>
      </c>
      <c r="G7426">
        <v>-184.92869999999999</v>
      </c>
      <c r="H7426" s="1">
        <v>-1.4154419999999999E-6</v>
      </c>
      <c r="I7426">
        <v>69.842290000000006</v>
      </c>
      <c r="J7426">
        <v>-187.49680000000001</v>
      </c>
      <c r="K7426">
        <v>1.108668</v>
      </c>
      <c r="L7426">
        <v>12.976470000000001</v>
      </c>
      <c r="M7426">
        <v>2.0411430000000001E-2</v>
      </c>
      <c r="N7426">
        <v>-8.2159999999999993E-3</v>
      </c>
      <c r="O7426">
        <v>0.99975789999999998</v>
      </c>
      <c r="P7426">
        <v>-8.1546569999999999E-2</v>
      </c>
      <c r="Q7426">
        <v>0.17479529999999999</v>
      </c>
      <c r="R7426">
        <v>0.98122209999999999</v>
      </c>
      <c r="S7426">
        <v>0.13876340000000001</v>
      </c>
      <c r="T7426">
        <v>-5.9744480000000003E-2</v>
      </c>
      <c r="U7426">
        <v>3.0807500000000001</v>
      </c>
      <c r="V7426">
        <v>-0.10110470000000001</v>
      </c>
      <c r="W7426">
        <v>0.1830871</v>
      </c>
      <c r="X7426">
        <v>0.97788390000000003</v>
      </c>
      <c r="Y7426">
        <v>2.459008E-2</v>
      </c>
      <c r="Z7426">
        <v>-1.115905E-2</v>
      </c>
      <c r="AA7426">
        <v>0.9996353</v>
      </c>
      <c r="AB7426">
        <v>33</v>
      </c>
      <c r="AC7426">
        <v>2.56810000000001</v>
      </c>
      <c r="AD7426">
        <v>-1.108669415442</v>
      </c>
      <c r="AE7426">
        <v>56.865819999999999</v>
      </c>
      <c r="AF7426">
        <v>1.4062796064774301</v>
      </c>
      <c r="AG7426">
        <v>-1.108669415442</v>
      </c>
      <c r="AH7426">
        <v>56.884814334359703</v>
      </c>
      <c r="AI7426">
        <v>91.116196710589605</v>
      </c>
      <c r="AJ7426">
        <v>88.583849154221397</v>
      </c>
      <c r="AK7426">
        <v>56.912993877135797</v>
      </c>
      <c r="AL7426">
        <v>79.450373282466501</v>
      </c>
      <c r="AM7426">
        <v>95.902911898341301</v>
      </c>
      <c r="AN7426">
        <v>0.99999998421385405</v>
      </c>
    </row>
    <row r="7427" spans="1:40" x14ac:dyDescent="0.25">
      <c r="A7427" t="str">
        <f>"20190304155247113"</f>
        <v>20190304155247113</v>
      </c>
      <c r="B7427" t="str">
        <f>"1551685967103757"</f>
        <v>1551685967103757</v>
      </c>
      <c r="C7427" t="s">
        <v>40</v>
      </c>
      <c r="D7427">
        <v>4.7058140000000002</v>
      </c>
      <c r="E7427">
        <v>0.54681840000000004</v>
      </c>
      <c r="F7427" t="s">
        <v>41</v>
      </c>
      <c r="G7427">
        <v>-185.0915</v>
      </c>
      <c r="H7427" s="1">
        <v>-3.4041580000000001E-6</v>
      </c>
      <c r="I7427">
        <v>65.53837</v>
      </c>
      <c r="J7427">
        <v>-187.48920000000001</v>
      </c>
      <c r="K7427">
        <v>1.108703</v>
      </c>
      <c r="L7427">
        <v>13.298830000000001</v>
      </c>
      <c r="M7427">
        <v>2.144805E-2</v>
      </c>
      <c r="N7427">
        <v>-8.2242249999999999E-3</v>
      </c>
      <c r="O7427">
        <v>0.99973610000000002</v>
      </c>
      <c r="P7427">
        <v>-8.1367389999999998E-2</v>
      </c>
      <c r="Q7427">
        <v>0.1740428</v>
      </c>
      <c r="R7427">
        <v>0.98137070000000004</v>
      </c>
      <c r="S7427">
        <v>0.14097599999999999</v>
      </c>
      <c r="T7427">
        <v>-6.4980629999999998E-2</v>
      </c>
      <c r="U7427">
        <v>3.0807190000000002</v>
      </c>
      <c r="V7427">
        <v>-0.1019646</v>
      </c>
      <c r="W7427">
        <v>0.18233469999999999</v>
      </c>
      <c r="X7427">
        <v>0.9779352</v>
      </c>
      <c r="Y7427">
        <v>2.4269329999999999E-2</v>
      </c>
      <c r="Z7427">
        <v>-1.2847519999999999E-2</v>
      </c>
      <c r="AA7427">
        <v>0.99962289999999998</v>
      </c>
      <c r="AB7427">
        <v>33</v>
      </c>
      <c r="AC7427">
        <v>2.3977000000000102</v>
      </c>
      <c r="AD7427">
        <v>-1.1087064041579999</v>
      </c>
      <c r="AE7427">
        <v>52.239539999999998</v>
      </c>
      <c r="AF7427">
        <v>1.27610060951694</v>
      </c>
      <c r="AG7427">
        <v>-1.1087064041579999</v>
      </c>
      <c r="AH7427">
        <v>52.255461616401597</v>
      </c>
      <c r="AI7427">
        <v>91.215102529683904</v>
      </c>
      <c r="AJ7427">
        <v>88.601090721573598</v>
      </c>
      <c r="AK7427">
        <v>52.282797662323503</v>
      </c>
      <c r="AL7427">
        <v>79.494220776952403</v>
      </c>
      <c r="AM7427">
        <v>95.952447406783605</v>
      </c>
      <c r="AN7427">
        <v>0.99999998893814401</v>
      </c>
    </row>
    <row r="7428" spans="1:40" x14ac:dyDescent="0.25">
      <c r="A7428" t="str">
        <f>"20190304155247137"</f>
        <v>20190304155247137</v>
      </c>
      <c r="B7428" t="str">
        <f>"1551685967134094"</f>
        <v>1551685967134094</v>
      </c>
      <c r="C7428" t="s">
        <v>40</v>
      </c>
      <c r="D7428">
        <v>4.7308620000000001</v>
      </c>
      <c r="E7428">
        <v>0.54701460000000002</v>
      </c>
      <c r="F7428" t="s">
        <v>41</v>
      </c>
      <c r="G7428">
        <v>-185.15770000000001</v>
      </c>
      <c r="H7428" s="1">
        <v>-2.7379609999999999E-6</v>
      </c>
      <c r="I7428">
        <v>63.907670000000003</v>
      </c>
      <c r="J7428">
        <v>-187.48099999999999</v>
      </c>
      <c r="K7428">
        <v>1.1087419999999999</v>
      </c>
      <c r="L7428">
        <v>13.63406</v>
      </c>
      <c r="M7428">
        <v>2.2460190000000001E-2</v>
      </c>
      <c r="N7428">
        <v>-8.2328519999999902E-3</v>
      </c>
      <c r="O7428">
        <v>0.99971379999999999</v>
      </c>
      <c r="P7428">
        <v>-8.1309980000000004E-2</v>
      </c>
      <c r="Q7428">
        <v>0.1722496</v>
      </c>
      <c r="R7428">
        <v>0.9816918</v>
      </c>
      <c r="S7428">
        <v>0.14192199999999999</v>
      </c>
      <c r="T7428">
        <v>-6.7489740000000006E-2</v>
      </c>
      <c r="U7428">
        <v>3.0806879999999999</v>
      </c>
      <c r="V7428">
        <v>-0.10293040000000001</v>
      </c>
      <c r="W7428">
        <v>0.18054239999999999</v>
      </c>
      <c r="X7428">
        <v>0.97816650000000005</v>
      </c>
      <c r="Y7428">
        <v>2.3563489999999999E-2</v>
      </c>
      <c r="Z7428">
        <v>-1.365182E-2</v>
      </c>
      <c r="AA7428">
        <v>0.99962910000000005</v>
      </c>
      <c r="AB7428">
        <v>33</v>
      </c>
      <c r="AC7428">
        <v>2.3232999999999802</v>
      </c>
      <c r="AD7428">
        <v>-1.108744737961</v>
      </c>
      <c r="AE7428">
        <v>50.273609999999998</v>
      </c>
      <c r="AF7428">
        <v>1.19294173836901</v>
      </c>
      <c r="AG7428">
        <v>-1.108744737961</v>
      </c>
      <c r="AH7428">
        <v>50.288702849997499</v>
      </c>
      <c r="AI7428">
        <v>91.262674166300499</v>
      </c>
      <c r="AJ7428">
        <v>88.641092206070198</v>
      </c>
      <c r="AK7428">
        <v>50.315067914298197</v>
      </c>
      <c r="AL7428">
        <v>79.598644960079397</v>
      </c>
      <c r="AM7428">
        <v>96.007007575007293</v>
      </c>
      <c r="AN7428">
        <v>0.99999996358208398</v>
      </c>
    </row>
    <row r="7429" spans="1:40" x14ac:dyDescent="0.25">
      <c r="A7429" t="str">
        <f>"20190304155247159"</f>
        <v>20190304155247159</v>
      </c>
      <c r="B7429" t="str">
        <f>"1551685967154589"</f>
        <v>1551685967154589</v>
      </c>
      <c r="C7429" t="s">
        <v>40</v>
      </c>
      <c r="D7429">
        <v>4.7609949999999897</v>
      </c>
      <c r="E7429">
        <v>0.54705340000000002</v>
      </c>
      <c r="F7429" t="s">
        <v>41</v>
      </c>
      <c r="G7429">
        <v>-185.3306</v>
      </c>
      <c r="H7429" s="1">
        <v>-1.307032E-6</v>
      </c>
      <c r="I7429">
        <v>59.837940000000003</v>
      </c>
      <c r="J7429">
        <v>-187.4727</v>
      </c>
      <c r="K7429">
        <v>1.108781</v>
      </c>
      <c r="L7429">
        <v>13.96313</v>
      </c>
      <c r="M7429">
        <v>2.338049E-2</v>
      </c>
      <c r="N7429">
        <v>-8.2413509999999992E-3</v>
      </c>
      <c r="O7429">
        <v>0.99969269999999999</v>
      </c>
      <c r="P7429">
        <v>-8.1276600000000004E-2</v>
      </c>
      <c r="Q7429">
        <v>0.17055699999999999</v>
      </c>
      <c r="R7429">
        <v>0.98199000000000003</v>
      </c>
      <c r="S7429">
        <v>0.14338679999999901</v>
      </c>
      <c r="T7429">
        <v>-7.3928709999999995E-2</v>
      </c>
      <c r="U7429">
        <v>3.0807799999999999</v>
      </c>
      <c r="V7429">
        <v>-0.10383000000000001</v>
      </c>
      <c r="W7429">
        <v>0.1788496</v>
      </c>
      <c r="X7429">
        <v>0.97838239999999999</v>
      </c>
      <c r="Y7429">
        <v>2.3114530000000001E-2</v>
      </c>
      <c r="Z7429">
        <v>-1.5728530000000001E-2</v>
      </c>
      <c r="AA7429">
        <v>0.99960910000000003</v>
      </c>
      <c r="AB7429">
        <v>33</v>
      </c>
      <c r="AC7429">
        <v>2.1420999999999899</v>
      </c>
      <c r="AD7429">
        <v>-1.108782307032</v>
      </c>
      <c r="AE7429">
        <v>45.874809999999997</v>
      </c>
      <c r="AF7429">
        <v>1.0682797576513801</v>
      </c>
      <c r="AG7429">
        <v>-1.108782307032</v>
      </c>
      <c r="AH7429">
        <v>45.885606840226203</v>
      </c>
      <c r="AI7429">
        <v>91.383854123013407</v>
      </c>
      <c r="AJ7429">
        <v>88.666316725904196</v>
      </c>
      <c r="AK7429">
        <v>45.911431418992102</v>
      </c>
      <c r="AL7429">
        <v>79.697240404401896</v>
      </c>
      <c r="AM7429">
        <v>96.057792137115399</v>
      </c>
      <c r="AN7429">
        <v>0.99999998447495897</v>
      </c>
    </row>
    <row r="7430" spans="1:40" x14ac:dyDescent="0.25">
      <c r="A7430" t="str">
        <f>"20190304155247182"</f>
        <v>20190304155247182</v>
      </c>
      <c r="B7430" t="str">
        <f>"1551685967174109"</f>
        <v>1551685967174109</v>
      </c>
      <c r="C7430" t="s">
        <v>40</v>
      </c>
      <c r="D7430">
        <v>4.6814359999999997</v>
      </c>
      <c r="E7430">
        <v>0.5458887</v>
      </c>
      <c r="F7430" t="s">
        <v>41</v>
      </c>
      <c r="G7430">
        <v>-185.45490000000001</v>
      </c>
      <c r="H7430" s="1">
        <v>-4.0237049999999996E-6</v>
      </c>
      <c r="I7430">
        <v>57.13279</v>
      </c>
      <c r="J7430">
        <v>-187.46350000000001</v>
      </c>
      <c r="K7430">
        <v>1.108833</v>
      </c>
      <c r="L7430">
        <v>14.318239999999999</v>
      </c>
      <c r="M7430">
        <v>2.42835E-2</v>
      </c>
      <c r="N7430">
        <v>-8.2504439999999991E-3</v>
      </c>
      <c r="O7430">
        <v>0.99967099999999998</v>
      </c>
      <c r="P7430">
        <v>-8.1052689999999997E-2</v>
      </c>
      <c r="Q7430">
        <v>0.1700161</v>
      </c>
      <c r="R7430">
        <v>0.98210229999999998</v>
      </c>
      <c r="S7430">
        <v>0.14399719999999999</v>
      </c>
      <c r="T7430">
        <v>-7.9125520000000005E-2</v>
      </c>
      <c r="U7430">
        <v>3.0806879999999999</v>
      </c>
      <c r="V7430">
        <v>-0.10452119999999999</v>
      </c>
      <c r="W7430">
        <v>0.17830489999999999</v>
      </c>
      <c r="X7430">
        <v>0.97840830000000001</v>
      </c>
      <c r="Y7430">
        <v>2.240909E-2</v>
      </c>
      <c r="Z7430">
        <v>-1.7403410000000001E-2</v>
      </c>
      <c r="AA7430">
        <v>0.99959739999999997</v>
      </c>
      <c r="AB7430">
        <v>33</v>
      </c>
      <c r="AC7430">
        <v>2.0085999999999999</v>
      </c>
      <c r="AD7430">
        <v>-1.108837023705</v>
      </c>
      <c r="AE7430">
        <v>42.814549999999997</v>
      </c>
      <c r="AF7430">
        <v>0.96763746087272495</v>
      </c>
      <c r="AG7430">
        <v>-1.108837023705</v>
      </c>
      <c r="AH7430">
        <v>42.822041879589499</v>
      </c>
      <c r="AI7430">
        <v>91.482911188292803</v>
      </c>
      <c r="AJ7430">
        <v>88.705523914780699</v>
      </c>
      <c r="AK7430">
        <v>42.847323283236001</v>
      </c>
      <c r="AL7430">
        <v>79.728960053588693</v>
      </c>
      <c r="AM7430">
        <v>96.097656039593403</v>
      </c>
      <c r="AN7430">
        <v>1.00000006006116</v>
      </c>
    </row>
    <row r="7431" spans="1:40" x14ac:dyDescent="0.25">
      <c r="A7431" t="str">
        <f>"20190304155247205"</f>
        <v>20190304155247205</v>
      </c>
      <c r="B7431" t="str">
        <f>"1551685967194605"</f>
        <v>1551685967194605</v>
      </c>
      <c r="C7431" t="s">
        <v>40</v>
      </c>
      <c r="D7431">
        <v>4.8028559999999896</v>
      </c>
      <c r="E7431">
        <v>0.54492850000000004</v>
      </c>
      <c r="F7431" t="s">
        <v>41</v>
      </c>
      <c r="G7431">
        <v>-185.5806</v>
      </c>
      <c r="H7431" s="1">
        <v>-3.9967929999999996E-6</v>
      </c>
      <c r="I7431">
        <v>57.122059999999998</v>
      </c>
      <c r="J7431">
        <v>-187.4547</v>
      </c>
      <c r="K7431">
        <v>1.1089020000000001</v>
      </c>
      <c r="L7431">
        <v>14.651979999999901</v>
      </c>
      <c r="M7431">
        <v>2.5040159999999999E-2</v>
      </c>
      <c r="N7431">
        <v>-8.2589510000000005E-3</v>
      </c>
      <c r="O7431">
        <v>0.99965230000000005</v>
      </c>
      <c r="P7431">
        <v>-8.0496159999999997E-2</v>
      </c>
      <c r="Q7431">
        <v>0.17027690000000001</v>
      </c>
      <c r="R7431">
        <v>0.9821029</v>
      </c>
      <c r="S7431">
        <v>0.13546749999999999</v>
      </c>
      <c r="T7431">
        <v>-7.9778669999999996E-2</v>
      </c>
      <c r="U7431">
        <v>3.0796510000000001</v>
      </c>
      <c r="V7431">
        <v>-0.1047337</v>
      </c>
      <c r="W7431">
        <v>0.178557299999999</v>
      </c>
      <c r="X7431">
        <v>0.97833950000000003</v>
      </c>
      <c r="Y7431">
        <v>1.890536E-2</v>
      </c>
      <c r="Z7431">
        <v>-1.761691E-2</v>
      </c>
      <c r="AA7431">
        <v>0.99966600000000005</v>
      </c>
      <c r="AB7431">
        <v>33</v>
      </c>
      <c r="AC7431">
        <v>1.8740999999999901</v>
      </c>
      <c r="AD7431">
        <v>-1.1089059967929999</v>
      </c>
      <c r="AE7431">
        <v>42.470080000000003</v>
      </c>
      <c r="AF7431">
        <v>0.80946764753247702</v>
      </c>
      <c r="AG7431">
        <v>-1.1089059967929999</v>
      </c>
      <c r="AH7431">
        <v>42.474791005236902</v>
      </c>
      <c r="AI7431">
        <v>91.495232250848105</v>
      </c>
      <c r="AJ7431">
        <v>88.908212020777199</v>
      </c>
      <c r="AK7431">
        <v>42.496973790149802</v>
      </c>
      <c r="AL7431">
        <v>79.714262298435003</v>
      </c>
      <c r="AM7431">
        <v>96.110385808838799</v>
      </c>
      <c r="AN7431">
        <v>1.00000001727961</v>
      </c>
    </row>
    <row r="7432" spans="1:40" x14ac:dyDescent="0.25">
      <c r="A7432" t="str">
        <f>"20190304155247226"</f>
        <v>20190304155247226</v>
      </c>
      <c r="B7432" t="str">
        <f>"1551685967223886"</f>
        <v>1551685967223886</v>
      </c>
      <c r="C7432" t="s">
        <v>40</v>
      </c>
      <c r="D7432">
        <v>4.7618660000000004</v>
      </c>
      <c r="E7432">
        <v>0.54340659999999996</v>
      </c>
      <c r="F7432" t="s">
        <v>41</v>
      </c>
      <c r="G7432">
        <v>-185.62440000000001</v>
      </c>
      <c r="H7432" s="1">
        <v>-4.4393019999999996E-6</v>
      </c>
      <c r="I7432">
        <v>58.17165</v>
      </c>
      <c r="J7432">
        <v>-187.446</v>
      </c>
      <c r="K7432">
        <v>1.108975</v>
      </c>
      <c r="L7432">
        <v>14.970890000000001</v>
      </c>
      <c r="M7432">
        <v>2.5672360000000002E-2</v>
      </c>
      <c r="N7432">
        <v>-8.2670179999999992E-3</v>
      </c>
      <c r="O7432">
        <v>0.99963619999999997</v>
      </c>
      <c r="P7432">
        <v>-7.9621949999999997E-2</v>
      </c>
      <c r="Q7432">
        <v>0.1701744</v>
      </c>
      <c r="R7432">
        <v>0.98219190000000001</v>
      </c>
      <c r="S7432">
        <v>0.12948609999999999</v>
      </c>
      <c r="T7432">
        <v>-7.8451870000000007E-2</v>
      </c>
      <c r="U7432">
        <v>3.0788880000000001</v>
      </c>
      <c r="V7432">
        <v>-0.10451199999999999</v>
      </c>
      <c r="W7432">
        <v>0.17844470000000001</v>
      </c>
      <c r="X7432">
        <v>0.97838369999999997</v>
      </c>
      <c r="Y7432">
        <v>1.6346079999999999E-2</v>
      </c>
      <c r="Z7432">
        <v>-1.718604E-2</v>
      </c>
      <c r="AA7432">
        <v>0.99971869999999996</v>
      </c>
      <c r="AB7432">
        <v>33</v>
      </c>
      <c r="AC7432">
        <v>1.8215999999999799</v>
      </c>
      <c r="AD7432">
        <v>-1.108979439302</v>
      </c>
      <c r="AE7432">
        <v>43.200759999999903</v>
      </c>
      <c r="AF7432">
        <v>0.711428209072691</v>
      </c>
      <c r="AG7432">
        <v>-1.108979439302</v>
      </c>
      <c r="AH7432">
        <v>43.204866798444797</v>
      </c>
      <c r="AI7432">
        <v>91.470141923101906</v>
      </c>
      <c r="AJ7432">
        <v>89.056630575582005</v>
      </c>
      <c r="AK7432">
        <v>43.224952059716799</v>
      </c>
      <c r="AL7432">
        <v>79.720818582309803</v>
      </c>
      <c r="AM7432">
        <v>96.0972755125687</v>
      </c>
      <c r="AN7432">
        <v>0.99999996676388903</v>
      </c>
    </row>
    <row r="7433" spans="1:40" x14ac:dyDescent="0.25">
      <c r="A7433" t="str">
        <f>"20190304155247249"</f>
        <v>20190304155247249</v>
      </c>
      <c r="B7433" t="str">
        <f>"1551685967244382"</f>
        <v>1551685967244382</v>
      </c>
      <c r="C7433" t="s">
        <v>40</v>
      </c>
      <c r="D7433">
        <v>4.7533099999999999</v>
      </c>
      <c r="E7433">
        <v>0.5425411</v>
      </c>
      <c r="F7433" t="s">
        <v>41</v>
      </c>
      <c r="G7433">
        <v>-185.75649999999999</v>
      </c>
      <c r="H7433" s="1">
        <v>-4.4380240000000004E-6</v>
      </c>
      <c r="I7433">
        <v>58.223309999999998</v>
      </c>
      <c r="J7433">
        <v>-187.43719999999999</v>
      </c>
      <c r="K7433">
        <v>1.1090530000000001</v>
      </c>
      <c r="L7433">
        <v>15.294129999999999</v>
      </c>
      <c r="M7433">
        <v>2.6216099999999999E-2</v>
      </c>
      <c r="N7433">
        <v>-8.2752060000000002E-3</v>
      </c>
      <c r="O7433">
        <v>0.99962200000000001</v>
      </c>
      <c r="P7433">
        <v>-7.8388009999999994E-2</v>
      </c>
      <c r="Q7433">
        <v>0.17102909999999999</v>
      </c>
      <c r="R7433">
        <v>0.98214270000000004</v>
      </c>
      <c r="S7433">
        <v>0.120224</v>
      </c>
      <c r="T7433">
        <v>-7.8914399999999996E-2</v>
      </c>
      <c r="U7433">
        <v>3.07782</v>
      </c>
      <c r="V7433">
        <v>-0.1038427</v>
      </c>
      <c r="W7433">
        <v>0.1792859</v>
      </c>
      <c r="X7433">
        <v>0.97830119999999998</v>
      </c>
      <c r="Y7433">
        <v>1.281354E-2</v>
      </c>
      <c r="Z7433">
        <v>-1.733813E-2</v>
      </c>
      <c r="AA7433">
        <v>0.99976759999999998</v>
      </c>
      <c r="AB7433">
        <v>33</v>
      </c>
      <c r="AC7433">
        <v>1.6807000000000001</v>
      </c>
      <c r="AD7433">
        <v>-1.1090574380239999</v>
      </c>
      <c r="AE7433">
        <v>42.929180000000002</v>
      </c>
      <c r="AF7433">
        <v>0.55427866329470499</v>
      </c>
      <c r="AG7433">
        <v>-1.1090574380239999</v>
      </c>
      <c r="AH7433">
        <v>42.929878443682099</v>
      </c>
      <c r="AI7433">
        <v>91.479736015608907</v>
      </c>
      <c r="AJ7433">
        <v>89.260280608138004</v>
      </c>
      <c r="AK7433">
        <v>42.947778713534603</v>
      </c>
      <c r="AL7433">
        <v>79.671831613946097</v>
      </c>
      <c r="AM7433">
        <v>96.059026710839802</v>
      </c>
      <c r="AN7433">
        <v>0.99999998910176902</v>
      </c>
    </row>
    <row r="7434" spans="1:40" x14ac:dyDescent="0.25">
      <c r="A7434" t="str">
        <f>"20190304155247270"</f>
        <v>20190304155247270</v>
      </c>
      <c r="B7434" t="str">
        <f>"1551685967263903"</f>
        <v>1551685967263903</v>
      </c>
      <c r="C7434" t="s">
        <v>40</v>
      </c>
      <c r="D7434">
        <v>4.7557229999999997</v>
      </c>
      <c r="E7434">
        <v>0.54171069999999999</v>
      </c>
      <c r="F7434" t="s">
        <v>41</v>
      </c>
      <c r="G7434">
        <v>-185.73009999999999</v>
      </c>
      <c r="H7434" s="1">
        <v>-1.270726E-6</v>
      </c>
      <c r="I7434">
        <v>60.043640000000003</v>
      </c>
      <c r="J7434">
        <v>-187.42789999999999</v>
      </c>
      <c r="K7434">
        <v>1.1091359999999999</v>
      </c>
      <c r="L7434">
        <v>15.631349999999999</v>
      </c>
      <c r="M7434">
        <v>2.6667929999999999E-2</v>
      </c>
      <c r="N7434">
        <v>-8.2837740000000007E-3</v>
      </c>
      <c r="O7434">
        <v>0.99961</v>
      </c>
      <c r="P7434">
        <v>-7.720159E-2</v>
      </c>
      <c r="Q7434">
        <v>0.17146449999999999</v>
      </c>
      <c r="R7434">
        <v>0.98216079999999994</v>
      </c>
      <c r="S7434">
        <v>0.1173859</v>
      </c>
      <c r="T7434">
        <v>-7.6264380000000007E-2</v>
      </c>
      <c r="U7434">
        <v>3.0772089999999999</v>
      </c>
      <c r="V7434">
        <v>-0.1031381</v>
      </c>
      <c r="W7434">
        <v>0.17970659999999999</v>
      </c>
      <c r="X7434">
        <v>0.97829849999999996</v>
      </c>
      <c r="Y7434">
        <v>1.144937E-2</v>
      </c>
      <c r="Z7434">
        <v>-1.6475119999999999E-2</v>
      </c>
      <c r="AA7434">
        <v>0.99979870000000004</v>
      </c>
      <c r="AB7434">
        <v>33</v>
      </c>
      <c r="AC7434">
        <v>1.6978</v>
      </c>
      <c r="AD7434">
        <v>-1.1091372707260001</v>
      </c>
      <c r="AE7434">
        <v>44.412289999999999</v>
      </c>
      <c r="AF7434">
        <v>0.51245248153146195</v>
      </c>
      <c r="AG7434">
        <v>-1.1091372707260001</v>
      </c>
      <c r="AH7434">
        <v>44.414112012298702</v>
      </c>
      <c r="AI7434">
        <v>91.430433914506196</v>
      </c>
      <c r="AJ7434">
        <v>89.338947459732907</v>
      </c>
      <c r="AK7434">
        <v>44.430914225032097</v>
      </c>
      <c r="AL7434">
        <v>79.647328840511605</v>
      </c>
      <c r="AM7434">
        <v>96.0182338534255</v>
      </c>
      <c r="AN7434">
        <v>0.99999994242870804</v>
      </c>
    </row>
    <row r="7435" spans="1:40" x14ac:dyDescent="0.25">
      <c r="A7435" t="str">
        <f>"20190304155247293"</f>
        <v>20190304155247293</v>
      </c>
      <c r="B7435" t="str">
        <f>"1551685967284397"</f>
        <v>1551685967284397</v>
      </c>
      <c r="C7435" t="s">
        <v>40</v>
      </c>
      <c r="D7435">
        <v>4.749161</v>
      </c>
      <c r="E7435">
        <v>0.54096160000000004</v>
      </c>
      <c r="F7435" t="s">
        <v>41</v>
      </c>
      <c r="G7435">
        <v>-185.76730000000001</v>
      </c>
      <c r="H7435" s="1">
        <v>-1.4739960000000001E-6</v>
      </c>
      <c r="I7435">
        <v>60.670029999999997</v>
      </c>
      <c r="J7435">
        <v>-187.4187</v>
      </c>
      <c r="K7435">
        <v>1.109216</v>
      </c>
      <c r="L7435">
        <v>15.962619999999999</v>
      </c>
      <c r="M7435">
        <v>2.7022040000000001E-2</v>
      </c>
      <c r="N7435">
        <v>-8.2922940000000004E-3</v>
      </c>
      <c r="O7435">
        <v>0.9996005</v>
      </c>
      <c r="P7435">
        <v>-7.5673850000000001E-2</v>
      </c>
      <c r="Q7435">
        <v>0.1716956</v>
      </c>
      <c r="R7435">
        <v>0.98223930000000004</v>
      </c>
      <c r="S7435">
        <v>0.1134338</v>
      </c>
      <c r="T7435">
        <v>-7.5766089999999994E-2</v>
      </c>
      <c r="U7435">
        <v>3.0766300000000002</v>
      </c>
      <c r="V7435">
        <v>-0.10199569999999999</v>
      </c>
      <c r="W7435">
        <v>0.17992520000000001</v>
      </c>
      <c r="X7435">
        <v>0.97837819999999998</v>
      </c>
      <c r="Y7435">
        <v>9.8201620000000003E-3</v>
      </c>
      <c r="Z7435">
        <v>-1.6309939999999998E-2</v>
      </c>
      <c r="AA7435">
        <v>0.99981869999999995</v>
      </c>
      <c r="AB7435">
        <v>33</v>
      </c>
      <c r="AC7435">
        <v>1.65139999999999</v>
      </c>
      <c r="AD7435">
        <v>-1.1092174739959999</v>
      </c>
      <c r="AE7435">
        <v>44.707409999999904</v>
      </c>
      <c r="AF7435">
        <v>0.44239808522763202</v>
      </c>
      <c r="AG7435">
        <v>-1.1092174739959999</v>
      </c>
      <c r="AH7435">
        <v>44.708225810774699</v>
      </c>
      <c r="AI7435">
        <v>91.421155373958499</v>
      </c>
      <c r="AJ7435">
        <v>89.433063705144505</v>
      </c>
      <c r="AK7435">
        <v>44.724171704098097</v>
      </c>
      <c r="AL7435">
        <v>79.634597589135197</v>
      </c>
      <c r="AM7435">
        <v>95.951573238638304</v>
      </c>
      <c r="AN7435">
        <v>1.0000000513243801</v>
      </c>
    </row>
    <row r="7436" spans="1:40" x14ac:dyDescent="0.25">
      <c r="A7436" t="str">
        <f>"20190304155247316"</f>
        <v>20190304155247316</v>
      </c>
      <c r="B7436" t="str">
        <f>"1551685967303917"</f>
        <v>1551685967303917</v>
      </c>
      <c r="C7436" t="s">
        <v>40</v>
      </c>
      <c r="D7436">
        <v>4.6587339999999999</v>
      </c>
      <c r="E7436">
        <v>0.54040059999999901</v>
      </c>
      <c r="F7436" t="s">
        <v>41</v>
      </c>
      <c r="G7436">
        <v>-185.7919</v>
      </c>
      <c r="H7436" s="1">
        <v>-1.5495989999999999E-6</v>
      </c>
      <c r="I7436">
        <v>60.911439999999999</v>
      </c>
      <c r="J7436">
        <v>-187.40880000000001</v>
      </c>
      <c r="K7436">
        <v>1.1092959999999901</v>
      </c>
      <c r="L7436">
        <v>16.314</v>
      </c>
      <c r="M7436">
        <v>2.7298050000000001E-2</v>
      </c>
      <c r="N7436">
        <v>-8.3013979999999998E-3</v>
      </c>
      <c r="O7436">
        <v>0.99959279999999995</v>
      </c>
      <c r="P7436">
        <v>-7.5183109999999997E-2</v>
      </c>
      <c r="Q7436">
        <v>0.17214489999999999</v>
      </c>
      <c r="R7436">
        <v>0.98219840000000003</v>
      </c>
      <c r="S7436">
        <v>0.1113281</v>
      </c>
      <c r="T7436">
        <v>-7.5909500000000005E-2</v>
      </c>
      <c r="U7436">
        <v>3.0760800000000001</v>
      </c>
      <c r="V7436">
        <v>-0.1018096</v>
      </c>
      <c r="W7436">
        <v>0.18036189999999999</v>
      </c>
      <c r="X7436">
        <v>0.97831710000000005</v>
      </c>
      <c r="Y7436">
        <v>8.8672130000000005E-3</v>
      </c>
      <c r="Z7436">
        <v>-1.6351879999999999E-2</v>
      </c>
      <c r="AA7436">
        <v>0.99982700000000002</v>
      </c>
      <c r="AB7436">
        <v>34</v>
      </c>
      <c r="AC7436">
        <v>1.61690000000001</v>
      </c>
      <c r="AD7436">
        <v>-1.1092975495989901</v>
      </c>
      <c r="AE7436">
        <v>44.597439999999999</v>
      </c>
      <c r="AF7436">
        <v>0.39858594217634602</v>
      </c>
      <c r="AG7436">
        <v>-1.1092975495989901</v>
      </c>
      <c r="AH7436">
        <v>44.597402911090199</v>
      </c>
      <c r="AI7436">
        <v>91.424801089851201</v>
      </c>
      <c r="AJ7436">
        <v>89.487936903586302</v>
      </c>
      <c r="AK7436">
        <v>44.612977464197201</v>
      </c>
      <c r="AL7436">
        <v>79.609159617957204</v>
      </c>
      <c r="AM7436">
        <v>95.941160183921198</v>
      </c>
      <c r="AN7436">
        <v>0.999999978888089</v>
      </c>
    </row>
    <row r="7437" spans="1:40" x14ac:dyDescent="0.25">
      <c r="A7437" t="str">
        <f>"20190304155247337"</f>
        <v>20190304155247337</v>
      </c>
      <c r="B7437" t="str">
        <f>"1551685967334173"</f>
        <v>1551685967334173</v>
      </c>
      <c r="C7437" t="s">
        <v>40</v>
      </c>
      <c r="D7437">
        <v>4.7502519999999997</v>
      </c>
      <c r="E7437">
        <v>0.53945989999999999</v>
      </c>
      <c r="F7437" t="s">
        <v>41</v>
      </c>
      <c r="G7437">
        <v>-185.78749999999999</v>
      </c>
      <c r="H7437" s="1">
        <v>-2.0709540000000002E-6</v>
      </c>
      <c r="I7437">
        <v>62.44003</v>
      </c>
      <c r="J7437">
        <v>-187.3999</v>
      </c>
      <c r="K7437">
        <v>1.1093729999999999</v>
      </c>
      <c r="L7437">
        <v>16.633089999999999</v>
      </c>
      <c r="M7437">
        <v>2.746291E-2</v>
      </c>
      <c r="N7437">
        <v>-8.3096609999999994E-3</v>
      </c>
      <c r="O7437">
        <v>0.99958829999999999</v>
      </c>
      <c r="P7437">
        <v>-7.4579889999999996E-2</v>
      </c>
      <c r="Q7437">
        <v>0.17167460000000001</v>
      </c>
      <c r="R7437">
        <v>0.9823267</v>
      </c>
      <c r="S7437">
        <v>0.1081085</v>
      </c>
      <c r="T7437">
        <v>-7.3966499999999893E-2</v>
      </c>
      <c r="U7437">
        <v>3.0756230000000002</v>
      </c>
      <c r="V7437">
        <v>-0.10140349999999999</v>
      </c>
      <c r="W7437">
        <v>0.17988299999999999</v>
      </c>
      <c r="X7437">
        <v>0.97844739999999997</v>
      </c>
      <c r="Y7437">
        <v>7.6629089999999999E-3</v>
      </c>
      <c r="Z7437">
        <v>-1.5716879999999999E-2</v>
      </c>
      <c r="AA7437">
        <v>0.99984709999999999</v>
      </c>
      <c r="AB7437">
        <v>34</v>
      </c>
      <c r="AC7437">
        <v>1.6124000000000001</v>
      </c>
      <c r="AD7437">
        <v>-1.109375070954</v>
      </c>
      <c r="AE7437">
        <v>45.806939999999997</v>
      </c>
      <c r="AF7437">
        <v>0.35354939988329398</v>
      </c>
      <c r="AG7437">
        <v>-1.109375070954</v>
      </c>
      <c r="AH7437">
        <v>45.807109970523797</v>
      </c>
      <c r="AI7437">
        <v>91.387299803490507</v>
      </c>
      <c r="AJ7437">
        <v>89.557787290018794</v>
      </c>
      <c r="AK7437">
        <v>45.821905613776899</v>
      </c>
      <c r="AL7437">
        <v>79.637054398505597</v>
      </c>
      <c r="AM7437">
        <v>95.916848017278994</v>
      </c>
      <c r="AN7437">
        <v>0.99999993903400297</v>
      </c>
    </row>
    <row r="7438" spans="1:40" x14ac:dyDescent="0.25">
      <c r="A7438" t="str">
        <f>"20190304155247359"</f>
        <v>20190304155247359</v>
      </c>
      <c r="B7438" t="str">
        <f>"1551685967354670"</f>
        <v>1551685967354670</v>
      </c>
      <c r="C7438" t="s">
        <v>40</v>
      </c>
      <c r="D7438">
        <v>4.7609830000000004</v>
      </c>
      <c r="E7438">
        <v>0.53886990000000001</v>
      </c>
      <c r="F7438" t="s">
        <v>41</v>
      </c>
      <c r="G7438">
        <v>-185.89590000000001</v>
      </c>
      <c r="H7438" s="1">
        <v>-1.7801140000000001E-6</v>
      </c>
      <c r="I7438">
        <v>61.670119999999997</v>
      </c>
      <c r="J7438">
        <v>-187.39070000000001</v>
      </c>
      <c r="K7438">
        <v>1.109432</v>
      </c>
      <c r="L7438">
        <v>16.964510000000001</v>
      </c>
      <c r="M7438">
        <v>2.756602E-2</v>
      </c>
      <c r="N7438">
        <v>-8.3182940000000004E-3</v>
      </c>
      <c r="O7438">
        <v>0.99958539999999996</v>
      </c>
      <c r="P7438">
        <v>-7.4784470000000006E-2</v>
      </c>
      <c r="Q7438">
        <v>0.17169079999999901</v>
      </c>
      <c r="R7438">
        <v>0.98230830000000002</v>
      </c>
      <c r="S7438">
        <v>0.1026917</v>
      </c>
      <c r="T7438">
        <v>-7.5745220000000002E-2</v>
      </c>
      <c r="U7438">
        <v>3.0750120000000001</v>
      </c>
      <c r="V7438">
        <v>-0.1017378</v>
      </c>
      <c r="W7438">
        <v>0.179891</v>
      </c>
      <c r="X7438">
        <v>0.97841129999999998</v>
      </c>
      <c r="Y7438">
        <v>5.8073909999999899E-3</v>
      </c>
      <c r="Z7438">
        <v>-1.6291139999999999E-2</v>
      </c>
      <c r="AA7438">
        <v>0.99985049999999998</v>
      </c>
      <c r="AB7438">
        <v>34</v>
      </c>
      <c r="AC7438">
        <v>1.4947999999999899</v>
      </c>
      <c r="AD7438">
        <v>-1.109433780114</v>
      </c>
      <c r="AE7438">
        <v>44.705609999999901</v>
      </c>
      <c r="AF7438">
        <v>0.26167259613596999</v>
      </c>
      <c r="AG7438">
        <v>-1.109433780114</v>
      </c>
      <c r="AH7438">
        <v>44.702327713472002</v>
      </c>
      <c r="AI7438">
        <v>91.421665088145701</v>
      </c>
      <c r="AJ7438">
        <v>89.664613345679498</v>
      </c>
      <c r="AK7438">
        <v>44.716858329523397</v>
      </c>
      <c r="AL7438">
        <v>79.636589194516105</v>
      </c>
      <c r="AM7438">
        <v>95.936432666566304</v>
      </c>
      <c r="AN7438">
        <v>1.00000001189876</v>
      </c>
    </row>
    <row r="7439" spans="1:40" x14ac:dyDescent="0.25">
      <c r="A7439" t="str">
        <f>"20190304155247382"</f>
        <v>20190304155247382</v>
      </c>
      <c r="B7439" t="str">
        <f>"1551685967374189"</f>
        <v>1551685967374189</v>
      </c>
      <c r="C7439" t="s">
        <v>40</v>
      </c>
      <c r="D7439">
        <v>4.7615499999999997</v>
      </c>
      <c r="E7439">
        <v>0.53826790000000002</v>
      </c>
      <c r="F7439" t="s">
        <v>41</v>
      </c>
      <c r="G7439">
        <v>-185.97810000000001</v>
      </c>
      <c r="H7439" s="1">
        <v>-1.7589119999999999E-6</v>
      </c>
      <c r="I7439">
        <v>61.672080000000001</v>
      </c>
      <c r="J7439">
        <v>-187.38079999999999</v>
      </c>
      <c r="K7439">
        <v>1.109494</v>
      </c>
      <c r="L7439">
        <v>17.320219999999999</v>
      </c>
      <c r="M7439">
        <v>2.7617900000000001E-2</v>
      </c>
      <c r="N7439">
        <v>-8.3276189999999996E-3</v>
      </c>
      <c r="O7439">
        <v>0.99958380000000002</v>
      </c>
      <c r="P7439">
        <v>-7.4869439999999995E-2</v>
      </c>
      <c r="Q7439">
        <v>0.17167850000000001</v>
      </c>
      <c r="R7439">
        <v>0.98230399999999995</v>
      </c>
      <c r="S7439">
        <v>9.7152710000000003E-2</v>
      </c>
      <c r="T7439">
        <v>-7.6301460000000002E-2</v>
      </c>
      <c r="U7439">
        <v>3.0747680000000002</v>
      </c>
      <c r="V7439">
        <v>-0.10189960000000001</v>
      </c>
      <c r="W7439">
        <v>0.17987320000000001</v>
      </c>
      <c r="X7439">
        <v>0.97839770000000004</v>
      </c>
      <c r="Y7439">
        <v>3.9590429999999998E-3</v>
      </c>
      <c r="Z7439">
        <v>-1.6464960000000001E-2</v>
      </c>
      <c r="AA7439">
        <v>0.99985659999999998</v>
      </c>
      <c r="AB7439">
        <v>34</v>
      </c>
      <c r="AC7439">
        <v>1.4026999999999801</v>
      </c>
      <c r="AD7439">
        <v>-1.109495758912</v>
      </c>
      <c r="AE7439">
        <v>44.351859999999903</v>
      </c>
      <c r="AF7439">
        <v>0.17710639804196299</v>
      </c>
      <c r="AG7439">
        <v>-1.109495758912</v>
      </c>
      <c r="AH7439">
        <v>44.345958453553401</v>
      </c>
      <c r="AI7439">
        <v>91.433178153258893</v>
      </c>
      <c r="AJ7439">
        <v>89.771176550549797</v>
      </c>
      <c r="AK7439">
        <v>44.360189119068899</v>
      </c>
      <c r="AL7439">
        <v>79.637625615542404</v>
      </c>
      <c r="AM7439">
        <v>95.945888221897803</v>
      </c>
      <c r="AN7439">
        <v>0.99999997796184403</v>
      </c>
    </row>
    <row r="7440" spans="1:40" x14ac:dyDescent="0.25">
      <c r="A7440" t="str">
        <f>"20190304155247407"</f>
        <v>20190304155247407</v>
      </c>
      <c r="B7440" t="str">
        <f>"1551685967404445"</f>
        <v>1551685967404445</v>
      </c>
      <c r="C7440" t="s">
        <v>40</v>
      </c>
      <c r="D7440">
        <v>4.7722790000000002</v>
      </c>
      <c r="E7440">
        <v>0.53744429999999999</v>
      </c>
      <c r="F7440" t="s">
        <v>41</v>
      </c>
      <c r="G7440">
        <v>-186.047</v>
      </c>
      <c r="H7440" s="1">
        <v>-1.793987E-6</v>
      </c>
      <c r="I7440">
        <v>61.829039999999999</v>
      </c>
      <c r="J7440">
        <v>-187.3708</v>
      </c>
      <c r="K7440">
        <v>1.109537</v>
      </c>
      <c r="L7440">
        <v>17.67822</v>
      </c>
      <c r="M7440">
        <v>2.761653E-2</v>
      </c>
      <c r="N7440">
        <v>-8.3370000000000007E-3</v>
      </c>
      <c r="O7440">
        <v>0.99958380000000002</v>
      </c>
      <c r="P7440">
        <v>-7.5510720000000003E-2</v>
      </c>
      <c r="Q7440">
        <v>0.17095060000000001</v>
      </c>
      <c r="R7440">
        <v>0.98238179999999997</v>
      </c>
      <c r="S7440">
        <v>9.2132569999999997E-2</v>
      </c>
      <c r="T7440">
        <v>-7.6638819999999996E-2</v>
      </c>
      <c r="U7440">
        <v>3.0744630000000002</v>
      </c>
      <c r="V7440">
        <v>-0.1025653</v>
      </c>
      <c r="W7440">
        <v>0.17914179999999999</v>
      </c>
      <c r="X7440">
        <v>0.97846230000000001</v>
      </c>
      <c r="Y7440">
        <v>2.3326369999999998E-3</v>
      </c>
      <c r="Z7440">
        <v>-1.656811E-2</v>
      </c>
      <c r="AA7440">
        <v>0.99985999999999997</v>
      </c>
      <c r="AB7440">
        <v>34</v>
      </c>
      <c r="AC7440">
        <v>1.3238000000000001</v>
      </c>
      <c r="AD7440">
        <v>-1.1095387939870001</v>
      </c>
      <c r="AE7440">
        <v>44.150820000000003</v>
      </c>
      <c r="AF7440">
        <v>0.103894649190708</v>
      </c>
      <c r="AG7440">
        <v>-1.1095387939870001</v>
      </c>
      <c r="AH7440">
        <v>44.142686084408602</v>
      </c>
      <c r="AI7440">
        <v>91.439838328403695</v>
      </c>
      <c r="AJ7440">
        <v>89.865148353011193</v>
      </c>
      <c r="AK7440">
        <v>44.156750391985803</v>
      </c>
      <c r="AL7440">
        <v>79.680223384785094</v>
      </c>
      <c r="AM7440">
        <v>95.984058892252506</v>
      </c>
      <c r="AN7440">
        <v>0.99999994889630806</v>
      </c>
    </row>
    <row r="7441" spans="1:40" x14ac:dyDescent="0.25">
      <c r="A7441" t="str">
        <f>"20190304155247428"</f>
        <v>20190304155247428</v>
      </c>
      <c r="B7441" t="str">
        <f>"1551685967423966"</f>
        <v>1551685967423966</v>
      </c>
      <c r="C7441" t="s">
        <v>40</v>
      </c>
      <c r="D7441">
        <v>4.7573840000000001</v>
      </c>
      <c r="E7441">
        <v>0.53690979999999999</v>
      </c>
      <c r="F7441" t="s">
        <v>41</v>
      </c>
      <c r="G7441">
        <v>-186.19280000000001</v>
      </c>
      <c r="H7441" s="1">
        <v>-1.3649160000000001E-6</v>
      </c>
      <c r="I7441">
        <v>60.682160000000003</v>
      </c>
      <c r="J7441">
        <v>-187.36189999999999</v>
      </c>
      <c r="K7441">
        <v>1.1095759999999999</v>
      </c>
      <c r="L7441">
        <v>18.002659999999999</v>
      </c>
      <c r="M7441">
        <v>2.7575539999999999E-2</v>
      </c>
      <c r="N7441">
        <v>-8.3455089999999992E-3</v>
      </c>
      <c r="O7441">
        <v>0.9995849</v>
      </c>
      <c r="P7441">
        <v>-7.6120399999999894E-2</v>
      </c>
      <c r="Q7441">
        <v>0.17032229999999901</v>
      </c>
      <c r="R7441">
        <v>0.98244390000000004</v>
      </c>
      <c r="S7441">
        <v>8.4213259999999998E-2</v>
      </c>
      <c r="T7441">
        <v>-7.9313519999999998E-2</v>
      </c>
      <c r="U7441">
        <v>3.0740660000000002</v>
      </c>
      <c r="V7441">
        <v>-0.10315390000000001</v>
      </c>
      <c r="W7441">
        <v>0.17851220000000001</v>
      </c>
      <c r="X7441">
        <v>0.97851560000000004</v>
      </c>
      <c r="Y7441">
        <v>-1.962391E-4</v>
      </c>
      <c r="Z7441">
        <v>-1.7432240000000002E-2</v>
      </c>
      <c r="AA7441">
        <v>0.99984799999999996</v>
      </c>
      <c r="AB7441">
        <v>34</v>
      </c>
      <c r="AC7441">
        <v>1.16909999999998</v>
      </c>
      <c r="AD7441">
        <v>-1.1095773649159999</v>
      </c>
      <c r="AE7441">
        <v>42.679499999999898</v>
      </c>
      <c r="AF7441">
        <v>-8.2902425147182105E-3</v>
      </c>
      <c r="AG7441">
        <v>-1.1095773649159999</v>
      </c>
      <c r="AH7441">
        <v>42.666692099941699</v>
      </c>
      <c r="AI7441">
        <v>91.489681292080604</v>
      </c>
      <c r="AJ7441">
        <v>90.011132709799497</v>
      </c>
      <c r="AK7441">
        <v>42.6811181368071</v>
      </c>
      <c r="AL7441">
        <v>79.716888935047194</v>
      </c>
      <c r="AM7441">
        <v>96.017823387033204</v>
      </c>
      <c r="AN7441">
        <v>1.0000000560386999</v>
      </c>
    </row>
    <row r="7442" spans="1:40" x14ac:dyDescent="0.25">
      <c r="A7442" t="str">
        <f>"20190304155247450"</f>
        <v>20190304155247450</v>
      </c>
      <c r="B7442" t="str">
        <f>"1551685967444462"</f>
        <v>1551685967444462</v>
      </c>
      <c r="C7442" t="s">
        <v>40</v>
      </c>
      <c r="D7442">
        <v>4.7759879999999999</v>
      </c>
      <c r="E7442">
        <v>0.53643699999999905</v>
      </c>
      <c r="F7442" t="s">
        <v>41</v>
      </c>
      <c r="G7442">
        <v>-186.30019999999999</v>
      </c>
      <c r="H7442" s="1">
        <v>-1.030472E-6</v>
      </c>
      <c r="I7442">
        <v>59.783389999999997</v>
      </c>
      <c r="J7442">
        <v>-187.35249999999999</v>
      </c>
      <c r="K7442">
        <v>1.1096170000000001</v>
      </c>
      <c r="L7442">
        <v>18.345120000000001</v>
      </c>
      <c r="M7442">
        <v>2.75029E-2</v>
      </c>
      <c r="N7442">
        <v>-8.3545559999999904E-3</v>
      </c>
      <c r="O7442">
        <v>0.9995868</v>
      </c>
      <c r="P7442">
        <v>-7.6623040000000003E-2</v>
      </c>
      <c r="Q7442">
        <v>0.16977890000000001</v>
      </c>
      <c r="R7442">
        <v>0.98249889999999995</v>
      </c>
      <c r="S7442">
        <v>7.8109739999999997E-2</v>
      </c>
      <c r="T7442">
        <v>-8.1631899999999993E-2</v>
      </c>
      <c r="U7442">
        <v>3.0738219999999998</v>
      </c>
      <c r="V7442">
        <v>-0.103602399999999</v>
      </c>
      <c r="W7442">
        <v>0.17796890000000001</v>
      </c>
      <c r="X7442">
        <v>0.97856710000000002</v>
      </c>
      <c r="Y7442">
        <v>-2.1054070000000001E-3</v>
      </c>
      <c r="Z7442">
        <v>-1.817879E-2</v>
      </c>
      <c r="AA7442">
        <v>0.99983250000000001</v>
      </c>
      <c r="AB7442">
        <v>34</v>
      </c>
      <c r="AC7442">
        <v>1.0523</v>
      </c>
      <c r="AD7442">
        <v>-1.109618030472</v>
      </c>
      <c r="AE7442">
        <v>41.438270000000003</v>
      </c>
      <c r="AF7442">
        <v>-8.7747593806033003E-2</v>
      </c>
      <c r="AG7442">
        <v>-1.109618030472</v>
      </c>
      <c r="AH7442">
        <v>41.421854089787097</v>
      </c>
      <c r="AI7442">
        <v>91.534481923486197</v>
      </c>
      <c r="AJ7442">
        <v>90.121374558852807</v>
      </c>
      <c r="AK7442">
        <v>41.436806682578499</v>
      </c>
      <c r="AL7442">
        <v>79.748523500300493</v>
      </c>
      <c r="AM7442">
        <v>96.043479154408601</v>
      </c>
      <c r="AN7442">
        <v>0.99999997792768902</v>
      </c>
    </row>
    <row r="7443" spans="1:40" x14ac:dyDescent="0.25">
      <c r="A7443" t="str">
        <f>"20190304155247482"</f>
        <v>20190304155247482</v>
      </c>
      <c r="B7443" t="str">
        <f>"1551685967473742"</f>
        <v>1551685967473742</v>
      </c>
      <c r="C7443" t="s">
        <v>40</v>
      </c>
      <c r="D7443">
        <v>4.7092450000000001</v>
      </c>
      <c r="E7443">
        <v>0.5359083</v>
      </c>
      <c r="F7443" t="s">
        <v>41</v>
      </c>
      <c r="G7443">
        <v>-186.39160000000001</v>
      </c>
      <c r="H7443" s="1">
        <v>-4.6654240000000001E-6</v>
      </c>
      <c r="I7443">
        <v>59.015970000000003</v>
      </c>
      <c r="J7443">
        <v>-187.33920000000001</v>
      </c>
      <c r="K7443">
        <v>1.109656</v>
      </c>
      <c r="L7443">
        <v>18.831759999999999</v>
      </c>
      <c r="M7443">
        <v>2.7370889999999998E-2</v>
      </c>
      <c r="N7443">
        <v>-8.3675190000000003E-3</v>
      </c>
      <c r="O7443">
        <v>0.99959030000000004</v>
      </c>
      <c r="P7443">
        <v>-7.6822970000000004E-2</v>
      </c>
      <c r="Q7443">
        <v>0.16977619999999999</v>
      </c>
      <c r="R7443">
        <v>0.98248369999999996</v>
      </c>
      <c r="S7443">
        <v>7.261658E-2</v>
      </c>
      <c r="T7443">
        <v>-8.3856340000000001E-2</v>
      </c>
      <c r="U7443">
        <v>3.0735779999999999</v>
      </c>
      <c r="V7443">
        <v>-0.10369009999999999</v>
      </c>
      <c r="W7443">
        <v>0.17796890000000001</v>
      </c>
      <c r="X7443">
        <v>0.97855780000000003</v>
      </c>
      <c r="Y7443">
        <v>-3.7572410000000001E-3</v>
      </c>
      <c r="Z7443">
        <v>-1.889095E-2</v>
      </c>
      <c r="AA7443">
        <v>0.99981450000000005</v>
      </c>
      <c r="AB7443">
        <v>34</v>
      </c>
      <c r="AC7443">
        <v>0.947599999999994</v>
      </c>
      <c r="AD7443">
        <v>-1.109660665424</v>
      </c>
      <c r="AE7443">
        <v>40.184209999999901</v>
      </c>
      <c r="AF7443">
        <v>-0.15255490562204199</v>
      </c>
      <c r="AG7443">
        <v>-1.109660665424</v>
      </c>
      <c r="AH7443">
        <v>40.164480887652402</v>
      </c>
      <c r="AI7443">
        <v>91.582548658484995</v>
      </c>
      <c r="AJ7443">
        <v>90.217622884943196</v>
      </c>
      <c r="AK7443">
        <v>40.180096375770603</v>
      </c>
      <c r="AL7443">
        <v>79.748523387821393</v>
      </c>
      <c r="AM7443">
        <v>96.048614142399103</v>
      </c>
      <c r="AN7443">
        <v>0.99999996707302896</v>
      </c>
    </row>
    <row r="7444" spans="1:40" x14ac:dyDescent="0.25">
      <c r="A7444" t="str">
        <f>"20190304155247505"</f>
        <v>20190304155247505</v>
      </c>
      <c r="B7444" t="str">
        <f>"1551685967494237"</f>
        <v>1551685967494237</v>
      </c>
      <c r="C7444" t="s">
        <v>40</v>
      </c>
      <c r="D7444">
        <v>4.7994760000000003</v>
      </c>
      <c r="E7444">
        <v>0.53547</v>
      </c>
      <c r="F7444" t="s">
        <v>41</v>
      </c>
      <c r="G7444">
        <v>-186.4392</v>
      </c>
      <c r="H7444" s="1">
        <v>-9.8391689999999991E-7</v>
      </c>
      <c r="I7444">
        <v>59.755290000000002</v>
      </c>
      <c r="J7444">
        <v>-187.3296</v>
      </c>
      <c r="K7444">
        <v>1.109672</v>
      </c>
      <c r="L7444">
        <v>19.18582</v>
      </c>
      <c r="M7444">
        <v>2.7263240000000001E-2</v>
      </c>
      <c r="N7444">
        <v>-8.3767219999999996E-3</v>
      </c>
      <c r="O7444">
        <v>0.99959319999999896</v>
      </c>
      <c r="P7444">
        <v>-7.6592209999999994E-2</v>
      </c>
      <c r="Q7444">
        <v>0.16960710000000001</v>
      </c>
      <c r="R7444">
        <v>0.98253100000000004</v>
      </c>
      <c r="S7444">
        <v>6.7581180000000005E-2</v>
      </c>
      <c r="T7444">
        <v>-8.3329680000000003E-2</v>
      </c>
      <c r="U7444">
        <v>3.0731510000000002</v>
      </c>
      <c r="V7444">
        <v>-0.10336380000000001</v>
      </c>
      <c r="W7444">
        <v>0.17780370000000001</v>
      </c>
      <c r="X7444">
        <v>0.9786224</v>
      </c>
      <c r="Y7444">
        <v>-5.2833189999999999E-3</v>
      </c>
      <c r="Z7444">
        <v>-1.8714769999999999E-2</v>
      </c>
      <c r="AA7444">
        <v>0.99981089999999995</v>
      </c>
      <c r="AB7444">
        <v>34</v>
      </c>
      <c r="AC7444">
        <v>0.89039999999999897</v>
      </c>
      <c r="AD7444">
        <v>-1.1096729839168999</v>
      </c>
      <c r="AE7444">
        <v>40.569470000000003</v>
      </c>
      <c r="AF7444">
        <v>-0.21586356767227499</v>
      </c>
      <c r="AG7444">
        <v>-1.1096729839168999</v>
      </c>
      <c r="AH7444">
        <v>40.548343031385201</v>
      </c>
      <c r="AI7444">
        <v>91.567581026184499</v>
      </c>
      <c r="AJ7444">
        <v>90.305017507872606</v>
      </c>
      <c r="AK7444">
        <v>40.564098582391402</v>
      </c>
      <c r="AL7444">
        <v>79.758142568610495</v>
      </c>
      <c r="AM7444">
        <v>96.029325245988105</v>
      </c>
      <c r="AN7444">
        <v>1.0000000163329399</v>
      </c>
    </row>
    <row r="7445" spans="1:40" x14ac:dyDescent="0.25">
      <c r="A7445" t="str">
        <f>"20190304155247526"</f>
        <v>20190304155247526</v>
      </c>
      <c r="B7445" t="str">
        <f>"1551685967524494"</f>
        <v>1551685967524494</v>
      </c>
      <c r="C7445" t="s">
        <v>40</v>
      </c>
      <c r="D7445">
        <v>4.7691699999999999</v>
      </c>
      <c r="E7445">
        <v>0.53523580000000004</v>
      </c>
      <c r="F7445" t="s">
        <v>41</v>
      </c>
      <c r="G7445">
        <v>-186.4812</v>
      </c>
      <c r="H7445" s="1">
        <v>-4.9028010000000001E-6</v>
      </c>
      <c r="I7445">
        <v>59.606340000000003</v>
      </c>
      <c r="J7445">
        <v>-187.32089999999999</v>
      </c>
      <c r="K7445">
        <v>1.109685</v>
      </c>
      <c r="L7445">
        <v>19.507930000000002</v>
      </c>
      <c r="M7445">
        <v>2.716066E-2</v>
      </c>
      <c r="N7445">
        <v>-8.384987E-3</v>
      </c>
      <c r="O7445">
        <v>0.99959589999999998</v>
      </c>
      <c r="P7445">
        <v>-7.6333940000000003E-2</v>
      </c>
      <c r="Q7445">
        <v>0.169875</v>
      </c>
      <c r="R7445">
        <v>0.98250479999999996</v>
      </c>
      <c r="S7445">
        <v>6.4498899999999998E-2</v>
      </c>
      <c r="T7445">
        <v>-8.4362270000000003E-2</v>
      </c>
      <c r="U7445">
        <v>3.072937</v>
      </c>
      <c r="V7445">
        <v>-0.1030105</v>
      </c>
      <c r="W7445">
        <v>0.1780764</v>
      </c>
      <c r="X7445">
        <v>0.97860999999999998</v>
      </c>
      <c r="Y7445">
        <v>-6.1815430000000003E-3</v>
      </c>
      <c r="Z7445">
        <v>-1.9044100000000001E-2</v>
      </c>
      <c r="AA7445">
        <v>0.99979949999999995</v>
      </c>
      <c r="AB7445">
        <v>34</v>
      </c>
      <c r="AC7445">
        <v>0.83969999999999301</v>
      </c>
      <c r="AD7445">
        <v>-1.1096899028010001</v>
      </c>
      <c r="AE7445">
        <v>40.098410000000001</v>
      </c>
      <c r="AF7445">
        <v>-0.249556345237543</v>
      </c>
      <c r="AG7445">
        <v>-1.1096899028010001</v>
      </c>
      <c r="AH7445">
        <v>40.075744584823703</v>
      </c>
      <c r="AI7445">
        <v>91.586073440747896</v>
      </c>
      <c r="AJ7445">
        <v>90.356782903657802</v>
      </c>
      <c r="AK7445">
        <v>40.091881897434703</v>
      </c>
      <c r="AL7445">
        <v>79.742263928124103</v>
      </c>
      <c r="AM7445">
        <v>96.008943479420907</v>
      </c>
      <c r="AN7445">
        <v>0.99999994972360295</v>
      </c>
    </row>
    <row r="7446" spans="1:40" x14ac:dyDescent="0.25">
      <c r="A7446" t="str">
        <f>"20190304155247549"</f>
        <v>20190304155247549</v>
      </c>
      <c r="B7446" t="str">
        <f>"1551685967544014"</f>
        <v>1551685967544014</v>
      </c>
      <c r="C7446" t="s">
        <v>40</v>
      </c>
      <c r="D7446">
        <v>4.7286080000000004</v>
      </c>
      <c r="E7446">
        <v>0.53510809999999998</v>
      </c>
      <c r="F7446" t="s">
        <v>41</v>
      </c>
      <c r="G7446">
        <v>-186.44560000000001</v>
      </c>
      <c r="H7446" s="1">
        <v>-1.702408E-6</v>
      </c>
      <c r="I7446">
        <v>61.871580000000002</v>
      </c>
      <c r="J7446">
        <v>-187.31129999999999</v>
      </c>
      <c r="K7446">
        <v>1.109693</v>
      </c>
      <c r="L7446">
        <v>19.863980000000002</v>
      </c>
      <c r="M7446">
        <v>2.704488E-2</v>
      </c>
      <c r="N7446">
        <v>-8.3941710000000006E-3</v>
      </c>
      <c r="O7446">
        <v>0.99959900000000002</v>
      </c>
      <c r="P7446">
        <v>-7.6376730000000004E-2</v>
      </c>
      <c r="Q7446">
        <v>0.17010529999999999</v>
      </c>
      <c r="R7446">
        <v>0.98246160000000005</v>
      </c>
      <c r="S7446">
        <v>6.3476560000000001E-2</v>
      </c>
      <c r="T7446">
        <v>-8.0475930000000001E-2</v>
      </c>
      <c r="U7446">
        <v>3.0722659999999999</v>
      </c>
      <c r="V7446">
        <v>-0.10294349999999999</v>
      </c>
      <c r="W7446">
        <v>0.17831240000000001</v>
      </c>
      <c r="X7446">
        <v>0.97857419999999995</v>
      </c>
      <c r="Y7446">
        <v>-6.3932080000000001E-3</v>
      </c>
      <c r="Z7446">
        <v>-1.7778059999999998E-2</v>
      </c>
      <c r="AA7446">
        <v>0.99982150000000003</v>
      </c>
      <c r="AB7446">
        <v>34</v>
      </c>
      <c r="AC7446">
        <v>0.86569999999997505</v>
      </c>
      <c r="AD7446">
        <v>-1.1096947024079999</v>
      </c>
      <c r="AE7446">
        <v>42.007599999999996</v>
      </c>
      <c r="AF7446">
        <v>-0.27055845473339801</v>
      </c>
      <c r="AG7446">
        <v>-1.1096947024079999</v>
      </c>
      <c r="AH7446">
        <v>41.986359954140603</v>
      </c>
      <c r="AI7446">
        <v>91.513937040173104</v>
      </c>
      <c r="AJ7446">
        <v>90.369206642834698</v>
      </c>
      <c r="AK7446">
        <v>42.00189336695</v>
      </c>
      <c r="AL7446">
        <v>79.728523445570602</v>
      </c>
      <c r="AM7446">
        <v>96.005281798249996</v>
      </c>
      <c r="AN7446">
        <v>1.0000000705458201</v>
      </c>
    </row>
    <row r="7447" spans="1:40" x14ac:dyDescent="0.25">
      <c r="A7447" t="str">
        <f>"20190304155247571"</f>
        <v>20190304155247571</v>
      </c>
      <c r="B7447" t="str">
        <f>"1551685967564510"</f>
        <v>1551685967564510</v>
      </c>
      <c r="C7447" t="s">
        <v>40</v>
      </c>
      <c r="D7447">
        <v>5.1148470000000001</v>
      </c>
      <c r="E7447">
        <v>0.5349315</v>
      </c>
      <c r="F7447" t="s">
        <v>41</v>
      </c>
      <c r="G7447">
        <v>-186.42420000000001</v>
      </c>
      <c r="H7447" s="1">
        <v>-2.3475910000000002E-6</v>
      </c>
      <c r="I7447">
        <v>63.626510000000003</v>
      </c>
      <c r="J7447">
        <v>-187.3023</v>
      </c>
      <c r="K7447">
        <v>1.1097049999999999</v>
      </c>
      <c r="L7447">
        <v>20.199069999999999</v>
      </c>
      <c r="M7447">
        <v>2.693576E-2</v>
      </c>
      <c r="N7447">
        <v>-8.4028239999999997E-3</v>
      </c>
      <c r="O7447">
        <v>0.99960179999999998</v>
      </c>
      <c r="P7447">
        <v>-7.6694620000000005E-2</v>
      </c>
      <c r="Q7447">
        <v>0.16967750000000001</v>
      </c>
      <c r="R7447">
        <v>0.98251080000000002</v>
      </c>
      <c r="S7447">
        <v>6.2271119999999999E-2</v>
      </c>
      <c r="T7447">
        <v>-7.7894809999999995E-2</v>
      </c>
      <c r="U7447">
        <v>3.0718990000000002</v>
      </c>
      <c r="V7447">
        <v>-0.10315920000000001</v>
      </c>
      <c r="W7447">
        <v>0.17789189999999999</v>
      </c>
      <c r="X7447">
        <v>0.9786279</v>
      </c>
      <c r="Y7447">
        <v>-6.6734480000000002E-3</v>
      </c>
      <c r="Z7447">
        <v>-1.693366E-2</v>
      </c>
      <c r="AA7447">
        <v>0.99983440000000001</v>
      </c>
      <c r="AB7447">
        <v>34</v>
      </c>
      <c r="AC7447">
        <v>0.878099999999989</v>
      </c>
      <c r="AD7447">
        <v>-1.109707347591</v>
      </c>
      <c r="AE7447">
        <v>43.427439999999898</v>
      </c>
      <c r="AF7447">
        <v>-0.29182061422051703</v>
      </c>
      <c r="AG7447">
        <v>-1.109707347591</v>
      </c>
      <c r="AH7447">
        <v>43.407003509682298</v>
      </c>
      <c r="AI7447">
        <v>91.464424173567394</v>
      </c>
      <c r="AJ7447">
        <v>90.385187557855303</v>
      </c>
      <c r="AK7447">
        <v>43.422166728040601</v>
      </c>
      <c r="AL7447">
        <v>79.753006605260296</v>
      </c>
      <c r="AM7447">
        <v>96.0174447827752</v>
      </c>
      <c r="AN7447">
        <v>0.99999995764432903</v>
      </c>
    </row>
    <row r="7448" spans="1:40" x14ac:dyDescent="0.25">
      <c r="A7448" t="str">
        <f>"20190304155247640"</f>
        <v>20190304155247640</v>
      </c>
      <c r="B7448" t="str">
        <f>"1551685967633763"</f>
        <v>1551685967633763</v>
      </c>
      <c r="C7448" t="s">
        <v>40</v>
      </c>
      <c r="D7448">
        <v>4.6285230000000004</v>
      </c>
      <c r="E7448">
        <v>0.53562690000000002</v>
      </c>
      <c r="F7448" t="s">
        <v>41</v>
      </c>
      <c r="G7448">
        <v>-186.4444</v>
      </c>
      <c r="H7448" s="1">
        <v>-2.5073390000000001E-6</v>
      </c>
      <c r="I7448">
        <v>64.007249999999999</v>
      </c>
      <c r="J7448">
        <v>-187.27420000000001</v>
      </c>
      <c r="K7448">
        <v>1.1097049999999999</v>
      </c>
      <c r="L7448">
        <v>21.257719999999999</v>
      </c>
      <c r="M7448">
        <v>2.6595560000000001E-2</v>
      </c>
      <c r="N7448">
        <v>-8.4306699999999995E-3</v>
      </c>
      <c r="O7448">
        <v>0.99961069999999996</v>
      </c>
      <c r="P7448">
        <v>-7.7737799999999996E-2</v>
      </c>
      <c r="Q7448">
        <v>0.16896040000000001</v>
      </c>
      <c r="R7448">
        <v>0.98255239999999999</v>
      </c>
      <c r="S7448">
        <v>6.0150149999999999E-2</v>
      </c>
      <c r="T7448">
        <v>-7.7805159999999998E-2</v>
      </c>
      <c r="U7448">
        <v>3.0715330000000001</v>
      </c>
      <c r="V7448">
        <v>-0.1038765</v>
      </c>
      <c r="W7448">
        <v>0.17719840000000001</v>
      </c>
      <c r="X7448">
        <v>0.97867789999999999</v>
      </c>
      <c r="Y7448">
        <v>-7.0207769999999997E-3</v>
      </c>
      <c r="Z7448">
        <v>-1.688009E-2</v>
      </c>
      <c r="AA7448">
        <v>0.99983290000000002</v>
      </c>
      <c r="AB7448">
        <v>35</v>
      </c>
      <c r="AC7448">
        <v>0.82980000000000498</v>
      </c>
      <c r="AD7448">
        <v>-1.1097075073389999</v>
      </c>
      <c r="AE7448">
        <v>42.749529999999901</v>
      </c>
      <c r="AF7448">
        <v>-0.30727469134462398</v>
      </c>
      <c r="AG7448">
        <v>-1.1097075073389999</v>
      </c>
      <c r="AH7448">
        <v>42.727696523906602</v>
      </c>
      <c r="AI7448">
        <v>91.487691330864294</v>
      </c>
      <c r="AJ7448">
        <v>90.412033432739193</v>
      </c>
      <c r="AK7448">
        <v>42.743209036370203</v>
      </c>
      <c r="AL7448">
        <v>79.793383302734597</v>
      </c>
      <c r="AM7448">
        <v>96.058668639681102</v>
      </c>
      <c r="AN7448">
        <v>1.0000000160816001</v>
      </c>
    </row>
    <row r="7449" spans="1:40" x14ac:dyDescent="0.25">
      <c r="A7449" t="str">
        <f>"20190304155247660"</f>
        <v>20190304155247660</v>
      </c>
      <c r="B7449" t="str">
        <f>"1551685967654260"</f>
        <v>1551685967654260</v>
      </c>
      <c r="C7449" t="s">
        <v>40</v>
      </c>
      <c r="D7449">
        <v>4.8055409999999998</v>
      </c>
      <c r="E7449">
        <v>0.53629669999999996</v>
      </c>
      <c r="F7449" t="s">
        <v>41</v>
      </c>
      <c r="G7449">
        <v>-186.45859999999999</v>
      </c>
      <c r="H7449" s="1">
        <v>-1.259656E-6</v>
      </c>
      <c r="I7449">
        <v>60.580739999999999</v>
      </c>
      <c r="J7449">
        <v>-187.26589999999999</v>
      </c>
      <c r="K7449">
        <v>1.109704</v>
      </c>
      <c r="L7449">
        <v>21.570679999999999</v>
      </c>
      <c r="M7449">
        <v>2.649632E-2</v>
      </c>
      <c r="N7449">
        <v>-8.4390290000000007E-3</v>
      </c>
      <c r="O7449">
        <v>0.99961330000000004</v>
      </c>
      <c r="P7449">
        <v>-7.7841839999999995E-2</v>
      </c>
      <c r="Q7449">
        <v>0.1683887</v>
      </c>
      <c r="R7449">
        <v>0.98264229999999997</v>
      </c>
      <c r="S7449">
        <v>6.3735959999999994E-2</v>
      </c>
      <c r="T7449">
        <v>-8.6727739999999998E-2</v>
      </c>
      <c r="U7449">
        <v>3.073242</v>
      </c>
      <c r="V7449">
        <v>-0.1038863</v>
      </c>
      <c r="W7449">
        <v>0.17663470000000001</v>
      </c>
      <c r="X7449">
        <v>0.9787787</v>
      </c>
      <c r="Y7449">
        <v>-5.7674650000000003E-3</v>
      </c>
      <c r="Z7449">
        <v>-1.9756570000000001E-2</v>
      </c>
      <c r="AA7449">
        <v>0.99978820000000002</v>
      </c>
      <c r="AB7449">
        <v>35</v>
      </c>
      <c r="AC7449">
        <v>0.80729999999999702</v>
      </c>
      <c r="AD7449">
        <v>-1.109705259656</v>
      </c>
      <c r="AE7449">
        <v>39.010060000000003</v>
      </c>
      <c r="AF7449">
        <v>-0.226460108344442</v>
      </c>
      <c r="AG7449">
        <v>-1.109705259656</v>
      </c>
      <c r="AH7449">
        <v>38.986219665252399</v>
      </c>
      <c r="AI7449">
        <v>91.6304015560154</v>
      </c>
      <c r="AJ7449">
        <v>90.332811506663703</v>
      </c>
      <c r="AK7449">
        <v>39.002667264320401</v>
      </c>
      <c r="AL7449">
        <v>79.826198010984299</v>
      </c>
      <c r="AM7449">
        <v>96.058616607554896</v>
      </c>
      <c r="AN7449">
        <v>0.99999996207273401</v>
      </c>
    </row>
    <row r="7450" spans="1:40" x14ac:dyDescent="0.25">
      <c r="A7450" t="str">
        <f>"20190304155247684"</f>
        <v>20190304155247684</v>
      </c>
      <c r="B7450" t="str">
        <f>"1551685967673783"</f>
        <v>1551685967673783</v>
      </c>
      <c r="C7450" t="s">
        <v>40</v>
      </c>
      <c r="D7450">
        <v>4.4653409999999996</v>
      </c>
      <c r="E7450">
        <v>0.53713250000000001</v>
      </c>
      <c r="F7450" t="s">
        <v>41</v>
      </c>
      <c r="G7450">
        <v>-186.3964</v>
      </c>
      <c r="H7450" s="1">
        <v>-1.052834E-6</v>
      </c>
      <c r="I7450">
        <v>59.924309999999998</v>
      </c>
      <c r="J7450">
        <v>-187.25640000000001</v>
      </c>
      <c r="K7450">
        <v>1.1097079999999999</v>
      </c>
      <c r="L7450">
        <v>21.936160000000001</v>
      </c>
      <c r="M7450">
        <v>2.6380730000000002E-2</v>
      </c>
      <c r="N7450">
        <v>-8.4487239999999995E-3</v>
      </c>
      <c r="O7450">
        <v>0.99961630000000001</v>
      </c>
      <c r="P7450">
        <v>-7.7894930000000001E-2</v>
      </c>
      <c r="Q7450">
        <v>0.1674668</v>
      </c>
      <c r="R7450">
        <v>0.98279570000000005</v>
      </c>
      <c r="S7450">
        <v>6.9686890000000001E-2</v>
      </c>
      <c r="T7450">
        <v>-8.8934659999999999E-2</v>
      </c>
      <c r="U7450">
        <v>3.0737610000000002</v>
      </c>
      <c r="V7450">
        <v>-0.1038307</v>
      </c>
      <c r="W7450">
        <v>0.17572270000000001</v>
      </c>
      <c r="X7450">
        <v>0.97894879999999995</v>
      </c>
      <c r="Y7450">
        <v>-3.7212230000000001E-3</v>
      </c>
      <c r="Z7450">
        <v>-2.0458790000000001E-2</v>
      </c>
      <c r="AA7450">
        <v>0.9997838</v>
      </c>
      <c r="AB7450">
        <v>35</v>
      </c>
      <c r="AC7450">
        <v>0.86000000000001298</v>
      </c>
      <c r="AD7450">
        <v>-1.1097090528339999</v>
      </c>
      <c r="AE7450">
        <v>37.988149999999997</v>
      </c>
      <c r="AF7450">
        <v>-0.14236876422612901</v>
      </c>
      <c r="AG7450">
        <v>-1.1097090528339999</v>
      </c>
      <c r="AH7450">
        <v>37.965235552352901</v>
      </c>
      <c r="AI7450">
        <v>91.674244857969597</v>
      </c>
      <c r="AJ7450">
        <v>90.214856854441095</v>
      </c>
      <c r="AK7450">
        <v>37.981717096421598</v>
      </c>
      <c r="AL7450">
        <v>79.879282661371803</v>
      </c>
      <c r="AM7450">
        <v>96.0543537737598</v>
      </c>
      <c r="AN7450">
        <v>1.00000001728961</v>
      </c>
    </row>
    <row r="7451" spans="1:40" x14ac:dyDescent="0.25">
      <c r="A7451" t="str">
        <f>"20190304155247706"</f>
        <v>20190304155247706</v>
      </c>
      <c r="B7451" t="str">
        <f>"1551685967704036"</f>
        <v>1551685967704036</v>
      </c>
      <c r="C7451" t="s">
        <v>40</v>
      </c>
      <c r="D7451">
        <v>5.0183179999999998</v>
      </c>
      <c r="E7451">
        <v>0.53686020000000001</v>
      </c>
      <c r="F7451" t="s">
        <v>41</v>
      </c>
      <c r="G7451">
        <v>-186.2559</v>
      </c>
      <c r="H7451" s="1">
        <v>-1.7810829999999999E-6</v>
      </c>
      <c r="I7451">
        <v>61.954459999999997</v>
      </c>
      <c r="J7451">
        <v>-187.24700000000001</v>
      </c>
      <c r="K7451">
        <v>1.109699</v>
      </c>
      <c r="L7451">
        <v>22.293700000000001</v>
      </c>
      <c r="M7451">
        <v>2.626761E-2</v>
      </c>
      <c r="N7451">
        <v>-8.4582089999999995E-3</v>
      </c>
      <c r="O7451">
        <v>0.99961920000000004</v>
      </c>
      <c r="P7451">
        <v>-7.7854409999999999E-2</v>
      </c>
      <c r="Q7451">
        <v>0.1667621</v>
      </c>
      <c r="R7451">
        <v>0.98291870000000003</v>
      </c>
      <c r="S7451">
        <v>7.6827999999999994E-2</v>
      </c>
      <c r="T7451">
        <v>-8.5217829999999994E-2</v>
      </c>
      <c r="U7451">
        <v>3.0731199999999999</v>
      </c>
      <c r="V7451">
        <v>-0.1036836</v>
      </c>
      <c r="W7451">
        <v>0.17502889999999999</v>
      </c>
      <c r="X7451">
        <v>0.97908870000000003</v>
      </c>
      <c r="Y7451">
        <v>-1.281216E-3</v>
      </c>
      <c r="Z7451">
        <v>-1.924756E-2</v>
      </c>
      <c r="AA7451">
        <v>0.99981390000000003</v>
      </c>
      <c r="AB7451">
        <v>35</v>
      </c>
      <c r="AC7451">
        <v>0.99110000000001697</v>
      </c>
      <c r="AD7451">
        <v>-1.109700781083</v>
      </c>
      <c r="AE7451">
        <v>39.660760000000003</v>
      </c>
      <c r="AF7451">
        <v>-5.1032684885145001E-2</v>
      </c>
      <c r="AG7451">
        <v>-1.109700781083</v>
      </c>
      <c r="AH7451">
        <v>39.642093465802098</v>
      </c>
      <c r="AI7451">
        <v>91.6034601939417</v>
      </c>
      <c r="AJ7451">
        <v>90.073758865647093</v>
      </c>
      <c r="AK7451">
        <v>39.657655181690401</v>
      </c>
      <c r="AL7451">
        <v>79.919660531129793</v>
      </c>
      <c r="AM7451">
        <v>96.044982484561203</v>
      </c>
      <c r="AN7451">
        <v>1.00000004360592</v>
      </c>
    </row>
    <row r="7452" spans="1:40" x14ac:dyDescent="0.25">
      <c r="A7452" t="str">
        <f>"20190304155247727"</f>
        <v>20190304155247727</v>
      </c>
      <c r="B7452" t="str">
        <f>"1551685967724536"</f>
        <v>1551685967724536</v>
      </c>
      <c r="C7452" t="s">
        <v>40</v>
      </c>
      <c r="D7452">
        <v>4.9266030000000001</v>
      </c>
      <c r="E7452">
        <v>0.53646210000000005</v>
      </c>
      <c r="F7452" t="s">
        <v>41</v>
      </c>
      <c r="G7452">
        <v>-186.26750000000001</v>
      </c>
      <c r="H7452" s="1">
        <v>-1.834087E-6</v>
      </c>
      <c r="I7452">
        <v>62.119239999999998</v>
      </c>
      <c r="J7452">
        <v>-187.23859999999999</v>
      </c>
      <c r="K7452">
        <v>1.109694</v>
      </c>
      <c r="L7452">
        <v>22.616029999999999</v>
      </c>
      <c r="M7452">
        <v>2.6164030000000001E-2</v>
      </c>
      <c r="N7452">
        <v>-8.4668030000000002E-3</v>
      </c>
      <c r="O7452">
        <v>0.9996218</v>
      </c>
      <c r="P7452">
        <v>-7.7886449999999996E-2</v>
      </c>
      <c r="Q7452">
        <v>0.16627349999999999</v>
      </c>
      <c r="R7452">
        <v>0.98299890000000001</v>
      </c>
      <c r="S7452">
        <v>7.5576779999999996E-2</v>
      </c>
      <c r="T7452">
        <v>-8.5615990000000003E-2</v>
      </c>
      <c r="U7452">
        <v>3.072632</v>
      </c>
      <c r="V7452">
        <v>-0.1036165</v>
      </c>
      <c r="W7452">
        <v>0.17454810000000001</v>
      </c>
      <c r="X7452">
        <v>0.97918159999999999</v>
      </c>
      <c r="Y7452">
        <v>-1.5805249999999999E-3</v>
      </c>
      <c r="Z7452">
        <v>-1.937293E-2</v>
      </c>
      <c r="AA7452">
        <v>0.99981109999999895</v>
      </c>
      <c r="AB7452">
        <v>35</v>
      </c>
      <c r="AC7452">
        <v>0.97109999999997798</v>
      </c>
      <c r="AD7452">
        <v>-1.109695834087</v>
      </c>
      <c r="AE7452">
        <v>39.503210000000003</v>
      </c>
      <c r="AF7452">
        <v>-6.2783180612959594E-2</v>
      </c>
      <c r="AG7452">
        <v>-1.109695834087</v>
      </c>
      <c r="AH7452">
        <v>39.4839556592704</v>
      </c>
      <c r="AI7452">
        <v>91.609870990736894</v>
      </c>
      <c r="AJ7452">
        <v>90.091105568875804</v>
      </c>
      <c r="AK7452">
        <v>39.499596467244899</v>
      </c>
      <c r="AL7452">
        <v>79.947638721418997</v>
      </c>
      <c r="AM7452">
        <v>96.040530432696499</v>
      </c>
      <c r="AN7452">
        <v>1.0000000120322099</v>
      </c>
    </row>
    <row r="7453" spans="1:40" x14ac:dyDescent="0.25">
      <c r="A7453" t="str">
        <f>"20190304155247751"</f>
        <v>20190304155247751</v>
      </c>
      <c r="B7453" t="str">
        <f>"1551685967744055"</f>
        <v>1551685967744055</v>
      </c>
      <c r="C7453" t="s">
        <v>40</v>
      </c>
      <c r="D7453">
        <v>4.8939120000000003</v>
      </c>
      <c r="E7453">
        <v>0.53608739999999999</v>
      </c>
      <c r="F7453" t="s">
        <v>41</v>
      </c>
      <c r="G7453">
        <v>-186.30609999999999</v>
      </c>
      <c r="H7453" s="1">
        <v>-1.7659849999999999E-6</v>
      </c>
      <c r="I7453">
        <v>61.949300000000001</v>
      </c>
      <c r="J7453">
        <v>-187.22909999999999</v>
      </c>
      <c r="K7453">
        <v>1.109699</v>
      </c>
      <c r="L7453">
        <v>22.983830000000001</v>
      </c>
      <c r="M7453">
        <v>2.6038840000000001E-2</v>
      </c>
      <c r="N7453">
        <v>-8.4766219999999996E-3</v>
      </c>
      <c r="O7453">
        <v>0.99962499999999999</v>
      </c>
      <c r="P7453">
        <v>-7.8118939999999998E-2</v>
      </c>
      <c r="Q7453">
        <v>0.16586890000000001</v>
      </c>
      <c r="R7453">
        <v>0.98304879999999994</v>
      </c>
      <c r="S7453">
        <v>7.2845460000000001E-2</v>
      </c>
      <c r="T7453">
        <v>-8.6678499999999895E-2</v>
      </c>
      <c r="U7453">
        <v>3.072327</v>
      </c>
      <c r="V7453">
        <v>-0.1037293</v>
      </c>
      <c r="W7453">
        <v>0.174152799999999</v>
      </c>
      <c r="X7453">
        <v>0.97924</v>
      </c>
      <c r="Y7453">
        <v>-2.3412149999999998E-3</v>
      </c>
      <c r="Z7453">
        <v>-1.9711449999999998E-2</v>
      </c>
      <c r="AA7453">
        <v>0.99980290000000005</v>
      </c>
      <c r="AB7453">
        <v>35</v>
      </c>
      <c r="AC7453">
        <v>0.92300000000000104</v>
      </c>
      <c r="AD7453">
        <v>-1.109700765985</v>
      </c>
      <c r="AE7453">
        <v>38.965470000000003</v>
      </c>
      <c r="AF7453">
        <v>-9.1890580416810003E-2</v>
      </c>
      <c r="AG7453">
        <v>-1.109700765985</v>
      </c>
      <c r="AH7453">
        <v>38.944723098850702</v>
      </c>
      <c r="AI7453">
        <v>91.632154223496698</v>
      </c>
      <c r="AJ7453">
        <v>90.135189885701607</v>
      </c>
      <c r="AK7453">
        <v>38.960638302201197</v>
      </c>
      <c r="AL7453">
        <v>79.970639628241003</v>
      </c>
      <c r="AM7453">
        <v>96.046699673057702</v>
      </c>
      <c r="AN7453">
        <v>0.999999971513164</v>
      </c>
    </row>
    <row r="7454" spans="1:40" x14ac:dyDescent="0.25">
      <c r="A7454" t="str">
        <f>"20190304155247773"</f>
        <v>20190304155247773</v>
      </c>
      <c r="B7454" t="str">
        <f>"1551685967764551"</f>
        <v>1551685967764551</v>
      </c>
      <c r="C7454" t="s">
        <v>40</v>
      </c>
      <c r="D7454">
        <v>4.9745379999999999</v>
      </c>
      <c r="E7454">
        <v>0.53572059999999999</v>
      </c>
      <c r="F7454" t="s">
        <v>41</v>
      </c>
      <c r="G7454">
        <v>-186.35079999999999</v>
      </c>
      <c r="H7454" s="1">
        <v>-1.634416E-6</v>
      </c>
      <c r="I7454">
        <v>61.597630000000002</v>
      </c>
      <c r="J7454">
        <v>-187.22040000000001</v>
      </c>
      <c r="K7454">
        <v>1.109704</v>
      </c>
      <c r="L7454">
        <v>23.325589999999998</v>
      </c>
      <c r="M7454">
        <v>2.5912330000000001E-2</v>
      </c>
      <c r="N7454">
        <v>-8.4857679999999994E-3</v>
      </c>
      <c r="O7454">
        <v>0.99962819999999997</v>
      </c>
      <c r="P7454">
        <v>-7.8026689999999996E-2</v>
      </c>
      <c r="Q7454">
        <v>0.1658327</v>
      </c>
      <c r="R7454">
        <v>0.98306229999999994</v>
      </c>
      <c r="S7454">
        <v>6.9885249999999996E-2</v>
      </c>
      <c r="T7454">
        <v>-8.8289499999999896E-2</v>
      </c>
      <c r="U7454">
        <v>3.072174</v>
      </c>
      <c r="V7454">
        <v>-0.1035165</v>
      </c>
      <c r="W7454">
        <v>0.1741241</v>
      </c>
      <c r="X7454">
        <v>0.97926769999999996</v>
      </c>
      <c r="Y7454">
        <v>-3.176421E-3</v>
      </c>
      <c r="Z7454">
        <v>-2.0227539999999999E-2</v>
      </c>
      <c r="AA7454">
        <v>0.99979039999999997</v>
      </c>
      <c r="AB7454">
        <v>35</v>
      </c>
      <c r="AC7454">
        <v>0.86960000000001902</v>
      </c>
      <c r="AD7454">
        <v>-1.1097056344159999</v>
      </c>
      <c r="AE7454">
        <v>38.272039999999997</v>
      </c>
      <c r="AF7454">
        <v>-0.12234265336641</v>
      </c>
      <c r="AG7454">
        <v>-1.1097056344159999</v>
      </c>
      <c r="AH7454">
        <v>38.249581564273001</v>
      </c>
      <c r="AI7454">
        <v>91.661803652728693</v>
      </c>
      <c r="AJ7454">
        <v>90.183261973103797</v>
      </c>
      <c r="AK7454">
        <v>38.2658712714328</v>
      </c>
      <c r="AL7454">
        <v>79.972310307423399</v>
      </c>
      <c r="AM7454">
        <v>96.034217096286199</v>
      </c>
      <c r="AN7454">
        <v>1.0000000481181699</v>
      </c>
    </row>
    <row r="7455" spans="1:40" x14ac:dyDescent="0.25">
      <c r="A7455" t="str">
        <f>"20190304155247796"</f>
        <v>20190304155247796</v>
      </c>
      <c r="B7455" t="str">
        <f>"1551685967793831"</f>
        <v>1551685967793831</v>
      </c>
      <c r="C7455" t="s">
        <v>40</v>
      </c>
      <c r="D7455">
        <v>4.9984539999999997</v>
      </c>
      <c r="E7455">
        <v>0.53526859999999998</v>
      </c>
      <c r="F7455" t="s">
        <v>41</v>
      </c>
      <c r="G7455">
        <v>-186.37719999999999</v>
      </c>
      <c r="H7455" s="1">
        <v>-1.6430209999999999E-6</v>
      </c>
      <c r="I7455">
        <v>61.643599999999999</v>
      </c>
      <c r="J7455">
        <v>-187.21080000000001</v>
      </c>
      <c r="K7455">
        <v>1.1097140000000001</v>
      </c>
      <c r="L7455">
        <v>23.702359999999999</v>
      </c>
      <c r="M7455">
        <v>2.575935E-2</v>
      </c>
      <c r="N7455">
        <v>-8.4959040000000003E-3</v>
      </c>
      <c r="O7455">
        <v>0.99963210000000002</v>
      </c>
      <c r="P7455">
        <v>-7.7424240000000005E-2</v>
      </c>
      <c r="Q7455">
        <v>0.16531949999999901</v>
      </c>
      <c r="R7455">
        <v>0.98319630000000002</v>
      </c>
      <c r="S7455">
        <v>6.7596439999999994E-2</v>
      </c>
      <c r="T7455">
        <v>-8.8967920000000006E-2</v>
      </c>
      <c r="U7455">
        <v>3.0720519999999998</v>
      </c>
      <c r="V7455">
        <v>-0.10277210000000001</v>
      </c>
      <c r="W7455">
        <v>0.17361979999999999</v>
      </c>
      <c r="X7455">
        <v>0.97943559999999996</v>
      </c>
      <c r="Y7455">
        <v>-3.766999E-3</v>
      </c>
      <c r="Z7455">
        <v>-2.0439300000000001E-2</v>
      </c>
      <c r="AA7455">
        <v>0.99978400000000001</v>
      </c>
      <c r="AB7455">
        <v>35</v>
      </c>
      <c r="AC7455">
        <v>0.83360000000001799</v>
      </c>
      <c r="AD7455">
        <v>-1.10971564302099</v>
      </c>
      <c r="AE7455">
        <v>37.941239999999901</v>
      </c>
      <c r="AF7455">
        <v>-0.14393048917874701</v>
      </c>
      <c r="AG7455">
        <v>-1.10971564302099</v>
      </c>
      <c r="AH7455">
        <v>37.917701451888902</v>
      </c>
      <c r="AI7455">
        <v>91.676352174752694</v>
      </c>
      <c r="AJ7455">
        <v>90.217486019732803</v>
      </c>
      <c r="AK7455">
        <v>37.9342097346005</v>
      </c>
      <c r="AL7455">
        <v>80.0016511707082</v>
      </c>
      <c r="AM7455">
        <v>95.990121466795301</v>
      </c>
      <c r="AN7455">
        <v>1.0000000170189001</v>
      </c>
    </row>
    <row r="7456" spans="1:40" x14ac:dyDescent="0.25">
      <c r="A7456" t="str">
        <f>"20190304155247820"</f>
        <v>20190304155247820</v>
      </c>
      <c r="B7456" t="str">
        <f>"1551685967813858"</f>
        <v>1551685967813858</v>
      </c>
      <c r="C7456" t="s">
        <v>40</v>
      </c>
      <c r="D7456">
        <v>4.9688489999999996</v>
      </c>
      <c r="E7456">
        <v>0.53499929999999996</v>
      </c>
      <c r="F7456" t="s">
        <v>41</v>
      </c>
      <c r="G7456">
        <v>-186.41120000000001</v>
      </c>
      <c r="H7456" s="1">
        <v>-1.437225E-6</v>
      </c>
      <c r="I7456">
        <v>61.065429999999999</v>
      </c>
      <c r="J7456">
        <v>-187.20150000000001</v>
      </c>
      <c r="K7456">
        <v>1.109729</v>
      </c>
      <c r="L7456">
        <v>24.06879</v>
      </c>
      <c r="M7456">
        <v>2.558817E-2</v>
      </c>
      <c r="N7456">
        <v>-8.5057350000000004E-3</v>
      </c>
      <c r="O7456">
        <v>0.99963639999999998</v>
      </c>
      <c r="P7456">
        <v>-7.6787889999999998E-2</v>
      </c>
      <c r="Q7456">
        <v>0.16447490000000001</v>
      </c>
      <c r="R7456">
        <v>0.98338780000000003</v>
      </c>
      <c r="S7456">
        <v>6.5734860000000006E-2</v>
      </c>
      <c r="T7456">
        <v>-9.1234449999999995E-2</v>
      </c>
      <c r="U7456">
        <v>3.071777</v>
      </c>
      <c r="V7456">
        <v>-0.10197929999999999</v>
      </c>
      <c r="W7456">
        <v>0.17278250000000001</v>
      </c>
      <c r="X7456">
        <v>0.9796665</v>
      </c>
      <c r="Y7456">
        <v>-4.1996409999999996E-3</v>
      </c>
      <c r="Z7456">
        <v>-2.1168940000000001E-2</v>
      </c>
      <c r="AA7456">
        <v>0.99976710000000002</v>
      </c>
      <c r="AB7456">
        <v>35</v>
      </c>
      <c r="AC7456">
        <v>0.790300000000002</v>
      </c>
      <c r="AD7456">
        <v>-1.1097304372249901</v>
      </c>
      <c r="AE7456">
        <v>36.996639999999999</v>
      </c>
      <c r="AF7456">
        <v>-0.156528562938508</v>
      </c>
      <c r="AG7456">
        <v>-1.1097304372249901</v>
      </c>
      <c r="AH7456">
        <v>36.971499285932303</v>
      </c>
      <c r="AI7456">
        <v>91.719249087996602</v>
      </c>
      <c r="AJ7456">
        <v>90.242575297670399</v>
      </c>
      <c r="AK7456">
        <v>36.988481481185602</v>
      </c>
      <c r="AL7456">
        <v>80.050361041907294</v>
      </c>
      <c r="AM7456">
        <v>95.942853882875895</v>
      </c>
      <c r="AN7456">
        <v>1.0000000105784901</v>
      </c>
    </row>
    <row r="7457" spans="1:40" x14ac:dyDescent="0.25">
      <c r="A7457" t="str">
        <f>"20190304155247851"</f>
        <v>20190304155247851</v>
      </c>
      <c r="B7457" t="str">
        <f>"1551685967844115"</f>
        <v>1551685967844115</v>
      </c>
      <c r="C7457" t="s">
        <v>40</v>
      </c>
      <c r="D7457">
        <v>4.9333039999999997</v>
      </c>
      <c r="E7457">
        <v>0.53458969999999995</v>
      </c>
      <c r="F7457" t="s">
        <v>41</v>
      </c>
      <c r="G7457">
        <v>-186.43020000000001</v>
      </c>
      <c r="H7457" s="1">
        <v>-1.166601E-6</v>
      </c>
      <c r="I7457">
        <v>60.285020000000003</v>
      </c>
      <c r="J7457">
        <v>-187.1893</v>
      </c>
      <c r="K7457">
        <v>1.1097600000000001</v>
      </c>
      <c r="L7457">
        <v>24.553190000000001</v>
      </c>
      <c r="M7457">
        <v>2.5307280000000001E-2</v>
      </c>
      <c r="N7457">
        <v>-8.5187809999999996E-3</v>
      </c>
      <c r="O7457">
        <v>0.99964339999999996</v>
      </c>
      <c r="P7457">
        <v>-7.653923E-2</v>
      </c>
      <c r="Q7457">
        <v>0.16276160000000001</v>
      </c>
      <c r="R7457">
        <v>0.98369220000000002</v>
      </c>
      <c r="S7457">
        <v>6.5414429999999996E-2</v>
      </c>
      <c r="T7457">
        <v>-9.4117279999999998E-2</v>
      </c>
      <c r="U7457">
        <v>3.0715330000000001</v>
      </c>
      <c r="V7457">
        <v>-0.101476</v>
      </c>
      <c r="W7457">
        <v>0.17107729999999999</v>
      </c>
      <c r="X7457">
        <v>0.98001799999999994</v>
      </c>
      <c r="Y7457">
        <v>-4.0216449999999999E-3</v>
      </c>
      <c r="Z7457">
        <v>-2.209552E-2</v>
      </c>
      <c r="AA7457">
        <v>0.99974779999999996</v>
      </c>
      <c r="AB7457">
        <v>35</v>
      </c>
      <c r="AC7457">
        <v>0.75909999999998901</v>
      </c>
      <c r="AD7457">
        <v>-1.1097611666009899</v>
      </c>
      <c r="AE7457">
        <v>35.731829999999903</v>
      </c>
      <c r="AF7457">
        <v>-0.145311298356156</v>
      </c>
      <c r="AG7457">
        <v>-1.1097611666009899</v>
      </c>
      <c r="AH7457">
        <v>35.705170642879203</v>
      </c>
      <c r="AI7457">
        <v>91.780236324064703</v>
      </c>
      <c r="AJ7457">
        <v>90.233178500364502</v>
      </c>
      <c r="AK7457">
        <v>35.722708405962898</v>
      </c>
      <c r="AL7457">
        <v>80.149539052207601</v>
      </c>
      <c r="AM7457">
        <v>95.911626358938193</v>
      </c>
      <c r="AN7457">
        <v>1.0000000507376401</v>
      </c>
    </row>
    <row r="7458" spans="1:40" x14ac:dyDescent="0.25">
      <c r="A7458" t="str">
        <f>"20190304155247873"</f>
        <v>20190304155247873</v>
      </c>
      <c r="B7458" t="str">
        <f>"1551685967864239"</f>
        <v>1551685967864239</v>
      </c>
      <c r="C7458" t="s">
        <v>40</v>
      </c>
      <c r="D7458">
        <v>4.9390929999999997</v>
      </c>
      <c r="E7458">
        <v>0.53435159999999904</v>
      </c>
      <c r="F7458" t="s">
        <v>41</v>
      </c>
      <c r="G7458">
        <v>-186.4896</v>
      </c>
      <c r="H7458" s="1">
        <v>-4.4779760000000003E-6</v>
      </c>
      <c r="I7458">
        <v>58.61956</v>
      </c>
      <c r="J7458">
        <v>-187.18029999999999</v>
      </c>
      <c r="K7458">
        <v>1.1097939999999999</v>
      </c>
      <c r="L7458">
        <v>24.918610000000001</v>
      </c>
      <c r="M7458">
        <v>2.5040469999999999E-2</v>
      </c>
      <c r="N7458">
        <v>-8.5286689999999991E-3</v>
      </c>
      <c r="O7458">
        <v>0.99965009999999999</v>
      </c>
      <c r="P7458">
        <v>-7.7066640000000006E-2</v>
      </c>
      <c r="Q7458">
        <v>0.16214970000000001</v>
      </c>
      <c r="R7458">
        <v>0.98375210000000002</v>
      </c>
      <c r="S7458">
        <v>6.3079830000000003E-2</v>
      </c>
      <c r="T7458">
        <v>-0.100049</v>
      </c>
      <c r="U7458">
        <v>3.0711979999999999</v>
      </c>
      <c r="V7458">
        <v>-0.1017566</v>
      </c>
      <c r="W7458">
        <v>0.17046700000000001</v>
      </c>
      <c r="X7458">
        <v>0.98009520000000006</v>
      </c>
      <c r="Y7458">
        <v>-4.5128420000000004E-3</v>
      </c>
      <c r="Z7458">
        <v>-2.4017239999999999E-2</v>
      </c>
      <c r="AA7458">
        <v>0.99970139999999996</v>
      </c>
      <c r="AB7458">
        <v>35</v>
      </c>
      <c r="AC7458">
        <v>0.69069999999999199</v>
      </c>
      <c r="AD7458">
        <v>-1.109798477976</v>
      </c>
      <c r="AE7458">
        <v>33.700949999999999</v>
      </c>
      <c r="AF7458">
        <v>-0.15326873682264</v>
      </c>
      <c r="AG7458">
        <v>-1.109798477976</v>
      </c>
      <c r="AH7458">
        <v>33.671179074184202</v>
      </c>
      <c r="AI7458">
        <v>91.887759849278297</v>
      </c>
      <c r="AJ7458">
        <v>90.260804383493493</v>
      </c>
      <c r="AK7458">
        <v>33.689812172423601</v>
      </c>
      <c r="AL7458">
        <v>80.185027499008299</v>
      </c>
      <c r="AM7458">
        <v>95.927393261118695</v>
      </c>
      <c r="AN7458">
        <v>1.0000000023978</v>
      </c>
    </row>
    <row r="7459" spans="1:40" x14ac:dyDescent="0.25">
      <c r="A7459" t="str">
        <f>"20190304155247896"</f>
        <v>20190304155247896</v>
      </c>
      <c r="B7459" t="str">
        <f>"1551685967883762"</f>
        <v>1551685967883762</v>
      </c>
      <c r="C7459" t="s">
        <v>40</v>
      </c>
      <c r="D7459">
        <v>4.9435190000000002</v>
      </c>
      <c r="E7459">
        <v>0.53416909999999995</v>
      </c>
      <c r="F7459" t="s">
        <v>41</v>
      </c>
      <c r="G7459">
        <v>-186.5384</v>
      </c>
      <c r="H7459" s="1">
        <v>-4.3371359999999997E-6</v>
      </c>
      <c r="I7459">
        <v>58.311419999999998</v>
      </c>
      <c r="J7459">
        <v>-187.17189999999999</v>
      </c>
      <c r="K7459">
        <v>1.109826</v>
      </c>
      <c r="L7459">
        <v>25.26633</v>
      </c>
      <c r="M7459">
        <v>2.4746879999999999E-2</v>
      </c>
      <c r="N7459">
        <v>-8.5381599999999995E-3</v>
      </c>
      <c r="O7459">
        <v>0.99965729999999997</v>
      </c>
      <c r="P7459">
        <v>-7.8368989999999999E-2</v>
      </c>
      <c r="Q7459">
        <v>0.16172120000000001</v>
      </c>
      <c r="R7459">
        <v>0.98371980000000003</v>
      </c>
      <c r="S7459">
        <v>5.9036249999999998E-2</v>
      </c>
      <c r="T7459">
        <v>-0.1020631</v>
      </c>
      <c r="U7459">
        <v>3.0709840000000002</v>
      </c>
      <c r="V7459">
        <v>-0.102784</v>
      </c>
      <c r="W7459">
        <v>0.170039</v>
      </c>
      <c r="X7459">
        <v>0.9800624</v>
      </c>
      <c r="Y7459">
        <v>-5.5336200000000004E-3</v>
      </c>
      <c r="Z7459">
        <v>-2.4665099999999999E-2</v>
      </c>
      <c r="AA7459">
        <v>0.99968049999999997</v>
      </c>
      <c r="AB7459">
        <v>35</v>
      </c>
      <c r="AC7459">
        <v>0.63349999999999795</v>
      </c>
      <c r="AD7459">
        <v>-1.1098303371360001</v>
      </c>
      <c r="AE7459">
        <v>33.045090000000002</v>
      </c>
      <c r="AF7459">
        <v>-0.184278914015991</v>
      </c>
      <c r="AG7459">
        <v>-1.1098303371360001</v>
      </c>
      <c r="AH7459">
        <v>33.013422272720199</v>
      </c>
      <c r="AI7459">
        <v>91.925388583744507</v>
      </c>
      <c r="AJ7459">
        <v>90.319818232761705</v>
      </c>
      <c r="AK7459">
        <v>33.032585915309703</v>
      </c>
      <c r="AL7459">
        <v>80.209913987488804</v>
      </c>
      <c r="AM7459">
        <v>95.987006428558701</v>
      </c>
      <c r="AN7459">
        <v>1.00000006003537</v>
      </c>
    </row>
    <row r="7460" spans="1:40" x14ac:dyDescent="0.25">
      <c r="A7460" t="str">
        <f>"20190304155247917"</f>
        <v>20190304155247917</v>
      </c>
      <c r="B7460" t="str">
        <f>"1551685967914016"</f>
        <v>1551685967914016</v>
      </c>
      <c r="C7460" t="s">
        <v>40</v>
      </c>
      <c r="D7460">
        <v>5.032413</v>
      </c>
      <c r="E7460">
        <v>0.53386750000000005</v>
      </c>
      <c r="F7460" t="s">
        <v>41</v>
      </c>
      <c r="G7460">
        <v>-186.601</v>
      </c>
      <c r="H7460" s="1">
        <v>-4.2854889999999998E-6</v>
      </c>
      <c r="I7460">
        <v>58.216900000000003</v>
      </c>
      <c r="J7460">
        <v>-187.16380000000001</v>
      </c>
      <c r="K7460">
        <v>1.109856</v>
      </c>
      <c r="L7460">
        <v>25.60492</v>
      </c>
      <c r="M7460">
        <v>2.441861E-2</v>
      </c>
      <c r="N7460">
        <v>-8.5474119999999904E-3</v>
      </c>
      <c r="O7460">
        <v>0.99966529999999998</v>
      </c>
      <c r="P7460">
        <v>-7.9176150000000001E-2</v>
      </c>
      <c r="Q7460">
        <v>0.16138</v>
      </c>
      <c r="R7460">
        <v>0.98371109999999995</v>
      </c>
      <c r="S7460">
        <v>5.3207400000000002E-2</v>
      </c>
      <c r="T7460">
        <v>-0.10343280000000001</v>
      </c>
      <c r="U7460">
        <v>3.0708920000000002</v>
      </c>
      <c r="V7460">
        <v>-0.10328270000000001</v>
      </c>
      <c r="W7460">
        <v>0.16969690000000001</v>
      </c>
      <c r="X7460">
        <v>0.98006919999999997</v>
      </c>
      <c r="Y7460">
        <v>-7.1014249999999998E-3</v>
      </c>
      <c r="Z7460">
        <v>-2.5102590000000001E-2</v>
      </c>
      <c r="AA7460">
        <v>0.99965970000000004</v>
      </c>
      <c r="AB7460">
        <v>35</v>
      </c>
      <c r="AC7460">
        <v>0.56280000000000996</v>
      </c>
      <c r="AD7460">
        <v>-1.1098602854889901</v>
      </c>
      <c r="AE7460">
        <v>32.611979999999903</v>
      </c>
      <c r="AF7460">
        <v>-0.23346580510992301</v>
      </c>
      <c r="AG7460">
        <v>-1.1098602854889901</v>
      </c>
      <c r="AH7460">
        <v>32.5782775705826</v>
      </c>
      <c r="AI7460">
        <v>91.951118975703594</v>
      </c>
      <c r="AJ7460">
        <v>90.410591882345699</v>
      </c>
      <c r="AK7460">
        <v>32.598013215553301</v>
      </c>
      <c r="AL7460">
        <v>80.229803298695998</v>
      </c>
      <c r="AM7460">
        <v>96.015800973402605</v>
      </c>
      <c r="AN7460">
        <v>0.99999999538876905</v>
      </c>
    </row>
    <row r="7461" spans="1:40" x14ac:dyDescent="0.25">
      <c r="A7461" t="str">
        <f>"20190304155247940"</f>
        <v>20190304155247940</v>
      </c>
      <c r="B7461" t="str">
        <f>"1551685967934511"</f>
        <v>1551685967934511</v>
      </c>
      <c r="C7461" t="s">
        <v>40</v>
      </c>
      <c r="D7461">
        <v>4.9674449999999997</v>
      </c>
      <c r="E7461">
        <v>0.53362969999999998</v>
      </c>
      <c r="F7461" t="s">
        <v>41</v>
      </c>
      <c r="G7461">
        <v>-186.65029999999999</v>
      </c>
      <c r="H7461" s="1">
        <v>-4.3377809999999999E-6</v>
      </c>
      <c r="I7461">
        <v>58.359180000000002</v>
      </c>
      <c r="J7461">
        <v>-187.15539999999999</v>
      </c>
      <c r="K7461">
        <v>1.1098920000000001</v>
      </c>
      <c r="L7461">
        <v>25.963229999999999</v>
      </c>
      <c r="M7461">
        <v>2.4025560000000001E-2</v>
      </c>
      <c r="N7461">
        <v>-8.5571810000000005E-3</v>
      </c>
      <c r="O7461">
        <v>0.99967470000000003</v>
      </c>
      <c r="P7461">
        <v>-7.9886009999999993E-2</v>
      </c>
      <c r="Q7461">
        <v>0.160695799999999</v>
      </c>
      <c r="R7461">
        <v>0.98376580000000002</v>
      </c>
      <c r="S7461">
        <v>4.814148E-2</v>
      </c>
      <c r="T7461">
        <v>-0.10404620000000001</v>
      </c>
      <c r="U7461">
        <v>3.0706180000000001</v>
      </c>
      <c r="V7461">
        <v>-0.1036236</v>
      </c>
      <c r="W7461">
        <v>0.16901350000000001</v>
      </c>
      <c r="X7461">
        <v>0.98015129999999995</v>
      </c>
      <c r="Y7461">
        <v>-8.3553329999999995E-3</v>
      </c>
      <c r="Z7461">
        <v>-2.52958E-2</v>
      </c>
      <c r="AA7461">
        <v>0.99964509999999995</v>
      </c>
      <c r="AB7461">
        <v>35</v>
      </c>
      <c r="AC7461">
        <v>0.505099999999998</v>
      </c>
      <c r="AD7461">
        <v>-1.1098963377810001</v>
      </c>
      <c r="AE7461">
        <v>32.395949999999999</v>
      </c>
      <c r="AF7461">
        <v>-0.27308470441483701</v>
      </c>
      <c r="AG7461">
        <v>-1.1098963377810001</v>
      </c>
      <c r="AH7461">
        <v>32.3607589120734</v>
      </c>
      <c r="AI7461">
        <v>91.964267803207704</v>
      </c>
      <c r="AJ7461">
        <v>90.483493902561904</v>
      </c>
      <c r="AK7461">
        <v>32.380938258514703</v>
      </c>
      <c r="AL7461">
        <v>80.269533099086004</v>
      </c>
      <c r="AM7461">
        <v>96.035008882039904</v>
      </c>
      <c r="AN7461">
        <v>0.999999992275449</v>
      </c>
    </row>
    <row r="7462" spans="1:40" x14ac:dyDescent="0.25">
      <c r="A7462" t="str">
        <f>"20190304155247962"</f>
        <v>20190304155247962</v>
      </c>
      <c r="B7462" t="str">
        <f>"1551685967954032"</f>
        <v>1551685967954032</v>
      </c>
      <c r="C7462" t="s">
        <v>40</v>
      </c>
      <c r="D7462">
        <v>4.8635609999999998</v>
      </c>
      <c r="E7462">
        <v>0.53351819999999905</v>
      </c>
      <c r="F7462" t="s">
        <v>41</v>
      </c>
      <c r="G7462">
        <v>-186.68950000000001</v>
      </c>
      <c r="H7462" s="1">
        <v>-4.2725729999999999E-6</v>
      </c>
      <c r="I7462">
        <v>58.223399999999998</v>
      </c>
      <c r="J7462">
        <v>-187.1474</v>
      </c>
      <c r="K7462">
        <v>1.109926</v>
      </c>
      <c r="L7462">
        <v>26.314150000000001</v>
      </c>
      <c r="M7462">
        <v>2.3601179999999999E-2</v>
      </c>
      <c r="N7462">
        <v>-8.5667150000000008E-3</v>
      </c>
      <c r="O7462">
        <v>0.99968480000000004</v>
      </c>
      <c r="P7462">
        <v>-8.0228740000000007E-2</v>
      </c>
      <c r="Q7462">
        <v>0.16095680000000001</v>
      </c>
      <c r="R7462">
        <v>0.98369519999999999</v>
      </c>
      <c r="S7462">
        <v>4.4342039999999999E-2</v>
      </c>
      <c r="T7462">
        <v>-0.1056348</v>
      </c>
      <c r="U7462">
        <v>3.0703740000000002</v>
      </c>
      <c r="V7462">
        <v>-0.1035623</v>
      </c>
      <c r="W7462">
        <v>0.16927439999999999</v>
      </c>
      <c r="X7462">
        <v>0.98011280000000001</v>
      </c>
      <c r="Y7462">
        <v>-9.1663319999999993E-3</v>
      </c>
      <c r="Z7462">
        <v>-2.580588E-2</v>
      </c>
      <c r="AA7462">
        <v>0.99962499999999999</v>
      </c>
      <c r="AB7462">
        <v>35</v>
      </c>
      <c r="AC7462">
        <v>0.45789999999999498</v>
      </c>
      <c r="AD7462">
        <v>-1.109930272573</v>
      </c>
      <c r="AE7462">
        <v>31.90925</v>
      </c>
      <c r="AF7462">
        <v>-0.29499425835030602</v>
      </c>
      <c r="AG7462">
        <v>-1.109930272573</v>
      </c>
      <c r="AH7462">
        <v>31.872613000831802</v>
      </c>
      <c r="AI7462">
        <v>91.994374022616995</v>
      </c>
      <c r="AJ7462">
        <v>90.530281071930204</v>
      </c>
      <c r="AK7462">
        <v>31.8932975141052</v>
      </c>
      <c r="AL7462">
        <v>80.254366530281402</v>
      </c>
      <c r="AM7462">
        <v>96.031700288223604</v>
      </c>
      <c r="AN7462">
        <v>1.0000000366002399</v>
      </c>
    </row>
    <row r="7463" spans="1:40" x14ac:dyDescent="0.25">
      <c r="A7463" t="str">
        <f>"20190304155247986"</f>
        <v>20190304155247986</v>
      </c>
      <c r="B7463" t="str">
        <f>"1551685967974530"</f>
        <v>1551685967974530</v>
      </c>
      <c r="C7463" t="s">
        <v>40</v>
      </c>
      <c r="D7463">
        <v>4.9268349999999996</v>
      </c>
      <c r="E7463">
        <v>0.53336349999999999</v>
      </c>
      <c r="F7463" t="s">
        <v>41</v>
      </c>
      <c r="G7463">
        <v>-186.69290000000001</v>
      </c>
      <c r="H7463" s="1">
        <v>-4.5429460000000002E-6</v>
      </c>
      <c r="I7463">
        <v>58.855060000000002</v>
      </c>
      <c r="J7463">
        <v>-187.13890000000001</v>
      </c>
      <c r="K7463">
        <v>1.10995</v>
      </c>
      <c r="L7463">
        <v>26.693729999999999</v>
      </c>
      <c r="M7463">
        <v>2.3109060000000001E-2</v>
      </c>
      <c r="N7463">
        <v>-8.5769149999999992E-3</v>
      </c>
      <c r="O7463">
        <v>0.99969609999999998</v>
      </c>
      <c r="P7463">
        <v>-8.0282210000000007E-2</v>
      </c>
      <c r="Q7463">
        <v>0.16125970000000001</v>
      </c>
      <c r="R7463">
        <v>0.98364119999999999</v>
      </c>
      <c r="S7463">
        <v>4.2877199999999997E-2</v>
      </c>
      <c r="T7463">
        <v>-0.1047256</v>
      </c>
      <c r="U7463">
        <v>3.0703429999999998</v>
      </c>
      <c r="V7463">
        <v>-0.1031451</v>
      </c>
      <c r="W7463">
        <v>0.16957939999999999</v>
      </c>
      <c r="X7463">
        <v>0.98010399999999998</v>
      </c>
      <c r="Y7463">
        <v>-9.1506620000000004E-3</v>
      </c>
      <c r="Z7463">
        <v>-2.550111E-2</v>
      </c>
      <c r="AA7463">
        <v>0.99963290000000005</v>
      </c>
      <c r="AB7463">
        <v>36</v>
      </c>
      <c r="AC7463">
        <v>0.44599999999999801</v>
      </c>
      <c r="AD7463">
        <v>-1.109954542946</v>
      </c>
      <c r="AE7463">
        <v>32.1613299999999</v>
      </c>
      <c r="AF7463">
        <v>-0.29701090210365799</v>
      </c>
      <c r="AG7463">
        <v>-1.109954542946</v>
      </c>
      <c r="AH7463">
        <v>32.124791736860402</v>
      </c>
      <c r="AI7463">
        <v>91.978774150010295</v>
      </c>
      <c r="AJ7463">
        <v>90.5297150699095</v>
      </c>
      <c r="AK7463">
        <v>32.145333389156697</v>
      </c>
      <c r="AL7463">
        <v>80.236634289201604</v>
      </c>
      <c r="AM7463">
        <v>96.00763322748</v>
      </c>
      <c r="AN7463">
        <v>0.99999996768718402</v>
      </c>
    </row>
    <row r="7464" spans="1:40" x14ac:dyDescent="0.25">
      <c r="A7464" t="str">
        <f>"20190304155248009"</f>
        <v>20190304155248009</v>
      </c>
      <c r="B7464" t="str">
        <f>"1551685968003807"</f>
        <v>1551685968003807</v>
      </c>
      <c r="C7464" t="s">
        <v>40</v>
      </c>
      <c r="D7464">
        <v>4.9318410000000004</v>
      </c>
      <c r="E7464">
        <v>0.53314919999999899</v>
      </c>
      <c r="F7464" t="s">
        <v>41</v>
      </c>
      <c r="G7464">
        <v>-186.6857</v>
      </c>
      <c r="H7464" s="1">
        <v>-9.0557349999999997E-7</v>
      </c>
      <c r="I7464">
        <v>59.717770000000002</v>
      </c>
      <c r="J7464">
        <v>-187.1309</v>
      </c>
      <c r="K7464">
        <v>1.10997099999999</v>
      </c>
      <c r="L7464">
        <v>27.056979999999999</v>
      </c>
      <c r="M7464">
        <v>2.2613879999999999E-2</v>
      </c>
      <c r="N7464">
        <v>-8.5865980000000008E-3</v>
      </c>
      <c r="O7464">
        <v>0.99970740000000002</v>
      </c>
      <c r="P7464">
        <v>-8.0880250000000001E-2</v>
      </c>
      <c r="Q7464">
        <v>0.16156789999999999</v>
      </c>
      <c r="R7464">
        <v>0.98354169999999996</v>
      </c>
      <c r="S7464">
        <v>4.2129519999999997E-2</v>
      </c>
      <c r="T7464">
        <v>-0.1031923</v>
      </c>
      <c r="U7464">
        <v>3.0702509999999998</v>
      </c>
      <c r="V7464">
        <v>-0.1032652</v>
      </c>
      <c r="W7464">
        <v>0.1698904</v>
      </c>
      <c r="X7464">
        <v>0.98003750000000001</v>
      </c>
      <c r="Y7464">
        <v>-8.8982179999999994E-3</v>
      </c>
      <c r="Z7464">
        <v>-2.499463E-2</v>
      </c>
      <c r="AA7464">
        <v>0.99964799999999998</v>
      </c>
      <c r="AB7464">
        <v>36</v>
      </c>
      <c r="AC7464">
        <v>0.44519999999999899</v>
      </c>
      <c r="AD7464">
        <v>-1.10997190557349</v>
      </c>
      <c r="AE7464">
        <v>32.660789999999899</v>
      </c>
      <c r="AF7464">
        <v>-0.29318970960366297</v>
      </c>
      <c r="AG7464">
        <v>-1.10997190557349</v>
      </c>
      <c r="AH7464">
        <v>32.624831532736202</v>
      </c>
      <c r="AI7464">
        <v>91.948504147902</v>
      </c>
      <c r="AJ7464">
        <v>90.514886360125203</v>
      </c>
      <c r="AK7464">
        <v>32.645024588387102</v>
      </c>
      <c r="AL7464">
        <v>80.218553013220998</v>
      </c>
      <c r="AM7464">
        <v>96.014982268099104</v>
      </c>
      <c r="AN7464">
        <v>0.99999997547472397</v>
      </c>
    </row>
    <row r="7465" spans="1:40" x14ac:dyDescent="0.25">
      <c r="A7465" t="str">
        <f>"20190304155248033"</f>
        <v>20190304155248033</v>
      </c>
      <c r="B7465" t="str">
        <f>"1551685968023835"</f>
        <v>1551685968023835</v>
      </c>
      <c r="C7465" t="s">
        <v>40</v>
      </c>
      <c r="D7465">
        <v>4.9743079999999997</v>
      </c>
      <c r="E7465">
        <v>0.53302720000000003</v>
      </c>
      <c r="F7465" t="s">
        <v>41</v>
      </c>
      <c r="G7465">
        <v>-186.6995</v>
      </c>
      <c r="H7465" s="1">
        <v>-1.217269E-6</v>
      </c>
      <c r="I7465">
        <v>60.644509999999997</v>
      </c>
      <c r="J7465">
        <v>-187.12289999999999</v>
      </c>
      <c r="K7465">
        <v>1.1099909999999999</v>
      </c>
      <c r="L7465">
        <v>27.433499999999999</v>
      </c>
      <c r="M7465">
        <v>2.2084929999999999E-2</v>
      </c>
      <c r="N7465">
        <v>-8.5965490000000002E-3</v>
      </c>
      <c r="O7465">
        <v>0.99971909999999997</v>
      </c>
      <c r="P7465">
        <v>-8.1543829999999998E-2</v>
      </c>
      <c r="Q7465">
        <v>0.16212489999999999</v>
      </c>
      <c r="R7465">
        <v>0.98339520000000002</v>
      </c>
      <c r="S7465">
        <v>3.9428709999999999E-2</v>
      </c>
      <c r="T7465">
        <v>-0.10145899999999999</v>
      </c>
      <c r="U7465">
        <v>3.0701290000000001</v>
      </c>
      <c r="V7465">
        <v>-0.1034149</v>
      </c>
      <c r="W7465">
        <v>0.17045150000000001</v>
      </c>
      <c r="X7465">
        <v>0.97992429999999997</v>
      </c>
      <c r="Y7465">
        <v>-9.2476050000000008E-3</v>
      </c>
      <c r="Z7465">
        <v>-2.4423110000000001E-2</v>
      </c>
      <c r="AA7465">
        <v>0.99965890000000002</v>
      </c>
      <c r="AB7465">
        <v>36</v>
      </c>
      <c r="AC7465">
        <v>0.42339999999998601</v>
      </c>
      <c r="AD7465">
        <v>-1.109992217269</v>
      </c>
      <c r="AE7465">
        <v>33.211009999999902</v>
      </c>
      <c r="AF7465">
        <v>-0.309847176924198</v>
      </c>
      <c r="AG7465">
        <v>-1.109992217269</v>
      </c>
      <c r="AH7465">
        <v>33.175207673435303</v>
      </c>
      <c r="AI7465">
        <v>91.916231644125205</v>
      </c>
      <c r="AJ7465">
        <v>90.535111024325701</v>
      </c>
      <c r="AK7465">
        <v>33.195217911184201</v>
      </c>
      <c r="AL7465">
        <v>80.185928696336106</v>
      </c>
      <c r="AM7465">
        <v>96.024328645210304</v>
      </c>
      <c r="AN7465">
        <v>0.99999999456237398</v>
      </c>
    </row>
    <row r="7466" spans="1:40" x14ac:dyDescent="0.25">
      <c r="A7466" t="str">
        <f>"20190304155248053"</f>
        <v>20190304155248053</v>
      </c>
      <c r="B7466" t="str">
        <f>"1551685968044331"</f>
        <v>1551685968044331</v>
      </c>
      <c r="C7466" t="s">
        <v>40</v>
      </c>
      <c r="D7466">
        <v>4.9715379999999998</v>
      </c>
      <c r="E7466">
        <v>0.53288630000000003</v>
      </c>
      <c r="F7466" t="s">
        <v>41</v>
      </c>
      <c r="G7466">
        <v>-186.7132</v>
      </c>
      <c r="H7466" s="1">
        <v>-1.5817119999999999E-6</v>
      </c>
      <c r="I7466">
        <v>61.726089999999999</v>
      </c>
      <c r="J7466">
        <v>-187.11609999999999</v>
      </c>
      <c r="K7466">
        <v>1.1100099999999999</v>
      </c>
      <c r="L7466">
        <v>27.759640000000001</v>
      </c>
      <c r="M7466">
        <v>2.1620179999999999E-2</v>
      </c>
      <c r="N7466">
        <v>-8.6051440000000003E-3</v>
      </c>
      <c r="O7466">
        <v>0.99972919999999998</v>
      </c>
      <c r="P7466">
        <v>-8.2162780000000005E-2</v>
      </c>
      <c r="Q7466">
        <v>0.16196279999999999</v>
      </c>
      <c r="R7466">
        <v>0.98337039999999998</v>
      </c>
      <c r="S7466">
        <v>3.668213E-2</v>
      </c>
      <c r="T7466">
        <v>-9.9372859999999993E-2</v>
      </c>
      <c r="U7466">
        <v>3.070068</v>
      </c>
      <c r="V7466">
        <v>-0.1035822</v>
      </c>
      <c r="W7466">
        <v>0.17029459999999999</v>
      </c>
      <c r="X7466">
        <v>0.97993390000000002</v>
      </c>
      <c r="Y7466">
        <v>-9.6764350000000006E-3</v>
      </c>
      <c r="Z7466">
        <v>-2.3737370000000001E-2</v>
      </c>
      <c r="AA7466">
        <v>0.99967139999999999</v>
      </c>
      <c r="AB7466">
        <v>36</v>
      </c>
      <c r="AC7466">
        <v>0.40289999999998799</v>
      </c>
      <c r="AD7466">
        <v>-1.110011581712</v>
      </c>
      <c r="AE7466">
        <v>33.966449999999902</v>
      </c>
      <c r="AF7466">
        <v>-0.33122846395807298</v>
      </c>
      <c r="AG7466">
        <v>-1.110011581712</v>
      </c>
      <c r="AH7466">
        <v>33.930989253291997</v>
      </c>
      <c r="AI7466">
        <v>91.873605228033597</v>
      </c>
      <c r="AJ7466">
        <v>90.559293750829198</v>
      </c>
      <c r="AK7466">
        <v>33.950756541112398</v>
      </c>
      <c r="AL7466">
        <v>80.195051698952199</v>
      </c>
      <c r="AM7466">
        <v>96.033944014942506</v>
      </c>
      <c r="AN7466">
        <v>0.99999998565760495</v>
      </c>
    </row>
    <row r="7467" spans="1:40" x14ac:dyDescent="0.25">
      <c r="A7467" t="str">
        <f>"20190304155248085"</f>
        <v>20190304155248085</v>
      </c>
      <c r="B7467" t="str">
        <f>"1551685968074587"</f>
        <v>1551685968074587</v>
      </c>
      <c r="C7467" t="s">
        <v>40</v>
      </c>
      <c r="D7467">
        <v>4.9840839999999904</v>
      </c>
      <c r="E7467">
        <v>0.53268919999999997</v>
      </c>
      <c r="F7467" t="s">
        <v>41</v>
      </c>
      <c r="G7467">
        <v>-186.74340000000001</v>
      </c>
      <c r="H7467" s="1">
        <v>-1.6459190000000001E-6</v>
      </c>
      <c r="I7467">
        <v>61.938389999999998</v>
      </c>
      <c r="J7467">
        <v>-187.1053</v>
      </c>
      <c r="K7467">
        <v>1.1100190000000001</v>
      </c>
      <c r="L7467">
        <v>28.289280000000002</v>
      </c>
      <c r="M7467">
        <v>2.0860389999999999E-2</v>
      </c>
      <c r="N7467">
        <v>-8.6191229999999994E-3</v>
      </c>
      <c r="O7467">
        <v>0.9997452</v>
      </c>
      <c r="P7467">
        <v>-8.4156949999999994E-2</v>
      </c>
      <c r="Q7467">
        <v>0.1623724</v>
      </c>
      <c r="R7467">
        <v>0.98313419999999896</v>
      </c>
      <c r="S7467">
        <v>3.3477779999999999E-2</v>
      </c>
      <c r="T7467">
        <v>-9.9701639999999994E-2</v>
      </c>
      <c r="U7467">
        <v>3.0699459999999998</v>
      </c>
      <c r="V7467">
        <v>-0.1048323</v>
      </c>
      <c r="W7467">
        <v>0.1707099</v>
      </c>
      <c r="X7467">
        <v>0.97972870000000001</v>
      </c>
      <c r="Y7467">
        <v>-9.9592670000000008E-3</v>
      </c>
      <c r="Z7467">
        <v>-2.3832389999999998E-2</v>
      </c>
      <c r="AA7467">
        <v>0.99966630000000001</v>
      </c>
      <c r="AB7467">
        <v>36</v>
      </c>
      <c r="AC7467">
        <v>0.36189999999999101</v>
      </c>
      <c r="AD7467">
        <v>-1.1100206459190001</v>
      </c>
      <c r="AE7467">
        <v>33.64911</v>
      </c>
      <c r="AF7467">
        <v>-0.33976872086078902</v>
      </c>
      <c r="AG7467">
        <v>-1.1100206459190001</v>
      </c>
      <c r="AH7467">
        <v>33.612763307681298</v>
      </c>
      <c r="AI7467">
        <v>91.891339529447293</v>
      </c>
      <c r="AJ7467">
        <v>90.579144610431001</v>
      </c>
      <c r="AK7467">
        <v>33.632803121301798</v>
      </c>
      <c r="AL7467">
        <v>80.170903336615694</v>
      </c>
      <c r="AM7467">
        <v>96.107488075478201</v>
      </c>
      <c r="AN7467">
        <v>1.0000000033424901</v>
      </c>
    </row>
    <row r="7468" spans="1:40" x14ac:dyDescent="0.25">
      <c r="A7468" t="str">
        <f>"20190304155248107"</f>
        <v>20190304155248107</v>
      </c>
      <c r="B7468" t="str">
        <f>"1551685968103867"</f>
        <v>1551685968103867</v>
      </c>
      <c r="C7468" t="s">
        <v>40</v>
      </c>
      <c r="D7468">
        <v>4.9819610000000001</v>
      </c>
      <c r="E7468">
        <v>0.53251559999999998</v>
      </c>
      <c r="F7468" t="s">
        <v>41</v>
      </c>
      <c r="G7468">
        <v>-186.80889999999999</v>
      </c>
      <c r="H7468" s="1">
        <v>-2.029248E-6</v>
      </c>
      <c r="I7468">
        <v>63.043529999999997</v>
      </c>
      <c r="J7468">
        <v>-187.0985</v>
      </c>
      <c r="K7468">
        <v>1.1100270000000001</v>
      </c>
      <c r="L7468">
        <v>28.638819999999999</v>
      </c>
      <c r="M7468">
        <v>2.0358899999999999E-2</v>
      </c>
      <c r="N7468">
        <v>-8.6285509999999999E-3</v>
      </c>
      <c r="O7468">
        <v>0.99975550000000002</v>
      </c>
      <c r="P7468">
        <v>-8.5817370000000004E-2</v>
      </c>
      <c r="Q7468">
        <v>0.162129</v>
      </c>
      <c r="R7468">
        <v>0.98303079999999998</v>
      </c>
      <c r="S7468">
        <v>2.6184079999999998E-2</v>
      </c>
      <c r="T7468">
        <v>-9.8050479999999995E-2</v>
      </c>
      <c r="U7468">
        <v>3.0699160000000001</v>
      </c>
      <c r="V7468">
        <v>-0.1060014</v>
      </c>
      <c r="W7468">
        <v>0.1704717</v>
      </c>
      <c r="X7468">
        <v>0.97964439999999997</v>
      </c>
      <c r="Y7468">
        <v>-1.1831990000000001E-2</v>
      </c>
      <c r="Z7468">
        <v>-2.3286649999999999E-2</v>
      </c>
      <c r="AA7468">
        <v>0.99965879999999996</v>
      </c>
      <c r="AB7468">
        <v>36</v>
      </c>
      <c r="AC7468">
        <v>0.28960000000000702</v>
      </c>
      <c r="AD7468">
        <v>-1.110029029248</v>
      </c>
      <c r="AE7468">
        <v>34.404709999999902</v>
      </c>
      <c r="AF7468">
        <v>-0.41050087225531601</v>
      </c>
      <c r="AG7468">
        <v>-1.110029029248</v>
      </c>
      <c r="AH7468">
        <v>34.367702000165501</v>
      </c>
      <c r="AI7468">
        <v>91.849799118728697</v>
      </c>
      <c r="AJ7468">
        <v>90.684329986484201</v>
      </c>
      <c r="AK7468">
        <v>34.388073749253103</v>
      </c>
      <c r="AL7468">
        <v>80.184754421600601</v>
      </c>
      <c r="AM7468">
        <v>96.175603303136896</v>
      </c>
      <c r="AN7468">
        <v>1.0000000238771001</v>
      </c>
    </row>
    <row r="7469" spans="1:40" x14ac:dyDescent="0.25">
      <c r="A7469" t="str">
        <f>"20190304155248130"</f>
        <v>20190304155248130</v>
      </c>
      <c r="B7469" t="str">
        <f>"1551685968123892"</f>
        <v>1551685968123892</v>
      </c>
      <c r="C7469" t="s">
        <v>40</v>
      </c>
      <c r="D7469">
        <v>4.9933120000000004</v>
      </c>
      <c r="E7469">
        <v>0.53242089999999997</v>
      </c>
      <c r="F7469" t="s">
        <v>41</v>
      </c>
      <c r="G7469">
        <v>-186.87219999999999</v>
      </c>
      <c r="H7469" s="1">
        <v>-2.1121679999999998E-6</v>
      </c>
      <c r="I7469">
        <v>63.262970000000003</v>
      </c>
      <c r="J7469">
        <v>-187.0915</v>
      </c>
      <c r="K7469">
        <v>1.1100300000000001</v>
      </c>
      <c r="L7469">
        <v>29.006900000000002</v>
      </c>
      <c r="M7469">
        <v>1.9831910000000001E-2</v>
      </c>
      <c r="N7469">
        <v>-8.638326E-3</v>
      </c>
      <c r="O7469">
        <v>0.99976600000000004</v>
      </c>
      <c r="P7469">
        <v>-8.6758959999999996E-2</v>
      </c>
      <c r="Q7469">
        <v>0.16190889999999999</v>
      </c>
      <c r="R7469">
        <v>0.98298439999999998</v>
      </c>
      <c r="S7469">
        <v>2.0065309999999999E-2</v>
      </c>
      <c r="T7469">
        <v>-9.8414779999999993E-2</v>
      </c>
      <c r="U7469">
        <v>3.069763</v>
      </c>
      <c r="V7469">
        <v>-0.1064276</v>
      </c>
      <c r="W7469">
        <v>0.17025879999999999</v>
      </c>
      <c r="X7469">
        <v>0.97963520000000004</v>
      </c>
      <c r="Y7469">
        <v>-1.329667E-2</v>
      </c>
      <c r="Z7469">
        <v>-2.3397210000000002E-2</v>
      </c>
      <c r="AA7469">
        <v>0.99963780000000002</v>
      </c>
      <c r="AB7469">
        <v>36</v>
      </c>
      <c r="AC7469">
        <v>0.21930000000000399</v>
      </c>
      <c r="AD7469">
        <v>-1.1100321121679999</v>
      </c>
      <c r="AE7469">
        <v>34.256069999999902</v>
      </c>
      <c r="AF7469">
        <v>-0.45964916666363698</v>
      </c>
      <c r="AG7469">
        <v>-1.1100321121679999</v>
      </c>
      <c r="AH7469">
        <v>34.2177538744494</v>
      </c>
      <c r="AI7469">
        <v>91.857869682408506</v>
      </c>
      <c r="AJ7469">
        <v>90.769611397991795</v>
      </c>
      <c r="AK7469">
        <v>34.238839478855901</v>
      </c>
      <c r="AL7469">
        <v>80.197133518365405</v>
      </c>
      <c r="AM7469">
        <v>96.200298323523199</v>
      </c>
      <c r="AN7469">
        <v>1.0000000090491199</v>
      </c>
    </row>
    <row r="7470" spans="1:40" x14ac:dyDescent="0.25">
      <c r="A7470" t="str">
        <f>"20190304155248153"</f>
        <v>20190304155248153</v>
      </c>
      <c r="B7470" t="str">
        <f>"1551685968144389"</f>
        <v>1551685968144389</v>
      </c>
      <c r="C7470" t="s">
        <v>40</v>
      </c>
      <c r="D7470">
        <v>4.9792139999999998</v>
      </c>
      <c r="E7470">
        <v>0.53231289999999998</v>
      </c>
      <c r="F7470" t="s">
        <v>41</v>
      </c>
      <c r="G7470">
        <v>-186.9058</v>
      </c>
      <c r="H7470" s="1">
        <v>-2.181299E-6</v>
      </c>
      <c r="I7470">
        <v>63.438009999999998</v>
      </c>
      <c r="J7470">
        <v>-187.0847</v>
      </c>
      <c r="K7470">
        <v>1.1100460000000001</v>
      </c>
      <c r="L7470">
        <v>29.366969999999998</v>
      </c>
      <c r="M7470">
        <v>1.9317689999999998E-2</v>
      </c>
      <c r="N7470">
        <v>-8.6476509999999993E-3</v>
      </c>
      <c r="O7470">
        <v>0.999776</v>
      </c>
      <c r="P7470">
        <v>-8.7295319999999996E-2</v>
      </c>
      <c r="Q7470">
        <v>0.16136610000000001</v>
      </c>
      <c r="R7470">
        <v>0.98302619999999996</v>
      </c>
      <c r="S7470">
        <v>1.6555790000000001E-2</v>
      </c>
      <c r="T7470">
        <v>-9.896481E-2</v>
      </c>
      <c r="U7470">
        <v>3.0697019999999999</v>
      </c>
      <c r="V7470">
        <v>-0.1064619</v>
      </c>
      <c r="W7470">
        <v>0.1697246</v>
      </c>
      <c r="X7470">
        <v>0.97972420000000005</v>
      </c>
      <c r="Y7470">
        <v>-1.392497E-2</v>
      </c>
      <c r="Z7470">
        <v>-2.3567749999999998E-2</v>
      </c>
      <c r="AA7470">
        <v>0.99962530000000005</v>
      </c>
      <c r="AB7470">
        <v>36</v>
      </c>
      <c r="AC7470">
        <v>0.17889999999999801</v>
      </c>
      <c r="AD7470">
        <v>-1.110048181299</v>
      </c>
      <c r="AE7470">
        <v>34.071040000000004</v>
      </c>
      <c r="AF7470">
        <v>-0.47882353521462501</v>
      </c>
      <c r="AG7470">
        <v>-1.110048181299</v>
      </c>
      <c r="AH7470">
        <v>34.032014401572098</v>
      </c>
      <c r="AI7470">
        <v>91.868013055103106</v>
      </c>
      <c r="AJ7470">
        <v>90.806086800574406</v>
      </c>
      <c r="AK7470">
        <v>34.053479751289601</v>
      </c>
      <c r="AL7470">
        <v>80.228193304462295</v>
      </c>
      <c r="AM7470">
        <v>96.201721977702604</v>
      </c>
      <c r="AN7470">
        <v>1.0000000420312001</v>
      </c>
    </row>
    <row r="7471" spans="1:40" x14ac:dyDescent="0.25">
      <c r="A7471" t="str">
        <f>"20190304155248175"</f>
        <v>20190304155248175</v>
      </c>
      <c r="B7471" t="str">
        <f>"1551685968163908"</f>
        <v>1551685968163908</v>
      </c>
      <c r="C7471" t="s">
        <v>40</v>
      </c>
      <c r="D7471">
        <v>4.989312</v>
      </c>
      <c r="E7471">
        <v>0.53223109999999996</v>
      </c>
      <c r="F7471" t="s">
        <v>41</v>
      </c>
      <c r="G7471">
        <v>-186.92830000000001</v>
      </c>
      <c r="H7471" s="1">
        <v>-2.1121390000000001E-6</v>
      </c>
      <c r="I7471">
        <v>63.286099999999998</v>
      </c>
      <c r="J7471">
        <v>-187.078</v>
      </c>
      <c r="K7471">
        <v>1.11005</v>
      </c>
      <c r="L7471">
        <v>29.739529999999998</v>
      </c>
      <c r="M7471">
        <v>1.8786580000000001E-2</v>
      </c>
      <c r="N7471">
        <v>-8.6572899999999998E-3</v>
      </c>
      <c r="O7471">
        <v>0.99978599999999995</v>
      </c>
      <c r="P7471">
        <v>-8.7384779999999995E-2</v>
      </c>
      <c r="Q7471">
        <v>0.16127929999999999</v>
      </c>
      <c r="R7471">
        <v>0.98303249999999998</v>
      </c>
      <c r="S7471">
        <v>1.416016E-2</v>
      </c>
      <c r="T7471">
        <v>-0.100455</v>
      </c>
      <c r="U7471">
        <v>3.06955</v>
      </c>
      <c r="V7471">
        <v>-0.106033</v>
      </c>
      <c r="W7471">
        <v>0.16964660000000001</v>
      </c>
      <c r="X7471">
        <v>0.97978419999999999</v>
      </c>
      <c r="Y7471">
        <v>-1.417363E-2</v>
      </c>
      <c r="Z7471">
        <v>-2.4044820000000001E-2</v>
      </c>
      <c r="AA7471">
        <v>0.99961040000000001</v>
      </c>
      <c r="AB7471">
        <v>36</v>
      </c>
      <c r="AC7471">
        <v>0.149699999999995</v>
      </c>
      <c r="AD7471">
        <v>-1.1100521121389999</v>
      </c>
      <c r="AE7471">
        <v>33.546570000000003</v>
      </c>
      <c r="AF7471">
        <v>-0.48004976778758002</v>
      </c>
      <c r="AG7471">
        <v>-1.1100521121389999</v>
      </c>
      <c r="AH7471">
        <v>33.506774409347003</v>
      </c>
      <c r="AI7471">
        <v>91.8972739043068</v>
      </c>
      <c r="AJ7471">
        <v>90.820817416000693</v>
      </c>
      <c r="AK7471">
        <v>33.528593689418102</v>
      </c>
      <c r="AL7471">
        <v>80.232727943249699</v>
      </c>
      <c r="AM7471">
        <v>96.176555465878394</v>
      </c>
      <c r="AN7471">
        <v>1.00000002227509</v>
      </c>
    </row>
    <row r="7472" spans="1:40" x14ac:dyDescent="0.25">
      <c r="A7472" t="str">
        <f>"20190304155248197"</f>
        <v>20190304155248197</v>
      </c>
      <c r="B7472" t="str">
        <f>"1551685968194165"</f>
        <v>1551685968194165</v>
      </c>
      <c r="C7472" t="s">
        <v>40</v>
      </c>
      <c r="D7472">
        <v>5.0080539999999996</v>
      </c>
      <c r="E7472">
        <v>0.53216300000000005</v>
      </c>
      <c r="F7472" t="s">
        <v>41</v>
      </c>
      <c r="G7472">
        <v>-186.9256</v>
      </c>
      <c r="H7472" s="1">
        <v>-2.2689049999999999E-6</v>
      </c>
      <c r="I7472">
        <v>63.650440000000003</v>
      </c>
      <c r="J7472">
        <v>-187.0719</v>
      </c>
      <c r="K7472">
        <v>1.110052</v>
      </c>
      <c r="L7472">
        <v>30.089289999999998</v>
      </c>
      <c r="M7472">
        <v>1.8288370000000002E-2</v>
      </c>
      <c r="N7472">
        <v>-8.666389E-3</v>
      </c>
      <c r="O7472">
        <v>0.9997952</v>
      </c>
      <c r="P7472">
        <v>-8.7426009999999998E-2</v>
      </c>
      <c r="Q7472">
        <v>0.161233399999999</v>
      </c>
      <c r="R7472">
        <v>0.98303640000000003</v>
      </c>
      <c r="S7472">
        <v>1.3793949999999999E-2</v>
      </c>
      <c r="T7472">
        <v>-0.10047780000000001</v>
      </c>
      <c r="U7472">
        <v>3.0694889999999999</v>
      </c>
      <c r="V7472">
        <v>-0.1055866</v>
      </c>
      <c r="W7472">
        <v>0.16960939999999999</v>
      </c>
      <c r="X7472">
        <v>0.97983880000000001</v>
      </c>
      <c r="Y7472">
        <v>-1.3794600000000001E-2</v>
      </c>
      <c r="Z7472">
        <v>-2.4044309999999999E-2</v>
      </c>
      <c r="AA7472">
        <v>0.9996157</v>
      </c>
      <c r="AB7472">
        <v>36</v>
      </c>
      <c r="AC7472">
        <v>0.14629999999999599</v>
      </c>
      <c r="AD7472">
        <v>-1.1100542689049999</v>
      </c>
      <c r="AE7472">
        <v>33.561149999999998</v>
      </c>
      <c r="AF7472">
        <v>-0.467015343447514</v>
      </c>
      <c r="AG7472">
        <v>-1.1100542689049999</v>
      </c>
      <c r="AH7472">
        <v>33.521540639979598</v>
      </c>
      <c r="AI7472">
        <v>91.896453026386098</v>
      </c>
      <c r="AJ7472">
        <v>90.798181606202704</v>
      </c>
      <c r="AK7472">
        <v>33.543166378395597</v>
      </c>
      <c r="AL7472">
        <v>80.234890235258902</v>
      </c>
      <c r="AM7472">
        <v>96.150411725843597</v>
      </c>
      <c r="AN7472">
        <v>0.99999997632667903</v>
      </c>
    </row>
    <row r="7473" spans="1:40" x14ac:dyDescent="0.25">
      <c r="A7473" t="str">
        <f>"20190304155248221"</f>
        <v>20190304155248221</v>
      </c>
      <c r="B7473" t="str">
        <f>"1551685968214191"</f>
        <v>1551685968214191</v>
      </c>
      <c r="C7473" t="s">
        <v>40</v>
      </c>
      <c r="D7473">
        <v>4.9456259999999999</v>
      </c>
      <c r="E7473">
        <v>0.53212369999999898</v>
      </c>
      <c r="F7473" t="s">
        <v>41</v>
      </c>
      <c r="G7473">
        <v>-186.92619999999999</v>
      </c>
      <c r="H7473" s="1">
        <v>-2.4210319999999998E-6</v>
      </c>
      <c r="I7473">
        <v>64.005290000000002</v>
      </c>
      <c r="J7473">
        <v>-187.06540000000001</v>
      </c>
      <c r="K7473">
        <v>1.110058</v>
      </c>
      <c r="L7473">
        <v>30.4697</v>
      </c>
      <c r="M7473">
        <v>1.7746599999999901E-2</v>
      </c>
      <c r="N7473">
        <v>-8.6763099999999996E-3</v>
      </c>
      <c r="O7473">
        <v>0.9998049</v>
      </c>
      <c r="P7473">
        <v>-8.7372939999999996E-2</v>
      </c>
      <c r="Q7473">
        <v>0.1612635</v>
      </c>
      <c r="R7473">
        <v>0.98303620000000003</v>
      </c>
      <c r="S7473">
        <v>1.318359E-2</v>
      </c>
      <c r="T7473">
        <v>-0.10046090000000001</v>
      </c>
      <c r="U7473">
        <v>3.0694270000000001</v>
      </c>
      <c r="V7473">
        <v>-0.10500370000000001</v>
      </c>
      <c r="W7473">
        <v>0.16964939999999901</v>
      </c>
      <c r="X7473">
        <v>0.9798945</v>
      </c>
      <c r="Y7473">
        <v>-1.345152E-2</v>
      </c>
      <c r="Z7473">
        <v>-2.4030079999999999E-2</v>
      </c>
      <c r="AA7473">
        <v>0.99962070000000003</v>
      </c>
      <c r="AB7473">
        <v>36</v>
      </c>
      <c r="AC7473">
        <v>0.13920000000001601</v>
      </c>
      <c r="AD7473">
        <v>-1.110060421032</v>
      </c>
      <c r="AE7473">
        <v>33.535589999999999</v>
      </c>
      <c r="AF7473">
        <v>-0.45548795175435702</v>
      </c>
      <c r="AG7473">
        <v>-1.110060421032</v>
      </c>
      <c r="AH7473">
        <v>33.496078578529897</v>
      </c>
      <c r="AI7473">
        <v>91.897912778968205</v>
      </c>
      <c r="AJ7473">
        <v>90.7790741470359</v>
      </c>
      <c r="AK7473">
        <v>33.517562315174203</v>
      </c>
      <c r="AL7473">
        <v>80.232564576024302</v>
      </c>
      <c r="AM7473">
        <v>96.116370887827898</v>
      </c>
      <c r="AN7473">
        <v>0.99999996353214904</v>
      </c>
    </row>
    <row r="7474" spans="1:40" x14ac:dyDescent="0.25">
      <c r="A7474" t="str">
        <f>"20190304155248242"</f>
        <v>20190304155248242</v>
      </c>
      <c r="B7474" t="str">
        <f>"1551685968234687"</f>
        <v>1551685968234687</v>
      </c>
      <c r="C7474" t="s">
        <v>40</v>
      </c>
      <c r="D7474">
        <v>5.0779639999999997</v>
      </c>
      <c r="E7474">
        <v>0.53211330000000001</v>
      </c>
      <c r="F7474" t="s">
        <v>41</v>
      </c>
      <c r="G7474">
        <v>-186.92009999999999</v>
      </c>
      <c r="H7474" s="1">
        <v>-2.5796829999999998E-6</v>
      </c>
      <c r="I7474">
        <v>64.372600000000006</v>
      </c>
      <c r="J7474">
        <v>-187.0598</v>
      </c>
      <c r="K7474">
        <v>1.1100559999999999</v>
      </c>
      <c r="L7474">
        <v>30.81204</v>
      </c>
      <c r="M7474">
        <v>1.7259E-2</v>
      </c>
      <c r="N7474">
        <v>-8.6851869999999901E-3</v>
      </c>
      <c r="O7474">
        <v>0.99981330000000002</v>
      </c>
      <c r="P7474">
        <v>-8.7269070000000004E-2</v>
      </c>
      <c r="Q7474">
        <v>0.16115850000000001</v>
      </c>
      <c r="R7474">
        <v>0.98306260000000001</v>
      </c>
      <c r="S7474">
        <v>1.3153079999999999E-2</v>
      </c>
      <c r="T7474">
        <v>-0.1005002</v>
      </c>
      <c r="U7474">
        <v>3.0694270000000001</v>
      </c>
      <c r="V7474">
        <v>-0.1044228</v>
      </c>
      <c r="W7474">
        <v>0.16955399999999901</v>
      </c>
      <c r="X7474">
        <v>0.97997310000000004</v>
      </c>
      <c r="Y7474">
        <v>-1.297389E-2</v>
      </c>
      <c r="Z7474">
        <v>-2.403452E-2</v>
      </c>
      <c r="AA7474">
        <v>0.99962689999999998</v>
      </c>
      <c r="AB7474">
        <v>36</v>
      </c>
      <c r="AC7474">
        <v>0.13970000000000399</v>
      </c>
      <c r="AD7474">
        <v>-1.110058579683</v>
      </c>
      <c r="AE7474">
        <v>33.560559999999903</v>
      </c>
      <c r="AF7474">
        <v>-0.43908401178731099</v>
      </c>
      <c r="AG7474">
        <v>-1.110058579683</v>
      </c>
      <c r="AH7474">
        <v>33.521299006764302</v>
      </c>
      <c r="AI7474">
        <v>91.8964953811399</v>
      </c>
      <c r="AJ7474">
        <v>90.750454869395696</v>
      </c>
      <c r="AK7474">
        <v>33.542547785173298</v>
      </c>
      <c r="AL7474">
        <v>80.238111092125493</v>
      </c>
      <c r="AM7474">
        <v>96.082304139458103</v>
      </c>
      <c r="AN7474">
        <v>0.99999997839972399</v>
      </c>
    </row>
    <row r="7475" spans="1:40" x14ac:dyDescent="0.25">
      <c r="A7475" t="str">
        <f>"20190304155248264"</f>
        <v>20190304155248264</v>
      </c>
      <c r="B7475" t="str">
        <f>"1551685968254224"</f>
        <v>1551685968254224</v>
      </c>
      <c r="C7475" t="s">
        <v>40</v>
      </c>
      <c r="D7475">
        <v>5.0224349999999998</v>
      </c>
      <c r="E7475">
        <v>0.53208719999999998</v>
      </c>
      <c r="F7475" t="s">
        <v>41</v>
      </c>
      <c r="G7475">
        <v>-186.91419999999999</v>
      </c>
      <c r="H7475" s="1">
        <v>-2.7182219999999998E-6</v>
      </c>
      <c r="I7475">
        <v>64.693100000000001</v>
      </c>
      <c r="J7475">
        <v>-187.0538</v>
      </c>
      <c r="K7475">
        <v>1.110063</v>
      </c>
      <c r="L7475">
        <v>31.18253</v>
      </c>
      <c r="M7475">
        <v>1.6731139999999999E-2</v>
      </c>
      <c r="N7475">
        <v>-8.6948800000000003E-3</v>
      </c>
      <c r="O7475">
        <v>0.99982219999999999</v>
      </c>
      <c r="P7475">
        <v>-8.7660920000000003E-2</v>
      </c>
      <c r="Q7475">
        <v>0.16172619999999999</v>
      </c>
      <c r="R7475">
        <v>0.98293450000000004</v>
      </c>
      <c r="S7475">
        <v>1.318359E-2</v>
      </c>
      <c r="T7475">
        <v>-0.1005619</v>
      </c>
      <c r="U7475">
        <v>3.0693359999999998</v>
      </c>
      <c r="V7475">
        <v>-0.104295899999999</v>
      </c>
      <c r="W7475">
        <v>0.17012959999999999</v>
      </c>
      <c r="X7475">
        <v>0.97988690000000001</v>
      </c>
      <c r="Y7475">
        <v>-1.2435999999999999E-2</v>
      </c>
      <c r="Z7475">
        <v>-2.4046390000000001E-2</v>
      </c>
      <c r="AA7475">
        <v>0.99963349999999995</v>
      </c>
      <c r="AB7475">
        <v>36</v>
      </c>
      <c r="AC7475">
        <v>0.139600000000001</v>
      </c>
      <c r="AD7475">
        <v>-1.110065718222</v>
      </c>
      <c r="AE7475">
        <v>33.510570000000001</v>
      </c>
      <c r="AF7475">
        <v>-0.42064920591968902</v>
      </c>
      <c r="AG7475">
        <v>-1.110065718222</v>
      </c>
      <c r="AH7475">
        <v>33.471486415220198</v>
      </c>
      <c r="AI7475">
        <v>91.899340841106806</v>
      </c>
      <c r="AJ7475">
        <v>90.720020471219698</v>
      </c>
      <c r="AK7475">
        <v>33.492530428402702</v>
      </c>
      <c r="AL7475">
        <v>80.204645901531293</v>
      </c>
      <c r="AM7475">
        <v>96.0754983280506</v>
      </c>
      <c r="AN7475">
        <v>1.0000000261722799</v>
      </c>
    </row>
    <row r="7476" spans="1:40" x14ac:dyDescent="0.25">
      <c r="A7476" t="str">
        <f>"20190304155248286"</f>
        <v>20190304155248286</v>
      </c>
      <c r="B7476" t="str">
        <f>"1551685968274707"</f>
        <v>1551685968274707</v>
      </c>
      <c r="C7476" t="s">
        <v>40</v>
      </c>
      <c r="D7476">
        <v>5.0078290000000001</v>
      </c>
      <c r="E7476">
        <v>0.53208049999999996</v>
      </c>
      <c r="F7476" t="s">
        <v>41</v>
      </c>
      <c r="G7476">
        <v>-186.93029999999999</v>
      </c>
      <c r="H7476" s="1">
        <v>-3.1096770000000001E-6</v>
      </c>
      <c r="I7476">
        <v>65.612210000000005</v>
      </c>
      <c r="J7476">
        <v>-187.04839999999999</v>
      </c>
      <c r="K7476">
        <v>1.110066</v>
      </c>
      <c r="L7476">
        <v>31.533390000000001</v>
      </c>
      <c r="M7476">
        <v>1.6231369999999998E-2</v>
      </c>
      <c r="N7476">
        <v>-8.7040850000000003E-3</v>
      </c>
      <c r="O7476">
        <v>0.99983040000000001</v>
      </c>
      <c r="P7476">
        <v>-8.7898069999999995E-2</v>
      </c>
      <c r="Q7476">
        <v>0.16182750000000001</v>
      </c>
      <c r="R7476">
        <v>0.98289660000000001</v>
      </c>
      <c r="S7476">
        <v>1.101685E-2</v>
      </c>
      <c r="T7476">
        <v>-9.8961110000000005E-2</v>
      </c>
      <c r="U7476">
        <v>3.069366</v>
      </c>
      <c r="V7476">
        <v>-0.104043</v>
      </c>
      <c r="W7476">
        <v>0.17023959999999999</v>
      </c>
      <c r="X7476">
        <v>0.97989459999999995</v>
      </c>
      <c r="Y7476">
        <v>-1.264183E-2</v>
      </c>
      <c r="Z7476">
        <v>-2.3516510000000001E-2</v>
      </c>
      <c r="AA7476">
        <v>0.99964350000000002</v>
      </c>
      <c r="AB7476">
        <v>36</v>
      </c>
      <c r="AC7476">
        <v>0.118099999999998</v>
      </c>
      <c r="AD7476">
        <v>-1.1100691096769999</v>
      </c>
      <c r="AE7476">
        <v>34.07882</v>
      </c>
      <c r="AF7476">
        <v>-0.43462129337190297</v>
      </c>
      <c r="AG7476">
        <v>-1.1100691096769999</v>
      </c>
      <c r="AH7476">
        <v>34.040129766081201</v>
      </c>
      <c r="AI7476">
        <v>91.867635808779994</v>
      </c>
      <c r="AJ7476">
        <v>90.731507574483999</v>
      </c>
      <c r="AK7476">
        <v>34.060997982862503</v>
      </c>
      <c r="AL7476">
        <v>80.198249282882898</v>
      </c>
      <c r="AM7476">
        <v>96.060828781584803</v>
      </c>
      <c r="AN7476">
        <v>0.99999994718315799</v>
      </c>
    </row>
    <row r="7477" spans="1:40" x14ac:dyDescent="0.25">
      <c r="A7477" t="str">
        <f>"20190304155248308"</f>
        <v>20190304155248308</v>
      </c>
      <c r="B7477" t="str">
        <f>"1551685968303984"</f>
        <v>1551685968303984</v>
      </c>
      <c r="C7477" t="s">
        <v>40</v>
      </c>
      <c r="D7477">
        <v>4.9881769999999896</v>
      </c>
      <c r="E7477">
        <v>0.5320201</v>
      </c>
      <c r="F7477" t="s">
        <v>41</v>
      </c>
      <c r="G7477">
        <v>-186.9417</v>
      </c>
      <c r="H7477" s="1">
        <v>-3.2607949999999998E-6</v>
      </c>
      <c r="I7477">
        <v>65.969219999999893</v>
      </c>
      <c r="J7477">
        <v>-187.0428</v>
      </c>
      <c r="K7477">
        <v>1.110063</v>
      </c>
      <c r="L7477">
        <v>31.90842</v>
      </c>
      <c r="M7477">
        <v>1.5697409999999998E-2</v>
      </c>
      <c r="N7477">
        <v>-8.7138500000000004E-3</v>
      </c>
      <c r="O7477">
        <v>0.99983880000000003</v>
      </c>
      <c r="P7477">
        <v>-8.8587730000000003E-2</v>
      </c>
      <c r="Q7477">
        <v>0.16191820000000001</v>
      </c>
      <c r="R7477">
        <v>0.98281980000000002</v>
      </c>
      <c r="S7477">
        <v>9.5062259999999996E-3</v>
      </c>
      <c r="T7477">
        <v>-9.8942760000000005E-2</v>
      </c>
      <c r="U7477">
        <v>3.0693359999999998</v>
      </c>
      <c r="V7477">
        <v>-0.104208</v>
      </c>
      <c r="W7477">
        <v>0.1703392</v>
      </c>
      <c r="X7477">
        <v>0.97985979999999995</v>
      </c>
      <c r="Y7477">
        <v>-1.259978E-2</v>
      </c>
      <c r="Z7477">
        <v>-2.350151E-2</v>
      </c>
      <c r="AA7477">
        <v>0.99964439999999999</v>
      </c>
      <c r="AB7477">
        <v>36</v>
      </c>
      <c r="AC7477">
        <v>0.10110000000000199</v>
      </c>
      <c r="AD7477">
        <v>-1.110066260795</v>
      </c>
      <c r="AE7477">
        <v>34.060799999999901</v>
      </c>
      <c r="AF7477">
        <v>-0.43313905242165002</v>
      </c>
      <c r="AG7477">
        <v>-1.110066260795</v>
      </c>
      <c r="AH7477">
        <v>34.022053658339402</v>
      </c>
      <c r="AI7477">
        <v>91.868623474173503</v>
      </c>
      <c r="AJ7477">
        <v>90.729400383372607</v>
      </c>
      <c r="AK7477">
        <v>34.042913971530297</v>
      </c>
      <c r="AL7477">
        <v>80.192458450587793</v>
      </c>
      <c r="AM7477">
        <v>96.070582816192797</v>
      </c>
      <c r="AN7477">
        <v>0.99999998898833897</v>
      </c>
    </row>
    <row r="7478" spans="1:40" x14ac:dyDescent="0.25">
      <c r="A7478" t="str">
        <f>"20190304155248342"</f>
        <v>20190304155248342</v>
      </c>
      <c r="B7478" t="str">
        <f>"1551685968334240"</f>
        <v>1551685968334240</v>
      </c>
      <c r="C7478" t="s">
        <v>40</v>
      </c>
      <c r="D7478">
        <v>4.9997769999999999</v>
      </c>
      <c r="E7478">
        <v>0.53187640000000003</v>
      </c>
      <c r="F7478" t="s">
        <v>41</v>
      </c>
      <c r="G7478">
        <v>-186.97139999999999</v>
      </c>
      <c r="H7478" s="1">
        <v>-3.42011999999999E-6</v>
      </c>
      <c r="I7478">
        <v>66.352859999999893</v>
      </c>
      <c r="J7478">
        <v>-187.0351</v>
      </c>
      <c r="K7478">
        <v>1.1100639999999999</v>
      </c>
      <c r="L7478">
        <v>32.447049999999997</v>
      </c>
      <c r="M7478">
        <v>1.4931099999999999E-2</v>
      </c>
      <c r="N7478">
        <v>-8.727772E-3</v>
      </c>
      <c r="O7478">
        <v>0.99985049999999998</v>
      </c>
      <c r="P7478">
        <v>-8.8910589999999998E-2</v>
      </c>
      <c r="Q7478">
        <v>0.1623801</v>
      </c>
      <c r="R7478">
        <v>0.98271439999999999</v>
      </c>
      <c r="S7478">
        <v>6.3629150000000002E-3</v>
      </c>
      <c r="T7478">
        <v>-9.8916770000000001E-2</v>
      </c>
      <c r="U7478">
        <v>3.0693049999999999</v>
      </c>
      <c r="V7478">
        <v>-0.1037792</v>
      </c>
      <c r="W7478">
        <v>0.17081370000000001</v>
      </c>
      <c r="X7478">
        <v>0.97982270000000005</v>
      </c>
      <c r="Y7478">
        <v>-1.285707E-2</v>
      </c>
      <c r="Z7478">
        <v>-2.347993E-2</v>
      </c>
      <c r="AA7478">
        <v>0.99964169999999997</v>
      </c>
      <c r="AB7478">
        <v>37</v>
      </c>
      <c r="AC7478">
        <v>6.37000000000114E-2</v>
      </c>
      <c r="AD7478">
        <v>-1.11006742012</v>
      </c>
      <c r="AE7478">
        <v>33.905809999999903</v>
      </c>
      <c r="AF7478">
        <v>-0.442103505010148</v>
      </c>
      <c r="AG7478">
        <v>-1.11006742012</v>
      </c>
      <c r="AH7478">
        <v>33.866679958678503</v>
      </c>
      <c r="AI7478">
        <v>91.877184379553796</v>
      </c>
      <c r="AJ7478">
        <v>90.747909928923406</v>
      </c>
      <c r="AK7478">
        <v>33.887751719609703</v>
      </c>
      <c r="AL7478">
        <v>80.164867178073607</v>
      </c>
      <c r="AM7478">
        <v>96.046015901381494</v>
      </c>
      <c r="AN7478">
        <v>0.99999998294780901</v>
      </c>
    </row>
    <row r="7479" spans="1:40" x14ac:dyDescent="0.25">
      <c r="A7479" t="str">
        <f>"20190304155248364"</f>
        <v>20190304155248364</v>
      </c>
      <c r="B7479" t="str">
        <f>"1551685968354739"</f>
        <v>1551685968354739</v>
      </c>
      <c r="C7479" t="s">
        <v>40</v>
      </c>
      <c r="D7479">
        <v>4.9481570000000001</v>
      </c>
      <c r="E7479">
        <v>0.53174809999999995</v>
      </c>
      <c r="F7479" t="s">
        <v>41</v>
      </c>
      <c r="G7479">
        <v>-186.99529999999999</v>
      </c>
      <c r="H7479" s="1">
        <v>-4.065736E-6</v>
      </c>
      <c r="I7479">
        <v>67.867689999999996</v>
      </c>
      <c r="J7479">
        <v>-187.03</v>
      </c>
      <c r="K7479">
        <v>1.1100650000000001</v>
      </c>
      <c r="L7479">
        <v>32.819949999999999</v>
      </c>
      <c r="M7479">
        <v>1.4400670000000001E-2</v>
      </c>
      <c r="N7479">
        <v>-8.7374180000000003E-3</v>
      </c>
      <c r="O7479">
        <v>0.99985809999999997</v>
      </c>
      <c r="P7479">
        <v>-8.8903380000000004E-2</v>
      </c>
      <c r="Q7479">
        <v>0.162960299999999</v>
      </c>
      <c r="R7479">
        <v>0.98261900000000002</v>
      </c>
      <c r="S7479">
        <v>3.4484860000000002E-3</v>
      </c>
      <c r="T7479">
        <v>-9.6180199999999993E-2</v>
      </c>
      <c r="U7479">
        <v>3.0689700000000002</v>
      </c>
      <c r="V7479">
        <v>-0.1032513</v>
      </c>
      <c r="W7479">
        <v>0.171403799999999</v>
      </c>
      <c r="X7479">
        <v>0.97977539999999996</v>
      </c>
      <c r="Y7479">
        <v>-1.327562E-2</v>
      </c>
      <c r="Z7479">
        <v>-2.2583679999999998E-2</v>
      </c>
      <c r="AA7479">
        <v>0.99965680000000001</v>
      </c>
      <c r="AB7479">
        <v>37</v>
      </c>
      <c r="AC7479">
        <v>3.4700000000014997E-2</v>
      </c>
      <c r="AD7479">
        <v>-1.1100690657359999</v>
      </c>
      <c r="AE7479">
        <v>35.047739999999997</v>
      </c>
      <c r="AF7479">
        <v>-0.46956276098354499</v>
      </c>
      <c r="AG7479">
        <v>-1.1100690657359999</v>
      </c>
      <c r="AH7479">
        <v>35.009484299499597</v>
      </c>
      <c r="AI7479">
        <v>91.815943808164405</v>
      </c>
      <c r="AJ7479">
        <v>90.768430379624604</v>
      </c>
      <c r="AK7479">
        <v>35.030225997474197</v>
      </c>
      <c r="AL7479">
        <v>80.130550656628998</v>
      </c>
      <c r="AM7479">
        <v>96.015775614876404</v>
      </c>
      <c r="AN7479">
        <v>0.99999996402564395</v>
      </c>
    </row>
    <row r="7480" spans="1:40" x14ac:dyDescent="0.25">
      <c r="A7480" t="str">
        <f>"20190304155248385"</f>
        <v>20190304155248385</v>
      </c>
      <c r="B7480" t="str">
        <f>"1551685968374255"</f>
        <v>1551685968374255</v>
      </c>
      <c r="C7480" t="s">
        <v>40</v>
      </c>
      <c r="D7480">
        <v>5.0313589999999904</v>
      </c>
      <c r="E7480">
        <v>0.53165169999999995</v>
      </c>
      <c r="F7480" t="s">
        <v>41</v>
      </c>
      <c r="G7480">
        <v>-187.00810000000001</v>
      </c>
      <c r="H7480" s="1">
        <v>-4.6073909999999997E-6</v>
      </c>
      <c r="I7480">
        <v>69.13561</v>
      </c>
      <c r="J7480">
        <v>-187.02520000000001</v>
      </c>
      <c r="K7480">
        <v>1.1100730000000001</v>
      </c>
      <c r="L7480">
        <v>33.178559999999997</v>
      </c>
      <c r="M7480">
        <v>1.389083E-2</v>
      </c>
      <c r="N7480">
        <v>-8.7466880000000007E-3</v>
      </c>
      <c r="O7480">
        <v>0.99986520000000001</v>
      </c>
      <c r="P7480">
        <v>-8.8100510000000007E-2</v>
      </c>
      <c r="Q7480">
        <v>0.1627073</v>
      </c>
      <c r="R7480">
        <v>0.98273319999999997</v>
      </c>
      <c r="S7480">
        <v>1.846313E-3</v>
      </c>
      <c r="T7480">
        <v>-9.3804360000000003E-2</v>
      </c>
      <c r="U7480">
        <v>3.0687869999999999</v>
      </c>
      <c r="V7480">
        <v>-0.10195070000000001</v>
      </c>
      <c r="W7480">
        <v>0.17116229999999999</v>
      </c>
      <c r="X7480">
        <v>0.97995379999999999</v>
      </c>
      <c r="Y7480">
        <v>-1.328763E-2</v>
      </c>
      <c r="Z7480">
        <v>-2.1803469999999998E-2</v>
      </c>
      <c r="AA7480">
        <v>0.99967399999999995</v>
      </c>
      <c r="AB7480">
        <v>37</v>
      </c>
      <c r="AC7480">
        <v>1.7099999999999199E-2</v>
      </c>
      <c r="AD7480">
        <v>-1.1100776073909999</v>
      </c>
      <c r="AE7480">
        <v>35.957050000000002</v>
      </c>
      <c r="AF7480">
        <v>-0.48193472441608198</v>
      </c>
      <c r="AG7480">
        <v>-1.1100776073909999</v>
      </c>
      <c r="AH7480">
        <v>35.919583104610503</v>
      </c>
      <c r="AI7480">
        <v>91.769976168930199</v>
      </c>
      <c r="AJ7480">
        <v>90.768694026348896</v>
      </c>
      <c r="AK7480">
        <v>35.939963602959502</v>
      </c>
      <c r="AL7480">
        <v>80.144595140506993</v>
      </c>
      <c r="AM7480">
        <v>95.939469768138096</v>
      </c>
      <c r="AN7480">
        <v>0.99999996415310899</v>
      </c>
    </row>
    <row r="7481" spans="1:40" x14ac:dyDescent="0.25">
      <c r="A7481" t="str">
        <f>"20190304155248412"</f>
        <v>20190304155248412</v>
      </c>
      <c r="B7481" t="str">
        <f>"1551685968404512"</f>
        <v>1551685968404512</v>
      </c>
      <c r="C7481" t="s">
        <v>40</v>
      </c>
      <c r="D7481">
        <v>4.9622089999999996</v>
      </c>
      <c r="E7481">
        <v>0.53146789999999999</v>
      </c>
      <c r="F7481" t="s">
        <v>41</v>
      </c>
      <c r="G7481">
        <v>-186.98949999999999</v>
      </c>
      <c r="H7481" s="1">
        <v>-4.7627820000000003E-6</v>
      </c>
      <c r="I7481">
        <v>69.490129999999994</v>
      </c>
      <c r="J7481">
        <v>-187.02010000000001</v>
      </c>
      <c r="K7481">
        <v>1.1100779999999999</v>
      </c>
      <c r="L7481">
        <v>33.58728</v>
      </c>
      <c r="M7481">
        <v>1.3309959999999999E-2</v>
      </c>
      <c r="N7481">
        <v>-8.7573549999999997E-3</v>
      </c>
      <c r="O7481">
        <v>0.99987300000000001</v>
      </c>
      <c r="P7481">
        <v>-8.7578240000000002E-2</v>
      </c>
      <c r="Q7481">
        <v>0.16297159999999999</v>
      </c>
      <c r="R7481">
        <v>0.9827361</v>
      </c>
      <c r="S7481">
        <v>3.0212400000000001E-3</v>
      </c>
      <c r="T7481">
        <v>-9.3807219999999997E-2</v>
      </c>
      <c r="U7481">
        <v>3.0685120000000001</v>
      </c>
      <c r="V7481">
        <v>-0.1008593</v>
      </c>
      <c r="W7481">
        <v>0.1714386</v>
      </c>
      <c r="X7481">
        <v>0.98001850000000001</v>
      </c>
      <c r="Y7481">
        <v>-1.2324069999999999E-2</v>
      </c>
      <c r="Z7481">
        <v>-2.1797029999999998E-2</v>
      </c>
      <c r="AA7481">
        <v>0.99968650000000003</v>
      </c>
      <c r="AB7481">
        <v>37</v>
      </c>
      <c r="AC7481">
        <v>3.0600000000020999E-2</v>
      </c>
      <c r="AD7481">
        <v>-1.110082762782</v>
      </c>
      <c r="AE7481">
        <v>35.902850000000001</v>
      </c>
      <c r="AF7481">
        <v>-0.446859373859332</v>
      </c>
      <c r="AG7481">
        <v>-1.110082762782</v>
      </c>
      <c r="AH7481">
        <v>35.8657894566526</v>
      </c>
      <c r="AI7481">
        <v>91.772659369434706</v>
      </c>
      <c r="AJ7481">
        <v>90.713823168552096</v>
      </c>
      <c r="AK7481">
        <v>35.885746758137401</v>
      </c>
      <c r="AL7481">
        <v>80.128527425498902</v>
      </c>
      <c r="AM7481">
        <v>95.875948796627995</v>
      </c>
      <c r="AN7481">
        <v>1.00000002615434</v>
      </c>
    </row>
    <row r="7482" spans="1:40" x14ac:dyDescent="0.25">
      <c r="A7482" t="str">
        <f>"20190304155248434"</f>
        <v>20190304155248434</v>
      </c>
      <c r="B7482" t="str">
        <f>"1551685968424032"</f>
        <v>1551685968424032</v>
      </c>
      <c r="C7482" t="s">
        <v>40</v>
      </c>
      <c r="D7482">
        <v>4.945284</v>
      </c>
      <c r="E7482">
        <v>0.53134740000000003</v>
      </c>
      <c r="F7482" t="s">
        <v>41</v>
      </c>
      <c r="G7482">
        <v>-186.9862</v>
      </c>
      <c r="H7482" s="1">
        <v>-1.125803E-6</v>
      </c>
      <c r="I7482">
        <v>70.599900000000005</v>
      </c>
      <c r="J7482">
        <v>-187.0155</v>
      </c>
      <c r="K7482">
        <v>1.11008</v>
      </c>
      <c r="L7482">
        <v>33.965209999999999</v>
      </c>
      <c r="M7482">
        <v>1.2773079999999999E-2</v>
      </c>
      <c r="N7482">
        <v>-8.7671799999999994E-3</v>
      </c>
      <c r="O7482">
        <v>0.99987999999999999</v>
      </c>
      <c r="P7482">
        <v>-8.7010660000000004E-2</v>
      </c>
      <c r="Q7482">
        <v>0.16348180000000001</v>
      </c>
      <c r="R7482">
        <v>0.98270179999999996</v>
      </c>
      <c r="S7482">
        <v>2.8076170000000001E-3</v>
      </c>
      <c r="T7482">
        <v>-9.2021350000000002E-2</v>
      </c>
      <c r="U7482">
        <v>3.0682070000000001</v>
      </c>
      <c r="V7482">
        <v>-9.9765400000000004E-2</v>
      </c>
      <c r="W7482">
        <v>0.17195949999999999</v>
      </c>
      <c r="X7482">
        <v>0.9800392</v>
      </c>
      <c r="Y7482">
        <v>-1.1856770000000001E-2</v>
      </c>
      <c r="Z7482">
        <v>-2.120936E-2</v>
      </c>
      <c r="AA7482">
        <v>0.9997047</v>
      </c>
      <c r="AB7482">
        <v>37</v>
      </c>
      <c r="AC7482">
        <v>2.93000000000063E-2</v>
      </c>
      <c r="AD7482">
        <v>-1.1100811258029999</v>
      </c>
      <c r="AE7482">
        <v>36.634689999999999</v>
      </c>
      <c r="AF7482">
        <v>-0.43825580013467702</v>
      </c>
      <c r="AG7482">
        <v>-1.1100811258029999</v>
      </c>
      <c r="AH7482">
        <v>36.598471712807502</v>
      </c>
      <c r="AI7482">
        <v>91.737201337897105</v>
      </c>
      <c r="AJ7482">
        <v>90.686067106344396</v>
      </c>
      <c r="AK7482">
        <v>36.6179256644254</v>
      </c>
      <c r="AL7482">
        <v>80.098232082390496</v>
      </c>
      <c r="AM7482">
        <v>95.8125362270072</v>
      </c>
      <c r="AN7482">
        <v>1.00000001910702</v>
      </c>
    </row>
    <row r="7483" spans="1:40" x14ac:dyDescent="0.25">
      <c r="A7483" t="str">
        <f>"20190304155248455"</f>
        <v>20190304155248455</v>
      </c>
      <c r="B7483" t="str">
        <f>"1551685968444527"</f>
        <v>1551685968444527</v>
      </c>
      <c r="C7483" t="s">
        <v>40</v>
      </c>
      <c r="D7483">
        <v>5.0262919999999998</v>
      </c>
      <c r="E7483">
        <v>0.5312791</v>
      </c>
      <c r="F7483" t="s">
        <v>41</v>
      </c>
      <c r="G7483">
        <v>-186.9742</v>
      </c>
      <c r="H7483" s="1">
        <v>-1.5666379999999999E-6</v>
      </c>
      <c r="I7483">
        <v>71.885930000000002</v>
      </c>
      <c r="J7483">
        <v>-187.01150000000001</v>
      </c>
      <c r="K7483">
        <v>1.1100909999999999</v>
      </c>
      <c r="L7483">
        <v>34.31915</v>
      </c>
      <c r="M7483">
        <v>1.227053E-2</v>
      </c>
      <c r="N7483">
        <v>-8.7763790000000008E-3</v>
      </c>
      <c r="O7483">
        <v>0.99988619999999995</v>
      </c>
      <c r="P7483">
        <v>-8.6286160000000001E-2</v>
      </c>
      <c r="Q7483">
        <v>0.1639216</v>
      </c>
      <c r="R7483">
        <v>0.98269240000000002</v>
      </c>
      <c r="S7483">
        <v>3.3416750000000001E-3</v>
      </c>
      <c r="T7483">
        <v>-8.9813470000000006E-2</v>
      </c>
      <c r="U7483">
        <v>3.0680540000000001</v>
      </c>
      <c r="V7483">
        <v>-9.8548960000000005E-2</v>
      </c>
      <c r="W7483">
        <v>0.17240949999999999</v>
      </c>
      <c r="X7483">
        <v>0.98008320000000004</v>
      </c>
      <c r="Y7483">
        <v>-1.1180259999999999E-2</v>
      </c>
      <c r="Z7483">
        <v>-2.0483299999999999E-2</v>
      </c>
      <c r="AA7483">
        <v>0.9997277</v>
      </c>
      <c r="AB7483">
        <v>37</v>
      </c>
      <c r="AC7483">
        <v>3.7300000000016098E-2</v>
      </c>
      <c r="AD7483">
        <v>-1.1100925666379999</v>
      </c>
      <c r="AE7483">
        <v>37.566780000000001</v>
      </c>
      <c r="AF7483">
        <v>-0.42331522669474603</v>
      </c>
      <c r="AG7483">
        <v>-1.1100925666379999</v>
      </c>
      <c r="AH7483">
        <v>37.5316369004858</v>
      </c>
      <c r="AI7483">
        <v>91.694065188320195</v>
      </c>
      <c r="AJ7483">
        <v>90.646205427992797</v>
      </c>
      <c r="AK7483">
        <v>37.550436345235198</v>
      </c>
      <c r="AL7483">
        <v>80.072057934746496</v>
      </c>
      <c r="AM7483">
        <v>95.741884374074303</v>
      </c>
      <c r="AN7483">
        <v>1.00000000606478</v>
      </c>
    </row>
    <row r="7484" spans="1:40" x14ac:dyDescent="0.25">
      <c r="A7484" t="str">
        <f>"20190304155248477"</f>
        <v>20190304155248477</v>
      </c>
      <c r="B7484" t="str">
        <f>"1551685968473808"</f>
        <v>1551685968473808</v>
      </c>
      <c r="C7484" t="s">
        <v>40</v>
      </c>
      <c r="D7484">
        <v>4.9743240000000002</v>
      </c>
      <c r="E7484">
        <v>0.53112289999999995</v>
      </c>
      <c r="F7484" t="s">
        <v>41</v>
      </c>
      <c r="G7484">
        <v>-186.95590000000001</v>
      </c>
      <c r="H7484" s="1">
        <v>-2.03069E-6</v>
      </c>
      <c r="I7484">
        <v>73.107669999999999</v>
      </c>
      <c r="J7484">
        <v>-187.00749999999999</v>
      </c>
      <c r="K7484">
        <v>1.110096</v>
      </c>
      <c r="L7484">
        <v>34.681609999999999</v>
      </c>
      <c r="M7484">
        <v>1.175593E-2</v>
      </c>
      <c r="N7484">
        <v>-8.7857339999999999E-3</v>
      </c>
      <c r="O7484">
        <v>0.99989229999999996</v>
      </c>
      <c r="P7484">
        <v>-8.6171250000000005E-2</v>
      </c>
      <c r="Q7484">
        <v>0.16533020000000001</v>
      </c>
      <c r="R7484">
        <v>0.98246650000000002</v>
      </c>
      <c r="S7484">
        <v>4.3945310000000001E-3</v>
      </c>
      <c r="T7484">
        <v>-8.7799790000000003E-2</v>
      </c>
      <c r="U7484">
        <v>3.0678709999999998</v>
      </c>
      <c r="V7484">
        <v>-9.7928790000000002E-2</v>
      </c>
      <c r="W7484">
        <v>0.17382639999999999</v>
      </c>
      <c r="X7484">
        <v>0.97989510000000002</v>
      </c>
      <c r="Y7484">
        <v>-1.0322619999999999E-2</v>
      </c>
      <c r="Z7484">
        <v>-1.982051E-2</v>
      </c>
      <c r="AA7484">
        <v>0.99975029999999998</v>
      </c>
      <c r="AB7484">
        <v>37</v>
      </c>
      <c r="AC7484">
        <v>5.1599999999979197E-2</v>
      </c>
      <c r="AD7484">
        <v>-1.1100980306899999</v>
      </c>
      <c r="AE7484">
        <v>38.42606</v>
      </c>
      <c r="AF7484">
        <v>-0.399821387820184</v>
      </c>
      <c r="AG7484">
        <v>-1.1100980306899999</v>
      </c>
      <c r="AH7484">
        <v>38.391969723559399</v>
      </c>
      <c r="AI7484">
        <v>91.656147618006401</v>
      </c>
      <c r="AJ7484">
        <v>90.596667744103499</v>
      </c>
      <c r="AK7484">
        <v>38.410096511654302</v>
      </c>
      <c r="AL7484">
        <v>79.989631285248294</v>
      </c>
      <c r="AM7484">
        <v>95.707077888449902</v>
      </c>
      <c r="AN7484">
        <v>1.00000003612591</v>
      </c>
    </row>
    <row r="7485" spans="1:40" x14ac:dyDescent="0.25">
      <c r="A7485" t="str">
        <f>"20190304155248499"</f>
        <v>20190304155248499</v>
      </c>
      <c r="B7485" t="str">
        <f>"1551685968494305"</f>
        <v>1551685968494305</v>
      </c>
      <c r="C7485" t="s">
        <v>40</v>
      </c>
      <c r="D7485">
        <v>4.9819589999999998</v>
      </c>
      <c r="E7485">
        <v>0.53102360000000004</v>
      </c>
      <c r="F7485" t="s">
        <v>41</v>
      </c>
      <c r="G7485">
        <v>-186.96559999999999</v>
      </c>
      <c r="H7485" s="1">
        <v>-3.2243959999999999E-6</v>
      </c>
      <c r="I7485">
        <v>75.894260000000003</v>
      </c>
      <c r="J7485">
        <v>-187.00370000000001</v>
      </c>
      <c r="K7485">
        <v>1.110096</v>
      </c>
      <c r="L7485">
        <v>35.042020000000001</v>
      </c>
      <c r="M7485">
        <v>1.1244560000000001E-2</v>
      </c>
      <c r="N7485">
        <v>-8.7950379999999998E-3</v>
      </c>
      <c r="O7485">
        <v>0.99989810000000001</v>
      </c>
      <c r="P7485">
        <v>-8.6189169999999996E-2</v>
      </c>
      <c r="Q7485">
        <v>0.16625319999999999</v>
      </c>
      <c r="R7485">
        <v>0.98230919999999999</v>
      </c>
      <c r="S7485">
        <v>3.112793E-3</v>
      </c>
      <c r="T7485">
        <v>-8.2631709999999997E-2</v>
      </c>
      <c r="U7485">
        <v>3.0677189999999999</v>
      </c>
      <c r="V7485">
        <v>-9.7444749999999997E-2</v>
      </c>
      <c r="W7485">
        <v>0.17475750000000001</v>
      </c>
      <c r="X7485">
        <v>0.97977769999999997</v>
      </c>
      <c r="Y7485">
        <v>-1.0228920000000001E-2</v>
      </c>
      <c r="Z7485">
        <v>-1.8130009999999998E-2</v>
      </c>
      <c r="AA7485">
        <v>0.99978330000000004</v>
      </c>
      <c r="AB7485">
        <v>37</v>
      </c>
      <c r="AC7485">
        <v>3.8100000000014199E-2</v>
      </c>
      <c r="AD7485">
        <v>-1.110099224396</v>
      </c>
      <c r="AE7485">
        <v>40.852240000000002</v>
      </c>
      <c r="AF7485">
        <v>-0.42097479200210902</v>
      </c>
      <c r="AG7485">
        <v>-1.110099224396</v>
      </c>
      <c r="AH7485">
        <v>40.819944039960298</v>
      </c>
      <c r="AI7485">
        <v>91.557693166653706</v>
      </c>
      <c r="AJ7485">
        <v>90.590868615068402</v>
      </c>
      <c r="AK7485">
        <v>40.837205725771703</v>
      </c>
      <c r="AL7485">
        <v>79.935453603233299</v>
      </c>
      <c r="AM7485">
        <v>95.679729965138407</v>
      </c>
      <c r="AN7485">
        <v>1.00000000226305</v>
      </c>
    </row>
    <row r="7486" spans="1:40" x14ac:dyDescent="0.25">
      <c r="A7486" t="str">
        <f>"20190304155248521"</f>
        <v>20190304155248521</v>
      </c>
      <c r="B7486" t="str">
        <f>"1551685968513825"</f>
        <v>1551685968513825</v>
      </c>
      <c r="C7486" t="s">
        <v>40</v>
      </c>
      <c r="D7486">
        <v>4.9649000000000001</v>
      </c>
      <c r="E7486">
        <v>0.53091790000000005</v>
      </c>
      <c r="F7486" t="s">
        <v>41</v>
      </c>
      <c r="G7486">
        <v>-186.97460000000001</v>
      </c>
      <c r="H7486" s="1">
        <v>-4.1175209999999999E-6</v>
      </c>
      <c r="I7486">
        <v>77.979869999999906</v>
      </c>
      <c r="J7486">
        <v>-187</v>
      </c>
      <c r="K7486">
        <v>1.110104</v>
      </c>
      <c r="L7486">
        <v>35.407960000000003</v>
      </c>
      <c r="M7486">
        <v>1.07256E-2</v>
      </c>
      <c r="N7486">
        <v>-8.8044950000000007E-3</v>
      </c>
      <c r="O7486">
        <v>0.99990369999999995</v>
      </c>
      <c r="P7486">
        <v>-8.6124399999999907E-2</v>
      </c>
      <c r="Q7486">
        <v>0.16723360000000001</v>
      </c>
      <c r="R7486">
        <v>0.98214840000000003</v>
      </c>
      <c r="S7486">
        <v>2.0751950000000002E-3</v>
      </c>
      <c r="T7486">
        <v>-7.9309340000000006E-2</v>
      </c>
      <c r="U7486">
        <v>3.0676269999999999</v>
      </c>
      <c r="V7486">
        <v>-9.6870510000000007E-2</v>
      </c>
      <c r="W7486">
        <v>0.17574670000000001</v>
      </c>
      <c r="X7486">
        <v>0.97965769999999996</v>
      </c>
      <c r="Y7486">
        <v>-1.0048140000000001E-2</v>
      </c>
      <c r="Z7486">
        <v>-1.7039599999999998E-2</v>
      </c>
      <c r="AA7486">
        <v>0.99980429999999998</v>
      </c>
      <c r="AB7486">
        <v>37</v>
      </c>
      <c r="AC7486">
        <v>2.53999999999905E-2</v>
      </c>
      <c r="AD7486">
        <v>-1.1101081175209999</v>
      </c>
      <c r="AE7486">
        <v>42.571910000000003</v>
      </c>
      <c r="AF7486">
        <v>-0.43093542623480502</v>
      </c>
      <c r="AG7486">
        <v>-1.1101081175209999</v>
      </c>
      <c r="AH7486">
        <v>42.540807377792198</v>
      </c>
      <c r="AI7486">
        <v>91.494725218617205</v>
      </c>
      <c r="AJ7486">
        <v>90.580382418378207</v>
      </c>
      <c r="AK7486">
        <v>42.557470997800003</v>
      </c>
      <c r="AL7486">
        <v>79.877885685690799</v>
      </c>
      <c r="AM7486">
        <v>95.647163529398199</v>
      </c>
      <c r="AN7486">
        <v>1.0000000037189201</v>
      </c>
    </row>
    <row r="7487" spans="1:40" x14ac:dyDescent="0.25">
      <c r="A7487" t="str">
        <f>"20190304155248543"</f>
        <v>20190304155248543</v>
      </c>
      <c r="B7487" t="str">
        <f>"1551685968534320"</f>
        <v>1551685968534320</v>
      </c>
      <c r="C7487" t="s">
        <v>40</v>
      </c>
      <c r="D7487">
        <v>4.9579230000000001</v>
      </c>
      <c r="E7487">
        <v>0.53082719999999906</v>
      </c>
      <c r="F7487" t="s">
        <v>41</v>
      </c>
      <c r="G7487">
        <v>-186.9819</v>
      </c>
      <c r="H7487" s="1">
        <v>-1.0345720000000001E-6</v>
      </c>
      <c r="I7487">
        <v>80.328429999999997</v>
      </c>
      <c r="J7487">
        <v>-186.9966</v>
      </c>
      <c r="K7487">
        <v>1.110104</v>
      </c>
      <c r="L7487">
        <v>35.769350000000003</v>
      </c>
      <c r="M7487">
        <v>1.0213399999999999E-2</v>
      </c>
      <c r="N7487">
        <v>-8.8137719999999992E-3</v>
      </c>
      <c r="O7487">
        <v>0.99990900000000005</v>
      </c>
      <c r="P7487">
        <v>-8.6005899999999996E-2</v>
      </c>
      <c r="Q7487">
        <v>0.16740959999999999</v>
      </c>
      <c r="R7487">
        <v>0.98212880000000002</v>
      </c>
      <c r="S7487">
        <v>1.235962E-3</v>
      </c>
      <c r="T7487">
        <v>-7.5806979999999996E-2</v>
      </c>
      <c r="U7487">
        <v>3.0675349999999999</v>
      </c>
      <c r="V7487">
        <v>-9.6250619999999995E-2</v>
      </c>
      <c r="W7487">
        <v>0.17593249999999999</v>
      </c>
      <c r="X7487">
        <v>0.97968540000000004</v>
      </c>
      <c r="Y7487">
        <v>-9.8095079999999998E-3</v>
      </c>
      <c r="Z7487">
        <v>-1.589057E-2</v>
      </c>
      <c r="AA7487">
        <v>0.99982559999999998</v>
      </c>
      <c r="AB7487">
        <v>37</v>
      </c>
      <c r="AC7487">
        <v>1.47000000000048E-2</v>
      </c>
      <c r="AD7487">
        <v>-1.110105034572</v>
      </c>
      <c r="AE7487">
        <v>44.559080000000002</v>
      </c>
      <c r="AF7487">
        <v>-0.440144969566515</v>
      </c>
      <c r="AG7487">
        <v>-1.110105034572</v>
      </c>
      <c r="AH7487">
        <v>44.5292681868793</v>
      </c>
      <c r="AI7487">
        <v>91.428005877224606</v>
      </c>
      <c r="AJ7487">
        <v>90.566315794379904</v>
      </c>
      <c r="AK7487">
        <v>44.545277932021399</v>
      </c>
      <c r="AL7487">
        <v>79.867071132267398</v>
      </c>
      <c r="AM7487">
        <v>95.611100136679198</v>
      </c>
      <c r="AN7487">
        <v>0.999999954689896</v>
      </c>
    </row>
    <row r="7488" spans="1:40" x14ac:dyDescent="0.25">
      <c r="A7488" t="str">
        <f>"20190304155248566"</f>
        <v>20190304155248566</v>
      </c>
      <c r="B7488" t="str">
        <f>"1551685968553843"</f>
        <v>1551685968553843</v>
      </c>
      <c r="C7488" t="s">
        <v>40</v>
      </c>
      <c r="D7488">
        <v>4.9546809999999999</v>
      </c>
      <c r="E7488">
        <v>0.53073239999999999</v>
      </c>
      <c r="F7488" t="s">
        <v>41</v>
      </c>
      <c r="G7488">
        <v>-186.99270000000001</v>
      </c>
      <c r="H7488" s="1">
        <v>-1.32354E-6</v>
      </c>
      <c r="I7488">
        <v>81.186040000000006</v>
      </c>
      <c r="J7488">
        <v>-186.9931</v>
      </c>
      <c r="K7488">
        <v>1.1101080000000001</v>
      </c>
      <c r="L7488">
        <v>36.150149999999996</v>
      </c>
      <c r="M7488">
        <v>9.6738980000000002E-3</v>
      </c>
      <c r="N7488">
        <v>-8.8234809999999993E-3</v>
      </c>
      <c r="O7488">
        <v>0.99991430000000003</v>
      </c>
      <c r="P7488">
        <v>-8.6054190000000003E-2</v>
      </c>
      <c r="Q7488">
        <v>0.1678442</v>
      </c>
      <c r="R7488">
        <v>0.98205039999999999</v>
      </c>
      <c r="S7488">
        <v>2.5939939999999997E-4</v>
      </c>
      <c r="T7488">
        <v>-7.4975009999999995E-2</v>
      </c>
      <c r="U7488">
        <v>3.067383</v>
      </c>
      <c r="V7488">
        <v>-9.5769190000000004E-2</v>
      </c>
      <c r="W7488">
        <v>0.17637610000000001</v>
      </c>
      <c r="X7488">
        <v>0.97965290000000005</v>
      </c>
      <c r="Y7488">
        <v>-9.588315E-3</v>
      </c>
      <c r="Z7488">
        <v>-1.56113E-2</v>
      </c>
      <c r="AA7488">
        <v>0.99983219999999995</v>
      </c>
      <c r="AB7488">
        <v>37</v>
      </c>
      <c r="AC7488">
        <v>3.9999999998485599E-4</v>
      </c>
      <c r="AD7488">
        <v>-1.1101093235399999</v>
      </c>
      <c r="AE7488">
        <v>45.035890000000002</v>
      </c>
      <c r="AF7488">
        <v>-0.43502525633635603</v>
      </c>
      <c r="AG7488">
        <v>-1.1101093235399999</v>
      </c>
      <c r="AH7488">
        <v>45.006440653915803</v>
      </c>
      <c r="AI7488">
        <v>91.412880352073401</v>
      </c>
      <c r="AJ7488">
        <v>90.553794848293904</v>
      </c>
      <c r="AK7488">
        <v>45.022231064423103</v>
      </c>
      <c r="AL7488">
        <v>79.841251790897203</v>
      </c>
      <c r="AM7488">
        <v>95.583396148223997</v>
      </c>
      <c r="AN7488">
        <v>1.00000003544143</v>
      </c>
    </row>
    <row r="7489" spans="1:40" x14ac:dyDescent="0.25">
      <c r="A7489" t="str">
        <f>"20190304155248587"</f>
        <v>20190304155248587</v>
      </c>
      <c r="B7489" t="str">
        <f>"1551685968584096"</f>
        <v>1551685968584096</v>
      </c>
      <c r="C7489" t="s">
        <v>40</v>
      </c>
      <c r="D7489">
        <v>5.118074</v>
      </c>
      <c r="E7489">
        <v>0.53054789999999996</v>
      </c>
      <c r="F7489" t="s">
        <v>41</v>
      </c>
      <c r="G7489">
        <v>-187.00120000000001</v>
      </c>
      <c r="H7489" s="1">
        <v>-1.8359920000000001E-6</v>
      </c>
      <c r="I7489">
        <v>82.672569999999993</v>
      </c>
      <c r="J7489">
        <v>-186.99010000000001</v>
      </c>
      <c r="K7489">
        <v>1.1101080000000001</v>
      </c>
      <c r="L7489">
        <v>36.514310000000002</v>
      </c>
      <c r="M7489">
        <v>9.1582859999999999E-3</v>
      </c>
      <c r="N7489">
        <v>-8.8328439999999994E-3</v>
      </c>
      <c r="O7489">
        <v>0.99991909999999895</v>
      </c>
      <c r="P7489">
        <v>-8.6579020000000007E-2</v>
      </c>
      <c r="Q7489">
        <v>0.16805499999999901</v>
      </c>
      <c r="R7489">
        <v>0.98196819999999896</v>
      </c>
      <c r="S7489">
        <v>-5.3405759999999999E-4</v>
      </c>
      <c r="T7489">
        <v>-7.319117E-2</v>
      </c>
      <c r="U7489">
        <v>3.067291</v>
      </c>
      <c r="V7489">
        <v>-9.5788709999999999E-2</v>
      </c>
      <c r="W7489">
        <v>0.1765958</v>
      </c>
      <c r="X7489">
        <v>0.97961140000000002</v>
      </c>
      <c r="Y7489">
        <v>-9.3313839999999999E-3</v>
      </c>
      <c r="Z7489">
        <v>-1.502175E-2</v>
      </c>
      <c r="AA7489">
        <v>0.99984360000000005</v>
      </c>
      <c r="AB7489">
        <v>37</v>
      </c>
      <c r="AC7489">
        <v>-1.1099999999999E-2</v>
      </c>
      <c r="AD7489">
        <v>-1.1101098359919901</v>
      </c>
      <c r="AE7489">
        <v>46.158259999999999</v>
      </c>
      <c r="AF7489">
        <v>-0.43359575666191302</v>
      </c>
      <c r="AG7489">
        <v>-1.1101098359919901</v>
      </c>
      <c r="AH7489">
        <v>46.129540786787302</v>
      </c>
      <c r="AI7489">
        <v>91.378499010528799</v>
      </c>
      <c r="AJ7489">
        <v>90.538537233306897</v>
      </c>
      <c r="AK7489">
        <v>46.144933441581998</v>
      </c>
      <c r="AL7489">
        <v>79.828463052804594</v>
      </c>
      <c r="AM7489">
        <v>95.584762067560305</v>
      </c>
      <c r="AN7489">
        <v>1.00000002427553</v>
      </c>
    </row>
    <row r="7490" spans="1:40" x14ac:dyDescent="0.25">
      <c r="A7490" t="str">
        <f>"20190304155248611"</f>
        <v>20190304155248611</v>
      </c>
      <c r="B7490" t="str">
        <f>"1551685968604592"</f>
        <v>1551685968604592</v>
      </c>
      <c r="C7490" t="s">
        <v>40</v>
      </c>
      <c r="D7490">
        <v>4.9632059999999996</v>
      </c>
      <c r="E7490">
        <v>0.53046689999999996</v>
      </c>
      <c r="F7490" t="s">
        <v>41</v>
      </c>
      <c r="G7490">
        <v>-187.0471</v>
      </c>
      <c r="H7490" s="1">
        <v>-2.3604969999999998E-6</v>
      </c>
      <c r="I7490">
        <v>83.914180000000002</v>
      </c>
      <c r="J7490">
        <v>-186.98689999999999</v>
      </c>
      <c r="K7490">
        <v>1.110101</v>
      </c>
      <c r="L7490">
        <v>36.914639999999999</v>
      </c>
      <c r="M7490">
        <v>8.5915430000000001E-3</v>
      </c>
      <c r="N7490">
        <v>-8.8431589999999997E-3</v>
      </c>
      <c r="O7490">
        <v>0.99992400000000004</v>
      </c>
      <c r="P7490">
        <v>-8.7226719999999994E-2</v>
      </c>
      <c r="Q7490">
        <v>0.16780999999999999</v>
      </c>
      <c r="R7490">
        <v>0.98195279999999996</v>
      </c>
      <c r="S7490">
        <v>-3.692627E-3</v>
      </c>
      <c r="T7490">
        <v>-7.1830630000000006E-2</v>
      </c>
      <c r="U7490">
        <v>3.0670470000000001</v>
      </c>
      <c r="V7490">
        <v>-9.5880649999999998E-2</v>
      </c>
      <c r="W7490">
        <v>0.17636060000000001</v>
      </c>
      <c r="X7490">
        <v>0.97964479999999998</v>
      </c>
      <c r="Y7490">
        <v>-9.7942719999999997E-3</v>
      </c>
      <c r="Z7490">
        <v>-1.457015E-2</v>
      </c>
      <c r="AA7490">
        <v>0.99984589999999995</v>
      </c>
      <c r="AB7490">
        <v>37</v>
      </c>
      <c r="AC7490">
        <v>-6.0200000000008899E-2</v>
      </c>
      <c r="AD7490">
        <v>-1.1101033604970001</v>
      </c>
      <c r="AE7490">
        <v>46.999540000000003</v>
      </c>
      <c r="AF7490">
        <v>-0.46375341455707703</v>
      </c>
      <c r="AG7490">
        <v>-1.1101033604970001</v>
      </c>
      <c r="AH7490">
        <v>46.9710838603282</v>
      </c>
      <c r="AI7490">
        <v>91.353796759137197</v>
      </c>
      <c r="AJ7490">
        <v>90.565672492021093</v>
      </c>
      <c r="AK7490">
        <v>46.986488650616202</v>
      </c>
      <c r="AL7490">
        <v>79.842154139487207</v>
      </c>
      <c r="AM7490">
        <v>95.589899121108402</v>
      </c>
      <c r="AN7490">
        <v>1.0000000472219099</v>
      </c>
    </row>
    <row r="7491" spans="1:40" x14ac:dyDescent="0.25">
      <c r="A7491" t="str">
        <f>"20190304155248633"</f>
        <v>20190304155248633</v>
      </c>
      <c r="B7491" t="str">
        <f>"1551685968624111"</f>
        <v>1551685968624111</v>
      </c>
      <c r="C7491" t="s">
        <v>40</v>
      </c>
      <c r="D7491">
        <v>4.9676309999999999</v>
      </c>
      <c r="E7491">
        <v>0.53039899999999995</v>
      </c>
      <c r="F7491" t="s">
        <v>41</v>
      </c>
      <c r="G7491">
        <v>-187.08260000000001</v>
      </c>
      <c r="H7491" s="1">
        <v>-2.4656830000000001E-6</v>
      </c>
      <c r="I7491">
        <v>84.174030000000002</v>
      </c>
      <c r="J7491">
        <v>-186.98410000000001</v>
      </c>
      <c r="K7491">
        <v>1.1101030000000001</v>
      </c>
      <c r="L7491">
        <v>37.286439999999999</v>
      </c>
      <c r="M7491">
        <v>8.0654639999999996E-3</v>
      </c>
      <c r="N7491">
        <v>-8.8527180000000007E-3</v>
      </c>
      <c r="O7491">
        <v>0.99992829999999999</v>
      </c>
      <c r="P7491">
        <v>-8.7881970000000004E-2</v>
      </c>
      <c r="Q7491">
        <v>0.16766149999999999</v>
      </c>
      <c r="R7491">
        <v>0.98191980000000001</v>
      </c>
      <c r="S7491">
        <v>-6.2103269999999999E-3</v>
      </c>
      <c r="T7491">
        <v>-7.2040080000000006E-2</v>
      </c>
      <c r="U7491">
        <v>3.0668950000000001</v>
      </c>
      <c r="V7491">
        <v>-9.6019980000000005E-2</v>
      </c>
      <c r="W7491">
        <v>0.17622119999999999</v>
      </c>
      <c r="X7491">
        <v>0.97965619999999998</v>
      </c>
      <c r="Y7491">
        <v>-1.0088990000000001E-2</v>
      </c>
      <c r="Z7491">
        <v>-1.463007E-2</v>
      </c>
      <c r="AA7491">
        <v>0.99984200000000001</v>
      </c>
      <c r="AB7491">
        <v>37</v>
      </c>
      <c r="AC7491">
        <v>-9.8500000000001295E-2</v>
      </c>
      <c r="AD7491">
        <v>-1.1101054656829901</v>
      </c>
      <c r="AE7491">
        <v>46.887590000000003</v>
      </c>
      <c r="AF7491">
        <v>-0.47641472742982199</v>
      </c>
      <c r="AG7491">
        <v>-1.1101054656829901</v>
      </c>
      <c r="AH7491">
        <v>46.859003721434497</v>
      </c>
      <c r="AI7491">
        <v>91.357032220184806</v>
      </c>
      <c r="AJ7491">
        <v>90.582505186712595</v>
      </c>
      <c r="AK7491">
        <v>46.874572370346598</v>
      </c>
      <c r="AL7491">
        <v>79.850267861503696</v>
      </c>
      <c r="AM7491">
        <v>95.597905856322399</v>
      </c>
      <c r="AN7491">
        <v>1.0000000090435399</v>
      </c>
    </row>
    <row r="7492" spans="1:40" x14ac:dyDescent="0.25">
      <c r="A7492" t="str">
        <f>"20190304155248655"</f>
        <v>20190304155248655</v>
      </c>
      <c r="B7492" t="str">
        <f>"1551685968644607"</f>
        <v>1551685968644607</v>
      </c>
      <c r="C7492" t="s">
        <v>40</v>
      </c>
      <c r="D7492">
        <v>5.0093889999999996</v>
      </c>
      <c r="E7492">
        <v>0.53032400000000002</v>
      </c>
      <c r="F7492" t="s">
        <v>41</v>
      </c>
      <c r="G7492">
        <v>-187.12559999999999</v>
      </c>
      <c r="H7492" s="1">
        <v>-2.6037070000000001E-6</v>
      </c>
      <c r="I7492">
        <v>84.513559999999998</v>
      </c>
      <c r="J7492">
        <v>-186.98159999999999</v>
      </c>
      <c r="K7492">
        <v>1.110101</v>
      </c>
      <c r="L7492">
        <v>37.655850000000001</v>
      </c>
      <c r="M7492">
        <v>7.5428530000000004E-3</v>
      </c>
      <c r="N7492">
        <v>-8.8622100000000006E-3</v>
      </c>
      <c r="O7492">
        <v>0.9999323</v>
      </c>
      <c r="P7492">
        <v>-8.8188009999999997E-2</v>
      </c>
      <c r="Q7492">
        <v>0.16725379999999901</v>
      </c>
      <c r="R7492">
        <v>0.9819618</v>
      </c>
      <c r="S7492">
        <v>-9.1857910000000004E-3</v>
      </c>
      <c r="T7492">
        <v>-7.2085140000000006E-2</v>
      </c>
      <c r="U7492">
        <v>3.0667110000000002</v>
      </c>
      <c r="V7492">
        <v>-9.5813389999999998E-2</v>
      </c>
      <c r="W7492">
        <v>0.1758236</v>
      </c>
      <c r="X7492">
        <v>0.97974779999999995</v>
      </c>
      <c r="Y7492">
        <v>-1.0536510000000001E-2</v>
      </c>
      <c r="Z7492">
        <v>-1.4636700000000001E-2</v>
      </c>
      <c r="AA7492">
        <v>0.99983730000000004</v>
      </c>
      <c r="AB7492">
        <v>37</v>
      </c>
      <c r="AC7492">
        <v>-0.14400000000000501</v>
      </c>
      <c r="AD7492">
        <v>-1.110103603707</v>
      </c>
      <c r="AE7492">
        <v>46.857709999999997</v>
      </c>
      <c r="AF7492">
        <v>-0.49717155476736602</v>
      </c>
      <c r="AG7492">
        <v>-1.110103603707</v>
      </c>
      <c r="AH7492">
        <v>46.829007637067498</v>
      </c>
      <c r="AI7492">
        <v>91.357892514693503</v>
      </c>
      <c r="AJ7492">
        <v>90.6082717321882</v>
      </c>
      <c r="AK7492">
        <v>46.844801908412002</v>
      </c>
      <c r="AL7492">
        <v>79.873409374427894</v>
      </c>
      <c r="AM7492">
        <v>95.585419094831195</v>
      </c>
      <c r="AN7492">
        <v>0.99999994781254398</v>
      </c>
    </row>
    <row r="7493" spans="1:40" x14ac:dyDescent="0.25">
      <c r="A7493" t="str">
        <f>"20190304155248677"</f>
        <v>20190304155248677</v>
      </c>
      <c r="B7493" t="str">
        <f>"1551685968673888"</f>
        <v>1551685968673888</v>
      </c>
      <c r="C7493" t="s">
        <v>40</v>
      </c>
      <c r="D7493">
        <v>4.8850910000000001</v>
      </c>
      <c r="E7493">
        <v>0.53018390000000004</v>
      </c>
      <c r="F7493" t="s">
        <v>41</v>
      </c>
      <c r="G7493">
        <v>-187.1497</v>
      </c>
      <c r="H7493" s="1">
        <v>-2.5129519999999999E-6</v>
      </c>
      <c r="I7493">
        <v>84.311970000000002</v>
      </c>
      <c r="J7493">
        <v>-186.97929999999999</v>
      </c>
      <c r="K7493">
        <v>1.1101049999999999</v>
      </c>
      <c r="L7493">
        <v>38.029969999999999</v>
      </c>
      <c r="M7493">
        <v>7.0137130000000004E-3</v>
      </c>
      <c r="N7493">
        <v>-8.8718340000000003E-3</v>
      </c>
      <c r="O7493">
        <v>0.99993600000000005</v>
      </c>
      <c r="P7493">
        <v>-8.8506899999999999E-2</v>
      </c>
      <c r="Q7493">
        <v>0.16698940000000001</v>
      </c>
      <c r="R7493">
        <v>0.98197809999999996</v>
      </c>
      <c r="S7493">
        <v>-1.1047360000000001E-2</v>
      </c>
      <c r="T7493">
        <v>-7.2962879999999994E-2</v>
      </c>
      <c r="U7493">
        <v>3.0665279999999999</v>
      </c>
      <c r="V7493">
        <v>-9.5613180000000006E-2</v>
      </c>
      <c r="W7493">
        <v>0.1755688</v>
      </c>
      <c r="X7493">
        <v>0.97981309999999999</v>
      </c>
      <c r="Y7493">
        <v>-1.0614459999999999E-2</v>
      </c>
      <c r="Z7493">
        <v>-1.491459E-2</v>
      </c>
      <c r="AA7493">
        <v>0.99983250000000001</v>
      </c>
      <c r="AB7493">
        <v>38</v>
      </c>
      <c r="AC7493">
        <v>-0.1704</v>
      </c>
      <c r="AD7493">
        <v>-1.1101075129519999</v>
      </c>
      <c r="AE7493">
        <v>46.281999999999996</v>
      </c>
      <c r="AF7493">
        <v>-0.49473264110493897</v>
      </c>
      <c r="AG7493">
        <v>-1.1101075129519999</v>
      </c>
      <c r="AH7493">
        <v>46.253056630708898</v>
      </c>
      <c r="AI7493">
        <v>91.374798451872394</v>
      </c>
      <c r="AJ7493">
        <v>90.612824609776595</v>
      </c>
      <c r="AK7493">
        <v>46.269021458855697</v>
      </c>
      <c r="AL7493">
        <v>79.888239529396103</v>
      </c>
      <c r="AM7493">
        <v>95.573452341504407</v>
      </c>
      <c r="AN7493">
        <v>0.99999999732738099</v>
      </c>
    </row>
    <row r="7494" spans="1:40" x14ac:dyDescent="0.25">
      <c r="A7494" t="str">
        <f>"20190304155248700"</f>
        <v>20190304155248700</v>
      </c>
      <c r="B7494" t="str">
        <f>"1551685968694384"</f>
        <v>1551685968694384</v>
      </c>
      <c r="C7494" t="s">
        <v>40</v>
      </c>
      <c r="D7494">
        <v>4.7963559999999896</v>
      </c>
      <c r="E7494">
        <v>0.53012569999999903</v>
      </c>
      <c r="F7494" t="s">
        <v>41</v>
      </c>
      <c r="G7494">
        <v>-187.17939999999999</v>
      </c>
      <c r="H7494" s="1">
        <v>-2.5304840000000001E-6</v>
      </c>
      <c r="I7494">
        <v>84.365119999999905</v>
      </c>
      <c r="J7494">
        <v>-186.97710000000001</v>
      </c>
      <c r="K7494">
        <v>1.110101</v>
      </c>
      <c r="L7494">
        <v>38.400539999999999</v>
      </c>
      <c r="M7494">
        <v>6.4896719999999897E-3</v>
      </c>
      <c r="N7494">
        <v>-8.881356E-3</v>
      </c>
      <c r="O7494">
        <v>0.99993949999999998</v>
      </c>
      <c r="P7494">
        <v>-8.8979740000000002E-2</v>
      </c>
      <c r="Q7494">
        <v>0.16704669999999999</v>
      </c>
      <c r="R7494">
        <v>0.98192570000000001</v>
      </c>
      <c r="S7494">
        <v>-1.324463E-2</v>
      </c>
      <c r="T7494">
        <v>-7.3464160000000001E-2</v>
      </c>
      <c r="U7494">
        <v>3.0663450000000001</v>
      </c>
      <c r="V7494">
        <v>-9.5572299999999999E-2</v>
      </c>
      <c r="W7494">
        <v>0.1756354</v>
      </c>
      <c r="X7494">
        <v>0.97980520000000004</v>
      </c>
      <c r="Y7494">
        <v>-1.0807020000000001E-2</v>
      </c>
      <c r="Z7494">
        <v>-1.5069900000000001E-2</v>
      </c>
      <c r="AA7494">
        <v>0.99982800000000005</v>
      </c>
      <c r="AB7494">
        <v>38</v>
      </c>
      <c r="AC7494">
        <v>-0.202299999999979</v>
      </c>
      <c r="AD7494">
        <v>-1.1101035304839999</v>
      </c>
      <c r="AE7494">
        <v>45.964579999999899</v>
      </c>
      <c r="AF7494">
        <v>-0.50031073514247204</v>
      </c>
      <c r="AG7494">
        <v>-1.1101035304839999</v>
      </c>
      <c r="AH7494">
        <v>45.935506136503697</v>
      </c>
      <c r="AI7494">
        <v>91.384290816510799</v>
      </c>
      <c r="AJ7494">
        <v>90.624017509641007</v>
      </c>
      <c r="AK7494">
        <v>45.951641588705598</v>
      </c>
      <c r="AL7494">
        <v>79.884363878318197</v>
      </c>
      <c r="AM7494">
        <v>95.571129008432095</v>
      </c>
      <c r="AN7494">
        <v>1.00000004410374</v>
      </c>
    </row>
    <row r="7495" spans="1:40" x14ac:dyDescent="0.25">
      <c r="A7495" t="str">
        <f>"20190304155248721"</f>
        <v>20190304155248721</v>
      </c>
      <c r="B7495" t="str">
        <f>"1551685968713904"</f>
        <v>1551685968713904</v>
      </c>
      <c r="C7495" t="s">
        <v>40</v>
      </c>
      <c r="D7495">
        <v>4.9586100000000002</v>
      </c>
      <c r="E7495">
        <v>0.53006489999999995</v>
      </c>
      <c r="F7495" t="s">
        <v>41</v>
      </c>
      <c r="G7495">
        <v>-187.2115</v>
      </c>
      <c r="H7495" s="1">
        <v>-2.7750410000000002E-6</v>
      </c>
      <c r="I7495">
        <v>84.948459999999997</v>
      </c>
      <c r="J7495">
        <v>-186.9751</v>
      </c>
      <c r="K7495">
        <v>1.1101049999999999</v>
      </c>
      <c r="L7495">
        <v>38.77655</v>
      </c>
      <c r="M7495">
        <v>5.9581219999999997E-3</v>
      </c>
      <c r="N7495">
        <v>-8.8911379999999998E-3</v>
      </c>
      <c r="O7495">
        <v>0.99994269999999996</v>
      </c>
      <c r="P7495">
        <v>-8.8761510000000002E-2</v>
      </c>
      <c r="Q7495">
        <v>0.1671685</v>
      </c>
      <c r="R7495">
        <v>0.98192469999999998</v>
      </c>
      <c r="S7495">
        <v>-1.544189E-2</v>
      </c>
      <c r="T7495">
        <v>-7.3125960000000004E-2</v>
      </c>
      <c r="U7495">
        <v>3.0662539999999998</v>
      </c>
      <c r="V7495">
        <v>-9.4833230000000004E-2</v>
      </c>
      <c r="W7495">
        <v>0.17576729999999999</v>
      </c>
      <c r="X7495">
        <v>0.97985330000000004</v>
      </c>
      <c r="Y7495">
        <v>-1.099205E-2</v>
      </c>
      <c r="Z7495">
        <v>-1.4950659999999999E-2</v>
      </c>
      <c r="AA7495">
        <v>0.99982780000000004</v>
      </c>
      <c r="AB7495">
        <v>38</v>
      </c>
      <c r="AC7495">
        <v>-0.236400000000003</v>
      </c>
      <c r="AD7495">
        <v>-1.110107775041</v>
      </c>
      <c r="AE7495">
        <v>46.171909999999997</v>
      </c>
      <c r="AF7495">
        <v>-0.51120905388985505</v>
      </c>
      <c r="AG7495">
        <v>-1.110107775041</v>
      </c>
      <c r="AH7495">
        <v>46.143009006472603</v>
      </c>
      <c r="AI7495">
        <v>91.378070568397206</v>
      </c>
      <c r="AJ7495">
        <v>90.634742371629898</v>
      </c>
      <c r="AK7495">
        <v>46.159191437246797</v>
      </c>
      <c r="AL7495">
        <v>79.876686562146602</v>
      </c>
      <c r="AM7495">
        <v>95.528045143917794</v>
      </c>
      <c r="AN7495">
        <v>0.99999998739120599</v>
      </c>
    </row>
    <row r="7496" spans="1:40" x14ac:dyDescent="0.25">
      <c r="A7496" t="str">
        <f>"20190304155248744"</f>
        <v>20190304155248744</v>
      </c>
      <c r="B7496" t="str">
        <f>"1551685968734399"</f>
        <v>1551685968734399</v>
      </c>
      <c r="C7496" t="s">
        <v>40</v>
      </c>
      <c r="D7496">
        <v>4.935543</v>
      </c>
      <c r="E7496">
        <v>0.53002850000000001</v>
      </c>
      <c r="F7496" t="s">
        <v>41</v>
      </c>
      <c r="G7496">
        <v>-187.2106</v>
      </c>
      <c r="H7496" s="1">
        <v>-3.1298079999999999E-6</v>
      </c>
      <c r="I7496">
        <v>85.775059999999996</v>
      </c>
      <c r="J7496">
        <v>-186.9734</v>
      </c>
      <c r="K7496">
        <v>1.110107</v>
      </c>
      <c r="L7496">
        <v>39.147489999999998</v>
      </c>
      <c r="M7496">
        <v>5.4340050000000004E-3</v>
      </c>
      <c r="N7496">
        <v>-8.9007189999999996E-3</v>
      </c>
      <c r="O7496">
        <v>0.99994559999999999</v>
      </c>
      <c r="P7496">
        <v>-8.9053859999999999E-2</v>
      </c>
      <c r="Q7496">
        <v>0.16752220000000001</v>
      </c>
      <c r="R7496">
        <v>0.98183790000000004</v>
      </c>
      <c r="S7496">
        <v>-1.53656E-2</v>
      </c>
      <c r="T7496">
        <v>-7.2422979999999998E-2</v>
      </c>
      <c r="U7496">
        <v>3.0661619999999998</v>
      </c>
      <c r="V7496">
        <v>-9.4612059999999998E-2</v>
      </c>
      <c r="W7496">
        <v>0.17613019999999999</v>
      </c>
      <c r="X7496">
        <v>0.9798095</v>
      </c>
      <c r="Y7496">
        <v>-1.0443310000000001E-2</v>
      </c>
      <c r="Z7496">
        <v>-1.4712889999999999E-2</v>
      </c>
      <c r="AA7496">
        <v>0.99983719999999998</v>
      </c>
      <c r="AB7496">
        <v>38</v>
      </c>
      <c r="AC7496">
        <v>-0.23720000000000099</v>
      </c>
      <c r="AD7496">
        <v>-1.1101101298080001</v>
      </c>
      <c r="AE7496">
        <v>46.627569999999899</v>
      </c>
      <c r="AF7496">
        <v>-0.49030308176790599</v>
      </c>
      <c r="AG7496">
        <v>-1.1101101298080001</v>
      </c>
      <c r="AH7496">
        <v>46.599179775558397</v>
      </c>
      <c r="AI7496">
        <v>91.364596524225107</v>
      </c>
      <c r="AJ7496">
        <v>90.602827363187004</v>
      </c>
      <c r="AK7496">
        <v>46.614979323894502</v>
      </c>
      <c r="AL7496">
        <v>79.855564253602196</v>
      </c>
      <c r="AM7496">
        <v>95.515477249281105</v>
      </c>
      <c r="AN7496">
        <v>0.99999997276986596</v>
      </c>
    </row>
    <row r="7497" spans="1:40" x14ac:dyDescent="0.25">
      <c r="A7497" t="str">
        <f>"20190304155248766"</f>
        <v>20190304155248766</v>
      </c>
      <c r="B7497" t="str">
        <f>"1551685968753923"</f>
        <v>1551685968753923</v>
      </c>
      <c r="C7497" t="s">
        <v>40</v>
      </c>
      <c r="D7497">
        <v>4.8661070000000004</v>
      </c>
      <c r="E7497">
        <v>0.52996580000000004</v>
      </c>
      <c r="F7497" t="s">
        <v>41</v>
      </c>
      <c r="G7497">
        <v>-187.2373</v>
      </c>
      <c r="H7497" s="1">
        <v>-3.7129379999999998E-6</v>
      </c>
      <c r="I7497">
        <v>87.145390000000006</v>
      </c>
      <c r="J7497">
        <v>-186.9718</v>
      </c>
      <c r="K7497">
        <v>1.1101110000000001</v>
      </c>
      <c r="L7497">
        <v>39.521450000000002</v>
      </c>
      <c r="M7497">
        <v>4.9058610000000001E-3</v>
      </c>
      <c r="N7497">
        <v>-8.9101570000000001E-3</v>
      </c>
      <c r="O7497">
        <v>0.99994830000000001</v>
      </c>
      <c r="P7497">
        <v>-8.9077950000000003E-2</v>
      </c>
      <c r="Q7497">
        <v>0.16818150000000001</v>
      </c>
      <c r="R7497">
        <v>0.98172300000000001</v>
      </c>
      <c r="S7497">
        <v>-1.6860960000000001E-2</v>
      </c>
      <c r="T7497">
        <v>-7.0913080000000003E-2</v>
      </c>
      <c r="U7497">
        <v>3.066071</v>
      </c>
      <c r="V7497">
        <v>-9.411891E-2</v>
      </c>
      <c r="W7497">
        <v>0.17679810000000001</v>
      </c>
      <c r="X7497">
        <v>0.97973670000000002</v>
      </c>
      <c r="Y7497">
        <v>-1.0403000000000001E-2</v>
      </c>
      <c r="Z7497">
        <v>-1.421211E-2</v>
      </c>
      <c r="AA7497">
        <v>0.99984490000000004</v>
      </c>
      <c r="AB7497">
        <v>38</v>
      </c>
      <c r="AC7497">
        <v>-0.26550000000000201</v>
      </c>
      <c r="AD7497">
        <v>-1.110114712938</v>
      </c>
      <c r="AE7497">
        <v>47.623939999999997</v>
      </c>
      <c r="AF7497">
        <v>-0.49887144565949898</v>
      </c>
      <c r="AG7497">
        <v>-1.110114712938</v>
      </c>
      <c r="AH7497">
        <v>47.596203384414601</v>
      </c>
      <c r="AI7497">
        <v>91.336028128618594</v>
      </c>
      <c r="AJ7497">
        <v>90.600513900087506</v>
      </c>
      <c r="AK7497">
        <v>47.611761194118202</v>
      </c>
      <c r="AL7497">
        <v>79.816686256215206</v>
      </c>
      <c r="AM7497">
        <v>95.487309838122599</v>
      </c>
      <c r="AN7497">
        <v>0.99999996935504298</v>
      </c>
    </row>
    <row r="7498" spans="1:40" x14ac:dyDescent="0.25">
      <c r="A7498" t="str">
        <f>"20190304155248789"</f>
        <v>20190304155248789</v>
      </c>
      <c r="B7498" t="str">
        <f>"1551685968784176"</f>
        <v>1551685968784176</v>
      </c>
      <c r="C7498" t="s">
        <v>40</v>
      </c>
      <c r="D7498">
        <v>4.8271050000000004</v>
      </c>
      <c r="E7498">
        <v>0.52986959999999905</v>
      </c>
      <c r="F7498" t="s">
        <v>41</v>
      </c>
      <c r="G7498">
        <v>-187.2577</v>
      </c>
      <c r="H7498" s="1">
        <v>-4.5273499999999999E-6</v>
      </c>
      <c r="I7498">
        <v>89.052229999999994</v>
      </c>
      <c r="J7498">
        <v>-186.97040000000001</v>
      </c>
      <c r="K7498">
        <v>1.110115</v>
      </c>
      <c r="L7498">
        <v>39.904269999999997</v>
      </c>
      <c r="M7498">
        <v>4.3655159999999998E-3</v>
      </c>
      <c r="N7498">
        <v>-8.9199259999999999E-3</v>
      </c>
      <c r="O7498">
        <v>0.99995069999999997</v>
      </c>
      <c r="P7498">
        <v>-8.8903699999999905E-2</v>
      </c>
      <c r="Q7498">
        <v>0.16820460000000001</v>
      </c>
      <c r="R7498">
        <v>0.98173489999999997</v>
      </c>
      <c r="S7498">
        <v>-1.7700199999999999E-2</v>
      </c>
      <c r="T7498">
        <v>-6.8717360000000005E-2</v>
      </c>
      <c r="U7498">
        <v>3.0660099999999999</v>
      </c>
      <c r="V7498">
        <v>-9.3414750000000005E-2</v>
      </c>
      <c r="W7498">
        <v>0.1768323</v>
      </c>
      <c r="X7498">
        <v>0.97979799999999995</v>
      </c>
      <c r="Y7498">
        <v>-1.0136559999999999E-2</v>
      </c>
      <c r="Z7498">
        <v>-1.3487239999999999E-2</v>
      </c>
      <c r="AA7498">
        <v>0.99985769999999996</v>
      </c>
      <c r="AB7498">
        <v>38</v>
      </c>
      <c r="AC7498">
        <v>-0.28729999999998701</v>
      </c>
      <c r="AD7498">
        <v>-1.11011952735</v>
      </c>
      <c r="AE7498">
        <v>49.147959999999998</v>
      </c>
      <c r="AF7498">
        <v>-0.50160609762834596</v>
      </c>
      <c r="AG7498">
        <v>-1.11011952735</v>
      </c>
      <c r="AH7498">
        <v>49.121177295584502</v>
      </c>
      <c r="AI7498">
        <v>91.294574510407699</v>
      </c>
      <c r="AJ7498">
        <v>90.585061577252205</v>
      </c>
      <c r="AK7498">
        <v>49.1362802107204</v>
      </c>
      <c r="AL7498">
        <v>79.814696195442806</v>
      </c>
      <c r="AM7498">
        <v>95.446165068603904</v>
      </c>
      <c r="AN7498">
        <v>1.0000000493224199</v>
      </c>
    </row>
    <row r="7499" spans="1:40" x14ac:dyDescent="0.25">
      <c r="A7499" t="str">
        <f>"20190304155248812"</f>
        <v>20190304155248812</v>
      </c>
      <c r="B7499" t="str">
        <f>"1551685968804671"</f>
        <v>1551685968804671</v>
      </c>
      <c r="C7499" t="s">
        <v>40</v>
      </c>
      <c r="D7499">
        <v>4.9092029999999998</v>
      </c>
      <c r="E7499">
        <v>0.52981109999999998</v>
      </c>
      <c r="F7499" t="s">
        <v>41</v>
      </c>
      <c r="G7499">
        <v>-187.27</v>
      </c>
      <c r="H7499" s="1">
        <v>-7.1791969999999898E-7</v>
      </c>
      <c r="I7499">
        <v>89.623199999999997</v>
      </c>
      <c r="J7499">
        <v>-186.9691</v>
      </c>
      <c r="K7499">
        <v>1.11012</v>
      </c>
      <c r="L7499">
        <v>40.295409999999997</v>
      </c>
      <c r="M7499">
        <v>3.8137230000000002E-3</v>
      </c>
      <c r="N7499">
        <v>-8.9342399999999995E-3</v>
      </c>
      <c r="O7499">
        <v>0.99995279999999998</v>
      </c>
      <c r="P7499">
        <v>-8.8602589999999995E-2</v>
      </c>
      <c r="Q7499">
        <v>0.1682524</v>
      </c>
      <c r="R7499">
        <v>0.98175389999999996</v>
      </c>
      <c r="S7499">
        <v>-1.8478390000000001E-2</v>
      </c>
      <c r="T7499">
        <v>-6.8454619999999994E-2</v>
      </c>
      <c r="U7499">
        <v>3.065887</v>
      </c>
      <c r="V7499">
        <v>-9.2573139999999998E-2</v>
      </c>
      <c r="W7499">
        <v>0.1768952</v>
      </c>
      <c r="X7499">
        <v>0.97986649999999997</v>
      </c>
      <c r="Y7499">
        <v>-9.838833E-3</v>
      </c>
      <c r="Z7499">
        <v>-1.3388280000000001E-2</v>
      </c>
      <c r="AA7499">
        <v>0.99986200000000003</v>
      </c>
      <c r="AB7499">
        <v>38</v>
      </c>
      <c r="AC7499">
        <v>-0.30090000000001199</v>
      </c>
      <c r="AD7499">
        <v>-1.1101207179196999</v>
      </c>
      <c r="AE7499">
        <v>49.32779</v>
      </c>
      <c r="AF7499">
        <v>-0.48878030514047799</v>
      </c>
      <c r="AG7499">
        <v>-1.1101207179196999</v>
      </c>
      <c r="AH7499">
        <v>49.301314749651901</v>
      </c>
      <c r="AI7499">
        <v>91.289851228908802</v>
      </c>
      <c r="AJ7499">
        <v>90.568019965572802</v>
      </c>
      <c r="AK7499">
        <v>49.316233739401603</v>
      </c>
      <c r="AL7499">
        <v>79.811034346460104</v>
      </c>
      <c r="AM7499">
        <v>95.397014418588796</v>
      </c>
      <c r="AN7499">
        <v>1.00000002792737</v>
      </c>
    </row>
    <row r="7500" spans="1:40" x14ac:dyDescent="0.25">
      <c r="A7500" t="str">
        <f>"20190304155248836"</f>
        <v>20190304155248836</v>
      </c>
      <c r="B7500" t="str">
        <f>"1551685968824192"</f>
        <v>1551685968824192</v>
      </c>
      <c r="C7500" t="s">
        <v>40</v>
      </c>
      <c r="D7500">
        <v>4.9168209999999997</v>
      </c>
      <c r="E7500">
        <v>0.52979719999999997</v>
      </c>
      <c r="F7500" t="s">
        <v>41</v>
      </c>
      <c r="G7500">
        <v>-187.26849999999999</v>
      </c>
      <c r="H7500" s="1">
        <v>-9.4894279999999997E-7</v>
      </c>
      <c r="I7500">
        <v>90.300929999999994</v>
      </c>
      <c r="J7500">
        <v>-186.96809999999999</v>
      </c>
      <c r="K7500">
        <v>1.1101160000000001</v>
      </c>
      <c r="L7500">
        <v>40.711179999999999</v>
      </c>
      <c r="M7500">
        <v>3.2274930000000001E-3</v>
      </c>
      <c r="N7500">
        <v>-8.9545579999999996E-3</v>
      </c>
      <c r="O7500">
        <v>0.99995469999999997</v>
      </c>
      <c r="P7500">
        <v>-8.8582679999999997E-2</v>
      </c>
      <c r="Q7500">
        <v>0.1683085</v>
      </c>
      <c r="R7500">
        <v>0.98174609999999995</v>
      </c>
      <c r="S7500">
        <v>-1.8356319999999999E-2</v>
      </c>
      <c r="T7500">
        <v>-6.8059919999999996E-2</v>
      </c>
      <c r="U7500">
        <v>3.0657649999999999</v>
      </c>
      <c r="V7500">
        <v>-9.1978909999999997E-2</v>
      </c>
      <c r="W7500">
        <v>0.1769722</v>
      </c>
      <c r="X7500">
        <v>0.97990849999999996</v>
      </c>
      <c r="Y7500">
        <v>-9.2131360000000002E-3</v>
      </c>
      <c r="Z7500">
        <v>-1.324034E-2</v>
      </c>
      <c r="AA7500">
        <v>0.99986989999999998</v>
      </c>
      <c r="AB7500">
        <v>38</v>
      </c>
      <c r="AC7500">
        <v>-0.300399999999996</v>
      </c>
      <c r="AD7500">
        <v>-1.11011694894279</v>
      </c>
      <c r="AE7500">
        <v>49.589750000000002</v>
      </c>
      <c r="AF7500">
        <v>-0.460224797486186</v>
      </c>
      <c r="AG7500">
        <v>-1.11011694894279</v>
      </c>
      <c r="AH7500">
        <v>49.563684997218097</v>
      </c>
      <c r="AI7500">
        <v>91.283028947559202</v>
      </c>
      <c r="AJ7500">
        <v>90.532006058713606</v>
      </c>
      <c r="AK7500">
        <v>49.578251653401601</v>
      </c>
      <c r="AL7500">
        <v>79.806551293743695</v>
      </c>
      <c r="AM7500">
        <v>95.362344910589499</v>
      </c>
      <c r="AN7500">
        <v>0.999999973914938</v>
      </c>
    </row>
    <row r="7501" spans="1:40" x14ac:dyDescent="0.25">
      <c r="A7501" t="str">
        <f>"20190304155248858"</f>
        <v>20190304155248858</v>
      </c>
      <c r="B7501" t="str">
        <f>"1551685968854447"</f>
        <v>1551685968854447</v>
      </c>
      <c r="C7501" t="s">
        <v>40</v>
      </c>
      <c r="D7501">
        <v>4.8889860000000001</v>
      </c>
      <c r="E7501">
        <v>0.52984809999999904</v>
      </c>
      <c r="F7501" t="s">
        <v>41</v>
      </c>
      <c r="G7501">
        <v>-187.27449999999999</v>
      </c>
      <c r="H7501" s="1">
        <v>-1.3000419999999999E-6</v>
      </c>
      <c r="I7501">
        <v>91.337289999999996</v>
      </c>
      <c r="J7501">
        <v>-186.96729999999999</v>
      </c>
      <c r="K7501">
        <v>1.1101190000000001</v>
      </c>
      <c r="L7501">
        <v>41.075290000000003</v>
      </c>
      <c r="M7501">
        <v>2.7143979999999998E-3</v>
      </c>
      <c r="N7501">
        <v>-8.9772410000000004E-3</v>
      </c>
      <c r="O7501">
        <v>0.99995599999999996</v>
      </c>
      <c r="P7501">
        <v>-8.8205699999999998E-2</v>
      </c>
      <c r="Q7501">
        <v>0.1683134</v>
      </c>
      <c r="R7501">
        <v>0.98177919999999996</v>
      </c>
      <c r="S7501">
        <v>-1.8554689999999999E-2</v>
      </c>
      <c r="T7501">
        <v>-6.7222000000000004E-2</v>
      </c>
      <c r="U7501">
        <v>3.0656129999999999</v>
      </c>
      <c r="V7501">
        <v>-9.1099009999999994E-2</v>
      </c>
      <c r="W7501">
        <v>0.17700080000000001</v>
      </c>
      <c r="X7501">
        <v>0.97998549999999995</v>
      </c>
      <c r="Y7501">
        <v>-8.7651250000000003E-3</v>
      </c>
      <c r="Z7501">
        <v>-1.2945699999999999E-2</v>
      </c>
      <c r="AA7501">
        <v>0.99987780000000004</v>
      </c>
      <c r="AB7501">
        <v>38</v>
      </c>
      <c r="AC7501">
        <v>-0.30719999999999398</v>
      </c>
      <c r="AD7501">
        <v>-1.1101203000419999</v>
      </c>
      <c r="AE7501">
        <v>50.261999999999901</v>
      </c>
      <c r="AF7501">
        <v>-0.44341913990276199</v>
      </c>
      <c r="AG7501">
        <v>-1.1101203000419999</v>
      </c>
      <c r="AH7501">
        <v>50.236475428014401</v>
      </c>
      <c r="AI7501">
        <v>91.265860729614204</v>
      </c>
      <c r="AJ7501">
        <v>90.505715922448303</v>
      </c>
      <c r="AK7501">
        <v>50.250696025465103</v>
      </c>
      <c r="AL7501">
        <v>79.804886068098199</v>
      </c>
      <c r="AM7501">
        <v>95.310926825747799</v>
      </c>
      <c r="AN7501">
        <v>0.99999994651693302</v>
      </c>
    </row>
    <row r="7502" spans="1:40" x14ac:dyDescent="0.25">
      <c r="A7502" t="str">
        <f>"20190304155248878"</f>
        <v>20190304155248878</v>
      </c>
      <c r="B7502" t="str">
        <f>"1551685968873968"</f>
        <v>1551685968873968</v>
      </c>
      <c r="C7502" t="s">
        <v>40</v>
      </c>
      <c r="D7502">
        <v>4.8940239999999999</v>
      </c>
      <c r="E7502">
        <v>0.52982530000000005</v>
      </c>
      <c r="F7502" t="s">
        <v>41</v>
      </c>
      <c r="G7502">
        <v>-187.2559</v>
      </c>
      <c r="H7502" s="1">
        <v>-1.726574E-6</v>
      </c>
      <c r="I7502">
        <v>92.522829999999999</v>
      </c>
      <c r="J7502">
        <v>-186.96680000000001</v>
      </c>
      <c r="K7502">
        <v>1.1101190000000001</v>
      </c>
      <c r="L7502">
        <v>41.434570000000001</v>
      </c>
      <c r="M7502">
        <v>2.2084169999999998E-3</v>
      </c>
      <c r="N7502">
        <v>-9.0037959999999997E-3</v>
      </c>
      <c r="O7502">
        <v>0.99995699999999998</v>
      </c>
      <c r="P7502">
        <v>-8.7842680000000006E-2</v>
      </c>
      <c r="Q7502">
        <v>0.168325799999999</v>
      </c>
      <c r="R7502">
        <v>0.98180959999999995</v>
      </c>
      <c r="S7502">
        <v>-1.7196659999999999E-2</v>
      </c>
      <c r="T7502">
        <v>-6.6145659999999995E-2</v>
      </c>
      <c r="U7502">
        <v>3.0654599999999999</v>
      </c>
      <c r="V7502">
        <v>-9.0239910000000007E-2</v>
      </c>
      <c r="W7502">
        <v>0.17704020000000001</v>
      </c>
      <c r="X7502">
        <v>0.98005790000000004</v>
      </c>
      <c r="Y7502">
        <v>-7.8166629999999997E-3</v>
      </c>
      <c r="Z7502">
        <v>-1.2569500000000001E-2</v>
      </c>
      <c r="AA7502">
        <v>0.99989039999999996</v>
      </c>
      <c r="AB7502">
        <v>38</v>
      </c>
      <c r="AC7502">
        <v>-0.28909999999998998</v>
      </c>
      <c r="AD7502">
        <v>-1.1101207265740001</v>
      </c>
      <c r="AE7502">
        <v>51.088259999999998</v>
      </c>
      <c r="AF7502">
        <v>-0.40173837067775697</v>
      </c>
      <c r="AG7502">
        <v>-1.1101207265740001</v>
      </c>
      <c r="AH7502">
        <v>51.063387112202797</v>
      </c>
      <c r="AI7502">
        <v>91.245378553723796</v>
      </c>
      <c r="AJ7502">
        <v>90.450762072725695</v>
      </c>
      <c r="AK7502">
        <v>51.077032657709502</v>
      </c>
      <c r="AL7502">
        <v>79.802592741479501</v>
      </c>
      <c r="AM7502">
        <v>95.260738571192206</v>
      </c>
      <c r="AN7502">
        <v>0.99999998056262795</v>
      </c>
    </row>
    <row r="7503" spans="1:40" x14ac:dyDescent="0.25">
      <c r="A7503" t="str">
        <f>"20190304155248900"</f>
        <v>20190304155248900</v>
      </c>
      <c r="B7503" t="str">
        <f>"1551685968894464"</f>
        <v>1551685968894464</v>
      </c>
      <c r="C7503" t="s">
        <v>40</v>
      </c>
      <c r="D7503">
        <v>4.8904930000000002</v>
      </c>
      <c r="E7503">
        <v>0.52980419999999995</v>
      </c>
      <c r="F7503" t="s">
        <v>41</v>
      </c>
      <c r="G7503">
        <v>-187.24610000000001</v>
      </c>
      <c r="H7503" s="1">
        <v>-2.0777719999999999E-6</v>
      </c>
      <c r="I7503">
        <v>93.337389999999999</v>
      </c>
      <c r="J7503">
        <v>-186.96639999999999</v>
      </c>
      <c r="K7503">
        <v>1.110125</v>
      </c>
      <c r="L7503">
        <v>41.80341</v>
      </c>
      <c r="M7503">
        <v>1.689187E-3</v>
      </c>
      <c r="N7503">
        <v>-9.0348519999999995E-3</v>
      </c>
      <c r="O7503">
        <v>0.99995769999999995</v>
      </c>
      <c r="P7503">
        <v>-8.7778300000000004E-2</v>
      </c>
      <c r="Q7503">
        <v>0.16789399999999999</v>
      </c>
      <c r="R7503">
        <v>0.98188929999999996</v>
      </c>
      <c r="S7503">
        <v>-1.6494749999999999E-2</v>
      </c>
      <c r="T7503">
        <v>-6.5562839999999997E-2</v>
      </c>
      <c r="U7503">
        <v>3.0653380000000001</v>
      </c>
      <c r="V7503">
        <v>-8.9665999999999996E-2</v>
      </c>
      <c r="W7503">
        <v>0.17664079999999999</v>
      </c>
      <c r="X7503">
        <v>0.98018260000000001</v>
      </c>
      <c r="Y7503">
        <v>-7.0688189999999996E-3</v>
      </c>
      <c r="Z7503">
        <v>-1.23494E-2</v>
      </c>
      <c r="AA7503">
        <v>0.99989870000000003</v>
      </c>
      <c r="AB7503">
        <v>38</v>
      </c>
      <c r="AC7503">
        <v>-0.27970000000001899</v>
      </c>
      <c r="AD7503">
        <v>-1.110127077772</v>
      </c>
      <c r="AE7503">
        <v>51.53398</v>
      </c>
      <c r="AF7503">
        <v>-0.36658358272969599</v>
      </c>
      <c r="AG7503">
        <v>-1.110127077772</v>
      </c>
      <c r="AH7503">
        <v>51.509532064195596</v>
      </c>
      <c r="AI7503">
        <v>91.234609179888196</v>
      </c>
      <c r="AJ7503">
        <v>90.407756325732294</v>
      </c>
      <c r="AK7503">
        <v>51.522797469899899</v>
      </c>
      <c r="AL7503">
        <v>79.825842763799997</v>
      </c>
      <c r="AM7503">
        <v>95.226805783179003</v>
      </c>
      <c r="AN7503">
        <v>0.99999994656169799</v>
      </c>
    </row>
    <row r="7504" spans="1:40" x14ac:dyDescent="0.25">
      <c r="A7504" t="str">
        <f>"20190304155248923"</f>
        <v>20190304155248923</v>
      </c>
      <c r="B7504" t="str">
        <f>"1551685968913984"</f>
        <v>1551685968913984</v>
      </c>
      <c r="C7504" t="s">
        <v>40</v>
      </c>
      <c r="D7504">
        <v>4.9143929999999996</v>
      </c>
      <c r="E7504">
        <v>0.5298176</v>
      </c>
      <c r="F7504" t="s">
        <v>41</v>
      </c>
      <c r="G7504">
        <v>-187.2432</v>
      </c>
      <c r="H7504" s="1">
        <v>-2.0001070000000001E-6</v>
      </c>
      <c r="I7504">
        <v>93.155190000000005</v>
      </c>
      <c r="J7504">
        <v>-186.96619999999999</v>
      </c>
      <c r="K7504">
        <v>1.1101270000000001</v>
      </c>
      <c r="L7504">
        <v>42.194240000000001</v>
      </c>
      <c r="M7504">
        <v>1.1394370000000001E-3</v>
      </c>
      <c r="N7504">
        <v>-9.0692559999999995E-3</v>
      </c>
      <c r="O7504">
        <v>0.99995820000000002</v>
      </c>
      <c r="P7504">
        <v>-8.7968539999999998E-2</v>
      </c>
      <c r="Q7504">
        <v>0.16775309999999999</v>
      </c>
      <c r="R7504">
        <v>0.98189630000000006</v>
      </c>
      <c r="S7504">
        <v>-1.6525270000000002E-2</v>
      </c>
      <c r="T7504">
        <v>-6.6263440000000007E-2</v>
      </c>
      <c r="U7504">
        <v>3.0651860000000002</v>
      </c>
      <c r="V7504">
        <v>-8.9317670000000002E-2</v>
      </c>
      <c r="W7504">
        <v>0.17653379999999999</v>
      </c>
      <c r="X7504">
        <v>0.98023369999999999</v>
      </c>
      <c r="Y7504">
        <v>-6.5293310000000002E-3</v>
      </c>
      <c r="Z7504">
        <v>-1.254457E-2</v>
      </c>
      <c r="AA7504">
        <v>0.99990000000000001</v>
      </c>
      <c r="AB7504">
        <v>38</v>
      </c>
      <c r="AC7504">
        <v>-0.27700000000001501</v>
      </c>
      <c r="AD7504">
        <v>-1.1101290001070001</v>
      </c>
      <c r="AE7504">
        <v>50.960949999999997</v>
      </c>
      <c r="AF7504">
        <v>-0.334910078565893</v>
      </c>
      <c r="AG7504">
        <v>-1.1101290001070001</v>
      </c>
      <c r="AH7504">
        <v>50.936430672288701</v>
      </c>
      <c r="AI7504">
        <v>91.248502563864506</v>
      </c>
      <c r="AJ7504">
        <v>90.376717748977697</v>
      </c>
      <c r="AK7504">
        <v>50.949627288042798</v>
      </c>
      <c r="AL7504">
        <v>79.8320715108851</v>
      </c>
      <c r="AM7504">
        <v>95.206342831387801</v>
      </c>
      <c r="AN7504">
        <v>0.99999996766617805</v>
      </c>
    </row>
    <row r="7505" spans="1:40" x14ac:dyDescent="0.25">
      <c r="A7505" t="str">
        <f>"20190304155248946"</f>
        <v>20190304155248946</v>
      </c>
      <c r="B7505" t="str">
        <f>"1551685968934480"</f>
        <v>1551685968934480</v>
      </c>
      <c r="C7505" t="s">
        <v>40</v>
      </c>
      <c r="D7505">
        <v>4.896992</v>
      </c>
      <c r="E7505">
        <v>0.5297925</v>
      </c>
      <c r="F7505" t="s">
        <v>41</v>
      </c>
      <c r="G7505">
        <v>-187.2544</v>
      </c>
      <c r="H7505" s="1">
        <v>-2.2691119999999999E-6</v>
      </c>
      <c r="I7505">
        <v>93.786860000000004</v>
      </c>
      <c r="J7505">
        <v>-186.96619999999999</v>
      </c>
      <c r="K7505">
        <v>1.1101379999999901</v>
      </c>
      <c r="L7505">
        <v>42.583039999999997</v>
      </c>
      <c r="M7505">
        <v>5.925193E-4</v>
      </c>
      <c r="N7505">
        <v>-9.1058360000000008E-3</v>
      </c>
      <c r="O7505">
        <v>0.99995829999999997</v>
      </c>
      <c r="P7505">
        <v>-8.7842770000000001E-2</v>
      </c>
      <c r="Q7505">
        <v>0.16813499999999901</v>
      </c>
      <c r="R7505">
        <v>0.98184229999999995</v>
      </c>
      <c r="S7505">
        <v>-1.7120360000000001E-2</v>
      </c>
      <c r="T7505">
        <v>-6.5950990000000001E-2</v>
      </c>
      <c r="U7505">
        <v>3.0650330000000001</v>
      </c>
      <c r="V7505">
        <v>-8.8655570000000003E-2</v>
      </c>
      <c r="W7505">
        <v>0.17695250000000001</v>
      </c>
      <c r="X7505">
        <v>0.98021840000000005</v>
      </c>
      <c r="Y7505">
        <v>-6.1768569999999896E-3</v>
      </c>
      <c r="Z7505">
        <v>-1.240723E-2</v>
      </c>
      <c r="AA7505">
        <v>0.99990400000000002</v>
      </c>
      <c r="AB7505">
        <v>38</v>
      </c>
      <c r="AC7505">
        <v>-0.288200000000017</v>
      </c>
      <c r="AD7505">
        <v>-1.1101402691119999</v>
      </c>
      <c r="AE7505">
        <v>51.20382</v>
      </c>
      <c r="AF7505">
        <v>-0.31839080361740302</v>
      </c>
      <c r="AG7505">
        <v>-1.1101402691119999</v>
      </c>
      <c r="AH7505">
        <v>51.179583654651601</v>
      </c>
      <c r="AI7505">
        <v>91.242588244971998</v>
      </c>
      <c r="AJ7505">
        <v>90.356435372257806</v>
      </c>
      <c r="AK7505">
        <v>51.192612427814403</v>
      </c>
      <c r="AL7505">
        <v>79.807698950644195</v>
      </c>
      <c r="AM7505">
        <v>95.168038891512097</v>
      </c>
      <c r="AN7505">
        <v>1.00000005452341</v>
      </c>
    </row>
    <row r="7506" spans="1:40" x14ac:dyDescent="0.25">
      <c r="A7506" t="str">
        <f>"20190304155248967"</f>
        <v>20190304155248967</v>
      </c>
      <c r="B7506" t="str">
        <f>"1551685968964736"</f>
        <v>1551685968964736</v>
      </c>
      <c r="C7506" t="s">
        <v>40</v>
      </c>
      <c r="D7506">
        <v>4.9354820000000004</v>
      </c>
      <c r="E7506">
        <v>0.52974049999999995</v>
      </c>
      <c r="F7506" t="s">
        <v>41</v>
      </c>
      <c r="G7506">
        <v>-187.26300000000001</v>
      </c>
      <c r="H7506" s="1">
        <v>-2.974436E-6</v>
      </c>
      <c r="I7506">
        <v>95.434560000000005</v>
      </c>
      <c r="J7506">
        <v>-186.96639999999999</v>
      </c>
      <c r="K7506">
        <v>1.1101449999999999</v>
      </c>
      <c r="L7506">
        <v>42.955959999999997</v>
      </c>
      <c r="M7506" s="1">
        <v>6.834872E-5</v>
      </c>
      <c r="N7506">
        <v>-9.1499960000000005E-3</v>
      </c>
      <c r="O7506">
        <v>0.99995820000000002</v>
      </c>
      <c r="P7506">
        <v>-8.7576520000000005E-2</v>
      </c>
      <c r="Q7506">
        <v>0.1683944</v>
      </c>
      <c r="R7506">
        <v>0.98182159999999996</v>
      </c>
      <c r="S7506">
        <v>-1.721191E-2</v>
      </c>
      <c r="T7506">
        <v>-6.4379450000000005E-2</v>
      </c>
      <c r="U7506">
        <v>3.064972</v>
      </c>
      <c r="V7506">
        <v>-8.7875720000000004E-2</v>
      </c>
      <c r="W7506">
        <v>0.1772561</v>
      </c>
      <c r="X7506">
        <v>0.98023369999999999</v>
      </c>
      <c r="Y7506">
        <v>-5.6827680000000004E-3</v>
      </c>
      <c r="Z7506">
        <v>-1.185108E-2</v>
      </c>
      <c r="AA7506">
        <v>0.99991359999999996</v>
      </c>
      <c r="AB7506">
        <v>38</v>
      </c>
      <c r="AC7506">
        <v>-0.29660000000001202</v>
      </c>
      <c r="AD7506">
        <v>-1.1101479744359899</v>
      </c>
      <c r="AE7506">
        <v>52.4786</v>
      </c>
      <c r="AF7506">
        <v>-0.30005272376272502</v>
      </c>
      <c r="AG7506">
        <v>-1.1101479744359899</v>
      </c>
      <c r="AH7506">
        <v>52.455106465858798</v>
      </c>
      <c r="AI7506">
        <v>91.212394057869702</v>
      </c>
      <c r="AJ7506">
        <v>90.327738677080305</v>
      </c>
      <c r="AK7506">
        <v>52.467710589530803</v>
      </c>
      <c r="AL7506">
        <v>79.790023859647306</v>
      </c>
      <c r="AM7506">
        <v>95.122742165962705</v>
      </c>
      <c r="AN7506">
        <v>0.99999998688420899</v>
      </c>
    </row>
    <row r="7507" spans="1:40" x14ac:dyDescent="0.25">
      <c r="A7507" t="str">
        <f>"20190304155248991"</f>
        <v>20190304155248991</v>
      </c>
      <c r="B7507" t="str">
        <f>"1551685968984256"</f>
        <v>1551685968984256</v>
      </c>
      <c r="C7507" t="s">
        <v>40</v>
      </c>
      <c r="D7507">
        <v>4.9346079999999999</v>
      </c>
      <c r="E7507">
        <v>0.52977559999999901</v>
      </c>
      <c r="F7507" t="s">
        <v>41</v>
      </c>
      <c r="G7507">
        <v>-187.26480000000001</v>
      </c>
      <c r="H7507" s="1">
        <v>-3.6262769999999999E-6</v>
      </c>
      <c r="I7507">
        <v>96.954769999999996</v>
      </c>
      <c r="J7507">
        <v>-186.96690000000001</v>
      </c>
      <c r="K7507">
        <v>1.1101559999999999</v>
      </c>
      <c r="L7507">
        <v>43.356200000000001</v>
      </c>
      <c r="M7507">
        <v>-4.9376620000000004E-4</v>
      </c>
      <c r="N7507">
        <v>-9.2104490000000008E-3</v>
      </c>
      <c r="O7507">
        <v>0.9999574</v>
      </c>
      <c r="P7507">
        <v>-8.7487499999999996E-2</v>
      </c>
      <c r="Q7507">
        <v>0.16868269999999999</v>
      </c>
      <c r="R7507">
        <v>0.98178010000000004</v>
      </c>
      <c r="S7507">
        <v>-1.6937259999999999E-2</v>
      </c>
      <c r="T7507">
        <v>-6.3009499999999996E-2</v>
      </c>
      <c r="U7507">
        <v>3.0648499999999999</v>
      </c>
      <c r="V7507">
        <v>-8.7235839999999995E-2</v>
      </c>
      <c r="W7507">
        <v>0.17760429999999999</v>
      </c>
      <c r="X7507">
        <v>0.98022779999999998</v>
      </c>
      <c r="Y7507">
        <v>-5.031382E-3</v>
      </c>
      <c r="Z7507">
        <v>-1.1344760000000001E-2</v>
      </c>
      <c r="AA7507">
        <v>0.99992300000000001</v>
      </c>
      <c r="AB7507">
        <v>38</v>
      </c>
      <c r="AC7507">
        <v>-0.297899999999998</v>
      </c>
      <c r="AD7507">
        <v>-1.1101596262769999</v>
      </c>
      <c r="AE7507">
        <v>53.598570000000002</v>
      </c>
      <c r="AF7507">
        <v>-0.271317283772261</v>
      </c>
      <c r="AG7507">
        <v>-1.1101596262769999</v>
      </c>
      <c r="AH7507">
        <v>53.575726909058098</v>
      </c>
      <c r="AI7507">
        <v>91.187058919011093</v>
      </c>
      <c r="AJ7507">
        <v>90.290153830407405</v>
      </c>
      <c r="AK7507">
        <v>53.587914507827797</v>
      </c>
      <c r="AL7507">
        <v>79.769751537345101</v>
      </c>
      <c r="AM7507">
        <v>95.085666940477694</v>
      </c>
      <c r="AN7507">
        <v>0.99999995952591603</v>
      </c>
    </row>
    <row r="7508" spans="1:40" x14ac:dyDescent="0.25">
      <c r="A7508" t="str">
        <f>"20190304155249011"</f>
        <v>20190304155249011</v>
      </c>
      <c r="B7508" t="str">
        <f>"1551685969004752"</f>
        <v>1551685969004752</v>
      </c>
      <c r="C7508" t="s">
        <v>40</v>
      </c>
      <c r="D7508">
        <v>4.8303399999999996</v>
      </c>
      <c r="E7508">
        <v>0.52975899999999998</v>
      </c>
      <c r="F7508" t="s">
        <v>41</v>
      </c>
      <c r="G7508">
        <v>-187.2681</v>
      </c>
      <c r="H7508" s="1">
        <v>-4.3978919999999996E-6</v>
      </c>
      <c r="I7508">
        <v>98.754769999999994</v>
      </c>
      <c r="J7508">
        <v>-186.9675</v>
      </c>
      <c r="K7508">
        <v>1.110168</v>
      </c>
      <c r="L7508">
        <v>43.717829999999999</v>
      </c>
      <c r="M7508">
        <v>-1.000017E-3</v>
      </c>
      <c r="N7508">
        <v>-9.2724690000000002E-3</v>
      </c>
      <c r="O7508">
        <v>0.99995650000000003</v>
      </c>
      <c r="P7508">
        <v>-8.7294940000000001E-2</v>
      </c>
      <c r="Q7508">
        <v>0.16886519999999999</v>
      </c>
      <c r="R7508">
        <v>0.98176580000000002</v>
      </c>
      <c r="S7508">
        <v>-1.6662599999999899E-2</v>
      </c>
      <c r="T7508">
        <v>-6.1416270000000002E-2</v>
      </c>
      <c r="U7508">
        <v>3.0647579999999999</v>
      </c>
      <c r="V7508">
        <v>-8.6546730000000002E-2</v>
      </c>
      <c r="W7508">
        <v>0.177848799999999</v>
      </c>
      <c r="X7508">
        <v>0.98024460000000002</v>
      </c>
      <c r="Y7508">
        <v>-4.4357939999999998E-3</v>
      </c>
      <c r="Z7508">
        <v>-1.0763790000000001E-2</v>
      </c>
      <c r="AA7508">
        <v>0.99993220000000005</v>
      </c>
      <c r="AB7508">
        <v>38</v>
      </c>
      <c r="AC7508">
        <v>-0.30060000000000198</v>
      </c>
      <c r="AD7508">
        <v>-1.110172397892</v>
      </c>
      <c r="AE7508">
        <v>55.036940000000001</v>
      </c>
      <c r="AF7508">
        <v>-0.245459736279419</v>
      </c>
      <c r="AG7508">
        <v>-1.110172397892</v>
      </c>
      <c r="AH7508">
        <v>55.014829023756299</v>
      </c>
      <c r="AI7508">
        <v>91.156032460652895</v>
      </c>
      <c r="AJ7508">
        <v>90.255634959849601</v>
      </c>
      <c r="AK7508">
        <v>55.026576722055999</v>
      </c>
      <c r="AL7508">
        <v>79.755516549388304</v>
      </c>
      <c r="AM7508">
        <v>95.045615441987593</v>
      </c>
      <c r="AN7508">
        <v>1.00000000398214</v>
      </c>
    </row>
    <row r="7509" spans="1:40" x14ac:dyDescent="0.25">
      <c r="A7509" t="str">
        <f>"20190304155249037"</f>
        <v>20190304155249037</v>
      </c>
      <c r="B7509" t="str">
        <f>"1551685969034032"</f>
        <v>1551685969034032</v>
      </c>
      <c r="C7509" t="s">
        <v>40</v>
      </c>
      <c r="D7509">
        <v>4.9550710000000002</v>
      </c>
      <c r="E7509">
        <v>0.52973939999999997</v>
      </c>
      <c r="F7509" t="s">
        <v>41</v>
      </c>
      <c r="G7509">
        <v>-187.26400000000001</v>
      </c>
      <c r="H7509" s="1">
        <v>-7.5821130000000002E-7</v>
      </c>
      <c r="I7509">
        <v>99.736909999999995</v>
      </c>
      <c r="J7509">
        <v>-186.96850000000001</v>
      </c>
      <c r="K7509">
        <v>1.1101810000000001</v>
      </c>
      <c r="L7509">
        <v>44.146790000000003</v>
      </c>
      <c r="M7509">
        <v>-1.5977700000000001E-3</v>
      </c>
      <c r="N7509">
        <v>-9.3508610000000002E-3</v>
      </c>
      <c r="O7509">
        <v>0.99995500000000004</v>
      </c>
      <c r="P7509">
        <v>-8.7664259999999994E-2</v>
      </c>
      <c r="Q7509">
        <v>0.1696648</v>
      </c>
      <c r="R7509">
        <v>0.981595</v>
      </c>
      <c r="S7509">
        <v>-1.622009E-2</v>
      </c>
      <c r="T7509">
        <v>-6.0735820000000003E-2</v>
      </c>
      <c r="U7509">
        <v>3.0647280000000001</v>
      </c>
      <c r="V7509">
        <v>-8.6330879999999999E-2</v>
      </c>
      <c r="W7509">
        <v>0.17872379999999999</v>
      </c>
      <c r="X7509">
        <v>0.98010439999999999</v>
      </c>
      <c r="Y7509">
        <v>-3.693815E-3</v>
      </c>
      <c r="Z7509">
        <v>-1.0463699999999999E-2</v>
      </c>
      <c r="AA7509">
        <v>0.99993840000000001</v>
      </c>
      <c r="AB7509">
        <v>38</v>
      </c>
      <c r="AC7509">
        <v>-0.29550000000000398</v>
      </c>
      <c r="AD7509">
        <v>-1.1101817582112901</v>
      </c>
      <c r="AE7509">
        <v>55.590119999999899</v>
      </c>
      <c r="AF7509">
        <v>-0.20659311886706799</v>
      </c>
      <c r="AG7509">
        <v>-1.1101817582112901</v>
      </c>
      <c r="AH7509">
        <v>55.568359233877302</v>
      </c>
      <c r="AI7509">
        <v>91.144533141420894</v>
      </c>
      <c r="AJ7509">
        <v>90.213014373896499</v>
      </c>
      <c r="AK7509">
        <v>55.5798320634227</v>
      </c>
      <c r="AL7509">
        <v>79.704565642267298</v>
      </c>
      <c r="AM7509">
        <v>95.033812516132798</v>
      </c>
      <c r="AN7509">
        <v>0.99999992621368405</v>
      </c>
    </row>
    <row r="7510" spans="1:40" x14ac:dyDescent="0.25">
      <c r="A7510" t="str">
        <f>"20190304155249060"</f>
        <v>20190304155249060</v>
      </c>
      <c r="B7510" t="str">
        <f>"1551685969054528"</f>
        <v>1551685969054528</v>
      </c>
      <c r="C7510" t="s">
        <v>40</v>
      </c>
      <c r="D7510">
        <v>4.9804919999999999</v>
      </c>
      <c r="E7510">
        <v>0.52973040000000005</v>
      </c>
      <c r="F7510" t="s">
        <v>41</v>
      </c>
      <c r="G7510">
        <v>-187.30189999999999</v>
      </c>
      <c r="H7510" s="1">
        <v>-1.700214E-6</v>
      </c>
      <c r="I7510">
        <v>102.4804</v>
      </c>
      <c r="J7510">
        <v>-186.96960000000001</v>
      </c>
      <c r="K7510">
        <v>1.1101920000000001</v>
      </c>
      <c r="L7510">
        <v>44.542389999999997</v>
      </c>
      <c r="M7510">
        <v>-2.145086E-3</v>
      </c>
      <c r="N7510">
        <v>-9.4331160000000001E-3</v>
      </c>
      <c r="O7510">
        <v>0.99995319999999999</v>
      </c>
      <c r="P7510">
        <v>-8.8217889999999993E-2</v>
      </c>
      <c r="Q7510">
        <v>0.1698617</v>
      </c>
      <c r="R7510">
        <v>0.98151140000000003</v>
      </c>
      <c r="S7510">
        <v>-1.7517089999999999E-2</v>
      </c>
      <c r="T7510">
        <v>-5.8327320000000002E-2</v>
      </c>
      <c r="U7510">
        <v>3.0647579999999999</v>
      </c>
      <c r="V7510">
        <v>-8.6347499999999994E-2</v>
      </c>
      <c r="W7510">
        <v>0.1790011</v>
      </c>
      <c r="X7510">
        <v>0.98005240000000005</v>
      </c>
      <c r="Y7510">
        <v>-3.569657E-3</v>
      </c>
      <c r="Z7510">
        <v>-9.5956979999999997E-3</v>
      </c>
      <c r="AA7510">
        <v>0.99994760000000005</v>
      </c>
      <c r="AB7510">
        <v>39</v>
      </c>
      <c r="AC7510">
        <v>-0.332299999999975</v>
      </c>
      <c r="AD7510">
        <v>-1.1101937002140001</v>
      </c>
      <c r="AE7510">
        <v>57.938009999999998</v>
      </c>
      <c r="AF7510">
        <v>-0.20793534492648799</v>
      </c>
      <c r="AG7510">
        <v>-1.1101937002140001</v>
      </c>
      <c r="AH7510">
        <v>57.917324573771403</v>
      </c>
      <c r="AI7510">
        <v>91.098137993747002</v>
      </c>
      <c r="AJ7510">
        <v>90.205702983965807</v>
      </c>
      <c r="AK7510">
        <v>57.9283372188711</v>
      </c>
      <c r="AL7510">
        <v>79.688417835425696</v>
      </c>
      <c r="AM7510">
        <v>95.035042384628895</v>
      </c>
      <c r="AN7510">
        <v>0.99999999565161002</v>
      </c>
    </row>
    <row r="7511" spans="1:40" x14ac:dyDescent="0.25">
      <c r="A7511" t="str">
        <f>"20190304155249079"</f>
        <v>20190304155249079</v>
      </c>
      <c r="B7511" t="str">
        <f>"1551685969074050"</f>
        <v>1551685969074050</v>
      </c>
      <c r="C7511" t="s">
        <v>40</v>
      </c>
      <c r="D7511">
        <v>4.9253130000000001</v>
      </c>
      <c r="E7511">
        <v>0.52973230000000004</v>
      </c>
      <c r="F7511" t="s">
        <v>41</v>
      </c>
      <c r="G7511">
        <v>-187.33789999999999</v>
      </c>
      <c r="H7511" s="1">
        <v>-1.9876420000000001E-6</v>
      </c>
      <c r="I7511">
        <v>103.1653</v>
      </c>
      <c r="J7511">
        <v>-186.9708</v>
      </c>
      <c r="K7511">
        <v>1.1102069999999999</v>
      </c>
      <c r="L7511">
        <v>44.889310000000002</v>
      </c>
      <c r="M7511">
        <v>-2.6202230000000001E-3</v>
      </c>
      <c r="N7511">
        <v>-9.5194809999999998E-3</v>
      </c>
      <c r="O7511">
        <v>0.99995120000000004</v>
      </c>
      <c r="P7511">
        <v>-8.8449369999999999E-2</v>
      </c>
      <c r="Q7511">
        <v>0.16945969999999999</v>
      </c>
      <c r="R7511">
        <v>0.98156010000000005</v>
      </c>
      <c r="S7511">
        <v>-1.9256590000000001E-2</v>
      </c>
      <c r="T7511">
        <v>-5.8041210000000003E-2</v>
      </c>
      <c r="U7511">
        <v>3.064819</v>
      </c>
      <c r="V7511">
        <v>-8.6111350000000003E-2</v>
      </c>
      <c r="W7511">
        <v>0.17868580000000001</v>
      </c>
      <c r="X7511">
        <v>0.98013070000000002</v>
      </c>
      <c r="Y7511">
        <v>-3.6618979999999998E-3</v>
      </c>
      <c r="Z7511">
        <v>-9.4155920000000004E-3</v>
      </c>
      <c r="AA7511">
        <v>0.99994899999999998</v>
      </c>
      <c r="AB7511">
        <v>39</v>
      </c>
      <c r="AC7511">
        <v>-0.36709999999999299</v>
      </c>
      <c r="AD7511">
        <v>-1.110208987642</v>
      </c>
      <c r="AE7511">
        <v>58.27599</v>
      </c>
      <c r="AF7511">
        <v>-0.214317942046899</v>
      </c>
      <c r="AG7511">
        <v>-1.110208987642</v>
      </c>
      <c r="AH7511">
        <v>58.255609635818502</v>
      </c>
      <c r="AI7511">
        <v>91.091777431631797</v>
      </c>
      <c r="AJ7511">
        <v>90.210785849319706</v>
      </c>
      <c r="AK7511">
        <v>58.266581761910402</v>
      </c>
      <c r="AL7511">
        <v>79.706779108526206</v>
      </c>
      <c r="AM7511">
        <v>95.020943556451101</v>
      </c>
      <c r="AN7511">
        <v>0.99999998440147597</v>
      </c>
    </row>
    <row r="7512" spans="1:40" x14ac:dyDescent="0.25">
      <c r="A7512" t="str">
        <f>"20190304155249101"</f>
        <v>20190304155249101</v>
      </c>
      <c r="B7512" t="str">
        <f>"1551685969094544"</f>
        <v>1551685969094544</v>
      </c>
      <c r="C7512" t="s">
        <v>40</v>
      </c>
      <c r="D7512">
        <v>5.0012889999999999</v>
      </c>
      <c r="E7512">
        <v>0.52973179999999997</v>
      </c>
      <c r="F7512" t="s">
        <v>41</v>
      </c>
      <c r="G7512">
        <v>-187.34360000000001</v>
      </c>
      <c r="H7512" s="1">
        <v>-1.408726E-6</v>
      </c>
      <c r="I7512">
        <v>101.7107</v>
      </c>
      <c r="J7512">
        <v>-186.97210000000001</v>
      </c>
      <c r="K7512">
        <v>1.110223</v>
      </c>
      <c r="L7512">
        <v>45.253360000000001</v>
      </c>
      <c r="M7512">
        <v>-3.1135059999999998E-3</v>
      </c>
      <c r="N7512">
        <v>-9.6313600000000003E-3</v>
      </c>
      <c r="O7512">
        <v>0.99994879999999997</v>
      </c>
      <c r="P7512">
        <v>-8.8968489999999997E-2</v>
      </c>
      <c r="Q7512">
        <v>0.16955899999999999</v>
      </c>
      <c r="R7512">
        <v>0.98149600000000004</v>
      </c>
      <c r="S7512">
        <v>-2.011108E-2</v>
      </c>
      <c r="T7512">
        <v>-5.9883359999999997E-2</v>
      </c>
      <c r="U7512">
        <v>3.06488</v>
      </c>
      <c r="V7512">
        <v>-8.6144970000000001E-2</v>
      </c>
      <c r="W7512">
        <v>0.17889459999999999</v>
      </c>
      <c r="X7512">
        <v>0.98008969999999995</v>
      </c>
      <c r="Y7512">
        <v>-3.4472230000000001E-3</v>
      </c>
      <c r="Z7512">
        <v>-9.9040980000000001E-3</v>
      </c>
      <c r="AA7512">
        <v>0.99994499999999997</v>
      </c>
      <c r="AB7512">
        <v>39</v>
      </c>
      <c r="AC7512">
        <v>-0.371499999999997</v>
      </c>
      <c r="AD7512">
        <v>-1.110224408726</v>
      </c>
      <c r="AE7512">
        <v>56.457340000000002</v>
      </c>
      <c r="AF7512">
        <v>-0.19563413447870101</v>
      </c>
      <c r="AG7512">
        <v>-1.110224408726</v>
      </c>
      <c r="AH7512">
        <v>56.436399708836298</v>
      </c>
      <c r="AI7512">
        <v>91.126978110608405</v>
      </c>
      <c r="AJ7512">
        <v>90.198612338766196</v>
      </c>
      <c r="AK7512">
        <v>56.447657905778897</v>
      </c>
      <c r="AL7512">
        <v>79.694620272588097</v>
      </c>
      <c r="AM7512">
        <v>95.023102877865895</v>
      </c>
      <c r="AN7512">
        <v>1.0000000269057701</v>
      </c>
    </row>
    <row r="7513" spans="1:40" x14ac:dyDescent="0.25">
      <c r="A7513" t="str">
        <f>"20190304155249123"</f>
        <v>20190304155249123</v>
      </c>
      <c r="B7513" t="str">
        <f>"1551685969114068"</f>
        <v>1551685969114068</v>
      </c>
      <c r="C7513" t="s">
        <v>40</v>
      </c>
      <c r="D7513">
        <v>4.9316870000000002</v>
      </c>
      <c r="E7513">
        <v>0.52973049999999999</v>
      </c>
      <c r="F7513" t="s">
        <v>41</v>
      </c>
      <c r="G7513">
        <v>-187.37280000000001</v>
      </c>
      <c r="H7513" s="1">
        <v>-1.4733139999999999E-6</v>
      </c>
      <c r="I7513">
        <v>101.9233</v>
      </c>
      <c r="J7513">
        <v>-186.97389999999999</v>
      </c>
      <c r="K7513">
        <v>1.1102479999999999</v>
      </c>
      <c r="L7513">
        <v>45.652369999999998</v>
      </c>
      <c r="M7513">
        <v>-3.647506E-3</v>
      </c>
      <c r="N7513">
        <v>-9.7847490000000006E-3</v>
      </c>
      <c r="O7513">
        <v>0.99994550000000004</v>
      </c>
      <c r="P7513">
        <v>-8.9830430000000003E-2</v>
      </c>
      <c r="Q7513">
        <v>0.1694717</v>
      </c>
      <c r="R7513">
        <v>0.98143259999999999</v>
      </c>
      <c r="S7513">
        <v>-2.1667479999999999E-2</v>
      </c>
      <c r="T7513">
        <v>-6.0046080000000002E-2</v>
      </c>
      <c r="U7513">
        <v>3.064972</v>
      </c>
      <c r="V7513">
        <v>-8.6481820000000001E-2</v>
      </c>
      <c r="W7513">
        <v>0.1789579</v>
      </c>
      <c r="X7513">
        <v>0.98004840000000004</v>
      </c>
      <c r="Y7513">
        <v>-3.4207450000000002E-3</v>
      </c>
      <c r="Z7513">
        <v>-9.8031300000000002E-3</v>
      </c>
      <c r="AA7513">
        <v>0.99994609999999995</v>
      </c>
      <c r="AB7513">
        <v>39</v>
      </c>
      <c r="AC7513">
        <v>-0.39890000000002601</v>
      </c>
      <c r="AD7513">
        <v>-1.11024947331399</v>
      </c>
      <c r="AE7513">
        <v>56.27093</v>
      </c>
      <c r="AF7513">
        <v>-0.193563621745002</v>
      </c>
      <c r="AG7513">
        <v>-1.11024947331399</v>
      </c>
      <c r="AH7513">
        <v>56.250114207641403</v>
      </c>
      <c r="AI7513">
        <v>91.130735016016203</v>
      </c>
      <c r="AJ7513">
        <v>90.197161107578594</v>
      </c>
      <c r="AK7513">
        <v>56.261403014334398</v>
      </c>
      <c r="AL7513">
        <v>79.690933168316704</v>
      </c>
      <c r="AM7513">
        <v>95.042854890627098</v>
      </c>
      <c r="AN7513">
        <v>0.99999995075273995</v>
      </c>
    </row>
    <row r="7514" spans="1:40" x14ac:dyDescent="0.25">
      <c r="A7514" t="str">
        <f>"20190304155249158"</f>
        <v>20190304155249158</v>
      </c>
      <c r="B7514" t="str">
        <f>"1551685969154080"</f>
        <v>1551685969154080</v>
      </c>
      <c r="C7514" t="s">
        <v>40</v>
      </c>
      <c r="D7514">
        <v>4.9922909999999998</v>
      </c>
      <c r="E7514">
        <v>0.52975539999999999</v>
      </c>
      <c r="F7514" t="s">
        <v>41</v>
      </c>
      <c r="G7514">
        <v>-187.422</v>
      </c>
      <c r="H7514" s="1">
        <v>-1.3357200000000001E-6</v>
      </c>
      <c r="I7514">
        <v>101.5574</v>
      </c>
      <c r="J7514">
        <v>-186.9768</v>
      </c>
      <c r="K7514">
        <v>1.1102959999999999</v>
      </c>
      <c r="L7514">
        <v>46.23724</v>
      </c>
      <c r="M7514">
        <v>-4.417743E-3</v>
      </c>
      <c r="N7514">
        <v>-1.0093420000000001E-2</v>
      </c>
      <c r="O7514">
        <v>0.99993929999999998</v>
      </c>
      <c r="P7514">
        <v>-9.0711219999999995E-2</v>
      </c>
      <c r="Q7514">
        <v>0.168719799999999</v>
      </c>
      <c r="R7514">
        <v>0.9814811</v>
      </c>
      <c r="S7514">
        <v>-2.4566649999999999E-2</v>
      </c>
      <c r="T7514">
        <v>-6.0870170000000001E-2</v>
      </c>
      <c r="U7514">
        <v>3.0650330000000001</v>
      </c>
      <c r="V7514">
        <v>-8.6604890000000004E-2</v>
      </c>
      <c r="W7514">
        <v>0.17851040000000001</v>
      </c>
      <c r="X7514">
        <v>0.98011919999999997</v>
      </c>
      <c r="Y7514">
        <v>-3.5960480000000001E-3</v>
      </c>
      <c r="Z7514">
        <v>-9.7626940000000006E-3</v>
      </c>
      <c r="AA7514">
        <v>0.99994590000000005</v>
      </c>
      <c r="AB7514">
        <v>39</v>
      </c>
      <c r="AC7514">
        <v>-0.44519999999999899</v>
      </c>
      <c r="AD7514">
        <v>-1.1102973357199999</v>
      </c>
      <c r="AE7514">
        <v>55.320159999999902</v>
      </c>
      <c r="AF7514">
        <v>-0.200712109651833</v>
      </c>
      <c r="AG7514">
        <v>-1.1102973357199999</v>
      </c>
      <c r="AH7514">
        <v>55.299312731849803</v>
      </c>
      <c r="AI7514">
        <v>91.150220194673693</v>
      </c>
      <c r="AJ7514">
        <v>90.207957490129999</v>
      </c>
      <c r="AK7514">
        <v>55.310822034567501</v>
      </c>
      <c r="AL7514">
        <v>79.716993252118698</v>
      </c>
      <c r="AM7514">
        <v>95.049631256335402</v>
      </c>
      <c r="AN7514">
        <v>1.0000000080443501</v>
      </c>
    </row>
    <row r="7515" spans="1:40" x14ac:dyDescent="0.25">
      <c r="A7515" t="str">
        <f>"20190304155249179"</f>
        <v>20190304155249179</v>
      </c>
      <c r="B7515" t="str">
        <f>"1551685969174576"</f>
        <v>1551685969174576</v>
      </c>
      <c r="C7515" t="s">
        <v>40</v>
      </c>
      <c r="D7515">
        <v>4.9528879999999997</v>
      </c>
      <c r="E7515">
        <v>0.52976199999999996</v>
      </c>
      <c r="F7515" t="s">
        <v>41</v>
      </c>
      <c r="G7515">
        <v>-187.4402</v>
      </c>
      <c r="H7515" s="1">
        <v>-4.5010039999999999E-6</v>
      </c>
      <c r="I7515">
        <v>99.066280000000006</v>
      </c>
      <c r="J7515">
        <v>-186.97880000000001</v>
      </c>
      <c r="K7515">
        <v>1.1103369999999999</v>
      </c>
      <c r="L7515">
        <v>46.603119999999997</v>
      </c>
      <c r="M7515">
        <v>-4.8897569999999998E-3</v>
      </c>
      <c r="N7515">
        <v>-1.0329690000000001E-2</v>
      </c>
      <c r="O7515">
        <v>0.99993469999999995</v>
      </c>
      <c r="P7515">
        <v>-9.1189259999999994E-2</v>
      </c>
      <c r="Q7515">
        <v>0.16855909999999999</v>
      </c>
      <c r="R7515">
        <v>0.98146440000000001</v>
      </c>
      <c r="S7515">
        <v>-2.6885989999999999E-2</v>
      </c>
      <c r="T7515">
        <v>-6.4420580000000005E-2</v>
      </c>
      <c r="U7515">
        <v>3.0651860000000002</v>
      </c>
      <c r="V7515">
        <v>-8.6620589999999997E-2</v>
      </c>
      <c r="W7515">
        <v>0.17858070000000001</v>
      </c>
      <c r="X7515">
        <v>0.980105</v>
      </c>
      <c r="Y7515">
        <v>-3.8800050000000002E-3</v>
      </c>
      <c r="Z7515">
        <v>-1.0683059999999999E-2</v>
      </c>
      <c r="AA7515">
        <v>0.99993540000000003</v>
      </c>
      <c r="AB7515">
        <v>39</v>
      </c>
      <c r="AC7515">
        <v>-0.46139999999999698</v>
      </c>
      <c r="AD7515">
        <v>-1.1103415010040001</v>
      </c>
      <c r="AE7515">
        <v>52.463159999999903</v>
      </c>
      <c r="AF7515">
        <v>-0.204756985806513</v>
      </c>
      <c r="AG7515">
        <v>-1.1103415010040001</v>
      </c>
      <c r="AH7515">
        <v>52.441301097397499</v>
      </c>
      <c r="AI7515">
        <v>91.212935067700201</v>
      </c>
      <c r="AJ7515">
        <v>90.223710153075999</v>
      </c>
      <c r="AK7515">
        <v>52.453454075589597</v>
      </c>
      <c r="AL7515">
        <v>79.712899517690005</v>
      </c>
      <c r="AM7515">
        <v>95.050614729833597</v>
      </c>
      <c r="AN7515">
        <v>1.00000000202471</v>
      </c>
    </row>
    <row r="7516" spans="1:40" x14ac:dyDescent="0.25">
      <c r="A7516" t="str">
        <f>"20190304155249201"</f>
        <v>20190304155249201</v>
      </c>
      <c r="B7516" t="str">
        <f>"1551685969194097"</f>
        <v>1551685969194097</v>
      </c>
      <c r="C7516" t="s">
        <v>40</v>
      </c>
      <c r="D7516">
        <v>4.9928220000000003</v>
      </c>
      <c r="E7516">
        <v>0.52976420000000002</v>
      </c>
      <c r="F7516" t="s">
        <v>41</v>
      </c>
      <c r="G7516">
        <v>-187.46289999999999</v>
      </c>
      <c r="H7516" s="1">
        <v>-4.3093730000000001E-6</v>
      </c>
      <c r="I7516">
        <v>98.628969999999995</v>
      </c>
      <c r="J7516">
        <v>-186.9812</v>
      </c>
      <c r="K7516">
        <v>1.110385</v>
      </c>
      <c r="L7516">
        <v>46.993319999999997</v>
      </c>
      <c r="M7516">
        <v>-5.379015E-3</v>
      </c>
      <c r="N7516">
        <v>-1.060962E-2</v>
      </c>
      <c r="O7516">
        <v>0.99992919999999996</v>
      </c>
      <c r="P7516">
        <v>-9.1394199999999995E-2</v>
      </c>
      <c r="Q7516">
        <v>0.1685285</v>
      </c>
      <c r="R7516">
        <v>0.98145059999999995</v>
      </c>
      <c r="S7516">
        <v>-2.8518680000000001E-2</v>
      </c>
      <c r="T7516">
        <v>-6.5418840000000006E-2</v>
      </c>
      <c r="U7516">
        <v>3.0652469999999998</v>
      </c>
      <c r="V7516">
        <v>-8.6345160000000004E-2</v>
      </c>
      <c r="W7516">
        <v>0.17882519999999999</v>
      </c>
      <c r="X7516">
        <v>0.98008470000000003</v>
      </c>
      <c r="Y7516">
        <v>-3.9230539999999996E-3</v>
      </c>
      <c r="Z7516">
        <v>-1.0728120000000001E-2</v>
      </c>
      <c r="AA7516">
        <v>0.99993469999999995</v>
      </c>
      <c r="AB7516">
        <v>39</v>
      </c>
      <c r="AC7516">
        <v>-0.48169999999998903</v>
      </c>
      <c r="AD7516">
        <v>-1.110389309373</v>
      </c>
      <c r="AE7516">
        <v>51.635649999999899</v>
      </c>
      <c r="AF7516">
        <v>-0.203834195505954</v>
      </c>
      <c r="AG7516">
        <v>-1.110389309373</v>
      </c>
      <c r="AH7516">
        <v>51.613628218656103</v>
      </c>
      <c r="AI7516">
        <v>91.232432496770002</v>
      </c>
      <c r="AJ7516">
        <v>90.226273153244406</v>
      </c>
      <c r="AK7516">
        <v>51.625973411561702</v>
      </c>
      <c r="AL7516">
        <v>79.698661271576199</v>
      </c>
      <c r="AM7516">
        <v>95.034741558163702</v>
      </c>
      <c r="AN7516">
        <v>0.99999997899227699</v>
      </c>
    </row>
    <row r="7517" spans="1:40" x14ac:dyDescent="0.25">
      <c r="A7517" t="str">
        <f>"20190304155249227"</f>
        <v>20190304155249227</v>
      </c>
      <c r="B7517" t="str">
        <f>"1551685969224352"</f>
        <v>1551685969224352</v>
      </c>
      <c r="C7517" t="s">
        <v>40</v>
      </c>
      <c r="D7517">
        <v>4.943327</v>
      </c>
      <c r="E7517">
        <v>0.52979529999999997</v>
      </c>
      <c r="F7517" t="s">
        <v>41</v>
      </c>
      <c r="G7517">
        <v>-187.4716</v>
      </c>
      <c r="H7517" s="1">
        <v>-4.3406130000000001E-6</v>
      </c>
      <c r="I7517">
        <v>98.705399999999997</v>
      </c>
      <c r="J7517">
        <v>-186.98410000000001</v>
      </c>
      <c r="K7517">
        <v>1.1104309999999999</v>
      </c>
      <c r="L7517">
        <v>47.420839999999998</v>
      </c>
      <c r="M7517">
        <v>-5.9053100000000004E-3</v>
      </c>
      <c r="N7517">
        <v>-1.095788E-2</v>
      </c>
      <c r="O7517">
        <v>0.99992250000000005</v>
      </c>
      <c r="P7517">
        <v>-9.1820440000000003E-2</v>
      </c>
      <c r="Q7517">
        <v>0.1686272</v>
      </c>
      <c r="R7517">
        <v>0.98139379999999998</v>
      </c>
      <c r="S7517">
        <v>-2.9067989999999998E-2</v>
      </c>
      <c r="T7517">
        <v>-6.5819260000000004E-2</v>
      </c>
      <c r="U7517">
        <v>3.065277</v>
      </c>
      <c r="V7517">
        <v>-8.6251649999999999E-2</v>
      </c>
      <c r="W7517">
        <v>0.17926710000000001</v>
      </c>
      <c r="X7517">
        <v>0.9800122</v>
      </c>
      <c r="Y7517">
        <v>-3.5758410000000002E-3</v>
      </c>
      <c r="Z7517">
        <v>-1.0510139999999999E-2</v>
      </c>
      <c r="AA7517">
        <v>0.99993840000000001</v>
      </c>
      <c r="AB7517">
        <v>39</v>
      </c>
      <c r="AC7517">
        <v>-0.487499999999983</v>
      </c>
      <c r="AD7517">
        <v>-1.1104353406130001</v>
      </c>
      <c r="AE7517">
        <v>51.2845599999999</v>
      </c>
      <c r="AF7517">
        <v>-0.184535575016156</v>
      </c>
      <c r="AG7517">
        <v>-1.1104353406130001</v>
      </c>
      <c r="AH7517">
        <v>51.262513565189998</v>
      </c>
      <c r="AI7517">
        <v>91.240924282491207</v>
      </c>
      <c r="AJ7517">
        <v>90.206253326501596</v>
      </c>
      <c r="AK7517">
        <v>51.274871204571703</v>
      </c>
      <c r="AL7517">
        <v>79.672926378776594</v>
      </c>
      <c r="AM7517">
        <v>95.029687171946804</v>
      </c>
      <c r="AN7517">
        <v>0.999999976209486</v>
      </c>
    </row>
    <row r="7518" spans="1:40" x14ac:dyDescent="0.25">
      <c r="A7518" t="str">
        <f>"20190304155249249"</f>
        <v>20190304155249249</v>
      </c>
      <c r="B7518" t="str">
        <f>"1551685969243873"</f>
        <v>1551685969243873</v>
      </c>
      <c r="C7518" t="s">
        <v>40</v>
      </c>
      <c r="D7518">
        <v>5.0063979999999999</v>
      </c>
      <c r="E7518">
        <v>0.52980879999999997</v>
      </c>
      <c r="F7518" t="s">
        <v>41</v>
      </c>
      <c r="G7518">
        <v>-187.48910000000001</v>
      </c>
      <c r="H7518" s="1">
        <v>-4.4301150000000004E-6</v>
      </c>
      <c r="I7518">
        <v>98.921260000000004</v>
      </c>
      <c r="J7518">
        <v>-186.98679999999999</v>
      </c>
      <c r="K7518">
        <v>1.110476</v>
      </c>
      <c r="L7518">
        <v>47.795259999999999</v>
      </c>
      <c r="M7518">
        <v>-6.3686849999999998E-3</v>
      </c>
      <c r="N7518">
        <v>-1.1305620000000001E-2</v>
      </c>
      <c r="O7518">
        <v>0.99991580000000002</v>
      </c>
      <c r="P7518">
        <v>-9.2397030000000005E-2</v>
      </c>
      <c r="Q7518">
        <v>0.1684956</v>
      </c>
      <c r="R7518">
        <v>0.98136230000000002</v>
      </c>
      <c r="S7518">
        <v>-3.0059809999999999E-2</v>
      </c>
      <c r="T7518">
        <v>-6.6095829999999994E-2</v>
      </c>
      <c r="U7518">
        <v>3.0654300000000001</v>
      </c>
      <c r="V7518">
        <v>-8.6367410000000006E-2</v>
      </c>
      <c r="W7518">
        <v>0.1794791</v>
      </c>
      <c r="X7518">
        <v>0.97996320000000003</v>
      </c>
      <c r="Y7518">
        <v>-3.43546E-3</v>
      </c>
      <c r="Z7518">
        <v>-1.0251420000000001E-2</v>
      </c>
      <c r="AA7518">
        <v>0.99994150000000004</v>
      </c>
      <c r="AB7518">
        <v>39</v>
      </c>
      <c r="AC7518">
        <v>-0.50230000000001895</v>
      </c>
      <c r="AD7518">
        <v>-1.110480430115</v>
      </c>
      <c r="AE7518">
        <v>51.125999999999998</v>
      </c>
      <c r="AF7518">
        <v>-0.17658031032785701</v>
      </c>
      <c r="AG7518">
        <v>-1.110480430115</v>
      </c>
      <c r="AH7518">
        <v>51.104054743161797</v>
      </c>
      <c r="AI7518">
        <v>91.244821981976401</v>
      </c>
      <c r="AJ7518">
        <v>90.197973845988898</v>
      </c>
      <c r="AK7518">
        <v>51.116423569961803</v>
      </c>
      <c r="AL7518">
        <v>79.660579407743597</v>
      </c>
      <c r="AM7518">
        <v>95.036653450455404</v>
      </c>
      <c r="AN7518">
        <v>0.99999997510057803</v>
      </c>
    </row>
    <row r="7519" spans="1:40" x14ac:dyDescent="0.25">
      <c r="A7519" t="str">
        <f>"20190304155249270"</f>
        <v>20190304155249270</v>
      </c>
      <c r="B7519" t="str">
        <f>"1551685969264368"</f>
        <v>1551685969264368</v>
      </c>
      <c r="C7519" t="s">
        <v>40</v>
      </c>
      <c r="D7519">
        <v>5.0378059999999998</v>
      </c>
      <c r="E7519">
        <v>0.52982890000000005</v>
      </c>
      <c r="F7519" t="s">
        <v>41</v>
      </c>
      <c r="G7519">
        <v>-187.51140000000001</v>
      </c>
      <c r="H7519" s="1">
        <v>-4.250322E-6</v>
      </c>
      <c r="I7519">
        <v>98.511359999999996</v>
      </c>
      <c r="J7519">
        <v>-186.9896</v>
      </c>
      <c r="K7519">
        <v>1.1105240000000001</v>
      </c>
      <c r="L7519">
        <v>48.163600000000002</v>
      </c>
      <c r="M7519">
        <v>-6.8295250000000004E-3</v>
      </c>
      <c r="N7519">
        <v>-1.1668799999999899E-2</v>
      </c>
      <c r="O7519">
        <v>0.99990860000000004</v>
      </c>
      <c r="P7519">
        <v>-9.3064350000000004E-2</v>
      </c>
      <c r="Q7519">
        <v>0.16940949999999999</v>
      </c>
      <c r="R7519">
        <v>0.98114190000000001</v>
      </c>
      <c r="S7519">
        <v>-3.1707760000000001E-2</v>
      </c>
      <c r="T7519">
        <v>-6.7122699999999993E-2</v>
      </c>
      <c r="U7519">
        <v>3.0655209999999999</v>
      </c>
      <c r="V7519">
        <v>-8.6579169999999997E-2</v>
      </c>
      <c r="W7519">
        <v>0.18074970000000001</v>
      </c>
      <c r="X7519">
        <v>0.97971090000000005</v>
      </c>
      <c r="Y7519">
        <v>-3.511704E-3</v>
      </c>
      <c r="Z7519">
        <v>-1.022227E-2</v>
      </c>
      <c r="AA7519">
        <v>0.99994159999999999</v>
      </c>
      <c r="AB7519">
        <v>39</v>
      </c>
      <c r="AC7519">
        <v>-0.52180000000001303</v>
      </c>
      <c r="AD7519">
        <v>-1.110528250322</v>
      </c>
      <c r="AE7519">
        <v>50.347760000000001</v>
      </c>
      <c r="AF7519">
        <v>-0.177826627083047</v>
      </c>
      <c r="AG7519">
        <v>-1.110528250322</v>
      </c>
      <c r="AH7519">
        <v>50.325667830912003</v>
      </c>
      <c r="AI7519">
        <v>91.264123510434899</v>
      </c>
      <c r="AJ7519">
        <v>90.202454795967796</v>
      </c>
      <c r="AK7519">
        <v>50.3382333612469</v>
      </c>
      <c r="AL7519">
        <v>79.586568487177502</v>
      </c>
      <c r="AM7519">
        <v>95.050232324931201</v>
      </c>
      <c r="AN7519">
        <v>0.99999992715339103</v>
      </c>
    </row>
    <row r="7520" spans="1:40" x14ac:dyDescent="0.25">
      <c r="A7520" t="str">
        <f>"20190304155249291"</f>
        <v>20190304155249291</v>
      </c>
      <c r="B7520" t="str">
        <f>"1551685969283889"</f>
        <v>1551685969283889</v>
      </c>
      <c r="C7520" t="s">
        <v>40</v>
      </c>
      <c r="D7520">
        <v>4.9755129999999896</v>
      </c>
      <c r="E7520">
        <v>0.52983199999999997</v>
      </c>
      <c r="F7520" t="s">
        <v>41</v>
      </c>
      <c r="G7520">
        <v>-187.56720000000001</v>
      </c>
      <c r="H7520" s="1">
        <v>-9.8923719999999898E-7</v>
      </c>
      <c r="I7520">
        <v>100.6528</v>
      </c>
      <c r="J7520">
        <v>-186.99250000000001</v>
      </c>
      <c r="K7520">
        <v>1.110563</v>
      </c>
      <c r="L7520">
        <v>48.526730000000001</v>
      </c>
      <c r="M7520">
        <v>-7.2849780000000001E-3</v>
      </c>
      <c r="N7520">
        <v>-1.201997E-2</v>
      </c>
      <c r="O7520">
        <v>0.99990120000000005</v>
      </c>
      <c r="P7520">
        <v>-9.277581E-2</v>
      </c>
      <c r="Q7520">
        <v>0.16972490000000001</v>
      </c>
      <c r="R7520">
        <v>0.98111470000000001</v>
      </c>
      <c r="S7520">
        <v>-3.3737179999999999E-2</v>
      </c>
      <c r="T7520">
        <v>-6.4861059999999998E-2</v>
      </c>
      <c r="U7520">
        <v>3.065674</v>
      </c>
      <c r="V7520">
        <v>-8.5840180000000002E-2</v>
      </c>
      <c r="W7520">
        <v>0.1814124</v>
      </c>
      <c r="X7520">
        <v>0.97965349999999995</v>
      </c>
      <c r="Y7520">
        <v>-3.717597E-3</v>
      </c>
      <c r="Z7520">
        <v>-9.132579E-3</v>
      </c>
      <c r="AA7520">
        <v>0.99995140000000005</v>
      </c>
      <c r="AB7520">
        <v>38</v>
      </c>
      <c r="AC7520">
        <v>-0.57470000000000698</v>
      </c>
      <c r="AD7520">
        <v>-1.1105639892371999</v>
      </c>
      <c r="AE7520">
        <v>52.126069999999999</v>
      </c>
      <c r="AF7520">
        <v>-0.194831605045304</v>
      </c>
      <c r="AG7520">
        <v>-1.1105639892371999</v>
      </c>
      <c r="AH7520">
        <v>52.105224958099598</v>
      </c>
      <c r="AI7520">
        <v>91.221001389417907</v>
      </c>
      <c r="AJ7520">
        <v>90.214239103058702</v>
      </c>
      <c r="AK7520">
        <v>52.117422995219997</v>
      </c>
      <c r="AL7520">
        <v>79.547960946955897</v>
      </c>
      <c r="AM7520">
        <v>95.007638436647198</v>
      </c>
      <c r="AN7520">
        <v>0.99999998771922105</v>
      </c>
    </row>
    <row r="7521" spans="1:40" x14ac:dyDescent="0.25">
      <c r="A7521" t="str">
        <f>"20190304155249315"</f>
        <v>20190304155249315</v>
      </c>
      <c r="B7521" t="str">
        <f>"1551685969304384"</f>
        <v>1551685969304384</v>
      </c>
      <c r="C7521" t="s">
        <v>40</v>
      </c>
      <c r="D7521">
        <v>5.0124649999999997</v>
      </c>
      <c r="E7521">
        <v>0.52983619999999898</v>
      </c>
      <c r="F7521" t="s">
        <v>41</v>
      </c>
      <c r="G7521">
        <v>-187.5702</v>
      </c>
      <c r="H7521" s="1">
        <v>-1.1227099999999999E-6</v>
      </c>
      <c r="I7521">
        <v>101.0474</v>
      </c>
      <c r="J7521">
        <v>-186.99590000000001</v>
      </c>
      <c r="K7521">
        <v>1.1105940000000001</v>
      </c>
      <c r="L7521">
        <v>48.934510000000003</v>
      </c>
      <c r="M7521">
        <v>-7.7910089999999998E-3</v>
      </c>
      <c r="N7521">
        <v>-1.2386299999999999E-2</v>
      </c>
      <c r="O7521">
        <v>0.99989300000000003</v>
      </c>
      <c r="P7521">
        <v>-9.283785E-2</v>
      </c>
      <c r="Q7521">
        <v>0.16870260000000001</v>
      </c>
      <c r="R7521">
        <v>0.98128519999999997</v>
      </c>
      <c r="S7521">
        <v>-3.3721920000000002E-2</v>
      </c>
      <c r="T7521">
        <v>-6.4826490000000001E-2</v>
      </c>
      <c r="U7521">
        <v>3.0657649999999999</v>
      </c>
      <c r="V7521">
        <v>-8.5400399999999904E-2</v>
      </c>
      <c r="W7521">
        <v>0.18075350000000001</v>
      </c>
      <c r="X7521">
        <v>0.97981379999999996</v>
      </c>
      <c r="Y7521">
        <v>-3.2062900000000001E-3</v>
      </c>
      <c r="Z7521">
        <v>-8.7542839999999993E-3</v>
      </c>
      <c r="AA7521">
        <v>0.99995650000000003</v>
      </c>
      <c r="AB7521">
        <v>38</v>
      </c>
      <c r="AC7521">
        <v>-0.57429999999999304</v>
      </c>
      <c r="AD7521">
        <v>-1.1105951227099999</v>
      </c>
      <c r="AE7521">
        <v>52.11289</v>
      </c>
      <c r="AF7521">
        <v>-0.16816308415445999</v>
      </c>
      <c r="AG7521">
        <v>-1.1105951227099999</v>
      </c>
      <c r="AH7521">
        <v>52.092126872541598</v>
      </c>
      <c r="AI7521">
        <v>91.221344707244199</v>
      </c>
      <c r="AJ7521">
        <v>90.184960801201996</v>
      </c>
      <c r="AK7521">
        <v>52.104235743885802</v>
      </c>
      <c r="AL7521">
        <v>79.586348614549294</v>
      </c>
      <c r="AM7521">
        <v>94.981301564410302</v>
      </c>
      <c r="AN7521">
        <v>1.0000000693764199</v>
      </c>
    </row>
    <row r="7522" spans="1:40" x14ac:dyDescent="0.25">
      <c r="A7522" t="str">
        <f>"20190304155249336"</f>
        <v>20190304155249336</v>
      </c>
      <c r="B7522" t="str">
        <f>"1551685969334640"</f>
        <v>1551685969334640</v>
      </c>
      <c r="C7522" t="s">
        <v>40</v>
      </c>
      <c r="D7522">
        <v>5.0247120000000001</v>
      </c>
      <c r="E7522">
        <v>0.52985669999999996</v>
      </c>
      <c r="F7522" t="s">
        <v>41</v>
      </c>
      <c r="G7522">
        <v>-187.53809999999999</v>
      </c>
      <c r="H7522" s="1">
        <v>-4.3545569999999997E-6</v>
      </c>
      <c r="I7522">
        <v>98.765379999999993</v>
      </c>
      <c r="J7522">
        <v>-186.9992</v>
      </c>
      <c r="K7522">
        <v>1.1106199999999999</v>
      </c>
      <c r="L7522">
        <v>49.304380000000002</v>
      </c>
      <c r="M7522">
        <v>-8.2436839999999994E-3</v>
      </c>
      <c r="N7522">
        <v>-1.268848E-2</v>
      </c>
      <c r="O7522">
        <v>0.99988549999999998</v>
      </c>
      <c r="P7522">
        <v>-9.2829350000000005E-2</v>
      </c>
      <c r="Q7522">
        <v>0.1684339</v>
      </c>
      <c r="R7522">
        <v>0.98133210000000004</v>
      </c>
      <c r="S7522">
        <v>-3.3355709999999997E-2</v>
      </c>
      <c r="T7522">
        <v>-6.83285E-2</v>
      </c>
      <c r="U7522">
        <v>3.0657960000000002</v>
      </c>
      <c r="V7522">
        <v>-8.4946250000000001E-2</v>
      </c>
      <c r="W7522">
        <v>0.18078259999999999</v>
      </c>
      <c r="X7522">
        <v>0.97984780000000005</v>
      </c>
      <c r="Y7522">
        <v>-2.6339929999999998E-3</v>
      </c>
      <c r="Z7522">
        <v>-9.5934450000000008E-3</v>
      </c>
      <c r="AA7522">
        <v>0.99995049999999996</v>
      </c>
      <c r="AB7522">
        <v>38</v>
      </c>
      <c r="AC7522">
        <v>-0.53889999999998395</v>
      </c>
      <c r="AD7522">
        <v>-1.110624354557</v>
      </c>
      <c r="AE7522">
        <v>49.460999999999999</v>
      </c>
      <c r="AF7522">
        <v>-0.131041933740738</v>
      </c>
      <c r="AG7522">
        <v>-1.110624354557</v>
      </c>
      <c r="AH7522">
        <v>49.438837502811197</v>
      </c>
      <c r="AI7522">
        <v>91.286906542960395</v>
      </c>
      <c r="AJ7522">
        <v>90.151867085448998</v>
      </c>
      <c r="AK7522">
        <v>49.451484427413398</v>
      </c>
      <c r="AL7522">
        <v>79.584652254280201</v>
      </c>
      <c r="AM7522">
        <v>94.954772697809801</v>
      </c>
      <c r="AN7522">
        <v>0.99999996250833001</v>
      </c>
    </row>
    <row r="7523" spans="1:40" x14ac:dyDescent="0.25">
      <c r="A7523" t="str">
        <f>"20190304155249360"</f>
        <v>20190304155249360</v>
      </c>
      <c r="B7523" t="str">
        <f>"1551685969354160"</f>
        <v>1551685969354160</v>
      </c>
      <c r="C7523" t="s">
        <v>40</v>
      </c>
      <c r="D7523">
        <v>5.0456279999999998</v>
      </c>
      <c r="E7523">
        <v>0.52986099999999903</v>
      </c>
      <c r="F7523" t="s">
        <v>41</v>
      </c>
      <c r="G7523">
        <v>-187.52449999999999</v>
      </c>
      <c r="H7523" s="1">
        <v>-4.0796209999999998E-6</v>
      </c>
      <c r="I7523">
        <v>98.118870000000001</v>
      </c>
      <c r="J7523">
        <v>-187.00290000000001</v>
      </c>
      <c r="K7523">
        <v>1.110644</v>
      </c>
      <c r="L7523">
        <v>49.694369999999999</v>
      </c>
      <c r="M7523">
        <v>-8.7168249999999992E-3</v>
      </c>
      <c r="N7523">
        <v>-1.2975459999999999E-2</v>
      </c>
      <c r="O7523">
        <v>0.99987780000000004</v>
      </c>
      <c r="P7523">
        <v>-9.2632060000000002E-2</v>
      </c>
      <c r="Q7523">
        <v>0.1681019</v>
      </c>
      <c r="R7523">
        <v>0.98140769999999999</v>
      </c>
      <c r="S7523">
        <v>-3.2989499999999998E-2</v>
      </c>
      <c r="T7523">
        <v>-6.9755549999999999E-2</v>
      </c>
      <c r="U7523">
        <v>3.0659179999999999</v>
      </c>
      <c r="V7523">
        <v>-8.4283549999999999E-2</v>
      </c>
      <c r="W7523">
        <v>0.1807338</v>
      </c>
      <c r="X7523">
        <v>0.97991410000000001</v>
      </c>
      <c r="Y7523">
        <v>-2.0409999999999998E-3</v>
      </c>
      <c r="Z7523">
        <v>-9.7706619999999994E-3</v>
      </c>
      <c r="AA7523">
        <v>0.99995020000000001</v>
      </c>
      <c r="AB7523">
        <v>38</v>
      </c>
      <c r="AC7523">
        <v>-0.52159999999997797</v>
      </c>
      <c r="AD7523">
        <v>-1.1106480796210001</v>
      </c>
      <c r="AE7523">
        <v>48.424500000000002</v>
      </c>
      <c r="AF7523">
        <v>-9.9384466687564704E-2</v>
      </c>
      <c r="AG7523">
        <v>-1.1106480796210001</v>
      </c>
      <c r="AH7523">
        <v>48.401748484165701</v>
      </c>
      <c r="AI7523">
        <v>91.3145010267922</v>
      </c>
      <c r="AJ7523">
        <v>90.117646627777702</v>
      </c>
      <c r="AK7523">
        <v>48.4145915272805</v>
      </c>
      <c r="AL7523">
        <v>79.587495862864998</v>
      </c>
      <c r="AM7523">
        <v>94.915977703480607</v>
      </c>
      <c r="AN7523">
        <v>1.00000003332092</v>
      </c>
    </row>
    <row r="7524" spans="1:40" x14ac:dyDescent="0.25">
      <c r="A7524" t="str">
        <f>"20190304155249380"</f>
        <v>20190304155249380</v>
      </c>
      <c r="B7524" t="str">
        <f>"1551685969374659"</f>
        <v>1551685969374659</v>
      </c>
      <c r="C7524" t="s">
        <v>40</v>
      </c>
      <c r="D7524">
        <v>5.0901779999999999</v>
      </c>
      <c r="E7524">
        <v>0.5299026</v>
      </c>
      <c r="F7524" t="s">
        <v>41</v>
      </c>
      <c r="G7524">
        <v>-187.5127</v>
      </c>
      <c r="H7524" s="1">
        <v>-3.7091889999999999E-6</v>
      </c>
      <c r="I7524">
        <v>97.250519999999995</v>
      </c>
      <c r="J7524">
        <v>-187.00649999999999</v>
      </c>
      <c r="K7524">
        <v>1.1106560000000001</v>
      </c>
      <c r="L7524">
        <v>50.061160000000001</v>
      </c>
      <c r="M7524">
        <v>-9.1613600000000003E-3</v>
      </c>
      <c r="N7524">
        <v>-1.3216830000000001E-2</v>
      </c>
      <c r="O7524">
        <v>0.9998707</v>
      </c>
      <c r="P7524">
        <v>-9.2541659999999998E-2</v>
      </c>
      <c r="Q7524">
        <v>0.16776669999999999</v>
      </c>
      <c r="R7524">
        <v>0.98147359999999995</v>
      </c>
      <c r="S7524">
        <v>-3.2867430000000003E-2</v>
      </c>
      <c r="T7524">
        <v>-7.1604970000000004E-2</v>
      </c>
      <c r="U7524">
        <v>3.0660099999999999</v>
      </c>
      <c r="V7524">
        <v>-8.3755629999999998E-2</v>
      </c>
      <c r="W7524">
        <v>0.18063760000000001</v>
      </c>
      <c r="X7524">
        <v>0.97997710000000005</v>
      </c>
      <c r="Y7524">
        <v>-1.5563109999999999E-3</v>
      </c>
      <c r="Z7524">
        <v>-1.0131309999999999E-2</v>
      </c>
      <c r="AA7524">
        <v>0.99994749999999999</v>
      </c>
      <c r="AB7524">
        <v>38</v>
      </c>
      <c r="AC7524">
        <v>-0.50620000000000598</v>
      </c>
      <c r="AD7524">
        <v>-1.11065970918899</v>
      </c>
      <c r="AE7524">
        <v>47.189359999999901</v>
      </c>
      <c r="AF7524">
        <v>-7.3781413303181304E-2</v>
      </c>
      <c r="AG7524">
        <v>-1.11065970918899</v>
      </c>
      <c r="AH7524">
        <v>47.1658924461344</v>
      </c>
      <c r="AI7524">
        <v>91.348946758222894</v>
      </c>
      <c r="AJ7524">
        <v>90.089627481245401</v>
      </c>
      <c r="AK7524">
        <v>47.179025201108999</v>
      </c>
      <c r="AL7524">
        <v>79.593099944384306</v>
      </c>
      <c r="AM7524">
        <v>94.8850228399033</v>
      </c>
      <c r="AN7524">
        <v>1.0000000323074301</v>
      </c>
    </row>
    <row r="7525" spans="1:40" x14ac:dyDescent="0.25">
      <c r="A7525" t="str">
        <f>"20190304155249402"</f>
        <v>20190304155249402</v>
      </c>
      <c r="B7525" t="str">
        <f>"1551685969394176"</f>
        <v>1551685969394176</v>
      </c>
      <c r="C7525" t="s">
        <v>40</v>
      </c>
      <c r="D7525">
        <v>5.0539649999999998</v>
      </c>
      <c r="E7525">
        <v>0.52992620000000001</v>
      </c>
      <c r="F7525" t="s">
        <v>41</v>
      </c>
      <c r="G7525">
        <v>-187.50129999999999</v>
      </c>
      <c r="H7525" s="1">
        <v>-3.3715830000000002E-6</v>
      </c>
      <c r="I7525">
        <v>96.458849999999998</v>
      </c>
      <c r="J7525">
        <v>-187.0104</v>
      </c>
      <c r="K7525">
        <v>1.1106659999999999</v>
      </c>
      <c r="L7525">
        <v>50.436549999999997</v>
      </c>
      <c r="M7525">
        <v>-9.6181559999999992E-3</v>
      </c>
      <c r="N7525">
        <v>-1.3436770000000001E-2</v>
      </c>
      <c r="O7525">
        <v>0.99986339999999996</v>
      </c>
      <c r="P7525">
        <v>-9.2748780000000003E-2</v>
      </c>
      <c r="Q7525">
        <v>0.16746420000000001</v>
      </c>
      <c r="R7525">
        <v>0.98150570000000004</v>
      </c>
      <c r="S7525">
        <v>-3.2699579999999999E-2</v>
      </c>
      <c r="T7525">
        <v>-7.3395730000000006E-2</v>
      </c>
      <c r="U7525">
        <v>3.0661010000000002</v>
      </c>
      <c r="V7525">
        <v>-8.3512569999999994E-2</v>
      </c>
      <c r="W7525">
        <v>0.1805523</v>
      </c>
      <c r="X7525">
        <v>0.98001349999999998</v>
      </c>
      <c r="Y7525">
        <v>-1.0444479999999999E-3</v>
      </c>
      <c r="Z7525">
        <v>-1.049421E-2</v>
      </c>
      <c r="AA7525">
        <v>0.99994439999999996</v>
      </c>
      <c r="AB7525">
        <v>38</v>
      </c>
      <c r="AC7525">
        <v>-0.49089999999998202</v>
      </c>
      <c r="AD7525">
        <v>-1.1106693715829901</v>
      </c>
      <c r="AE7525">
        <v>46.022300000000001</v>
      </c>
      <c r="AF7525">
        <v>-4.8159589763580403E-2</v>
      </c>
      <c r="AG7525">
        <v>-1.1106693715829901</v>
      </c>
      <c r="AH7525">
        <v>45.998105844809999</v>
      </c>
      <c r="AI7525">
        <v>91.383193251023101</v>
      </c>
      <c r="AJ7525">
        <v>90.059988127284797</v>
      </c>
      <c r="AK7525">
        <v>46.011538195428798</v>
      </c>
      <c r="AL7525">
        <v>79.598068335423505</v>
      </c>
      <c r="AM7525">
        <v>94.870734693583501</v>
      </c>
      <c r="AN7525">
        <v>0.99999997128277196</v>
      </c>
    </row>
    <row r="7526" spans="1:40" x14ac:dyDescent="0.25">
      <c r="A7526" t="str">
        <f>"20190304155249427"</f>
        <v>20190304155249427</v>
      </c>
      <c r="B7526" t="str">
        <f>"1551685969424433"</f>
        <v>1551685969424433</v>
      </c>
      <c r="C7526" t="s">
        <v>40</v>
      </c>
      <c r="D7526">
        <v>5.0650269999999997</v>
      </c>
      <c r="E7526">
        <v>0.5299644</v>
      </c>
      <c r="F7526" t="s">
        <v>41</v>
      </c>
      <c r="G7526">
        <v>-187.50710000000001</v>
      </c>
      <c r="H7526" s="1">
        <v>-3.1262580000000001E-6</v>
      </c>
      <c r="I7526">
        <v>95.889390000000006</v>
      </c>
      <c r="J7526">
        <v>-187.01490000000001</v>
      </c>
      <c r="K7526">
        <v>1.1106739999999999</v>
      </c>
      <c r="L7526">
        <v>50.851750000000003</v>
      </c>
      <c r="M7526">
        <v>-1.012625E-2</v>
      </c>
      <c r="N7526">
        <v>-1.365097E-2</v>
      </c>
      <c r="O7526">
        <v>0.99985550000000001</v>
      </c>
      <c r="P7526">
        <v>-9.2736449999999998E-2</v>
      </c>
      <c r="Q7526">
        <v>0.16741410000000001</v>
      </c>
      <c r="R7526">
        <v>0.98151540000000004</v>
      </c>
      <c r="S7526">
        <v>-3.3508299999999998E-2</v>
      </c>
      <c r="T7526">
        <v>-7.4922920000000004E-2</v>
      </c>
      <c r="U7526">
        <v>3.0661320000000001</v>
      </c>
      <c r="V7526">
        <v>-8.3000229999999994E-2</v>
      </c>
      <c r="W7526">
        <v>0.18071409999999999</v>
      </c>
      <c r="X7526">
        <v>0.98002730000000005</v>
      </c>
      <c r="Y7526">
        <v>-7.9987829999999995E-4</v>
      </c>
      <c r="Z7526">
        <v>-1.077733E-2</v>
      </c>
      <c r="AA7526">
        <v>0.99994159999999999</v>
      </c>
      <c r="AB7526">
        <v>38</v>
      </c>
      <c r="AC7526">
        <v>-0.49219999999999597</v>
      </c>
      <c r="AD7526">
        <v>-1.110677126258</v>
      </c>
      <c r="AE7526">
        <v>45.037640000000003</v>
      </c>
      <c r="AF7526">
        <v>-3.6047916990266798E-2</v>
      </c>
      <c r="AG7526">
        <v>-1.110677126258</v>
      </c>
      <c r="AH7526">
        <v>45.012942799008798</v>
      </c>
      <c r="AI7526">
        <v>91.413464155675001</v>
      </c>
      <c r="AJ7526">
        <v>90.045884426429595</v>
      </c>
      <c r="AK7526">
        <v>45.026657910153098</v>
      </c>
      <c r="AL7526">
        <v>79.588643835192798</v>
      </c>
      <c r="AM7526">
        <v>94.840927897083404</v>
      </c>
      <c r="AN7526">
        <v>1.0000000664320701</v>
      </c>
    </row>
    <row r="7527" spans="1:40" x14ac:dyDescent="0.25">
      <c r="A7527" t="str">
        <f>"20190304155249452"</f>
        <v>20190304155249452</v>
      </c>
      <c r="B7527" t="str">
        <f>"1551685969443953"</f>
        <v>1551685969443953</v>
      </c>
      <c r="C7527" t="s">
        <v>40</v>
      </c>
      <c r="D7527">
        <v>5.093623</v>
      </c>
      <c r="E7527">
        <v>0.52999160000000001</v>
      </c>
      <c r="F7527" t="s">
        <v>41</v>
      </c>
      <c r="G7527">
        <v>-187.50360000000001</v>
      </c>
      <c r="H7527" s="1">
        <v>-3.088993E-6</v>
      </c>
      <c r="I7527">
        <v>95.801069999999996</v>
      </c>
      <c r="J7527">
        <v>-187.01939999999999</v>
      </c>
      <c r="K7527">
        <v>1.1106879999999999</v>
      </c>
      <c r="L7527">
        <v>51.248049999999999</v>
      </c>
      <c r="M7527">
        <v>-1.061132E-2</v>
      </c>
      <c r="N7527">
        <v>-1.3826400000000001E-2</v>
      </c>
      <c r="O7527">
        <v>0.99984810000000002</v>
      </c>
      <c r="P7527">
        <v>-9.2639689999999997E-2</v>
      </c>
      <c r="Q7527">
        <v>0.16762659999999999</v>
      </c>
      <c r="R7527">
        <v>0.98148829999999998</v>
      </c>
      <c r="S7527">
        <v>-3.3340450000000001E-2</v>
      </c>
      <c r="T7527">
        <v>-7.5766440000000004E-2</v>
      </c>
      <c r="U7527">
        <v>3.066284</v>
      </c>
      <c r="V7527">
        <v>-8.242555E-2</v>
      </c>
      <c r="W7527">
        <v>0.1810996</v>
      </c>
      <c r="X7527">
        <v>0.98000449999999995</v>
      </c>
      <c r="Y7527">
        <v>-2.5957459999999998E-4</v>
      </c>
      <c r="Z7527">
        <v>-1.087543E-2</v>
      </c>
      <c r="AA7527">
        <v>0.99994079999999996</v>
      </c>
      <c r="AB7527">
        <v>38</v>
      </c>
      <c r="AC7527">
        <v>-0.48420000000001501</v>
      </c>
      <c r="AD7527">
        <v>-1.110691088993</v>
      </c>
      <c r="AE7527">
        <v>44.553019999999997</v>
      </c>
      <c r="AF7527">
        <v>-1.13541282694825E-2</v>
      </c>
      <c r="AG7527">
        <v>-1.110691088993</v>
      </c>
      <c r="AH7527">
        <v>44.527979297776099</v>
      </c>
      <c r="AI7527">
        <v>91.428870507616296</v>
      </c>
      <c r="AJ7527">
        <v>90.014609771789594</v>
      </c>
      <c r="AK7527">
        <v>44.541830945242602</v>
      </c>
      <c r="AL7527">
        <v>79.566184302321204</v>
      </c>
      <c r="AM7527">
        <v>94.807679074097706</v>
      </c>
      <c r="AN7527">
        <v>0.999999928216603</v>
      </c>
    </row>
    <row r="7528" spans="1:40" x14ac:dyDescent="0.25">
      <c r="A7528" t="str">
        <f>"20190304155249473"</f>
        <v>20190304155249473</v>
      </c>
      <c r="B7528" t="str">
        <f>"1551685969464448"</f>
        <v>1551685969464448</v>
      </c>
      <c r="C7528" t="s">
        <v>40</v>
      </c>
      <c r="D7528">
        <v>5.0732670000000004</v>
      </c>
      <c r="E7528">
        <v>0.53001609999999999</v>
      </c>
      <c r="F7528" t="s">
        <v>41</v>
      </c>
      <c r="G7528">
        <v>-187.5052</v>
      </c>
      <c r="H7528" s="1">
        <v>-3.267185E-6</v>
      </c>
      <c r="I7528">
        <v>96.217079999999996</v>
      </c>
      <c r="J7528">
        <v>-187.0239</v>
      </c>
      <c r="K7528">
        <v>1.1106990000000001</v>
      </c>
      <c r="L7528">
        <v>51.630519999999997</v>
      </c>
      <c r="M7528">
        <v>-1.107525E-2</v>
      </c>
      <c r="N7528">
        <v>-1.397345E-2</v>
      </c>
      <c r="O7528">
        <v>0.99984099999999998</v>
      </c>
      <c r="P7528">
        <v>-9.2760999999999996E-2</v>
      </c>
      <c r="Q7528">
        <v>0.16798740000000001</v>
      </c>
      <c r="R7528">
        <v>0.98141509999999998</v>
      </c>
      <c r="S7528">
        <v>-3.3126830000000003E-2</v>
      </c>
      <c r="T7528">
        <v>-7.5737239999999997E-2</v>
      </c>
      <c r="U7528">
        <v>3.0664060000000002</v>
      </c>
      <c r="V7528">
        <v>-8.2090640000000006E-2</v>
      </c>
      <c r="W7528">
        <v>0.18160560000000001</v>
      </c>
      <c r="X7528">
        <v>0.979939</v>
      </c>
      <c r="Y7528">
        <v>2.7438270000000001E-4</v>
      </c>
      <c r="Z7528">
        <v>-1.071773E-2</v>
      </c>
      <c r="AA7528">
        <v>0.99994249999999996</v>
      </c>
      <c r="AB7528">
        <v>38</v>
      </c>
      <c r="AC7528">
        <v>-0.481300000000004</v>
      </c>
      <c r="AD7528">
        <v>-1.110702267185</v>
      </c>
      <c r="AE7528">
        <v>44.586559999999999</v>
      </c>
      <c r="AF7528">
        <v>1.25772503220058E-2</v>
      </c>
      <c r="AG7528">
        <v>-1.110702267185</v>
      </c>
      <c r="AH7528">
        <v>44.561505805078397</v>
      </c>
      <c r="AI7528">
        <v>91.427810274142203</v>
      </c>
      <c r="AJ7528">
        <v>89.983828568420705</v>
      </c>
      <c r="AK7528">
        <v>44.575347641152398</v>
      </c>
      <c r="AL7528">
        <v>79.536704081548194</v>
      </c>
      <c r="AM7528">
        <v>94.788554171163696</v>
      </c>
      <c r="AN7528">
        <v>0.99999995542398301</v>
      </c>
    </row>
    <row r="7529" spans="1:40" x14ac:dyDescent="0.25">
      <c r="A7529" t="str">
        <f>"20190304155249493"</f>
        <v>20190304155249493</v>
      </c>
      <c r="B7529" t="str">
        <f>"1551685969483969"</f>
        <v>1551685969483969</v>
      </c>
      <c r="C7529" t="s">
        <v>40</v>
      </c>
      <c r="D7529">
        <v>5.0370670000000004</v>
      </c>
      <c r="E7529">
        <v>0.53002689999999997</v>
      </c>
      <c r="F7529" t="s">
        <v>41</v>
      </c>
      <c r="G7529">
        <v>-187.52019999999999</v>
      </c>
      <c r="H7529" s="1">
        <v>-3.5943239999999999E-6</v>
      </c>
      <c r="I7529">
        <v>96.985860000000002</v>
      </c>
      <c r="J7529">
        <v>-187.0282</v>
      </c>
      <c r="K7529">
        <v>1.1107049999999901</v>
      </c>
      <c r="L7529">
        <v>51.979889999999997</v>
      </c>
      <c r="M7529">
        <v>-1.149477E-2</v>
      </c>
      <c r="N7529">
        <v>-1.4091019999999999E-2</v>
      </c>
      <c r="O7529">
        <v>0.99983469999999997</v>
      </c>
      <c r="P7529">
        <v>-9.2808689999999999E-2</v>
      </c>
      <c r="Q7529">
        <v>0.1689745</v>
      </c>
      <c r="R7529">
        <v>0.98124109999999998</v>
      </c>
      <c r="S7529">
        <v>-3.355408E-2</v>
      </c>
      <c r="T7529">
        <v>-7.5095179999999997E-2</v>
      </c>
      <c r="U7529">
        <v>3.0664980000000002</v>
      </c>
      <c r="V7529">
        <v>-8.1726950000000007E-2</v>
      </c>
      <c r="W7529">
        <v>0.18270739999999999</v>
      </c>
      <c r="X7529">
        <v>0.97976459999999999</v>
      </c>
      <c r="Y7529">
        <v>5.5488749999999996E-4</v>
      </c>
      <c r="Z7529">
        <v>-1.039007E-2</v>
      </c>
      <c r="AA7529">
        <v>0.99994590000000005</v>
      </c>
      <c r="AB7529">
        <v>38</v>
      </c>
      <c r="AC7529">
        <v>-0.49199999999999</v>
      </c>
      <c r="AD7529">
        <v>-1.1107085943239901</v>
      </c>
      <c r="AE7529">
        <v>45.005969999999998</v>
      </c>
      <c r="AF7529">
        <v>2.5401654145925899E-2</v>
      </c>
      <c r="AG7529">
        <v>-1.1107085943239901</v>
      </c>
      <c r="AH7529">
        <v>44.981258978369397</v>
      </c>
      <c r="AI7529">
        <v>91.414499651353395</v>
      </c>
      <c r="AJ7529">
        <v>89.967644137724093</v>
      </c>
      <c r="AK7529">
        <v>44.994977254185599</v>
      </c>
      <c r="AL7529">
        <v>79.472501706724003</v>
      </c>
      <c r="AM7529">
        <v>94.7682819177152</v>
      </c>
      <c r="AN7529">
        <v>0.99999997989211098</v>
      </c>
    </row>
    <row r="7530" spans="1:40" x14ac:dyDescent="0.25">
      <c r="A7530" t="str">
        <f>"20190304155249516"</f>
        <v>20190304155249516</v>
      </c>
      <c r="B7530" t="str">
        <f>"1551685969504468"</f>
        <v>1551685969504468</v>
      </c>
      <c r="C7530" t="s">
        <v>40</v>
      </c>
      <c r="D7530">
        <v>4.995514</v>
      </c>
      <c r="E7530">
        <v>0.53003549999999999</v>
      </c>
      <c r="F7530" t="s">
        <v>41</v>
      </c>
      <c r="G7530">
        <v>-187.5463</v>
      </c>
      <c r="H7530" s="1">
        <v>-4.4601400000000001E-6</v>
      </c>
      <c r="I7530">
        <v>99.01491</v>
      </c>
      <c r="J7530">
        <v>-187.03290000000001</v>
      </c>
      <c r="K7530">
        <v>1.1107039999999999</v>
      </c>
      <c r="L7530">
        <v>52.354219999999998</v>
      </c>
      <c r="M7530">
        <v>-1.1935329999999999E-2</v>
      </c>
      <c r="N7530">
        <v>-1.4200529999999999E-2</v>
      </c>
      <c r="O7530">
        <v>0.99982789999999999</v>
      </c>
      <c r="P7530">
        <v>-9.3500150000000004E-2</v>
      </c>
      <c r="Q7530">
        <v>0.16973929999999901</v>
      </c>
      <c r="R7530">
        <v>0.98104349999999996</v>
      </c>
      <c r="S7530">
        <v>-3.3782960000000001E-2</v>
      </c>
      <c r="T7530">
        <v>-7.241678E-2</v>
      </c>
      <c r="U7530">
        <v>3.0666199999999999</v>
      </c>
      <c r="V7530">
        <v>-8.198532E-2</v>
      </c>
      <c r="W7530">
        <v>0.1835784</v>
      </c>
      <c r="X7530">
        <v>0.97958020000000001</v>
      </c>
      <c r="Y7530">
        <v>9.2115079999999998E-4</v>
      </c>
      <c r="Z7530">
        <v>-9.4066849999999997E-3</v>
      </c>
      <c r="AA7530">
        <v>0.99995540000000005</v>
      </c>
      <c r="AB7530">
        <v>38</v>
      </c>
      <c r="AC7530">
        <v>-0.51339999999998998</v>
      </c>
      <c r="AD7530">
        <v>-1.1107084601399999</v>
      </c>
      <c r="AE7530">
        <v>46.660690000000002</v>
      </c>
      <c r="AF7530">
        <v>4.3578797382482E-2</v>
      </c>
      <c r="AG7530">
        <v>-1.1107084601399999</v>
      </c>
      <c r="AH7530">
        <v>46.637071310509299</v>
      </c>
      <c r="AI7530">
        <v>91.364297747234005</v>
      </c>
      <c r="AJ7530">
        <v>89.946461465752606</v>
      </c>
      <c r="AK7530">
        <v>46.650316106287399</v>
      </c>
      <c r="AL7530">
        <v>79.4217386471541</v>
      </c>
      <c r="AM7530">
        <v>94.784182682974105</v>
      </c>
      <c r="AN7530">
        <v>0.99999999493705105</v>
      </c>
    </row>
    <row r="7531" spans="1:40" x14ac:dyDescent="0.25">
      <c r="A7531" t="str">
        <f>"20190304155249537"</f>
        <v>20190304155249537</v>
      </c>
      <c r="B7531" t="str">
        <f>"1551685969534720"</f>
        <v>1551685969534720</v>
      </c>
      <c r="C7531" t="s">
        <v>40</v>
      </c>
      <c r="D7531">
        <v>5.0337350000000001</v>
      </c>
      <c r="E7531">
        <v>0.53003029999999995</v>
      </c>
      <c r="F7531" t="s">
        <v>41</v>
      </c>
      <c r="G7531">
        <v>-187.5968</v>
      </c>
      <c r="H7531" s="1">
        <v>-1.048954E-6</v>
      </c>
      <c r="I7531">
        <v>100.8515</v>
      </c>
      <c r="J7531">
        <v>-187.0377</v>
      </c>
      <c r="K7531">
        <v>1.1107049999999901</v>
      </c>
      <c r="L7531">
        <v>52.726439999999997</v>
      </c>
      <c r="M7531">
        <v>-1.235904E-2</v>
      </c>
      <c r="N7531">
        <v>-1.429481E-2</v>
      </c>
      <c r="O7531">
        <v>0.99982139999999997</v>
      </c>
      <c r="P7531">
        <v>-9.3872960000000005E-2</v>
      </c>
      <c r="Q7531">
        <v>0.1711308</v>
      </c>
      <c r="R7531">
        <v>0.98076609999999997</v>
      </c>
      <c r="S7531">
        <v>-3.5659789999999997E-2</v>
      </c>
      <c r="T7531">
        <v>-7.0235130000000007E-2</v>
      </c>
      <c r="U7531">
        <v>3.0667110000000002</v>
      </c>
      <c r="V7531">
        <v>-8.1942520000000005E-2</v>
      </c>
      <c r="W7531">
        <v>0.1850608</v>
      </c>
      <c r="X7531">
        <v>0.97930490000000003</v>
      </c>
      <c r="Y7531">
        <v>7.3335369999999998E-4</v>
      </c>
      <c r="Z7531">
        <v>-8.6006499999999996E-3</v>
      </c>
      <c r="AA7531">
        <v>0.99996269999999998</v>
      </c>
      <c r="AB7531">
        <v>38</v>
      </c>
      <c r="AC7531">
        <v>-0.55910000000000004</v>
      </c>
      <c r="AD7531">
        <v>-1.1107060489539999</v>
      </c>
      <c r="AE7531">
        <v>48.125059999999998</v>
      </c>
      <c r="AF7531">
        <v>3.5764006683749697E-2</v>
      </c>
      <c r="AG7531">
        <v>-1.1107060489539999</v>
      </c>
      <c r="AH7531">
        <v>48.102675056927701</v>
      </c>
      <c r="AI7531">
        <v>91.322742340326499</v>
      </c>
      <c r="AJ7531">
        <v>89.957400991494595</v>
      </c>
      <c r="AK7531">
        <v>48.115509917528001</v>
      </c>
      <c r="AL7531">
        <v>79.335323692009894</v>
      </c>
      <c r="AM7531">
        <v>94.783034693967096</v>
      </c>
      <c r="AN7531">
        <v>1.00000008172229</v>
      </c>
    </row>
    <row r="7532" spans="1:40" x14ac:dyDescent="0.25">
      <c r="A7532" t="str">
        <f>"20190304155249560"</f>
        <v>20190304155249560</v>
      </c>
      <c r="B7532" t="str">
        <f>"1551685969554240"</f>
        <v>1551685969554240</v>
      </c>
      <c r="C7532" t="s">
        <v>40</v>
      </c>
      <c r="D7532">
        <v>4.9521600000000001</v>
      </c>
      <c r="E7532">
        <v>0.53013279999999996</v>
      </c>
      <c r="F7532" t="s">
        <v>41</v>
      </c>
      <c r="G7532">
        <v>-187.6566</v>
      </c>
      <c r="H7532" s="1">
        <v>-2.2326590000000002E-6</v>
      </c>
      <c r="I7532">
        <v>103.8682</v>
      </c>
      <c r="J7532">
        <v>-187.0428</v>
      </c>
      <c r="K7532">
        <v>1.110698</v>
      </c>
      <c r="L7532">
        <v>53.104610000000001</v>
      </c>
      <c r="M7532">
        <v>-1.276892E-2</v>
      </c>
      <c r="N7532">
        <v>-1.4377529999999999E-2</v>
      </c>
      <c r="O7532">
        <v>0.99981509999999996</v>
      </c>
      <c r="P7532">
        <v>-9.3934530000000002E-2</v>
      </c>
      <c r="Q7532">
        <v>0.17215910000000001</v>
      </c>
      <c r="R7532">
        <v>0.98058020000000001</v>
      </c>
      <c r="S7532">
        <v>-3.7109379999999997E-2</v>
      </c>
      <c r="T7532">
        <v>-6.6607479999999997E-2</v>
      </c>
      <c r="U7532">
        <v>3.0668950000000001</v>
      </c>
      <c r="V7532">
        <v>-8.1597279999999994E-2</v>
      </c>
      <c r="W7532">
        <v>0.18617120000000001</v>
      </c>
      <c r="X7532">
        <v>0.97912319999999997</v>
      </c>
      <c r="Y7532">
        <v>6.7134649999999905E-4</v>
      </c>
      <c r="Z7532">
        <v>-7.3343719999999996E-3</v>
      </c>
      <c r="AA7532">
        <v>0.99997290000000005</v>
      </c>
      <c r="AB7532">
        <v>38</v>
      </c>
      <c r="AC7532">
        <v>-0.61379999999999701</v>
      </c>
      <c r="AD7532">
        <v>-1.1107002326590001</v>
      </c>
      <c r="AE7532">
        <v>50.763590000000001</v>
      </c>
      <c r="AF7532">
        <v>3.4496766565065798E-2</v>
      </c>
      <c r="AG7532">
        <v>-1.1107002326590001</v>
      </c>
      <c r="AH7532">
        <v>50.743000408481898</v>
      </c>
      <c r="AI7532">
        <v>91.253931772453697</v>
      </c>
      <c r="AJ7532">
        <v>89.961048443911096</v>
      </c>
      <c r="AK7532">
        <v>50.755166589116101</v>
      </c>
      <c r="AL7532">
        <v>79.270576827705597</v>
      </c>
      <c r="AM7532">
        <v>94.763855549693105</v>
      </c>
      <c r="AN7532">
        <v>1.0000000362955299</v>
      </c>
    </row>
    <row r="7533" spans="1:40" x14ac:dyDescent="0.25">
      <c r="A7533" t="str">
        <f>"20190304155249582"</f>
        <v>20190304155249582</v>
      </c>
      <c r="B7533" t="str">
        <f>"1551685969574736"</f>
        <v>1551685969574736</v>
      </c>
      <c r="C7533" t="s">
        <v>40</v>
      </c>
      <c r="D7533">
        <v>5.1729019999999997</v>
      </c>
      <c r="E7533">
        <v>0.53014559999999999</v>
      </c>
      <c r="F7533" t="s">
        <v>41</v>
      </c>
      <c r="G7533">
        <v>-187.6942</v>
      </c>
      <c r="H7533" s="1">
        <v>-3.5536709999999998E-6</v>
      </c>
      <c r="I7533">
        <v>106.9631</v>
      </c>
      <c r="J7533">
        <v>-187.048</v>
      </c>
      <c r="K7533">
        <v>1.1106910000000001</v>
      </c>
      <c r="L7533">
        <v>53.483519999999999</v>
      </c>
      <c r="M7533">
        <v>-1.3151299999999999E-2</v>
      </c>
      <c r="N7533">
        <v>-1.4448839999999999E-2</v>
      </c>
      <c r="O7533">
        <v>0.99980910000000001</v>
      </c>
      <c r="P7533">
        <v>-9.4415609999999997E-2</v>
      </c>
      <c r="Q7533">
        <v>0.17233019999999999</v>
      </c>
      <c r="R7533">
        <v>0.98050400000000004</v>
      </c>
      <c r="S7533">
        <v>-3.7094120000000001E-2</v>
      </c>
      <c r="T7533">
        <v>-6.324863E-2</v>
      </c>
      <c r="U7533">
        <v>3.0669559999999998</v>
      </c>
      <c r="V7533">
        <v>-8.1694269999999999E-2</v>
      </c>
      <c r="W7533">
        <v>0.1864162</v>
      </c>
      <c r="X7533">
        <v>0.97906850000000001</v>
      </c>
      <c r="Y7533">
        <v>1.0588380000000001E-3</v>
      </c>
      <c r="Z7533">
        <v>-6.1680179999999999E-3</v>
      </c>
      <c r="AA7533">
        <v>0.99998039999999999</v>
      </c>
      <c r="AB7533">
        <v>38</v>
      </c>
      <c r="AC7533">
        <v>-0.646199999999993</v>
      </c>
      <c r="AD7533">
        <v>-1.110694553671</v>
      </c>
      <c r="AE7533">
        <v>53.479579999999999</v>
      </c>
      <c r="AF7533">
        <v>5.7230656097525298E-2</v>
      </c>
      <c r="AG7533">
        <v>-1.110694553671</v>
      </c>
      <c r="AH7533">
        <v>53.460397365426097</v>
      </c>
      <c r="AI7533">
        <v>91.190206638759193</v>
      </c>
      <c r="AJ7533">
        <v>89.938663497427598</v>
      </c>
      <c r="AK7533">
        <v>53.471964656339402</v>
      </c>
      <c r="AL7533">
        <v>79.256289291292802</v>
      </c>
      <c r="AM7533">
        <v>94.769757203413505</v>
      </c>
      <c r="AN7533">
        <v>1.00000004053276</v>
      </c>
    </row>
    <row r="7534" spans="1:40" x14ac:dyDescent="0.25">
      <c r="A7534" t="str">
        <f>"20190304155249604"</f>
        <v>20190304155249604</v>
      </c>
      <c r="B7534" t="str">
        <f>"1551685969594256"</f>
        <v>1551685969594256</v>
      </c>
      <c r="C7534" t="s">
        <v>40</v>
      </c>
      <c r="D7534">
        <v>4.9810759999999998</v>
      </c>
      <c r="E7534">
        <v>0.53024320000000003</v>
      </c>
      <c r="F7534" t="s">
        <v>41</v>
      </c>
      <c r="G7534">
        <v>-187.7287</v>
      </c>
      <c r="H7534" s="1">
        <v>-4.025575E-6</v>
      </c>
      <c r="I7534">
        <v>108.07729999999999</v>
      </c>
      <c r="J7534">
        <v>-187.0531</v>
      </c>
      <c r="K7534">
        <v>1.1106720000000001</v>
      </c>
      <c r="L7534">
        <v>53.840760000000003</v>
      </c>
      <c r="M7534">
        <v>-1.347783E-2</v>
      </c>
      <c r="N7534">
        <v>-1.4506649999999999E-2</v>
      </c>
      <c r="O7534">
        <v>0.99980400000000003</v>
      </c>
      <c r="P7534">
        <v>-9.5232520000000001E-2</v>
      </c>
      <c r="Q7534">
        <v>0.1725476</v>
      </c>
      <c r="R7534">
        <v>0.98038670000000006</v>
      </c>
      <c r="S7534">
        <v>-3.823853E-2</v>
      </c>
      <c r="T7534">
        <v>-6.2395689999999997E-2</v>
      </c>
      <c r="U7534">
        <v>3.0669249999999999</v>
      </c>
      <c r="V7534">
        <v>-8.2179580000000002E-2</v>
      </c>
      <c r="W7534">
        <v>0.1866941</v>
      </c>
      <c r="X7534">
        <v>0.97897489999999998</v>
      </c>
      <c r="Y7534">
        <v>1.0122239999999999E-3</v>
      </c>
      <c r="Z7534">
        <v>-5.8323569999999998E-3</v>
      </c>
      <c r="AA7534">
        <v>0.9999825</v>
      </c>
      <c r="AB7534">
        <v>38</v>
      </c>
      <c r="AC7534">
        <v>-0.67560000000000198</v>
      </c>
      <c r="AD7534">
        <v>-1.1106760255749999</v>
      </c>
      <c r="AE7534">
        <v>54.236539999999998</v>
      </c>
      <c r="AF7534">
        <v>5.5505849443799098E-2</v>
      </c>
      <c r="AG7534">
        <v>-1.1106760255749999</v>
      </c>
      <c r="AH7534">
        <v>54.217985706217597</v>
      </c>
      <c r="AI7534">
        <v>91.173561041978402</v>
      </c>
      <c r="AJ7534">
        <v>89.941343269047096</v>
      </c>
      <c r="AK7534">
        <v>54.229389229205999</v>
      </c>
      <c r="AL7534">
        <v>79.240081968011793</v>
      </c>
      <c r="AM7534">
        <v>94.798416949686597</v>
      </c>
      <c r="AN7534">
        <v>1.00000001258689</v>
      </c>
    </row>
    <row r="7535" spans="1:40" x14ac:dyDescent="0.25">
      <c r="A7535" t="str">
        <f>"20190304155249626"</f>
        <v>20190304155249626</v>
      </c>
      <c r="B7535" t="str">
        <f>"1551685969624512"</f>
        <v>1551685969624512</v>
      </c>
      <c r="C7535" t="s">
        <v>40</v>
      </c>
      <c r="D7535">
        <v>4.9713180000000001</v>
      </c>
      <c r="E7535">
        <v>0.53031430000000002</v>
      </c>
      <c r="F7535" t="s">
        <v>41</v>
      </c>
      <c r="G7535">
        <v>-187.77809999999999</v>
      </c>
      <c r="H7535" s="1">
        <v>-5.8578329999999995E-7</v>
      </c>
      <c r="I7535">
        <v>109.6322</v>
      </c>
      <c r="J7535">
        <v>-187.05869999999999</v>
      </c>
      <c r="K7535">
        <v>1.110643</v>
      </c>
      <c r="L7535">
        <v>54.231479999999998</v>
      </c>
      <c r="M7535">
        <v>-1.379149E-2</v>
      </c>
      <c r="N7535">
        <v>-1.4561019999999999E-2</v>
      </c>
      <c r="O7535">
        <v>0.99979890000000005</v>
      </c>
      <c r="P7535">
        <v>-9.5762959999999994E-2</v>
      </c>
      <c r="Q7535">
        <v>0.17250650000000001</v>
      </c>
      <c r="R7535">
        <v>0.9803423</v>
      </c>
      <c r="S7535">
        <v>-3.9855960000000003E-2</v>
      </c>
      <c r="T7535">
        <v>-6.105447E-2</v>
      </c>
      <c r="U7535">
        <v>3.0668950000000001</v>
      </c>
      <c r="V7535">
        <v>-8.2386070000000006E-2</v>
      </c>
      <c r="W7535">
        <v>0.18671280000000001</v>
      </c>
      <c r="X7535">
        <v>0.97895399999999999</v>
      </c>
      <c r="Y7535">
        <v>7.9856600000000001E-4</v>
      </c>
      <c r="Z7535">
        <v>-5.3410180000000003E-3</v>
      </c>
      <c r="AA7535">
        <v>0.99998540000000002</v>
      </c>
      <c r="AB7535">
        <v>38</v>
      </c>
      <c r="AC7535">
        <v>-0.71940000000000703</v>
      </c>
      <c r="AD7535">
        <v>-1.1106435857832999</v>
      </c>
      <c r="AE7535">
        <v>55.4007199999999</v>
      </c>
      <c r="AF7535">
        <v>4.4789898028851E-2</v>
      </c>
      <c r="AG7535">
        <v>-1.1106435857832999</v>
      </c>
      <c r="AH7535">
        <v>55.383117776225603</v>
      </c>
      <c r="AI7535">
        <v>91.148845413433193</v>
      </c>
      <c r="AJ7535">
        <v>89.953663288282897</v>
      </c>
      <c r="AK7535">
        <v>55.394271093001002</v>
      </c>
      <c r="AL7535">
        <v>79.238991595016003</v>
      </c>
      <c r="AM7535">
        <v>94.810519487621704</v>
      </c>
      <c r="AN7535">
        <v>1.00000003416494</v>
      </c>
    </row>
    <row r="7536" spans="1:40" x14ac:dyDescent="0.25">
      <c r="A7536" t="str">
        <f>"20190304155249650"</f>
        <v>20190304155249650</v>
      </c>
      <c r="B7536" t="str">
        <f>"1551685969644032"</f>
        <v>1551685969644032</v>
      </c>
      <c r="C7536" t="s">
        <v>40</v>
      </c>
      <c r="D7536">
        <v>4.9527320000000001</v>
      </c>
      <c r="E7536">
        <v>0.53041169999999904</v>
      </c>
      <c r="F7536" t="s">
        <v>41</v>
      </c>
      <c r="G7536">
        <v>-187.81229999999999</v>
      </c>
      <c r="H7536" s="1">
        <v>-7.9400980000000002E-7</v>
      </c>
      <c r="I7536">
        <v>110.27079999999999</v>
      </c>
      <c r="J7536">
        <v>-187.06440000000001</v>
      </c>
      <c r="K7536">
        <v>1.1106039999999999</v>
      </c>
      <c r="L7536">
        <v>54.6282</v>
      </c>
      <c r="M7536">
        <v>-1.405531E-2</v>
      </c>
      <c r="N7536">
        <v>-1.460727E-2</v>
      </c>
      <c r="O7536">
        <v>0.99979450000000003</v>
      </c>
      <c r="P7536">
        <v>-9.5608760000000001E-2</v>
      </c>
      <c r="Q7536">
        <v>0.172572799999999</v>
      </c>
      <c r="R7536">
        <v>0.98034569999999999</v>
      </c>
      <c r="S7536">
        <v>-4.1244509999999998E-2</v>
      </c>
      <c r="T7536">
        <v>-6.0781599999999998E-2</v>
      </c>
      <c r="U7536">
        <v>3.0668329999999999</v>
      </c>
      <c r="V7536">
        <v>-8.1953300000000007E-2</v>
      </c>
      <c r="W7536">
        <v>0.18683369999999999</v>
      </c>
      <c r="X7536">
        <v>0.97896719999999904</v>
      </c>
      <c r="Y7536">
        <v>6.0954360000000003E-4</v>
      </c>
      <c r="Z7536">
        <v>-5.2061499999999997E-3</v>
      </c>
      <c r="AA7536">
        <v>0.99998629999999999</v>
      </c>
      <c r="AB7536">
        <v>38</v>
      </c>
      <c r="AC7536">
        <v>-0.74789999999998702</v>
      </c>
      <c r="AD7536">
        <v>-1.1106047940098001</v>
      </c>
      <c r="AE7536">
        <v>55.642600000000002</v>
      </c>
      <c r="AF7536">
        <v>3.4317679890295202E-2</v>
      </c>
      <c r="AG7536">
        <v>-1.1106047940098001</v>
      </c>
      <c r="AH7536">
        <v>55.625459086295699</v>
      </c>
      <c r="AI7536">
        <v>91.143801830890496</v>
      </c>
      <c r="AJ7536">
        <v>89.964651833832306</v>
      </c>
      <c r="AK7536">
        <v>55.636555602164897</v>
      </c>
      <c r="AL7536">
        <v>79.231939831428306</v>
      </c>
      <c r="AM7536">
        <v>94.785303497131693</v>
      </c>
      <c r="AN7536">
        <v>0.999999976756209</v>
      </c>
    </row>
    <row r="7537" spans="1:40" x14ac:dyDescent="0.25">
      <c r="A7537" t="str">
        <f>"20190304155249672"</f>
        <v>20190304155249672</v>
      </c>
      <c r="B7537" t="str">
        <f>"1551685969664529"</f>
        <v>1551685969664529</v>
      </c>
      <c r="C7537" t="s">
        <v>40</v>
      </c>
      <c r="D7537">
        <v>4.9444939999999997</v>
      </c>
      <c r="E7537">
        <v>0.53046599999999999</v>
      </c>
      <c r="F7537" t="s">
        <v>41</v>
      </c>
      <c r="G7537">
        <v>-187.8073</v>
      </c>
      <c r="H7537" s="1">
        <v>-1.18007E-6</v>
      </c>
      <c r="I7537">
        <v>111.40130000000001</v>
      </c>
      <c r="J7537">
        <v>-187.06979999999999</v>
      </c>
      <c r="K7537">
        <v>1.1105689999999999</v>
      </c>
      <c r="L7537">
        <v>54.998049999999999</v>
      </c>
      <c r="M7537">
        <v>-1.425509E-2</v>
      </c>
      <c r="N7537">
        <v>-1.464379E-2</v>
      </c>
      <c r="O7537">
        <v>0.99979110000000004</v>
      </c>
      <c r="P7537">
        <v>-9.5755880000000002E-2</v>
      </c>
      <c r="Q7537">
        <v>0.17208190000000001</v>
      </c>
      <c r="R7537">
        <v>0.9804176</v>
      </c>
      <c r="S7537">
        <v>-4.0130619999999999E-2</v>
      </c>
      <c r="T7537">
        <v>-5.9993270000000001E-2</v>
      </c>
      <c r="U7537">
        <v>3.0668030000000002</v>
      </c>
      <c r="V7537">
        <v>-8.1884250000000006E-2</v>
      </c>
      <c r="W7537">
        <v>0.1863881</v>
      </c>
      <c r="X7537">
        <v>0.97905790000000004</v>
      </c>
      <c r="Y7537">
        <v>1.172228E-3</v>
      </c>
      <c r="Z7537">
        <v>-4.9128679999999999E-3</v>
      </c>
      <c r="AA7537">
        <v>0.99998719999999996</v>
      </c>
      <c r="AB7537">
        <v>38</v>
      </c>
      <c r="AC7537">
        <v>-0.73750000000001104</v>
      </c>
      <c r="AD7537">
        <v>-1.1105701800700001</v>
      </c>
      <c r="AE7537">
        <v>56.40325</v>
      </c>
      <c r="AF7537">
        <v>6.6668781449435804E-2</v>
      </c>
      <c r="AG7537">
        <v>-1.1105701800700001</v>
      </c>
      <c r="AH7537">
        <v>56.386175374275901</v>
      </c>
      <c r="AI7537">
        <v>91.128338873958398</v>
      </c>
      <c r="AJ7537">
        <v>89.932255770195994</v>
      </c>
      <c r="AK7537">
        <v>56.397150497076403</v>
      </c>
      <c r="AL7537">
        <v>79.257927179826098</v>
      </c>
      <c r="AM7537">
        <v>94.780849439155602</v>
      </c>
      <c r="AN7537">
        <v>0.99999996288603998</v>
      </c>
    </row>
    <row r="7538" spans="1:40" x14ac:dyDescent="0.25">
      <c r="A7538" t="str">
        <f>"20190304155249693"</f>
        <v>20190304155249693</v>
      </c>
      <c r="B7538" t="str">
        <f>"1551685969684052"</f>
        <v>1551685969684052</v>
      </c>
      <c r="C7538" t="s">
        <v>40</v>
      </c>
      <c r="D7538">
        <v>5.0706899999999999</v>
      </c>
      <c r="E7538">
        <v>0.53047909999999998</v>
      </c>
      <c r="F7538" t="s">
        <v>41</v>
      </c>
      <c r="G7538">
        <v>-187.80189999999999</v>
      </c>
      <c r="H7538" s="1">
        <v>-9.3839549999999997E-7</v>
      </c>
      <c r="I7538">
        <v>110.68689999999999</v>
      </c>
      <c r="J7538">
        <v>-187.07509999999999</v>
      </c>
      <c r="K7538">
        <v>1.110538</v>
      </c>
      <c r="L7538">
        <v>55.358609999999999</v>
      </c>
      <c r="M7538">
        <v>-1.4414639999999999E-2</v>
      </c>
      <c r="N7538">
        <v>-1.467415E-2</v>
      </c>
      <c r="O7538">
        <v>0.99978840000000002</v>
      </c>
      <c r="P7538">
        <v>-9.5387589999999994E-2</v>
      </c>
      <c r="Q7538">
        <v>0.1721056</v>
      </c>
      <c r="R7538">
        <v>0.98044929999999997</v>
      </c>
      <c r="S7538">
        <v>-4.0313719999999997E-2</v>
      </c>
      <c r="T7538">
        <v>-6.1157580000000003E-2</v>
      </c>
      <c r="U7538">
        <v>3.0667110000000002</v>
      </c>
      <c r="V7538">
        <v>-8.134218E-2</v>
      </c>
      <c r="W7538">
        <v>0.18645</v>
      </c>
      <c r="X7538">
        <v>0.9790913</v>
      </c>
      <c r="Y7538">
        <v>1.2717259999999999E-3</v>
      </c>
      <c r="Z7538">
        <v>-5.262465E-3</v>
      </c>
      <c r="AA7538">
        <v>0.99998529999999997</v>
      </c>
      <c r="AB7538">
        <v>38</v>
      </c>
      <c r="AC7538">
        <v>-0.726799999999997</v>
      </c>
      <c r="AD7538">
        <v>-1.1105389383955</v>
      </c>
      <c r="AE7538">
        <v>55.328290000000003</v>
      </c>
      <c r="AF7538">
        <v>7.0870261202340995E-2</v>
      </c>
      <c r="AG7538">
        <v>-1.1105389383955</v>
      </c>
      <c r="AH7538">
        <v>55.310738433403202</v>
      </c>
      <c r="AI7538">
        <v>91.150239455571693</v>
      </c>
      <c r="AJ7538">
        <v>89.926586323872399</v>
      </c>
      <c r="AK7538">
        <v>55.321931504385901</v>
      </c>
      <c r="AL7538">
        <v>79.254317294616101</v>
      </c>
      <c r="AM7538">
        <v>94.749184413421105</v>
      </c>
      <c r="AN7538">
        <v>0.99999996324142004</v>
      </c>
    </row>
    <row r="7539" spans="1:40" x14ac:dyDescent="0.25">
      <c r="A7539" t="str">
        <f>"20190304155249716"</f>
        <v>20190304155249716</v>
      </c>
      <c r="B7539" t="str">
        <f>"1551685969704548"</f>
        <v>1551685969704548</v>
      </c>
      <c r="C7539" t="s">
        <v>40</v>
      </c>
      <c r="D7539">
        <v>5.0530900000000001</v>
      </c>
      <c r="E7539">
        <v>0.53041369999999999</v>
      </c>
      <c r="F7539" t="s">
        <v>41</v>
      </c>
      <c r="G7539">
        <v>-187.78700000000001</v>
      </c>
      <c r="H7539" s="1">
        <v>-1.1026269999999999E-6</v>
      </c>
      <c r="I7539">
        <v>111.1579</v>
      </c>
      <c r="J7539">
        <v>-187.08070000000001</v>
      </c>
      <c r="K7539">
        <v>1.1105160000000001</v>
      </c>
      <c r="L7539">
        <v>55.734439999999999</v>
      </c>
      <c r="M7539">
        <v>-1.454772E-2</v>
      </c>
      <c r="N7539">
        <v>-1.4700970000000001E-2</v>
      </c>
      <c r="O7539">
        <v>0.99978610000000001</v>
      </c>
      <c r="P7539">
        <v>-9.5036770000000007E-2</v>
      </c>
      <c r="Q7539">
        <v>0.17164380000000001</v>
      </c>
      <c r="R7539">
        <v>0.9805644</v>
      </c>
      <c r="S7539">
        <v>-3.9123539999999998E-2</v>
      </c>
      <c r="T7539">
        <v>-6.1035510000000001E-2</v>
      </c>
      <c r="U7539">
        <v>3.0667420000000001</v>
      </c>
      <c r="V7539">
        <v>-8.0843230000000002E-2</v>
      </c>
      <c r="W7539">
        <v>0.1860232</v>
      </c>
      <c r="X7539">
        <v>0.97921380000000002</v>
      </c>
      <c r="Y7539">
        <v>1.792851E-3</v>
      </c>
      <c r="Z7539">
        <v>-5.1956299999999997E-3</v>
      </c>
      <c r="AA7539">
        <v>0.99998489999999995</v>
      </c>
      <c r="AB7539">
        <v>38</v>
      </c>
      <c r="AC7539">
        <v>-0.70629999999999804</v>
      </c>
      <c r="AD7539">
        <v>-1.110517102627</v>
      </c>
      <c r="AE7539">
        <v>55.423459999999999</v>
      </c>
      <c r="AF7539">
        <v>0.10010669319580801</v>
      </c>
      <c r="AG7539">
        <v>-1.110517102627</v>
      </c>
      <c r="AH7539">
        <v>55.405629177698501</v>
      </c>
      <c r="AI7539">
        <v>91.148246516755407</v>
      </c>
      <c r="AJ7539">
        <v>89.896478302568596</v>
      </c>
      <c r="AK7539">
        <v>55.416847746528099</v>
      </c>
      <c r="AL7539">
        <v>79.279206565591906</v>
      </c>
      <c r="AM7539">
        <v>94.719597290659806</v>
      </c>
      <c r="AN7539">
        <v>0.99999996244275502</v>
      </c>
    </row>
    <row r="7540" spans="1:40" x14ac:dyDescent="0.25">
      <c r="A7540" t="str">
        <f>"20190304155249738"</f>
        <v>20190304155249738</v>
      </c>
      <c r="B7540" t="str">
        <f>"1551685969734800"</f>
        <v>1551685969734800</v>
      </c>
      <c r="C7540" t="s">
        <v>40</v>
      </c>
      <c r="D7540">
        <v>5.0291839999999999</v>
      </c>
      <c r="E7540">
        <v>0.53040469999999995</v>
      </c>
      <c r="F7540" t="s">
        <v>41</v>
      </c>
      <c r="G7540">
        <v>-187.7647</v>
      </c>
      <c r="H7540" s="1">
        <v>-6.3636129999999997E-7</v>
      </c>
      <c r="I7540">
        <v>109.77030000000001</v>
      </c>
      <c r="J7540">
        <v>-187.08619999999999</v>
      </c>
      <c r="K7540">
        <v>1.1104889999999901</v>
      </c>
      <c r="L7540">
        <v>56.105930000000001</v>
      </c>
      <c r="M7540">
        <v>-1.46517E-2</v>
      </c>
      <c r="N7540">
        <v>-1.472329E-2</v>
      </c>
      <c r="O7540">
        <v>0.99978420000000001</v>
      </c>
      <c r="P7540">
        <v>-9.478512E-2</v>
      </c>
      <c r="Q7540">
        <v>0.171874</v>
      </c>
      <c r="R7540">
        <v>0.98054839999999999</v>
      </c>
      <c r="S7540">
        <v>-3.8818360000000003E-2</v>
      </c>
      <c r="T7540">
        <v>-6.3026070000000003E-2</v>
      </c>
      <c r="U7540">
        <v>3.0667420000000001</v>
      </c>
      <c r="V7540">
        <v>-8.0476870000000006E-2</v>
      </c>
      <c r="W7540">
        <v>0.1862808</v>
      </c>
      <c r="X7540">
        <v>0.97919509999999998</v>
      </c>
      <c r="Y7540">
        <v>1.9963350000000001E-3</v>
      </c>
      <c r="Z7540">
        <v>-5.8219419999999897E-3</v>
      </c>
      <c r="AA7540">
        <v>0.99998100000000001</v>
      </c>
      <c r="AB7540">
        <v>38</v>
      </c>
      <c r="AC7540">
        <v>-0.67850000000001298</v>
      </c>
      <c r="AD7540">
        <v>-1.1104896363612999</v>
      </c>
      <c r="AE7540">
        <v>53.664369999999998</v>
      </c>
      <c r="AF7540">
        <v>0.107886184536145</v>
      </c>
      <c r="AG7540">
        <v>-1.1104896363612999</v>
      </c>
      <c r="AH7540">
        <v>53.645582659582303</v>
      </c>
      <c r="AI7540">
        <v>91.185878720013093</v>
      </c>
      <c r="AJ7540">
        <v>89.884773090314397</v>
      </c>
      <c r="AK7540">
        <v>53.657183727319797</v>
      </c>
      <c r="AL7540">
        <v>79.2641855913771</v>
      </c>
      <c r="AM7540">
        <v>94.698394620019201</v>
      </c>
      <c r="AN7540">
        <v>1.00000005345882</v>
      </c>
    </row>
    <row r="7541" spans="1:40" x14ac:dyDescent="0.25">
      <c r="A7541" t="str">
        <f>"20190304155249760"</f>
        <v>20190304155249760</v>
      </c>
      <c r="B7541" t="str">
        <f>"1551685969754321"</f>
        <v>1551685969754321</v>
      </c>
      <c r="C7541" t="s">
        <v>40</v>
      </c>
      <c r="D7541">
        <v>5.0397499999999997</v>
      </c>
      <c r="E7541">
        <v>0.53034009999999998</v>
      </c>
      <c r="F7541" t="s">
        <v>41</v>
      </c>
      <c r="G7541">
        <v>-187.76130000000001</v>
      </c>
      <c r="H7541" s="1">
        <v>-9.6416909999999995E-7</v>
      </c>
      <c r="I7541">
        <v>110.73099999999999</v>
      </c>
      <c r="J7541">
        <v>-187.0916</v>
      </c>
      <c r="K7541">
        <v>1.110473</v>
      </c>
      <c r="L7541">
        <v>56.47034</v>
      </c>
      <c r="M7541">
        <v>-1.47332E-2</v>
      </c>
      <c r="N7541">
        <v>-1.47417E-2</v>
      </c>
      <c r="O7541">
        <v>0.99978279999999997</v>
      </c>
      <c r="P7541">
        <v>-9.4461809999999993E-2</v>
      </c>
      <c r="Q7541">
        <v>0.1721174</v>
      </c>
      <c r="R7541">
        <v>0.98053690000000004</v>
      </c>
      <c r="S7541">
        <v>-3.7902829999999998E-2</v>
      </c>
      <c r="T7541">
        <v>-6.2345390000000001E-2</v>
      </c>
      <c r="U7541">
        <v>3.0667719999999998</v>
      </c>
      <c r="V7541">
        <v>-8.0062809999999998E-2</v>
      </c>
      <c r="W7541">
        <v>0.18654699999999999</v>
      </c>
      <c r="X7541">
        <v>0.97917829999999995</v>
      </c>
      <c r="Y7541">
        <v>2.3763450000000002E-3</v>
      </c>
      <c r="Z7541">
        <v>-5.5814860000000001E-3</v>
      </c>
      <c r="AA7541">
        <v>0.99998160000000003</v>
      </c>
      <c r="AB7541">
        <v>37</v>
      </c>
      <c r="AC7541">
        <v>-0.66970000000000596</v>
      </c>
      <c r="AD7541">
        <v>-1.1104739641690999</v>
      </c>
      <c r="AE7541">
        <v>54.260660000000001</v>
      </c>
      <c r="AF7541">
        <v>0.12983835440939601</v>
      </c>
      <c r="AG7541">
        <v>-1.1104739641690999</v>
      </c>
      <c r="AH7541">
        <v>54.241922046068296</v>
      </c>
      <c r="AI7541">
        <v>91.172827214966802</v>
      </c>
      <c r="AJ7541">
        <v>89.862851918999596</v>
      </c>
      <c r="AK7541">
        <v>54.253443371597399</v>
      </c>
      <c r="AL7541">
        <v>79.248660644974095</v>
      </c>
      <c r="AM7541">
        <v>94.674408236960602</v>
      </c>
      <c r="AN7541">
        <v>0.99999998997249295</v>
      </c>
    </row>
    <row r="7542" spans="1:40" x14ac:dyDescent="0.25">
      <c r="A7542" t="str">
        <f>"20190304155249784"</f>
        <v>20190304155249784</v>
      </c>
      <c r="B7542" t="str">
        <f>"1551685969773841"</f>
        <v>1551685969773841</v>
      </c>
      <c r="C7542" t="s">
        <v>40</v>
      </c>
      <c r="D7542">
        <v>5.0220190000000002</v>
      </c>
      <c r="E7542">
        <v>0.53029169999999903</v>
      </c>
      <c r="F7542" t="s">
        <v>41</v>
      </c>
      <c r="G7542">
        <v>-187.76300000000001</v>
      </c>
      <c r="H7542" s="1">
        <v>-1.1799699999999999E-6</v>
      </c>
      <c r="I7542">
        <v>111.3664</v>
      </c>
      <c r="J7542">
        <v>-187.0975</v>
      </c>
      <c r="K7542">
        <v>1.1104579999999999</v>
      </c>
      <c r="L7542">
        <v>56.864289999999997</v>
      </c>
      <c r="M7542">
        <v>-1.4805179999999999E-2</v>
      </c>
      <c r="N7542">
        <v>-1.475826E-2</v>
      </c>
      <c r="O7542">
        <v>0.99978149999999999</v>
      </c>
      <c r="P7542">
        <v>-9.4970250000000006E-2</v>
      </c>
      <c r="Q7542">
        <v>0.1726471</v>
      </c>
      <c r="R7542">
        <v>0.9803946</v>
      </c>
      <c r="S7542">
        <v>-3.7506100000000001E-2</v>
      </c>
      <c r="T7542">
        <v>-6.203794E-2</v>
      </c>
      <c r="U7542">
        <v>3.0668329999999999</v>
      </c>
      <c r="V7542">
        <v>-8.0492209999999995E-2</v>
      </c>
      <c r="W7542">
        <v>0.1870955</v>
      </c>
      <c r="X7542">
        <v>0.97903850000000003</v>
      </c>
      <c r="Y7542">
        <v>2.5778770000000001E-3</v>
      </c>
      <c r="Z7542">
        <v>-5.4643060000000004E-3</v>
      </c>
      <c r="AA7542">
        <v>0.99998180000000003</v>
      </c>
      <c r="AB7542">
        <v>37</v>
      </c>
      <c r="AC7542">
        <v>-0.66550000000000797</v>
      </c>
      <c r="AD7542">
        <v>-1.1104591799700001</v>
      </c>
      <c r="AE7542">
        <v>54.502110000000002</v>
      </c>
      <c r="AF7542">
        <v>0.141515638181506</v>
      </c>
      <c r="AG7542">
        <v>-1.1104591799700001</v>
      </c>
      <c r="AH7542">
        <v>54.483375019013003</v>
      </c>
      <c r="AI7542">
        <v>91.167614925974107</v>
      </c>
      <c r="AJ7542">
        <v>89.851179730221403</v>
      </c>
      <c r="AK7542">
        <v>54.494874068380398</v>
      </c>
      <c r="AL7542">
        <v>79.216671381926901</v>
      </c>
      <c r="AM7542">
        <v>94.700034485203801</v>
      </c>
      <c r="AN7542">
        <v>1.00000005323659</v>
      </c>
    </row>
    <row r="7543" spans="1:40" x14ac:dyDescent="0.25">
      <c r="A7543" t="str">
        <f>"20190304155249807"</f>
        <v>20190304155249807</v>
      </c>
      <c r="B7543" t="str">
        <f>"1551685969804099"</f>
        <v>1551685969804099</v>
      </c>
      <c r="C7543" t="s">
        <v>40</v>
      </c>
      <c r="D7543">
        <v>5.0792580000000003</v>
      </c>
      <c r="E7543">
        <v>0.53021969999999996</v>
      </c>
      <c r="F7543" t="s">
        <v>41</v>
      </c>
      <c r="G7543">
        <v>-187.8143</v>
      </c>
      <c r="H7543" s="1">
        <v>-1.8537529999999999E-6</v>
      </c>
      <c r="I7543">
        <v>113.0502</v>
      </c>
      <c r="J7543">
        <v>-187.10319999999999</v>
      </c>
      <c r="K7543">
        <v>1.110444</v>
      </c>
      <c r="L7543">
        <v>57.23865</v>
      </c>
      <c r="M7543">
        <v>-1.486288E-2</v>
      </c>
      <c r="N7543">
        <v>-1.477122E-2</v>
      </c>
      <c r="O7543">
        <v>0.99978040000000001</v>
      </c>
      <c r="P7543">
        <v>-9.5438670000000003E-2</v>
      </c>
      <c r="Q7543">
        <v>0.17261650000000001</v>
      </c>
      <c r="R7543">
        <v>0.98035450000000002</v>
      </c>
      <c r="S7543">
        <v>-3.9123539999999998E-2</v>
      </c>
      <c r="T7543">
        <v>-6.0613630000000002E-2</v>
      </c>
      <c r="U7543">
        <v>3.0668639999999998</v>
      </c>
      <c r="V7543">
        <v>-8.0896239999999994E-2</v>
      </c>
      <c r="W7543">
        <v>0.18708050000000001</v>
      </c>
      <c r="X7543">
        <v>0.97900799999999999</v>
      </c>
      <c r="Y7543">
        <v>2.1085069999999999E-3</v>
      </c>
      <c r="Z7543">
        <v>-4.9869909999999996E-3</v>
      </c>
      <c r="AA7543">
        <v>0.99998529999999997</v>
      </c>
      <c r="AB7543">
        <v>37</v>
      </c>
      <c r="AC7543">
        <v>-0.71110000000001505</v>
      </c>
      <c r="AD7543">
        <v>-1.110445853753</v>
      </c>
      <c r="AE7543">
        <v>55.811549999999997</v>
      </c>
      <c r="AF7543">
        <v>0.11854255022684999</v>
      </c>
      <c r="AG7543">
        <v>-1.110445853753</v>
      </c>
      <c r="AH7543">
        <v>55.793870699995999</v>
      </c>
      <c r="AI7543">
        <v>91.140184712965507</v>
      </c>
      <c r="AJ7543">
        <v>89.878266599618797</v>
      </c>
      <c r="AK7543">
        <v>55.805045918968702</v>
      </c>
      <c r="AL7543">
        <v>79.217545571838997</v>
      </c>
      <c r="AM7543">
        <v>94.723666276295901</v>
      </c>
      <c r="AN7543">
        <v>0.99999998959519298</v>
      </c>
    </row>
    <row r="7544" spans="1:40" x14ac:dyDescent="0.25">
      <c r="A7544" t="str">
        <f>"20190304155249828"</f>
        <v>20190304155249828</v>
      </c>
      <c r="B7544" t="str">
        <f>"1551685969824593"</f>
        <v>1551685969824593</v>
      </c>
      <c r="C7544" t="s">
        <v>40</v>
      </c>
      <c r="D7544">
        <v>4.8652949999999997</v>
      </c>
      <c r="E7544">
        <v>0.53028839999999999</v>
      </c>
      <c r="F7544" t="s">
        <v>41</v>
      </c>
      <c r="G7544">
        <v>-187.8433</v>
      </c>
      <c r="H7544" s="1">
        <v>-1.8431059999999999E-6</v>
      </c>
      <c r="I7544">
        <v>113.0373</v>
      </c>
      <c r="J7544">
        <v>-187.1087</v>
      </c>
      <c r="K7544">
        <v>1.1104350000000001</v>
      </c>
      <c r="L7544">
        <v>57.607509999999998</v>
      </c>
      <c r="M7544">
        <v>-1.491173E-2</v>
      </c>
      <c r="N7544">
        <v>-1.478168E-2</v>
      </c>
      <c r="O7544">
        <v>0.99977950000000004</v>
      </c>
      <c r="P7544">
        <v>-9.5777080000000001E-2</v>
      </c>
      <c r="Q7544">
        <v>0.1727158</v>
      </c>
      <c r="R7544">
        <v>0.98030410000000001</v>
      </c>
      <c r="S7544">
        <v>-4.0679930000000003E-2</v>
      </c>
      <c r="T7544">
        <v>-6.1034680000000001E-2</v>
      </c>
      <c r="U7544">
        <v>3.0669249999999999</v>
      </c>
      <c r="V7544">
        <v>-8.1180649999999993E-2</v>
      </c>
      <c r="W7544">
        <v>0.18719240000000001</v>
      </c>
      <c r="X7544">
        <v>0.97896309999999997</v>
      </c>
      <c r="Y7544">
        <v>1.65036E-3</v>
      </c>
      <c r="Z7544">
        <v>-5.1133280000000003E-3</v>
      </c>
      <c r="AA7544">
        <v>0.99998560000000003</v>
      </c>
      <c r="AB7544">
        <v>37</v>
      </c>
      <c r="AC7544">
        <v>-0.73460000000000003</v>
      </c>
      <c r="AD7544">
        <v>-1.1104368431059899</v>
      </c>
      <c r="AE7544">
        <v>55.429789999999997</v>
      </c>
      <c r="AF7544">
        <v>9.20891596668654E-2</v>
      </c>
      <c r="AG7544">
        <v>-1.1104368431059899</v>
      </c>
      <c r="AH7544">
        <v>55.4123462756626</v>
      </c>
      <c r="AI7544">
        <v>91.148024697693103</v>
      </c>
      <c r="AJ7544">
        <v>89.904780871322998</v>
      </c>
      <c r="AK7544">
        <v>55.423547975294703</v>
      </c>
      <c r="AL7544">
        <v>79.211019225159404</v>
      </c>
      <c r="AM7544">
        <v>94.740414323619703</v>
      </c>
      <c r="AN7544">
        <v>1.0000000218568901</v>
      </c>
    </row>
    <row r="7545" spans="1:40" x14ac:dyDescent="0.25">
      <c r="A7545" t="str">
        <f>"20190304155249851"</f>
        <v>20190304155249851</v>
      </c>
      <c r="B7545" t="str">
        <f>"1551685969844114"</f>
        <v>1551685969844114</v>
      </c>
      <c r="C7545" t="s">
        <v>40</v>
      </c>
      <c r="D7545">
        <v>5.0203810000000004</v>
      </c>
      <c r="E7545">
        <v>0.53027029999999997</v>
      </c>
      <c r="F7545" t="s">
        <v>41</v>
      </c>
      <c r="G7545">
        <v>-187.86160000000001</v>
      </c>
      <c r="H7545" s="1">
        <v>-2.3359139999999999E-6</v>
      </c>
      <c r="I7545">
        <v>114.1936</v>
      </c>
      <c r="J7545">
        <v>-187.11449999999999</v>
      </c>
      <c r="K7545">
        <v>1.1104290000000001</v>
      </c>
      <c r="L7545">
        <v>57.9893199999999</v>
      </c>
      <c r="M7545">
        <v>-1.495603E-2</v>
      </c>
      <c r="N7545">
        <v>-1.4790279999999999E-2</v>
      </c>
      <c r="O7545">
        <v>0.99977870000000002</v>
      </c>
      <c r="P7545">
        <v>-9.6301910000000004E-2</v>
      </c>
      <c r="Q7545">
        <v>0.1736441</v>
      </c>
      <c r="R7545">
        <v>0.98008859999999998</v>
      </c>
      <c r="S7545">
        <v>-4.0801999999999998E-2</v>
      </c>
      <c r="T7545">
        <v>-6.018424E-2</v>
      </c>
      <c r="U7545">
        <v>3.0668950000000001</v>
      </c>
      <c r="V7545">
        <v>-8.1659670000000004E-2</v>
      </c>
      <c r="W7545">
        <v>0.1881283</v>
      </c>
      <c r="X7545">
        <v>0.97874380000000005</v>
      </c>
      <c r="Y7545">
        <v>1.6547319999999999E-3</v>
      </c>
      <c r="Z7545">
        <v>-4.8277800000000003E-3</v>
      </c>
      <c r="AA7545">
        <v>0.99998699999999996</v>
      </c>
      <c r="AB7545">
        <v>37</v>
      </c>
      <c r="AC7545">
        <v>-0.74710000000001697</v>
      </c>
      <c r="AD7545">
        <v>-1.1104313359139999</v>
      </c>
      <c r="AE7545">
        <v>56.204279999999997</v>
      </c>
      <c r="AF7545">
        <v>9.3631940157025403E-2</v>
      </c>
      <c r="AG7545">
        <v>-1.1104313359139999</v>
      </c>
      <c r="AH7545">
        <v>56.187238846727503</v>
      </c>
      <c r="AI7545">
        <v>91.132190523529502</v>
      </c>
      <c r="AJ7545">
        <v>89.904520845963503</v>
      </c>
      <c r="AK7545">
        <v>56.198288531868997</v>
      </c>
      <c r="AL7545">
        <v>79.156425881236103</v>
      </c>
      <c r="AM7545">
        <v>94.769320794442294</v>
      </c>
      <c r="AN7545">
        <v>0.99999999250191896</v>
      </c>
    </row>
    <row r="7546" spans="1:40" x14ac:dyDescent="0.25">
      <c r="A7546" t="str">
        <f>"20190304155249874"</f>
        <v>20190304155249874</v>
      </c>
      <c r="B7546" t="str">
        <f>"1551685969864609"</f>
        <v>1551685969864609</v>
      </c>
      <c r="C7546" t="s">
        <v>40</v>
      </c>
      <c r="D7546">
        <v>5.0158209999999999</v>
      </c>
      <c r="E7546">
        <v>0.53020859999999903</v>
      </c>
      <c r="F7546" t="s">
        <v>41</v>
      </c>
      <c r="G7546">
        <v>-187.93379999999999</v>
      </c>
      <c r="H7546" s="1">
        <v>-3.770655E-6</v>
      </c>
      <c r="I7546">
        <v>117.56789999999999</v>
      </c>
      <c r="J7546">
        <v>-187.12020000000001</v>
      </c>
      <c r="K7546">
        <v>1.110422</v>
      </c>
      <c r="L7546">
        <v>58.367460000000001</v>
      </c>
      <c r="M7546">
        <v>-1.499555E-2</v>
      </c>
      <c r="N7546">
        <v>-1.479714E-2</v>
      </c>
      <c r="O7546">
        <v>0.9997781</v>
      </c>
      <c r="P7546">
        <v>-9.6498559999999997E-2</v>
      </c>
      <c r="Q7546">
        <v>0.17429220000000001</v>
      </c>
      <c r="R7546">
        <v>0.9799542</v>
      </c>
      <c r="S7546">
        <v>-4.2175289999999997E-2</v>
      </c>
      <c r="T7546">
        <v>-5.7161690000000001E-2</v>
      </c>
      <c r="U7546">
        <v>3.0669249999999999</v>
      </c>
      <c r="V7546">
        <v>-8.1814399999999995E-2</v>
      </c>
      <c r="W7546">
        <v>0.1887829</v>
      </c>
      <c r="X7546">
        <v>0.9786049</v>
      </c>
      <c r="Y7546">
        <v>1.2467610000000001E-3</v>
      </c>
      <c r="Z7546">
        <v>-3.8357600000000001E-3</v>
      </c>
      <c r="AA7546">
        <v>0.99999190000000004</v>
      </c>
      <c r="AB7546">
        <v>37</v>
      </c>
      <c r="AC7546">
        <v>-0.81359999999997901</v>
      </c>
      <c r="AD7546">
        <v>-1.110425770655</v>
      </c>
      <c r="AE7546">
        <v>59.20044</v>
      </c>
      <c r="AF7546">
        <v>7.4305693546141E-2</v>
      </c>
      <c r="AG7546">
        <v>-1.110425770655</v>
      </c>
      <c r="AH7546">
        <v>59.185164776602001</v>
      </c>
      <c r="AI7546">
        <v>91.074850371121201</v>
      </c>
      <c r="AJ7546">
        <v>89.928066426558303</v>
      </c>
      <c r="AK7546">
        <v>59.1956273415677</v>
      </c>
      <c r="AL7546">
        <v>79.118236558083098</v>
      </c>
      <c r="AM7546">
        <v>94.778991049880801</v>
      </c>
      <c r="AN7546">
        <v>1.0000000648418801</v>
      </c>
    </row>
    <row r="7547" spans="1:40" x14ac:dyDescent="0.25">
      <c r="A7547" t="str">
        <f>"20190304155249894"</f>
        <v>20190304155249894</v>
      </c>
      <c r="B7547" t="str">
        <f>"1551685969884132"</f>
        <v>1551685969884132</v>
      </c>
      <c r="C7547" t="s">
        <v>40</v>
      </c>
      <c r="D7547">
        <v>4.9873440000000002</v>
      </c>
      <c r="E7547">
        <v>0.53014119999999998</v>
      </c>
      <c r="F7547" t="s">
        <v>84</v>
      </c>
      <c r="G7547">
        <v>-187.983</v>
      </c>
      <c r="H7547" s="1">
        <v>-5.784154E-7</v>
      </c>
      <c r="I7547">
        <v>119.7962</v>
      </c>
      <c r="J7547">
        <v>-187.12549999999999</v>
      </c>
      <c r="K7547">
        <v>1.11042</v>
      </c>
      <c r="L7547">
        <v>58.715420000000002</v>
      </c>
      <c r="M7547">
        <v>-1.5027749999999999E-2</v>
      </c>
      <c r="N7547">
        <v>-1.4802259999999999E-2</v>
      </c>
      <c r="O7547">
        <v>0.99977749999999999</v>
      </c>
      <c r="P7547">
        <v>-9.6781619999999999E-2</v>
      </c>
      <c r="Q7547">
        <v>0.1742447</v>
      </c>
      <c r="R7547">
        <v>0.97993479999999999</v>
      </c>
      <c r="S7547">
        <v>-4.3075559999999999E-2</v>
      </c>
      <c r="T7547">
        <v>-5.5440660000000003E-2</v>
      </c>
      <c r="U7547">
        <v>3.066986</v>
      </c>
      <c r="V7547">
        <v>-8.2062369999999996E-2</v>
      </c>
      <c r="W7547">
        <v>0.1887422</v>
      </c>
      <c r="X7547">
        <v>0.97859189999999996</v>
      </c>
      <c r="Y7547">
        <v>9.8580689999999997E-4</v>
      </c>
      <c r="Z7547">
        <v>-3.2694209999999998E-3</v>
      </c>
      <c r="AA7547">
        <v>0.99999420000000006</v>
      </c>
      <c r="AB7547">
        <v>37</v>
      </c>
      <c r="AC7547">
        <v>-0.85750000000001503</v>
      </c>
      <c r="AD7547">
        <v>-1.1104205784154</v>
      </c>
      <c r="AE7547">
        <v>61.080779999999997</v>
      </c>
      <c r="AF7547">
        <v>6.0584106619443599E-2</v>
      </c>
      <c r="AG7547">
        <v>-1.1104205784154</v>
      </c>
      <c r="AH7547">
        <v>61.066590499720697</v>
      </c>
      <c r="AI7547">
        <v>91.041737715526295</v>
      </c>
      <c r="AJ7547">
        <v>89.943156930039805</v>
      </c>
      <c r="AK7547">
        <v>61.076715526913503</v>
      </c>
      <c r="AL7547">
        <v>79.1206102366708</v>
      </c>
      <c r="AM7547">
        <v>94.793471610347694</v>
      </c>
      <c r="AN7547">
        <v>0.99999997868823298</v>
      </c>
    </row>
    <row r="7548" spans="1:40" x14ac:dyDescent="0.25">
      <c r="A7548" t="str">
        <f>"20190304155249917"</f>
        <v>20190304155249917</v>
      </c>
      <c r="B7548" t="str">
        <f>"1551685969914386"</f>
        <v>1551685969914386</v>
      </c>
      <c r="C7548" t="s">
        <v>40</v>
      </c>
      <c r="D7548">
        <v>5.0115540000000003</v>
      </c>
      <c r="E7548">
        <v>0.5301399</v>
      </c>
      <c r="F7548" t="s">
        <v>84</v>
      </c>
      <c r="G7548">
        <v>-188.00389999999999</v>
      </c>
      <c r="H7548" s="1">
        <v>-5.7025019999999899E-7</v>
      </c>
      <c r="I7548">
        <v>119.78740000000001</v>
      </c>
      <c r="J7548">
        <v>-187.131</v>
      </c>
      <c r="K7548">
        <v>1.110414</v>
      </c>
      <c r="L7548">
        <v>59.080869999999997</v>
      </c>
      <c r="M7548">
        <v>-1.5054980000000001E-2</v>
      </c>
      <c r="N7548">
        <v>-1.480623E-2</v>
      </c>
      <c r="O7548">
        <v>0.99977700000000003</v>
      </c>
      <c r="P7548">
        <v>-9.7109109999999998E-2</v>
      </c>
      <c r="Q7548">
        <v>0.17392859999999999</v>
      </c>
      <c r="R7548">
        <v>0.97995849999999995</v>
      </c>
      <c r="S7548">
        <v>-4.4113159999999998E-2</v>
      </c>
      <c r="T7548">
        <v>-5.5764439999999998E-2</v>
      </c>
      <c r="U7548">
        <v>3.066986</v>
      </c>
      <c r="V7548">
        <v>-8.2358529999999999E-2</v>
      </c>
      <c r="W7548">
        <v>0.18843270000000001</v>
      </c>
      <c r="X7548">
        <v>0.97862669999999996</v>
      </c>
      <c r="Y7548">
        <v>6.7487639999999995E-4</v>
      </c>
      <c r="Z7548">
        <v>-3.370947E-3</v>
      </c>
      <c r="AA7548">
        <v>0.9999941</v>
      </c>
      <c r="AB7548">
        <v>37</v>
      </c>
      <c r="AC7548">
        <v>-0.872900000000015</v>
      </c>
      <c r="AD7548">
        <v>-1.1104145702502</v>
      </c>
      <c r="AE7548">
        <v>60.706530000000001</v>
      </c>
      <c r="AF7548">
        <v>4.1220984465384899E-2</v>
      </c>
      <c r="AG7548">
        <v>-1.1104145702502</v>
      </c>
      <c r="AH7548">
        <v>60.692489120720801</v>
      </c>
      <c r="AI7548">
        <v>91.048152040402897</v>
      </c>
      <c r="AJ7548">
        <v>89.961085990897601</v>
      </c>
      <c r="AK7548">
        <v>60.702660199996103</v>
      </c>
      <c r="AL7548">
        <v>79.138667676774006</v>
      </c>
      <c r="AM7548">
        <v>94.810519758866604</v>
      </c>
      <c r="AN7548">
        <v>1.0000000139229701</v>
      </c>
    </row>
    <row r="7549" spans="1:40" x14ac:dyDescent="0.25">
      <c r="A7549" t="str">
        <f>"20190304155249940"</f>
        <v>20190304155249940</v>
      </c>
      <c r="B7549" t="str">
        <f>"1551685969934411"</f>
        <v>1551685969934411</v>
      </c>
      <c r="C7549" t="s">
        <v>40</v>
      </c>
      <c r="D7549">
        <v>5.0023910000000003</v>
      </c>
      <c r="E7549">
        <v>0.53008009999999905</v>
      </c>
      <c r="F7549" t="s">
        <v>41</v>
      </c>
      <c r="G7549">
        <v>-188.00040000000001</v>
      </c>
      <c r="H7549" s="1">
        <v>-4.4275660000000001E-6</v>
      </c>
      <c r="I7549">
        <v>119.1267</v>
      </c>
      <c r="J7549">
        <v>-187.1369</v>
      </c>
      <c r="K7549">
        <v>1.1104069999999999</v>
      </c>
      <c r="L7549">
        <v>59.467010000000002</v>
      </c>
      <c r="M7549">
        <v>-1.507562E-2</v>
      </c>
      <c r="N7549">
        <v>-1.480912E-2</v>
      </c>
      <c r="O7549">
        <v>0.99977669999999996</v>
      </c>
      <c r="P7549">
        <v>-9.7297110000000006E-2</v>
      </c>
      <c r="Q7549">
        <v>0.1736183</v>
      </c>
      <c r="R7549">
        <v>0.9799949</v>
      </c>
      <c r="S7549">
        <v>-4.4403079999999998E-2</v>
      </c>
      <c r="T7549">
        <v>-5.6717869999999997E-2</v>
      </c>
      <c r="U7549">
        <v>3.0670169999999999</v>
      </c>
      <c r="V7549">
        <v>-8.2520689999999994E-2</v>
      </c>
      <c r="W7549">
        <v>0.18812780000000001</v>
      </c>
      <c r="X7549">
        <v>0.97867170000000003</v>
      </c>
      <c r="Y7549">
        <v>6.0119860000000004E-4</v>
      </c>
      <c r="Z7549">
        <v>-3.6785680000000001E-3</v>
      </c>
      <c r="AA7549">
        <v>0.99999300000000002</v>
      </c>
      <c r="AB7549">
        <v>37</v>
      </c>
      <c r="AC7549">
        <v>-0.86350000000001603</v>
      </c>
      <c r="AD7549">
        <v>-1.110411427566</v>
      </c>
      <c r="AE7549">
        <v>59.659689999999998</v>
      </c>
      <c r="AF7549">
        <v>3.60910937057436E-2</v>
      </c>
      <c r="AG7549">
        <v>-1.110411427566</v>
      </c>
      <c r="AH7549">
        <v>59.645269670549403</v>
      </c>
      <c r="AI7549">
        <v>91.066547746794399</v>
      </c>
      <c r="AJ7549">
        <v>89.965330576818602</v>
      </c>
      <c r="AK7549">
        <v>59.6556159148329</v>
      </c>
      <c r="AL7549">
        <v>79.156455295719297</v>
      </c>
      <c r="AM7549">
        <v>94.819726281724996</v>
      </c>
      <c r="AN7549">
        <v>1.0000000148959001</v>
      </c>
    </row>
    <row r="7550" spans="1:40" x14ac:dyDescent="0.25">
      <c r="A7550" t="str">
        <f>"20190304155249963"</f>
        <v>20190304155249963</v>
      </c>
      <c r="B7550" t="str">
        <f>"1551685969953931"</f>
        <v>1551685969953931</v>
      </c>
      <c r="C7550" t="s">
        <v>40</v>
      </c>
      <c r="D7550">
        <v>4.9849509999999997</v>
      </c>
      <c r="E7550">
        <v>0.53001669999999901</v>
      </c>
      <c r="F7550" t="s">
        <v>41</v>
      </c>
      <c r="G7550">
        <v>-187.9992</v>
      </c>
      <c r="H7550" s="1">
        <v>-4.0492039999999901E-6</v>
      </c>
      <c r="I7550">
        <v>118.2443</v>
      </c>
      <c r="J7550">
        <v>-187.14259999999999</v>
      </c>
      <c r="K7550">
        <v>1.1104019999999999</v>
      </c>
      <c r="L7550">
        <v>59.844149999999999</v>
      </c>
      <c r="M7550">
        <v>-1.508937E-2</v>
      </c>
      <c r="N7550">
        <v>-1.481094E-2</v>
      </c>
      <c r="O7550">
        <v>0.99977640000000001</v>
      </c>
      <c r="P7550">
        <v>-9.7883890000000001E-2</v>
      </c>
      <c r="Q7550">
        <v>0.17352819999999999</v>
      </c>
      <c r="R7550">
        <v>0.97995239999999995</v>
      </c>
      <c r="S7550">
        <v>-4.4998169999999997E-2</v>
      </c>
      <c r="T7550">
        <v>-5.7942149999999998E-2</v>
      </c>
      <c r="U7550">
        <v>3.0670470000000001</v>
      </c>
      <c r="V7550">
        <v>-8.3090499999999998E-2</v>
      </c>
      <c r="W7550">
        <v>0.18804070000000001</v>
      </c>
      <c r="X7550">
        <v>0.97864019999999996</v>
      </c>
      <c r="Y7550">
        <v>4.2117320000000001E-4</v>
      </c>
      <c r="Z7550">
        <v>-4.0754900000000002E-3</v>
      </c>
      <c r="AA7550">
        <v>0.99999159999999998</v>
      </c>
      <c r="AB7550">
        <v>37</v>
      </c>
      <c r="AC7550">
        <v>-0.85660000000001402</v>
      </c>
      <c r="AD7550">
        <v>-1.110406049204</v>
      </c>
      <c r="AE7550">
        <v>58.400149999999996</v>
      </c>
      <c r="AF7550">
        <v>2.4806764074158001E-2</v>
      </c>
      <c r="AG7550">
        <v>-1.110406049204</v>
      </c>
      <c r="AH7550">
        <v>58.385323509951398</v>
      </c>
      <c r="AI7550">
        <v>91.089553015826993</v>
      </c>
      <c r="AJ7550">
        <v>89.975656162990006</v>
      </c>
      <c r="AK7550">
        <v>58.395886998412301</v>
      </c>
      <c r="AL7550">
        <v>79.161536152782503</v>
      </c>
      <c r="AM7550">
        <v>94.853003822029294</v>
      </c>
      <c r="AN7550">
        <v>0.99999998855138905</v>
      </c>
    </row>
    <row r="7551" spans="1:40" x14ac:dyDescent="0.25">
      <c r="A7551" t="str">
        <f>"20190304155249984"</f>
        <v>20190304155249984</v>
      </c>
      <c r="B7551" t="str">
        <f>"1551685969974427"</f>
        <v>1551685969974427</v>
      </c>
      <c r="C7551" t="s">
        <v>40</v>
      </c>
      <c r="D7551">
        <v>4.9544680000000003</v>
      </c>
      <c r="E7551">
        <v>0.52994830000000004</v>
      </c>
      <c r="F7551" t="s">
        <v>41</v>
      </c>
      <c r="G7551">
        <v>-188.03190000000001</v>
      </c>
      <c r="H7551" s="1">
        <v>-3.9856679999999998E-6</v>
      </c>
      <c r="I7551">
        <v>118.1097</v>
      </c>
      <c r="J7551">
        <v>-187.14779999999999</v>
      </c>
      <c r="K7551">
        <v>1.110401</v>
      </c>
      <c r="L7551">
        <v>60.189639999999997</v>
      </c>
      <c r="M7551">
        <v>-1.509744E-2</v>
      </c>
      <c r="N7551">
        <v>-1.481186E-2</v>
      </c>
      <c r="O7551">
        <v>0.99977629999999995</v>
      </c>
      <c r="P7551">
        <v>-9.7690769999999996E-2</v>
      </c>
      <c r="Q7551">
        <v>0.17360780000000001</v>
      </c>
      <c r="R7551">
        <v>0.97995759999999998</v>
      </c>
      <c r="S7551">
        <v>-4.6813960000000002E-2</v>
      </c>
      <c r="T7551">
        <v>-5.8450820000000001E-2</v>
      </c>
      <c r="U7551">
        <v>3.0670470000000001</v>
      </c>
      <c r="V7551">
        <v>-8.2886169999999995E-2</v>
      </c>
      <c r="W7551">
        <v>0.1881226</v>
      </c>
      <c r="X7551">
        <v>0.97864180000000001</v>
      </c>
      <c r="Y7551">
        <v>-1.624978E-4</v>
      </c>
      <c r="Z7551">
        <v>-4.2403069999999996E-3</v>
      </c>
      <c r="AA7551">
        <v>0.99999099999999996</v>
      </c>
      <c r="AB7551">
        <v>37</v>
      </c>
      <c r="AC7551">
        <v>-0.88410000000001698</v>
      </c>
      <c r="AD7551">
        <v>-1.1104049856680001</v>
      </c>
      <c r="AE7551">
        <v>57.920059999999999</v>
      </c>
      <c r="AF7551">
        <v>-9.4551595929660507E-3</v>
      </c>
      <c r="AG7551">
        <v>-1.1104049856680001</v>
      </c>
      <c r="AH7551">
        <v>57.905528698882001</v>
      </c>
      <c r="AI7551">
        <v>91.098577685593099</v>
      </c>
      <c r="AJ7551">
        <v>90.009355596031298</v>
      </c>
      <c r="AK7551">
        <v>57.916175137255799</v>
      </c>
      <c r="AL7551">
        <v>79.156758500470502</v>
      </c>
      <c r="AM7551">
        <v>94.841118585693394</v>
      </c>
      <c r="AN7551">
        <v>1.00000000125763</v>
      </c>
    </row>
    <row r="7552" spans="1:40" x14ac:dyDescent="0.25">
      <c r="A7552" t="str">
        <f>"20190304155250005"</f>
        <v>20190304155250005</v>
      </c>
      <c r="B7552" t="str">
        <f>"1551685969993950"</f>
        <v>1551685969993950</v>
      </c>
      <c r="C7552" t="s">
        <v>40</v>
      </c>
      <c r="D7552">
        <v>4.9878400000000003</v>
      </c>
      <c r="E7552">
        <v>0.52989359999999996</v>
      </c>
      <c r="F7552" t="s">
        <v>41</v>
      </c>
      <c r="G7552">
        <v>-188.0308</v>
      </c>
      <c r="H7552" s="1">
        <v>-4.1099019999999999E-6</v>
      </c>
      <c r="I7552">
        <v>118.39879999999999</v>
      </c>
      <c r="J7552">
        <v>-187.1532</v>
      </c>
      <c r="K7552">
        <v>1.1104000000000001</v>
      </c>
      <c r="L7552">
        <v>60.543790000000001</v>
      </c>
      <c r="M7552">
        <v>-1.510187E-2</v>
      </c>
      <c r="N7552">
        <v>-1.4812189999999999E-2</v>
      </c>
      <c r="O7552">
        <v>0.9997762</v>
      </c>
      <c r="P7552">
        <v>-9.8059270000000004E-2</v>
      </c>
      <c r="Q7552">
        <v>0.1736589</v>
      </c>
      <c r="R7552">
        <v>0.97991170000000005</v>
      </c>
      <c r="S7552">
        <v>-4.6524049999999997E-2</v>
      </c>
      <c r="T7552">
        <v>-5.8507919999999998E-2</v>
      </c>
      <c r="U7552">
        <v>3.067078</v>
      </c>
      <c r="V7552">
        <v>-8.3248370000000002E-2</v>
      </c>
      <c r="W7552">
        <v>0.1881746</v>
      </c>
      <c r="X7552">
        <v>0.97860100000000005</v>
      </c>
      <c r="Y7552" s="1">
        <v>-6.3431539999999993E-5</v>
      </c>
      <c r="Z7552">
        <v>-4.2583889999999996E-3</v>
      </c>
      <c r="AA7552">
        <v>0.99999090000000002</v>
      </c>
      <c r="AB7552">
        <v>37</v>
      </c>
      <c r="AC7552">
        <v>-0.87760000000000105</v>
      </c>
      <c r="AD7552">
        <v>-1.1104041099019999</v>
      </c>
      <c r="AE7552">
        <v>57.855009999999901</v>
      </c>
      <c r="AF7552">
        <v>-3.68380101216392E-3</v>
      </c>
      <c r="AG7552">
        <v>-1.1104041099019999</v>
      </c>
      <c r="AH7552">
        <v>57.840364083552302</v>
      </c>
      <c r="AI7552">
        <v>91.099814216156602</v>
      </c>
      <c r="AJ7552">
        <v>90.003649116903404</v>
      </c>
      <c r="AK7552">
        <v>57.851021842103698</v>
      </c>
      <c r="AL7552">
        <v>79.1537243159311</v>
      </c>
      <c r="AM7552">
        <v>94.862374084743394</v>
      </c>
      <c r="AN7552">
        <v>0.99999994419690597</v>
      </c>
    </row>
    <row r="7553" spans="1:40" x14ac:dyDescent="0.25">
      <c r="A7553" t="str">
        <f>"20190304155250029"</f>
        <v>20190304155250029</v>
      </c>
      <c r="B7553" t="str">
        <f>"1551685970024203"</f>
        <v>1551685970024203</v>
      </c>
      <c r="C7553" t="s">
        <v>40</v>
      </c>
      <c r="D7553">
        <v>4.9517519999999999</v>
      </c>
      <c r="E7553">
        <v>0.52981429999999996</v>
      </c>
      <c r="F7553" t="s">
        <v>41</v>
      </c>
      <c r="G7553">
        <v>-188.0608</v>
      </c>
      <c r="H7553" s="1">
        <v>-4.1779710000000003E-6</v>
      </c>
      <c r="I7553">
        <v>118.5699</v>
      </c>
      <c r="J7553">
        <v>-187.15889999999999</v>
      </c>
      <c r="K7553">
        <v>1.1104000000000001</v>
      </c>
      <c r="L7553">
        <v>60.918979999999998</v>
      </c>
      <c r="M7553">
        <v>-1.510386E-2</v>
      </c>
      <c r="N7553">
        <v>-1.4811919999999999E-2</v>
      </c>
      <c r="O7553">
        <v>0.9997762</v>
      </c>
      <c r="P7553">
        <v>-9.8551239999999998E-2</v>
      </c>
      <c r="Q7553">
        <v>0.1740167</v>
      </c>
      <c r="R7553">
        <v>0.97979890000000003</v>
      </c>
      <c r="S7553">
        <v>-4.7973630000000003E-2</v>
      </c>
      <c r="T7553">
        <v>-5.8693049999999997E-2</v>
      </c>
      <c r="U7553">
        <v>3.0671080000000002</v>
      </c>
      <c r="V7553">
        <v>-8.3738099999999996E-2</v>
      </c>
      <c r="W7553">
        <v>0.18853149999999999</v>
      </c>
      <c r="X7553">
        <v>0.97849059999999999</v>
      </c>
      <c r="Y7553">
        <v>-5.3368339999999999E-4</v>
      </c>
      <c r="Z7553">
        <v>-4.3187770000000002E-3</v>
      </c>
      <c r="AA7553">
        <v>0.9999905</v>
      </c>
      <c r="AB7553">
        <v>37</v>
      </c>
      <c r="AC7553">
        <v>-0.90190000000001203</v>
      </c>
      <c r="AD7553">
        <v>-1.1104041779709899</v>
      </c>
      <c r="AE7553">
        <v>57.6509199999999</v>
      </c>
      <c r="AF7553">
        <v>-3.0938651213739399E-2</v>
      </c>
      <c r="AG7553">
        <v>-1.1104041779709899</v>
      </c>
      <c r="AH7553">
        <v>57.636589243423103</v>
      </c>
      <c r="AI7553">
        <v>91.103701573025305</v>
      </c>
      <c r="AJ7553">
        <v>90.030755705557596</v>
      </c>
      <c r="AK7553">
        <v>57.647292861449003</v>
      </c>
      <c r="AL7553">
        <v>79.132903663860105</v>
      </c>
      <c r="AM7553">
        <v>94.891389049405106</v>
      </c>
      <c r="AN7553">
        <v>1.0000000250861001</v>
      </c>
    </row>
    <row r="7554" spans="1:40" x14ac:dyDescent="0.25">
      <c r="A7554" t="str">
        <f>"20190304155250053"</f>
        <v>20190304155250053</v>
      </c>
      <c r="B7554" t="str">
        <f>"1551685970044699"</f>
        <v>1551685970044699</v>
      </c>
      <c r="C7554" t="s">
        <v>40</v>
      </c>
      <c r="D7554">
        <v>4.9729799999999997</v>
      </c>
      <c r="E7554">
        <v>0.52975399999999995</v>
      </c>
      <c r="F7554" t="s">
        <v>84</v>
      </c>
      <c r="G7554">
        <v>-188.1139</v>
      </c>
      <c r="H7554" s="1">
        <v>-5.249419E-7</v>
      </c>
      <c r="I7554">
        <v>119.7329</v>
      </c>
      <c r="J7554">
        <v>-187.16489999999999</v>
      </c>
      <c r="K7554">
        <v>1.1104000000000001</v>
      </c>
      <c r="L7554">
        <v>61.319429999999997</v>
      </c>
      <c r="M7554">
        <v>-1.510365E-2</v>
      </c>
      <c r="N7554">
        <v>-1.4811110000000001E-2</v>
      </c>
      <c r="O7554">
        <v>0.9997762</v>
      </c>
      <c r="P7554">
        <v>-9.8926799999999995E-2</v>
      </c>
      <c r="Q7554">
        <v>0.17498420000000001</v>
      </c>
      <c r="R7554">
        <v>0.97958869999999998</v>
      </c>
      <c r="S7554">
        <v>-4.9804689999999999E-2</v>
      </c>
      <c r="T7554">
        <v>-5.7907220000000002E-2</v>
      </c>
      <c r="U7554">
        <v>3.0671390000000001</v>
      </c>
      <c r="V7554">
        <v>-8.4115529999999994E-2</v>
      </c>
      <c r="W7554">
        <v>0.18949559999999999</v>
      </c>
      <c r="X7554">
        <v>0.97827200000000003</v>
      </c>
      <c r="Y7554">
        <v>-1.1304349999999999E-3</v>
      </c>
      <c r="Z7554">
        <v>-4.0633199999999996E-3</v>
      </c>
      <c r="AA7554">
        <v>0.99999110000000002</v>
      </c>
      <c r="AB7554">
        <v>37</v>
      </c>
      <c r="AC7554">
        <v>-0.94900000000001195</v>
      </c>
      <c r="AD7554">
        <v>-1.1104005249419</v>
      </c>
      <c r="AE7554">
        <v>58.413469999999997</v>
      </c>
      <c r="AF7554">
        <v>-6.6514279391562695E-2</v>
      </c>
      <c r="AG7554">
        <v>-1.1104005249419</v>
      </c>
      <c r="AH7554">
        <v>58.400042904796798</v>
      </c>
      <c r="AI7554">
        <v>91.089272440554794</v>
      </c>
      <c r="AJ7554">
        <v>90.065256558883803</v>
      </c>
      <c r="AK7554">
        <v>58.410636229690702</v>
      </c>
      <c r="AL7554">
        <v>79.076651150055795</v>
      </c>
      <c r="AM7554">
        <v>94.914420695193698</v>
      </c>
      <c r="AN7554">
        <v>1.0000000553952599</v>
      </c>
    </row>
    <row r="7555" spans="1:40" x14ac:dyDescent="0.25">
      <c r="A7555" t="str">
        <f>"20190304155250075"</f>
        <v>20190304155250075</v>
      </c>
      <c r="B7555" t="str">
        <f>"1551685970064219"</f>
        <v>1551685970064219</v>
      </c>
      <c r="C7555" t="s">
        <v>40</v>
      </c>
      <c r="D7555">
        <v>4.9546609999999998</v>
      </c>
      <c r="E7555">
        <v>0.52969690000000003</v>
      </c>
      <c r="F7555" t="s">
        <v>84</v>
      </c>
      <c r="G7555">
        <v>-188.19489999999999</v>
      </c>
      <c r="H7555" s="1">
        <v>-2.236252E-6</v>
      </c>
      <c r="I7555">
        <v>123.2478</v>
      </c>
      <c r="J7555">
        <v>-187.17060000000001</v>
      </c>
      <c r="K7555">
        <v>1.110409</v>
      </c>
      <c r="L7555">
        <v>61.693629999999999</v>
      </c>
      <c r="M7555">
        <v>-1.5101109999999999E-2</v>
      </c>
      <c r="N7555">
        <v>-1.4809910000000001E-2</v>
      </c>
      <c r="O7555">
        <v>0.99977629999999995</v>
      </c>
      <c r="P7555">
        <v>-9.8705219999999996E-2</v>
      </c>
      <c r="Q7555">
        <v>0.17595520000000001</v>
      </c>
      <c r="R7555">
        <v>0.97943709999999995</v>
      </c>
      <c r="S7555">
        <v>-5.1010130000000001E-2</v>
      </c>
      <c r="T7555">
        <v>-5.4995660000000002E-2</v>
      </c>
      <c r="U7555">
        <v>3.0671689999999998</v>
      </c>
      <c r="V7555">
        <v>-8.3897529999999998E-2</v>
      </c>
      <c r="W7555">
        <v>0.1904633</v>
      </c>
      <c r="X7555">
        <v>0.97810269999999999</v>
      </c>
      <c r="Y7555">
        <v>-1.5256849999999999E-3</v>
      </c>
      <c r="Z7555">
        <v>-3.1155879999999999E-3</v>
      </c>
      <c r="AA7555">
        <v>0.99999400000000005</v>
      </c>
      <c r="AB7555">
        <v>37</v>
      </c>
      <c r="AC7555">
        <v>-1.02429999999998</v>
      </c>
      <c r="AD7555">
        <v>-1.110411236252</v>
      </c>
      <c r="AE7555">
        <v>61.5541699999999</v>
      </c>
      <c r="AF7555">
        <v>-9.4514190791644304E-2</v>
      </c>
      <c r="AG7555">
        <v>-1.110411236252</v>
      </c>
      <c r="AH7555">
        <v>61.542597269121799</v>
      </c>
      <c r="AI7555">
        <v>91.033672651490903</v>
      </c>
      <c r="AJ7555">
        <v>90.087992061099001</v>
      </c>
      <c r="AK7555">
        <v>61.552686575609101</v>
      </c>
      <c r="AL7555">
        <v>79.020176670440094</v>
      </c>
      <c r="AM7555">
        <v>94.902590565852506</v>
      </c>
      <c r="AN7555">
        <v>0.99999997796714002</v>
      </c>
    </row>
    <row r="7556" spans="1:40" x14ac:dyDescent="0.25">
      <c r="A7556" t="str">
        <f>"20190304155250097"</f>
        <v>20190304155250097</v>
      </c>
      <c r="B7556" t="str">
        <f>"1551685970094476"</f>
        <v>1551685970094476</v>
      </c>
      <c r="C7556" t="s">
        <v>40</v>
      </c>
      <c r="D7556">
        <v>4.9426519999999998</v>
      </c>
      <c r="E7556">
        <v>0.5296286</v>
      </c>
      <c r="F7556" t="s">
        <v>84</v>
      </c>
      <c r="G7556">
        <v>-188.23929999999999</v>
      </c>
      <c r="H7556" s="1">
        <v>-3.8844039999999997E-6</v>
      </c>
      <c r="I7556">
        <v>127.0887</v>
      </c>
      <c r="J7556">
        <v>-187.17590000000001</v>
      </c>
      <c r="K7556">
        <v>1.1104069999999999</v>
      </c>
      <c r="L7556">
        <v>62.046419999999998</v>
      </c>
      <c r="M7556">
        <v>-1.5090340000000001E-2</v>
      </c>
      <c r="N7556">
        <v>-1.4808379999999999E-2</v>
      </c>
      <c r="O7556">
        <v>0.99977649999999996</v>
      </c>
      <c r="P7556">
        <v>-9.8848720000000001E-2</v>
      </c>
      <c r="Q7556">
        <v>0.17729600000000001</v>
      </c>
      <c r="R7556">
        <v>0.97918079999999996</v>
      </c>
      <c r="S7556">
        <v>-5.0125120000000002E-2</v>
      </c>
      <c r="T7556">
        <v>-5.2082780000000002E-2</v>
      </c>
      <c r="U7556">
        <v>3.067291</v>
      </c>
      <c r="V7556">
        <v>-8.4052929999999998E-2</v>
      </c>
      <c r="W7556">
        <v>0.19180050000000001</v>
      </c>
      <c r="X7556">
        <v>0.97782800000000003</v>
      </c>
      <c r="Y7556">
        <v>-1.2474719999999999E-3</v>
      </c>
      <c r="Z7556">
        <v>-2.1672940000000002E-3</v>
      </c>
      <c r="AA7556">
        <v>0.99999689999999997</v>
      </c>
      <c r="AB7556">
        <v>37</v>
      </c>
      <c r="AC7556">
        <v>-1.0633999999999699</v>
      </c>
      <c r="AD7556">
        <v>-1.1104108844039999</v>
      </c>
      <c r="AE7556">
        <v>65.042280000000005</v>
      </c>
      <c r="AF7556">
        <v>-8.1637374869064999E-2</v>
      </c>
      <c r="AG7556">
        <v>-1.1104108844039999</v>
      </c>
      <c r="AH7556">
        <v>65.031972100191297</v>
      </c>
      <c r="AI7556">
        <v>90.978220760056104</v>
      </c>
      <c r="AJ7556">
        <v>90.071925768547601</v>
      </c>
      <c r="AK7556">
        <v>65.041502690461002</v>
      </c>
      <c r="AL7556">
        <v>78.942121577130493</v>
      </c>
      <c r="AM7556">
        <v>94.913000118713498</v>
      </c>
      <c r="AN7556">
        <v>0.99999996221291598</v>
      </c>
    </row>
    <row r="7557" spans="1:40" x14ac:dyDescent="0.25">
      <c r="A7557" t="str">
        <f>"20190304155250118"</f>
        <v>20190304155250118</v>
      </c>
      <c r="B7557" t="str">
        <f>"1551685970113996"</f>
        <v>1551685970113996</v>
      </c>
      <c r="C7557" t="s">
        <v>40</v>
      </c>
      <c r="D7557">
        <v>4.8274429999999997</v>
      </c>
      <c r="E7557">
        <v>0.52969299999999997</v>
      </c>
      <c r="F7557" t="s">
        <v>84</v>
      </c>
      <c r="G7557">
        <v>-188.34790000000001</v>
      </c>
      <c r="H7557" s="1">
        <v>-5.9761320000000003E-6</v>
      </c>
      <c r="I7557">
        <v>132.8398</v>
      </c>
      <c r="J7557">
        <v>-187.18109999999999</v>
      </c>
      <c r="K7557">
        <v>1.110412</v>
      </c>
      <c r="L7557">
        <v>62.392879999999998</v>
      </c>
      <c r="M7557">
        <v>-1.50647E-2</v>
      </c>
      <c r="N7557">
        <v>-1.480656E-2</v>
      </c>
      <c r="O7557">
        <v>0.99977689999999997</v>
      </c>
      <c r="P7557">
        <v>-9.8047110000000007E-2</v>
      </c>
      <c r="Q7557">
        <v>0.17842839999999999</v>
      </c>
      <c r="R7557">
        <v>0.97905569999999997</v>
      </c>
      <c r="S7557">
        <v>-5.078125E-2</v>
      </c>
      <c r="T7557">
        <v>-4.8112750000000003E-2</v>
      </c>
      <c r="U7557">
        <v>3.067383</v>
      </c>
      <c r="V7557">
        <v>-8.3273159999999999E-2</v>
      </c>
      <c r="W7557">
        <v>0.19293099999999999</v>
      </c>
      <c r="X7557">
        <v>0.97767230000000005</v>
      </c>
      <c r="Y7557">
        <v>-1.4864609999999999E-3</v>
      </c>
      <c r="Z7557">
        <v>-8.7497940000000004E-4</v>
      </c>
      <c r="AA7557">
        <v>0.99999850000000001</v>
      </c>
      <c r="AB7557">
        <v>37</v>
      </c>
      <c r="AC7557">
        <v>-1.16680000000002</v>
      </c>
      <c r="AD7557">
        <v>-1.1104179761319899</v>
      </c>
      <c r="AE7557">
        <v>70.446919999999906</v>
      </c>
      <c r="AF7557">
        <v>-0.105263365714759</v>
      </c>
      <c r="AG7557">
        <v>-1.1104179761319899</v>
      </c>
      <c r="AH7557">
        <v>70.439007245198098</v>
      </c>
      <c r="AI7557">
        <v>90.903149057464802</v>
      </c>
      <c r="AJ7557">
        <v>90.085622190588495</v>
      </c>
      <c r="AK7557">
        <v>70.447837796109496</v>
      </c>
      <c r="AL7557">
        <v>78.876115877283993</v>
      </c>
      <c r="AM7557">
        <v>94.868413062549706</v>
      </c>
      <c r="AN7557">
        <v>0.99999995806233699</v>
      </c>
    </row>
    <row r="7558" spans="1:40" x14ac:dyDescent="0.25">
      <c r="A7558" t="str">
        <f>"20190304155250141"</f>
        <v>20190304155250141</v>
      </c>
      <c r="B7558" t="str">
        <f>"1551685970134492"</f>
        <v>1551685970134492</v>
      </c>
      <c r="C7558" t="s">
        <v>40</v>
      </c>
      <c r="D7558">
        <v>4.8232850000000003</v>
      </c>
      <c r="E7558">
        <v>0.52975890000000003</v>
      </c>
      <c r="F7558" t="s">
        <v>84</v>
      </c>
      <c r="G7558">
        <v>-188.3759</v>
      </c>
      <c r="H7558" s="1">
        <v>-8.3157389999999906E-6</v>
      </c>
      <c r="I7558">
        <v>140.09569999999999</v>
      </c>
      <c r="J7558">
        <v>-187.1867</v>
      </c>
      <c r="K7558">
        <v>1.1104080000000001</v>
      </c>
      <c r="L7558">
        <v>62.765900000000002</v>
      </c>
      <c r="M7558">
        <v>-1.501482E-2</v>
      </c>
      <c r="N7558">
        <v>-1.480443E-2</v>
      </c>
      <c r="O7558">
        <v>0.99977769999999999</v>
      </c>
      <c r="P7558">
        <v>-9.7519599999999998E-2</v>
      </c>
      <c r="Q7558">
        <v>0.1789222</v>
      </c>
      <c r="R7558">
        <v>0.97901830000000001</v>
      </c>
      <c r="S7558">
        <v>-4.7164919999999999E-2</v>
      </c>
      <c r="T7558">
        <v>-4.3835640000000002E-2</v>
      </c>
      <c r="U7558">
        <v>3.0674440000000001</v>
      </c>
      <c r="V7558">
        <v>-8.2786159999999998E-2</v>
      </c>
      <c r="W7558">
        <v>0.19342500000000001</v>
      </c>
      <c r="X7558">
        <v>0.97761609999999999</v>
      </c>
      <c r="Y7558">
        <v>0</v>
      </c>
      <c r="Z7558">
        <v>0</v>
      </c>
      <c r="AA7558">
        <v>1</v>
      </c>
      <c r="AB7558">
        <v>37</v>
      </c>
      <c r="AC7558">
        <v>-1.18919999999999</v>
      </c>
      <c r="AD7558">
        <v>-1.1104163157389999</v>
      </c>
      <c r="AE7558">
        <v>77.329799999999906</v>
      </c>
      <c r="AF7558">
        <v>-2.78399248508913E-2</v>
      </c>
      <c r="AG7558">
        <v>-1.1104163157389999</v>
      </c>
      <c r="AH7558">
        <v>77.322998539698105</v>
      </c>
      <c r="AI7558">
        <v>90.822753804033894</v>
      </c>
      <c r="AJ7558">
        <v>90.020629180930797</v>
      </c>
      <c r="AK7558">
        <v>77.330976346001407</v>
      </c>
      <c r="AL7558">
        <v>78.847268956113695</v>
      </c>
      <c r="AM7558">
        <v>94.840354068110699</v>
      </c>
      <c r="AN7558">
        <v>1.00000000894587</v>
      </c>
    </row>
    <row r="7559" spans="1:40" x14ac:dyDescent="0.25">
      <c r="A7559" t="str">
        <f>"20190304155250162"</f>
        <v>20190304155250162</v>
      </c>
      <c r="B7559" t="str">
        <f>"1551685970154011"</f>
        <v>1551685970154011</v>
      </c>
      <c r="C7559" t="s">
        <v>40</v>
      </c>
      <c r="D7559">
        <v>4.7822480000000001</v>
      </c>
      <c r="E7559">
        <v>0.52982779999999996</v>
      </c>
      <c r="F7559" t="s">
        <v>84</v>
      </c>
      <c r="G7559">
        <v>-188.36920000000001</v>
      </c>
      <c r="H7559" s="1">
        <v>-9.3996370000000001E-6</v>
      </c>
      <c r="I7559">
        <v>144.20349999999999</v>
      </c>
      <c r="J7559">
        <v>-187.1919</v>
      </c>
      <c r="K7559">
        <v>1.1104000000000001</v>
      </c>
      <c r="L7559">
        <v>63.113799999999998</v>
      </c>
      <c r="M7559">
        <v>-1.4943700000000001E-2</v>
      </c>
      <c r="N7559">
        <v>-1.4802249999999999E-2</v>
      </c>
      <c r="O7559">
        <v>0.99977870000000002</v>
      </c>
      <c r="P7559">
        <v>-9.6697290000000005E-2</v>
      </c>
      <c r="Q7559">
        <v>0.1806092</v>
      </c>
      <c r="R7559">
        <v>0.97879000000000005</v>
      </c>
      <c r="S7559">
        <v>-4.4540410000000002E-2</v>
      </c>
      <c r="T7559">
        <v>-4.1826009999999997E-2</v>
      </c>
      <c r="U7559">
        <v>3.0675050000000001</v>
      </c>
      <c r="V7559">
        <v>-8.2026810000000006E-2</v>
      </c>
      <c r="W7559">
        <v>0.1951108</v>
      </c>
      <c r="X7559">
        <v>0.97734500000000002</v>
      </c>
      <c r="Y7559">
        <v>0</v>
      </c>
      <c r="Z7559">
        <v>0</v>
      </c>
      <c r="AA7559">
        <v>1</v>
      </c>
      <c r="AB7559">
        <v>37</v>
      </c>
      <c r="AC7559">
        <v>-1.1773</v>
      </c>
      <c r="AD7559">
        <v>-1.1104093996369999</v>
      </c>
      <c r="AE7559">
        <v>81.089699999999993</v>
      </c>
      <c r="AF7559">
        <v>3.4737982722785797E-2</v>
      </c>
      <c r="AG7559">
        <v>-1.1104093996369999</v>
      </c>
      <c r="AH7559">
        <v>81.083037374562494</v>
      </c>
      <c r="AI7559">
        <v>90.784600472288503</v>
      </c>
      <c r="AJ7559">
        <v>89.975453069575494</v>
      </c>
      <c r="AK7559">
        <v>81.090647830973396</v>
      </c>
      <c r="AL7559">
        <v>78.748802973148898</v>
      </c>
      <c r="AM7559">
        <v>94.797488508537995</v>
      </c>
      <c r="AN7559">
        <v>0.99999993543020604</v>
      </c>
    </row>
    <row r="7560" spans="1:40" x14ac:dyDescent="0.25">
      <c r="A7560" t="str">
        <f>"20190304155250185"</f>
        <v>20190304155250185</v>
      </c>
      <c r="B7560" t="str">
        <f>"1551685970174507"</f>
        <v>1551685970174507</v>
      </c>
      <c r="C7560" t="s">
        <v>40</v>
      </c>
      <c r="D7560">
        <v>4.8817089999999999</v>
      </c>
      <c r="E7560">
        <v>0.52991319999999997</v>
      </c>
      <c r="F7560" t="s">
        <v>84</v>
      </c>
      <c r="G7560">
        <v>-188.46350000000001</v>
      </c>
      <c r="H7560" s="1">
        <v>-1.4272110000000001E-5</v>
      </c>
      <c r="I7560">
        <v>157.97200000000001</v>
      </c>
      <c r="J7560">
        <v>-187.19749999999999</v>
      </c>
      <c r="K7560">
        <v>1.110382</v>
      </c>
      <c r="L7560">
        <v>63.495449999999998</v>
      </c>
      <c r="M7560">
        <v>-1.48357E-2</v>
      </c>
      <c r="N7560">
        <v>-1.4799659999999999E-2</v>
      </c>
      <c r="O7560">
        <v>0.99978040000000001</v>
      </c>
      <c r="P7560">
        <v>-9.6538979999999996E-2</v>
      </c>
      <c r="Q7560">
        <v>0.18202019999999999</v>
      </c>
      <c r="R7560">
        <v>0.97854430000000003</v>
      </c>
      <c r="S7560">
        <v>-4.1122440000000003E-2</v>
      </c>
      <c r="T7560">
        <v>-3.590906E-2</v>
      </c>
      <c r="U7560">
        <v>3.0675659999999998</v>
      </c>
      <c r="V7560">
        <v>-8.1965040000000003E-2</v>
      </c>
      <c r="W7560">
        <v>0.19652069999999999</v>
      </c>
      <c r="X7560">
        <v>0.97706769999999998</v>
      </c>
      <c r="Y7560">
        <v>1.4328959999999999E-3</v>
      </c>
      <c r="Z7560">
        <v>3.0956830000000001E-3</v>
      </c>
      <c r="AA7560">
        <v>0.99999420000000006</v>
      </c>
      <c r="AB7560">
        <v>37</v>
      </c>
      <c r="AC7560">
        <v>-1.26600000000001</v>
      </c>
      <c r="AD7560">
        <v>-1.11039627211</v>
      </c>
      <c r="AE7560">
        <v>94.476550000000003</v>
      </c>
      <c r="AF7560">
        <v>0.13589988465577599</v>
      </c>
      <c r="AG7560">
        <v>-1.11039627211</v>
      </c>
      <c r="AH7560">
        <v>94.471886496109505</v>
      </c>
      <c r="AI7560">
        <v>90.673406946935401</v>
      </c>
      <c r="AJ7560">
        <v>89.917578819002003</v>
      </c>
      <c r="AK7560">
        <v>94.478509655866006</v>
      </c>
      <c r="AL7560">
        <v>78.666427315843507</v>
      </c>
      <c r="AM7560">
        <v>94.795246823536203</v>
      </c>
      <c r="AN7560">
        <v>0.99999997184698997</v>
      </c>
    </row>
    <row r="7561" spans="1:40" x14ac:dyDescent="0.25">
      <c r="A7561" t="str">
        <f>"20190304155250218"</f>
        <v>20190304155250218</v>
      </c>
      <c r="B7561" t="str">
        <f>"1551685970214524"</f>
        <v>1551685970214524</v>
      </c>
      <c r="C7561" t="s">
        <v>40</v>
      </c>
      <c r="D7561">
        <v>4.8249529999999998</v>
      </c>
      <c r="E7561">
        <v>0.53005089999999999</v>
      </c>
      <c r="F7561" t="s">
        <v>41</v>
      </c>
      <c r="G7561">
        <v>-188.6139</v>
      </c>
      <c r="H7561" s="1">
        <v>-2.282662E-6</v>
      </c>
      <c r="I7561">
        <v>174.38059999999999</v>
      </c>
      <c r="J7561">
        <v>-187.20500000000001</v>
      </c>
      <c r="K7561">
        <v>1.1103449999999999</v>
      </c>
      <c r="L7561">
        <v>64.021819999999906</v>
      </c>
      <c r="M7561">
        <v>-1.46249E-2</v>
      </c>
      <c r="N7561">
        <v>-1.479571E-2</v>
      </c>
      <c r="O7561">
        <v>0.99978359999999999</v>
      </c>
      <c r="P7561">
        <v>-9.5663150000000002E-2</v>
      </c>
      <c r="Q7561">
        <v>0.1812541</v>
      </c>
      <c r="R7561">
        <v>0.97877250000000005</v>
      </c>
      <c r="S7561">
        <v>-3.9184570000000002E-2</v>
      </c>
      <c r="T7561">
        <v>-3.0718680000000002E-2</v>
      </c>
      <c r="U7561">
        <v>3.0676269999999999</v>
      </c>
      <c r="V7561">
        <v>-8.1275529999999999E-2</v>
      </c>
      <c r="W7561">
        <v>0.1957604</v>
      </c>
      <c r="X7561">
        <v>0.97727790000000003</v>
      </c>
      <c r="Y7561">
        <v>1.853941E-3</v>
      </c>
      <c r="Z7561">
        <v>4.7833809999999997E-3</v>
      </c>
      <c r="AA7561">
        <v>0.99998679999999995</v>
      </c>
      <c r="AB7561">
        <v>37</v>
      </c>
      <c r="AC7561">
        <v>-1.4088999999999801</v>
      </c>
      <c r="AD7561">
        <v>-1.110347282662</v>
      </c>
      <c r="AE7561">
        <v>110.35878</v>
      </c>
      <c r="AF7561">
        <v>0.205392699513329</v>
      </c>
      <c r="AG7561">
        <v>-1.110347282662</v>
      </c>
      <c r="AH7561">
        <v>110.356412447377</v>
      </c>
      <c r="AI7561">
        <v>90.576459082704403</v>
      </c>
      <c r="AJ7561">
        <v>89.893362596918607</v>
      </c>
      <c r="AK7561">
        <v>110.36218929282199</v>
      </c>
      <c r="AL7561">
        <v>78.710852195835002</v>
      </c>
      <c r="AM7561">
        <v>94.754075711585898</v>
      </c>
      <c r="AN7561">
        <v>0.99999996990667495</v>
      </c>
    </row>
    <row r="7562" spans="1:40" x14ac:dyDescent="0.25">
      <c r="A7562" t="str">
        <f>"20190304155250239"</f>
        <v>20190304155250239</v>
      </c>
      <c r="B7562" t="str">
        <f>"1551685970234043"</f>
        <v>1551685970234043</v>
      </c>
      <c r="C7562" t="s">
        <v>40</v>
      </c>
      <c r="D7562">
        <v>4.8452109999999999</v>
      </c>
      <c r="E7562">
        <v>0.53012000000000004</v>
      </c>
      <c r="F7562" t="s">
        <v>41</v>
      </c>
      <c r="G7562">
        <v>-188.41309999999999</v>
      </c>
      <c r="H7562" s="1">
        <v>-4.7850480000000004E-6</v>
      </c>
      <c r="I7562">
        <v>169.1584</v>
      </c>
      <c r="J7562">
        <v>-187.21010000000001</v>
      </c>
      <c r="K7562">
        <v>1.1103160000000001</v>
      </c>
      <c r="L7562">
        <v>64.382480000000001</v>
      </c>
      <c r="M7562">
        <v>-1.4446270000000001E-2</v>
      </c>
      <c r="N7562">
        <v>-1.47928E-2</v>
      </c>
      <c r="O7562">
        <v>0.99978619999999996</v>
      </c>
      <c r="P7562">
        <v>-9.5305169999999995E-2</v>
      </c>
      <c r="Q7562">
        <v>0.18103369999999999</v>
      </c>
      <c r="R7562">
        <v>0.97884819999999995</v>
      </c>
      <c r="S7562">
        <v>-3.5247800000000003E-2</v>
      </c>
      <c r="T7562">
        <v>-3.2397269999999999E-2</v>
      </c>
      <c r="U7562">
        <v>3.0676269999999999</v>
      </c>
      <c r="V7562">
        <v>-8.1079659999999998E-2</v>
      </c>
      <c r="W7562">
        <v>0.19554340000000001</v>
      </c>
      <c r="X7562">
        <v>0.97733769999999998</v>
      </c>
      <c r="Y7562">
        <v>2.9581540000000002E-3</v>
      </c>
      <c r="Z7562">
        <v>4.2334920000000002E-3</v>
      </c>
      <c r="AA7562">
        <v>0.99998659999999995</v>
      </c>
      <c r="AB7562">
        <v>36</v>
      </c>
      <c r="AC7562">
        <v>-1.2029999999999701</v>
      </c>
      <c r="AD7562">
        <v>-1.1103207850479999</v>
      </c>
      <c r="AE7562">
        <v>104.77592</v>
      </c>
      <c r="AF7562">
        <v>0.310877549681499</v>
      </c>
      <c r="AG7562">
        <v>-1.1103207850479999</v>
      </c>
      <c r="AH7562">
        <v>104.77060067937001</v>
      </c>
      <c r="AI7562">
        <v>90.607174465180606</v>
      </c>
      <c r="AJ7562">
        <v>89.829991246090799</v>
      </c>
      <c r="AK7562">
        <v>104.77694509677499</v>
      </c>
      <c r="AL7562">
        <v>78.723531392807899</v>
      </c>
      <c r="AM7562">
        <v>94.742382085197306</v>
      </c>
      <c r="AN7562">
        <v>1.00000005619528</v>
      </c>
    </row>
    <row r="7563" spans="1:40" x14ac:dyDescent="0.25">
      <c r="A7563" t="str">
        <f>"20190304155250265"</f>
        <v>20190304155250265</v>
      </c>
      <c r="B7563" t="str">
        <f>"1551685970254538"</f>
        <v>1551685970254538</v>
      </c>
      <c r="C7563" t="s">
        <v>40</v>
      </c>
      <c r="D7563">
        <v>4.8319089999999996</v>
      </c>
      <c r="E7563">
        <v>0.5301498</v>
      </c>
      <c r="F7563" t="s">
        <v>41</v>
      </c>
      <c r="G7563">
        <v>-188.3571</v>
      </c>
      <c r="H7563" s="1">
        <v>-4.2300280000000001E-6</v>
      </c>
      <c r="I7563">
        <v>167.9633</v>
      </c>
      <c r="J7563">
        <v>-187.2158</v>
      </c>
      <c r="K7563">
        <v>1.1102920000000001</v>
      </c>
      <c r="L7563">
        <v>64.78546</v>
      </c>
      <c r="M7563">
        <v>-1.421939E-2</v>
      </c>
      <c r="N7563">
        <v>-1.478934E-2</v>
      </c>
      <c r="O7563">
        <v>0.9997895</v>
      </c>
      <c r="P7563">
        <v>-9.4895309999999997E-2</v>
      </c>
      <c r="Q7563">
        <v>0.1807192</v>
      </c>
      <c r="R7563">
        <v>0.97894610000000004</v>
      </c>
      <c r="S7563">
        <v>-3.3966059999999999E-2</v>
      </c>
      <c r="T7563">
        <v>-3.2882689999999999E-2</v>
      </c>
      <c r="U7563">
        <v>3.067596</v>
      </c>
      <c r="V7563">
        <v>-8.0878790000000006E-2</v>
      </c>
      <c r="W7563">
        <v>0.1952315</v>
      </c>
      <c r="X7563">
        <v>0.97741659999999997</v>
      </c>
      <c r="Y7563">
        <v>3.1488380000000002E-3</v>
      </c>
      <c r="Z7563">
        <v>4.071725E-3</v>
      </c>
      <c r="AA7563">
        <v>0.99998679999999995</v>
      </c>
      <c r="AB7563">
        <v>36</v>
      </c>
      <c r="AC7563">
        <v>-1.1413</v>
      </c>
      <c r="AD7563">
        <v>-1.1102962300279999</v>
      </c>
      <c r="AE7563">
        <v>103.17784</v>
      </c>
      <c r="AF7563">
        <v>0.32606410841310202</v>
      </c>
      <c r="AG7563">
        <v>-1.1102962300279999</v>
      </c>
      <c r="AH7563">
        <v>103.171691018679</v>
      </c>
      <c r="AI7563">
        <v>90.616569468332401</v>
      </c>
      <c r="AJ7563">
        <v>89.818922856853007</v>
      </c>
      <c r="AK7563">
        <v>103.17818036375201</v>
      </c>
      <c r="AL7563">
        <v>78.741752093245694</v>
      </c>
      <c r="AM7563">
        <v>94.730306364786301</v>
      </c>
      <c r="AN7563">
        <v>0.99999996360983601</v>
      </c>
    </row>
    <row r="7564" spans="1:40" x14ac:dyDescent="0.25">
      <c r="A7564" t="str">
        <f>"20190304155250287"</f>
        <v>20190304155250287</v>
      </c>
      <c r="B7564" t="str">
        <f>"1551685970284796"</f>
        <v>1551685970284796</v>
      </c>
      <c r="C7564" t="s">
        <v>40</v>
      </c>
      <c r="D7564">
        <v>4.8904809999999896</v>
      </c>
      <c r="E7564">
        <v>0.530192</v>
      </c>
      <c r="F7564" t="s">
        <v>41</v>
      </c>
      <c r="G7564">
        <v>-188.29249999999999</v>
      </c>
      <c r="H7564" s="1">
        <v>-2.9086169999999998E-6</v>
      </c>
      <c r="I7564">
        <v>165.14359999999999</v>
      </c>
      <c r="J7564">
        <v>-187.2208</v>
      </c>
      <c r="K7564">
        <v>1.1102879999999999</v>
      </c>
      <c r="L7564">
        <v>65.152529999999999</v>
      </c>
      <c r="M7564">
        <v>-1.39902E-2</v>
      </c>
      <c r="N7564">
        <v>-1.478603E-2</v>
      </c>
      <c r="O7564">
        <v>0.99979280000000004</v>
      </c>
      <c r="P7564">
        <v>-9.4579380000000005E-2</v>
      </c>
      <c r="Q7564">
        <v>0.1839779</v>
      </c>
      <c r="R7564">
        <v>0.9783695</v>
      </c>
      <c r="S7564">
        <v>-3.2913209999999998E-2</v>
      </c>
      <c r="T7564">
        <v>-3.3937809999999999E-2</v>
      </c>
      <c r="U7564">
        <v>3.067596</v>
      </c>
      <c r="V7564">
        <v>-8.0784460000000002E-2</v>
      </c>
      <c r="W7564">
        <v>0.19848160000000001</v>
      </c>
      <c r="X7564">
        <v>0.97676960000000002</v>
      </c>
      <c r="Y7564">
        <v>3.2627250000000002E-3</v>
      </c>
      <c r="Z7564">
        <v>3.7245490000000002E-3</v>
      </c>
      <c r="AA7564">
        <v>0.99998770000000003</v>
      </c>
      <c r="AB7564">
        <v>36</v>
      </c>
      <c r="AC7564">
        <v>-1.0716999999999901</v>
      </c>
      <c r="AD7564">
        <v>-1.1102909086170001</v>
      </c>
      <c r="AE7564">
        <v>99.991069999999993</v>
      </c>
      <c r="AF7564">
        <v>0.32741255722995599</v>
      </c>
      <c r="AG7564">
        <v>-1.1102909086170001</v>
      </c>
      <c r="AH7564">
        <v>99.983950640598394</v>
      </c>
      <c r="AI7564">
        <v>90.636222383366203</v>
      </c>
      <c r="AJ7564">
        <v>89.812376981357701</v>
      </c>
      <c r="AK7564">
        <v>99.990651215931194</v>
      </c>
      <c r="AL7564">
        <v>78.551818405640702</v>
      </c>
      <c r="AM7564">
        <v>94.727929812986304</v>
      </c>
      <c r="AN7564">
        <v>0.99999996300010496</v>
      </c>
    </row>
    <row r="7565" spans="1:40" x14ac:dyDescent="0.25">
      <c r="A7565" t="str">
        <f>"20190304155250308"</f>
        <v>20190304155250308</v>
      </c>
      <c r="B7565" t="str">
        <f>"1551685970304315"</f>
        <v>1551685970304315</v>
      </c>
      <c r="C7565" t="s">
        <v>40</v>
      </c>
      <c r="D7565">
        <v>4.9130269999999996</v>
      </c>
      <c r="E7565">
        <v>0.5302268</v>
      </c>
      <c r="F7565" t="s">
        <v>62</v>
      </c>
      <c r="G7565">
        <v>-188.68960000000001</v>
      </c>
      <c r="H7565" s="1">
        <v>4.7238219999999997E-6</v>
      </c>
      <c r="I7565">
        <v>208.09</v>
      </c>
      <c r="J7565">
        <v>-187.2252</v>
      </c>
      <c r="K7565">
        <v>1.1102939999999999</v>
      </c>
      <c r="L7565">
        <v>65.483859999999893</v>
      </c>
      <c r="M7565">
        <v>-1.376658E-2</v>
      </c>
      <c r="N7565">
        <v>-1.4783009999999999E-2</v>
      </c>
      <c r="O7565">
        <v>0.99979600000000002</v>
      </c>
      <c r="P7565">
        <v>-9.3888150000000004E-2</v>
      </c>
      <c r="Q7565">
        <v>0.190023</v>
      </c>
      <c r="R7565">
        <v>0.97728000000000004</v>
      </c>
      <c r="S7565">
        <v>-3.1524660000000003E-2</v>
      </c>
      <c r="T7565">
        <v>-2.3829099999999999E-2</v>
      </c>
      <c r="U7565">
        <v>3.0677490000000001</v>
      </c>
      <c r="V7565">
        <v>-8.0316609999999997E-2</v>
      </c>
      <c r="W7565">
        <v>0.20450940000000001</v>
      </c>
      <c r="X7565">
        <v>0.97556399999999999</v>
      </c>
      <c r="Y7565">
        <v>3.4923910000000001E-3</v>
      </c>
      <c r="Z7565">
        <v>7.0163209999999998E-3</v>
      </c>
      <c r="AA7565">
        <v>0.99996929999999995</v>
      </c>
      <c r="AB7565">
        <v>36</v>
      </c>
      <c r="AC7565">
        <v>-1.4644000000000099</v>
      </c>
      <c r="AD7565">
        <v>-1.1102892761779899</v>
      </c>
      <c r="AE7565">
        <v>142.60613999999899</v>
      </c>
      <c r="AF7565">
        <v>0.49912184050897201</v>
      </c>
      <c r="AG7565">
        <v>-1.1102892761779899</v>
      </c>
      <c r="AH7565">
        <v>142.604141770247</v>
      </c>
      <c r="AI7565">
        <v>90.446082517476796</v>
      </c>
      <c r="AJ7565">
        <v>89.799462639773594</v>
      </c>
      <c r="AK7565">
        <v>142.60933740438301</v>
      </c>
      <c r="AL7565">
        <v>78.199218518951398</v>
      </c>
      <c r="AM7565">
        <v>94.7064548366575</v>
      </c>
      <c r="AN7565">
        <v>0.99999998531312595</v>
      </c>
    </row>
    <row r="7566" spans="1:40" x14ac:dyDescent="0.25">
      <c r="A7566" t="str">
        <f>"20190304155250330"</f>
        <v>20190304155250330</v>
      </c>
      <c r="B7566" t="str">
        <f>"1551685970323836"</f>
        <v>1551685970323836</v>
      </c>
      <c r="C7566" t="s">
        <v>40</v>
      </c>
      <c r="D7566">
        <v>4.8576779999999999</v>
      </c>
      <c r="E7566">
        <v>0.53027139999999995</v>
      </c>
      <c r="F7566" t="s">
        <v>55</v>
      </c>
      <c r="G7566">
        <v>-190.40369999999999</v>
      </c>
      <c r="H7566">
        <v>0.5510159</v>
      </c>
      <c r="I7566">
        <v>391.87</v>
      </c>
      <c r="J7566">
        <v>-187.22989999999999</v>
      </c>
      <c r="K7566">
        <v>1.1102920000000001</v>
      </c>
      <c r="L7566">
        <v>65.846559999999997</v>
      </c>
      <c r="M7566">
        <v>-1.3507699999999999E-2</v>
      </c>
      <c r="N7566">
        <v>-1.477958E-2</v>
      </c>
      <c r="O7566">
        <v>0.99979949999999995</v>
      </c>
      <c r="P7566">
        <v>-9.2810900000000002E-2</v>
      </c>
      <c r="Q7566">
        <v>0.19471630000000001</v>
      </c>
      <c r="R7566">
        <v>0.97645879999999996</v>
      </c>
      <c r="S7566">
        <v>-2.9876710000000001E-2</v>
      </c>
      <c r="T7566">
        <v>-5.2570100000000003E-3</v>
      </c>
      <c r="U7566">
        <v>3.0679020000000001</v>
      </c>
      <c r="V7566">
        <v>-7.9492800000000002E-2</v>
      </c>
      <c r="W7566">
        <v>0.20918909999999999</v>
      </c>
      <c r="X7566">
        <v>0.97463880000000003</v>
      </c>
      <c r="Y7566">
        <v>3.7717760000000001E-3</v>
      </c>
      <c r="Z7566">
        <v>1.3065500000000001E-2</v>
      </c>
      <c r="AA7566">
        <v>0.99990760000000001</v>
      </c>
      <c r="AB7566">
        <v>36</v>
      </c>
      <c r="AC7566">
        <v>-3.1738</v>
      </c>
      <c r="AD7566">
        <v>-0.55927609999999905</v>
      </c>
      <c r="AE7566">
        <v>326.02343999999999</v>
      </c>
      <c r="AF7566">
        <v>1.23079401892048</v>
      </c>
      <c r="AG7566">
        <v>-0.55927609999999905</v>
      </c>
      <c r="AH7566">
        <v>326.03560542555101</v>
      </c>
      <c r="AI7566">
        <v>90.098283438446003</v>
      </c>
      <c r="AJ7566">
        <v>89.783707771246895</v>
      </c>
      <c r="AK7566">
        <v>326.03840824184903</v>
      </c>
      <c r="AL7566">
        <v>77.925164172578704</v>
      </c>
      <c r="AM7566">
        <v>94.662796740448499</v>
      </c>
      <c r="AN7566">
        <v>0.99999998763804498</v>
      </c>
    </row>
    <row r="7567" spans="1:40" x14ac:dyDescent="0.25">
      <c r="A7567" t="str">
        <f>"20190304155250352"</f>
        <v>20190304155250352</v>
      </c>
      <c r="B7567" t="str">
        <f>"1551685970344332"</f>
        <v>1551685970344332</v>
      </c>
      <c r="C7567" t="s">
        <v>40</v>
      </c>
      <c r="D7567">
        <v>4.8488759999999997</v>
      </c>
      <c r="E7567">
        <v>0.53031530000000004</v>
      </c>
      <c r="F7567" t="s">
        <v>55</v>
      </c>
      <c r="G7567">
        <v>-190.10169999999999</v>
      </c>
      <c r="H7567">
        <v>2.1043569999999998</v>
      </c>
      <c r="I7567">
        <v>391.87</v>
      </c>
      <c r="J7567">
        <v>-187.2345</v>
      </c>
      <c r="K7567">
        <v>1.1102860000000001</v>
      </c>
      <c r="L7567">
        <v>66.203339999999997</v>
      </c>
      <c r="M7567">
        <v>-1.3243019999999999E-2</v>
      </c>
      <c r="N7567">
        <v>-1.477615E-2</v>
      </c>
      <c r="O7567">
        <v>0.99980309999999994</v>
      </c>
      <c r="P7567">
        <v>-9.1488070000000005E-2</v>
      </c>
      <c r="Q7567">
        <v>0.1979445</v>
      </c>
      <c r="R7567">
        <v>0.97593439999999998</v>
      </c>
      <c r="S7567">
        <v>-2.702332E-2</v>
      </c>
      <c r="T7567">
        <v>9.3541149999999997E-3</v>
      </c>
      <c r="U7567">
        <v>3.0678709999999998</v>
      </c>
      <c r="V7567">
        <v>-7.8426709999999997E-2</v>
      </c>
      <c r="W7567">
        <v>0.21240719999999999</v>
      </c>
      <c r="X7567">
        <v>0.97402889999999998</v>
      </c>
      <c r="Y7567">
        <v>4.4375939999999996E-3</v>
      </c>
      <c r="Z7567">
        <v>1.7823459999999999E-2</v>
      </c>
      <c r="AA7567">
        <v>0.99983129999999998</v>
      </c>
      <c r="AB7567">
        <v>36</v>
      </c>
      <c r="AC7567">
        <v>-2.8671999999999902</v>
      </c>
      <c r="AD7567">
        <v>0.99407099999999904</v>
      </c>
      <c r="AE7567">
        <v>325.66665999999998</v>
      </c>
      <c r="AF7567">
        <v>1.4463191050249899</v>
      </c>
      <c r="AG7567">
        <v>0.99407099999999904</v>
      </c>
      <c r="AH7567">
        <v>325.67303558286</v>
      </c>
      <c r="AI7567">
        <v>89.8251149831829</v>
      </c>
      <c r="AJ7567">
        <v>89.745550209233798</v>
      </c>
      <c r="AK7567">
        <v>325.67776424229697</v>
      </c>
      <c r="AL7567">
        <v>77.736541432582996</v>
      </c>
      <c r="AM7567">
        <v>94.603401811281003</v>
      </c>
      <c r="AN7567">
        <v>0.99999993274423404</v>
      </c>
    </row>
    <row r="7568" spans="1:40" x14ac:dyDescent="0.25">
      <c r="A7568" t="str">
        <f>"20190304155250375"</f>
        <v>20190304155250375</v>
      </c>
      <c r="B7568" t="str">
        <f>"1551685970363855"</f>
        <v>1551685970363855</v>
      </c>
      <c r="C7568" t="s">
        <v>40</v>
      </c>
      <c r="D7568">
        <v>4.8064839999999904</v>
      </c>
      <c r="E7568">
        <v>0.53035790000000005</v>
      </c>
      <c r="F7568" t="s">
        <v>55</v>
      </c>
      <c r="G7568">
        <v>-189.66900000000001</v>
      </c>
      <c r="H7568">
        <v>3.1626340000000002</v>
      </c>
      <c r="I7568">
        <v>391.87</v>
      </c>
      <c r="J7568">
        <v>-187.23910000000001</v>
      </c>
      <c r="K7568">
        <v>1.1102890000000001</v>
      </c>
      <c r="L7568">
        <v>66.572019999999995</v>
      </c>
      <c r="M7568">
        <v>-1.2962090000000001E-2</v>
      </c>
      <c r="N7568">
        <v>-1.4772510000000001E-2</v>
      </c>
      <c r="O7568">
        <v>0.99980690000000005</v>
      </c>
      <c r="P7568">
        <v>-8.9791919999999997E-2</v>
      </c>
      <c r="Q7568">
        <v>0.20081199999999999</v>
      </c>
      <c r="R7568">
        <v>0.97550599999999998</v>
      </c>
      <c r="S7568">
        <v>-2.293396E-2</v>
      </c>
      <c r="T7568">
        <v>1.9333840000000001E-2</v>
      </c>
      <c r="U7568">
        <v>3.0679020000000001</v>
      </c>
      <c r="V7568">
        <v>-7.7002959999999995E-2</v>
      </c>
      <c r="W7568">
        <v>0.2152654</v>
      </c>
      <c r="X7568">
        <v>0.97351500000000002</v>
      </c>
      <c r="Y7568">
        <v>5.4898389999999998E-3</v>
      </c>
      <c r="Z7568">
        <v>2.1071739999999999E-2</v>
      </c>
      <c r="AA7568">
        <v>0.99976290000000001</v>
      </c>
      <c r="AB7568">
        <v>36</v>
      </c>
      <c r="AC7568">
        <v>-2.4298999999999999</v>
      </c>
      <c r="AD7568">
        <v>2.0523449999999999</v>
      </c>
      <c r="AE7568">
        <v>325.29798</v>
      </c>
      <c r="AF7568">
        <v>1.7872347285792001</v>
      </c>
      <c r="AG7568">
        <v>2.0523449999999999</v>
      </c>
      <c r="AH7568">
        <v>325.28919788559398</v>
      </c>
      <c r="AI7568">
        <v>89.638514367130995</v>
      </c>
      <c r="AJ7568">
        <v>89.685203267650294</v>
      </c>
      <c r="AK7568">
        <v>325.300581906991</v>
      </c>
      <c r="AL7568">
        <v>77.568902453593907</v>
      </c>
      <c r="AM7568">
        <v>94.522557879435695</v>
      </c>
      <c r="AN7568">
        <v>1.0000000517554499</v>
      </c>
    </row>
    <row r="7569" spans="1:40" x14ac:dyDescent="0.25">
      <c r="A7569" t="str">
        <f>"20190304155250397"</f>
        <v>20190304155250397</v>
      </c>
      <c r="B7569" t="str">
        <f>"1551685970394107"</f>
        <v>1551685970394107</v>
      </c>
      <c r="C7569" t="s">
        <v>40</v>
      </c>
      <c r="D7569">
        <v>4.901929</v>
      </c>
      <c r="E7569">
        <v>0.53038069999999904</v>
      </c>
      <c r="F7569" t="s">
        <v>55</v>
      </c>
      <c r="G7569">
        <v>-189.11590000000001</v>
      </c>
      <c r="H7569">
        <v>4.0893819999999996</v>
      </c>
      <c r="I7569">
        <v>391.87</v>
      </c>
      <c r="J7569">
        <v>-187.2433</v>
      </c>
      <c r="K7569">
        <v>1.110293</v>
      </c>
      <c r="L7569">
        <v>66.922579999999996</v>
      </c>
      <c r="M7569">
        <v>-1.2688710000000001E-2</v>
      </c>
      <c r="N7569">
        <v>-1.4768979999999999E-2</v>
      </c>
      <c r="O7569">
        <v>0.99981039999999999</v>
      </c>
      <c r="P7569">
        <v>-8.8196750000000004E-2</v>
      </c>
      <c r="Q7569">
        <v>0.20438780000000001</v>
      </c>
      <c r="R7569">
        <v>0.97490869999999996</v>
      </c>
      <c r="S7569">
        <v>-1.7700199999999999E-2</v>
      </c>
      <c r="T7569">
        <v>2.809596E-2</v>
      </c>
      <c r="U7569">
        <v>3.0679020000000001</v>
      </c>
      <c r="V7569">
        <v>-7.5675560000000003E-2</v>
      </c>
      <c r="W7569">
        <v>0.21882860000000001</v>
      </c>
      <c r="X7569">
        <v>0.97282440000000003</v>
      </c>
      <c r="Y7569">
        <v>6.922325E-3</v>
      </c>
      <c r="Z7569">
        <v>2.392319E-2</v>
      </c>
      <c r="AA7569">
        <v>0.99968979999999996</v>
      </c>
      <c r="AB7569">
        <v>36</v>
      </c>
      <c r="AC7569">
        <v>-1.8726</v>
      </c>
      <c r="AD7569">
        <v>2.9790890000000001</v>
      </c>
      <c r="AE7569">
        <v>324.94742000000002</v>
      </c>
      <c r="AF7569">
        <v>2.2509750042540699</v>
      </c>
      <c r="AG7569">
        <v>2.9790890000000001</v>
      </c>
      <c r="AH7569">
        <v>324.91770927716601</v>
      </c>
      <c r="AI7569">
        <v>89.474696690267194</v>
      </c>
      <c r="AJ7569">
        <v>89.603070868130402</v>
      </c>
      <c r="AK7569">
        <v>324.93916301618799</v>
      </c>
      <c r="AL7569">
        <v>77.359760024778595</v>
      </c>
      <c r="AM7569">
        <v>94.448054572002107</v>
      </c>
      <c r="AN7569">
        <v>1.00000002989731</v>
      </c>
    </row>
    <row r="7570" spans="1:40" x14ac:dyDescent="0.25">
      <c r="A7570" t="str">
        <f>"20190304155250420"</f>
        <v>20190304155250420</v>
      </c>
      <c r="B7570" t="str">
        <f>"1551685970414603"</f>
        <v>1551685970414603</v>
      </c>
      <c r="C7570" t="s">
        <v>40</v>
      </c>
      <c r="D7570">
        <v>4.870196</v>
      </c>
      <c r="E7570">
        <v>0.53039550000000002</v>
      </c>
      <c r="F7570" t="s">
        <v>55</v>
      </c>
      <c r="G7570">
        <v>-188.63820000000001</v>
      </c>
      <c r="H7570">
        <v>5.2324010000000003</v>
      </c>
      <c r="I7570">
        <v>391.87</v>
      </c>
      <c r="J7570">
        <v>-187.24789999999999</v>
      </c>
      <c r="K7570">
        <v>1.1103000000000001</v>
      </c>
      <c r="L7570">
        <v>67.303219999999996</v>
      </c>
      <c r="M7570">
        <v>-1.238648E-2</v>
      </c>
      <c r="N7570">
        <v>-1.476507E-2</v>
      </c>
      <c r="O7570">
        <v>0.99981430000000004</v>
      </c>
      <c r="P7570">
        <v>-8.6888729999999997E-2</v>
      </c>
      <c r="Q7570">
        <v>0.20809330000000001</v>
      </c>
      <c r="R7570">
        <v>0.97424200000000005</v>
      </c>
      <c r="S7570">
        <v>-1.3168330000000001E-2</v>
      </c>
      <c r="T7570">
        <v>3.8916949999999999E-2</v>
      </c>
      <c r="U7570">
        <v>3.067841</v>
      </c>
      <c r="V7570">
        <v>-7.4663869999999993E-2</v>
      </c>
      <c r="W7570">
        <v>0.22252040000000001</v>
      </c>
      <c r="X7570">
        <v>0.97206479999999995</v>
      </c>
      <c r="Y7570">
        <v>8.0971959999999992E-3</v>
      </c>
      <c r="Z7570">
        <v>2.7444820000000002E-2</v>
      </c>
      <c r="AA7570">
        <v>0.99959050000000005</v>
      </c>
      <c r="AB7570">
        <v>36</v>
      </c>
      <c r="AC7570">
        <v>-1.3903000000000201</v>
      </c>
      <c r="AD7570">
        <v>4.1221009999999998</v>
      </c>
      <c r="AE7570">
        <v>324.56677999999999</v>
      </c>
      <c r="AF7570">
        <v>2.6300605523551601</v>
      </c>
      <c r="AG7570">
        <v>4.1221009999999998</v>
      </c>
      <c r="AH7570">
        <v>324.50675675879899</v>
      </c>
      <c r="AI7570">
        <v>89.2722538811812</v>
      </c>
      <c r="AJ7570">
        <v>89.5356396531581</v>
      </c>
      <c r="AK7570">
        <v>324.54359355451402</v>
      </c>
      <c r="AL7570">
        <v>77.142888505402098</v>
      </c>
      <c r="AM7570">
        <v>94.392239542002201</v>
      </c>
      <c r="AN7570">
        <v>0.99999999864928801</v>
      </c>
    </row>
    <row r="7571" spans="1:40" x14ac:dyDescent="0.25">
      <c r="A7571" t="str">
        <f>"20190304155250442"</f>
        <v>20190304155250442</v>
      </c>
      <c r="B7571" t="str">
        <f>"1551685970434124"</f>
        <v>1551685970434124</v>
      </c>
      <c r="C7571" t="s">
        <v>40</v>
      </c>
      <c r="D7571">
        <v>4.8659039999999996</v>
      </c>
      <c r="E7571">
        <v>0.53039989999999904</v>
      </c>
      <c r="F7571" t="s">
        <v>55</v>
      </c>
      <c r="G7571">
        <v>-188.27549999999999</v>
      </c>
      <c r="H7571">
        <v>6.3868669999999996</v>
      </c>
      <c r="I7571">
        <v>390.11860000000001</v>
      </c>
      <c r="J7571">
        <v>-187.25190000000001</v>
      </c>
      <c r="K7571">
        <v>1.1103050000000001</v>
      </c>
      <c r="L7571">
        <v>67.652619999999999</v>
      </c>
      <c r="M7571">
        <v>-1.2105970000000001E-2</v>
      </c>
      <c r="N7571">
        <v>-1.476148E-2</v>
      </c>
      <c r="O7571">
        <v>0.99981770000000003</v>
      </c>
      <c r="P7571">
        <v>-8.5518460000000004E-2</v>
      </c>
      <c r="Q7571">
        <v>0.21186440000000001</v>
      </c>
      <c r="R7571">
        <v>0.97355029999999998</v>
      </c>
      <c r="S7571">
        <v>-9.765625E-3</v>
      </c>
      <c r="T7571">
        <v>5.0143720000000003E-2</v>
      </c>
      <c r="U7571">
        <v>3.0677490000000001</v>
      </c>
      <c r="V7571">
        <v>-7.3570399999999994E-2</v>
      </c>
      <c r="W7571">
        <v>0.2262768</v>
      </c>
      <c r="X7571">
        <v>0.9712807</v>
      </c>
      <c r="Y7571">
        <v>8.9257980000000004E-3</v>
      </c>
      <c r="Z7571">
        <v>3.1098540000000001E-2</v>
      </c>
      <c r="AA7571">
        <v>0.99947649999999999</v>
      </c>
      <c r="AB7571">
        <v>36</v>
      </c>
      <c r="AC7571">
        <v>-1.0235999999999801</v>
      </c>
      <c r="AD7571">
        <v>5.2765620000000002</v>
      </c>
      <c r="AE7571">
        <v>322.46598</v>
      </c>
      <c r="AF7571">
        <v>2.8798930172230901</v>
      </c>
      <c r="AG7571">
        <v>5.2765620000000002</v>
      </c>
      <c r="AH7571">
        <v>322.36842335077199</v>
      </c>
      <c r="AI7571">
        <v>89.062297494982204</v>
      </c>
      <c r="AJ7571">
        <v>89.488159155831397</v>
      </c>
      <c r="AK7571">
        <v>322.42446598233403</v>
      </c>
      <c r="AL7571">
        <v>76.922029994663106</v>
      </c>
      <c r="AM7571">
        <v>94.331641158082903</v>
      </c>
      <c r="AN7571">
        <v>0.99999999608344503</v>
      </c>
    </row>
    <row r="7572" spans="1:40" x14ac:dyDescent="0.25">
      <c r="A7572" t="str">
        <f>"20190304155250467"</f>
        <v>20190304155250467</v>
      </c>
      <c r="B7572" t="str">
        <f>"1551685970454619"</f>
        <v>1551685970454619</v>
      </c>
      <c r="C7572" t="s">
        <v>40</v>
      </c>
      <c r="D7572">
        <v>4.8360219999999998</v>
      </c>
      <c r="E7572">
        <v>0.53040189999999998</v>
      </c>
      <c r="F7572" t="s">
        <v>55</v>
      </c>
      <c r="G7572">
        <v>-187.8871</v>
      </c>
      <c r="H7572">
        <v>7.5584689999999997</v>
      </c>
      <c r="I7572">
        <v>390.11860000000001</v>
      </c>
      <c r="J7572">
        <v>-187.25630000000001</v>
      </c>
      <c r="K7572">
        <v>1.110314</v>
      </c>
      <c r="L7572">
        <v>68.039580000000001</v>
      </c>
      <c r="M7572">
        <v>-1.1793120000000001E-2</v>
      </c>
      <c r="N7572">
        <v>-1.475748E-2</v>
      </c>
      <c r="O7572">
        <v>0.99982150000000003</v>
      </c>
      <c r="P7572">
        <v>-8.4534689999999996E-2</v>
      </c>
      <c r="Q7572">
        <v>0.2159816</v>
      </c>
      <c r="R7572">
        <v>0.97273109999999996</v>
      </c>
      <c r="S7572">
        <v>-6.0424800000000002E-3</v>
      </c>
      <c r="T7572">
        <v>6.1341519999999997E-2</v>
      </c>
      <c r="U7572">
        <v>3.0676269999999999</v>
      </c>
      <c r="V7572">
        <v>-7.2895799999999997E-2</v>
      </c>
      <c r="W7572">
        <v>0.23037750000000001</v>
      </c>
      <c r="X7572">
        <v>0.97036710000000004</v>
      </c>
      <c r="Y7572">
        <v>9.8263329999999996E-3</v>
      </c>
      <c r="Z7572">
        <v>3.4742009999999997E-2</v>
      </c>
      <c r="AA7572">
        <v>0.99934800000000001</v>
      </c>
      <c r="AB7572">
        <v>36</v>
      </c>
      <c r="AC7572">
        <v>-0.63079999999999303</v>
      </c>
      <c r="AD7572">
        <v>6.4481549999999999</v>
      </c>
      <c r="AE7572">
        <v>322.07902000000001</v>
      </c>
      <c r="AF7572">
        <v>3.1667050204920302</v>
      </c>
      <c r="AG7572">
        <v>6.4481549999999999</v>
      </c>
      <c r="AH7572">
        <v>321.935020735168</v>
      </c>
      <c r="AI7572">
        <v>88.852610665911499</v>
      </c>
      <c r="AJ7572">
        <v>89.436429808768494</v>
      </c>
      <c r="AK7572">
        <v>322.01516159855498</v>
      </c>
      <c r="AL7572">
        <v>76.680701552993696</v>
      </c>
      <c r="AM7572">
        <v>94.296097364988398</v>
      </c>
      <c r="AN7572">
        <v>0.99999994946314796</v>
      </c>
    </row>
    <row r="7573" spans="1:40" x14ac:dyDescent="0.25">
      <c r="A7573" t="str">
        <f>"20190304155250501"</f>
        <v>20190304155250501</v>
      </c>
      <c r="B7573" t="str">
        <f>"1551685970494635"</f>
        <v>1551685970494635</v>
      </c>
      <c r="C7573" t="s">
        <v>40</v>
      </c>
      <c r="D7573">
        <v>4.8758540000000004</v>
      </c>
      <c r="E7573">
        <v>0.53037250000000002</v>
      </c>
      <c r="F7573" t="s">
        <v>55</v>
      </c>
      <c r="G7573">
        <v>-187.6558</v>
      </c>
      <c r="H7573">
        <v>8.8652809999999995</v>
      </c>
      <c r="I7573">
        <v>391.87</v>
      </c>
      <c r="J7573">
        <v>-187.2602</v>
      </c>
      <c r="K7573">
        <v>1.1103229999999999</v>
      </c>
      <c r="L7573">
        <v>68.400210000000001</v>
      </c>
      <c r="M7573">
        <v>-1.150089E-2</v>
      </c>
      <c r="N7573">
        <v>-1.475374E-2</v>
      </c>
      <c r="O7573">
        <v>0.99982499999999996</v>
      </c>
      <c r="P7573">
        <v>-8.3482329999999993E-2</v>
      </c>
      <c r="Q7573">
        <v>0.21931100000000001</v>
      </c>
      <c r="R7573">
        <v>0.97207679999999996</v>
      </c>
      <c r="S7573">
        <v>-3.7841799999999998E-3</v>
      </c>
      <c r="T7573">
        <v>7.3458670000000004E-2</v>
      </c>
      <c r="U7573">
        <v>3.0674739999999998</v>
      </c>
      <c r="V7573">
        <v>-7.2131490000000006E-2</v>
      </c>
      <c r="W7573">
        <v>0.23369290000000001</v>
      </c>
      <c r="X7573">
        <v>0.96963120000000003</v>
      </c>
      <c r="Y7573">
        <v>1.027019E-2</v>
      </c>
      <c r="Z7573">
        <v>3.8684530000000002E-2</v>
      </c>
      <c r="AA7573">
        <v>0.9991987</v>
      </c>
      <c r="AB7573">
        <v>36</v>
      </c>
      <c r="AC7573">
        <v>-0.39560000000000101</v>
      </c>
      <c r="AD7573">
        <v>7.7549579999999896</v>
      </c>
      <c r="AE7573">
        <v>323.46978999999999</v>
      </c>
      <c r="AF7573">
        <v>3.3231116392111999</v>
      </c>
      <c r="AG7573">
        <v>7.7549579999999896</v>
      </c>
      <c r="AH7573">
        <v>323.26713928668602</v>
      </c>
      <c r="AI7573">
        <v>88.625849512783702</v>
      </c>
      <c r="AJ7573">
        <v>89.411033345800305</v>
      </c>
      <c r="AK7573">
        <v>323.37721902933498</v>
      </c>
      <c r="AL7573">
        <v>76.485413684487398</v>
      </c>
      <c r="AM7573">
        <v>94.254433552894</v>
      </c>
      <c r="AN7573">
        <v>0.99999999368673498</v>
      </c>
    </row>
    <row r="7574" spans="1:40" x14ac:dyDescent="0.25">
      <c r="A7574" t="str">
        <f>"20190304155250516"</f>
        <v>20190304155250516</v>
      </c>
      <c r="B7574" t="str">
        <f>"1551685970504396"</f>
        <v>1551685970504396</v>
      </c>
      <c r="C7574" t="s">
        <v>40</v>
      </c>
      <c r="D7574">
        <v>4.868252</v>
      </c>
      <c r="E7574">
        <v>0.53036019999999995</v>
      </c>
      <c r="F7574" t="s">
        <v>55</v>
      </c>
      <c r="G7574">
        <v>-187.36160000000001</v>
      </c>
      <c r="H7574">
        <v>9.8456840000000003</v>
      </c>
      <c r="I7574">
        <v>391.87</v>
      </c>
      <c r="J7574">
        <v>-187.26490000000001</v>
      </c>
      <c r="K7574">
        <v>1.1103240000000001</v>
      </c>
      <c r="L7574">
        <v>68.840090000000004</v>
      </c>
      <c r="M7574">
        <v>-1.11436E-2</v>
      </c>
      <c r="N7574">
        <v>-1.4749460000000001E-2</v>
      </c>
      <c r="O7574">
        <v>0.99982910000000003</v>
      </c>
      <c r="P7574">
        <v>-8.2621479999999997E-2</v>
      </c>
      <c r="Q7574">
        <v>0.2220347</v>
      </c>
      <c r="R7574">
        <v>0.9715319</v>
      </c>
      <c r="S7574">
        <v>-9.6130369999999996E-4</v>
      </c>
      <c r="T7574">
        <v>8.2836030000000005E-2</v>
      </c>
      <c r="U7574">
        <v>3.0674130000000002</v>
      </c>
      <c r="V7574">
        <v>-7.1620799999999998E-2</v>
      </c>
      <c r="W7574">
        <v>0.2364038</v>
      </c>
      <c r="X7574">
        <v>0.96901170000000003</v>
      </c>
      <c r="Y7574">
        <v>1.0832690000000001E-2</v>
      </c>
      <c r="Z7574">
        <v>4.1733149999999997E-2</v>
      </c>
      <c r="AA7574">
        <v>0.99907000000000001</v>
      </c>
      <c r="AB7574">
        <v>36</v>
      </c>
      <c r="AC7574">
        <v>-9.6699999999998398E-2</v>
      </c>
      <c r="AD7574">
        <v>8.73536</v>
      </c>
      <c r="AE7574">
        <v>323.02990999999997</v>
      </c>
      <c r="AF7574">
        <v>3.5008537478761101</v>
      </c>
      <c r="AG7574">
        <v>8.73536</v>
      </c>
      <c r="AH7574">
        <v>322.77489112097999</v>
      </c>
      <c r="AI7574">
        <v>88.449855547175602</v>
      </c>
      <c r="AJ7574">
        <v>89.378587724558102</v>
      </c>
      <c r="AK7574">
        <v>322.91205122982598</v>
      </c>
      <c r="AL7574">
        <v>76.325613363479704</v>
      </c>
      <c r="AM7574">
        <v>94.227112582980496</v>
      </c>
      <c r="AN7574">
        <v>0.99999998519198396</v>
      </c>
    </row>
    <row r="7575" spans="1:40" x14ac:dyDescent="0.25">
      <c r="A7575" t="str">
        <f>"20190304155250530"</f>
        <v>20190304155250530</v>
      </c>
      <c r="B7575" t="str">
        <f>"1551685970523916"</f>
        <v>1551685970523916</v>
      </c>
      <c r="C7575" t="s">
        <v>40</v>
      </c>
      <c r="D7575">
        <v>4.9158949999999999</v>
      </c>
      <c r="E7575">
        <v>0.53034179999999997</v>
      </c>
      <c r="F7575" t="s">
        <v>55</v>
      </c>
      <c r="G7575">
        <v>-187.13640000000001</v>
      </c>
      <c r="H7575">
        <v>10.695349999999999</v>
      </c>
      <c r="I7575">
        <v>391.87</v>
      </c>
      <c r="J7575">
        <v>-187.26740000000001</v>
      </c>
      <c r="K7575">
        <v>1.1103270000000001</v>
      </c>
      <c r="L7575">
        <v>69.074219999999997</v>
      </c>
      <c r="M7575">
        <v>-1.0953289999999999E-2</v>
      </c>
      <c r="N7575">
        <v>-1.4747049999999999E-2</v>
      </c>
      <c r="O7575">
        <v>0.99983129999999998</v>
      </c>
      <c r="P7575">
        <v>-8.2317749999999995E-2</v>
      </c>
      <c r="Q7575">
        <v>0.22525239999999999</v>
      </c>
      <c r="R7575">
        <v>0.97081669999999998</v>
      </c>
      <c r="S7575">
        <v>1.2207030000000001E-3</v>
      </c>
      <c r="T7575">
        <v>9.1010690000000005E-2</v>
      </c>
      <c r="U7575">
        <v>3.0672000000000001</v>
      </c>
      <c r="V7575">
        <v>-7.1507050000000003E-2</v>
      </c>
      <c r="W7575">
        <v>0.23960819999999999</v>
      </c>
      <c r="X7575">
        <v>0.9682328</v>
      </c>
      <c r="Y7575">
        <v>1.13532999999999E-2</v>
      </c>
      <c r="Z7575">
        <v>4.4392939999999999E-2</v>
      </c>
      <c r="AA7575">
        <v>0.99894959999999999</v>
      </c>
      <c r="AB7575">
        <v>36</v>
      </c>
      <c r="AC7575">
        <v>0.13100000000000001</v>
      </c>
      <c r="AD7575">
        <v>9.5850229999999996</v>
      </c>
      <c r="AE7575">
        <v>322.79577999999998</v>
      </c>
      <c r="AF7575">
        <v>3.6638218501811002</v>
      </c>
      <c r="AG7575">
        <v>9.5850229999999996</v>
      </c>
      <c r="AH7575">
        <v>322.490630184623</v>
      </c>
      <c r="AI7575">
        <v>88.297673552006799</v>
      </c>
      <c r="AJ7575">
        <v>89.349089622332599</v>
      </c>
      <c r="AK7575">
        <v>322.65384363638901</v>
      </c>
      <c r="AL7575">
        <v>76.136583554792793</v>
      </c>
      <c r="AM7575">
        <v>94.223806110739304</v>
      </c>
      <c r="AN7575">
        <v>1.00000005135139</v>
      </c>
    </row>
    <row r="7576" spans="1:40" x14ac:dyDescent="0.25">
      <c r="A7576" t="str">
        <f>"20190304155250554"</f>
        <v>20190304155250554</v>
      </c>
      <c r="B7576" t="str">
        <f>"1551685970544412"</f>
        <v>1551685970544412</v>
      </c>
      <c r="C7576" t="s">
        <v>40</v>
      </c>
      <c r="D7576">
        <v>4.8797699999999997</v>
      </c>
      <c r="E7576">
        <v>0.53030869999999997</v>
      </c>
      <c r="F7576" t="s">
        <v>55</v>
      </c>
      <c r="G7576">
        <v>-187.012</v>
      </c>
      <c r="H7576">
        <v>11.721349999999999</v>
      </c>
      <c r="I7576">
        <v>391.87</v>
      </c>
      <c r="J7576">
        <v>-187.27109999999999</v>
      </c>
      <c r="K7576">
        <v>1.1103419999999999</v>
      </c>
      <c r="L7576">
        <v>69.440950000000001</v>
      </c>
      <c r="M7576">
        <v>-1.0655019999999999E-2</v>
      </c>
      <c r="N7576">
        <v>-1.474308E-2</v>
      </c>
      <c r="O7576">
        <v>0.99983449999999996</v>
      </c>
      <c r="P7576">
        <v>-8.219071E-2</v>
      </c>
      <c r="Q7576">
        <v>0.2278094</v>
      </c>
      <c r="R7576">
        <v>0.9702307</v>
      </c>
      <c r="S7576">
        <v>2.426147E-3</v>
      </c>
      <c r="T7576">
        <v>0.1008197</v>
      </c>
      <c r="U7576">
        <v>3.0670169999999999</v>
      </c>
      <c r="V7576">
        <v>-7.1674169999999995E-2</v>
      </c>
      <c r="W7576">
        <v>0.2421527</v>
      </c>
      <c r="X7576">
        <v>0.96758719999999998</v>
      </c>
      <c r="Y7576">
        <v>1.1447799999999999E-2</v>
      </c>
      <c r="Z7576">
        <v>4.7582220000000001E-2</v>
      </c>
      <c r="AA7576">
        <v>0.99880170000000001</v>
      </c>
      <c r="AB7576">
        <v>36</v>
      </c>
      <c r="AC7576">
        <v>0.25909999999998901</v>
      </c>
      <c r="AD7576">
        <v>10.611008</v>
      </c>
      <c r="AE7576">
        <v>322.42905000000002</v>
      </c>
      <c r="AF7576">
        <v>3.69094939009817</v>
      </c>
      <c r="AG7576">
        <v>10.611008</v>
      </c>
      <c r="AH7576">
        <v>322.05917877015997</v>
      </c>
      <c r="AI7576">
        <v>88.113060297903999</v>
      </c>
      <c r="AJ7576">
        <v>89.343392213169693</v>
      </c>
      <c r="AK7576">
        <v>322.25507168745401</v>
      </c>
      <c r="AL7576">
        <v>75.986371399931301</v>
      </c>
      <c r="AM7576">
        <v>94.236456286631494</v>
      </c>
      <c r="AN7576">
        <v>1.0000000531831501</v>
      </c>
    </row>
    <row r="7577" spans="1:40" x14ac:dyDescent="0.25">
      <c r="A7577" t="str">
        <f>"20190304155250576"</f>
        <v>20190304155250576</v>
      </c>
      <c r="B7577" t="str">
        <f>"1551685970574668"</f>
        <v>1551685970574668</v>
      </c>
      <c r="C7577" t="s">
        <v>40</v>
      </c>
      <c r="D7577">
        <v>4.8565579999999997</v>
      </c>
      <c r="E7577">
        <v>0.53023889999999996</v>
      </c>
      <c r="F7577" t="s">
        <v>55</v>
      </c>
      <c r="G7577">
        <v>-186.9358</v>
      </c>
      <c r="H7577">
        <v>12.51774</v>
      </c>
      <c r="I7577">
        <v>391.87</v>
      </c>
      <c r="J7577">
        <v>-187.27459999999999</v>
      </c>
      <c r="K7577">
        <v>1.110352</v>
      </c>
      <c r="L7577">
        <v>69.801940000000002</v>
      </c>
      <c r="M7577">
        <v>-1.036167E-2</v>
      </c>
      <c r="N7577">
        <v>-1.473906E-2</v>
      </c>
      <c r="O7577">
        <v>0.99983770000000005</v>
      </c>
      <c r="P7577">
        <v>-8.2050429999999994E-2</v>
      </c>
      <c r="Q7577">
        <v>0.23083239999999999</v>
      </c>
      <c r="R7577">
        <v>0.96952780000000005</v>
      </c>
      <c r="S7577">
        <v>3.1890870000000002E-3</v>
      </c>
      <c r="T7577">
        <v>0.10850319999999999</v>
      </c>
      <c r="U7577">
        <v>3.0668329999999999</v>
      </c>
      <c r="V7577">
        <v>-7.1823949999999998E-2</v>
      </c>
      <c r="W7577">
        <v>0.2451605</v>
      </c>
      <c r="X7577">
        <v>0.96681830000000002</v>
      </c>
      <c r="Y7577">
        <v>1.140303E-2</v>
      </c>
      <c r="Z7577">
        <v>5.0079520000000002E-2</v>
      </c>
      <c r="AA7577">
        <v>0.99868009999999996</v>
      </c>
      <c r="AB7577">
        <v>36</v>
      </c>
      <c r="AC7577">
        <v>0.338799999999992</v>
      </c>
      <c r="AD7577">
        <v>11.407387999999999</v>
      </c>
      <c r="AE7577">
        <v>322.06806</v>
      </c>
      <c r="AF7577">
        <v>3.6717010418137299</v>
      </c>
      <c r="AG7577">
        <v>11.407387999999999</v>
      </c>
      <c r="AH7577">
        <v>321.64374794876699</v>
      </c>
      <c r="AI7577">
        <v>87.9689366477687</v>
      </c>
      <c r="AJ7577">
        <v>89.345972563293998</v>
      </c>
      <c r="AK7577">
        <v>321.86691424259902</v>
      </c>
      <c r="AL7577">
        <v>75.8086808497833</v>
      </c>
      <c r="AM7577">
        <v>94.248640887997198</v>
      </c>
      <c r="AN7577">
        <v>0.99999998788437106</v>
      </c>
    </row>
    <row r="7578" spans="1:40" x14ac:dyDescent="0.25">
      <c r="A7578" t="str">
        <f>"20190304155250599"</f>
        <v>20190304155250599</v>
      </c>
      <c r="B7578" t="str">
        <f>"1551685970594188"</f>
        <v>1551685970594188</v>
      </c>
      <c r="C7578" t="s">
        <v>40</v>
      </c>
      <c r="D7578">
        <v>4.8981349999999999</v>
      </c>
      <c r="E7578">
        <v>0.53019209999999894</v>
      </c>
      <c r="F7578" t="s">
        <v>55</v>
      </c>
      <c r="G7578">
        <v>-186.90450000000001</v>
      </c>
      <c r="H7578">
        <v>13.41535</v>
      </c>
      <c r="I7578">
        <v>391.87</v>
      </c>
      <c r="J7578">
        <v>-187.27799999999999</v>
      </c>
      <c r="K7578">
        <v>1.1103559999999999</v>
      </c>
      <c r="L7578">
        <v>70.154079999999993</v>
      </c>
      <c r="M7578">
        <v>-1.007546E-2</v>
      </c>
      <c r="N7578">
        <v>-1.4735130000000001E-2</v>
      </c>
      <c r="O7578">
        <v>0.99984070000000003</v>
      </c>
      <c r="P7578">
        <v>-8.2308290000000006E-2</v>
      </c>
      <c r="Q7578">
        <v>0.2326165</v>
      </c>
      <c r="R7578">
        <v>0.96907940000000004</v>
      </c>
      <c r="S7578">
        <v>3.5247799999999999E-3</v>
      </c>
      <c r="T7578">
        <v>0.1171662</v>
      </c>
      <c r="U7578">
        <v>3.066681</v>
      </c>
      <c r="V7578">
        <v>-7.2362449999999995E-2</v>
      </c>
      <c r="W7578">
        <v>0.2469344</v>
      </c>
      <c r="X7578">
        <v>0.96632660000000004</v>
      </c>
      <c r="Y7578">
        <v>1.12262E-2</v>
      </c>
      <c r="Z7578">
        <v>5.2894530000000002E-2</v>
      </c>
      <c r="AA7578">
        <v>0.99853700000000001</v>
      </c>
      <c r="AB7578">
        <v>36</v>
      </c>
      <c r="AC7578">
        <v>0.37349999999997802</v>
      </c>
      <c r="AD7578">
        <v>12.304994000000001</v>
      </c>
      <c r="AE7578">
        <v>321.71591999999998</v>
      </c>
      <c r="AF7578">
        <v>3.6099876895178999</v>
      </c>
      <c r="AG7578">
        <v>12.304994000000001</v>
      </c>
      <c r="AH7578">
        <v>321.225898914769</v>
      </c>
      <c r="AI7578">
        <v>87.806418374547306</v>
      </c>
      <c r="AJ7578">
        <v>89.356128031759297</v>
      </c>
      <c r="AK7578">
        <v>321.48176156986</v>
      </c>
      <c r="AL7578">
        <v>75.703820522001493</v>
      </c>
      <c r="AM7578">
        <v>94.2825470200045</v>
      </c>
      <c r="AN7578">
        <v>1.00000000997046</v>
      </c>
    </row>
    <row r="7579" spans="1:40" x14ac:dyDescent="0.25">
      <c r="A7579" t="str">
        <f>"20190304155250619"</f>
        <v>20190304155250619</v>
      </c>
      <c r="B7579" t="str">
        <f>"1551685970614684"</f>
        <v>1551685970614684</v>
      </c>
      <c r="C7579" t="s">
        <v>40</v>
      </c>
      <c r="D7579">
        <v>4.8876179999999998</v>
      </c>
      <c r="E7579">
        <v>0.5301517</v>
      </c>
      <c r="F7579" t="s">
        <v>55</v>
      </c>
      <c r="G7579">
        <v>-186.96109999999999</v>
      </c>
      <c r="H7579">
        <v>13.94894</v>
      </c>
      <c r="I7579">
        <v>391.87</v>
      </c>
      <c r="J7579">
        <v>-187.28120000000001</v>
      </c>
      <c r="K7579">
        <v>1.1103590000000001</v>
      </c>
      <c r="L7579">
        <v>70.494140000000002</v>
      </c>
      <c r="M7579">
        <v>-9.7990319999999992E-3</v>
      </c>
      <c r="N7579">
        <v>-1.4731350000000001E-2</v>
      </c>
      <c r="O7579">
        <v>0.9998435</v>
      </c>
      <c r="P7579">
        <v>-8.2830139999999997E-2</v>
      </c>
      <c r="Q7579">
        <v>0.23463780000000001</v>
      </c>
      <c r="R7579">
        <v>0.96854750000000001</v>
      </c>
      <c r="S7579">
        <v>3.0212400000000001E-3</v>
      </c>
      <c r="T7579">
        <v>0.12237820000000001</v>
      </c>
      <c r="U7579">
        <v>3.0666199999999999</v>
      </c>
      <c r="V7579">
        <v>-7.3156189999999996E-2</v>
      </c>
      <c r="W7579">
        <v>0.24894430000000001</v>
      </c>
      <c r="X7579">
        <v>0.96575089999999997</v>
      </c>
      <c r="Y7579">
        <v>1.078578E-2</v>
      </c>
      <c r="Z7579">
        <v>5.4586160000000002E-2</v>
      </c>
      <c r="AA7579">
        <v>0.99845079999999997</v>
      </c>
      <c r="AB7579">
        <v>36</v>
      </c>
      <c r="AC7579">
        <v>0.32010000000002398</v>
      </c>
      <c r="AD7579">
        <v>12.8385809999999</v>
      </c>
      <c r="AE7579">
        <v>321.37585999999999</v>
      </c>
      <c r="AF7579">
        <v>3.4640703052647601</v>
      </c>
      <c r="AG7579">
        <v>12.8385809999999</v>
      </c>
      <c r="AH7579">
        <v>320.84525121435399</v>
      </c>
      <c r="AI7579">
        <v>87.708672736083201</v>
      </c>
      <c r="AJ7579">
        <v>89.381418624214305</v>
      </c>
      <c r="AK7579">
        <v>321.12070031683697</v>
      </c>
      <c r="AL7579">
        <v>75.584949115686797</v>
      </c>
      <c r="AM7579">
        <v>94.331915395088103</v>
      </c>
      <c r="AN7579">
        <v>0.99999994674430603</v>
      </c>
    </row>
    <row r="7580" spans="1:40" x14ac:dyDescent="0.25">
      <c r="A7580" t="str">
        <f>"20190304155250642"</f>
        <v>20190304155250642</v>
      </c>
      <c r="B7580" t="str">
        <f>"1551685970634204"</f>
        <v>1551685970634204</v>
      </c>
      <c r="C7580" t="s">
        <v>40</v>
      </c>
      <c r="D7580">
        <v>4.8457850000000002</v>
      </c>
      <c r="E7580">
        <v>0.53009919999999899</v>
      </c>
      <c r="F7580" t="s">
        <v>55</v>
      </c>
      <c r="G7580">
        <v>-187.07329999999999</v>
      </c>
      <c r="H7580">
        <v>14.55264</v>
      </c>
      <c r="I7580">
        <v>391.87</v>
      </c>
      <c r="J7580">
        <v>-187.28440000000001</v>
      </c>
      <c r="K7580">
        <v>1.1103700000000001</v>
      </c>
      <c r="L7580">
        <v>70.852869999999996</v>
      </c>
      <c r="M7580">
        <v>-9.5075620000000007E-3</v>
      </c>
      <c r="N7580">
        <v>-1.472732E-2</v>
      </c>
      <c r="O7580">
        <v>0.99984629999999997</v>
      </c>
      <c r="P7580">
        <v>-8.3944820000000003E-2</v>
      </c>
      <c r="Q7580">
        <v>0.23612079999999999</v>
      </c>
      <c r="R7580">
        <v>0.96809100000000003</v>
      </c>
      <c r="S7580">
        <v>1.9836430000000002E-3</v>
      </c>
      <c r="T7580">
        <v>0.12826319999999999</v>
      </c>
      <c r="U7580">
        <v>3.0664980000000002</v>
      </c>
      <c r="V7580">
        <v>-7.4556730000000002E-2</v>
      </c>
      <c r="W7580">
        <v>0.25041720000000001</v>
      </c>
      <c r="X7580">
        <v>0.96526290000000003</v>
      </c>
      <c r="Y7580">
        <v>1.0156429999999999E-2</v>
      </c>
      <c r="Z7580">
        <v>5.6496789999999998E-2</v>
      </c>
      <c r="AA7580">
        <v>0.99835110000000005</v>
      </c>
      <c r="AB7580">
        <v>36</v>
      </c>
      <c r="AC7580">
        <v>0.211100000000016</v>
      </c>
      <c r="AD7580">
        <v>13.442270000000001</v>
      </c>
      <c r="AE7580">
        <v>321.01713000000001</v>
      </c>
      <c r="AF7580">
        <v>3.2577995763451599</v>
      </c>
      <c r="AG7580">
        <v>13.442270000000001</v>
      </c>
      <c r="AH7580">
        <v>320.43874313550799</v>
      </c>
      <c r="AI7580">
        <v>87.5979986254181</v>
      </c>
      <c r="AJ7580">
        <v>89.417511959668502</v>
      </c>
      <c r="AK7580">
        <v>320.73711351057699</v>
      </c>
      <c r="AL7580">
        <v>75.497798303235001</v>
      </c>
      <c r="AM7580">
        <v>94.416746049447696</v>
      </c>
      <c r="AN7580">
        <v>0.999999973080271</v>
      </c>
    </row>
    <row r="7581" spans="1:40" x14ac:dyDescent="0.25">
      <c r="A7581" t="str">
        <f>"20190304155250666"</f>
        <v>20190304155250666</v>
      </c>
      <c r="B7581" t="str">
        <f>"1551685970654699"</f>
        <v>1551685970654699</v>
      </c>
      <c r="C7581" t="s">
        <v>40</v>
      </c>
      <c r="D7581">
        <v>4.939489</v>
      </c>
      <c r="E7581">
        <v>0.53003719999999999</v>
      </c>
      <c r="F7581" t="s">
        <v>55</v>
      </c>
      <c r="G7581">
        <v>-187.42339999999999</v>
      </c>
      <c r="H7581">
        <v>14.96707</v>
      </c>
      <c r="I7581">
        <v>391.87</v>
      </c>
      <c r="J7581">
        <v>-187.2877</v>
      </c>
      <c r="K7581">
        <v>1.1103780000000001</v>
      </c>
      <c r="L7581">
        <v>71.236269999999905</v>
      </c>
      <c r="M7581">
        <v>-9.1956139999999995E-3</v>
      </c>
      <c r="N7581">
        <v>-1.4723099999999999E-2</v>
      </c>
      <c r="O7581">
        <v>0.99984930000000005</v>
      </c>
      <c r="P7581">
        <v>-8.4404870000000007E-2</v>
      </c>
      <c r="Q7581">
        <v>0.23799980000000001</v>
      </c>
      <c r="R7581">
        <v>0.96759070000000003</v>
      </c>
      <c r="S7581">
        <v>-1.327515E-3</v>
      </c>
      <c r="T7581">
        <v>0.13236529999999999</v>
      </c>
      <c r="U7581">
        <v>3.0664980000000002</v>
      </c>
      <c r="V7581">
        <v>-7.532258E-2</v>
      </c>
      <c r="W7581">
        <v>0.25228499999999998</v>
      </c>
      <c r="X7581">
        <v>0.96471689999999999</v>
      </c>
      <c r="Y7581">
        <v>8.7662799999999996E-3</v>
      </c>
      <c r="Z7581">
        <v>5.7825979999999999E-2</v>
      </c>
      <c r="AA7581">
        <v>0.99828819999999996</v>
      </c>
      <c r="AB7581">
        <v>36</v>
      </c>
      <c r="AC7581">
        <v>-0.135699999999985</v>
      </c>
      <c r="AD7581">
        <v>13.856692000000001</v>
      </c>
      <c r="AE7581">
        <v>320.63372999999899</v>
      </c>
      <c r="AF7581">
        <v>2.80780538299642</v>
      </c>
      <c r="AG7581">
        <v>13.856692000000001</v>
      </c>
      <c r="AH7581">
        <v>320.02371909194198</v>
      </c>
      <c r="AI7581">
        <v>87.520796654513106</v>
      </c>
      <c r="AJ7581">
        <v>89.497314540301801</v>
      </c>
      <c r="AK7581">
        <v>320.33587445943402</v>
      </c>
      <c r="AL7581">
        <v>75.387231312592306</v>
      </c>
      <c r="AM7581">
        <v>94.464447887050298</v>
      </c>
      <c r="AN7581">
        <v>0.99999995471423198</v>
      </c>
    </row>
    <row r="7582" spans="1:40" x14ac:dyDescent="0.25">
      <c r="A7582" t="str">
        <f>"20190304155250688"</f>
        <v>20190304155250688</v>
      </c>
      <c r="B7582" t="str">
        <f>"1551685970683979"</f>
        <v>1551685970683979</v>
      </c>
      <c r="C7582" t="s">
        <v>40</v>
      </c>
      <c r="D7582">
        <v>4.9782679999999999</v>
      </c>
      <c r="E7582">
        <v>0.51809839999999996</v>
      </c>
      <c r="F7582" t="s">
        <v>55</v>
      </c>
      <c r="G7582">
        <v>-187.58930000000001</v>
      </c>
      <c r="H7582">
        <v>15.50074</v>
      </c>
      <c r="I7582">
        <v>391.87</v>
      </c>
      <c r="J7582">
        <v>-187.29060000000001</v>
      </c>
      <c r="K7582">
        <v>1.1103829999999999</v>
      </c>
      <c r="L7582">
        <v>71.582179999999994</v>
      </c>
      <c r="M7582">
        <v>-8.9143429999999999E-3</v>
      </c>
      <c r="N7582">
        <v>-1.471927E-2</v>
      </c>
      <c r="O7582">
        <v>0.99985190000000002</v>
      </c>
      <c r="P7582">
        <v>-8.5337060000000006E-2</v>
      </c>
      <c r="Q7582">
        <v>0.24013380000000001</v>
      </c>
      <c r="R7582">
        <v>0.9669816</v>
      </c>
      <c r="S7582">
        <v>-2.8839109999999999E-3</v>
      </c>
      <c r="T7582">
        <v>0.13762199999999999</v>
      </c>
      <c r="U7582">
        <v>3.066376</v>
      </c>
      <c r="V7582">
        <v>-7.6530710000000002E-2</v>
      </c>
      <c r="W7582">
        <v>0.25440649999999998</v>
      </c>
      <c r="X7582">
        <v>0.96406449999999999</v>
      </c>
      <c r="Y7582">
        <v>7.9782869999999902E-3</v>
      </c>
      <c r="Z7582">
        <v>5.9532010000000003E-2</v>
      </c>
      <c r="AA7582">
        <v>0.99819449999999998</v>
      </c>
      <c r="AB7582">
        <v>36</v>
      </c>
      <c r="AC7582">
        <v>-0.29869999999999602</v>
      </c>
      <c r="AD7582">
        <v>14.3903569999999</v>
      </c>
      <c r="AE7582">
        <v>320.28782000000001</v>
      </c>
      <c r="AF7582">
        <v>2.5516259313096601</v>
      </c>
      <c r="AG7582">
        <v>14.3903569999999</v>
      </c>
      <c r="AH7582">
        <v>319.632526558422</v>
      </c>
      <c r="AI7582">
        <v>87.422277032419203</v>
      </c>
      <c r="AJ7582">
        <v>89.542617602727404</v>
      </c>
      <c r="AK7582">
        <v>319.96647512450602</v>
      </c>
      <c r="AL7582">
        <v>75.261579482625905</v>
      </c>
      <c r="AM7582">
        <v>94.5388151686154</v>
      </c>
      <c r="AN7582">
        <v>0.99999998848780103</v>
      </c>
    </row>
    <row r="7583" spans="1:40" x14ac:dyDescent="0.25">
      <c r="A7583" t="str">
        <f>"20190304155250710"</f>
        <v>20190304155250710</v>
      </c>
      <c r="B7583" t="str">
        <f>"1551685970704475"</f>
        <v>1551685970704475</v>
      </c>
      <c r="C7583" t="s">
        <v>40</v>
      </c>
      <c r="D7583">
        <v>4.8750239999999998</v>
      </c>
      <c r="E7583">
        <v>0.51852370000000003</v>
      </c>
      <c r="F7583" t="s">
        <v>41</v>
      </c>
      <c r="G7583">
        <v>-191.13140000000001</v>
      </c>
      <c r="H7583" s="1">
        <v>-2.116709E-6</v>
      </c>
      <c r="I7583">
        <v>193.82149999999999</v>
      </c>
      <c r="J7583">
        <v>-187.29339999999999</v>
      </c>
      <c r="K7583">
        <v>1.11039</v>
      </c>
      <c r="L7583">
        <v>71.927030000000002</v>
      </c>
      <c r="M7583">
        <v>-8.6334410000000004E-3</v>
      </c>
      <c r="N7583">
        <v>-1.471541E-2</v>
      </c>
      <c r="O7583">
        <v>0.99985440000000003</v>
      </c>
      <c r="P7583">
        <v>-8.6018460000000005E-2</v>
      </c>
      <c r="Q7583">
        <v>0.2416394</v>
      </c>
      <c r="R7583">
        <v>0.96654600000000002</v>
      </c>
      <c r="S7583">
        <v>-9.7427369999999999E-2</v>
      </c>
      <c r="T7583">
        <v>-2.8167009999999999E-2</v>
      </c>
      <c r="U7583">
        <v>3.1008300000000002</v>
      </c>
      <c r="V7583">
        <v>-7.7487379999999995E-2</v>
      </c>
      <c r="W7583">
        <v>0.25590210000000002</v>
      </c>
      <c r="X7583">
        <v>0.96359220000000001</v>
      </c>
      <c r="Y7583">
        <v>-2.2768500000000001E-2</v>
      </c>
      <c r="Z7583">
        <v>5.6343929999999997E-3</v>
      </c>
      <c r="AA7583">
        <v>0.99972490000000003</v>
      </c>
      <c r="AB7583">
        <v>35</v>
      </c>
      <c r="AC7583">
        <v>-3.8380000000000201</v>
      </c>
      <c r="AD7583">
        <v>-1.1103921167090001</v>
      </c>
      <c r="AE7583">
        <v>121.894469999999</v>
      </c>
      <c r="AF7583">
        <v>-2.78514331547508</v>
      </c>
      <c r="AG7583">
        <v>-1.1103921167090001</v>
      </c>
      <c r="AH7583">
        <v>121.91295830465801</v>
      </c>
      <c r="AI7583">
        <v>90.521703593466</v>
      </c>
      <c r="AJ7583">
        <v>91.308714074682598</v>
      </c>
      <c r="AK7583">
        <v>121.949823273893</v>
      </c>
      <c r="AL7583">
        <v>75.172955429638904</v>
      </c>
      <c r="AM7583">
        <v>94.5975537077056</v>
      </c>
      <c r="AN7583">
        <v>1.00000005337225</v>
      </c>
    </row>
    <row r="7584" spans="1:40" x14ac:dyDescent="0.25">
      <c r="A7584" t="str">
        <f>"20190304155250732"</f>
        <v>20190304155250732</v>
      </c>
      <c r="B7584" t="str">
        <f>"1551685970723996"</f>
        <v>1551685970723996</v>
      </c>
      <c r="C7584" t="s">
        <v>40</v>
      </c>
      <c r="D7584">
        <v>4.889545</v>
      </c>
      <c r="E7584">
        <v>0.51899709999999999</v>
      </c>
      <c r="F7584" t="s">
        <v>41</v>
      </c>
      <c r="G7584">
        <v>-192.84719999999999</v>
      </c>
      <c r="H7584" s="1">
        <v>-1.4123260000000001E-6</v>
      </c>
      <c r="I7584">
        <v>251.11529999999999</v>
      </c>
      <c r="J7584">
        <v>-187.2962</v>
      </c>
      <c r="K7584">
        <v>1.1103909999999999</v>
      </c>
      <c r="L7584">
        <v>72.280519999999996</v>
      </c>
      <c r="M7584">
        <v>-8.3456959999999997E-3</v>
      </c>
      <c r="N7584">
        <v>-1.4711429999999999E-2</v>
      </c>
      <c r="O7584">
        <v>0.99985690000000005</v>
      </c>
      <c r="P7584">
        <v>-8.6833080000000007E-2</v>
      </c>
      <c r="Q7584">
        <v>0.24133309999999999</v>
      </c>
      <c r="R7584">
        <v>0.96654969999999996</v>
      </c>
      <c r="S7584">
        <v>-9.6084589999999998E-2</v>
      </c>
      <c r="T7584">
        <v>-1.9210459999999999E-2</v>
      </c>
      <c r="U7584">
        <v>3.1000670000000001</v>
      </c>
      <c r="V7584">
        <v>-7.8580659999999997E-2</v>
      </c>
      <c r="W7584">
        <v>0.2555924</v>
      </c>
      <c r="X7584">
        <v>0.96358580000000005</v>
      </c>
      <c r="Y7584">
        <v>-2.2631209999999999E-2</v>
      </c>
      <c r="Z7584">
        <v>8.5158530000000003E-3</v>
      </c>
      <c r="AA7584">
        <v>0.99970760000000003</v>
      </c>
      <c r="AB7584">
        <v>35</v>
      </c>
      <c r="AC7584">
        <v>-5.5509999999999797</v>
      </c>
      <c r="AD7584">
        <v>-1.1103924123259901</v>
      </c>
      <c r="AE7584">
        <v>178.83477999999999</v>
      </c>
      <c r="AF7584">
        <v>-4.0579880265802899</v>
      </c>
      <c r="AG7584">
        <v>-1.1103924123259901</v>
      </c>
      <c r="AH7584">
        <v>178.86799342437499</v>
      </c>
      <c r="AI7584">
        <v>90.355589697284003</v>
      </c>
      <c r="AJ7584">
        <v>91.2996495611184</v>
      </c>
      <c r="AK7584">
        <v>178.91746507760399</v>
      </c>
      <c r="AL7584">
        <v>75.191309457106897</v>
      </c>
      <c r="AM7584">
        <v>94.662168076250893</v>
      </c>
      <c r="AN7584">
        <v>0.99999999451271704</v>
      </c>
    </row>
    <row r="7585" spans="1:40" x14ac:dyDescent="0.25">
      <c r="A7585" t="str">
        <f>"20190304155250754"</f>
        <v>20190304155250754</v>
      </c>
      <c r="B7585" t="str">
        <f>"1551685970744494"</f>
        <v>1551685970744494</v>
      </c>
      <c r="C7585" t="s">
        <v>40</v>
      </c>
      <c r="D7585">
        <v>4.8909079999999996</v>
      </c>
      <c r="E7585">
        <v>0.51917500000000005</v>
      </c>
      <c r="F7585" t="s">
        <v>41</v>
      </c>
      <c r="G7585">
        <v>-192.71539999999999</v>
      </c>
      <c r="H7585" s="1">
        <v>-1.1750599999999999E-6</v>
      </c>
      <c r="I7585">
        <v>250.64400000000001</v>
      </c>
      <c r="J7585">
        <v>-187.2988</v>
      </c>
      <c r="K7585">
        <v>1.1103909999999999</v>
      </c>
      <c r="L7585">
        <v>72.629459999999995</v>
      </c>
      <c r="M7585">
        <v>-8.0614710000000006E-3</v>
      </c>
      <c r="N7585">
        <v>-1.470757E-2</v>
      </c>
      <c r="O7585">
        <v>0.99985930000000001</v>
      </c>
      <c r="P7585">
        <v>-8.7748610000000005E-2</v>
      </c>
      <c r="Q7585">
        <v>0.2413064</v>
      </c>
      <c r="R7585">
        <v>0.96647369999999999</v>
      </c>
      <c r="S7585">
        <v>-9.4192499999999998E-2</v>
      </c>
      <c r="T7585">
        <v>-1.9299859999999999E-2</v>
      </c>
      <c r="U7585">
        <v>3.1001590000000001</v>
      </c>
      <c r="V7585">
        <v>-7.9772220000000005E-2</v>
      </c>
      <c r="W7585">
        <v>0.2555615</v>
      </c>
      <c r="X7585">
        <v>0.96349609999999997</v>
      </c>
      <c r="Y7585">
        <v>-2.230497E-2</v>
      </c>
      <c r="Z7585">
        <v>8.4833519999999996E-3</v>
      </c>
      <c r="AA7585">
        <v>0.99971520000000003</v>
      </c>
      <c r="AB7585">
        <v>35</v>
      </c>
      <c r="AC7585">
        <v>-5.4165999999999803</v>
      </c>
      <c r="AD7585">
        <v>-1.1103921750600001</v>
      </c>
      <c r="AE7585">
        <v>178.01453999999899</v>
      </c>
      <c r="AF7585">
        <v>-3.9810548559739298</v>
      </c>
      <c r="AG7585">
        <v>-1.1103921750600001</v>
      </c>
      <c r="AH7585">
        <v>178.045503766363</v>
      </c>
      <c r="AI7585">
        <v>90.357234874016001</v>
      </c>
      <c r="AJ7585">
        <v>91.280906479992396</v>
      </c>
      <c r="AK7585">
        <v>178.09346753872401</v>
      </c>
      <c r="AL7585">
        <v>75.193140965457104</v>
      </c>
      <c r="AM7585">
        <v>94.732982856257607</v>
      </c>
      <c r="AN7585">
        <v>1.00000001104059</v>
      </c>
    </row>
    <row r="7586" spans="1:40" x14ac:dyDescent="0.25">
      <c r="A7586" t="str">
        <f>"20190304155250776"</f>
        <v>20190304155250776</v>
      </c>
      <c r="B7586" t="str">
        <f>"1551685970764015"</f>
        <v>1551685970764015</v>
      </c>
      <c r="C7586" t="s">
        <v>40</v>
      </c>
      <c r="D7586">
        <v>4.8545550000000004</v>
      </c>
      <c r="E7586">
        <v>0.51934769999999997</v>
      </c>
      <c r="F7586" t="s">
        <v>41</v>
      </c>
      <c r="G7586">
        <v>-192.7176</v>
      </c>
      <c r="H7586" s="1">
        <v>-8.4205709999999997E-7</v>
      </c>
      <c r="I7586">
        <v>249.8664</v>
      </c>
      <c r="J7586">
        <v>-187.3013</v>
      </c>
      <c r="K7586">
        <v>1.11039</v>
      </c>
      <c r="L7586">
        <v>72.974879999999999</v>
      </c>
      <c r="M7586">
        <v>-7.7800489999999998E-3</v>
      </c>
      <c r="N7586">
        <v>-1.4703829999999999E-2</v>
      </c>
      <c r="O7586">
        <v>0.99986160000000002</v>
      </c>
      <c r="P7586">
        <v>-8.8585380000000005E-2</v>
      </c>
      <c r="Q7586">
        <v>0.24116219999999999</v>
      </c>
      <c r="R7586">
        <v>0.96643330000000005</v>
      </c>
      <c r="S7586">
        <v>-9.47876E-2</v>
      </c>
      <c r="T7586">
        <v>-1.942348E-2</v>
      </c>
      <c r="U7586">
        <v>3.100311</v>
      </c>
      <c r="V7586">
        <v>-8.0881750000000002E-2</v>
      </c>
      <c r="W7586">
        <v>0.25541350000000002</v>
      </c>
      <c r="X7586">
        <v>0.96344289999999999</v>
      </c>
      <c r="Y7586">
        <v>-2.277651E-2</v>
      </c>
      <c r="Z7586">
        <v>8.4401459999999904E-3</v>
      </c>
      <c r="AA7586">
        <v>0.99970499999999995</v>
      </c>
      <c r="AB7586">
        <v>35</v>
      </c>
      <c r="AC7586">
        <v>-5.4162999999999997</v>
      </c>
      <c r="AD7586">
        <v>-1.1103908420571</v>
      </c>
      <c r="AE7586">
        <v>176.89151999999899</v>
      </c>
      <c r="AF7586">
        <v>-4.0396034906440699</v>
      </c>
      <c r="AG7586">
        <v>-1.1103908420571</v>
      </c>
      <c r="AH7586">
        <v>176.92134401253301</v>
      </c>
      <c r="AI7586">
        <v>90.359500416201698</v>
      </c>
      <c r="AJ7586">
        <v>91.307993805908197</v>
      </c>
      <c r="AK7586">
        <v>176.97093922840699</v>
      </c>
      <c r="AL7586">
        <v>75.201912679641893</v>
      </c>
      <c r="AM7586">
        <v>94.798771054050107</v>
      </c>
      <c r="AN7586">
        <v>1.00000006751285</v>
      </c>
    </row>
    <row r="7587" spans="1:40" x14ac:dyDescent="0.25">
      <c r="A7587" t="str">
        <f>"20190304155250799"</f>
        <v>20190304155250799</v>
      </c>
      <c r="B7587" t="str">
        <f>"1551685970794268"</f>
        <v>1551685970794268</v>
      </c>
      <c r="C7587" t="s">
        <v>40</v>
      </c>
      <c r="D7587">
        <v>4.886825</v>
      </c>
      <c r="E7587">
        <v>0.51991509999999996</v>
      </c>
      <c r="F7587" t="s">
        <v>41</v>
      </c>
      <c r="G7587">
        <v>-192.82589999999999</v>
      </c>
      <c r="H7587" s="1">
        <v>-1.9686870000000002E-6</v>
      </c>
      <c r="I7587">
        <v>252.4255</v>
      </c>
      <c r="J7587">
        <v>-187.3038</v>
      </c>
      <c r="K7587">
        <v>1.110393</v>
      </c>
      <c r="L7587">
        <v>73.333039999999997</v>
      </c>
      <c r="M7587">
        <v>-7.4881890000000001E-3</v>
      </c>
      <c r="N7587">
        <v>-1.469996E-2</v>
      </c>
      <c r="O7587">
        <v>0.99986390000000003</v>
      </c>
      <c r="P7587">
        <v>-8.9134409999999997E-2</v>
      </c>
      <c r="Q7587">
        <v>0.24149370000000001</v>
      </c>
      <c r="R7587">
        <v>0.9663001</v>
      </c>
      <c r="S7587">
        <v>-9.5443730000000004E-2</v>
      </c>
      <c r="T7587">
        <v>-1.9183519999999999E-2</v>
      </c>
      <c r="U7587">
        <v>3.10025</v>
      </c>
      <c r="V7587">
        <v>-8.171378E-2</v>
      </c>
      <c r="W7587">
        <v>0.25573939999999901</v>
      </c>
      <c r="X7587">
        <v>0.96328619999999998</v>
      </c>
      <c r="Y7587">
        <v>-2.3280240000000001E-2</v>
      </c>
      <c r="Z7587">
        <v>8.5136029999999998E-3</v>
      </c>
      <c r="AA7587">
        <v>0.99969269999999999</v>
      </c>
      <c r="AB7587">
        <v>35</v>
      </c>
      <c r="AC7587">
        <v>-5.5220999999999902</v>
      </c>
      <c r="AD7587">
        <v>-1.1103949686870001</v>
      </c>
      <c r="AE7587">
        <v>179.09245999999999</v>
      </c>
      <c r="AF7587">
        <v>-4.1805614680054397</v>
      </c>
      <c r="AG7587">
        <v>-1.1103949686870001</v>
      </c>
      <c r="AH7587">
        <v>179.121913542567</v>
      </c>
      <c r="AI7587">
        <v>90.355081123804695</v>
      </c>
      <c r="AJ7587">
        <v>91.336994707932007</v>
      </c>
      <c r="AK7587">
        <v>179.174133128432</v>
      </c>
      <c r="AL7587">
        <v>75.1825981675034</v>
      </c>
      <c r="AM7587">
        <v>94.848686756655397</v>
      </c>
      <c r="AN7587">
        <v>1.0000000428323399</v>
      </c>
    </row>
    <row r="7588" spans="1:40" x14ac:dyDescent="0.25">
      <c r="A7588" t="str">
        <f>"20190304155250822"</f>
        <v>20190304155250822</v>
      </c>
      <c r="B7588" t="str">
        <f>"1551685970814764"</f>
        <v>1551685970814764</v>
      </c>
      <c r="C7588" t="s">
        <v>40</v>
      </c>
      <c r="D7588">
        <v>4.83589</v>
      </c>
      <c r="E7588">
        <v>0.52007109999999901</v>
      </c>
      <c r="F7588" t="s">
        <v>41</v>
      </c>
      <c r="G7588">
        <v>-192.1651</v>
      </c>
      <c r="H7588" s="1">
        <v>-4.0145649999999997E-6</v>
      </c>
      <c r="I7588">
        <v>236.8657</v>
      </c>
      <c r="J7588">
        <v>-187.30629999999999</v>
      </c>
      <c r="K7588">
        <v>1.1103959999999999</v>
      </c>
      <c r="L7588">
        <v>73.699950000000001</v>
      </c>
      <c r="M7588">
        <v>-7.1890610000000001E-3</v>
      </c>
      <c r="N7588">
        <v>-1.4696000000000001E-2</v>
      </c>
      <c r="O7588">
        <v>0.99986620000000004</v>
      </c>
      <c r="P7588">
        <v>-8.9803400000000005E-2</v>
      </c>
      <c r="Q7588">
        <v>0.24196119999999999</v>
      </c>
      <c r="R7588">
        <v>0.96612120000000001</v>
      </c>
      <c r="S7588">
        <v>-9.2193600000000001E-2</v>
      </c>
      <c r="T7588">
        <v>-2.105856E-2</v>
      </c>
      <c r="U7588">
        <v>3.1013790000000001</v>
      </c>
      <c r="V7588">
        <v>-8.2673849999999993E-2</v>
      </c>
      <c r="W7588">
        <v>0.25620080000000001</v>
      </c>
      <c r="X7588">
        <v>0.96308159999999998</v>
      </c>
      <c r="Y7588">
        <v>-2.2521610000000001E-2</v>
      </c>
      <c r="Z7588">
        <v>7.9075399999999994E-3</v>
      </c>
      <c r="AA7588">
        <v>0.99971509999999997</v>
      </c>
      <c r="AB7588">
        <v>35</v>
      </c>
      <c r="AC7588">
        <v>-4.8587999999999996</v>
      </c>
      <c r="AD7588">
        <v>-1.1104000145649999</v>
      </c>
      <c r="AE7588">
        <v>163.16575</v>
      </c>
      <c r="AF7588">
        <v>-3.6853687087345302</v>
      </c>
      <c r="AG7588">
        <v>-1.1104000145649999</v>
      </c>
      <c r="AH7588">
        <v>163.18891556336001</v>
      </c>
      <c r="AI7588">
        <v>90.389757082973304</v>
      </c>
      <c r="AJ7588">
        <v>91.293716462421102</v>
      </c>
      <c r="AK7588">
        <v>163.234301215942</v>
      </c>
      <c r="AL7588">
        <v>75.155250035737893</v>
      </c>
      <c r="AM7588">
        <v>94.906415510497894</v>
      </c>
      <c r="AN7588">
        <v>0.999999991826511</v>
      </c>
    </row>
    <row r="7589" spans="1:40" x14ac:dyDescent="0.25">
      <c r="A7589" t="str">
        <f>"20190304155250844"</f>
        <v>20190304155250844</v>
      </c>
      <c r="B7589" t="str">
        <f>"1551685970834283"</f>
        <v>1551685970834283</v>
      </c>
      <c r="C7589" t="s">
        <v>40</v>
      </c>
      <c r="D7589">
        <v>4.8232080000000002</v>
      </c>
      <c r="E7589">
        <v>0.52027299999999999</v>
      </c>
      <c r="F7589" t="s">
        <v>41</v>
      </c>
      <c r="G7589">
        <v>-192.98050000000001</v>
      </c>
      <c r="H7589" s="1">
        <v>-2.9808649999999998E-6</v>
      </c>
      <c r="I7589">
        <v>264.68900000000002</v>
      </c>
      <c r="J7589">
        <v>-187.30840000000001</v>
      </c>
      <c r="K7589">
        <v>1.1104000000000001</v>
      </c>
      <c r="L7589">
        <v>74.037689999999998</v>
      </c>
      <c r="M7589">
        <v>-6.913621E-3</v>
      </c>
      <c r="N7589">
        <v>-1.469239E-2</v>
      </c>
      <c r="O7589">
        <v>0.99986819999999998</v>
      </c>
      <c r="P7589">
        <v>-8.9683910000000006E-2</v>
      </c>
      <c r="Q7589">
        <v>0.24251629999999999</v>
      </c>
      <c r="R7589">
        <v>0.96599310000000005</v>
      </c>
      <c r="S7589">
        <v>-9.2132569999999997E-2</v>
      </c>
      <c r="T7589">
        <v>-1.802981E-2</v>
      </c>
      <c r="U7589">
        <v>3.1011350000000002</v>
      </c>
      <c r="V7589">
        <v>-8.2821179999999994E-2</v>
      </c>
      <c r="W7589">
        <v>0.25675019999999998</v>
      </c>
      <c r="X7589">
        <v>0.96292259999999996</v>
      </c>
      <c r="Y7589">
        <v>-2.2779569999999999E-2</v>
      </c>
      <c r="Z7589">
        <v>8.879662E-3</v>
      </c>
      <c r="AA7589">
        <v>0.99970110000000001</v>
      </c>
      <c r="AB7589">
        <v>35</v>
      </c>
      <c r="AC7589">
        <v>-5.6721000000000004</v>
      </c>
      <c r="AD7589">
        <v>-1.110402980865</v>
      </c>
      <c r="AE7589">
        <v>190.65131</v>
      </c>
      <c r="AF7589">
        <v>-4.3535837241424202</v>
      </c>
      <c r="AG7589">
        <v>-1.110402980865</v>
      </c>
      <c r="AH7589">
        <v>190.67950903986301</v>
      </c>
      <c r="AI7589">
        <v>90.333565519022599</v>
      </c>
      <c r="AJ7589">
        <v>91.307946739819798</v>
      </c>
      <c r="AK7589">
        <v>190.732435242951</v>
      </c>
      <c r="AL7589">
        <v>75.122682087450599</v>
      </c>
      <c r="AM7589">
        <v>94.915923874717194</v>
      </c>
      <c r="AN7589">
        <v>0.99999997332369495</v>
      </c>
    </row>
    <row r="7590" spans="1:40" x14ac:dyDescent="0.25">
      <c r="A7590" t="str">
        <f>"20190304155250869"</f>
        <v>20190304155250869</v>
      </c>
      <c r="B7590" t="str">
        <f>"1551685970864540"</f>
        <v>1551685970864540</v>
      </c>
      <c r="C7590" t="s">
        <v>40</v>
      </c>
      <c r="D7590">
        <v>4.7713669999999997</v>
      </c>
      <c r="E7590">
        <v>0.52036559999999998</v>
      </c>
      <c r="F7590" t="s">
        <v>62</v>
      </c>
      <c r="G7590">
        <v>-193.85579999999999</v>
      </c>
      <c r="H7590" s="1">
        <v>3.0940229999999998E-7</v>
      </c>
      <c r="I7590">
        <v>297.85950000000003</v>
      </c>
      <c r="J7590">
        <v>-187.3108</v>
      </c>
      <c r="K7590">
        <v>1.110398</v>
      </c>
      <c r="L7590">
        <v>74.419399999999996</v>
      </c>
      <c r="M7590">
        <v>-6.6021659999999996E-3</v>
      </c>
      <c r="N7590">
        <v>-1.4688329999999999E-2</v>
      </c>
      <c r="O7590">
        <v>0.99987029999999999</v>
      </c>
      <c r="P7590">
        <v>-8.9693670000000003E-2</v>
      </c>
      <c r="Q7590">
        <v>0.2425842</v>
      </c>
      <c r="R7590">
        <v>0.96597520000000003</v>
      </c>
      <c r="S7590">
        <v>-9.0713500000000002E-2</v>
      </c>
      <c r="T7590">
        <v>-1.538455E-2</v>
      </c>
      <c r="U7590">
        <v>3.1010439999999999</v>
      </c>
      <c r="V7590">
        <v>-8.3132860000000003E-2</v>
      </c>
      <c r="W7590">
        <v>0.25681379999999998</v>
      </c>
      <c r="X7590">
        <v>0.96287880000000003</v>
      </c>
      <c r="Y7590">
        <v>-2.2634720000000001E-2</v>
      </c>
      <c r="Z7590">
        <v>9.7280950000000008E-3</v>
      </c>
      <c r="AA7590">
        <v>0.99969649999999999</v>
      </c>
      <c r="AB7590">
        <v>35</v>
      </c>
      <c r="AC7590">
        <v>-6.5449999999999804</v>
      </c>
      <c r="AD7590">
        <v>-1.11039769059769</v>
      </c>
      <c r="AE7590">
        <v>223.4401</v>
      </c>
      <c r="AF7590">
        <v>-5.06938440953037</v>
      </c>
      <c r="AG7590">
        <v>-1.11039769059769</v>
      </c>
      <c r="AH7590">
        <v>223.47293075432</v>
      </c>
      <c r="AI7590">
        <v>90.284617089040296</v>
      </c>
      <c r="AJ7590">
        <v>91.299506496137198</v>
      </c>
      <c r="AK7590">
        <v>223.53317968759899</v>
      </c>
      <c r="AL7590">
        <v>75.118911933177301</v>
      </c>
      <c r="AM7590">
        <v>94.934556094886503</v>
      </c>
      <c r="AN7590">
        <v>0.999999991885829</v>
      </c>
    </row>
    <row r="7591" spans="1:40" x14ac:dyDescent="0.25">
      <c r="A7591" t="str">
        <f>"20190304155250890"</f>
        <v>20190304155250890</v>
      </c>
      <c r="B7591" t="str">
        <f>"1551685970884060"</f>
        <v>1551685970884060</v>
      </c>
      <c r="C7591" t="s">
        <v>40</v>
      </c>
      <c r="D7591">
        <v>4.7659089999999997</v>
      </c>
      <c r="E7591">
        <v>0.52052949999999998</v>
      </c>
      <c r="F7591" t="s">
        <v>41</v>
      </c>
      <c r="G7591">
        <v>-194.10509999999999</v>
      </c>
      <c r="H7591" s="1">
        <v>-4.9288689999999997E-6</v>
      </c>
      <c r="I7591">
        <v>309.33069999999998</v>
      </c>
      <c r="J7591">
        <v>-187.31280000000001</v>
      </c>
      <c r="K7591">
        <v>1.110398</v>
      </c>
      <c r="L7591">
        <v>74.763759999999905</v>
      </c>
      <c r="M7591">
        <v>-6.321325E-3</v>
      </c>
      <c r="N7591">
        <v>-1.4684630000000001E-2</v>
      </c>
      <c r="O7591">
        <v>0.99987219999999999</v>
      </c>
      <c r="P7591">
        <v>-8.9622010000000002E-2</v>
      </c>
      <c r="Q7591">
        <v>0.24165690000000001</v>
      </c>
      <c r="R7591">
        <v>0.96621420000000002</v>
      </c>
      <c r="S7591">
        <v>-8.9691160000000006E-2</v>
      </c>
      <c r="T7591">
        <v>-1.4658330000000001E-2</v>
      </c>
      <c r="U7591">
        <v>3.1010439999999999</v>
      </c>
      <c r="V7591">
        <v>-8.3331749999999996E-2</v>
      </c>
      <c r="W7591">
        <v>0.255886</v>
      </c>
      <c r="X7591">
        <v>0.96310859999999998</v>
      </c>
      <c r="Y7591">
        <v>-2.2586209999999999E-2</v>
      </c>
      <c r="Z7591">
        <v>9.9585149999999994E-3</v>
      </c>
      <c r="AA7591">
        <v>0.99969529999999995</v>
      </c>
      <c r="AB7591">
        <v>35</v>
      </c>
      <c r="AC7591">
        <v>-6.7922999999999796</v>
      </c>
      <c r="AD7591">
        <v>-1.1104029288689901</v>
      </c>
      <c r="AE7591">
        <v>234.56693999999999</v>
      </c>
      <c r="AF7591">
        <v>-5.3091116394478997</v>
      </c>
      <c r="AG7591">
        <v>-1.1104029288689901</v>
      </c>
      <c r="AH7591">
        <v>234.59994055272901</v>
      </c>
      <c r="AI7591">
        <v>90.2711195972757</v>
      </c>
      <c r="AJ7591">
        <v>91.296410288918693</v>
      </c>
      <c r="AK7591">
        <v>234.66263394159799</v>
      </c>
      <c r="AL7591">
        <v>75.173908860734002</v>
      </c>
      <c r="AM7591">
        <v>94.945128855643105</v>
      </c>
      <c r="AN7591">
        <v>1.0000000004740099</v>
      </c>
    </row>
    <row r="7592" spans="1:40" x14ac:dyDescent="0.25">
      <c r="A7592" t="str">
        <f>"20190304155250911"</f>
        <v>20190304155250911</v>
      </c>
      <c r="B7592" t="str">
        <f>"1551685970904557"</f>
        <v>1551685970904557</v>
      </c>
      <c r="C7592" t="s">
        <v>40</v>
      </c>
      <c r="D7592">
        <v>4.7426180000000002</v>
      </c>
      <c r="E7592">
        <v>0.52074520000000002</v>
      </c>
      <c r="F7592" t="s">
        <v>62</v>
      </c>
      <c r="G7592">
        <v>-193.16149999999999</v>
      </c>
      <c r="H7592" s="1">
        <v>3.6215060000000001E-6</v>
      </c>
      <c r="I7592">
        <v>282.12610000000001</v>
      </c>
      <c r="J7592">
        <v>-187.31450000000001</v>
      </c>
      <c r="K7592">
        <v>1.1103970000000001</v>
      </c>
      <c r="L7592">
        <v>75.087649999999996</v>
      </c>
      <c r="M7592">
        <v>-6.056919E-3</v>
      </c>
      <c r="N7592">
        <v>-1.4681130000000001E-2</v>
      </c>
      <c r="O7592">
        <v>0.99987389999999998</v>
      </c>
      <c r="P7592">
        <v>-8.9841619999999997E-2</v>
      </c>
      <c r="Q7592">
        <v>0.2409462</v>
      </c>
      <c r="R7592">
        <v>0.96637119999999999</v>
      </c>
      <c r="S7592">
        <v>-8.7463379999999993E-2</v>
      </c>
      <c r="T7592">
        <v>-1.6605140000000001E-2</v>
      </c>
      <c r="U7592">
        <v>3.1009519999999999</v>
      </c>
      <c r="V7592">
        <v>-8.3807300000000001E-2</v>
      </c>
      <c r="W7592">
        <v>0.25517420000000002</v>
      </c>
      <c r="X7592">
        <v>0.96325620000000001</v>
      </c>
      <c r="Y7592">
        <v>-2.2133960000000001E-2</v>
      </c>
      <c r="Z7592">
        <v>9.3273399999999999E-3</v>
      </c>
      <c r="AA7592">
        <v>0.99971149999999998</v>
      </c>
      <c r="AB7592">
        <v>35</v>
      </c>
      <c r="AC7592">
        <v>-5.84699999999998</v>
      </c>
      <c r="AD7592">
        <v>-1.1103933784940001</v>
      </c>
      <c r="AE7592">
        <v>207.03845000000001</v>
      </c>
      <c r="AF7592">
        <v>-4.5926104641362402</v>
      </c>
      <c r="AG7592">
        <v>-1.1103933784940001</v>
      </c>
      <c r="AH7592">
        <v>207.06411875533701</v>
      </c>
      <c r="AI7592">
        <v>90.307173460203899</v>
      </c>
      <c r="AJ7592">
        <v>91.270592229486894</v>
      </c>
      <c r="AK7592">
        <v>207.11802026925301</v>
      </c>
      <c r="AL7592">
        <v>75.2160927620981</v>
      </c>
      <c r="AM7592">
        <v>94.972449908342099</v>
      </c>
      <c r="AN7592">
        <v>1.0000000213586799</v>
      </c>
    </row>
    <row r="7593" spans="1:40" x14ac:dyDescent="0.25">
      <c r="A7593" t="str">
        <f>"20190304155250933"</f>
        <v>20190304155250933</v>
      </c>
      <c r="B7593" t="str">
        <f>"1551685970924078"</f>
        <v>1551685970924078</v>
      </c>
      <c r="C7593" t="s">
        <v>40</v>
      </c>
      <c r="D7593">
        <v>4.7412859999999997</v>
      </c>
      <c r="E7593">
        <v>0.52104329999999999</v>
      </c>
      <c r="F7593" t="s">
        <v>41</v>
      </c>
      <c r="G7593">
        <v>-192.51920000000001</v>
      </c>
      <c r="H7593" s="1">
        <v>-1.279571E-6</v>
      </c>
      <c r="I7593">
        <v>261.00940000000003</v>
      </c>
      <c r="J7593">
        <v>-187.31630000000001</v>
      </c>
      <c r="K7593">
        <v>1.1103959999999999</v>
      </c>
      <c r="L7593">
        <v>75.436309999999906</v>
      </c>
      <c r="M7593">
        <v>-5.7722140000000003E-3</v>
      </c>
      <c r="N7593">
        <v>-1.4677340000000001E-2</v>
      </c>
      <c r="O7593">
        <v>0.99987559999999998</v>
      </c>
      <c r="P7593">
        <v>-8.9706099999999997E-2</v>
      </c>
      <c r="Q7593">
        <v>0.24010319999999999</v>
      </c>
      <c r="R7593">
        <v>0.96659360000000005</v>
      </c>
      <c r="S7593">
        <v>-8.6807250000000002E-2</v>
      </c>
      <c r="T7593">
        <v>-1.8520120000000001E-2</v>
      </c>
      <c r="U7593">
        <v>3.1009519999999999</v>
      </c>
      <c r="V7593">
        <v>-8.3946469999999995E-2</v>
      </c>
      <c r="W7593">
        <v>0.25433040000000001</v>
      </c>
      <c r="X7593">
        <v>0.96346719999999997</v>
      </c>
      <c r="Y7593">
        <v>-2.2207319999999999E-2</v>
      </c>
      <c r="Z7593">
        <v>8.7063009999999996E-3</v>
      </c>
      <c r="AA7593">
        <v>0.99971549999999998</v>
      </c>
      <c r="AB7593">
        <v>35</v>
      </c>
      <c r="AC7593">
        <v>-5.2028999999999996</v>
      </c>
      <c r="AD7593">
        <v>-1.110397279571</v>
      </c>
      <c r="AE7593">
        <v>185.57309000000001</v>
      </c>
      <c r="AF7593">
        <v>-4.1313824951841296</v>
      </c>
      <c r="AG7593">
        <v>-1.110397279571</v>
      </c>
      <c r="AH7593">
        <v>185.59339359827601</v>
      </c>
      <c r="AI7593">
        <v>90.342709192703893</v>
      </c>
      <c r="AJ7593">
        <v>91.275216153106399</v>
      </c>
      <c r="AK7593">
        <v>185.642691886227</v>
      </c>
      <c r="AL7593">
        <v>75.266088219250506</v>
      </c>
      <c r="AM7593">
        <v>94.979580349410497</v>
      </c>
      <c r="AN7593">
        <v>1.0000000038327299</v>
      </c>
    </row>
    <row r="7594" spans="1:40" x14ac:dyDescent="0.25">
      <c r="A7594" t="str">
        <f>"20190304155250955"</f>
        <v>20190304155250955</v>
      </c>
      <c r="B7594" t="str">
        <f>"1551685970944106"</f>
        <v>1551685970944106</v>
      </c>
      <c r="C7594" t="s">
        <v>40</v>
      </c>
      <c r="D7594">
        <v>4.7042859999999997</v>
      </c>
      <c r="E7594">
        <v>0.52114479999999996</v>
      </c>
      <c r="F7594" t="s">
        <v>41</v>
      </c>
      <c r="G7594">
        <v>-191.9657</v>
      </c>
      <c r="H7594" s="1">
        <v>-3.9990689999999997E-6</v>
      </c>
      <c r="I7594">
        <v>246.9451</v>
      </c>
      <c r="J7594">
        <v>-187.31809999999999</v>
      </c>
      <c r="K7594">
        <v>1.1103909999999999</v>
      </c>
      <c r="L7594">
        <v>75.797759999999997</v>
      </c>
      <c r="M7594">
        <v>-5.4769199999999997E-3</v>
      </c>
      <c r="N7594">
        <v>-1.4673429999999999E-2</v>
      </c>
      <c r="O7594">
        <v>0.99987729999999997</v>
      </c>
      <c r="P7594">
        <v>-8.9546990000000007E-2</v>
      </c>
      <c r="Q7594">
        <v>0.23921709999999999</v>
      </c>
      <c r="R7594">
        <v>0.96682809999999997</v>
      </c>
      <c r="S7594">
        <v>-8.4060670000000004E-2</v>
      </c>
      <c r="T7594">
        <v>-2.0075920000000001E-2</v>
      </c>
      <c r="U7594">
        <v>3.1008610000000001</v>
      </c>
      <c r="V7594">
        <v>-8.4072369999999993E-2</v>
      </c>
      <c r="W7594">
        <v>0.2534439</v>
      </c>
      <c r="X7594">
        <v>0.96368980000000004</v>
      </c>
      <c r="Y7594">
        <v>-2.1618689999999999E-2</v>
      </c>
      <c r="Z7594">
        <v>8.2006549999999994E-3</v>
      </c>
      <c r="AA7594">
        <v>0.99973270000000003</v>
      </c>
      <c r="AB7594">
        <v>35</v>
      </c>
      <c r="AC7594">
        <v>-4.6476000000000104</v>
      </c>
      <c r="AD7594">
        <v>-1.1103949990690001</v>
      </c>
      <c r="AE7594">
        <v>171.14734000000001</v>
      </c>
      <c r="AF7594">
        <v>-3.7099129762973799</v>
      </c>
      <c r="AG7594">
        <v>-1.1103949990690001</v>
      </c>
      <c r="AH7594">
        <v>171.163030243138</v>
      </c>
      <c r="AI7594">
        <v>90.371605456975303</v>
      </c>
      <c r="AJ7594">
        <v>91.241676302043999</v>
      </c>
      <c r="AK7594">
        <v>171.20683208727101</v>
      </c>
      <c r="AL7594">
        <v>75.318601566893804</v>
      </c>
      <c r="AM7594">
        <v>94.985864788675997</v>
      </c>
      <c r="AN7594">
        <v>1.0000000022343301</v>
      </c>
    </row>
    <row r="7595" spans="1:40" x14ac:dyDescent="0.25">
      <c r="A7595" t="str">
        <f>"20190304155250977"</f>
        <v>20190304155250977</v>
      </c>
      <c r="B7595" t="str">
        <f>"1551685970974359"</f>
        <v>1551685970974359</v>
      </c>
      <c r="C7595" t="s">
        <v>40</v>
      </c>
      <c r="D7595">
        <v>4.7040639999999998</v>
      </c>
      <c r="E7595">
        <v>0.52927460000000004</v>
      </c>
      <c r="F7595" t="s">
        <v>62</v>
      </c>
      <c r="G7595">
        <v>-191.38290000000001</v>
      </c>
      <c r="H7595" s="1">
        <v>6.4054810000000004E-7</v>
      </c>
      <c r="I7595">
        <v>227.44669999999999</v>
      </c>
      <c r="J7595">
        <v>-187.31970000000001</v>
      </c>
      <c r="K7595">
        <v>1.110384</v>
      </c>
      <c r="L7595">
        <v>76.127930000000006</v>
      </c>
      <c r="M7595">
        <v>-5.2071770000000003E-3</v>
      </c>
      <c r="N7595">
        <v>-1.466987E-2</v>
      </c>
      <c r="O7595">
        <v>0.99987879999999996</v>
      </c>
      <c r="P7595">
        <v>-8.9570919999999998E-2</v>
      </c>
      <c r="Q7595">
        <v>0.2378075</v>
      </c>
      <c r="R7595">
        <v>0.96717350000000002</v>
      </c>
      <c r="S7595">
        <v>-8.311462E-2</v>
      </c>
      <c r="T7595">
        <v>-2.270484E-2</v>
      </c>
      <c r="U7595">
        <v>3.1008610000000001</v>
      </c>
      <c r="V7595">
        <v>-8.435716E-2</v>
      </c>
      <c r="W7595">
        <v>0.25203589999999998</v>
      </c>
      <c r="X7595">
        <v>0.9640341</v>
      </c>
      <c r="Y7595">
        <v>-2.1583669999999999E-2</v>
      </c>
      <c r="Z7595">
        <v>7.349647E-3</v>
      </c>
      <c r="AA7595">
        <v>0.99973999999999996</v>
      </c>
      <c r="AB7595">
        <v>35</v>
      </c>
      <c r="AC7595">
        <v>-4.0631999999999904</v>
      </c>
      <c r="AD7595">
        <v>-1.1103833594518999</v>
      </c>
      <c r="AE7595">
        <v>151.31876999999901</v>
      </c>
      <c r="AF7595">
        <v>-3.27494024034314</v>
      </c>
      <c r="AG7595">
        <v>-1.1103833594518999</v>
      </c>
      <c r="AH7595">
        <v>151.329735384619</v>
      </c>
      <c r="AI7595">
        <v>90.420302371092603</v>
      </c>
      <c r="AJ7595">
        <v>91.239749535941499</v>
      </c>
      <c r="AK7595">
        <v>151.369240588574</v>
      </c>
      <c r="AL7595">
        <v>75.4019807606348</v>
      </c>
      <c r="AM7595">
        <v>95.0008909201009</v>
      </c>
      <c r="AN7595">
        <v>0.99999998564744197</v>
      </c>
    </row>
    <row r="7596" spans="1:40" x14ac:dyDescent="0.25">
      <c r="A7596" t="str">
        <f>"20190304155251000"</f>
        <v>20190304155251000</v>
      </c>
      <c r="B7596" t="str">
        <f>"1551685970993880"</f>
        <v>1551685970993880</v>
      </c>
      <c r="C7596" t="s">
        <v>40</v>
      </c>
      <c r="D7596">
        <v>4.6905900000000003</v>
      </c>
      <c r="E7596">
        <v>0.52304890000000004</v>
      </c>
      <c r="F7596" t="s">
        <v>55</v>
      </c>
      <c r="G7596">
        <v>-189.46950000000001</v>
      </c>
      <c r="H7596">
        <v>7.8341589999999997</v>
      </c>
      <c r="I7596">
        <v>391.87</v>
      </c>
      <c r="J7596">
        <v>-187.32130000000001</v>
      </c>
      <c r="K7596">
        <v>1.1103780000000001</v>
      </c>
      <c r="L7596">
        <v>76.491</v>
      </c>
      <c r="M7596">
        <v>-4.9103609999999898E-3</v>
      </c>
      <c r="N7596">
        <v>-1.4665930000000001E-2</v>
      </c>
      <c r="O7596">
        <v>0.9998804</v>
      </c>
      <c r="P7596">
        <v>-8.9473399999999995E-2</v>
      </c>
      <c r="Q7596">
        <v>0.23709430000000001</v>
      </c>
      <c r="R7596">
        <v>0.96735760000000004</v>
      </c>
      <c r="S7596">
        <v>-2.0996089999999999E-2</v>
      </c>
      <c r="T7596">
        <v>6.5668699999999997E-2</v>
      </c>
      <c r="U7596">
        <v>3.0837400000000001</v>
      </c>
      <c r="V7596">
        <v>-8.4546700000000002E-2</v>
      </c>
      <c r="W7596">
        <v>0.25132149999999998</v>
      </c>
      <c r="X7596">
        <v>0.96420399999999995</v>
      </c>
      <c r="Y7596">
        <v>-1.8933209999999999E-3</v>
      </c>
      <c r="Z7596">
        <v>3.5949740000000001E-2</v>
      </c>
      <c r="AA7596">
        <v>0.99935180000000001</v>
      </c>
      <c r="AB7596">
        <v>35</v>
      </c>
      <c r="AC7596">
        <v>-2.1482000000000001</v>
      </c>
      <c r="AD7596">
        <v>6.7237809999999998</v>
      </c>
      <c r="AE7596">
        <v>315.37900000000002</v>
      </c>
      <c r="AF7596">
        <v>-0.59911049232408697</v>
      </c>
      <c r="AG7596">
        <v>6.7237809999999998</v>
      </c>
      <c r="AH7596">
        <v>315.24246638977201</v>
      </c>
      <c r="AI7596">
        <v>88.778130434558705</v>
      </c>
      <c r="AJ7596">
        <v>90.108889077472597</v>
      </c>
      <c r="AK7596">
        <v>315.31473289369899</v>
      </c>
      <c r="AL7596">
        <v>75.444274431549502</v>
      </c>
      <c r="AM7596">
        <v>95.011191459109995</v>
      </c>
      <c r="AN7596">
        <v>0.999999997229569</v>
      </c>
    </row>
    <row r="7597" spans="1:40" x14ac:dyDescent="0.25">
      <c r="A7597" t="str">
        <f>"20190304155251023"</f>
        <v>20190304155251023</v>
      </c>
      <c r="B7597" t="str">
        <f>"1551685971014375"</f>
        <v>1551685971014375</v>
      </c>
      <c r="C7597" t="s">
        <v>40</v>
      </c>
      <c r="D7597">
        <v>4.692069</v>
      </c>
      <c r="E7597">
        <v>0.52289529999999995</v>
      </c>
      <c r="F7597" t="s">
        <v>41</v>
      </c>
      <c r="G7597">
        <v>-193.20570000000001</v>
      </c>
      <c r="H7597" s="1">
        <v>-2.9038640000000001E-6</v>
      </c>
      <c r="I7597">
        <v>344.36989999999997</v>
      </c>
      <c r="J7597">
        <v>-187.3227</v>
      </c>
      <c r="K7597">
        <v>1.110379</v>
      </c>
      <c r="L7597">
        <v>76.835210000000004</v>
      </c>
      <c r="M7597">
        <v>-4.6287910000000002E-3</v>
      </c>
      <c r="N7597">
        <v>-1.466217E-2</v>
      </c>
      <c r="O7597">
        <v>0.99988180000000004</v>
      </c>
      <c r="P7597">
        <v>-8.8851369999999999E-2</v>
      </c>
      <c r="Q7597">
        <v>0.23650860000000001</v>
      </c>
      <c r="R7597">
        <v>0.96755829999999998</v>
      </c>
      <c r="S7597">
        <v>-6.8054199999999995E-2</v>
      </c>
      <c r="T7597">
        <v>-1.284182E-2</v>
      </c>
      <c r="U7597">
        <v>3.0980829999999999</v>
      </c>
      <c r="V7597">
        <v>-8.4197159999999993E-2</v>
      </c>
      <c r="W7597">
        <v>0.25073440000000002</v>
      </c>
      <c r="X7597">
        <v>0.96438740000000001</v>
      </c>
      <c r="Y7597">
        <v>-1.7329239999999999E-2</v>
      </c>
      <c r="Z7597">
        <v>1.051757E-2</v>
      </c>
      <c r="AA7597">
        <v>0.99979450000000003</v>
      </c>
      <c r="AB7597">
        <v>35</v>
      </c>
      <c r="AC7597">
        <v>-5.8830000000000098</v>
      </c>
      <c r="AD7597">
        <v>-1.1103819038639999</v>
      </c>
      <c r="AE7597">
        <v>267.53469000000001</v>
      </c>
      <c r="AF7597">
        <v>-4.6443617111831497</v>
      </c>
      <c r="AG7597">
        <v>-1.1103819038639999</v>
      </c>
      <c r="AH7597">
        <v>267.554450746817</v>
      </c>
      <c r="AI7597">
        <v>90.237746928257806</v>
      </c>
      <c r="AJ7597">
        <v>90.994472718988504</v>
      </c>
      <c r="AK7597">
        <v>267.59706119108898</v>
      </c>
      <c r="AL7597">
        <v>75.479025252118902</v>
      </c>
      <c r="AM7597">
        <v>94.989634338457904</v>
      </c>
      <c r="AN7597">
        <v>0.99999997918709205</v>
      </c>
    </row>
    <row r="7598" spans="1:40" x14ac:dyDescent="0.25">
      <c r="A7598" t="str">
        <f>"20190304155251045"</f>
        <v>20190304155251045</v>
      </c>
      <c r="B7598" t="str">
        <f>"1551685971034874"</f>
        <v>1551685971034874</v>
      </c>
      <c r="C7598" t="s">
        <v>40</v>
      </c>
      <c r="D7598">
        <v>4.6562190000000001</v>
      </c>
      <c r="E7598">
        <v>0.52333529999999995</v>
      </c>
      <c r="F7598" t="s">
        <v>41</v>
      </c>
      <c r="G7598">
        <v>-192.66380000000001</v>
      </c>
      <c r="H7598" s="1">
        <v>-2.2921520000000002E-6</v>
      </c>
      <c r="I7598">
        <v>323.27999999999997</v>
      </c>
      <c r="J7598">
        <v>-187.32400000000001</v>
      </c>
      <c r="K7598">
        <v>1.1103879999999999</v>
      </c>
      <c r="L7598">
        <v>77.19153</v>
      </c>
      <c r="M7598">
        <v>-4.3391530000000001E-3</v>
      </c>
      <c r="N7598">
        <v>-1.4658249999999999E-2</v>
      </c>
      <c r="O7598">
        <v>0.99988319999999997</v>
      </c>
      <c r="P7598">
        <v>-8.80214E-2</v>
      </c>
      <c r="Q7598">
        <v>0.23623230000000001</v>
      </c>
      <c r="R7598">
        <v>0.9677017</v>
      </c>
      <c r="S7598">
        <v>-6.7138669999999998E-2</v>
      </c>
      <c r="T7598">
        <v>-1.395762E-2</v>
      </c>
      <c r="U7598">
        <v>3.097839</v>
      </c>
      <c r="V7598">
        <v>-8.3647879999999994E-2</v>
      </c>
      <c r="W7598">
        <v>0.2504556</v>
      </c>
      <c r="X7598">
        <v>0.96450769999999997</v>
      </c>
      <c r="Y7598">
        <v>-1.7325299999999998E-2</v>
      </c>
      <c r="Z7598">
        <v>1.0153270000000001E-2</v>
      </c>
      <c r="AA7598">
        <v>0.99979839999999998</v>
      </c>
      <c r="AB7598">
        <v>35</v>
      </c>
      <c r="AC7598">
        <v>-5.3397999999999897</v>
      </c>
      <c r="AD7598">
        <v>-1.1103902921519999</v>
      </c>
      <c r="AE7598">
        <v>246.08847</v>
      </c>
      <c r="AF7598">
        <v>-4.2717325873200798</v>
      </c>
      <c r="AG7598">
        <v>-1.1103902921519999</v>
      </c>
      <c r="AH7598">
        <v>246.10431725947399</v>
      </c>
      <c r="AI7598">
        <v>90.2584703304436</v>
      </c>
      <c r="AJ7598">
        <v>90.994406258345194</v>
      </c>
      <c r="AK7598">
        <v>246.143892143702</v>
      </c>
      <c r="AL7598">
        <v>75.495526707832497</v>
      </c>
      <c r="AM7598">
        <v>94.956630794127705</v>
      </c>
      <c r="AN7598">
        <v>1.00000003937957</v>
      </c>
    </row>
    <row r="7599" spans="1:40" x14ac:dyDescent="0.25">
      <c r="A7599" t="str">
        <f>"20190304155251069"</f>
        <v>20190304155251069</v>
      </c>
      <c r="B7599" t="str">
        <f>"1551685971064151"</f>
        <v>1551685971064151</v>
      </c>
      <c r="C7599" t="s">
        <v>40</v>
      </c>
      <c r="D7599">
        <v>4.6811910000000001</v>
      </c>
      <c r="E7599">
        <v>0.52352739999999998</v>
      </c>
      <c r="F7599" t="s">
        <v>41</v>
      </c>
      <c r="G7599">
        <v>-192.0838</v>
      </c>
      <c r="H7599" s="1">
        <v>-4.5572939999999998E-6</v>
      </c>
      <c r="I7599">
        <v>318.19099999999997</v>
      </c>
      <c r="J7599">
        <v>-187.3253</v>
      </c>
      <c r="K7599">
        <v>1.1103889999999901</v>
      </c>
      <c r="L7599">
        <v>77.538569999999893</v>
      </c>
      <c r="M7599">
        <v>-4.0606130000000002E-3</v>
      </c>
      <c r="N7599">
        <v>-1.465442E-2</v>
      </c>
      <c r="O7599">
        <v>0.99988440000000001</v>
      </c>
      <c r="P7599">
        <v>-8.7360259999999995E-2</v>
      </c>
      <c r="Q7599">
        <v>0.2361307</v>
      </c>
      <c r="R7599">
        <v>0.96778640000000005</v>
      </c>
      <c r="S7599">
        <v>-6.1187739999999997E-2</v>
      </c>
      <c r="T7599">
        <v>-1.427412E-2</v>
      </c>
      <c r="U7599">
        <v>3.0980530000000002</v>
      </c>
      <c r="V7599">
        <v>-8.3258380000000007E-2</v>
      </c>
      <c r="W7599">
        <v>0.25034980000000001</v>
      </c>
      <c r="X7599">
        <v>0.9645688</v>
      </c>
      <c r="Y7599">
        <v>-1.5682910000000001E-2</v>
      </c>
      <c r="Z7599">
        <v>1.004757E-2</v>
      </c>
      <c r="AA7599">
        <v>0.99982660000000001</v>
      </c>
      <c r="AB7599">
        <v>35</v>
      </c>
      <c r="AC7599">
        <v>-4.75849999999999</v>
      </c>
      <c r="AD7599">
        <v>-1.11039355729399</v>
      </c>
      <c r="AE7599">
        <v>240.65243000000001</v>
      </c>
      <c r="AF7599">
        <v>-3.7810789899626398</v>
      </c>
      <c r="AG7599">
        <v>-1.11039355729399</v>
      </c>
      <c r="AH7599">
        <v>240.664648338386</v>
      </c>
      <c r="AI7599">
        <v>90.264320344172205</v>
      </c>
      <c r="AJ7599">
        <v>90.900099152458296</v>
      </c>
      <c r="AK7599">
        <v>240.69691001759699</v>
      </c>
      <c r="AL7599">
        <v>75.501787124352305</v>
      </c>
      <c r="AM7599">
        <v>94.933353825606403</v>
      </c>
      <c r="AN7599">
        <v>0.99999997506685101</v>
      </c>
    </row>
    <row r="7600" spans="1:40" x14ac:dyDescent="0.25">
      <c r="A7600" t="str">
        <f>"20190304155251092"</f>
        <v>20190304155251092</v>
      </c>
      <c r="B7600" t="str">
        <f>"1551685971084647"</f>
        <v>1551685971084647</v>
      </c>
      <c r="C7600" t="s">
        <v>40</v>
      </c>
      <c r="D7600">
        <v>4.8184310000000004</v>
      </c>
      <c r="E7600">
        <v>0.52365229999999996</v>
      </c>
      <c r="F7600" t="s">
        <v>41</v>
      </c>
      <c r="G7600">
        <v>-191.70339999999999</v>
      </c>
      <c r="H7600" s="1">
        <v>-2.7298230000000001E-6</v>
      </c>
      <c r="I7600">
        <v>314.40769999999998</v>
      </c>
      <c r="J7600">
        <v>-187.32640000000001</v>
      </c>
      <c r="K7600">
        <v>1.110398</v>
      </c>
      <c r="L7600">
        <v>77.904139999999998</v>
      </c>
      <c r="M7600">
        <v>-3.7772999999999999E-3</v>
      </c>
      <c r="N7600">
        <v>-1.4650470000000001E-2</v>
      </c>
      <c r="O7600">
        <v>0.99988560000000004</v>
      </c>
      <c r="P7600">
        <v>-8.6603940000000004E-2</v>
      </c>
      <c r="Q7600">
        <v>0.23647260000000001</v>
      </c>
      <c r="R7600">
        <v>0.96777089999999999</v>
      </c>
      <c r="S7600">
        <v>-5.7266240000000003E-2</v>
      </c>
      <c r="T7600">
        <v>-1.452386E-2</v>
      </c>
      <c r="U7600">
        <v>3.098236</v>
      </c>
      <c r="V7600">
        <v>-8.2779950000000005E-2</v>
      </c>
      <c r="W7600">
        <v>0.25068590000000002</v>
      </c>
      <c r="X7600">
        <v>0.96452269999999896</v>
      </c>
      <c r="Y7600">
        <v>-1.470015E-2</v>
      </c>
      <c r="Z7600">
        <v>9.9632709999999992E-3</v>
      </c>
      <c r="AA7600">
        <v>0.99984229999999996</v>
      </c>
      <c r="AB7600">
        <v>35</v>
      </c>
      <c r="AC7600">
        <v>-4.3769999999999802</v>
      </c>
      <c r="AD7600">
        <v>-1.1104007298230001</v>
      </c>
      <c r="AE7600">
        <v>236.50355999999999</v>
      </c>
      <c r="AF7600">
        <v>-3.4834512735879999</v>
      </c>
      <c r="AG7600">
        <v>-1.1104007298230001</v>
      </c>
      <c r="AH7600">
        <v>236.513195595605</v>
      </c>
      <c r="AI7600">
        <v>90.268965579509</v>
      </c>
      <c r="AJ7600">
        <v>90.843811803875695</v>
      </c>
      <c r="AK7600">
        <v>236.54145326644399</v>
      </c>
      <c r="AL7600">
        <v>75.481895931650101</v>
      </c>
      <c r="AM7600">
        <v>94.905377164262006</v>
      </c>
      <c r="AN7600">
        <v>0.99999998969805104</v>
      </c>
    </row>
    <row r="7601" spans="1:40" x14ac:dyDescent="0.25">
      <c r="A7601" t="str">
        <f>"20190304155251111"</f>
        <v>20190304155251111</v>
      </c>
      <c r="B7601" t="str">
        <f>"1551685971104167"</f>
        <v>1551685971104167</v>
      </c>
      <c r="C7601" t="s">
        <v>40</v>
      </c>
      <c r="D7601">
        <v>4.6264180000000001</v>
      </c>
      <c r="E7601">
        <v>0.52344089999999999</v>
      </c>
      <c r="F7601" t="s">
        <v>62</v>
      </c>
      <c r="G7601">
        <v>-191.0531</v>
      </c>
      <c r="H7601" s="1">
        <v>2.8132509999999999E-6</v>
      </c>
      <c r="I7601">
        <v>291.10840000000002</v>
      </c>
      <c r="J7601">
        <v>-187.32740000000001</v>
      </c>
      <c r="K7601">
        <v>1.1104080000000001</v>
      </c>
      <c r="L7601">
        <v>78.214869999999905</v>
      </c>
      <c r="M7601">
        <v>-3.5439899999999999E-3</v>
      </c>
      <c r="N7601">
        <v>-1.464712E-2</v>
      </c>
      <c r="O7601">
        <v>0.99988650000000001</v>
      </c>
      <c r="P7601">
        <v>-8.6061479999999996E-2</v>
      </c>
      <c r="Q7601">
        <v>0.23675679999999999</v>
      </c>
      <c r="R7601">
        <v>0.96774979999999999</v>
      </c>
      <c r="S7601">
        <v>-5.41687E-2</v>
      </c>
      <c r="T7601">
        <v>-1.6139980000000002E-2</v>
      </c>
      <c r="U7601">
        <v>3.0989990000000001</v>
      </c>
      <c r="V7601">
        <v>-8.2467499999999999E-2</v>
      </c>
      <c r="W7601">
        <v>0.25096429999999997</v>
      </c>
      <c r="X7601">
        <v>0.96447709999999998</v>
      </c>
      <c r="Y7601">
        <v>-1.393001E-2</v>
      </c>
      <c r="Z7601">
        <v>9.4396649999999999E-3</v>
      </c>
      <c r="AA7601">
        <v>0.99985840000000004</v>
      </c>
      <c r="AB7601">
        <v>35</v>
      </c>
      <c r="AC7601">
        <v>-3.7256999999999798</v>
      </c>
      <c r="AD7601">
        <v>-1.1104051867489999</v>
      </c>
      <c r="AE7601">
        <v>212.89353</v>
      </c>
      <c r="AF7601">
        <v>-2.9710223515590002</v>
      </c>
      <c r="AG7601">
        <v>-1.1104051867489999</v>
      </c>
      <c r="AH7601">
        <v>212.89960799347199</v>
      </c>
      <c r="AI7601">
        <v>90.298801677516394</v>
      </c>
      <c r="AJ7601">
        <v>90.799512945547903</v>
      </c>
      <c r="AK7601">
        <v>212.92323277948401</v>
      </c>
      <c r="AL7601">
        <v>75.465418513889404</v>
      </c>
      <c r="AM7601">
        <v>94.8871817610043</v>
      </c>
      <c r="AN7601">
        <v>1.00000002242757</v>
      </c>
    </row>
    <row r="7602" spans="1:40" x14ac:dyDescent="0.25">
      <c r="A7602" t="str">
        <f>"20190304155251135"</f>
        <v>20190304155251135</v>
      </c>
      <c r="B7602" t="str">
        <f>"1551685971124666"</f>
        <v>1551685971124666</v>
      </c>
      <c r="C7602" t="s">
        <v>40</v>
      </c>
      <c r="D7602">
        <v>4.6303369999999999</v>
      </c>
      <c r="E7602">
        <v>0.52336499999999997</v>
      </c>
      <c r="F7602" t="s">
        <v>62</v>
      </c>
      <c r="G7602">
        <v>-190.82310000000001</v>
      </c>
      <c r="H7602" s="1">
        <v>5.5544520000000003E-6</v>
      </c>
      <c r="I7602">
        <v>275.8338</v>
      </c>
      <c r="J7602">
        <v>-187.32839999999999</v>
      </c>
      <c r="K7602">
        <v>1.1104210000000001</v>
      </c>
      <c r="L7602">
        <v>78.578769999999906</v>
      </c>
      <c r="M7602">
        <v>-3.2844100000000002E-3</v>
      </c>
      <c r="N7602">
        <v>-1.464323E-2</v>
      </c>
      <c r="O7602">
        <v>0.99988739999999998</v>
      </c>
      <c r="P7602">
        <v>-8.5607619999999995E-2</v>
      </c>
      <c r="Q7602">
        <v>0.2367427</v>
      </c>
      <c r="R7602">
        <v>0.96779349999999997</v>
      </c>
      <c r="S7602">
        <v>-5.4824829999999998E-2</v>
      </c>
      <c r="T7602">
        <v>-1.7415050000000001E-2</v>
      </c>
      <c r="U7602">
        <v>3.0993650000000001</v>
      </c>
      <c r="V7602">
        <v>-8.2271549999999999E-2</v>
      </c>
      <c r="W7602">
        <v>0.25094490000000003</v>
      </c>
      <c r="X7602">
        <v>0.96449890000000005</v>
      </c>
      <c r="Y7602">
        <v>-1.439908E-2</v>
      </c>
      <c r="Z7602">
        <v>9.0251340000000006E-3</v>
      </c>
      <c r="AA7602">
        <v>0.99985559999999996</v>
      </c>
      <c r="AB7602">
        <v>35</v>
      </c>
      <c r="AC7602">
        <v>-3.4947000000000199</v>
      </c>
      <c r="AD7602">
        <v>-1.110415445548</v>
      </c>
      <c r="AE7602">
        <v>197.25503</v>
      </c>
      <c r="AF7602">
        <v>-2.8466551104598201</v>
      </c>
      <c r="AG7602">
        <v>-1.110415445548</v>
      </c>
      <c r="AH7602">
        <v>197.259196022211</v>
      </c>
      <c r="AI7602">
        <v>90.322493573156095</v>
      </c>
      <c r="AJ7602">
        <v>90.826780226455398</v>
      </c>
      <c r="AK7602">
        <v>197.28286008447</v>
      </c>
      <c r="AL7602">
        <v>75.466567051068097</v>
      </c>
      <c r="AM7602">
        <v>94.875515763571997</v>
      </c>
      <c r="AN7602">
        <v>1.00000003943831</v>
      </c>
    </row>
    <row r="7603" spans="1:40" x14ac:dyDescent="0.25">
      <c r="A7603" t="str">
        <f>"20190304155251156"</f>
        <v>20190304155251156</v>
      </c>
      <c r="B7603" t="str">
        <f>"1551685971153943"</f>
        <v>1551685971153943</v>
      </c>
      <c r="C7603" t="s">
        <v>40</v>
      </c>
      <c r="D7603">
        <v>4.6602169999999896</v>
      </c>
      <c r="E7603">
        <v>0.52304799999999996</v>
      </c>
      <c r="F7603" t="s">
        <v>41</v>
      </c>
      <c r="G7603">
        <v>-190.48159999999999</v>
      </c>
      <c r="H7603" s="1">
        <v>-3.9121259999999997E-6</v>
      </c>
      <c r="I7603">
        <v>258.40969999999999</v>
      </c>
      <c r="J7603">
        <v>-187.32929999999999</v>
      </c>
      <c r="K7603">
        <v>1.1104369999999999</v>
      </c>
      <c r="L7603">
        <v>78.916600000000003</v>
      </c>
      <c r="M7603">
        <v>-3.0623690000000001E-3</v>
      </c>
      <c r="N7603">
        <v>-1.463971E-2</v>
      </c>
      <c r="O7603">
        <v>0.99988809999999995</v>
      </c>
      <c r="P7603">
        <v>-8.5164779999999995E-2</v>
      </c>
      <c r="Q7603">
        <v>0.23678260000000001</v>
      </c>
      <c r="R7603">
        <v>0.96782279999999998</v>
      </c>
      <c r="S7603">
        <v>-5.435181E-2</v>
      </c>
      <c r="T7603">
        <v>-1.914012E-2</v>
      </c>
      <c r="U7603">
        <v>3.099701</v>
      </c>
      <c r="V7603">
        <v>-8.2051910000000006E-2</v>
      </c>
      <c r="W7603">
        <v>0.25097809999999998</v>
      </c>
      <c r="X7603">
        <v>0.96450899999999995</v>
      </c>
      <c r="Y7603">
        <v>-1.4466700000000001E-2</v>
      </c>
      <c r="Z7603">
        <v>8.4658279999999999E-3</v>
      </c>
      <c r="AA7603">
        <v>0.99985950000000001</v>
      </c>
      <c r="AB7603">
        <v>35</v>
      </c>
      <c r="AC7603">
        <v>-3.1522999999999901</v>
      </c>
      <c r="AD7603">
        <v>-1.1104409121259999</v>
      </c>
      <c r="AE7603">
        <v>179.493099999999</v>
      </c>
      <c r="AF7603">
        <v>-2.6024525996061998</v>
      </c>
      <c r="AG7603">
        <v>-1.1104409121259999</v>
      </c>
      <c r="AH7603">
        <v>179.49504496464201</v>
      </c>
      <c r="AI7603">
        <v>90.3544169147345</v>
      </c>
      <c r="AJ7603">
        <v>90.830658603440099</v>
      </c>
      <c r="AK7603">
        <v>179.51734458099401</v>
      </c>
      <c r="AL7603">
        <v>75.464602349196994</v>
      </c>
      <c r="AM7603">
        <v>94.862511437751195</v>
      </c>
      <c r="AN7603">
        <v>1.0000000668476201</v>
      </c>
    </row>
    <row r="7604" spans="1:40" x14ac:dyDescent="0.25">
      <c r="A7604" t="str">
        <f>"20190304155251179"</f>
        <v>20190304155251179</v>
      </c>
      <c r="B7604" t="str">
        <f>"1551685971174438"</f>
        <v>1551685971174438</v>
      </c>
      <c r="C7604" t="s">
        <v>40</v>
      </c>
      <c r="D7604">
        <v>4.6504690000000002</v>
      </c>
      <c r="E7604">
        <v>0.52321479999999998</v>
      </c>
      <c r="F7604" t="s">
        <v>62</v>
      </c>
      <c r="G7604">
        <v>-190.9221</v>
      </c>
      <c r="H7604" s="1">
        <v>4.2550589999999996E-6</v>
      </c>
      <c r="I7604">
        <v>279.55250000000001</v>
      </c>
      <c r="J7604">
        <v>-187.33009999999999</v>
      </c>
      <c r="K7604">
        <v>1.1104540000000001</v>
      </c>
      <c r="L7604">
        <v>79.255619999999993</v>
      </c>
      <c r="M7604">
        <v>-2.8616319999999998E-3</v>
      </c>
      <c r="N7604">
        <v>-1.463592E-2</v>
      </c>
      <c r="O7604">
        <v>0.99988880000000002</v>
      </c>
      <c r="P7604">
        <v>-8.4889859999999998E-2</v>
      </c>
      <c r="Q7604">
        <v>0.2368615</v>
      </c>
      <c r="R7604">
        <v>0.96782769999999996</v>
      </c>
      <c r="S7604">
        <v>-5.5496219999999999E-2</v>
      </c>
      <c r="T7604">
        <v>-1.7151949999999999E-2</v>
      </c>
      <c r="U7604">
        <v>3.0990600000000001</v>
      </c>
      <c r="V7604">
        <v>-8.1981819999999997E-2</v>
      </c>
      <c r="W7604">
        <v>0.25104969999999999</v>
      </c>
      <c r="X7604">
        <v>0.96449629999999997</v>
      </c>
      <c r="Y7604">
        <v>-1.5040049999999999E-2</v>
      </c>
      <c r="Z7604">
        <v>9.1022250000000002E-3</v>
      </c>
      <c r="AA7604">
        <v>0.9998454</v>
      </c>
      <c r="AB7604">
        <v>35</v>
      </c>
      <c r="AC7604">
        <v>-3.5920000000000099</v>
      </c>
      <c r="AD7604">
        <v>-1.110449744941</v>
      </c>
      <c r="AE7604">
        <v>200.29687999999999</v>
      </c>
      <c r="AF7604">
        <v>-3.0186551795383099</v>
      </c>
      <c r="AG7604">
        <v>-1.110449744941</v>
      </c>
      <c r="AH7604">
        <v>200.30018531951001</v>
      </c>
      <c r="AI7604">
        <v>90.317604339598901</v>
      </c>
      <c r="AJ7604">
        <v>90.863419616383794</v>
      </c>
      <c r="AK7604">
        <v>200.326008338306</v>
      </c>
      <c r="AL7604">
        <v>75.460363909836502</v>
      </c>
      <c r="AM7604">
        <v>94.858441362300098</v>
      </c>
      <c r="AN7604">
        <v>1.00000004169714</v>
      </c>
    </row>
    <row r="7605" spans="1:40" x14ac:dyDescent="0.25">
      <c r="A7605" t="str">
        <f>"20190304155251200"</f>
        <v>20190304155251200</v>
      </c>
      <c r="B7605" t="str">
        <f>"1551685971193959"</f>
        <v>1551685971193959</v>
      </c>
      <c r="C7605" t="s">
        <v>40</v>
      </c>
      <c r="D7605">
        <v>4.6542250000000003</v>
      </c>
      <c r="E7605">
        <v>0.52288069999999998</v>
      </c>
      <c r="F7605" t="s">
        <v>62</v>
      </c>
      <c r="G7605">
        <v>-190.70089999999999</v>
      </c>
      <c r="H7605" s="1">
        <v>6.0452470000000004E-6</v>
      </c>
      <c r="I7605">
        <v>274.49040000000002</v>
      </c>
      <c r="J7605">
        <v>-187.33090000000001</v>
      </c>
      <c r="K7605">
        <v>1.1104780000000001</v>
      </c>
      <c r="L7605">
        <v>79.593540000000004</v>
      </c>
      <c r="M7605">
        <v>-2.6869630000000001E-3</v>
      </c>
      <c r="N7605">
        <v>-1.4632020000000001E-2</v>
      </c>
      <c r="O7605">
        <v>0.99988929999999998</v>
      </c>
      <c r="P7605">
        <v>-8.4475590000000003E-2</v>
      </c>
      <c r="Q7605">
        <v>0.23672940000000001</v>
      </c>
      <c r="R7605">
        <v>0.96789619999999998</v>
      </c>
      <c r="S7605">
        <v>-5.3512570000000002E-2</v>
      </c>
      <c r="T7605">
        <v>-1.762843E-2</v>
      </c>
      <c r="U7605">
        <v>3.0993650000000001</v>
      </c>
      <c r="V7605">
        <v>-8.1748920000000003E-2</v>
      </c>
      <c r="W7605">
        <v>0.25091069999999999</v>
      </c>
      <c r="X7605">
        <v>0.96455219999999997</v>
      </c>
      <c r="Y7605">
        <v>-1.4573320000000001E-2</v>
      </c>
      <c r="Z7605">
        <v>8.9451469999999901E-3</v>
      </c>
      <c r="AA7605">
        <v>0.99985380000000001</v>
      </c>
      <c r="AB7605">
        <v>35</v>
      </c>
      <c r="AC7605">
        <v>-3.3699999999999699</v>
      </c>
      <c r="AD7605">
        <v>-1.110471954753</v>
      </c>
      <c r="AE7605">
        <v>194.89686</v>
      </c>
      <c r="AF7605">
        <v>-2.84615872278285</v>
      </c>
      <c r="AG7605">
        <v>-1.110471954753</v>
      </c>
      <c r="AH7605">
        <v>194.89888697095799</v>
      </c>
      <c r="AI7605">
        <v>90.326414818794404</v>
      </c>
      <c r="AJ7605">
        <v>90.836645578707007</v>
      </c>
      <c r="AK7605">
        <v>194.922830653456</v>
      </c>
      <c r="AL7605">
        <v>75.468590833947104</v>
      </c>
      <c r="AM7605">
        <v>94.844425495223007</v>
      </c>
      <c r="AN7605">
        <v>1.0000000059102401</v>
      </c>
    </row>
    <row r="7606" spans="1:40" x14ac:dyDescent="0.25">
      <c r="A7606" t="str">
        <f>"20190304155251224"</f>
        <v>20190304155251224</v>
      </c>
      <c r="B7606" t="str">
        <f>"1551685971214454"</f>
        <v>1551685971214454</v>
      </c>
      <c r="C7606" t="s">
        <v>40</v>
      </c>
      <c r="D7606">
        <v>4.6159280000000003</v>
      </c>
      <c r="E7606">
        <v>0.5130287</v>
      </c>
      <c r="F7606" t="s">
        <v>41</v>
      </c>
      <c r="G7606">
        <v>-190.56</v>
      </c>
      <c r="H7606" s="1">
        <v>-4.4616439999999999E-7</v>
      </c>
      <c r="I7606">
        <v>260.28179999999998</v>
      </c>
      <c r="J7606">
        <v>-187.33160000000001</v>
      </c>
      <c r="K7606">
        <v>1.110501</v>
      </c>
      <c r="L7606">
        <v>79.946349999999995</v>
      </c>
      <c r="M7606">
        <v>-2.53309E-3</v>
      </c>
      <c r="N7606">
        <v>-1.4627930000000001E-2</v>
      </c>
      <c r="O7606">
        <v>0.99988980000000005</v>
      </c>
      <c r="P7606">
        <v>-8.4048730000000002E-2</v>
      </c>
      <c r="Q7606">
        <v>0.23622090000000001</v>
      </c>
      <c r="R7606">
        <v>0.96805759999999996</v>
      </c>
      <c r="S7606">
        <v>-5.5389399999999998E-2</v>
      </c>
      <c r="T7606">
        <v>-1.9047979999999999E-2</v>
      </c>
      <c r="U7606">
        <v>3.099335</v>
      </c>
      <c r="V7606">
        <v>-8.1485569999999993E-2</v>
      </c>
      <c r="W7606">
        <v>0.25039509999999998</v>
      </c>
      <c r="X7606">
        <v>0.96470840000000002</v>
      </c>
      <c r="Y7606">
        <v>-1.533255E-2</v>
      </c>
      <c r="Z7606">
        <v>8.4831469999999999E-3</v>
      </c>
      <c r="AA7606">
        <v>0.99984649999999997</v>
      </c>
      <c r="AB7606">
        <v>34</v>
      </c>
      <c r="AC7606">
        <v>-3.2283999999999899</v>
      </c>
      <c r="AD7606">
        <v>-1.1105014461643901</v>
      </c>
      <c r="AE7606">
        <v>180.33545000000001</v>
      </c>
      <c r="AF7606">
        <v>-2.7714297748011401</v>
      </c>
      <c r="AG7606">
        <v>-1.1105014461643901</v>
      </c>
      <c r="AH7606">
        <v>180.33621373307901</v>
      </c>
      <c r="AI7606">
        <v>90.352778448519899</v>
      </c>
      <c r="AJ7606">
        <v>90.880459485808899</v>
      </c>
      <c r="AK7606">
        <v>180.36092708799501</v>
      </c>
      <c r="AL7606">
        <v>75.499105875982593</v>
      </c>
      <c r="AM7606">
        <v>94.828115168794398</v>
      </c>
      <c r="AN7606">
        <v>0.99999995062639602</v>
      </c>
    </row>
    <row r="7607" spans="1:40" x14ac:dyDescent="0.25">
      <c r="A7607" t="str">
        <f>"20190304155251245"</f>
        <v>20190304155251245</v>
      </c>
      <c r="B7607" t="str">
        <f>"1551685971233978"</f>
        <v>1551685971233978</v>
      </c>
      <c r="C7607" t="s">
        <v>40</v>
      </c>
      <c r="D7607">
        <v>4.7128779999999999</v>
      </c>
      <c r="E7607">
        <v>0.51380530000000002</v>
      </c>
      <c r="F7607" t="s">
        <v>84</v>
      </c>
      <c r="G7607">
        <v>-189.59129999999999</v>
      </c>
      <c r="H7607" s="1">
        <v>-5.9895659999999997E-6</v>
      </c>
      <c r="I7607">
        <v>133.10740000000001</v>
      </c>
      <c r="J7607">
        <v>-187.3323</v>
      </c>
      <c r="K7607">
        <v>1.1105179999999999</v>
      </c>
      <c r="L7607">
        <v>80.280879999999996</v>
      </c>
      <c r="M7607">
        <v>-2.4149459999999998E-3</v>
      </c>
      <c r="N7607">
        <v>-1.462403E-2</v>
      </c>
      <c r="O7607">
        <v>0.9998901</v>
      </c>
      <c r="P7607">
        <v>-8.3873409999999995E-2</v>
      </c>
      <c r="Q7607">
        <v>0.2358412</v>
      </c>
      <c r="R7607">
        <v>0.96816539999999995</v>
      </c>
      <c r="S7607">
        <v>-0.13191220000000001</v>
      </c>
      <c r="T7607">
        <v>-6.4827679999999999E-2</v>
      </c>
      <c r="U7607">
        <v>3.1033629999999999</v>
      </c>
      <c r="V7607">
        <v>-8.1439689999999995E-2</v>
      </c>
      <c r="W7607">
        <v>0.25000820000000001</v>
      </c>
      <c r="X7607">
        <v>0.96481269999999997</v>
      </c>
      <c r="Y7607">
        <v>-4.0043500000000003E-2</v>
      </c>
      <c r="Z7607">
        <v>-6.2447259999999999E-3</v>
      </c>
      <c r="AA7607">
        <v>0.99917840000000002</v>
      </c>
      <c r="AB7607">
        <v>34</v>
      </c>
      <c r="AC7607">
        <v>-2.2589999999999799</v>
      </c>
      <c r="AD7607">
        <v>-1.110523989566</v>
      </c>
      <c r="AE7607">
        <v>52.826519999999903</v>
      </c>
      <c r="AF7607">
        <v>-2.13046677333001</v>
      </c>
      <c r="AG7607">
        <v>-1.110523989566</v>
      </c>
      <c r="AH7607">
        <v>52.808526884149401</v>
      </c>
      <c r="AI7607">
        <v>91.203731109587906</v>
      </c>
      <c r="AJ7607">
        <v>92.310244234592901</v>
      </c>
      <c r="AK7607">
        <v>52.863150340077098</v>
      </c>
      <c r="AL7607">
        <v>75.522003092254195</v>
      </c>
      <c r="AM7607">
        <v>94.824890382238905</v>
      </c>
      <c r="AN7607">
        <v>1.0000000346279101</v>
      </c>
    </row>
    <row r="7608" spans="1:40" x14ac:dyDescent="0.25">
      <c r="A7608" t="str">
        <f>"20190304155251270"</f>
        <v>20190304155251270</v>
      </c>
      <c r="B7608" t="str">
        <f>"1551685971264231"</f>
        <v>1551685971264231</v>
      </c>
      <c r="C7608" t="s">
        <v>40</v>
      </c>
      <c r="D7608">
        <v>4.677028</v>
      </c>
      <c r="E7608">
        <v>0.5137119</v>
      </c>
      <c r="F7608" t="s">
        <v>84</v>
      </c>
      <c r="G7608">
        <v>-189.9675</v>
      </c>
      <c r="H7608" s="1">
        <v>-9.5980470000000005E-6</v>
      </c>
      <c r="I7608">
        <v>145.4785</v>
      </c>
      <c r="J7608">
        <v>-187.3331</v>
      </c>
      <c r="K7608">
        <v>1.1105499999999999</v>
      </c>
      <c r="L7608">
        <v>80.640289999999993</v>
      </c>
      <c r="M7608">
        <v>-2.3166710000000002E-3</v>
      </c>
      <c r="N7608">
        <v>-1.461983E-2</v>
      </c>
      <c r="O7608">
        <v>0.99989039999999996</v>
      </c>
      <c r="P7608">
        <v>-8.3420399999999895E-2</v>
      </c>
      <c r="Q7608">
        <v>0.2353953</v>
      </c>
      <c r="R7608">
        <v>0.96831299999999998</v>
      </c>
      <c r="S7608">
        <v>-0.1253204</v>
      </c>
      <c r="T7608">
        <v>-5.2814130000000001E-2</v>
      </c>
      <c r="U7608">
        <v>3.1006469999999999</v>
      </c>
      <c r="V7608">
        <v>-8.1097080000000002E-2</v>
      </c>
      <c r="W7608">
        <v>0.24955530000000001</v>
      </c>
      <c r="X7608">
        <v>0.96495880000000001</v>
      </c>
      <c r="Y7608">
        <v>-3.8060490000000002E-2</v>
      </c>
      <c r="Z7608">
        <v>-2.3987549999999998E-3</v>
      </c>
      <c r="AA7608">
        <v>0.99927259999999996</v>
      </c>
      <c r="AB7608">
        <v>34</v>
      </c>
      <c r="AC7608">
        <v>-2.6343999999999901</v>
      </c>
      <c r="AD7608">
        <v>-1.110559598047</v>
      </c>
      <c r="AE7608">
        <v>64.838209999999904</v>
      </c>
      <c r="AF7608">
        <v>-2.4834406905402999</v>
      </c>
      <c r="AG7608">
        <v>-1.110559598047</v>
      </c>
      <c r="AH7608">
        <v>64.825152986623607</v>
      </c>
      <c r="AI7608">
        <v>90.980753961829805</v>
      </c>
      <c r="AJ7608">
        <v>92.193918784237994</v>
      </c>
      <c r="AK7608">
        <v>64.8822108133146</v>
      </c>
      <c r="AL7608">
        <v>75.548801815892105</v>
      </c>
      <c r="AM7608">
        <v>94.803963642283094</v>
      </c>
      <c r="AN7608">
        <v>1.00000003492002</v>
      </c>
    </row>
    <row r="7609" spans="1:40" x14ac:dyDescent="0.25">
      <c r="A7609" t="str">
        <f>"20190304155251292"</f>
        <v>20190304155251292</v>
      </c>
      <c r="B7609" t="str">
        <f>"1551685971284727"</f>
        <v>1551685971284727</v>
      </c>
      <c r="C7609" t="s">
        <v>40</v>
      </c>
      <c r="D7609">
        <v>4.6268060000000002</v>
      </c>
      <c r="E7609">
        <v>0.51345280000000004</v>
      </c>
      <c r="F7609" t="s">
        <v>84</v>
      </c>
      <c r="G7609">
        <v>-190.3724</v>
      </c>
      <c r="H7609" s="1">
        <v>-1.3510090000000001E-5</v>
      </c>
      <c r="I7609">
        <v>156.11000000000001</v>
      </c>
      <c r="J7609">
        <v>-187.3338</v>
      </c>
      <c r="K7609">
        <v>1.1105769999999999</v>
      </c>
      <c r="L7609">
        <v>80.988369999999904</v>
      </c>
      <c r="M7609">
        <v>-2.2478390000000002E-3</v>
      </c>
      <c r="N7609">
        <v>-1.4615879999999999E-2</v>
      </c>
      <c r="O7609">
        <v>0.99989070000000002</v>
      </c>
      <c r="P7609">
        <v>-8.3260399999999998E-2</v>
      </c>
      <c r="Q7609">
        <v>0.2346927</v>
      </c>
      <c r="R7609">
        <v>0.96849730000000001</v>
      </c>
      <c r="S7609">
        <v>-0.12478640000000001</v>
      </c>
      <c r="T7609">
        <v>-4.5596119999999997E-2</v>
      </c>
      <c r="U7609">
        <v>3.098541</v>
      </c>
      <c r="V7609">
        <v>-8.1016599999999994E-2</v>
      </c>
      <c r="W7609">
        <v>0.2488474</v>
      </c>
      <c r="X7609">
        <v>0.96514829999999996</v>
      </c>
      <c r="Y7609">
        <v>-3.7985499999999998E-2</v>
      </c>
      <c r="Z7609" s="1">
        <v>-8.7226710000000004E-5</v>
      </c>
      <c r="AA7609">
        <v>0.99927829999999995</v>
      </c>
      <c r="AB7609">
        <v>34</v>
      </c>
      <c r="AC7609">
        <v>-3.0386000000000002</v>
      </c>
      <c r="AD7609">
        <v>-1.11059051009</v>
      </c>
      <c r="AE7609">
        <v>75.121629999999996</v>
      </c>
      <c r="AF7609">
        <v>-2.8690869064230098</v>
      </c>
      <c r="AG7609">
        <v>-1.11059051009</v>
      </c>
      <c r="AH7609">
        <v>75.111881275593007</v>
      </c>
      <c r="AI7609">
        <v>90.846485949426594</v>
      </c>
      <c r="AJ7609">
        <v>92.187492691184602</v>
      </c>
      <c r="AK7609">
        <v>75.174861354820493</v>
      </c>
      <c r="AL7609">
        <v>75.590681954721504</v>
      </c>
      <c r="AM7609">
        <v>94.798280619129102</v>
      </c>
      <c r="AN7609">
        <v>0.999999979477604</v>
      </c>
    </row>
    <row r="7610" spans="1:40" x14ac:dyDescent="0.25">
      <c r="A7610" t="str">
        <f>"20190304155251324"</f>
        <v>20190304155251324</v>
      </c>
      <c r="B7610" t="str">
        <f>"1551685971314010"</f>
        <v>1551685971314010</v>
      </c>
      <c r="C7610" t="s">
        <v>40</v>
      </c>
      <c r="D7610">
        <v>4.7198650000000004</v>
      </c>
      <c r="E7610">
        <v>0.52174929999999997</v>
      </c>
      <c r="F7610" t="s">
        <v>84</v>
      </c>
      <c r="G7610">
        <v>-190.25360000000001</v>
      </c>
      <c r="H7610" s="1">
        <v>-1.205739E-5</v>
      </c>
      <c r="I7610">
        <v>152.68719999999999</v>
      </c>
      <c r="J7610">
        <v>-187.3348</v>
      </c>
      <c r="K7610">
        <v>1.1106049999999901</v>
      </c>
      <c r="L7610">
        <v>81.491299999999995</v>
      </c>
      <c r="M7610">
        <v>-2.180506E-3</v>
      </c>
      <c r="N7610">
        <v>-1.461046E-2</v>
      </c>
      <c r="O7610">
        <v>0.99989090000000003</v>
      </c>
      <c r="P7610">
        <v>-8.2745239999999998E-2</v>
      </c>
      <c r="Q7610">
        <v>0.23523549999999999</v>
      </c>
      <c r="R7610">
        <v>0.96840979999999999</v>
      </c>
      <c r="S7610">
        <v>-0.12617490000000001</v>
      </c>
      <c r="T7610">
        <v>-4.7992470000000002E-2</v>
      </c>
      <c r="U7610">
        <v>3.0983580000000002</v>
      </c>
      <c r="V7610">
        <v>-8.058274E-2</v>
      </c>
      <c r="W7610">
        <v>0.2493784</v>
      </c>
      <c r="X7610">
        <v>0.96504760000000001</v>
      </c>
      <c r="Y7610">
        <v>-3.8501929999999997E-2</v>
      </c>
      <c r="Z7610">
        <v>-8.6586569999999997E-4</v>
      </c>
      <c r="AA7610">
        <v>0.99925819999999999</v>
      </c>
      <c r="AB7610">
        <v>34</v>
      </c>
      <c r="AC7610">
        <v>-2.9188000000000001</v>
      </c>
      <c r="AD7610">
        <v>-1.1106170573899901</v>
      </c>
      <c r="AE7610">
        <v>71.195899999999995</v>
      </c>
      <c r="AF7610">
        <v>-2.7628622079731802</v>
      </c>
      <c r="AG7610">
        <v>-1.1106170573899901</v>
      </c>
      <c r="AH7610">
        <v>71.184802597465705</v>
      </c>
      <c r="AI7610">
        <v>90.893177219260295</v>
      </c>
      <c r="AJ7610">
        <v>92.222678455996004</v>
      </c>
      <c r="AK7610">
        <v>71.247056070188407</v>
      </c>
      <c r="AL7610">
        <v>75.559268096287596</v>
      </c>
      <c r="AM7610">
        <v>94.773199606993302</v>
      </c>
      <c r="AN7610">
        <v>1.0000000173191099</v>
      </c>
    </row>
    <row r="7611" spans="1:40" x14ac:dyDescent="0.25">
      <c r="A7611" t="str">
        <f>"20190304155251357"</f>
        <v>20190304155251357</v>
      </c>
      <c r="B7611" t="str">
        <f>"1551685971354024"</f>
        <v>1551685971354024</v>
      </c>
      <c r="C7611" t="s">
        <v>40</v>
      </c>
      <c r="D7611">
        <v>4.736904</v>
      </c>
      <c r="E7611">
        <v>0.5160072</v>
      </c>
      <c r="F7611" t="s">
        <v>55</v>
      </c>
      <c r="G7611">
        <v>-193.46209999999999</v>
      </c>
      <c r="H7611">
        <v>7.3924019999999997</v>
      </c>
      <c r="I7611">
        <v>390.11860000000001</v>
      </c>
      <c r="J7611">
        <v>-187.33590000000001</v>
      </c>
      <c r="K7611">
        <v>1.110622</v>
      </c>
      <c r="L7611">
        <v>81.991640000000004</v>
      </c>
      <c r="M7611">
        <v>-2.1443460000000001E-3</v>
      </c>
      <c r="N7611">
        <v>-1.460499E-2</v>
      </c>
      <c r="O7611">
        <v>0.99989099999999997</v>
      </c>
      <c r="P7611">
        <v>-8.2952709999999999E-2</v>
      </c>
      <c r="Q7611">
        <v>0.23558799999999999</v>
      </c>
      <c r="R7611">
        <v>0.96830629999999995</v>
      </c>
      <c r="S7611">
        <v>-6.1096190000000002E-2</v>
      </c>
      <c r="T7611">
        <v>6.2637810000000002E-2</v>
      </c>
      <c r="U7611">
        <v>3.077423</v>
      </c>
      <c r="V7611">
        <v>-8.0837679999999995E-2</v>
      </c>
      <c r="W7611">
        <v>0.2497201</v>
      </c>
      <c r="X7611">
        <v>0.96493790000000002</v>
      </c>
      <c r="Y7611">
        <v>-1.7693540000000001E-2</v>
      </c>
      <c r="Z7611">
        <v>3.4945579999999997E-2</v>
      </c>
      <c r="AA7611">
        <v>0.99923260000000003</v>
      </c>
      <c r="AB7611">
        <v>34</v>
      </c>
      <c r="AC7611">
        <v>-6.1261999999999803</v>
      </c>
      <c r="AD7611">
        <v>6.2817800000000004</v>
      </c>
      <c r="AE7611">
        <v>308.12696</v>
      </c>
      <c r="AF7611">
        <v>-5.4631148572611199</v>
      </c>
      <c r="AG7611">
        <v>6.2817800000000004</v>
      </c>
      <c r="AH7611">
        <v>308.01142157046598</v>
      </c>
      <c r="AI7611">
        <v>88.831819243084695</v>
      </c>
      <c r="AJ7611">
        <v>91.016133119753903</v>
      </c>
      <c r="AK7611">
        <v>308.12390722203202</v>
      </c>
      <c r="AL7611">
        <v>75.539050301912496</v>
      </c>
      <c r="AM7611">
        <v>94.788772322841098</v>
      </c>
      <c r="AN7611">
        <v>1.0000000048541</v>
      </c>
    </row>
    <row r="7612" spans="1:40" x14ac:dyDescent="0.25">
      <c r="A7612" t="str">
        <f>"20190304155251379"</f>
        <v>20190304155251379</v>
      </c>
      <c r="B7612" t="str">
        <f>"1551685971374520"</f>
        <v>1551685971374520</v>
      </c>
      <c r="C7612" t="s">
        <v>40</v>
      </c>
      <c r="D7612">
        <v>4.7350300000000001</v>
      </c>
      <c r="E7612">
        <v>0.51469759999999998</v>
      </c>
      <c r="F7612" t="s">
        <v>55</v>
      </c>
      <c r="G7612">
        <v>-197.9545</v>
      </c>
      <c r="H7612">
        <v>2.085569</v>
      </c>
      <c r="I7612">
        <v>391.87</v>
      </c>
      <c r="J7612">
        <v>-187.3366</v>
      </c>
      <c r="K7612">
        <v>1.110627</v>
      </c>
      <c r="L7612">
        <v>82.328919999999997</v>
      </c>
      <c r="M7612">
        <v>-2.131511E-3</v>
      </c>
      <c r="N7612">
        <v>-1.4601299999999999E-2</v>
      </c>
      <c r="O7612">
        <v>0.99989110000000003</v>
      </c>
      <c r="P7612">
        <v>-8.3520040000000004E-2</v>
      </c>
      <c r="Q7612">
        <v>0.23571719999999999</v>
      </c>
      <c r="R7612">
        <v>0.96822609999999998</v>
      </c>
      <c r="S7612">
        <v>-0.1057739</v>
      </c>
      <c r="T7612">
        <v>9.7116230000000008E-3</v>
      </c>
      <c r="U7612">
        <v>3.0867610000000001</v>
      </c>
      <c r="V7612">
        <v>-8.1424910000000003E-2</v>
      </c>
      <c r="W7612">
        <v>0.24984200000000001</v>
      </c>
      <c r="X7612">
        <v>0.96485699999999996</v>
      </c>
      <c r="Y7612">
        <v>-3.2108209999999998E-2</v>
      </c>
      <c r="Z7612">
        <v>1.7744820000000001E-2</v>
      </c>
      <c r="AA7612">
        <v>0.99932690000000002</v>
      </c>
      <c r="AB7612">
        <v>34</v>
      </c>
      <c r="AC7612">
        <v>-10.617899999999899</v>
      </c>
      <c r="AD7612">
        <v>0.97494199999999998</v>
      </c>
      <c r="AE7612">
        <v>309.541079999999</v>
      </c>
      <c r="AF7612">
        <v>-9.9579166292737593</v>
      </c>
      <c r="AG7612">
        <v>0.97494199999999998</v>
      </c>
      <c r="AH7612">
        <v>309.55994396696099</v>
      </c>
      <c r="AI7612">
        <v>89.819643983128898</v>
      </c>
      <c r="AJ7612">
        <v>91.842453884408002</v>
      </c>
      <c r="AK7612">
        <v>309.72160002868202</v>
      </c>
      <c r="AL7612">
        <v>75.531837767404596</v>
      </c>
      <c r="AM7612">
        <v>94.823798431929106</v>
      </c>
      <c r="AN7612">
        <v>1.0000000356907499</v>
      </c>
    </row>
    <row r="7613" spans="1:40" x14ac:dyDescent="0.25">
      <c r="A7613" t="str">
        <f>"20190304155251401"</f>
        <v>20190304155251401</v>
      </c>
      <c r="B7613" t="str">
        <f>"1551685971394039"</f>
        <v>1551685971394039</v>
      </c>
      <c r="C7613" t="s">
        <v>40</v>
      </c>
      <c r="D7613">
        <v>4.8463289999999999</v>
      </c>
      <c r="E7613">
        <v>0.51397879999999996</v>
      </c>
      <c r="F7613" t="s">
        <v>55</v>
      </c>
      <c r="G7613">
        <v>-199.1037</v>
      </c>
      <c r="H7613">
        <v>0.94583419999999896</v>
      </c>
      <c r="I7613">
        <v>391.87</v>
      </c>
      <c r="J7613">
        <v>-187.3373</v>
      </c>
      <c r="K7613">
        <v>1.110644</v>
      </c>
      <c r="L7613">
        <v>82.665989999999994</v>
      </c>
      <c r="M7613">
        <v>-2.1246540000000001E-3</v>
      </c>
      <c r="N7613">
        <v>-1.459764E-2</v>
      </c>
      <c r="O7613">
        <v>0.99989119999999998</v>
      </c>
      <c r="P7613">
        <v>-8.4174260000000001E-2</v>
      </c>
      <c r="Q7613">
        <v>0.23547679999999999</v>
      </c>
      <c r="R7613">
        <v>0.96822799999999998</v>
      </c>
      <c r="S7613">
        <v>-0.1174164</v>
      </c>
      <c r="T7613">
        <v>-1.644373E-3</v>
      </c>
      <c r="U7613">
        <v>3.0887150000000001</v>
      </c>
      <c r="V7613">
        <v>-8.2091380000000005E-2</v>
      </c>
      <c r="W7613">
        <v>0.24959680000000001</v>
      </c>
      <c r="X7613">
        <v>0.96486400000000005</v>
      </c>
      <c r="Y7613">
        <v>-3.5856060000000002E-2</v>
      </c>
      <c r="Z7613">
        <v>1.4065090000000001E-2</v>
      </c>
      <c r="AA7613">
        <v>0.99925799999999998</v>
      </c>
      <c r="AB7613">
        <v>34</v>
      </c>
      <c r="AC7613">
        <v>-11.766400000000001</v>
      </c>
      <c r="AD7613">
        <v>-0.16480980000000001</v>
      </c>
      <c r="AE7613">
        <v>309.20400999999998</v>
      </c>
      <c r="AF7613">
        <v>-11.109348747502301</v>
      </c>
      <c r="AG7613">
        <v>-0.16480980000000001</v>
      </c>
      <c r="AH7613">
        <v>309.228226420113</v>
      </c>
      <c r="AI7613">
        <v>90.030517321079799</v>
      </c>
      <c r="AJ7613">
        <v>92.057526145084594</v>
      </c>
      <c r="AK7613">
        <v>309.42776347120599</v>
      </c>
      <c r="AL7613">
        <v>75.546346529250101</v>
      </c>
      <c r="AM7613">
        <v>94.863057939742305</v>
      </c>
      <c r="AN7613">
        <v>1.00000004786827</v>
      </c>
    </row>
    <row r="7614" spans="1:40" x14ac:dyDescent="0.25">
      <c r="A7614" t="str">
        <f>"20190304155251426"</f>
        <v>20190304155251426</v>
      </c>
      <c r="B7614" t="str">
        <f>"1551685971414535"</f>
        <v>1551685971414535</v>
      </c>
      <c r="C7614" t="s">
        <v>40</v>
      </c>
      <c r="D7614">
        <v>4.7735279999999998</v>
      </c>
      <c r="E7614">
        <v>0.51331850000000001</v>
      </c>
      <c r="F7614" t="s">
        <v>50</v>
      </c>
      <c r="G7614">
        <v>-199.28649999999999</v>
      </c>
      <c r="H7614">
        <v>5.1217720000000001E-2</v>
      </c>
      <c r="I7614">
        <v>379.60129999999998</v>
      </c>
      <c r="J7614">
        <v>-187.3381</v>
      </c>
      <c r="K7614">
        <v>1.1106560000000001</v>
      </c>
      <c r="L7614">
        <v>83.028719999999893</v>
      </c>
      <c r="M7614">
        <v>-2.121422E-3</v>
      </c>
      <c r="N7614">
        <v>-1.4593719999999999E-2</v>
      </c>
      <c r="O7614">
        <v>0.99989130000000004</v>
      </c>
      <c r="P7614">
        <v>-8.4816999999999906E-2</v>
      </c>
      <c r="Q7614">
        <v>0.23590520000000001</v>
      </c>
      <c r="R7614">
        <v>0.96806760000000003</v>
      </c>
      <c r="S7614">
        <v>-0.1243591</v>
      </c>
      <c r="T7614">
        <v>-1.1025790000000001E-2</v>
      </c>
      <c r="U7614">
        <v>3.0903019999999999</v>
      </c>
      <c r="V7614">
        <v>-8.2742769999999993E-2</v>
      </c>
      <c r="W7614">
        <v>0.25001699999999999</v>
      </c>
      <c r="X7614">
        <v>0.96469950000000004</v>
      </c>
      <c r="Y7614">
        <v>-3.8081690000000001E-2</v>
      </c>
      <c r="Z7614">
        <v>1.102829E-2</v>
      </c>
      <c r="AA7614">
        <v>0.99921380000000004</v>
      </c>
      <c r="AB7614">
        <v>34</v>
      </c>
      <c r="AC7614">
        <v>-11.9483999999999</v>
      </c>
      <c r="AD7614">
        <v>-1.05943828</v>
      </c>
      <c r="AE7614">
        <v>296.57257999999899</v>
      </c>
      <c r="AF7614">
        <v>-11.3190063221996</v>
      </c>
      <c r="AG7614">
        <v>-1.05943828</v>
      </c>
      <c r="AH7614">
        <v>296.59348406574099</v>
      </c>
      <c r="AI7614">
        <v>90.204512007064395</v>
      </c>
      <c r="AJ7614">
        <v>92.185539301000901</v>
      </c>
      <c r="AK7614">
        <v>296.81128196860402</v>
      </c>
      <c r="AL7614">
        <v>75.521481777425294</v>
      </c>
      <c r="AM7614">
        <v>94.902290469174105</v>
      </c>
      <c r="AN7614">
        <v>0.99999999578826104</v>
      </c>
    </row>
    <row r="7615" spans="1:40" x14ac:dyDescent="0.25">
      <c r="A7615" t="str">
        <f>"20190304155251447"</f>
        <v>20190304155251447</v>
      </c>
      <c r="B7615" t="str">
        <f>"1551685971444791"</f>
        <v>1551685971444791</v>
      </c>
      <c r="C7615" t="s">
        <v>40</v>
      </c>
      <c r="D7615">
        <v>4.8069839999999999</v>
      </c>
      <c r="E7615">
        <v>0.5134263</v>
      </c>
      <c r="F7615" t="s">
        <v>41</v>
      </c>
      <c r="G7615">
        <v>-196.78190000000001</v>
      </c>
      <c r="H7615" s="1">
        <v>-4.1593640000000002E-6</v>
      </c>
      <c r="I7615">
        <v>305.67419999999998</v>
      </c>
      <c r="J7615">
        <v>-187.33879999999999</v>
      </c>
      <c r="K7615">
        <v>1.1106659999999999</v>
      </c>
      <c r="L7615">
        <v>83.358310000000003</v>
      </c>
      <c r="M7615">
        <v>-2.1209480000000001E-3</v>
      </c>
      <c r="N7615">
        <v>-1.4590189999999999E-2</v>
      </c>
      <c r="O7615">
        <v>0.99989130000000004</v>
      </c>
      <c r="P7615">
        <v>-8.5628129999999997E-2</v>
      </c>
      <c r="Q7615">
        <v>0.23546030000000001</v>
      </c>
      <c r="R7615">
        <v>0.96810450000000003</v>
      </c>
      <c r="S7615">
        <v>-0.13111879999999901</v>
      </c>
      <c r="T7615">
        <v>-1.5420440000000001E-2</v>
      </c>
      <c r="U7615">
        <v>3.0912169999999999</v>
      </c>
      <c r="V7615">
        <v>-8.3557279999999998E-2</v>
      </c>
      <c r="W7615">
        <v>0.24956819999999999</v>
      </c>
      <c r="X7615">
        <v>0.96474550000000003</v>
      </c>
      <c r="Y7615">
        <v>-4.0251380000000003E-2</v>
      </c>
      <c r="Z7615">
        <v>9.605756E-3</v>
      </c>
      <c r="AA7615">
        <v>0.99914340000000001</v>
      </c>
      <c r="AB7615">
        <v>34</v>
      </c>
      <c r="AC7615">
        <v>-9.44310000000001</v>
      </c>
      <c r="AD7615">
        <v>-1.1106701593639901</v>
      </c>
      <c r="AE7615">
        <v>222.31589</v>
      </c>
      <c r="AF7615">
        <v>-8.9712846026513695</v>
      </c>
      <c r="AG7615">
        <v>-1.1106701593639901</v>
      </c>
      <c r="AH7615">
        <v>222.329881150674</v>
      </c>
      <c r="AI7615">
        <v>90.285991428566504</v>
      </c>
      <c r="AJ7615">
        <v>92.310701720942802</v>
      </c>
      <c r="AK7615">
        <v>222.51358068238801</v>
      </c>
      <c r="AL7615">
        <v>75.548037925318596</v>
      </c>
      <c r="AM7615">
        <v>94.950074533329598</v>
      </c>
      <c r="AN7615">
        <v>0.99999999263124395</v>
      </c>
    </row>
    <row r="7616" spans="1:40" x14ac:dyDescent="0.25">
      <c r="A7616" t="str">
        <f>"20190304155251471"</f>
        <v>20190304155251471</v>
      </c>
      <c r="B7616" t="str">
        <f>"1551685971464311"</f>
        <v>1551685971464311</v>
      </c>
      <c r="C7616" t="s">
        <v>40</v>
      </c>
      <c r="D7616">
        <v>4.7642119999999997</v>
      </c>
      <c r="E7616">
        <v>0.51374140000000001</v>
      </c>
      <c r="F7616" t="s">
        <v>50</v>
      </c>
      <c r="G7616">
        <v>-199.589</v>
      </c>
      <c r="H7616" s="1">
        <v>-8.8463109999999903E-6</v>
      </c>
      <c r="I7616">
        <v>369.0992</v>
      </c>
      <c r="J7616">
        <v>-187.33949999999999</v>
      </c>
      <c r="K7616">
        <v>1.110662</v>
      </c>
      <c r="L7616">
        <v>83.70908</v>
      </c>
      <c r="M7616">
        <v>-2.122185E-3</v>
      </c>
      <c r="N7616">
        <v>-1.4586419999999999E-2</v>
      </c>
      <c r="O7616">
        <v>0.99989130000000004</v>
      </c>
      <c r="P7616">
        <v>-8.6053619999999997E-2</v>
      </c>
      <c r="Q7616">
        <v>0.2355294</v>
      </c>
      <c r="R7616">
        <v>0.96804990000000002</v>
      </c>
      <c r="S7616">
        <v>-0.13247679999999901</v>
      </c>
      <c r="T7616">
        <v>-1.2011050000000001E-2</v>
      </c>
      <c r="U7616">
        <v>3.0900569999999998</v>
      </c>
      <c r="V7616">
        <v>-8.3984110000000001E-2</v>
      </c>
      <c r="W7616">
        <v>0.2496323</v>
      </c>
      <c r="X7616">
        <v>0.96469190000000005</v>
      </c>
      <c r="Y7616">
        <v>-4.0704120000000003E-2</v>
      </c>
      <c r="Z7616">
        <v>1.07025E-2</v>
      </c>
      <c r="AA7616">
        <v>0.9991139</v>
      </c>
      <c r="AB7616">
        <v>34</v>
      </c>
      <c r="AC7616">
        <v>-12.249499999999999</v>
      </c>
      <c r="AD7616">
        <v>-1.110670846311</v>
      </c>
      <c r="AE7616">
        <v>285.39012000000002</v>
      </c>
      <c r="AF7616">
        <v>-11.6435812739934</v>
      </c>
      <c r="AG7616">
        <v>-1.110670846311</v>
      </c>
      <c r="AH7616">
        <v>285.41116084601401</v>
      </c>
      <c r="AI7616">
        <v>90.2227787520155</v>
      </c>
      <c r="AJ7616">
        <v>92.336132660227506</v>
      </c>
      <c r="AK7616">
        <v>285.65072608008899</v>
      </c>
      <c r="AL7616">
        <v>75.544245906724299</v>
      </c>
      <c r="AM7616">
        <v>94.975509112907105</v>
      </c>
      <c r="AN7616">
        <v>1.00000003893069</v>
      </c>
    </row>
    <row r="7617" spans="1:40" x14ac:dyDescent="0.25">
      <c r="A7617" t="str">
        <f>"20190304155251493"</f>
        <v>20190304155251493</v>
      </c>
      <c r="B7617" t="str">
        <f>"1551685971484807"</f>
        <v>1551685971484807</v>
      </c>
      <c r="C7617" t="s">
        <v>40</v>
      </c>
      <c r="D7617">
        <v>4.8425330000000004</v>
      </c>
      <c r="E7617">
        <v>0.51394649999999997</v>
      </c>
      <c r="F7617" t="s">
        <v>55</v>
      </c>
      <c r="G7617">
        <v>-200.3837</v>
      </c>
      <c r="H7617">
        <v>0.46878720000000001</v>
      </c>
      <c r="I7617">
        <v>391.87</v>
      </c>
      <c r="J7617">
        <v>-187.34020000000001</v>
      </c>
      <c r="K7617">
        <v>1.1106670000000001</v>
      </c>
      <c r="L7617">
        <v>84.04965</v>
      </c>
      <c r="M7617">
        <v>-2.1236580000000001E-3</v>
      </c>
      <c r="N7617">
        <v>-1.458279E-2</v>
      </c>
      <c r="O7617">
        <v>0.99989139999999999</v>
      </c>
      <c r="P7617">
        <v>-8.5990189999999994E-2</v>
      </c>
      <c r="Q7617">
        <v>0.23518449999999999</v>
      </c>
      <c r="R7617">
        <v>0.96813939999999998</v>
      </c>
      <c r="S7617">
        <v>-0.1307526</v>
      </c>
      <c r="T7617">
        <v>-6.4340830000000002E-3</v>
      </c>
      <c r="U7617">
        <v>3.088959</v>
      </c>
      <c r="V7617">
        <v>-8.3920110000000006E-2</v>
      </c>
      <c r="W7617">
        <v>0.2492847</v>
      </c>
      <c r="X7617">
        <v>0.96478730000000001</v>
      </c>
      <c r="Y7617">
        <v>-4.0160880000000003E-2</v>
      </c>
      <c r="Z7617">
        <v>1.2501180000000001E-2</v>
      </c>
      <c r="AA7617">
        <v>0.99911499999999998</v>
      </c>
      <c r="AB7617">
        <v>34</v>
      </c>
      <c r="AC7617">
        <v>-13.0434999999999</v>
      </c>
      <c r="AD7617">
        <v>-0.6418798</v>
      </c>
      <c r="AE7617">
        <v>307.82035000000002</v>
      </c>
      <c r="AF7617">
        <v>-12.389642130255501</v>
      </c>
      <c r="AG7617">
        <v>-0.6418798</v>
      </c>
      <c r="AH7617">
        <v>307.84602242073203</v>
      </c>
      <c r="AI7617">
        <v>90.119368771538205</v>
      </c>
      <c r="AJ7617">
        <v>92.304695364098706</v>
      </c>
      <c r="AK7617">
        <v>308.09590838253501</v>
      </c>
      <c r="AL7617">
        <v>75.564811393340307</v>
      </c>
      <c r="AM7617">
        <v>94.971247391756705</v>
      </c>
      <c r="AN7617">
        <v>0.99999999037889598</v>
      </c>
    </row>
    <row r="7618" spans="1:40" x14ac:dyDescent="0.25">
      <c r="A7618" t="str">
        <f>"20190304155251517"</f>
        <v>20190304155251517</v>
      </c>
      <c r="B7618" t="str">
        <f>"1551685971504327"</f>
        <v>1551685971504327</v>
      </c>
      <c r="C7618" t="s">
        <v>40</v>
      </c>
      <c r="D7618">
        <v>4.8465400000000001</v>
      </c>
      <c r="E7618">
        <v>0.51459350000000004</v>
      </c>
      <c r="F7618" t="s">
        <v>55</v>
      </c>
      <c r="G7618">
        <v>-200.16669999999999</v>
      </c>
      <c r="H7618">
        <v>0.77881999999999996</v>
      </c>
      <c r="I7618">
        <v>391.87</v>
      </c>
      <c r="J7618">
        <v>-187.34100000000001</v>
      </c>
      <c r="K7618">
        <v>1.110671</v>
      </c>
      <c r="L7618">
        <v>84.399869999999893</v>
      </c>
      <c r="M7618">
        <v>-2.124988E-3</v>
      </c>
      <c r="N7618">
        <v>-1.457906E-2</v>
      </c>
      <c r="O7618">
        <v>0.99989150000000004</v>
      </c>
      <c r="P7618">
        <v>-8.5674199999999895E-2</v>
      </c>
      <c r="Q7618">
        <v>0.23549729999999999</v>
      </c>
      <c r="R7618">
        <v>0.96809140000000005</v>
      </c>
      <c r="S7618">
        <v>-0.1286774</v>
      </c>
      <c r="T7618">
        <v>-3.329158E-3</v>
      </c>
      <c r="U7618">
        <v>3.088104</v>
      </c>
      <c r="V7618">
        <v>-8.3604570000000003E-2</v>
      </c>
      <c r="W7618">
        <v>0.24959310000000001</v>
      </c>
      <c r="X7618">
        <v>0.96473500000000001</v>
      </c>
      <c r="Y7618">
        <v>-3.9500830000000001E-2</v>
      </c>
      <c r="Z7618">
        <v>1.350136E-2</v>
      </c>
      <c r="AA7618">
        <v>0.99912829999999997</v>
      </c>
      <c r="AB7618">
        <v>34</v>
      </c>
      <c r="AC7618">
        <v>-12.825699999999999</v>
      </c>
      <c r="AD7618">
        <v>-0.33185100000000001</v>
      </c>
      <c r="AE7618">
        <v>307.47012999999998</v>
      </c>
      <c r="AF7618">
        <v>-12.1722171222612</v>
      </c>
      <c r="AG7618">
        <v>-0.33185100000000001</v>
      </c>
      <c r="AH7618">
        <v>307.49633543059798</v>
      </c>
      <c r="AI7618">
        <v>90.061785370361207</v>
      </c>
      <c r="AJ7618">
        <v>92.266865175961499</v>
      </c>
      <c r="AK7618">
        <v>307.73733816032899</v>
      </c>
      <c r="AL7618">
        <v>75.546565187983006</v>
      </c>
      <c r="AM7618">
        <v>94.9529157791589</v>
      </c>
      <c r="AN7618">
        <v>1.0000000299587399</v>
      </c>
    </row>
    <row r="7619" spans="1:40" x14ac:dyDescent="0.25">
      <c r="A7619" t="str">
        <f>"20190304155251536"</f>
        <v>20190304155251536</v>
      </c>
      <c r="B7619" t="str">
        <f>"1551685971534308"</f>
        <v>1551685971534308</v>
      </c>
      <c r="C7619" t="s">
        <v>40</v>
      </c>
      <c r="D7619">
        <v>4.8296479999999997</v>
      </c>
      <c r="E7619">
        <v>0.51509609999999995</v>
      </c>
      <c r="F7619" t="s">
        <v>55</v>
      </c>
      <c r="G7619">
        <v>-199.5625</v>
      </c>
      <c r="H7619">
        <v>1.621218</v>
      </c>
      <c r="I7619">
        <v>391.87</v>
      </c>
      <c r="J7619">
        <v>-187.3416</v>
      </c>
      <c r="K7619">
        <v>1.1106819999999999</v>
      </c>
      <c r="L7619">
        <v>84.708190000000002</v>
      </c>
      <c r="M7619">
        <v>-2.1257250000000002E-3</v>
      </c>
      <c r="N7619">
        <v>-1.4575799999999899E-2</v>
      </c>
      <c r="O7619">
        <v>0.99989150000000004</v>
      </c>
      <c r="P7619">
        <v>-8.5899929999999999E-2</v>
      </c>
      <c r="Q7619">
        <v>0.23640800000000001</v>
      </c>
      <c r="R7619">
        <v>0.96784939999999997</v>
      </c>
      <c r="S7619">
        <v>-0.122695899999999</v>
      </c>
      <c r="T7619">
        <v>5.1255229999999999E-3</v>
      </c>
      <c r="U7619">
        <v>3.086792</v>
      </c>
      <c r="V7619">
        <v>-8.3830459999999996E-2</v>
      </c>
      <c r="W7619">
        <v>0.25049660000000001</v>
      </c>
      <c r="X7619">
        <v>0.96448120000000004</v>
      </c>
      <c r="Y7619">
        <v>-3.7584190000000003E-2</v>
      </c>
      <c r="Z7619">
        <v>1.6234200000000001E-2</v>
      </c>
      <c r="AA7619">
        <v>0.99916159999999998</v>
      </c>
      <c r="AB7619">
        <v>34</v>
      </c>
      <c r="AC7619">
        <v>-12.2209</v>
      </c>
      <c r="AD7619">
        <v>0.51053599999999999</v>
      </c>
      <c r="AE7619">
        <v>307.16181</v>
      </c>
      <c r="AF7619">
        <v>-11.567829561262901</v>
      </c>
      <c r="AG7619">
        <v>0.51053599999999999</v>
      </c>
      <c r="AH7619">
        <v>307.18624960546299</v>
      </c>
      <c r="AI7619">
        <v>89.904843355507595</v>
      </c>
      <c r="AJ7619">
        <v>92.156589964961896</v>
      </c>
      <c r="AK7619">
        <v>307.40440347274699</v>
      </c>
      <c r="AL7619">
        <v>75.493100224471505</v>
      </c>
      <c r="AM7619">
        <v>94.967531464612094</v>
      </c>
      <c r="AN7619">
        <v>1.0000000388943999</v>
      </c>
    </row>
    <row r="7620" spans="1:40" x14ac:dyDescent="0.25">
      <c r="A7620" t="str">
        <f>"20190304155251559"</f>
        <v>20190304155251559</v>
      </c>
      <c r="B7620" t="str">
        <f>"1551685971554803"</f>
        <v>1551685971554803</v>
      </c>
      <c r="C7620" t="s">
        <v>40</v>
      </c>
      <c r="D7620">
        <v>4.9066169999999998</v>
      </c>
      <c r="E7620">
        <v>0.51509570000000005</v>
      </c>
      <c r="F7620" t="s">
        <v>55</v>
      </c>
      <c r="G7620">
        <v>-199.1113</v>
      </c>
      <c r="H7620">
        <v>2.473884</v>
      </c>
      <c r="I7620">
        <v>391.87</v>
      </c>
      <c r="J7620">
        <v>-187.3424</v>
      </c>
      <c r="K7620">
        <v>1.11069</v>
      </c>
      <c r="L7620">
        <v>85.045900000000003</v>
      </c>
      <c r="M7620">
        <v>-2.126083E-3</v>
      </c>
      <c r="N7620">
        <v>-1.457221E-2</v>
      </c>
      <c r="O7620">
        <v>0.99989159999999999</v>
      </c>
      <c r="P7620">
        <v>-8.6035829999999994E-2</v>
      </c>
      <c r="Q7620">
        <v>0.2371714</v>
      </c>
      <c r="R7620">
        <v>0.96765049999999997</v>
      </c>
      <c r="S7620">
        <v>-0.1182404</v>
      </c>
      <c r="T7620">
        <v>1.3695000000000001E-2</v>
      </c>
      <c r="U7620">
        <v>3.0858150000000002</v>
      </c>
      <c r="V7620">
        <v>-8.3967070000000005E-2</v>
      </c>
      <c r="W7620">
        <v>0.25125370000000002</v>
      </c>
      <c r="X7620">
        <v>0.96427229999999997</v>
      </c>
      <c r="Y7620">
        <v>-3.6154859999999997E-2</v>
      </c>
      <c r="Z7620">
        <v>1.9005919999999999E-2</v>
      </c>
      <c r="AA7620">
        <v>0.99916550000000004</v>
      </c>
      <c r="AB7620">
        <v>34</v>
      </c>
      <c r="AC7620">
        <v>-11.7689</v>
      </c>
      <c r="AD7620">
        <v>1.363194</v>
      </c>
      <c r="AE7620">
        <v>306.82409999999999</v>
      </c>
      <c r="AF7620">
        <v>-11.116251539460601</v>
      </c>
      <c r="AG7620">
        <v>1.363194</v>
      </c>
      <c r="AH7620">
        <v>306.84238268832598</v>
      </c>
      <c r="AI7620">
        <v>89.745623323882299</v>
      </c>
      <c r="AJ7620">
        <v>92.074797716563197</v>
      </c>
      <c r="AK7620">
        <v>307.046701920114</v>
      </c>
      <c r="AL7620">
        <v>75.448287604113105</v>
      </c>
      <c r="AM7620">
        <v>94.976658441449004</v>
      </c>
      <c r="AN7620">
        <v>0.99999997957768205</v>
      </c>
    </row>
    <row r="7621" spans="1:40" x14ac:dyDescent="0.25">
      <c r="A7621" t="str">
        <f>"20190304155251581"</f>
        <v>20190304155251581</v>
      </c>
      <c r="B7621" t="str">
        <f>"1551685971574323"</f>
        <v>1551685971574323</v>
      </c>
      <c r="C7621" t="s">
        <v>40</v>
      </c>
      <c r="D7621">
        <v>4.9175719999999998</v>
      </c>
      <c r="E7621">
        <v>0.51510540000000005</v>
      </c>
      <c r="F7621" t="s">
        <v>55</v>
      </c>
      <c r="G7621">
        <v>-199.06280000000001</v>
      </c>
      <c r="H7621">
        <v>2.9117739999999999</v>
      </c>
      <c r="I7621">
        <v>391.87</v>
      </c>
      <c r="J7621">
        <v>-187.34309999999999</v>
      </c>
      <c r="K7621">
        <v>1.110706</v>
      </c>
      <c r="L7621">
        <v>85.382570000000001</v>
      </c>
      <c r="M7621">
        <v>-2.1261880000000002E-3</v>
      </c>
      <c r="N7621">
        <v>-1.4568579999999999E-2</v>
      </c>
      <c r="O7621">
        <v>0.99989159999999999</v>
      </c>
      <c r="P7621">
        <v>-8.5720340000000006E-2</v>
      </c>
      <c r="Q7621">
        <v>0.2380369</v>
      </c>
      <c r="R7621">
        <v>0.96746600000000005</v>
      </c>
      <c r="S7621">
        <v>-0.1178589</v>
      </c>
      <c r="T7621">
        <v>1.8111470000000001E-2</v>
      </c>
      <c r="U7621">
        <v>3.085388</v>
      </c>
      <c r="V7621">
        <v>-8.3652560000000001E-2</v>
      </c>
      <c r="W7621">
        <v>0.25211240000000001</v>
      </c>
      <c r="X7621">
        <v>0.96407549999999997</v>
      </c>
      <c r="Y7621">
        <v>-3.603601E-2</v>
      </c>
      <c r="Z7621">
        <v>2.043302E-2</v>
      </c>
      <c r="AA7621">
        <v>0.99914159999999996</v>
      </c>
      <c r="AB7621">
        <v>34</v>
      </c>
      <c r="AC7621">
        <v>-11.7197</v>
      </c>
      <c r="AD7621">
        <v>1.8010679999999999</v>
      </c>
      <c r="AE7621">
        <v>306.48742999999899</v>
      </c>
      <c r="AF7621">
        <v>-11.0675727960001</v>
      </c>
      <c r="AG7621">
        <v>1.8010679999999999</v>
      </c>
      <c r="AH7621">
        <v>306.50108905544198</v>
      </c>
      <c r="AI7621">
        <v>89.663540514239699</v>
      </c>
      <c r="AJ7621">
        <v>92.068018153991005</v>
      </c>
      <c r="AK7621">
        <v>306.70613395513902</v>
      </c>
      <c r="AL7621">
        <v>75.3974514553353</v>
      </c>
      <c r="AM7621">
        <v>94.959117857630304</v>
      </c>
      <c r="AN7621">
        <v>0.99999999136428097</v>
      </c>
    </row>
    <row r="7622" spans="1:40" x14ac:dyDescent="0.25">
      <c r="A7622" t="str">
        <f>"20190304155251603"</f>
        <v>20190304155251603</v>
      </c>
      <c r="B7622" t="str">
        <f>"1551685971594818"</f>
        <v>1551685971594818</v>
      </c>
      <c r="C7622" t="s">
        <v>40</v>
      </c>
      <c r="D7622">
        <v>4.8277640000000002</v>
      </c>
      <c r="E7622">
        <v>0.51512460000000004</v>
      </c>
      <c r="F7622" t="s">
        <v>55</v>
      </c>
      <c r="G7622">
        <v>-198.96690000000001</v>
      </c>
      <c r="H7622">
        <v>3.300214</v>
      </c>
      <c r="I7622">
        <v>391.87</v>
      </c>
      <c r="J7622">
        <v>-187.34379999999999</v>
      </c>
      <c r="K7622">
        <v>1.110714</v>
      </c>
      <c r="L7622">
        <v>85.7149</v>
      </c>
      <c r="M7622">
        <v>-2.126256E-3</v>
      </c>
      <c r="N7622">
        <v>-1.456494E-2</v>
      </c>
      <c r="O7622">
        <v>0.99989159999999999</v>
      </c>
      <c r="P7622">
        <v>-8.5817690000000002E-2</v>
      </c>
      <c r="Q7622">
        <v>0.2386277</v>
      </c>
      <c r="R7622">
        <v>0.9673119</v>
      </c>
      <c r="S7622">
        <v>-0.117004399999999</v>
      </c>
      <c r="T7622">
        <v>2.2039409999999999E-2</v>
      </c>
      <c r="U7622">
        <v>3.085083</v>
      </c>
      <c r="V7622">
        <v>-8.3750140000000001E-2</v>
      </c>
      <c r="W7622">
        <v>0.25269710000000001</v>
      </c>
      <c r="X7622">
        <v>0.96391400000000005</v>
      </c>
      <c r="Y7622">
        <v>-3.5762699999999897E-2</v>
      </c>
      <c r="Z7622">
        <v>2.1702030000000001E-2</v>
      </c>
      <c r="AA7622">
        <v>0.99912460000000003</v>
      </c>
      <c r="AB7622">
        <v>34</v>
      </c>
      <c r="AC7622">
        <v>-11.623100000000001</v>
      </c>
      <c r="AD7622">
        <v>2.1894999999999998</v>
      </c>
      <c r="AE7622">
        <v>306.1551</v>
      </c>
      <c r="AF7622">
        <v>-10.9714801685429</v>
      </c>
      <c r="AG7622">
        <v>2.1894999999999998</v>
      </c>
      <c r="AH7622">
        <v>306.16348777488503</v>
      </c>
      <c r="AI7622">
        <v>89.590524317483997</v>
      </c>
      <c r="AJ7622">
        <v>92.052336922683097</v>
      </c>
      <c r="AK7622">
        <v>306.36783208068903</v>
      </c>
      <c r="AL7622">
        <v>75.362830567416594</v>
      </c>
      <c r="AM7622">
        <v>94.965701414959</v>
      </c>
      <c r="AN7622">
        <v>1.0000000548472101</v>
      </c>
    </row>
    <row r="7623" spans="1:40" x14ac:dyDescent="0.25">
      <c r="A7623" t="str">
        <f>"20190304155251626"</f>
        <v>20190304155251626</v>
      </c>
      <c r="B7623" t="str">
        <f>"1551685971614338"</f>
        <v>1551685971614338</v>
      </c>
      <c r="C7623" t="s">
        <v>40</v>
      </c>
      <c r="D7623">
        <v>4.8607950000000004</v>
      </c>
      <c r="E7623">
        <v>0.5146001</v>
      </c>
      <c r="F7623" t="s">
        <v>55</v>
      </c>
      <c r="G7623">
        <v>-198.96</v>
      </c>
      <c r="H7623">
        <v>3.5314909999999999</v>
      </c>
      <c r="I7623">
        <v>391.87</v>
      </c>
      <c r="J7623">
        <v>-187.34450000000001</v>
      </c>
      <c r="K7623">
        <v>1.110716</v>
      </c>
      <c r="L7623">
        <v>86.051090000000002</v>
      </c>
      <c r="M7623">
        <v>-2.1263440000000001E-3</v>
      </c>
      <c r="N7623">
        <v>-1.4561259999999999E-2</v>
      </c>
      <c r="O7623">
        <v>0.99989170000000005</v>
      </c>
      <c r="P7623">
        <v>-8.6387870000000005E-2</v>
      </c>
      <c r="Q7623">
        <v>0.23837920000000001</v>
      </c>
      <c r="R7623">
        <v>0.96732229999999997</v>
      </c>
      <c r="S7623">
        <v>-0.11705019999999999</v>
      </c>
      <c r="T7623">
        <v>2.4392839999999999E-2</v>
      </c>
      <c r="U7623">
        <v>3.0849609999999998</v>
      </c>
      <c r="V7623">
        <v>-8.4320740000000005E-2</v>
      </c>
      <c r="W7623">
        <v>0.25244509999999998</v>
      </c>
      <c r="X7623">
        <v>0.96393019999999996</v>
      </c>
      <c r="Y7623">
        <v>-3.5778480000000001E-2</v>
      </c>
      <c r="Z7623">
        <v>2.2460750000000002E-2</v>
      </c>
      <c r="AA7623">
        <v>0.99910730000000003</v>
      </c>
      <c r="AB7623">
        <v>34</v>
      </c>
      <c r="AC7623">
        <v>-11.6154999999999</v>
      </c>
      <c r="AD7623">
        <v>2.4207749999999999</v>
      </c>
      <c r="AE7623">
        <v>305.81891000000002</v>
      </c>
      <c r="AF7623">
        <v>-10.9644425430696</v>
      </c>
      <c r="AG7623">
        <v>2.4207749999999999</v>
      </c>
      <c r="AH7623">
        <v>305.82378480138402</v>
      </c>
      <c r="AI7623">
        <v>89.5467708817594</v>
      </c>
      <c r="AJ7623">
        <v>92.053297866522996</v>
      </c>
      <c r="AK7623">
        <v>306.029845770186</v>
      </c>
      <c r="AL7623">
        <v>75.377751688096197</v>
      </c>
      <c r="AM7623">
        <v>94.999278871987002</v>
      </c>
      <c r="AN7623">
        <v>0.99999997309009803</v>
      </c>
    </row>
    <row r="7624" spans="1:40" x14ac:dyDescent="0.25">
      <c r="A7624" t="str">
        <f>"20190304155251649"</f>
        <v>20190304155251649</v>
      </c>
      <c r="B7624" t="str">
        <f>"1551685971644125"</f>
        <v>1551685971644125</v>
      </c>
      <c r="C7624" t="s">
        <v>40</v>
      </c>
      <c r="D7624">
        <v>4.8806440000000002</v>
      </c>
      <c r="E7624">
        <v>0.51496299999999995</v>
      </c>
      <c r="F7624" t="s">
        <v>55</v>
      </c>
      <c r="G7624">
        <v>-199.39439999999999</v>
      </c>
      <c r="H7624">
        <v>2.5783040000000002</v>
      </c>
      <c r="I7624">
        <v>391.87</v>
      </c>
      <c r="J7624">
        <v>-187.34520000000001</v>
      </c>
      <c r="K7624">
        <v>1.110708</v>
      </c>
      <c r="L7624">
        <v>86.388180000000006</v>
      </c>
      <c r="M7624">
        <v>-2.126415E-3</v>
      </c>
      <c r="N7624">
        <v>-1.4557560000000001E-2</v>
      </c>
      <c r="O7624">
        <v>0.9998918</v>
      </c>
      <c r="P7624">
        <v>-8.6827100000000004E-2</v>
      </c>
      <c r="Q7624">
        <v>0.2371684</v>
      </c>
      <c r="R7624">
        <v>0.96758060000000001</v>
      </c>
      <c r="S7624">
        <v>-0.12162779999999999</v>
      </c>
      <c r="T7624">
        <v>1.4813420000000001E-2</v>
      </c>
      <c r="U7624">
        <v>3.0868530000000001</v>
      </c>
      <c r="V7624">
        <v>-8.4758769999999997E-2</v>
      </c>
      <c r="W7624">
        <v>0.25123469999999998</v>
      </c>
      <c r="X7624">
        <v>0.96420799999999995</v>
      </c>
      <c r="Y7624">
        <v>-3.7236230000000002E-2</v>
      </c>
      <c r="Z7624">
        <v>1.9351549999999999E-2</v>
      </c>
      <c r="AA7624">
        <v>0.99911910000000004</v>
      </c>
      <c r="AB7624">
        <v>34</v>
      </c>
      <c r="AC7624">
        <v>-12.0491999999999</v>
      </c>
      <c r="AD7624">
        <v>1.4675959999999999</v>
      </c>
      <c r="AE7624">
        <v>305.48182000000003</v>
      </c>
      <c r="AF7624">
        <v>-11.3992601154463</v>
      </c>
      <c r="AG7624">
        <v>1.4675959999999999</v>
      </c>
      <c r="AH7624">
        <v>305.49971344148901</v>
      </c>
      <c r="AI7624">
        <v>89.724949217145294</v>
      </c>
      <c r="AJ7624">
        <v>92.136914051979204</v>
      </c>
      <c r="AK7624">
        <v>305.71583518364002</v>
      </c>
      <c r="AL7624">
        <v>75.4494125355954</v>
      </c>
      <c r="AM7624">
        <v>95.023676143055496</v>
      </c>
      <c r="AN7624">
        <v>0.99999999542000095</v>
      </c>
    </row>
    <row r="7625" spans="1:40" x14ac:dyDescent="0.25">
      <c r="A7625" t="str">
        <f>"20190304155251670"</f>
        <v>20190304155251670</v>
      </c>
      <c r="B7625" t="str">
        <f>"1551685971664621"</f>
        <v>1551685971664621</v>
      </c>
      <c r="C7625" t="s">
        <v>40</v>
      </c>
      <c r="D7625">
        <v>4.8631449999999896</v>
      </c>
      <c r="E7625">
        <v>0.51509759999999905</v>
      </c>
      <c r="F7625" t="s">
        <v>55</v>
      </c>
      <c r="G7625">
        <v>-199.1884</v>
      </c>
      <c r="H7625">
        <v>1.796198</v>
      </c>
      <c r="I7625">
        <v>391.87</v>
      </c>
      <c r="J7625">
        <v>-187.3459</v>
      </c>
      <c r="K7625">
        <v>1.110703</v>
      </c>
      <c r="L7625">
        <v>86.728999999999999</v>
      </c>
      <c r="M7625">
        <v>-2.1264579999999999E-3</v>
      </c>
      <c r="N7625">
        <v>-1.45538E-2</v>
      </c>
      <c r="O7625">
        <v>0.9998918</v>
      </c>
      <c r="P7625">
        <v>-8.6944679999999996E-2</v>
      </c>
      <c r="Q7625">
        <v>0.23729600000000001</v>
      </c>
      <c r="R7625">
        <v>0.96753880000000003</v>
      </c>
      <c r="S7625">
        <v>-0.11972049999999999</v>
      </c>
      <c r="T7625">
        <v>6.9295169999999996E-3</v>
      </c>
      <c r="U7625">
        <v>3.0880740000000002</v>
      </c>
      <c r="V7625">
        <v>-8.4876889999999997E-2</v>
      </c>
      <c r="W7625">
        <v>0.25135790000000002</v>
      </c>
      <c r="X7625">
        <v>0.96416550000000001</v>
      </c>
      <c r="Y7625">
        <v>-3.6605640000000002E-2</v>
      </c>
      <c r="Z7625">
        <v>1.6795279999999999E-2</v>
      </c>
      <c r="AA7625">
        <v>0.99918870000000004</v>
      </c>
      <c r="AB7625">
        <v>34</v>
      </c>
      <c r="AC7625">
        <v>-11.842499999999999</v>
      </c>
      <c r="AD7625">
        <v>0.68549499999999997</v>
      </c>
      <c r="AE7625">
        <v>305.140999999999</v>
      </c>
      <c r="AF7625">
        <v>-11.1934785459329</v>
      </c>
      <c r="AG7625">
        <v>0.68549499999999997</v>
      </c>
      <c r="AH7625">
        <v>305.16395744845897</v>
      </c>
      <c r="AI7625">
        <v>89.871382224431002</v>
      </c>
      <c r="AJ7625">
        <v>92.100679545426402</v>
      </c>
      <c r="AK7625">
        <v>305.36994742600001</v>
      </c>
      <c r="AL7625">
        <v>75.442119675627097</v>
      </c>
      <c r="AM7625">
        <v>95.030861858664693</v>
      </c>
      <c r="AN7625">
        <v>0.99999999586936605</v>
      </c>
    </row>
    <row r="7626" spans="1:40" x14ac:dyDescent="0.25">
      <c r="A7626" t="str">
        <f>"20190304155251694"</f>
        <v>20190304155251694</v>
      </c>
      <c r="B7626" t="str">
        <f>"1551685971684142"</f>
        <v>1551685971684142</v>
      </c>
      <c r="C7626" t="s">
        <v>40</v>
      </c>
      <c r="D7626">
        <v>4.9004320000000003</v>
      </c>
      <c r="E7626">
        <v>0.51516669999999998</v>
      </c>
      <c r="F7626" t="s">
        <v>55</v>
      </c>
      <c r="G7626">
        <v>-199.0831</v>
      </c>
      <c r="H7626">
        <v>1.6321000000000001</v>
      </c>
      <c r="I7626">
        <v>391.87</v>
      </c>
      <c r="J7626">
        <v>-187.3467</v>
      </c>
      <c r="K7626">
        <v>1.1107039999999999</v>
      </c>
      <c r="L7626">
        <v>87.077330000000003</v>
      </c>
      <c r="M7626">
        <v>-2.1265020000000002E-3</v>
      </c>
      <c r="N7626">
        <v>-1.455001E-2</v>
      </c>
      <c r="O7626">
        <v>0.99989189999999994</v>
      </c>
      <c r="P7626">
        <v>-8.6851730000000002E-2</v>
      </c>
      <c r="Q7626">
        <v>0.237261</v>
      </c>
      <c r="R7626">
        <v>0.96755570000000002</v>
      </c>
      <c r="S7626">
        <v>-0.1188049</v>
      </c>
      <c r="T7626">
        <v>5.2776339999999998E-3</v>
      </c>
      <c r="U7626">
        <v>3.0886840000000002</v>
      </c>
      <c r="V7626">
        <v>-8.4783499999999998E-2</v>
      </c>
      <c r="W7626">
        <v>0.25132019999999999</v>
      </c>
      <c r="X7626">
        <v>0.96418360000000003</v>
      </c>
      <c r="Y7626">
        <v>-3.6302439999999998E-2</v>
      </c>
      <c r="Z7626">
        <v>1.6256710000000001E-2</v>
      </c>
      <c r="AA7626">
        <v>0.9992086</v>
      </c>
      <c r="AB7626">
        <v>34</v>
      </c>
      <c r="AC7626">
        <v>-11.7364</v>
      </c>
      <c r="AD7626">
        <v>0.52139599999999997</v>
      </c>
      <c r="AE7626">
        <v>304.79266999999999</v>
      </c>
      <c r="AF7626">
        <v>-11.088130230406099</v>
      </c>
      <c r="AG7626">
        <v>0.52139599999999997</v>
      </c>
      <c r="AH7626">
        <v>304.816050157284</v>
      </c>
      <c r="AI7626">
        <v>89.902058912083703</v>
      </c>
      <c r="AJ7626">
        <v>92.0832993073778</v>
      </c>
      <c r="AK7626">
        <v>305.01810260914499</v>
      </c>
      <c r="AL7626">
        <v>75.4443521659379</v>
      </c>
      <c r="AM7626">
        <v>95.025260910002302</v>
      </c>
      <c r="AN7626">
        <v>1.00000004965462</v>
      </c>
    </row>
    <row r="7627" spans="1:40" x14ac:dyDescent="0.25">
      <c r="A7627" t="str">
        <f>"20190304155251717"</f>
        <v>20190304155251717</v>
      </c>
      <c r="B7627" t="str">
        <f>"1551685971714397"</f>
        <v>1551685971714397</v>
      </c>
      <c r="C7627" t="s">
        <v>40</v>
      </c>
      <c r="D7627">
        <v>4.8752019999999998</v>
      </c>
      <c r="E7627">
        <v>0.51521810000000001</v>
      </c>
      <c r="F7627" t="s">
        <v>55</v>
      </c>
      <c r="G7627">
        <v>-198.99440000000001</v>
      </c>
      <c r="H7627">
        <v>1.404409</v>
      </c>
      <c r="I7627">
        <v>391.87</v>
      </c>
      <c r="J7627">
        <v>-187.34739999999999</v>
      </c>
      <c r="K7627">
        <v>1.110708</v>
      </c>
      <c r="L7627">
        <v>87.420929999999998</v>
      </c>
      <c r="M7627">
        <v>-2.1275589999999998E-3</v>
      </c>
      <c r="N7627">
        <v>-1.45462E-2</v>
      </c>
      <c r="O7627">
        <v>0.99989189999999994</v>
      </c>
      <c r="P7627">
        <v>-8.6931320000000006E-2</v>
      </c>
      <c r="Q7627">
        <v>0.23690020000000001</v>
      </c>
      <c r="R7627">
        <v>0.96763690000000002</v>
      </c>
      <c r="S7627">
        <v>-0.1180573</v>
      </c>
      <c r="T7627">
        <v>2.9768939999999999E-3</v>
      </c>
      <c r="U7627">
        <v>3.0892940000000002</v>
      </c>
      <c r="V7627">
        <v>-8.4863030000000006E-2</v>
      </c>
      <c r="W7627">
        <v>0.25095640000000002</v>
      </c>
      <c r="X7627">
        <v>0.96427130000000005</v>
      </c>
      <c r="Y7627">
        <v>-3.6052609999999999E-2</v>
      </c>
      <c r="Z7627">
        <v>1.550845E-2</v>
      </c>
      <c r="AA7627">
        <v>0.99922960000000005</v>
      </c>
      <c r="AB7627">
        <v>33</v>
      </c>
      <c r="AC7627">
        <v>-11.647</v>
      </c>
      <c r="AD7627">
        <v>0.29370099999999999</v>
      </c>
      <c r="AE7627">
        <v>304.44907000000001</v>
      </c>
      <c r="AF7627">
        <v>-10.9991614929669</v>
      </c>
      <c r="AG7627">
        <v>0.29370099999999999</v>
      </c>
      <c r="AH7627">
        <v>304.472880169978</v>
      </c>
      <c r="AI7627">
        <v>89.9447673211167</v>
      </c>
      <c r="AJ7627">
        <v>92.068925150999107</v>
      </c>
      <c r="AK7627">
        <v>304.671630731888</v>
      </c>
      <c r="AL7627">
        <v>75.465885696937093</v>
      </c>
      <c r="AM7627">
        <v>95.029495490935702</v>
      </c>
      <c r="AN7627">
        <v>0.99999999428271502</v>
      </c>
    </row>
    <row r="7628" spans="1:40" x14ac:dyDescent="0.25">
      <c r="A7628" t="str">
        <f>"20190304155251737"</f>
        <v>20190304155251737</v>
      </c>
      <c r="B7628" t="str">
        <f>"1551685971734426"</f>
        <v>1551685971734426</v>
      </c>
      <c r="C7628" t="s">
        <v>40</v>
      </c>
      <c r="D7628">
        <v>4.8859599999999999</v>
      </c>
      <c r="E7628">
        <v>0.51541139999999996</v>
      </c>
      <c r="F7628" t="s">
        <v>55</v>
      </c>
      <c r="G7628">
        <v>-198.9417</v>
      </c>
      <c r="H7628">
        <v>1.0158430000000001</v>
      </c>
      <c r="I7628">
        <v>391.87</v>
      </c>
      <c r="J7628">
        <v>-187.34809999999999</v>
      </c>
      <c r="K7628">
        <v>1.1107129999999901</v>
      </c>
      <c r="L7628">
        <v>87.727050000000006</v>
      </c>
      <c r="M7628">
        <v>-2.1339419999999998E-3</v>
      </c>
      <c r="N7628">
        <v>-1.454282E-2</v>
      </c>
      <c r="O7628">
        <v>0.999892</v>
      </c>
      <c r="P7628">
        <v>-8.6520830000000007E-2</v>
      </c>
      <c r="Q7628">
        <v>0.23787130000000001</v>
      </c>
      <c r="R7628">
        <v>0.9674355</v>
      </c>
      <c r="S7628">
        <v>-0.1176758</v>
      </c>
      <c r="T7628">
        <v>-9.6285339999999998E-4</v>
      </c>
      <c r="U7628">
        <v>3.0899960000000002</v>
      </c>
      <c r="V7628">
        <v>-8.4448049999999997E-2</v>
      </c>
      <c r="W7628">
        <v>0.25192049999999999</v>
      </c>
      <c r="X7628">
        <v>0.96405629999999998</v>
      </c>
      <c r="Y7628">
        <v>-3.5914799999999997E-2</v>
      </c>
      <c r="Z7628">
        <v>1.423087E-2</v>
      </c>
      <c r="AA7628">
        <v>0.99925350000000002</v>
      </c>
      <c r="AB7628">
        <v>33</v>
      </c>
      <c r="AC7628">
        <v>-11.5936</v>
      </c>
      <c r="AD7628">
        <v>-9.4869999999999802E-2</v>
      </c>
      <c r="AE7628">
        <v>304.14294999999998</v>
      </c>
      <c r="AF7628">
        <v>-10.9444804952201</v>
      </c>
      <c r="AG7628">
        <v>-9.4869999999999802E-2</v>
      </c>
      <c r="AH7628">
        <v>304.16697049765401</v>
      </c>
      <c r="AI7628">
        <v>90.017859056445701</v>
      </c>
      <c r="AJ7628">
        <v>92.060717271746896</v>
      </c>
      <c r="AK7628">
        <v>304.36382274401097</v>
      </c>
      <c r="AL7628">
        <v>75.408813078695303</v>
      </c>
      <c r="AM7628">
        <v>95.006137028999007</v>
      </c>
      <c r="AN7628">
        <v>0.999999980519371</v>
      </c>
    </row>
    <row r="7629" spans="1:40" x14ac:dyDescent="0.25">
      <c r="A7629" t="str">
        <f>"20190304155251759"</f>
        <v>20190304155251759</v>
      </c>
      <c r="B7629" t="str">
        <f>"1551685971753946"</f>
        <v>1551685971753946</v>
      </c>
      <c r="C7629" t="s">
        <v>40</v>
      </c>
      <c r="D7629">
        <v>4.8952900000000001</v>
      </c>
      <c r="E7629">
        <v>0.51539990000000002</v>
      </c>
      <c r="F7629" t="s">
        <v>55</v>
      </c>
      <c r="G7629">
        <v>-198.64269999999999</v>
      </c>
      <c r="H7629">
        <v>1.434361</v>
      </c>
      <c r="I7629">
        <v>391.87</v>
      </c>
      <c r="J7629">
        <v>-187.34880000000001</v>
      </c>
      <c r="K7629">
        <v>1.1107290000000001</v>
      </c>
      <c r="L7629">
        <v>88.050719999999998</v>
      </c>
      <c r="M7629">
        <v>-2.1533400000000001E-3</v>
      </c>
      <c r="N7629">
        <v>-1.453921E-2</v>
      </c>
      <c r="O7629">
        <v>0.999892</v>
      </c>
      <c r="P7629">
        <v>-8.6139950000000007E-2</v>
      </c>
      <c r="Q7629">
        <v>0.23705680000000001</v>
      </c>
      <c r="R7629">
        <v>0.96766940000000001</v>
      </c>
      <c r="S7629">
        <v>-0.1147461</v>
      </c>
      <c r="T7629">
        <v>3.2880309999999999E-3</v>
      </c>
      <c r="U7629">
        <v>3.0899049999999999</v>
      </c>
      <c r="V7629">
        <v>-8.4052730000000006E-2</v>
      </c>
      <c r="W7629">
        <v>0.25110460000000001</v>
      </c>
      <c r="X7629">
        <v>0.96430369999999999</v>
      </c>
      <c r="Y7629">
        <v>-3.495011E-2</v>
      </c>
      <c r="Z7629">
        <v>1.560193E-2</v>
      </c>
      <c r="AA7629">
        <v>0.99926729999999997</v>
      </c>
      <c r="AB7629">
        <v>33</v>
      </c>
      <c r="AC7629">
        <v>-11.293899999999899</v>
      </c>
      <c r="AD7629">
        <v>0.32363199999999898</v>
      </c>
      <c r="AE7629">
        <v>303.81927999999999</v>
      </c>
      <c r="AF7629">
        <v>-10.639566399242099</v>
      </c>
      <c r="AG7629">
        <v>0.32363199999999898</v>
      </c>
      <c r="AH7629">
        <v>303.84255335416299</v>
      </c>
      <c r="AI7629">
        <v>89.939009915907306</v>
      </c>
      <c r="AJ7629">
        <v>92.005490239249994</v>
      </c>
      <c r="AK7629">
        <v>304.02894983802599</v>
      </c>
      <c r="AL7629">
        <v>75.457113711624402</v>
      </c>
      <c r="AM7629">
        <v>94.981548502619802</v>
      </c>
      <c r="AN7629">
        <v>1.00000000369765</v>
      </c>
    </row>
    <row r="7630" spans="1:40" x14ac:dyDescent="0.25">
      <c r="A7630" t="str">
        <f>"20190304155251782"</f>
        <v>20190304155251782</v>
      </c>
      <c r="B7630" t="str">
        <f>"1551685971774441"</f>
        <v>1551685971774441</v>
      </c>
      <c r="C7630" t="s">
        <v>40</v>
      </c>
      <c r="D7630">
        <v>4.9214779999999996</v>
      </c>
      <c r="E7630">
        <v>0.51548559999999999</v>
      </c>
      <c r="F7630" t="s">
        <v>55</v>
      </c>
      <c r="G7630">
        <v>-198.49610000000001</v>
      </c>
      <c r="H7630">
        <v>1.011209</v>
      </c>
      <c r="I7630">
        <v>391.87</v>
      </c>
      <c r="J7630">
        <v>-187.34960000000001</v>
      </c>
      <c r="K7630">
        <v>1.1107479999999901</v>
      </c>
      <c r="L7630">
        <v>88.388580000000005</v>
      </c>
      <c r="M7630">
        <v>-2.1921979999999998E-3</v>
      </c>
      <c r="N7630">
        <v>-1.453542E-2</v>
      </c>
      <c r="O7630">
        <v>0.99989189999999994</v>
      </c>
      <c r="P7630">
        <v>-8.5364309999999999E-2</v>
      </c>
      <c r="Q7630">
        <v>0.23789279999999999</v>
      </c>
      <c r="R7630">
        <v>0.96753290000000003</v>
      </c>
      <c r="S7630">
        <v>-0.11338810000000001</v>
      </c>
      <c r="T7630">
        <v>-1.0123249999999999E-3</v>
      </c>
      <c r="U7630">
        <v>3.0903930000000002</v>
      </c>
      <c r="V7630">
        <v>-8.3248379999999997E-2</v>
      </c>
      <c r="W7630">
        <v>0.25193209999999999</v>
      </c>
      <c r="X7630">
        <v>0.96415759999999995</v>
      </c>
      <c r="Y7630">
        <v>-3.4467360000000002E-2</v>
      </c>
      <c r="Z7630">
        <v>1.420751E-2</v>
      </c>
      <c r="AA7630">
        <v>0.99930479999999999</v>
      </c>
      <c r="AB7630">
        <v>33</v>
      </c>
      <c r="AC7630">
        <v>-11.1465</v>
      </c>
      <c r="AD7630">
        <v>-9.9538999999999794E-2</v>
      </c>
      <c r="AE7630">
        <v>303.48142000000001</v>
      </c>
      <c r="AF7630">
        <v>-10.481110396129999</v>
      </c>
      <c r="AG7630">
        <v>-9.9538999999999794E-2</v>
      </c>
      <c r="AH7630">
        <v>303.50509593136701</v>
      </c>
      <c r="AI7630">
        <v>90.018779805697804</v>
      </c>
      <c r="AJ7630">
        <v>91.977841056576494</v>
      </c>
      <c r="AK7630">
        <v>303.68603332958298</v>
      </c>
      <c r="AL7630">
        <v>75.408126239641604</v>
      </c>
      <c r="AM7630">
        <v>94.934857583704897</v>
      </c>
      <c r="AN7630">
        <v>0.99999997671039598</v>
      </c>
    </row>
    <row r="7631" spans="1:40" x14ac:dyDescent="0.25">
      <c r="A7631" t="str">
        <f>"20190304155251804"</f>
        <v>20190304155251804</v>
      </c>
      <c r="B7631" t="str">
        <f>"1551685971793961"</f>
        <v>1551685971793961</v>
      </c>
      <c r="C7631" t="s">
        <v>40</v>
      </c>
      <c r="D7631">
        <v>5.0027670000000004</v>
      </c>
      <c r="E7631">
        <v>0.51563359999999903</v>
      </c>
      <c r="F7631" t="s">
        <v>55</v>
      </c>
      <c r="G7631">
        <v>-198.17599999999999</v>
      </c>
      <c r="H7631">
        <v>1.0046440000000001</v>
      </c>
      <c r="I7631">
        <v>391.87</v>
      </c>
      <c r="J7631">
        <v>-187.35040000000001</v>
      </c>
      <c r="K7631">
        <v>1.1107720000000001</v>
      </c>
      <c r="L7631">
        <v>88.722719999999995</v>
      </c>
      <c r="M7631">
        <v>-2.2516469999999998E-3</v>
      </c>
      <c r="N7631">
        <v>-1.4531860000000001E-2</v>
      </c>
      <c r="O7631">
        <v>0.99989189999999994</v>
      </c>
      <c r="P7631">
        <v>-8.4939760000000003E-2</v>
      </c>
      <c r="Q7631">
        <v>0.23884849999999999</v>
      </c>
      <c r="R7631">
        <v>0.96733480000000005</v>
      </c>
      <c r="S7631">
        <v>-0.11027530000000001</v>
      </c>
      <c r="T7631">
        <v>-1.080751E-3</v>
      </c>
      <c r="U7631">
        <v>3.0911870000000001</v>
      </c>
      <c r="V7631">
        <v>-8.2777139999999999E-2</v>
      </c>
      <c r="W7631">
        <v>0.2528784</v>
      </c>
      <c r="X7631">
        <v>0.96395050000000004</v>
      </c>
      <c r="Y7631">
        <v>-3.339367E-2</v>
      </c>
      <c r="Z7631">
        <v>1.4181900000000001E-2</v>
      </c>
      <c r="AA7631">
        <v>0.9993417</v>
      </c>
      <c r="AB7631">
        <v>33</v>
      </c>
      <c r="AC7631">
        <v>-10.8255999999999</v>
      </c>
      <c r="AD7631">
        <v>-0.106127999999999</v>
      </c>
      <c r="AE7631">
        <v>303.147279999999</v>
      </c>
      <c r="AF7631">
        <v>-10.1429185825451</v>
      </c>
      <c r="AG7631">
        <v>-0.106127999999999</v>
      </c>
      <c r="AH7631">
        <v>303.17085226499802</v>
      </c>
      <c r="AI7631">
        <v>90.020045746342703</v>
      </c>
      <c r="AJ7631">
        <v>91.9161794081311</v>
      </c>
      <c r="AK7631">
        <v>303.340494697971</v>
      </c>
      <c r="AL7631">
        <v>75.352094119403205</v>
      </c>
      <c r="AM7631">
        <v>94.908108970719596</v>
      </c>
      <c r="AN7631">
        <v>1.0000000532716899</v>
      </c>
    </row>
    <row r="7632" spans="1:40" x14ac:dyDescent="0.25">
      <c r="A7632" t="str">
        <f>"20190304155251827"</f>
        <v>20190304155251827</v>
      </c>
      <c r="B7632" t="str">
        <f>"1551685971824217"</f>
        <v>1551685971824217</v>
      </c>
      <c r="C7632" t="s">
        <v>40</v>
      </c>
      <c r="D7632">
        <v>4.8928699999999896</v>
      </c>
      <c r="E7632">
        <v>0.5157197</v>
      </c>
      <c r="F7632" t="s">
        <v>55</v>
      </c>
      <c r="G7632">
        <v>-197.8956</v>
      </c>
      <c r="H7632">
        <v>1.042473</v>
      </c>
      <c r="I7632">
        <v>391.87</v>
      </c>
      <c r="J7632">
        <v>-187.35120000000001</v>
      </c>
      <c r="K7632">
        <v>1.1107929999999999</v>
      </c>
      <c r="L7632">
        <v>89.06</v>
      </c>
      <c r="M7632">
        <v>-2.3331599999999999E-3</v>
      </c>
      <c r="N7632">
        <v>-1.452823E-2</v>
      </c>
      <c r="O7632">
        <v>0.9998918</v>
      </c>
      <c r="P7632">
        <v>-8.4192420000000004E-2</v>
      </c>
      <c r="Q7632">
        <v>0.2387272</v>
      </c>
      <c r="R7632">
        <v>0.96743009999999996</v>
      </c>
      <c r="S7632">
        <v>-0.10755919999999999</v>
      </c>
      <c r="T7632">
        <v>-6.9665910000000001E-4</v>
      </c>
      <c r="U7632">
        <v>3.092041</v>
      </c>
      <c r="V7632">
        <v>-8.1962209999999994E-2</v>
      </c>
      <c r="W7632">
        <v>0.25275110000000001</v>
      </c>
      <c r="X7632">
        <v>0.96405350000000001</v>
      </c>
      <c r="Y7632">
        <v>-3.242569E-2</v>
      </c>
      <c r="Z7632">
        <v>1.4302479999999999E-2</v>
      </c>
      <c r="AA7632">
        <v>0.99937180000000003</v>
      </c>
      <c r="AB7632">
        <v>33</v>
      </c>
      <c r="AC7632">
        <v>-10.5443999999999</v>
      </c>
      <c r="AD7632">
        <v>-6.8319999999999895E-2</v>
      </c>
      <c r="AE7632">
        <v>302.81</v>
      </c>
      <c r="AF7632">
        <v>-9.8377920857574299</v>
      </c>
      <c r="AG7632">
        <v>-6.8319999999999895E-2</v>
      </c>
      <c r="AH7632">
        <v>302.83376460195598</v>
      </c>
      <c r="AI7632">
        <v>90.012919245379194</v>
      </c>
      <c r="AJ7632">
        <v>91.860643938882802</v>
      </c>
      <c r="AK7632">
        <v>302.99352435941302</v>
      </c>
      <c r="AL7632">
        <v>75.3596325179996</v>
      </c>
      <c r="AM7632">
        <v>94.859505108078295</v>
      </c>
      <c r="AN7632">
        <v>1.00000003664077</v>
      </c>
    </row>
    <row r="7633" spans="1:40" x14ac:dyDescent="0.25">
      <c r="A7633" t="str">
        <f>"20190304155251850"</f>
        <v>20190304155251850</v>
      </c>
      <c r="B7633" t="str">
        <f>"1551685971844245"</f>
        <v>1551685971844245</v>
      </c>
      <c r="C7633" t="s">
        <v>40</v>
      </c>
      <c r="D7633">
        <v>5.0906209999999996</v>
      </c>
      <c r="E7633">
        <v>0.51600270000000004</v>
      </c>
      <c r="F7633" t="s">
        <v>55</v>
      </c>
      <c r="G7633">
        <v>-197.63079999999999</v>
      </c>
      <c r="H7633">
        <v>0.70130059999999905</v>
      </c>
      <c r="I7633">
        <v>391.87</v>
      </c>
      <c r="J7633">
        <v>-187.352</v>
      </c>
      <c r="K7633">
        <v>1.1108129999999901</v>
      </c>
      <c r="L7633">
        <v>89.379180000000005</v>
      </c>
      <c r="M7633">
        <v>-2.4291349999999998E-3</v>
      </c>
      <c r="N7633">
        <v>-1.452471E-2</v>
      </c>
      <c r="O7633">
        <v>0.99989159999999999</v>
      </c>
      <c r="P7633">
        <v>-8.3688509999999994E-2</v>
      </c>
      <c r="Q7633">
        <v>0.23828869999999999</v>
      </c>
      <c r="R7633">
        <v>0.96758189999999999</v>
      </c>
      <c r="S7633">
        <v>-0.104995699999999</v>
      </c>
      <c r="T7633">
        <v>-4.1825769999999998E-3</v>
      </c>
      <c r="U7633">
        <v>3.0928960000000001</v>
      </c>
      <c r="V7633">
        <v>-8.1374299999999997E-2</v>
      </c>
      <c r="W7633">
        <v>0.25230859999999999</v>
      </c>
      <c r="X7633">
        <v>0.96421920000000005</v>
      </c>
      <c r="Y7633">
        <v>-3.1493189999999997E-2</v>
      </c>
      <c r="Z7633">
        <v>1.3172659999999999E-2</v>
      </c>
      <c r="AA7633">
        <v>0.99941720000000001</v>
      </c>
      <c r="AB7633">
        <v>33</v>
      </c>
      <c r="AC7633">
        <v>-10.278799999999899</v>
      </c>
      <c r="AD7633">
        <v>-0.409512399999999</v>
      </c>
      <c r="AE7633">
        <v>302.49081999999999</v>
      </c>
      <c r="AF7633">
        <v>-9.5438836664379298</v>
      </c>
      <c r="AG7633">
        <v>-0.409512399999999</v>
      </c>
      <c r="AH7633">
        <v>302.51434478117397</v>
      </c>
      <c r="AI7633">
        <v>90.077522439308296</v>
      </c>
      <c r="AJ7633">
        <v>91.806998418684401</v>
      </c>
      <c r="AK7633">
        <v>302.66513214149302</v>
      </c>
      <c r="AL7633">
        <v>75.385835140796402</v>
      </c>
      <c r="AM7633">
        <v>94.823988084551999</v>
      </c>
      <c r="AN7633">
        <v>1.00000003599154</v>
      </c>
    </row>
    <row r="7634" spans="1:40" x14ac:dyDescent="0.25">
      <c r="A7634" t="str">
        <f>"20190304155251870"</f>
        <v>20190304155251870</v>
      </c>
      <c r="B7634" t="str">
        <f>"1551685971864741"</f>
        <v>1551685971864741</v>
      </c>
      <c r="C7634" t="s">
        <v>40</v>
      </c>
      <c r="D7634">
        <v>4.9365459999999999</v>
      </c>
      <c r="E7634">
        <v>0.51598940000000004</v>
      </c>
      <c r="F7634" t="s">
        <v>55</v>
      </c>
      <c r="G7634">
        <v>-197.25700000000001</v>
      </c>
      <c r="H7634">
        <v>0.51374049999999905</v>
      </c>
      <c r="I7634">
        <v>391.87</v>
      </c>
      <c r="J7634">
        <v>-187.35290000000001</v>
      </c>
      <c r="K7634">
        <v>1.1108290000000001</v>
      </c>
      <c r="L7634">
        <v>89.701719999999995</v>
      </c>
      <c r="M7634">
        <v>-2.5402649999999999E-3</v>
      </c>
      <c r="N7634">
        <v>-1.452108E-2</v>
      </c>
      <c r="O7634">
        <v>0.99989130000000004</v>
      </c>
      <c r="P7634">
        <v>-8.3832610000000002E-2</v>
      </c>
      <c r="Q7634">
        <v>0.23868259999999999</v>
      </c>
      <c r="R7634">
        <v>0.96747229999999995</v>
      </c>
      <c r="S7634">
        <v>-0.1012878</v>
      </c>
      <c r="T7634">
        <v>-6.1056610000000001E-3</v>
      </c>
      <c r="U7634">
        <v>3.0932620000000002</v>
      </c>
      <c r="V7634">
        <v>-8.1418240000000003E-2</v>
      </c>
      <c r="W7634">
        <v>0.25269520000000001</v>
      </c>
      <c r="X7634">
        <v>0.96411420000000003</v>
      </c>
      <c r="Y7634">
        <v>-3.0181659999999999E-2</v>
      </c>
      <c r="Z7634">
        <v>1.254779E-2</v>
      </c>
      <c r="AA7634">
        <v>0.99946559999999995</v>
      </c>
      <c r="AB7634">
        <v>33</v>
      </c>
      <c r="AC7634">
        <v>-9.9040999999999997</v>
      </c>
      <c r="AD7634">
        <v>-0.59708850000000002</v>
      </c>
      <c r="AE7634">
        <v>302.16827999999998</v>
      </c>
      <c r="AF7634">
        <v>-9.1363639278449398</v>
      </c>
      <c r="AG7634">
        <v>-0.59708850000000002</v>
      </c>
      <c r="AH7634">
        <v>302.19128786906498</v>
      </c>
      <c r="AI7634">
        <v>90.113156742373704</v>
      </c>
      <c r="AJ7634">
        <v>91.731736495049205</v>
      </c>
      <c r="AK7634">
        <v>302.32995902566898</v>
      </c>
      <c r="AL7634">
        <v>75.362942144604503</v>
      </c>
      <c r="AM7634">
        <v>94.8271037807569</v>
      </c>
      <c r="AN7634">
        <v>0.99999999227468805</v>
      </c>
    </row>
    <row r="7635" spans="1:40" x14ac:dyDescent="0.25">
      <c r="A7635" t="str">
        <f>"20190304155251894"</f>
        <v>20190304155251894</v>
      </c>
      <c r="B7635" t="str">
        <f>"1551685971884261"</f>
        <v>1551685971884261</v>
      </c>
      <c r="C7635" t="s">
        <v>40</v>
      </c>
      <c r="D7635">
        <v>4.9139290000000004</v>
      </c>
      <c r="E7635">
        <v>0.51592870000000002</v>
      </c>
      <c r="F7635" t="s">
        <v>55</v>
      </c>
      <c r="G7635">
        <v>-197.26429999999999</v>
      </c>
      <c r="H7635">
        <v>0.51392839999999995</v>
      </c>
      <c r="I7635">
        <v>391.87</v>
      </c>
      <c r="J7635">
        <v>-187.35390000000001</v>
      </c>
      <c r="K7635">
        <v>1.11084</v>
      </c>
      <c r="L7635">
        <v>90.058169999999905</v>
      </c>
      <c r="M7635">
        <v>-2.673501E-3</v>
      </c>
      <c r="N7635">
        <v>-1.451712E-2</v>
      </c>
      <c r="O7635">
        <v>0.99989099999999997</v>
      </c>
      <c r="P7635">
        <v>-8.3599880000000001E-2</v>
      </c>
      <c r="Q7635">
        <v>0.24063780000000001</v>
      </c>
      <c r="R7635">
        <v>0.96700799999999998</v>
      </c>
      <c r="S7635">
        <v>-0.1014709</v>
      </c>
      <c r="T7635">
        <v>-6.1110260000000003E-3</v>
      </c>
      <c r="U7635">
        <v>3.0935670000000002</v>
      </c>
      <c r="V7635">
        <v>-8.1062910000000002E-2</v>
      </c>
      <c r="W7635">
        <v>0.25463789999999997</v>
      </c>
      <c r="X7635">
        <v>0.96363290000000001</v>
      </c>
      <c r="Y7635">
        <v>-3.0104349999999998E-2</v>
      </c>
      <c r="Z7635">
        <v>1.254226E-2</v>
      </c>
      <c r="AA7635">
        <v>0.99946809999999997</v>
      </c>
      <c r="AB7635">
        <v>33</v>
      </c>
      <c r="AC7635">
        <v>-9.9103999999999797</v>
      </c>
      <c r="AD7635">
        <v>-0.59691159999999999</v>
      </c>
      <c r="AE7635">
        <v>301.81182999999999</v>
      </c>
      <c r="AF7635">
        <v>-9.1033496991328899</v>
      </c>
      <c r="AG7635">
        <v>-0.59691159999999999</v>
      </c>
      <c r="AH7635">
        <v>301.83607004071598</v>
      </c>
      <c r="AI7635">
        <v>90.113256599035694</v>
      </c>
      <c r="AJ7635">
        <v>91.727512075393605</v>
      </c>
      <c r="AK7635">
        <v>301.97390691387</v>
      </c>
      <c r="AL7635">
        <v>75.247870070526403</v>
      </c>
      <c r="AM7635">
        <v>94.808525203212298</v>
      </c>
      <c r="AN7635">
        <v>1.0000000107282401</v>
      </c>
    </row>
    <row r="7636" spans="1:40" x14ac:dyDescent="0.25">
      <c r="A7636" t="str">
        <f>"20190304155251918"</f>
        <v>20190304155251918</v>
      </c>
      <c r="B7636" t="str">
        <f>"1551685971914517"</f>
        <v>1551685971914517</v>
      </c>
      <c r="C7636" t="s">
        <v>40</v>
      </c>
      <c r="D7636">
        <v>5.0236640000000001</v>
      </c>
      <c r="E7636">
        <v>0.51603469999999996</v>
      </c>
      <c r="F7636" t="s">
        <v>55</v>
      </c>
      <c r="G7636">
        <v>-197.22730000000001</v>
      </c>
      <c r="H7636">
        <v>0.99874879999999999</v>
      </c>
      <c r="I7636">
        <v>391.87</v>
      </c>
      <c r="J7636">
        <v>-187.35499999999999</v>
      </c>
      <c r="K7636">
        <v>1.1108469999999999</v>
      </c>
      <c r="L7636">
        <v>90.392520000000005</v>
      </c>
      <c r="M7636">
        <v>-2.8036210000000001E-3</v>
      </c>
      <c r="N7636">
        <v>-1.4513379999999999E-2</v>
      </c>
      <c r="O7636">
        <v>0.99989070000000002</v>
      </c>
      <c r="P7636">
        <v>-8.2570630000000006E-2</v>
      </c>
      <c r="Q7636">
        <v>0.24081179999999999</v>
      </c>
      <c r="R7636">
        <v>0.9670531</v>
      </c>
      <c r="S7636">
        <v>-0.1012115</v>
      </c>
      <c r="T7636">
        <v>-1.1490579999999999E-3</v>
      </c>
      <c r="U7636">
        <v>3.0938720000000002</v>
      </c>
      <c r="V7636">
        <v>-7.9911330000000003E-2</v>
      </c>
      <c r="W7636">
        <v>0.2548086</v>
      </c>
      <c r="X7636">
        <v>0.96368399999999999</v>
      </c>
      <c r="Y7636">
        <v>-2.988702E-2</v>
      </c>
      <c r="Z7636">
        <v>1.4141539999999999E-2</v>
      </c>
      <c r="AA7636">
        <v>0.99945320000000004</v>
      </c>
      <c r="AB7636">
        <v>33</v>
      </c>
      <c r="AC7636">
        <v>-9.8723000000000205</v>
      </c>
      <c r="AD7636">
        <v>-0.112098199999999</v>
      </c>
      <c r="AE7636">
        <v>301.47747999999899</v>
      </c>
      <c r="AF7636">
        <v>-9.0269422808717508</v>
      </c>
      <c r="AG7636">
        <v>-0.112098199999999</v>
      </c>
      <c r="AH7636">
        <v>301.503934361544</v>
      </c>
      <c r="AI7636">
        <v>90.021292845705702</v>
      </c>
      <c r="AJ7636">
        <v>91.714907103966993</v>
      </c>
      <c r="AK7636">
        <v>301.63905696782501</v>
      </c>
      <c r="AL7636">
        <v>75.237756616587106</v>
      </c>
      <c r="AM7636">
        <v>94.740278598149402</v>
      </c>
      <c r="AN7636">
        <v>1.0000000475761599</v>
      </c>
    </row>
    <row r="7637" spans="1:40" x14ac:dyDescent="0.25">
      <c r="A7637" t="str">
        <f>"20190304155251938"</f>
        <v>20190304155251938</v>
      </c>
      <c r="B7637" t="str">
        <f>"1551685971934544"</f>
        <v>1551685971934544</v>
      </c>
      <c r="C7637" t="s">
        <v>40</v>
      </c>
      <c r="D7637">
        <v>4.9160830000000004</v>
      </c>
      <c r="E7637">
        <v>0.51599019999999995</v>
      </c>
      <c r="F7637" t="s">
        <v>55</v>
      </c>
      <c r="G7637">
        <v>-196.84569999999999</v>
      </c>
      <c r="H7637">
        <v>0.73413850000000003</v>
      </c>
      <c r="I7637">
        <v>391.87</v>
      </c>
      <c r="J7637">
        <v>-187.35599999999999</v>
      </c>
      <c r="K7637">
        <v>1.1108420000000001</v>
      </c>
      <c r="L7637">
        <v>90.708920000000006</v>
      </c>
      <c r="M7637">
        <v>-2.9281210000000001E-3</v>
      </c>
      <c r="N7637">
        <v>-1.450979E-2</v>
      </c>
      <c r="O7637">
        <v>0.99989039999999996</v>
      </c>
      <c r="P7637">
        <v>-8.1966769999999994E-2</v>
      </c>
      <c r="Q7637">
        <v>0.2407059</v>
      </c>
      <c r="R7637">
        <v>0.96713090000000002</v>
      </c>
      <c r="S7637">
        <v>-9.7427369999999999E-2</v>
      </c>
      <c r="T7637">
        <v>-3.8671489999999998E-3</v>
      </c>
      <c r="U7637">
        <v>3.094849</v>
      </c>
      <c r="V7637">
        <v>-7.9188510000000004E-2</v>
      </c>
      <c r="W7637">
        <v>0.25469969999999997</v>
      </c>
      <c r="X7637">
        <v>0.96377239999999997</v>
      </c>
      <c r="Y7637">
        <v>-2.8531770000000001E-2</v>
      </c>
      <c r="Z7637">
        <v>1.3260269999999999E-2</v>
      </c>
      <c r="AA7637">
        <v>0.99950490000000003</v>
      </c>
      <c r="AB7637">
        <v>33</v>
      </c>
      <c r="AC7637">
        <v>-9.4896999999999991</v>
      </c>
      <c r="AD7637">
        <v>-0.37670350000000002</v>
      </c>
      <c r="AE7637">
        <v>301.161079999999</v>
      </c>
      <c r="AF7637">
        <v>-8.6077168943299593</v>
      </c>
      <c r="AG7637">
        <v>-0.37670350000000002</v>
      </c>
      <c r="AH7637">
        <v>301.18710781229498</v>
      </c>
      <c r="AI7637">
        <v>90.071632217375594</v>
      </c>
      <c r="AJ7637">
        <v>91.637027708268704</v>
      </c>
      <c r="AK7637">
        <v>301.31031945154899</v>
      </c>
      <c r="AL7637">
        <v>75.2442082722348</v>
      </c>
      <c r="AM7637">
        <v>94.697165284304504</v>
      </c>
      <c r="AN7637">
        <v>0.99999999814893503</v>
      </c>
    </row>
    <row r="7638" spans="1:40" x14ac:dyDescent="0.25">
      <c r="A7638" t="str">
        <f>"20190304155251960"</f>
        <v>20190304155251960</v>
      </c>
      <c r="B7638" t="str">
        <f>"1551685971954064"</f>
        <v>1551685971954064</v>
      </c>
      <c r="C7638" t="s">
        <v>40</v>
      </c>
      <c r="D7638">
        <v>4.8987230000000004</v>
      </c>
      <c r="E7638">
        <v>0.51586480000000001</v>
      </c>
      <c r="F7638" t="s">
        <v>55</v>
      </c>
      <c r="G7638">
        <v>-196.75960000000001</v>
      </c>
      <c r="H7638">
        <v>0.50889870000000004</v>
      </c>
      <c r="I7638">
        <v>391.87</v>
      </c>
      <c r="J7638">
        <v>-187.3571</v>
      </c>
      <c r="K7638">
        <v>1.110843</v>
      </c>
      <c r="L7638">
        <v>91.034850000000006</v>
      </c>
      <c r="M7638">
        <v>-3.0554940000000002E-3</v>
      </c>
      <c r="N7638">
        <v>-1.4506170000000001E-2</v>
      </c>
      <c r="O7638">
        <v>0.9998901</v>
      </c>
      <c r="P7638">
        <v>-8.1489640000000002E-2</v>
      </c>
      <c r="Q7638">
        <v>0.24072379999999999</v>
      </c>
      <c r="R7638">
        <v>0.96716670000000005</v>
      </c>
      <c r="S7638">
        <v>-9.6649170000000006E-2</v>
      </c>
      <c r="T7638">
        <v>-6.1867240000000002E-3</v>
      </c>
      <c r="U7638">
        <v>3.0953059999999999</v>
      </c>
      <c r="V7638">
        <v>-7.8590289999999993E-2</v>
      </c>
      <c r="W7638">
        <v>0.25471450000000001</v>
      </c>
      <c r="X7638">
        <v>0.96381749999999999</v>
      </c>
      <c r="Y7638">
        <v>-2.8148940000000001E-2</v>
      </c>
      <c r="Z7638">
        <v>1.2507819999999999E-2</v>
      </c>
      <c r="AA7638">
        <v>0.99952549999999996</v>
      </c>
      <c r="AB7638">
        <v>33</v>
      </c>
      <c r="AC7638">
        <v>-9.4024999999999999</v>
      </c>
      <c r="AD7638">
        <v>-0.60194429999999999</v>
      </c>
      <c r="AE7638">
        <v>300.83515</v>
      </c>
      <c r="AF7638">
        <v>-8.4831254345477802</v>
      </c>
      <c r="AG7638">
        <v>-0.60194429999999999</v>
      </c>
      <c r="AH7638">
        <v>300.86127433603201</v>
      </c>
      <c r="AI7638">
        <v>90.114588095351294</v>
      </c>
      <c r="AJ7638">
        <v>91.615091675889602</v>
      </c>
      <c r="AK7638">
        <v>300.98144818107897</v>
      </c>
      <c r="AL7638">
        <v>75.243332031036104</v>
      </c>
      <c r="AM7638">
        <v>94.661620929394203</v>
      </c>
      <c r="AN7638">
        <v>1.0000000417493899</v>
      </c>
    </row>
    <row r="7639" spans="1:40" x14ac:dyDescent="0.25">
      <c r="A7639" t="str">
        <f>"20190304155251983"</f>
        <v>20190304155251983</v>
      </c>
      <c r="B7639" t="str">
        <f>"1551685971974560"</f>
        <v>1551685971974560</v>
      </c>
      <c r="C7639" t="s">
        <v>40</v>
      </c>
      <c r="D7639">
        <v>4.9656089999999997</v>
      </c>
      <c r="E7639">
        <v>0.51578170000000001</v>
      </c>
      <c r="F7639" t="s">
        <v>55</v>
      </c>
      <c r="G7639">
        <v>-196.71180000000001</v>
      </c>
      <c r="H7639">
        <v>0.27824399999999999</v>
      </c>
      <c r="I7639">
        <v>391.87</v>
      </c>
      <c r="J7639">
        <v>-187.35820000000001</v>
      </c>
      <c r="K7639">
        <v>1.110846</v>
      </c>
      <c r="L7639">
        <v>91.362459999999999</v>
      </c>
      <c r="M7639">
        <v>-3.1820590000000001E-3</v>
      </c>
      <c r="N7639">
        <v>-1.4502599999999999E-2</v>
      </c>
      <c r="O7639">
        <v>0.99988980000000005</v>
      </c>
      <c r="P7639">
        <v>-8.1394839999999996E-2</v>
      </c>
      <c r="Q7639">
        <v>0.2408922</v>
      </c>
      <c r="R7639">
        <v>0.96713280000000001</v>
      </c>
      <c r="S7639">
        <v>-9.6267699999999998E-2</v>
      </c>
      <c r="T7639">
        <v>-8.5681679999999993E-3</v>
      </c>
      <c r="U7639">
        <v>3.0958559999999999</v>
      </c>
      <c r="V7639">
        <v>-7.8374449999999998E-2</v>
      </c>
      <c r="W7639">
        <v>0.25487910000000003</v>
      </c>
      <c r="X7639">
        <v>0.96379150000000002</v>
      </c>
      <c r="Y7639">
        <v>-2.7893999999999999E-2</v>
      </c>
      <c r="Z7639">
        <v>1.173573E-2</v>
      </c>
      <c r="AA7639">
        <v>0.99954200000000004</v>
      </c>
      <c r="AB7639">
        <v>33</v>
      </c>
      <c r="AC7639">
        <v>-9.3536000000000001</v>
      </c>
      <c r="AD7639">
        <v>-0.83260199999999995</v>
      </c>
      <c r="AE7639">
        <v>300.50754000000001</v>
      </c>
      <c r="AF7639">
        <v>-8.3971549685290103</v>
      </c>
      <c r="AG7639">
        <v>-0.83260199999999995</v>
      </c>
      <c r="AH7639">
        <v>300.533480301304</v>
      </c>
      <c r="AI7639">
        <v>90.158670668951501</v>
      </c>
      <c r="AJ7639">
        <v>91.600475246510996</v>
      </c>
      <c r="AK7639">
        <v>300.65192202889699</v>
      </c>
      <c r="AL7639">
        <v>75.233578360921697</v>
      </c>
      <c r="AM7639">
        <v>94.648999330550595</v>
      </c>
      <c r="AN7639">
        <v>0.99999998275093105</v>
      </c>
    </row>
    <row r="7640" spans="1:40" x14ac:dyDescent="0.25">
      <c r="A7640" t="str">
        <f>"20190304155252005"</f>
        <v>20190304155252005</v>
      </c>
      <c r="B7640" t="str">
        <f>"1551685971994082"</f>
        <v>1551685971994082</v>
      </c>
      <c r="C7640" t="s">
        <v>40</v>
      </c>
      <c r="D7640">
        <v>4.9122440000000003</v>
      </c>
      <c r="E7640">
        <v>0.51573159999999996</v>
      </c>
      <c r="F7640" t="s">
        <v>55</v>
      </c>
      <c r="G7640">
        <v>-196.74440000000001</v>
      </c>
      <c r="H7640">
        <v>0.1524076</v>
      </c>
      <c r="I7640">
        <v>391.87</v>
      </c>
      <c r="J7640">
        <v>-187.35939999999999</v>
      </c>
      <c r="K7640">
        <v>1.110849</v>
      </c>
      <c r="L7640">
        <v>91.695890000000006</v>
      </c>
      <c r="M7640">
        <v>-3.3100909999999998E-3</v>
      </c>
      <c r="N7640">
        <v>-1.449896E-2</v>
      </c>
      <c r="O7640">
        <v>0.99988940000000004</v>
      </c>
      <c r="P7640">
        <v>-8.1096280000000007E-2</v>
      </c>
      <c r="Q7640">
        <v>0.24070250000000001</v>
      </c>
      <c r="R7640">
        <v>0.96720510000000004</v>
      </c>
      <c r="S7640">
        <v>-9.6710210000000005E-2</v>
      </c>
      <c r="T7640">
        <v>-9.8752979999999994E-3</v>
      </c>
      <c r="U7640">
        <v>3.0962830000000001</v>
      </c>
      <c r="V7640">
        <v>-7.7952519999999997E-2</v>
      </c>
      <c r="W7640">
        <v>0.25468639999999998</v>
      </c>
      <c r="X7640">
        <v>0.96387670000000003</v>
      </c>
      <c r="Y7640">
        <v>-2.7904499999999999E-2</v>
      </c>
      <c r="Z7640">
        <v>1.1310509999999999E-2</v>
      </c>
      <c r="AA7640">
        <v>0.99954659999999995</v>
      </c>
      <c r="AB7640">
        <v>33</v>
      </c>
      <c r="AC7640">
        <v>-9.3850000000000193</v>
      </c>
      <c r="AD7640">
        <v>-0.9584414</v>
      </c>
      <c r="AE7640">
        <v>300.17410999999998</v>
      </c>
      <c r="AF7640">
        <v>-8.3911550313546304</v>
      </c>
      <c r="AG7640">
        <v>-0.9584414</v>
      </c>
      <c r="AH7640">
        <v>300.200476123481</v>
      </c>
      <c r="AI7640">
        <v>90.182854542692397</v>
      </c>
      <c r="AJ7640">
        <v>91.601105441307297</v>
      </c>
      <c r="AK7640">
        <v>300.319256720981</v>
      </c>
      <c r="AL7640">
        <v>75.244996702633898</v>
      </c>
      <c r="AM7640">
        <v>94.623673237963402</v>
      </c>
      <c r="AN7640">
        <v>1.0000000252610901</v>
      </c>
    </row>
    <row r="7641" spans="1:40" x14ac:dyDescent="0.25">
      <c r="A7641" t="str">
        <f>"20190304155252027"</f>
        <v>20190304155252027</v>
      </c>
      <c r="B7641" t="str">
        <f>"1551685972024336"</f>
        <v>1551685972024336</v>
      </c>
      <c r="C7641" t="s">
        <v>40</v>
      </c>
      <c r="D7641">
        <v>4.9394910000000003</v>
      </c>
      <c r="E7641">
        <v>0.5156558</v>
      </c>
      <c r="F7641" t="s">
        <v>50</v>
      </c>
      <c r="G7641">
        <v>-196.34399999999999</v>
      </c>
      <c r="H7641">
        <v>1.8653619999999999E-2</v>
      </c>
      <c r="I7641">
        <v>379.6</v>
      </c>
      <c r="J7641">
        <v>-187.36060000000001</v>
      </c>
      <c r="K7641">
        <v>1.1108450000000001</v>
      </c>
      <c r="L7641">
        <v>92.016480000000001</v>
      </c>
      <c r="M7641">
        <v>-3.432516E-3</v>
      </c>
      <c r="N7641">
        <v>-1.449539E-2</v>
      </c>
      <c r="O7641">
        <v>0.99988900000000003</v>
      </c>
      <c r="P7641">
        <v>-8.0848829999999997E-2</v>
      </c>
      <c r="Q7641">
        <v>0.2400439</v>
      </c>
      <c r="R7641">
        <v>0.96738950000000001</v>
      </c>
      <c r="S7641">
        <v>-9.6633910000000003E-2</v>
      </c>
      <c r="T7641">
        <v>-1.174712E-2</v>
      </c>
      <c r="U7641">
        <v>3.0965579999999999</v>
      </c>
      <c r="V7641">
        <v>-7.7586329999999995E-2</v>
      </c>
      <c r="W7641">
        <v>0.2540269</v>
      </c>
      <c r="X7641">
        <v>0.96408020000000005</v>
      </c>
      <c r="Y7641">
        <v>-2.7754850000000001E-2</v>
      </c>
      <c r="Z7641">
        <v>1.0703020000000001E-2</v>
      </c>
      <c r="AA7641">
        <v>0.99955740000000004</v>
      </c>
      <c r="AB7641">
        <v>33</v>
      </c>
      <c r="AC7641">
        <v>-8.9834000000000103</v>
      </c>
      <c r="AD7641">
        <v>-1.09219138</v>
      </c>
      <c r="AE7641">
        <v>287.58352000000002</v>
      </c>
      <c r="AF7641">
        <v>-7.9959930485824797</v>
      </c>
      <c r="AG7641">
        <v>-1.09219138</v>
      </c>
      <c r="AH7641">
        <v>287.60852009956398</v>
      </c>
      <c r="AI7641">
        <v>90.217495245859993</v>
      </c>
      <c r="AJ7641">
        <v>91.592507318914102</v>
      </c>
      <c r="AK7641">
        <v>287.72172253881803</v>
      </c>
      <c r="AL7641">
        <v>75.284067457911505</v>
      </c>
      <c r="AM7641">
        <v>94.6010793340334</v>
      </c>
      <c r="AN7641">
        <v>0.99999996827925897</v>
      </c>
    </row>
    <row r="7642" spans="1:40" x14ac:dyDescent="0.25">
      <c r="A7642" t="str">
        <f>"20190304155252050"</f>
        <v>20190304155252050</v>
      </c>
      <c r="B7642" t="str">
        <f>"1551685972044363"</f>
        <v>1551685972044363</v>
      </c>
      <c r="C7642" t="s">
        <v>40</v>
      </c>
      <c r="D7642">
        <v>4.9236950000000004</v>
      </c>
      <c r="E7642">
        <v>0.5155904</v>
      </c>
      <c r="F7642" t="s">
        <v>41</v>
      </c>
      <c r="G7642">
        <v>-193.90029999999999</v>
      </c>
      <c r="H7642" s="1">
        <v>-1.370006E-6</v>
      </c>
      <c r="I7642">
        <v>300.36360000000002</v>
      </c>
      <c r="J7642">
        <v>-187.36179999999999</v>
      </c>
      <c r="K7642">
        <v>1.1108450000000001</v>
      </c>
      <c r="L7642">
        <v>92.336550000000003</v>
      </c>
      <c r="M7642">
        <v>-3.5546409999999999E-3</v>
      </c>
      <c r="N7642">
        <v>-1.449195E-2</v>
      </c>
      <c r="O7642">
        <v>0.99988869999999996</v>
      </c>
      <c r="P7642">
        <v>-8.0437239999999993E-2</v>
      </c>
      <c r="Q7642">
        <v>0.24002370000000001</v>
      </c>
      <c r="R7642">
        <v>0.96742879999999998</v>
      </c>
      <c r="S7642">
        <v>-9.7213750000000002E-2</v>
      </c>
      <c r="T7642">
        <v>-1.6512869999999999E-2</v>
      </c>
      <c r="U7642">
        <v>3.0971069999999998</v>
      </c>
      <c r="V7642">
        <v>-7.7056730000000004E-2</v>
      </c>
      <c r="W7642">
        <v>0.25400430000000002</v>
      </c>
      <c r="X7642">
        <v>0.96412869999999995</v>
      </c>
      <c r="Y7642">
        <v>-2.781434E-2</v>
      </c>
      <c r="Z7642">
        <v>9.1622560000000006E-3</v>
      </c>
      <c r="AA7642">
        <v>0.99957110000000005</v>
      </c>
      <c r="AB7642">
        <v>33</v>
      </c>
      <c r="AC7642">
        <v>-6.5384999999999902</v>
      </c>
      <c r="AD7642">
        <v>-1.1108463700060001</v>
      </c>
      <c r="AE7642">
        <v>208.02705</v>
      </c>
      <c r="AF7642">
        <v>-5.7987543772616199</v>
      </c>
      <c r="AG7642">
        <v>-1.1108463700060001</v>
      </c>
      <c r="AH7642">
        <v>208.04305349556901</v>
      </c>
      <c r="AI7642">
        <v>90.3058092754668</v>
      </c>
      <c r="AJ7642">
        <v>91.596583721567697</v>
      </c>
      <c r="AK7642">
        <v>208.126816243717</v>
      </c>
      <c r="AL7642">
        <v>75.285407290643207</v>
      </c>
      <c r="AM7642">
        <v>94.569577190354806</v>
      </c>
      <c r="AN7642">
        <v>1.00000003711023</v>
      </c>
    </row>
    <row r="7643" spans="1:40" x14ac:dyDescent="0.25">
      <c r="A7643" t="str">
        <f>"20190304155252073"</f>
        <v>20190304155252073</v>
      </c>
      <c r="B7643" t="str">
        <f>"1551685972064859"</f>
        <v>1551685972064859</v>
      </c>
      <c r="C7643" t="s">
        <v>40</v>
      </c>
      <c r="D7643">
        <v>4.9092529999999996</v>
      </c>
      <c r="E7643">
        <v>0.5155071</v>
      </c>
      <c r="F7643" t="s">
        <v>62</v>
      </c>
      <c r="G7643">
        <v>-193.52709999999999</v>
      </c>
      <c r="H7643" s="1">
        <v>2.9977830000000001E-6</v>
      </c>
      <c r="I7643">
        <v>288.51889999999997</v>
      </c>
      <c r="J7643">
        <v>-187.3631</v>
      </c>
      <c r="K7643">
        <v>1.1108450000000001</v>
      </c>
      <c r="L7643">
        <v>92.676760000000002</v>
      </c>
      <c r="M7643">
        <v>-3.6845860000000001E-3</v>
      </c>
      <c r="N7643">
        <v>-1.44882999999999E-2</v>
      </c>
      <c r="O7643">
        <v>0.9998882</v>
      </c>
      <c r="P7643">
        <v>-7.9697569999999995E-2</v>
      </c>
      <c r="Q7643">
        <v>0.23950379999999999</v>
      </c>
      <c r="R7643">
        <v>0.9676188</v>
      </c>
      <c r="S7643">
        <v>-9.7335820000000003E-2</v>
      </c>
      <c r="T7643">
        <v>-1.7537589999999999E-2</v>
      </c>
      <c r="U7643">
        <v>3.0972599999999999</v>
      </c>
      <c r="V7643">
        <v>-7.6190289999999994E-2</v>
      </c>
      <c r="W7643">
        <v>0.25348399999999999</v>
      </c>
      <c r="X7643">
        <v>0.96433440000000004</v>
      </c>
      <c r="Y7643">
        <v>-2.772229E-2</v>
      </c>
      <c r="Z7643">
        <v>8.8281639999999995E-3</v>
      </c>
      <c r="AA7643">
        <v>0.99957669999999998</v>
      </c>
      <c r="AB7643">
        <v>33</v>
      </c>
      <c r="AC7643">
        <v>-6.1639999999999802</v>
      </c>
      <c r="AD7643">
        <v>-1.110842002217</v>
      </c>
      <c r="AE7643">
        <v>195.84214</v>
      </c>
      <c r="AF7643">
        <v>-5.4421102422852403</v>
      </c>
      <c r="AG7643">
        <v>-1.110842002217</v>
      </c>
      <c r="AH7643">
        <v>195.857229406936</v>
      </c>
      <c r="AI7643">
        <v>90.324835194765299</v>
      </c>
      <c r="AJ7643">
        <v>91.591617222816495</v>
      </c>
      <c r="AK7643">
        <v>195.93597128859301</v>
      </c>
      <c r="AL7643">
        <v>75.316225913940798</v>
      </c>
      <c r="AM7643">
        <v>94.517450170385899</v>
      </c>
      <c r="AN7643">
        <v>0.99999996678482095</v>
      </c>
    </row>
    <row r="7644" spans="1:40" x14ac:dyDescent="0.25">
      <c r="A7644" t="str">
        <f>"20190304155252096"</f>
        <v>20190304155252096</v>
      </c>
      <c r="B7644" t="str">
        <f>"1551685972084378"</f>
        <v>1551685972084378</v>
      </c>
      <c r="C7644" t="s">
        <v>40</v>
      </c>
      <c r="D7644">
        <v>4.9509359999999996</v>
      </c>
      <c r="E7644">
        <v>0.51542279999999996</v>
      </c>
      <c r="F7644" t="s">
        <v>41</v>
      </c>
      <c r="G7644">
        <v>-192.5549</v>
      </c>
      <c r="H7644" s="1">
        <v>-1.337067E-6</v>
      </c>
      <c r="I7644">
        <v>261.12119999999999</v>
      </c>
      <c r="J7644">
        <v>-187.36449999999999</v>
      </c>
      <c r="K7644">
        <v>1.1108480000000001</v>
      </c>
      <c r="L7644">
        <v>93.017759999999996</v>
      </c>
      <c r="M7644">
        <v>-3.814553E-3</v>
      </c>
      <c r="N7644">
        <v>-1.448463E-2</v>
      </c>
      <c r="O7644">
        <v>0.99988779999999999</v>
      </c>
      <c r="P7644">
        <v>-7.889003E-2</v>
      </c>
      <c r="Q7644">
        <v>0.23949709999999999</v>
      </c>
      <c r="R7644">
        <v>0.96768670000000001</v>
      </c>
      <c r="S7644">
        <v>-9.5474240000000002E-2</v>
      </c>
      <c r="T7644">
        <v>-2.0427819999999999E-2</v>
      </c>
      <c r="U7644">
        <v>3.0975950000000001</v>
      </c>
      <c r="V7644">
        <v>-7.5256970000000006E-2</v>
      </c>
      <c r="W7644">
        <v>0.25347530000000001</v>
      </c>
      <c r="X7644">
        <v>0.96440999999999999</v>
      </c>
      <c r="Y7644">
        <v>-2.6988979999999999E-2</v>
      </c>
      <c r="Z7644">
        <v>7.8924059999999994E-3</v>
      </c>
      <c r="AA7644">
        <v>0.99960459999999995</v>
      </c>
      <c r="AB7644">
        <v>33</v>
      </c>
      <c r="AC7644">
        <v>-5.1904000000000101</v>
      </c>
      <c r="AD7644">
        <v>-1.1108493370670001</v>
      </c>
      <c r="AE7644">
        <v>168.10343999999901</v>
      </c>
      <c r="AF7644">
        <v>-4.5488570124836896</v>
      </c>
      <c r="AG7644">
        <v>-1.1108493370670001</v>
      </c>
      <c r="AH7644">
        <v>168.114683715806</v>
      </c>
      <c r="AI7644">
        <v>90.378448601855297</v>
      </c>
      <c r="AJ7644">
        <v>91.549934394538198</v>
      </c>
      <c r="AK7644">
        <v>168.17988276614801</v>
      </c>
      <c r="AL7644">
        <v>75.316741620321196</v>
      </c>
      <c r="AM7644">
        <v>94.461988552675294</v>
      </c>
      <c r="AN7644">
        <v>0.99999999367183501</v>
      </c>
    </row>
    <row r="7645" spans="1:40" x14ac:dyDescent="0.25">
      <c r="A7645" t="str">
        <f>"20190304155252117"</f>
        <v>20190304155252117</v>
      </c>
      <c r="B7645" t="str">
        <f>"1551685972114635"</f>
        <v>1551685972114635</v>
      </c>
      <c r="C7645" t="s">
        <v>40</v>
      </c>
      <c r="D7645">
        <v>4.8831499999999997</v>
      </c>
      <c r="E7645">
        <v>0.51523109999999905</v>
      </c>
      <c r="F7645" t="s">
        <v>41</v>
      </c>
      <c r="G7645">
        <v>-192.0127</v>
      </c>
      <c r="H7645" s="1">
        <v>-3.799846E-6</v>
      </c>
      <c r="I7645">
        <v>246.49719999999999</v>
      </c>
      <c r="J7645">
        <v>-187.36590000000001</v>
      </c>
      <c r="K7645">
        <v>1.110852</v>
      </c>
      <c r="L7645">
        <v>93.337100000000007</v>
      </c>
      <c r="M7645">
        <v>-3.9362640000000001E-3</v>
      </c>
      <c r="N7645">
        <v>-1.448122E-2</v>
      </c>
      <c r="O7645">
        <v>0.99988739999999998</v>
      </c>
      <c r="P7645">
        <v>-7.8018669999999998E-2</v>
      </c>
      <c r="Q7645">
        <v>0.23948539999999999</v>
      </c>
      <c r="R7645">
        <v>0.96776019999999896</v>
      </c>
      <c r="S7645">
        <v>-9.3826290000000007E-2</v>
      </c>
      <c r="T7645">
        <v>-2.2423269999999999E-2</v>
      </c>
      <c r="U7645">
        <v>3.0980829999999999</v>
      </c>
      <c r="V7645">
        <v>-7.4267109999999997E-2</v>
      </c>
      <c r="W7645">
        <v>0.25346190000000002</v>
      </c>
      <c r="X7645">
        <v>0.96449019999999996</v>
      </c>
      <c r="Y7645">
        <v>-2.633135E-2</v>
      </c>
      <c r="Z7645">
        <v>7.2461399999999999E-3</v>
      </c>
      <c r="AA7645">
        <v>0.99962700000000004</v>
      </c>
      <c r="AB7645">
        <v>33</v>
      </c>
      <c r="AC7645">
        <v>-4.6467999999999803</v>
      </c>
      <c r="AD7645">
        <v>-1.110855799846</v>
      </c>
      <c r="AE7645">
        <v>153.1601</v>
      </c>
      <c r="AF7645">
        <v>-4.0436096685513201</v>
      </c>
      <c r="AG7645">
        <v>-1.110855799846</v>
      </c>
      <c r="AH7645">
        <v>153.169156152379</v>
      </c>
      <c r="AI7645">
        <v>90.415384325632004</v>
      </c>
      <c r="AJ7645">
        <v>91.512236363405407</v>
      </c>
      <c r="AK7645">
        <v>153.22654853579201</v>
      </c>
      <c r="AL7645">
        <v>75.317534528907402</v>
      </c>
      <c r="AM7645">
        <v>94.403167357771395</v>
      </c>
      <c r="AN7645">
        <v>0.99999994213769905</v>
      </c>
    </row>
    <row r="7646" spans="1:40" x14ac:dyDescent="0.25">
      <c r="A7646" t="str">
        <f>"20190304155252141"</f>
        <v>20190304155252141</v>
      </c>
      <c r="B7646" t="str">
        <f>"1551685972134435"</f>
        <v>1551685972134435</v>
      </c>
      <c r="C7646" t="s">
        <v>40</v>
      </c>
      <c r="D7646">
        <v>4.9139429999999997</v>
      </c>
      <c r="E7646">
        <v>0.51518509999999995</v>
      </c>
      <c r="F7646" t="s">
        <v>41</v>
      </c>
      <c r="G7646">
        <v>-191.6223</v>
      </c>
      <c r="H7646" s="1">
        <v>-3.5437340000000001E-6</v>
      </c>
      <c r="I7646">
        <v>236.17509999999999</v>
      </c>
      <c r="J7646">
        <v>-187.3673</v>
      </c>
      <c r="K7646">
        <v>1.1108439999999999</v>
      </c>
      <c r="L7646">
        <v>93.673339999999996</v>
      </c>
      <c r="M7646">
        <v>-4.0643950000000002E-3</v>
      </c>
      <c r="N7646">
        <v>-1.447762E-2</v>
      </c>
      <c r="O7646">
        <v>0.99988690000000002</v>
      </c>
      <c r="P7646">
        <v>-7.6963779999999996E-2</v>
      </c>
      <c r="Q7646">
        <v>0.23827980000000001</v>
      </c>
      <c r="R7646">
        <v>0.96814219999999895</v>
      </c>
      <c r="S7646">
        <v>-9.2330930000000005E-2</v>
      </c>
      <c r="T7646">
        <v>-2.409673E-2</v>
      </c>
      <c r="U7646">
        <v>3.0984500000000001</v>
      </c>
      <c r="V7646">
        <v>-7.3086769999999995E-2</v>
      </c>
      <c r="W7646">
        <v>0.2522587</v>
      </c>
      <c r="X7646">
        <v>0.96489579999999997</v>
      </c>
      <c r="Y7646">
        <v>-2.5717770000000001E-2</v>
      </c>
      <c r="Z7646">
        <v>6.7034319999999996E-3</v>
      </c>
      <c r="AA7646">
        <v>0.99964679999999995</v>
      </c>
      <c r="AB7646">
        <v>33</v>
      </c>
      <c r="AC7646">
        <v>-4.2549999999999901</v>
      </c>
      <c r="AD7646">
        <v>-1.110847543734</v>
      </c>
      <c r="AE7646">
        <v>142.50175999999999</v>
      </c>
      <c r="AF7646">
        <v>-3.6754975288413299</v>
      </c>
      <c r="AG7646">
        <v>-1.110847543734</v>
      </c>
      <c r="AH7646">
        <v>142.50922638980299</v>
      </c>
      <c r="AI7646">
        <v>90.446458322025407</v>
      </c>
      <c r="AJ7646">
        <v>91.477404836726194</v>
      </c>
      <c r="AK7646">
        <v>142.56094440824299</v>
      </c>
      <c r="AL7646">
        <v>75.388789477969198</v>
      </c>
      <c r="AM7646">
        <v>94.331641107144307</v>
      </c>
      <c r="AN7646">
        <v>1.00000001626618</v>
      </c>
    </row>
    <row r="7647" spans="1:40" x14ac:dyDescent="0.25">
      <c r="A7647" t="str">
        <f>"20190304155252161"</f>
        <v>20190304155252161</v>
      </c>
      <c r="B7647" t="str">
        <f>"1551685972153955"</f>
        <v>1551685972153955</v>
      </c>
      <c r="C7647" t="s">
        <v>40</v>
      </c>
      <c r="D7647">
        <v>4.9543290000000004</v>
      </c>
      <c r="E7647">
        <v>0.51525410000000005</v>
      </c>
      <c r="F7647" t="s">
        <v>62</v>
      </c>
      <c r="G7647">
        <v>-190.8486</v>
      </c>
      <c r="H7647" s="1">
        <v>3.8172569999999997E-6</v>
      </c>
      <c r="I7647">
        <v>214.58</v>
      </c>
      <c r="J7647">
        <v>-187.36869999999999</v>
      </c>
      <c r="K7647">
        <v>1.110835</v>
      </c>
      <c r="L7647">
        <v>93.978210000000004</v>
      </c>
      <c r="M7647">
        <v>-4.1805239999999997E-3</v>
      </c>
      <c r="N7647">
        <v>-1.447434E-2</v>
      </c>
      <c r="O7647">
        <v>0.99988650000000001</v>
      </c>
      <c r="P7647">
        <v>-7.6090809999999995E-2</v>
      </c>
      <c r="Q7647">
        <v>0.2360342</v>
      </c>
      <c r="R7647">
        <v>0.96876110000000004</v>
      </c>
      <c r="S7647">
        <v>-8.9218140000000001E-2</v>
      </c>
      <c r="T7647">
        <v>-2.846897E-2</v>
      </c>
      <c r="U7647">
        <v>3.098633</v>
      </c>
      <c r="V7647">
        <v>-7.2097980000000006E-2</v>
      </c>
      <c r="W7647">
        <v>0.25001970000000001</v>
      </c>
      <c r="X7647">
        <v>0.96555270000000004</v>
      </c>
      <c r="Y7647">
        <v>-2.4596719999999999E-2</v>
      </c>
      <c r="Z7647">
        <v>5.2900289999999999E-3</v>
      </c>
      <c r="AA7647">
        <v>0.9996834</v>
      </c>
      <c r="AB7647">
        <v>33</v>
      </c>
      <c r="AC7647">
        <v>-3.47990000000001</v>
      </c>
      <c r="AD7647">
        <v>-1.110831182743</v>
      </c>
      <c r="AE7647">
        <v>120.60178999999999</v>
      </c>
      <c r="AF7647">
        <v>-2.97538586886041</v>
      </c>
      <c r="AG7647">
        <v>-1.110831182743</v>
      </c>
      <c r="AH7647">
        <v>120.605061900696</v>
      </c>
      <c r="AI7647">
        <v>90.527546521017698</v>
      </c>
      <c r="AJ7647">
        <v>91.413228239830502</v>
      </c>
      <c r="AK7647">
        <v>120.64687241307099</v>
      </c>
      <c r="AL7647">
        <v>75.521321960292099</v>
      </c>
      <c r="AM7647">
        <v>94.270360455193696</v>
      </c>
      <c r="AN7647">
        <v>0.99999999279273</v>
      </c>
    </row>
    <row r="7648" spans="1:40" x14ac:dyDescent="0.25">
      <c r="A7648" t="str">
        <f>"20190304155252184"</f>
        <v>20190304155252184</v>
      </c>
      <c r="B7648" t="str">
        <f>"1551685972174450"</f>
        <v>1551685972174450</v>
      </c>
      <c r="C7648" t="s">
        <v>40</v>
      </c>
      <c r="D7648">
        <v>4.822349</v>
      </c>
      <c r="E7648">
        <v>0.51520600000000005</v>
      </c>
      <c r="F7648" t="s">
        <v>41</v>
      </c>
      <c r="G7648">
        <v>-189.95060000000001</v>
      </c>
      <c r="H7648" s="1">
        <v>-3.4120070000000001E-6</v>
      </c>
      <c r="I7648">
        <v>187.5658</v>
      </c>
      <c r="J7648">
        <v>-187.37020000000001</v>
      </c>
      <c r="K7648">
        <v>1.1108340000000001</v>
      </c>
      <c r="L7648">
        <v>94.311920000000001</v>
      </c>
      <c r="M7648">
        <v>-4.3066579999999997E-3</v>
      </c>
      <c r="N7648">
        <v>-1.4470780000000001E-2</v>
      </c>
      <c r="O7648">
        <v>0.99988600000000005</v>
      </c>
      <c r="P7648">
        <v>-7.458215E-2</v>
      </c>
      <c r="Q7648">
        <v>0.23385059999999999</v>
      </c>
      <c r="R7648">
        <v>0.96940769999999998</v>
      </c>
      <c r="S7648">
        <v>-8.5495000000000002E-2</v>
      </c>
      <c r="T7648">
        <v>-3.6783580000000003E-2</v>
      </c>
      <c r="U7648">
        <v>3.0989990000000001</v>
      </c>
      <c r="V7648">
        <v>-7.0463139999999994E-2</v>
      </c>
      <c r="W7648">
        <v>0.2478427</v>
      </c>
      <c r="X7648">
        <v>0.96623440000000005</v>
      </c>
      <c r="Y7648">
        <v>-2.326719E-2</v>
      </c>
      <c r="Z7648">
        <v>2.6055079999999999E-3</v>
      </c>
      <c r="AA7648">
        <v>0.99972589999999995</v>
      </c>
      <c r="AB7648">
        <v>33</v>
      </c>
      <c r="AC7648">
        <v>-2.5803999999999898</v>
      </c>
      <c r="AD7648">
        <v>-1.1108374120069999</v>
      </c>
      <c r="AE7648">
        <v>93.253879999999995</v>
      </c>
      <c r="AF7648">
        <v>-2.1784125639787599</v>
      </c>
      <c r="AG7648">
        <v>-1.1108374120069999</v>
      </c>
      <c r="AH7648">
        <v>93.250907358485406</v>
      </c>
      <c r="AI7648">
        <v>90.682308942660697</v>
      </c>
      <c r="AJ7648">
        <v>91.338229859923899</v>
      </c>
      <c r="AK7648">
        <v>93.282962883024098</v>
      </c>
      <c r="AL7648">
        <v>75.650108882523298</v>
      </c>
      <c r="AM7648">
        <v>94.170940742846895</v>
      </c>
      <c r="AN7648">
        <v>0.99999998689265401</v>
      </c>
    </row>
    <row r="7649" spans="1:40" x14ac:dyDescent="0.25">
      <c r="A7649" t="str">
        <f>"20190304155252205"</f>
        <v>20190304155252205</v>
      </c>
      <c r="B7649" t="str">
        <f>"1551685972194964"</f>
        <v>1551685972194964</v>
      </c>
      <c r="C7649" t="s">
        <v>40</v>
      </c>
      <c r="D7649">
        <v>4.7427809999999999</v>
      </c>
      <c r="E7649">
        <v>0.51510210000000001</v>
      </c>
      <c r="F7649" t="s">
        <v>41</v>
      </c>
      <c r="G7649">
        <v>-189.41249999999999</v>
      </c>
      <c r="H7649" s="1">
        <v>-1.3604499999999901E-6</v>
      </c>
      <c r="I7649">
        <v>172.56110000000001</v>
      </c>
      <c r="J7649">
        <v>-187.3716</v>
      </c>
      <c r="K7649">
        <v>1.1108290000000001</v>
      </c>
      <c r="L7649">
        <v>94.621610000000004</v>
      </c>
      <c r="M7649">
        <v>-4.419826E-3</v>
      </c>
      <c r="N7649">
        <v>-1.446745E-2</v>
      </c>
      <c r="O7649">
        <v>0.99988560000000004</v>
      </c>
      <c r="P7649">
        <v>-7.2838979999999998E-2</v>
      </c>
      <c r="Q7649">
        <v>0.23338919999999999</v>
      </c>
      <c r="R7649">
        <v>0.9696515</v>
      </c>
      <c r="S7649">
        <v>-8.0886840000000002E-2</v>
      </c>
      <c r="T7649">
        <v>-4.399467E-2</v>
      </c>
      <c r="U7649">
        <v>3.0990600000000001</v>
      </c>
      <c r="V7649">
        <v>-6.8607650000000006E-2</v>
      </c>
      <c r="W7649">
        <v>0.24738250000000001</v>
      </c>
      <c r="X7649">
        <v>0.96648590000000001</v>
      </c>
      <c r="Y7649">
        <v>-2.1668030000000001E-2</v>
      </c>
      <c r="Z7649">
        <v>2.7623639999999999E-4</v>
      </c>
      <c r="AA7649">
        <v>0.99976520000000002</v>
      </c>
      <c r="AB7649">
        <v>33</v>
      </c>
      <c r="AC7649">
        <v>-2.0408999999999899</v>
      </c>
      <c r="AD7649">
        <v>-1.1108303604500001</v>
      </c>
      <c r="AE7649">
        <v>77.939490000000006</v>
      </c>
      <c r="AF7649">
        <v>-1.69602074831061</v>
      </c>
      <c r="AG7649">
        <v>-1.1108303604500001</v>
      </c>
      <c r="AH7649">
        <v>77.931930240162103</v>
      </c>
      <c r="AI7649">
        <v>90.816437084963496</v>
      </c>
      <c r="AJ7649">
        <v>91.246722537717503</v>
      </c>
      <c r="AK7649">
        <v>77.958297707337707</v>
      </c>
      <c r="AL7649">
        <v>75.6773248663619</v>
      </c>
      <c r="AM7649">
        <v>94.060427453512503</v>
      </c>
      <c r="AN7649">
        <v>1.0000000529217801</v>
      </c>
    </row>
    <row r="7650" spans="1:40" x14ac:dyDescent="0.25">
      <c r="A7650" t="str">
        <f>"20190304155252229"</f>
        <v>20190304155252229</v>
      </c>
      <c r="B7650" t="str">
        <f>"1551685972224227"</f>
        <v>1551685972224227</v>
      </c>
      <c r="C7650" t="s">
        <v>40</v>
      </c>
      <c r="D7650">
        <v>4.6619830000000002</v>
      </c>
      <c r="E7650">
        <v>0.51490040000000004</v>
      </c>
      <c r="F7650" t="s">
        <v>41</v>
      </c>
      <c r="G7650">
        <v>-189.21789999999999</v>
      </c>
      <c r="H7650" s="1">
        <v>-4.853202E-6</v>
      </c>
      <c r="I7650">
        <v>169.6046</v>
      </c>
      <c r="J7650">
        <v>-187.3732</v>
      </c>
      <c r="K7650">
        <v>1.1108209999999901</v>
      </c>
      <c r="L7650">
        <v>94.957369999999997</v>
      </c>
      <c r="M7650">
        <v>-4.5330839999999997E-3</v>
      </c>
      <c r="N7650">
        <v>-1.4463790000000001E-2</v>
      </c>
      <c r="O7650">
        <v>0.99988509999999997</v>
      </c>
      <c r="P7650">
        <v>-7.1282059999999994E-2</v>
      </c>
      <c r="Q7650">
        <v>0.2329891</v>
      </c>
      <c r="R7650">
        <v>0.96986340000000004</v>
      </c>
      <c r="S7650">
        <v>-7.6309199999999994E-2</v>
      </c>
      <c r="T7650">
        <v>-4.5913219999999998E-2</v>
      </c>
      <c r="U7650">
        <v>3.0992130000000002</v>
      </c>
      <c r="V7650">
        <v>-6.6937090000000005E-2</v>
      </c>
      <c r="W7650">
        <v>0.24698290000000001</v>
      </c>
      <c r="X7650">
        <v>0.96670509999999998</v>
      </c>
      <c r="Y7650">
        <v>-2.0077979999999999E-2</v>
      </c>
      <c r="Z7650">
        <v>-3.4594170000000002E-4</v>
      </c>
      <c r="AA7650">
        <v>0.99979839999999998</v>
      </c>
      <c r="AB7650">
        <v>33</v>
      </c>
      <c r="AC7650">
        <v>-1.84469999999998</v>
      </c>
      <c r="AD7650">
        <v>-1.1108258532019999</v>
      </c>
      <c r="AE7650">
        <v>74.647229999999993</v>
      </c>
      <c r="AF7650">
        <v>-1.50593019582215</v>
      </c>
      <c r="AG7650">
        <v>-1.1108258532019999</v>
      </c>
      <c r="AH7650">
        <v>74.638307790685204</v>
      </c>
      <c r="AI7650">
        <v>90.852484317484198</v>
      </c>
      <c r="AJ7650">
        <v>91.155864081263104</v>
      </c>
      <c r="AK7650">
        <v>74.661762299639605</v>
      </c>
      <c r="AL7650">
        <v>75.700951811915004</v>
      </c>
      <c r="AM7650">
        <v>93.960981461946801</v>
      </c>
      <c r="AN7650">
        <v>0.99999993863804204</v>
      </c>
    </row>
    <row r="7651" spans="1:40" x14ac:dyDescent="0.25">
      <c r="A7651" t="str">
        <f>"20190304155252250"</f>
        <v>20190304155252250</v>
      </c>
      <c r="B7651" t="str">
        <f>"1551685972244722"</f>
        <v>1551685972244722</v>
      </c>
      <c r="C7651" t="s">
        <v>40</v>
      </c>
      <c r="D7651">
        <v>4.6336469999999998</v>
      </c>
      <c r="E7651">
        <v>0.51471069999999997</v>
      </c>
      <c r="F7651" t="s">
        <v>41</v>
      </c>
      <c r="G7651">
        <v>-189.07249999999999</v>
      </c>
      <c r="H7651" s="1">
        <v>-3.4921739999999999E-6</v>
      </c>
      <c r="I7651">
        <v>166.67080000000001</v>
      </c>
      <c r="J7651">
        <v>-187.37469999999999</v>
      </c>
      <c r="K7651">
        <v>1.1108169999999999</v>
      </c>
      <c r="L7651">
        <v>95.271550000000005</v>
      </c>
      <c r="M7651">
        <v>-4.6259270000000002E-3</v>
      </c>
      <c r="N7651">
        <v>-1.446041E-2</v>
      </c>
      <c r="O7651">
        <v>0.99988469999999996</v>
      </c>
      <c r="P7651">
        <v>-6.9341449999999999E-2</v>
      </c>
      <c r="Q7651">
        <v>0.2337217</v>
      </c>
      <c r="R7651">
        <v>0.96982780000000002</v>
      </c>
      <c r="S7651">
        <v>-7.3440549999999993E-2</v>
      </c>
      <c r="T7651">
        <v>-4.8008439999999999E-2</v>
      </c>
      <c r="U7651">
        <v>3.0993650000000001</v>
      </c>
      <c r="V7651">
        <v>-6.4900819999999998E-2</v>
      </c>
      <c r="W7651">
        <v>0.24771380000000001</v>
      </c>
      <c r="X7651">
        <v>0.96665699999999999</v>
      </c>
      <c r="Y7651">
        <v>-1.9059199999999998E-2</v>
      </c>
      <c r="Z7651">
        <v>-1.02458E-3</v>
      </c>
      <c r="AA7651">
        <v>0.99981779999999998</v>
      </c>
      <c r="AB7651">
        <v>32</v>
      </c>
      <c r="AC7651">
        <v>-1.6978</v>
      </c>
      <c r="AD7651">
        <v>-1.1108204921739999</v>
      </c>
      <c r="AE7651">
        <v>71.399249999999995</v>
      </c>
      <c r="AF7651">
        <v>-1.36712883750237</v>
      </c>
      <c r="AG7651">
        <v>-1.1108204921739999</v>
      </c>
      <c r="AH7651">
        <v>71.389070837351895</v>
      </c>
      <c r="AI7651">
        <v>90.8912922515579</v>
      </c>
      <c r="AJ7651">
        <v>91.097102652012595</v>
      </c>
      <c r="AK7651">
        <v>71.410800292705105</v>
      </c>
      <c r="AL7651">
        <v>75.6577322059251</v>
      </c>
      <c r="AM7651">
        <v>93.841042655319697</v>
      </c>
      <c r="AN7651">
        <v>0.99999999939805595</v>
      </c>
    </row>
    <row r="7652" spans="1:40" x14ac:dyDescent="0.25">
      <c r="A7652" t="str">
        <f>"20190304155252274"</f>
        <v>20190304155252274</v>
      </c>
      <c r="B7652" t="str">
        <f>"1551685972264252"</f>
        <v>1551685972264252</v>
      </c>
      <c r="C7652" t="s">
        <v>40</v>
      </c>
      <c r="D7652">
        <v>4.5826209999999996</v>
      </c>
      <c r="E7652">
        <v>0.51451570000000002</v>
      </c>
      <c r="F7652" t="s">
        <v>41</v>
      </c>
      <c r="G7652">
        <v>-189.04499999999999</v>
      </c>
      <c r="H7652" s="1">
        <v>-2.790432E-7</v>
      </c>
      <c r="I7652">
        <v>169.72130000000001</v>
      </c>
      <c r="J7652">
        <v>-187.37639999999999</v>
      </c>
      <c r="K7652">
        <v>1.110814</v>
      </c>
      <c r="L7652">
        <v>95.606380000000001</v>
      </c>
      <c r="M7652">
        <v>-4.7106099999999996E-3</v>
      </c>
      <c r="N7652">
        <v>-1.4456770000000001E-2</v>
      </c>
      <c r="O7652">
        <v>0.99988440000000001</v>
      </c>
      <c r="P7652">
        <v>-6.781036E-2</v>
      </c>
      <c r="Q7652">
        <v>0.23478689999999999</v>
      </c>
      <c r="R7652">
        <v>0.96967879999999995</v>
      </c>
      <c r="S7652">
        <v>-6.9534299999999993E-2</v>
      </c>
      <c r="T7652">
        <v>-4.6245460000000002E-2</v>
      </c>
      <c r="U7652">
        <v>3.0994869999999999</v>
      </c>
      <c r="V7652">
        <v>-6.3281190000000001E-2</v>
      </c>
      <c r="W7652">
        <v>0.2487752</v>
      </c>
      <c r="X7652">
        <v>0.96649180000000001</v>
      </c>
      <c r="Y7652">
        <v>-1.7714560000000001E-2</v>
      </c>
      <c r="Z7652">
        <v>-4.5944349999999998E-4</v>
      </c>
      <c r="AA7652">
        <v>0.99984300000000004</v>
      </c>
      <c r="AB7652">
        <v>32</v>
      </c>
      <c r="AC7652">
        <v>-1.6685999999999901</v>
      </c>
      <c r="AD7652">
        <v>-1.1108142790432001</v>
      </c>
      <c r="AE7652">
        <v>74.114919999999998</v>
      </c>
      <c r="AF7652">
        <v>-1.3191223438900499</v>
      </c>
      <c r="AG7652">
        <v>-1.1108142790432001</v>
      </c>
      <c r="AH7652">
        <v>74.105320476596702</v>
      </c>
      <c r="AI7652">
        <v>90.858644490577106</v>
      </c>
      <c r="AJ7652">
        <v>91.019794006020007</v>
      </c>
      <c r="AK7652">
        <v>74.125383743086104</v>
      </c>
      <c r="AL7652">
        <v>75.594953392229598</v>
      </c>
      <c r="AM7652">
        <v>93.746102359880894</v>
      </c>
      <c r="AN7652">
        <v>1.0000000043050401</v>
      </c>
    </row>
    <row r="7653" spans="1:40" x14ac:dyDescent="0.25">
      <c r="A7653" t="str">
        <f>"20190304155252295"</f>
        <v>20190304155252295</v>
      </c>
      <c r="B7653" t="str">
        <f>"1551685972284741"</f>
        <v>1551685972284741</v>
      </c>
      <c r="C7653" t="s">
        <v>40</v>
      </c>
      <c r="D7653">
        <v>4.5318379999999996</v>
      </c>
      <c r="E7653">
        <v>0.51437189999999999</v>
      </c>
      <c r="F7653" t="s">
        <v>41</v>
      </c>
      <c r="G7653">
        <v>-189.09469999999999</v>
      </c>
      <c r="H7653" s="1">
        <v>-2.6223350000000002E-6</v>
      </c>
      <c r="I7653">
        <v>175.37119999999999</v>
      </c>
      <c r="J7653">
        <v>-187.37790000000001</v>
      </c>
      <c r="K7653">
        <v>1.1108009999999999</v>
      </c>
      <c r="L7653">
        <v>95.922240000000002</v>
      </c>
      <c r="M7653">
        <v>-4.7715209999999999E-3</v>
      </c>
      <c r="N7653">
        <v>-1.445334E-2</v>
      </c>
      <c r="O7653">
        <v>0.9998842</v>
      </c>
      <c r="P7653">
        <v>-6.6492229999999999E-2</v>
      </c>
      <c r="Q7653">
        <v>0.23471449999999999</v>
      </c>
      <c r="R7653">
        <v>0.96978750000000002</v>
      </c>
      <c r="S7653">
        <v>-6.6772460000000006E-2</v>
      </c>
      <c r="T7653">
        <v>-4.3165210000000002E-2</v>
      </c>
      <c r="U7653">
        <v>3.0995789999999999</v>
      </c>
      <c r="V7653">
        <v>-6.1894209999999998E-2</v>
      </c>
      <c r="W7653">
        <v>0.24870329999999999</v>
      </c>
      <c r="X7653">
        <v>0.96660009999999996</v>
      </c>
      <c r="Y7653">
        <v>-1.6762829999999999E-2</v>
      </c>
      <c r="Z7653">
        <v>5.3067920000000001E-4</v>
      </c>
      <c r="AA7653">
        <v>0.99985930000000001</v>
      </c>
      <c r="AB7653">
        <v>32</v>
      </c>
      <c r="AC7653">
        <v>-1.7167999999999699</v>
      </c>
      <c r="AD7653">
        <v>-1.110803622335</v>
      </c>
      <c r="AE7653">
        <v>79.4489599999999</v>
      </c>
      <c r="AF7653">
        <v>-1.33738717620396</v>
      </c>
      <c r="AG7653">
        <v>-1.110803622335</v>
      </c>
      <c r="AH7653">
        <v>79.440726309330699</v>
      </c>
      <c r="AI7653">
        <v>90.800989614206998</v>
      </c>
      <c r="AJ7653">
        <v>90.964485175688594</v>
      </c>
      <c r="AK7653">
        <v>79.459747581404102</v>
      </c>
      <c r="AL7653">
        <v>75.599206410854293</v>
      </c>
      <c r="AM7653">
        <v>93.663813058165502</v>
      </c>
      <c r="AN7653">
        <v>0.99999998899121101</v>
      </c>
    </row>
    <row r="7654" spans="1:40" x14ac:dyDescent="0.25">
      <c r="A7654" t="str">
        <f>"20190304155252319"</f>
        <v>20190304155252319</v>
      </c>
      <c r="B7654" t="str">
        <f>"1551685972314019"</f>
        <v>1551685972314019</v>
      </c>
      <c r="C7654" t="s">
        <v>40</v>
      </c>
      <c r="D7654">
        <v>4.4870029999999996</v>
      </c>
      <c r="E7654">
        <v>0.51413489999999995</v>
      </c>
      <c r="F7654" t="s">
        <v>41</v>
      </c>
      <c r="G7654">
        <v>-189.01949999999999</v>
      </c>
      <c r="H7654" s="1">
        <v>-2.4589580000000002E-6</v>
      </c>
      <c r="I7654">
        <v>174.95920000000001</v>
      </c>
      <c r="J7654">
        <v>-187.37960000000001</v>
      </c>
      <c r="K7654">
        <v>1.110778</v>
      </c>
      <c r="L7654">
        <v>96.262299999999996</v>
      </c>
      <c r="M7654">
        <v>-4.8141740000000001E-3</v>
      </c>
      <c r="N7654">
        <v>-1.444965E-2</v>
      </c>
      <c r="O7654">
        <v>0.999884</v>
      </c>
      <c r="P7654">
        <v>-6.5059240000000004E-2</v>
      </c>
      <c r="Q7654">
        <v>0.23416329999999999</v>
      </c>
      <c r="R7654">
        <v>0.97001800000000005</v>
      </c>
      <c r="S7654">
        <v>-6.4376829999999996E-2</v>
      </c>
      <c r="T7654">
        <v>-4.3562169999999997E-2</v>
      </c>
      <c r="U7654">
        <v>3.0995789999999999</v>
      </c>
      <c r="V7654">
        <v>-6.040864E-2</v>
      </c>
      <c r="W7654">
        <v>0.24815499999999999</v>
      </c>
      <c r="X7654">
        <v>0.966835</v>
      </c>
      <c r="Y7654">
        <v>-1.59478999999999E-2</v>
      </c>
      <c r="Z7654">
        <v>3.9878279999999998E-4</v>
      </c>
      <c r="AA7654">
        <v>0.99987269999999995</v>
      </c>
      <c r="AB7654">
        <v>32</v>
      </c>
      <c r="AC7654">
        <v>-1.6398999999999799</v>
      </c>
      <c r="AD7654">
        <v>-1.1107804589579999</v>
      </c>
      <c r="AE7654">
        <v>78.696899999999999</v>
      </c>
      <c r="AF7654">
        <v>-1.2607298031309</v>
      </c>
      <c r="AG7654">
        <v>-1.1107804589579999</v>
      </c>
      <c r="AH7654">
        <v>78.688213681837794</v>
      </c>
      <c r="AI7654">
        <v>90.808642579304603</v>
      </c>
      <c r="AJ7654">
        <v>90.917905154406</v>
      </c>
      <c r="AK7654">
        <v>78.706151254543499</v>
      </c>
      <c r="AL7654">
        <v>75.631638774462104</v>
      </c>
      <c r="AM7654">
        <v>93.5752395038553</v>
      </c>
      <c r="AN7654">
        <v>1.0000000125183199</v>
      </c>
    </row>
    <row r="7655" spans="1:40" x14ac:dyDescent="0.25">
      <c r="A7655" t="str">
        <f>"20190304155252339"</f>
        <v>20190304155252339</v>
      </c>
      <c r="B7655" t="str">
        <f>"1551685972334045"</f>
        <v>1551685972334045</v>
      </c>
      <c r="C7655" t="s">
        <v>40</v>
      </c>
      <c r="D7655">
        <v>4.418641</v>
      </c>
      <c r="E7655">
        <v>0.51393670000000002</v>
      </c>
      <c r="F7655" t="s">
        <v>41</v>
      </c>
      <c r="G7655">
        <v>-188.9331</v>
      </c>
      <c r="H7655" s="1">
        <v>-1.2926900000000001E-6</v>
      </c>
      <c r="I7655">
        <v>172.20490000000001</v>
      </c>
      <c r="J7655">
        <v>-187.381</v>
      </c>
      <c r="K7655">
        <v>1.1107579999999999</v>
      </c>
      <c r="L7655">
        <v>96.553529999999995</v>
      </c>
      <c r="M7655">
        <v>-4.8356880000000003E-3</v>
      </c>
      <c r="N7655">
        <v>-1.4446499999999999E-2</v>
      </c>
      <c r="O7655">
        <v>0.99988390000000005</v>
      </c>
      <c r="P7655">
        <v>-6.2589790000000006E-2</v>
      </c>
      <c r="Q7655">
        <v>0.23296349999999999</v>
      </c>
      <c r="R7655">
        <v>0.97046920000000003</v>
      </c>
      <c r="S7655">
        <v>-6.3400269999999995E-2</v>
      </c>
      <c r="T7655">
        <v>-4.5333499999999999E-2</v>
      </c>
      <c r="U7655">
        <v>3.099396</v>
      </c>
      <c r="V7655">
        <v>-5.7907630000000002E-2</v>
      </c>
      <c r="W7655">
        <v>0.24696070000000001</v>
      </c>
      <c r="X7655">
        <v>0.96729370000000003</v>
      </c>
      <c r="Y7655">
        <v>-1.561271E-2</v>
      </c>
      <c r="Z7655">
        <v>-1.7655399999999999E-4</v>
      </c>
      <c r="AA7655">
        <v>0.99987809999999999</v>
      </c>
      <c r="AB7655">
        <v>32</v>
      </c>
      <c r="AC7655">
        <v>-1.55210000000002</v>
      </c>
      <c r="AD7655">
        <v>-1.1107592926899901</v>
      </c>
      <c r="AE7655">
        <v>75.65137</v>
      </c>
      <c r="AF7655">
        <v>-1.1859616674311599</v>
      </c>
      <c r="AG7655">
        <v>-1.1107592926899901</v>
      </c>
      <c r="AH7655">
        <v>75.641691659876301</v>
      </c>
      <c r="AI7655">
        <v>90.841195181587096</v>
      </c>
      <c r="AJ7655">
        <v>90.898248434763403</v>
      </c>
      <c r="AK7655">
        <v>75.659142266157801</v>
      </c>
      <c r="AL7655">
        <v>75.702265212035996</v>
      </c>
      <c r="AM7655">
        <v>93.425958095013499</v>
      </c>
      <c r="AN7655">
        <v>0.99999999150819796</v>
      </c>
    </row>
    <row r="7656" spans="1:40" x14ac:dyDescent="0.25">
      <c r="A7656" t="str">
        <f>"20190304155252363"</f>
        <v>20190304155252363</v>
      </c>
      <c r="B7656" t="str">
        <f>"1551685972354542"</f>
        <v>1551685972354542</v>
      </c>
      <c r="C7656" t="s">
        <v>40</v>
      </c>
      <c r="D7656">
        <v>4.3803859999999997</v>
      </c>
      <c r="E7656">
        <v>0.51373899999999995</v>
      </c>
      <c r="F7656" t="s">
        <v>41</v>
      </c>
      <c r="G7656">
        <v>-188.70330000000001</v>
      </c>
      <c r="H7656" s="1">
        <v>-3.449469E-6</v>
      </c>
      <c r="I7656">
        <v>166.4419</v>
      </c>
      <c r="J7656">
        <v>-187.3826</v>
      </c>
      <c r="K7656">
        <v>1.1107400000000001</v>
      </c>
      <c r="L7656">
        <v>96.889650000000003</v>
      </c>
      <c r="M7656">
        <v>-4.8412510000000004E-3</v>
      </c>
      <c r="N7656">
        <v>-1.4442969999999999E-2</v>
      </c>
      <c r="O7656">
        <v>0.99988390000000005</v>
      </c>
      <c r="P7656">
        <v>-6.0878399999999999E-2</v>
      </c>
      <c r="Q7656">
        <v>0.2329571</v>
      </c>
      <c r="R7656">
        <v>0.97057959999999999</v>
      </c>
      <c r="S7656">
        <v>-5.8639530000000002E-2</v>
      </c>
      <c r="T7656">
        <v>-4.9258830000000003E-2</v>
      </c>
      <c r="U7656">
        <v>3.099335</v>
      </c>
      <c r="V7656">
        <v>-5.6181210000000002E-2</v>
      </c>
      <c r="W7656">
        <v>0.2469547</v>
      </c>
      <c r="X7656">
        <v>0.96739699999999995</v>
      </c>
      <c r="Y7656">
        <v>-1.407244E-2</v>
      </c>
      <c r="Z7656">
        <v>-1.4467219999999999E-3</v>
      </c>
      <c r="AA7656">
        <v>0.99989989999999995</v>
      </c>
      <c r="AB7656">
        <v>32</v>
      </c>
      <c r="AC7656">
        <v>-1.32070000000001</v>
      </c>
      <c r="AD7656">
        <v>-1.1107434494690001</v>
      </c>
      <c r="AE7656">
        <v>69.552250000000001</v>
      </c>
      <c r="AF7656">
        <v>-0.98367868410863901</v>
      </c>
      <c r="AG7656">
        <v>-1.1107434494690001</v>
      </c>
      <c r="AH7656">
        <v>69.540100273710294</v>
      </c>
      <c r="AI7656">
        <v>90.914999196816694</v>
      </c>
      <c r="AJ7656">
        <v>90.810422735489695</v>
      </c>
      <c r="AK7656">
        <v>69.555926568781999</v>
      </c>
      <c r="AL7656">
        <v>75.702619426041394</v>
      </c>
      <c r="AM7656">
        <v>93.323697221962405</v>
      </c>
      <c r="AN7656">
        <v>0.99999995390907503</v>
      </c>
    </row>
    <row r="7657" spans="1:40" x14ac:dyDescent="0.25">
      <c r="A7657" t="str">
        <f>"20190304155252384"</f>
        <v>20190304155252384</v>
      </c>
      <c r="B7657" t="str">
        <f>"1551685972374065"</f>
        <v>1551685972374065</v>
      </c>
      <c r="C7657" t="s">
        <v>40</v>
      </c>
      <c r="D7657">
        <v>4.3401480000000001</v>
      </c>
      <c r="E7657">
        <v>0.51353009999999999</v>
      </c>
      <c r="F7657" t="s">
        <v>41</v>
      </c>
      <c r="G7657">
        <v>-188.6412</v>
      </c>
      <c r="H7657" s="1">
        <v>-3.553325E-6</v>
      </c>
      <c r="I7657">
        <v>166.63829999999999</v>
      </c>
      <c r="J7657">
        <v>-187.38409999999999</v>
      </c>
      <c r="K7657">
        <v>1.110719</v>
      </c>
      <c r="L7657">
        <v>97.203890000000001</v>
      </c>
      <c r="M7657">
        <v>-4.8152430000000003E-3</v>
      </c>
      <c r="N7657">
        <v>-1.443962E-2</v>
      </c>
      <c r="O7657">
        <v>0.99988410000000005</v>
      </c>
      <c r="P7657">
        <v>-5.8241929999999997E-2</v>
      </c>
      <c r="Q7657">
        <v>0.2324417</v>
      </c>
      <c r="R7657">
        <v>0.97086499999999998</v>
      </c>
      <c r="S7657">
        <v>-5.5923460000000001E-2</v>
      </c>
      <c r="T7657">
        <v>-4.9355749999999997E-2</v>
      </c>
      <c r="U7657">
        <v>3.0992739999999999</v>
      </c>
      <c r="V7657">
        <v>-5.3557010000000002E-2</v>
      </c>
      <c r="W7657">
        <v>0.2464423</v>
      </c>
      <c r="X7657">
        <v>0.96767650000000005</v>
      </c>
      <c r="Y7657">
        <v>-1.322303E-2</v>
      </c>
      <c r="Z7657">
        <v>-1.481827E-3</v>
      </c>
      <c r="AA7657">
        <v>0.99991149999999995</v>
      </c>
      <c r="AB7657">
        <v>32</v>
      </c>
      <c r="AC7657">
        <v>-1.2571000000000001</v>
      </c>
      <c r="AD7657">
        <v>-1.110722553325</v>
      </c>
      <c r="AE7657">
        <v>69.4344099999999</v>
      </c>
      <c r="AF7657">
        <v>-0.92247101045318003</v>
      </c>
      <c r="AG7657">
        <v>-1.110722553325</v>
      </c>
      <c r="AH7657">
        <v>69.421899836975896</v>
      </c>
      <c r="AI7657">
        <v>90.916550382357599</v>
      </c>
      <c r="AJ7657">
        <v>90.761295575535996</v>
      </c>
      <c r="AK7657">
        <v>69.436912620959106</v>
      </c>
      <c r="AL7657">
        <v>75.732914572513593</v>
      </c>
      <c r="AM7657">
        <v>93.167859474780599</v>
      </c>
      <c r="AN7657">
        <v>0.99999998460084005</v>
      </c>
    </row>
    <row r="7658" spans="1:40" x14ac:dyDescent="0.25">
      <c r="A7658" t="str">
        <f>"20190304155252419"</f>
        <v>20190304155252419</v>
      </c>
      <c r="B7658" t="str">
        <f>"1551685972414077"</f>
        <v>1551685972414077</v>
      </c>
      <c r="C7658" t="s">
        <v>40</v>
      </c>
      <c r="D7658">
        <v>4.1931669999999999</v>
      </c>
      <c r="E7658">
        <v>0.55734569999999894</v>
      </c>
      <c r="F7658" t="s">
        <v>41</v>
      </c>
      <c r="G7658">
        <v>-188.47020000000001</v>
      </c>
      <c r="H7658" s="1">
        <v>-2.7292410000000001E-6</v>
      </c>
      <c r="I7658">
        <v>164.83080000000001</v>
      </c>
      <c r="J7658">
        <v>-187.38640000000001</v>
      </c>
      <c r="K7658">
        <v>1.1106529999999999</v>
      </c>
      <c r="L7658">
        <v>97.694890000000001</v>
      </c>
      <c r="M7658">
        <v>-4.6766899999999998E-3</v>
      </c>
      <c r="N7658">
        <v>-1.443445E-2</v>
      </c>
      <c r="O7658">
        <v>0.99988489999999997</v>
      </c>
      <c r="P7658">
        <v>-5.4309759999999999E-2</v>
      </c>
      <c r="Q7658">
        <v>0.22881180000000001</v>
      </c>
      <c r="R7658">
        <v>0.97195450000000005</v>
      </c>
      <c r="S7658">
        <v>-4.977417E-2</v>
      </c>
      <c r="T7658">
        <v>-5.0902250000000003E-2</v>
      </c>
      <c r="U7658">
        <v>3.0992130000000002</v>
      </c>
      <c r="V7658">
        <v>-4.9722269999999999E-2</v>
      </c>
      <c r="W7658">
        <v>0.2428294</v>
      </c>
      <c r="X7658">
        <v>0.96879389999999999</v>
      </c>
      <c r="Y7658">
        <v>-1.1378879999999999E-2</v>
      </c>
      <c r="Z7658">
        <v>-1.9865019999999998E-3</v>
      </c>
      <c r="AA7658">
        <v>0.99993330000000002</v>
      </c>
      <c r="AB7658">
        <v>32</v>
      </c>
      <c r="AC7658">
        <v>-1.0837999999999901</v>
      </c>
      <c r="AD7658">
        <v>-1.110655729241</v>
      </c>
      <c r="AE7658">
        <v>67.135909999999996</v>
      </c>
      <c r="AF7658">
        <v>-0.76957103422442996</v>
      </c>
      <c r="AG7658">
        <v>-1.110655729241</v>
      </c>
      <c r="AH7658">
        <v>67.121879400636601</v>
      </c>
      <c r="AI7658">
        <v>90.947915918123996</v>
      </c>
      <c r="AJ7658">
        <v>90.656883281405101</v>
      </c>
      <c r="AK7658">
        <v>67.135478623446303</v>
      </c>
      <c r="AL7658">
        <v>75.946406082440205</v>
      </c>
      <c r="AM7658">
        <v>92.938064243773496</v>
      </c>
      <c r="AN7658">
        <v>1.00000002115776</v>
      </c>
    </row>
    <row r="7659" spans="1:40" x14ac:dyDescent="0.25">
      <c r="A7659" t="str">
        <f>"20190304155252441"</f>
        <v>20190304155252441</v>
      </c>
      <c r="B7659" t="str">
        <f>"1551685972434574"</f>
        <v>1551685972434574</v>
      </c>
      <c r="C7659" t="s">
        <v>40</v>
      </c>
      <c r="D7659">
        <v>4.4537870000000002</v>
      </c>
      <c r="E7659">
        <v>0.56524819999999998</v>
      </c>
      <c r="F7659" t="s">
        <v>57</v>
      </c>
      <c r="G7659">
        <v>-167.41990000000001</v>
      </c>
      <c r="H7659">
        <v>5.9554720000000003</v>
      </c>
      <c r="I7659">
        <v>297.38529999999997</v>
      </c>
      <c r="J7659">
        <v>-187.3877</v>
      </c>
      <c r="K7659">
        <v>1.1105959999999999</v>
      </c>
      <c r="L7659">
        <v>98.011080000000007</v>
      </c>
      <c r="M7659">
        <v>-4.523132E-3</v>
      </c>
      <c r="N7659">
        <v>-1.443119E-2</v>
      </c>
      <c r="O7659">
        <v>0.99988560000000004</v>
      </c>
      <c r="P7659">
        <v>-5.1283719999999998E-2</v>
      </c>
      <c r="Q7659">
        <v>0.2262778</v>
      </c>
      <c r="R7659">
        <v>0.97271189999999996</v>
      </c>
      <c r="S7659">
        <v>0.30857849999999998</v>
      </c>
      <c r="T7659">
        <v>7.4877020000000002E-2</v>
      </c>
      <c r="U7659">
        <v>3.086182</v>
      </c>
      <c r="V7659">
        <v>-4.6816110000000001E-2</v>
      </c>
      <c r="W7659">
        <v>0.2403081</v>
      </c>
      <c r="X7659">
        <v>0.96956710000000002</v>
      </c>
      <c r="Y7659">
        <v>0.1039245</v>
      </c>
      <c r="Z7659">
        <v>3.8556399999999998E-2</v>
      </c>
      <c r="AA7659">
        <v>0.99383750000000004</v>
      </c>
      <c r="AB7659">
        <v>32</v>
      </c>
      <c r="AC7659">
        <v>19.967799999999901</v>
      </c>
      <c r="AD7659">
        <v>4.8448760000000002</v>
      </c>
      <c r="AE7659">
        <v>199.37422000000001</v>
      </c>
      <c r="AF7659">
        <v>20.8572914343615</v>
      </c>
      <c r="AG7659">
        <v>4.8448760000000002</v>
      </c>
      <c r="AH7659">
        <v>199.165412465</v>
      </c>
      <c r="AI7659">
        <v>88.614079960682602</v>
      </c>
      <c r="AJ7659">
        <v>84.021579200419097</v>
      </c>
      <c r="AK7659">
        <v>200.313157210871</v>
      </c>
      <c r="AL7659">
        <v>76.095275275144999</v>
      </c>
      <c r="AM7659">
        <v>92.764412885874194</v>
      </c>
      <c r="AN7659">
        <v>1.00000004624177</v>
      </c>
    </row>
    <row r="7660" spans="1:40" x14ac:dyDescent="0.25">
      <c r="A7660" t="str">
        <f>"20190304155252463"</f>
        <v>20190304155252463</v>
      </c>
      <c r="B7660" t="str">
        <f>"1551685972454093"</f>
        <v>1551685972454093</v>
      </c>
      <c r="C7660" t="s">
        <v>40</v>
      </c>
      <c r="D7660">
        <v>4.1245710000000004</v>
      </c>
      <c r="E7660">
        <v>0.5758993</v>
      </c>
      <c r="F7660" t="s">
        <v>42</v>
      </c>
      <c r="G7660">
        <v>-172.66499999999999</v>
      </c>
      <c r="H7660">
        <v>-0.05</v>
      </c>
      <c r="I7660">
        <v>217.51179999999999</v>
      </c>
      <c r="J7660">
        <v>-187.38900000000001</v>
      </c>
      <c r="K7660">
        <v>1.110547</v>
      </c>
      <c r="L7660">
        <v>98.335239999999999</v>
      </c>
      <c r="M7660">
        <v>-4.3080260000000004E-3</v>
      </c>
      <c r="N7660">
        <v>-1.4427850000000001E-2</v>
      </c>
      <c r="O7660">
        <v>0.99988659999999996</v>
      </c>
      <c r="P7660">
        <v>-4.7861710000000002E-2</v>
      </c>
      <c r="Q7660">
        <v>0.22452920000000001</v>
      </c>
      <c r="R7660">
        <v>0.97329129999999997</v>
      </c>
      <c r="S7660">
        <v>0.38333129999999999</v>
      </c>
      <c r="T7660">
        <v>-3.021824E-2</v>
      </c>
      <c r="U7660">
        <v>3.1114199999999999</v>
      </c>
      <c r="V7660">
        <v>-4.3572020000000003E-2</v>
      </c>
      <c r="W7660">
        <v>0.23856830000000001</v>
      </c>
      <c r="X7660">
        <v>0.97014769999999995</v>
      </c>
      <c r="Y7660">
        <v>0.12652859999999999</v>
      </c>
      <c r="Z7660">
        <v>4.7959930000000001E-3</v>
      </c>
      <c r="AA7660">
        <v>0.99195129999999998</v>
      </c>
      <c r="AB7660">
        <v>32</v>
      </c>
      <c r="AC7660">
        <v>14.724</v>
      </c>
      <c r="AD7660">
        <v>-1.160547</v>
      </c>
      <c r="AE7660">
        <v>119.17655999999999</v>
      </c>
      <c r="AF7660">
        <v>15.235909427543399</v>
      </c>
      <c r="AG7660">
        <v>-1.160547</v>
      </c>
      <c r="AH7660">
        <v>119.100891398982</v>
      </c>
      <c r="AI7660">
        <v>90.553773353190294</v>
      </c>
      <c r="AJ7660">
        <v>82.7100657735499</v>
      </c>
      <c r="AK7660">
        <v>120.077067491905</v>
      </c>
      <c r="AL7660">
        <v>76.197943727414099</v>
      </c>
      <c r="AM7660">
        <v>92.571583969790794</v>
      </c>
      <c r="AN7660">
        <v>0.99999995725352897</v>
      </c>
    </row>
    <row r="7661" spans="1:40" x14ac:dyDescent="0.25">
      <c r="A7661" t="str">
        <f>"20190304155252486"</f>
        <v>20190304155252486</v>
      </c>
      <c r="B7661" t="str">
        <f>"1551685972474590"</f>
        <v>1551685972474590</v>
      </c>
      <c r="C7661" t="s">
        <v>40</v>
      </c>
      <c r="D7661">
        <v>4.4850839999999996</v>
      </c>
      <c r="E7661">
        <v>0.57911550000000001</v>
      </c>
      <c r="F7661" t="s">
        <v>42</v>
      </c>
      <c r="G7661">
        <v>-167.53190000000001</v>
      </c>
      <c r="H7661">
        <v>-0.05</v>
      </c>
      <c r="I7661">
        <v>227.48410000000001</v>
      </c>
      <c r="J7661">
        <v>-187.39</v>
      </c>
      <c r="K7661">
        <v>1.1105080000000001</v>
      </c>
      <c r="L7661">
        <v>98.653899999999993</v>
      </c>
      <c r="M7661">
        <v>-4.0301759999999999E-3</v>
      </c>
      <c r="N7661">
        <v>-1.442477E-2</v>
      </c>
      <c r="O7661">
        <v>0.99988779999999999</v>
      </c>
      <c r="P7661">
        <v>-4.4854539999999998E-2</v>
      </c>
      <c r="Q7661">
        <v>0.22393450000000001</v>
      </c>
      <c r="R7661">
        <v>0.97357150000000003</v>
      </c>
      <c r="S7661">
        <v>0.47853089999999998</v>
      </c>
      <c r="T7661">
        <v>-2.7967809999999999E-2</v>
      </c>
      <c r="U7661">
        <v>3.1123349999999999</v>
      </c>
      <c r="V7661">
        <v>-4.0805540000000001E-2</v>
      </c>
      <c r="W7661">
        <v>0.23797869999999999</v>
      </c>
      <c r="X7661">
        <v>0.97041279999999996</v>
      </c>
      <c r="Y7661">
        <v>0.15592139999999999</v>
      </c>
      <c r="Z7661">
        <v>5.5510259999999997E-3</v>
      </c>
      <c r="AA7661">
        <v>0.98775389999999996</v>
      </c>
      <c r="AB7661">
        <v>32</v>
      </c>
      <c r="AC7661">
        <v>19.858099999999901</v>
      </c>
      <c r="AD7661">
        <v>-1.1605080000000001</v>
      </c>
      <c r="AE7661">
        <v>128.83019999999999</v>
      </c>
      <c r="AF7661">
        <v>20.375586117041799</v>
      </c>
      <c r="AG7661">
        <v>-1.1605080000000001</v>
      </c>
      <c r="AH7661">
        <v>128.73890950528701</v>
      </c>
      <c r="AI7661">
        <v>90.510125498007895</v>
      </c>
      <c r="AJ7661">
        <v>81.006362339908904</v>
      </c>
      <c r="AK7661">
        <v>130.346530866922</v>
      </c>
      <c r="AL7661">
        <v>76.232727442318605</v>
      </c>
      <c r="AM7661">
        <v>92.407850240515003</v>
      </c>
      <c r="AN7661">
        <v>0.99999997807610996</v>
      </c>
    </row>
    <row r="7662" spans="1:40" x14ac:dyDescent="0.25">
      <c r="A7662" t="str">
        <f>"20190304155252509"</f>
        <v>20190304155252509</v>
      </c>
      <c r="B7662" t="str">
        <f>"1551685972504845"</f>
        <v>1551685972504845</v>
      </c>
      <c r="C7662" t="s">
        <v>40</v>
      </c>
      <c r="D7662">
        <v>4.218915</v>
      </c>
      <c r="E7662">
        <v>0.58113649999999994</v>
      </c>
      <c r="F7662" t="s">
        <v>58</v>
      </c>
      <c r="G7662">
        <v>-169.30369999999999</v>
      </c>
      <c r="H7662">
        <v>0.2316666</v>
      </c>
      <c r="I7662">
        <v>208.21549999999999</v>
      </c>
      <c r="J7662">
        <v>-187.39099999999999</v>
      </c>
      <c r="K7662">
        <v>1.1104529999999999</v>
      </c>
      <c r="L7662">
        <v>98.979799999999997</v>
      </c>
      <c r="M7662">
        <v>-3.6791689999999999E-3</v>
      </c>
      <c r="N7662">
        <v>-1.442154E-2</v>
      </c>
      <c r="O7662">
        <v>0.99988929999999998</v>
      </c>
      <c r="P7662">
        <v>-4.1973589999999998E-2</v>
      </c>
      <c r="Q7662">
        <v>0.22313279999999999</v>
      </c>
      <c r="R7662">
        <v>0.97388399999999997</v>
      </c>
      <c r="S7662">
        <v>0.5135345</v>
      </c>
      <c r="T7662">
        <v>-2.4952289999999998E-2</v>
      </c>
      <c r="U7662">
        <v>3.11084</v>
      </c>
      <c r="V7662">
        <v>-3.8236140000000002E-2</v>
      </c>
      <c r="W7662">
        <v>0.23718159999999999</v>
      </c>
      <c r="X7662">
        <v>0.97071249999999998</v>
      </c>
      <c r="Y7662">
        <v>0.16647400000000001</v>
      </c>
      <c r="Z7662">
        <v>6.5150080000000001E-3</v>
      </c>
      <c r="AA7662">
        <v>0.98602429999999996</v>
      </c>
      <c r="AB7662">
        <v>32</v>
      </c>
      <c r="AC7662">
        <v>18.087299999999999</v>
      </c>
      <c r="AD7662">
        <v>-0.87878639999999997</v>
      </c>
      <c r="AE7662">
        <v>109.23569999999999</v>
      </c>
      <c r="AF7662">
        <v>18.487951324352998</v>
      </c>
      <c r="AG7662">
        <v>-0.87878639999999997</v>
      </c>
      <c r="AH7662">
        <v>109.161530982594</v>
      </c>
      <c r="AI7662">
        <v>90.454764178497499</v>
      </c>
      <c r="AJ7662">
        <v>80.387416924142499</v>
      </c>
      <c r="AK7662">
        <v>110.719539631324</v>
      </c>
      <c r="AL7662">
        <v>76.279743501878698</v>
      </c>
      <c r="AM7662">
        <v>92.255701320682604</v>
      </c>
      <c r="AN7662">
        <v>0.99999993571845203</v>
      </c>
    </row>
    <row r="7663" spans="1:40" x14ac:dyDescent="0.25">
      <c r="A7663" t="str">
        <f>"20190304155252531"</f>
        <v>20190304155252531</v>
      </c>
      <c r="B7663" t="str">
        <f>"1551685972524366"</f>
        <v>1551685972524366</v>
      </c>
      <c r="C7663" t="s">
        <v>40</v>
      </c>
      <c r="D7663">
        <v>4.2544370000000002</v>
      </c>
      <c r="E7663">
        <v>0.58207500000000001</v>
      </c>
      <c r="F7663" t="s">
        <v>42</v>
      </c>
      <c r="G7663">
        <v>-169.1987</v>
      </c>
      <c r="H7663">
        <v>-0.05</v>
      </c>
      <c r="I7663">
        <v>204.0746</v>
      </c>
      <c r="J7663">
        <v>-187.39179999999999</v>
      </c>
      <c r="K7663">
        <v>1.1104069999999999</v>
      </c>
      <c r="L7663">
        <v>99.295779999999993</v>
      </c>
      <c r="M7663">
        <v>-3.280444E-3</v>
      </c>
      <c r="N7663">
        <v>-1.4418169999999999E-2</v>
      </c>
      <c r="O7663">
        <v>0.99989070000000002</v>
      </c>
      <c r="P7663">
        <v>-3.9321120000000001E-2</v>
      </c>
      <c r="Q7663">
        <v>0.2230905</v>
      </c>
      <c r="R7663">
        <v>0.97400430000000005</v>
      </c>
      <c r="S7663">
        <v>0.53861999999999999</v>
      </c>
      <c r="T7663">
        <v>-3.4357550000000001E-2</v>
      </c>
      <c r="U7663">
        <v>3.111542</v>
      </c>
      <c r="V7663">
        <v>-3.5945190000000002E-2</v>
      </c>
      <c r="W7663">
        <v>0.23713989999999999</v>
      </c>
      <c r="X7663">
        <v>0.97081030000000001</v>
      </c>
      <c r="Y7663">
        <v>0.17376649999999999</v>
      </c>
      <c r="Z7663">
        <v>3.5461389999999998E-3</v>
      </c>
      <c r="AA7663">
        <v>0.98478049999999995</v>
      </c>
      <c r="AB7663">
        <v>32</v>
      </c>
      <c r="AC7663">
        <v>18.193099999999902</v>
      </c>
      <c r="AD7663">
        <v>-1.160407</v>
      </c>
      <c r="AE7663">
        <v>104.77882</v>
      </c>
      <c r="AF7663">
        <v>18.534552098624999</v>
      </c>
      <c r="AG7663">
        <v>-1.160407</v>
      </c>
      <c r="AH7663">
        <v>104.706101917632</v>
      </c>
      <c r="AI7663">
        <v>90.625236045308995</v>
      </c>
      <c r="AJ7663">
        <v>79.961771799681003</v>
      </c>
      <c r="AK7663">
        <v>106.34022731162401</v>
      </c>
      <c r="AL7663">
        <v>76.282203992638898</v>
      </c>
      <c r="AM7663">
        <v>92.120462991134502</v>
      </c>
      <c r="AN7663">
        <v>1.00000001372111</v>
      </c>
    </row>
    <row r="7664" spans="1:40" x14ac:dyDescent="0.25">
      <c r="A7664" t="str">
        <f>"20190304155252552"</f>
        <v>20190304155252552</v>
      </c>
      <c r="B7664" t="str">
        <f>"1551685972544862"</f>
        <v>1551685972544862</v>
      </c>
      <c r="C7664" t="s">
        <v>40</v>
      </c>
      <c r="D7664">
        <v>4.1614709999999997</v>
      </c>
      <c r="E7664">
        <v>0.58190050000000004</v>
      </c>
      <c r="F7664" t="s">
        <v>42</v>
      </c>
      <c r="G7664">
        <v>-170.66810000000001</v>
      </c>
      <c r="H7664">
        <v>-0.05</v>
      </c>
      <c r="I7664">
        <v>193.0941</v>
      </c>
      <c r="J7664">
        <v>-187.39230000000001</v>
      </c>
      <c r="K7664">
        <v>1.110371</v>
      </c>
      <c r="L7664">
        <v>99.604830000000007</v>
      </c>
      <c r="M7664">
        <v>-2.8514069999999998E-3</v>
      </c>
      <c r="N7664">
        <v>-1.441484E-2</v>
      </c>
      <c r="O7664">
        <v>0.99989209999999995</v>
      </c>
      <c r="P7664">
        <v>-3.6368060000000001E-2</v>
      </c>
      <c r="Q7664">
        <v>0.22365750000000001</v>
      </c>
      <c r="R7664">
        <v>0.97398910000000005</v>
      </c>
      <c r="S7664">
        <v>0.55471800000000004</v>
      </c>
      <c r="T7664">
        <v>-3.8490410000000003E-2</v>
      </c>
      <c r="U7664">
        <v>3.1112669999999998</v>
      </c>
      <c r="V7664">
        <v>-3.3387809999999997E-2</v>
      </c>
      <c r="W7664">
        <v>0.2377041</v>
      </c>
      <c r="X7664">
        <v>0.97076359999999995</v>
      </c>
      <c r="Y7664">
        <v>0.1782976</v>
      </c>
      <c r="Z7664">
        <v>2.2434719999999998E-3</v>
      </c>
      <c r="AA7664">
        <v>0.98397400000000002</v>
      </c>
      <c r="AB7664">
        <v>32</v>
      </c>
      <c r="AC7664">
        <v>16.7241999999999</v>
      </c>
      <c r="AD7664">
        <v>-1.16037099999999</v>
      </c>
      <c r="AE7664">
        <v>93.489270000000005</v>
      </c>
      <c r="AF7664">
        <v>16.988199708652001</v>
      </c>
      <c r="AG7664">
        <v>-1.16037099999999</v>
      </c>
      <c r="AH7664">
        <v>93.427250963406905</v>
      </c>
      <c r="AI7664">
        <v>90.700101204610306</v>
      </c>
      <c r="AJ7664">
        <v>79.694306521805998</v>
      </c>
      <c r="AK7664">
        <v>94.966291981829499</v>
      </c>
      <c r="AL7664">
        <v>76.248925660188704</v>
      </c>
      <c r="AM7664">
        <v>91.969817209179794</v>
      </c>
      <c r="AN7664">
        <v>0.999999976049182</v>
      </c>
    </row>
    <row r="7665" spans="1:40" x14ac:dyDescent="0.25">
      <c r="A7665" t="str">
        <f>"20190304155252574"</f>
        <v>20190304155252574</v>
      </c>
      <c r="B7665" t="str">
        <f>"1551685972564381"</f>
        <v>1551685972564381</v>
      </c>
      <c r="C7665" t="s">
        <v>40</v>
      </c>
      <c r="D7665">
        <v>4.1841119999999998</v>
      </c>
      <c r="E7665">
        <v>0.58162819999999904</v>
      </c>
      <c r="F7665" t="s">
        <v>42</v>
      </c>
      <c r="G7665">
        <v>-171.72929999999999</v>
      </c>
      <c r="H7665">
        <v>-0.05</v>
      </c>
      <c r="I7665">
        <v>186.18530000000001</v>
      </c>
      <c r="J7665">
        <v>-187.39269999999999</v>
      </c>
      <c r="K7665">
        <v>1.110336</v>
      </c>
      <c r="L7665">
        <v>99.915989999999994</v>
      </c>
      <c r="M7665">
        <v>-2.386048E-3</v>
      </c>
      <c r="N7665">
        <v>-1.4411480000000001E-2</v>
      </c>
      <c r="O7665">
        <v>0.99989329999999998</v>
      </c>
      <c r="P7665">
        <v>-3.418728E-2</v>
      </c>
      <c r="Q7665">
        <v>0.22274340000000001</v>
      </c>
      <c r="R7665">
        <v>0.97427750000000002</v>
      </c>
      <c r="S7665">
        <v>0.56274409999999997</v>
      </c>
      <c r="T7665">
        <v>-4.1690110000000002E-2</v>
      </c>
      <c r="U7665">
        <v>3.110687</v>
      </c>
      <c r="V7665">
        <v>-3.1642940000000001E-2</v>
      </c>
      <c r="W7665">
        <v>0.236792</v>
      </c>
      <c r="X7665">
        <v>0.97104500000000005</v>
      </c>
      <c r="Y7665">
        <v>0.18032909999999999</v>
      </c>
      <c r="Z7665">
        <v>1.230538E-3</v>
      </c>
      <c r="AA7665">
        <v>0.98360559999999997</v>
      </c>
      <c r="AB7665">
        <v>32</v>
      </c>
      <c r="AC7665">
        <v>15.6633999999999</v>
      </c>
      <c r="AD7665">
        <v>-1.160336</v>
      </c>
      <c r="AE7665">
        <v>86.269310000000004</v>
      </c>
      <c r="AF7665">
        <v>15.866440752921701</v>
      </c>
      <c r="AG7665">
        <v>-1.160336</v>
      </c>
      <c r="AH7665">
        <v>86.216587459881893</v>
      </c>
      <c r="AI7665">
        <v>90.758329345976506</v>
      </c>
      <c r="AJ7665">
        <v>79.572527507939398</v>
      </c>
      <c r="AK7665">
        <v>87.672060971704894</v>
      </c>
      <c r="AL7665">
        <v>76.302722215766195</v>
      </c>
      <c r="AM7665">
        <v>91.866407417524002</v>
      </c>
      <c r="AN7665">
        <v>1.0000000594704199</v>
      </c>
    </row>
    <row r="7666" spans="1:40" x14ac:dyDescent="0.25">
      <c r="A7666" t="str">
        <f>"20190304155252596"</f>
        <v>20190304155252596</v>
      </c>
      <c r="B7666" t="str">
        <f>"1551685972594638"</f>
        <v>1551685972594638</v>
      </c>
      <c r="C7666" t="s">
        <v>40</v>
      </c>
      <c r="D7666">
        <v>4.1494160000000004</v>
      </c>
      <c r="E7666">
        <v>0.5807177</v>
      </c>
      <c r="F7666" t="s">
        <v>41</v>
      </c>
      <c r="G7666">
        <v>-176.0932</v>
      </c>
      <c r="H7666">
        <v>7.9986080000000001E-2</v>
      </c>
      <c r="I7666">
        <v>161.86429999999999</v>
      </c>
      <c r="J7666">
        <v>-187.393</v>
      </c>
      <c r="K7666">
        <v>1.1103080000000001</v>
      </c>
      <c r="L7666">
        <v>100.235</v>
      </c>
      <c r="M7666">
        <v>-1.8782359999999999E-3</v>
      </c>
      <c r="N7666">
        <v>-1.440809E-2</v>
      </c>
      <c r="O7666">
        <v>0.99989439999999996</v>
      </c>
      <c r="P7666">
        <v>-3.116818E-2</v>
      </c>
      <c r="Q7666">
        <v>0.2213686</v>
      </c>
      <c r="R7666">
        <v>0.974692</v>
      </c>
      <c r="S7666">
        <v>0.56744380000000005</v>
      </c>
      <c r="T7666">
        <v>-5.1742320000000001E-2</v>
      </c>
      <c r="U7666">
        <v>3.1109309999999999</v>
      </c>
      <c r="V7666">
        <v>-2.9102909999999999E-2</v>
      </c>
      <c r="W7666">
        <v>0.23541909999999999</v>
      </c>
      <c r="X7666">
        <v>0.97145809999999999</v>
      </c>
      <c r="Y7666">
        <v>0.18124999999999999</v>
      </c>
      <c r="Z7666">
        <v>-1.94717E-3</v>
      </c>
      <c r="AA7666">
        <v>0.98343519999999895</v>
      </c>
      <c r="AB7666">
        <v>32</v>
      </c>
      <c r="AC7666">
        <v>11.299799999999999</v>
      </c>
      <c r="AD7666">
        <v>-1.03032192</v>
      </c>
      <c r="AE7666">
        <v>61.629299999999901</v>
      </c>
      <c r="AF7666">
        <v>11.412460491386099</v>
      </c>
      <c r="AG7666">
        <v>-1.03032192</v>
      </c>
      <c r="AH7666">
        <v>61.591310900030102</v>
      </c>
      <c r="AI7666">
        <v>90.942337861892</v>
      </c>
      <c r="AJ7666">
        <v>79.502531052671799</v>
      </c>
      <c r="AK7666">
        <v>62.648187492619897</v>
      </c>
      <c r="AL7666">
        <v>76.383671242065702</v>
      </c>
      <c r="AM7666">
        <v>91.715951868237099</v>
      </c>
      <c r="AN7666">
        <v>0.99999998603544304</v>
      </c>
    </row>
    <row r="7667" spans="1:40" x14ac:dyDescent="0.25">
      <c r="A7667" t="str">
        <f>"20190304155252620"</f>
        <v>20190304155252620</v>
      </c>
      <c r="B7667" t="str">
        <f>"1551685972614158"</f>
        <v>1551685972614158</v>
      </c>
      <c r="C7667" t="s">
        <v>40</v>
      </c>
      <c r="D7667">
        <v>4.1668209999999997</v>
      </c>
      <c r="E7667">
        <v>0.5800807</v>
      </c>
      <c r="F7667" t="s">
        <v>84</v>
      </c>
      <c r="G7667">
        <v>-178.1395</v>
      </c>
      <c r="H7667">
        <v>7.9984840000000001E-2</v>
      </c>
      <c r="I7667">
        <v>150.76130000000001</v>
      </c>
      <c r="J7667">
        <v>-187.393</v>
      </c>
      <c r="K7667">
        <v>1.110277</v>
      </c>
      <c r="L7667">
        <v>100.5594</v>
      </c>
      <c r="M7667">
        <v>-1.3318760000000001E-3</v>
      </c>
      <c r="N7667">
        <v>-1.440465E-2</v>
      </c>
      <c r="O7667">
        <v>0.99989530000000004</v>
      </c>
      <c r="P7667">
        <v>-2.9339770000000001E-2</v>
      </c>
      <c r="Q7667">
        <v>0.21986790000000001</v>
      </c>
      <c r="R7667">
        <v>0.97508839999999997</v>
      </c>
      <c r="S7667">
        <v>0.56967159999999994</v>
      </c>
      <c r="T7667">
        <v>-6.3429470000000002E-2</v>
      </c>
      <c r="U7667">
        <v>3.110535</v>
      </c>
      <c r="V7667">
        <v>-2.7792560000000001E-2</v>
      </c>
      <c r="W7667">
        <v>0.2339215</v>
      </c>
      <c r="X7667">
        <v>0.97185820000000001</v>
      </c>
      <c r="Y7667">
        <v>0.18140899999999999</v>
      </c>
      <c r="Z7667">
        <v>-5.6462049999999996E-3</v>
      </c>
      <c r="AA7667">
        <v>0.98339149999999997</v>
      </c>
      <c r="AB7667">
        <v>32</v>
      </c>
      <c r="AC7667">
        <v>9.2535000000000007</v>
      </c>
      <c r="AD7667">
        <v>-1.0302921599999999</v>
      </c>
      <c r="AE7667">
        <v>50.201900000000002</v>
      </c>
      <c r="AF7667">
        <v>9.31656631507661</v>
      </c>
      <c r="AG7667">
        <v>-1.0302921599999999</v>
      </c>
      <c r="AH7667">
        <v>50.1690931809418</v>
      </c>
      <c r="AI7667">
        <v>91.156712740555704</v>
      </c>
      <c r="AJ7667">
        <v>79.479823967765498</v>
      </c>
      <c r="AK7667">
        <v>51.037219952072199</v>
      </c>
      <c r="AL7667">
        <v>76.471942957036603</v>
      </c>
      <c r="AM7667">
        <v>91.638060481762693</v>
      </c>
      <c r="AN7667">
        <v>1.00000002773042</v>
      </c>
    </row>
    <row r="7668" spans="1:40" x14ac:dyDescent="0.25">
      <c r="A7668" t="str">
        <f>"20190304155252641"</f>
        <v>20190304155252641</v>
      </c>
      <c r="B7668" t="str">
        <f>"1551685972634654"</f>
        <v>1551685972634654</v>
      </c>
      <c r="C7668" t="s">
        <v>40</v>
      </c>
      <c r="D7668">
        <v>4.0808939999999998</v>
      </c>
      <c r="E7668">
        <v>0.57916969999999901</v>
      </c>
      <c r="F7668" t="s">
        <v>84</v>
      </c>
      <c r="G7668">
        <v>-178.79220000000001</v>
      </c>
      <c r="H7668" s="1">
        <v>-1.04695E-5</v>
      </c>
      <c r="I7668">
        <v>147.4701</v>
      </c>
      <c r="J7668">
        <v>-187.3929</v>
      </c>
      <c r="K7668">
        <v>1.110241</v>
      </c>
      <c r="L7668">
        <v>100.8668</v>
      </c>
      <c r="M7668">
        <v>-7.8634050000000002E-4</v>
      </c>
      <c r="N7668">
        <v>-1.440145E-2</v>
      </c>
      <c r="O7668">
        <v>0.99989600000000001</v>
      </c>
      <c r="P7668">
        <v>-2.735288E-2</v>
      </c>
      <c r="Q7668">
        <v>0.21678620000000001</v>
      </c>
      <c r="R7668">
        <v>0.97583589999999998</v>
      </c>
      <c r="S7668">
        <v>0.57028199999999996</v>
      </c>
      <c r="T7668">
        <v>-7.3617699999999994E-2</v>
      </c>
      <c r="U7668">
        <v>3.1104129999999999</v>
      </c>
      <c r="V7668">
        <v>-2.632576E-2</v>
      </c>
      <c r="W7668">
        <v>0.230847</v>
      </c>
      <c r="X7668">
        <v>0.97263379999999999</v>
      </c>
      <c r="Y7668">
        <v>0.18105769999999999</v>
      </c>
      <c r="Z7668">
        <v>-8.8711950000000001E-3</v>
      </c>
      <c r="AA7668">
        <v>0.98343250000000004</v>
      </c>
      <c r="AB7668">
        <v>32</v>
      </c>
      <c r="AC7668">
        <v>8.6006999999999891</v>
      </c>
      <c r="AD7668">
        <v>-1.1102514695000001</v>
      </c>
      <c r="AE7668">
        <v>46.603299999999997</v>
      </c>
      <c r="AF7668">
        <v>8.6326090829384707</v>
      </c>
      <c r="AG7668">
        <v>-1.1102514695000001</v>
      </c>
      <c r="AH7668">
        <v>46.570960730346798</v>
      </c>
      <c r="AI7668">
        <v>91.342806388412399</v>
      </c>
      <c r="AJ7668">
        <v>79.498582560619795</v>
      </c>
      <c r="AK7668">
        <v>47.377304495421299</v>
      </c>
      <c r="AL7668">
        <v>76.653055970097896</v>
      </c>
      <c r="AM7668">
        <v>91.550415752810594</v>
      </c>
      <c r="AN7668">
        <v>0.99999994597550701</v>
      </c>
    </row>
    <row r="7669" spans="1:40" x14ac:dyDescent="0.25">
      <c r="A7669" t="str">
        <f>"20190304155252662"</f>
        <v>20190304155252662</v>
      </c>
      <c r="B7669" t="str">
        <f>"1551685972654173"</f>
        <v>1551685972654173</v>
      </c>
      <c r="C7669" t="s">
        <v>40</v>
      </c>
      <c r="D7669">
        <v>3.980226</v>
      </c>
      <c r="E7669">
        <v>0.57815709999999998</v>
      </c>
      <c r="F7669" t="s">
        <v>84</v>
      </c>
      <c r="G7669">
        <v>-179.94110000000001</v>
      </c>
      <c r="H7669" s="1">
        <v>-9.4543649999999997E-6</v>
      </c>
      <c r="I7669">
        <v>141.5677</v>
      </c>
      <c r="J7669">
        <v>-187.39250000000001</v>
      </c>
      <c r="K7669">
        <v>1.1101989999999999</v>
      </c>
      <c r="L7669">
        <v>101.175</v>
      </c>
      <c r="M7669">
        <v>-2.0800429999999999E-4</v>
      </c>
      <c r="N7669">
        <v>-1.439839E-2</v>
      </c>
      <c r="O7669">
        <v>0.99989629999999996</v>
      </c>
      <c r="P7669">
        <v>-2.594467E-2</v>
      </c>
      <c r="Q7669">
        <v>0.21235190000000001</v>
      </c>
      <c r="R7669">
        <v>0.97684879999999996</v>
      </c>
      <c r="S7669">
        <v>0.56922910000000004</v>
      </c>
      <c r="T7669">
        <v>-8.4810849999999993E-2</v>
      </c>
      <c r="U7669">
        <v>3.1091000000000002</v>
      </c>
      <c r="V7669">
        <v>-2.5470779999999998E-2</v>
      </c>
      <c r="W7669">
        <v>0.22642590000000001</v>
      </c>
      <c r="X7669">
        <v>0.97369530000000004</v>
      </c>
      <c r="Y7669">
        <v>0.1802291</v>
      </c>
      <c r="Z7669">
        <v>-1.242593E-2</v>
      </c>
      <c r="AA7669">
        <v>0.98354620000000004</v>
      </c>
      <c r="AB7669">
        <v>32</v>
      </c>
      <c r="AC7669">
        <v>7.4513999999999996</v>
      </c>
      <c r="AD7669">
        <v>-1.1102084543649999</v>
      </c>
      <c r="AE7669">
        <v>40.392699999999998</v>
      </c>
      <c r="AF7669">
        <v>7.4543565349859797</v>
      </c>
      <c r="AG7669">
        <v>-1.1102084543649999</v>
      </c>
      <c r="AH7669">
        <v>40.361661476161203</v>
      </c>
      <c r="AI7669">
        <v>91.549418958262095</v>
      </c>
      <c r="AJ7669">
        <v>79.5360098786539</v>
      </c>
      <c r="AK7669">
        <v>41.059270710511498</v>
      </c>
      <c r="AL7669">
        <v>76.913259523054293</v>
      </c>
      <c r="AM7669">
        <v>91.498451780456605</v>
      </c>
      <c r="AN7669">
        <v>0.99999999303335396</v>
      </c>
    </row>
    <row r="7670" spans="1:40" x14ac:dyDescent="0.25">
      <c r="A7670" t="str">
        <f>"20190304155252685"</f>
        <v>20190304155252685</v>
      </c>
      <c r="B7670" t="str">
        <f>"1551685972674673"</f>
        <v>1551685972674673</v>
      </c>
      <c r="C7670" t="s">
        <v>40</v>
      </c>
      <c r="D7670">
        <v>4.0227599999999999</v>
      </c>
      <c r="E7670">
        <v>0.57723359999999901</v>
      </c>
      <c r="F7670" t="s">
        <v>84</v>
      </c>
      <c r="G7670">
        <v>-181.09289999999999</v>
      </c>
      <c r="H7670" s="1">
        <v>-7.4878060000000003E-6</v>
      </c>
      <c r="I7670">
        <v>135.78059999999999</v>
      </c>
      <c r="J7670">
        <v>-187.39189999999999</v>
      </c>
      <c r="K7670">
        <v>1.110152</v>
      </c>
      <c r="L7670">
        <v>101.496</v>
      </c>
      <c r="M7670">
        <v>4.3499910000000002E-4</v>
      </c>
      <c r="N7670">
        <v>-1.439524E-2</v>
      </c>
      <c r="O7670">
        <v>0.99989629999999996</v>
      </c>
      <c r="P7670">
        <v>-2.4554670000000001E-2</v>
      </c>
      <c r="Q7670">
        <v>0.209479</v>
      </c>
      <c r="R7670">
        <v>0.97750479999999995</v>
      </c>
      <c r="S7670">
        <v>0.56575010000000003</v>
      </c>
      <c r="T7670">
        <v>-9.9704150000000005E-2</v>
      </c>
      <c r="U7670">
        <v>3.1078190000000001</v>
      </c>
      <c r="V7670">
        <v>-2.4693590000000001E-2</v>
      </c>
      <c r="W7670">
        <v>0.2235607</v>
      </c>
      <c r="X7670">
        <v>0.97437720000000005</v>
      </c>
      <c r="Y7670">
        <v>0.17858460000000001</v>
      </c>
      <c r="Z7670">
        <v>-1.7157869999999999E-2</v>
      </c>
      <c r="AA7670">
        <v>0.98377499999999996</v>
      </c>
      <c r="AB7670">
        <v>32</v>
      </c>
      <c r="AC7670">
        <v>6.2990000000000004</v>
      </c>
      <c r="AD7670">
        <v>-1.1101594878059999</v>
      </c>
      <c r="AE7670">
        <v>34.284599999999898</v>
      </c>
      <c r="AF7670">
        <v>6.2777167718655198</v>
      </c>
      <c r="AG7670">
        <v>-1.1101594878059999</v>
      </c>
      <c r="AH7670">
        <v>34.252595626957998</v>
      </c>
      <c r="AI7670">
        <v>91.825968163805697</v>
      </c>
      <c r="AJ7670">
        <v>79.614258765468193</v>
      </c>
      <c r="AK7670">
        <v>34.840816424705501</v>
      </c>
      <c r="AL7670">
        <v>77.081744001686602</v>
      </c>
      <c r="AM7670">
        <v>91.451733173041802</v>
      </c>
      <c r="AN7670">
        <v>1.0000000439257</v>
      </c>
    </row>
    <row r="7671" spans="1:40" x14ac:dyDescent="0.25">
      <c r="A7671" t="str">
        <f>"20190304155252709"</f>
        <v>20190304155252709</v>
      </c>
      <c r="B7671" t="str">
        <f>"1551685972704925"</f>
        <v>1551685972704925</v>
      </c>
      <c r="C7671" t="s">
        <v>40</v>
      </c>
      <c r="D7671">
        <v>3.9714469999999999</v>
      </c>
      <c r="E7671">
        <v>0.57722269999999998</v>
      </c>
      <c r="F7671" t="s">
        <v>84</v>
      </c>
      <c r="G7671">
        <v>-181.68549999999999</v>
      </c>
      <c r="H7671" s="1">
        <v>-6.4535479999999998E-6</v>
      </c>
      <c r="I7671">
        <v>132.9718</v>
      </c>
      <c r="J7671">
        <v>-187.39099999999999</v>
      </c>
      <c r="K7671">
        <v>1.110106</v>
      </c>
      <c r="L7671">
        <v>101.82550000000001</v>
      </c>
      <c r="M7671">
        <v>1.152178E-3</v>
      </c>
      <c r="N7671">
        <v>-1.439203E-2</v>
      </c>
      <c r="O7671">
        <v>0.9998958</v>
      </c>
      <c r="P7671">
        <v>-2.35076E-2</v>
      </c>
      <c r="Q7671">
        <v>0.2079686</v>
      </c>
      <c r="R7671">
        <v>0.97785299999999997</v>
      </c>
      <c r="S7671">
        <v>0.56321719999999997</v>
      </c>
      <c r="T7671">
        <v>-0.1095729</v>
      </c>
      <c r="U7671">
        <v>3.1066590000000001</v>
      </c>
      <c r="V7671">
        <v>-2.4326770000000001E-2</v>
      </c>
      <c r="W7671">
        <v>0.22205359999999999</v>
      </c>
      <c r="X7671">
        <v>0.97473089999999996</v>
      </c>
      <c r="Y7671">
        <v>0.1771529</v>
      </c>
      <c r="Z7671">
        <v>-2.0301949999999999E-2</v>
      </c>
      <c r="AA7671">
        <v>0.98397389999999996</v>
      </c>
      <c r="AB7671">
        <v>32</v>
      </c>
      <c r="AC7671">
        <v>5.7054999999999998</v>
      </c>
      <c r="AD7671">
        <v>-1.110112453548</v>
      </c>
      <c r="AE7671">
        <v>31.1463</v>
      </c>
      <c r="AF7671">
        <v>5.6626464614005103</v>
      </c>
      <c r="AG7671">
        <v>-1.110112453548</v>
      </c>
      <c r="AH7671">
        <v>31.114610816754102</v>
      </c>
      <c r="AI7671">
        <v>92.010348077276205</v>
      </c>
      <c r="AJ7671">
        <v>79.685448927234503</v>
      </c>
      <c r="AK7671">
        <v>31.6451721576042</v>
      </c>
      <c r="AL7671">
        <v>77.170319987285495</v>
      </c>
      <c r="AM7671">
        <v>91.429658141679894</v>
      </c>
      <c r="AN7671">
        <v>0.99999996021320003</v>
      </c>
    </row>
    <row r="7672" spans="1:40" x14ac:dyDescent="0.25">
      <c r="A7672" t="str">
        <f>"20190304155252733"</f>
        <v>20190304155252733</v>
      </c>
      <c r="B7672" t="str">
        <f>"1551685972724446"</f>
        <v>1551685972724446</v>
      </c>
      <c r="C7672" t="s">
        <v>40</v>
      </c>
      <c r="D7672">
        <v>3.9656880000000001</v>
      </c>
      <c r="E7672">
        <v>0.50139860000000003</v>
      </c>
      <c r="F7672" t="s">
        <v>84</v>
      </c>
      <c r="G7672">
        <v>-181.61279999999999</v>
      </c>
      <c r="H7672" s="1">
        <v>-6.6571159999999998E-6</v>
      </c>
      <c r="I7672">
        <v>133.53559999999999</v>
      </c>
      <c r="J7672">
        <v>-187.38980000000001</v>
      </c>
      <c r="K7672">
        <v>1.110052</v>
      </c>
      <c r="L7672">
        <v>102.15170000000001</v>
      </c>
      <c r="M7672">
        <v>1.934077E-3</v>
      </c>
      <c r="N7672">
        <v>-1.4388969999999999E-2</v>
      </c>
      <c r="O7672">
        <v>0.99989459999999997</v>
      </c>
      <c r="P7672">
        <v>-2.2947550000000001E-2</v>
      </c>
      <c r="Q7672">
        <v>0.20732729999999999</v>
      </c>
      <c r="R7672">
        <v>0.97800240000000005</v>
      </c>
      <c r="S7672">
        <v>0.56573490000000004</v>
      </c>
      <c r="T7672">
        <v>-0.10868899999999999</v>
      </c>
      <c r="U7672">
        <v>3.1046749999999999</v>
      </c>
      <c r="V7672">
        <v>-2.4505639999999999E-2</v>
      </c>
      <c r="W7672">
        <v>0.22141479999999999</v>
      </c>
      <c r="X7672">
        <v>0.97487179999999996</v>
      </c>
      <c r="Y7672">
        <v>0.17726729999999999</v>
      </c>
      <c r="Z7672">
        <v>-2.0045150000000001E-2</v>
      </c>
      <c r="AA7672">
        <v>0.98395860000000002</v>
      </c>
      <c r="AB7672">
        <v>32</v>
      </c>
      <c r="AC7672">
        <v>5.7770000000000099</v>
      </c>
      <c r="AD7672">
        <v>-1.110058657116</v>
      </c>
      <c r="AE7672">
        <v>31.383899999999901</v>
      </c>
      <c r="AF7672">
        <v>5.7093753511506602</v>
      </c>
      <c r="AG7672">
        <v>-1.110058657116</v>
      </c>
      <c r="AH7672">
        <v>31.357071720278299</v>
      </c>
      <c r="AI7672">
        <v>91.994690419693995</v>
      </c>
      <c r="AJ7672">
        <v>79.680845860324794</v>
      </c>
      <c r="AK7672">
        <v>31.891929135648802</v>
      </c>
      <c r="AL7672">
        <v>77.207855834314699</v>
      </c>
      <c r="AM7672">
        <v>91.439957666355895</v>
      </c>
      <c r="AN7672">
        <v>1.0000000332430401</v>
      </c>
    </row>
    <row r="7673" spans="1:40" x14ac:dyDescent="0.25">
      <c r="A7673" t="str">
        <f>"20190304155252754"</f>
        <v>20190304155252754</v>
      </c>
      <c r="B7673" t="str">
        <f>"1551685972743966"</f>
        <v>1551685972743966</v>
      </c>
      <c r="C7673" t="s">
        <v>40</v>
      </c>
      <c r="D7673">
        <v>3.8920659999999998</v>
      </c>
      <c r="E7673">
        <v>0.49703059999999899</v>
      </c>
      <c r="F7673" t="s">
        <v>41</v>
      </c>
      <c r="G7673">
        <v>-189.9777</v>
      </c>
      <c r="H7673" s="1">
        <v>-7.8117429999999998E-7</v>
      </c>
      <c r="I7673">
        <v>301.4239</v>
      </c>
      <c r="J7673">
        <v>-187.38839999999999</v>
      </c>
      <c r="K7673">
        <v>1.1100000000000001</v>
      </c>
      <c r="L7673">
        <v>102.4618</v>
      </c>
      <c r="M7673">
        <v>2.7355610000000001E-3</v>
      </c>
      <c r="N7673">
        <v>-1.438625E-2</v>
      </c>
      <c r="O7673">
        <v>0.99989280000000003</v>
      </c>
      <c r="P7673">
        <v>-2.2090700000000001E-2</v>
      </c>
      <c r="Q7673">
        <v>0.20662929999999999</v>
      </c>
      <c r="R7673">
        <v>0.97816990000000004</v>
      </c>
      <c r="S7673">
        <v>-3.9871219999999999E-2</v>
      </c>
      <c r="T7673">
        <v>-1.7102599999999999E-2</v>
      </c>
      <c r="U7673">
        <v>3.0701900000000002</v>
      </c>
      <c r="V7673">
        <v>-2.440778E-2</v>
      </c>
      <c r="W7673">
        <v>0.22071950000000001</v>
      </c>
      <c r="X7673">
        <v>0.97503189999999995</v>
      </c>
      <c r="Y7673">
        <v>-1.5718269999999999E-2</v>
      </c>
      <c r="Z7673">
        <v>8.8170209999999995E-3</v>
      </c>
      <c r="AA7673">
        <v>0.99983759999999999</v>
      </c>
      <c r="AB7673">
        <v>32</v>
      </c>
      <c r="AC7673">
        <v>-2.5893000000000002</v>
      </c>
      <c r="AD7673">
        <v>-1.1100007811743</v>
      </c>
      <c r="AE7673">
        <v>198.96209999999999</v>
      </c>
      <c r="AF7673">
        <v>-3.1335220725920401</v>
      </c>
      <c r="AG7673">
        <v>-1.1100007811743</v>
      </c>
      <c r="AH7673">
        <v>198.94808031713799</v>
      </c>
      <c r="AI7673">
        <v>90.319630192382107</v>
      </c>
      <c r="AJ7673">
        <v>90.9023597781311</v>
      </c>
      <c r="AK7673">
        <v>198.97585211323499</v>
      </c>
      <c r="AL7673">
        <v>77.248704086980695</v>
      </c>
      <c r="AM7673">
        <v>91.433974395732093</v>
      </c>
      <c r="AN7673">
        <v>1.00000002171119</v>
      </c>
    </row>
    <row r="7674" spans="1:40" x14ac:dyDescent="0.25">
      <c r="A7674" t="str">
        <f>"20190304155252776"</f>
        <v>20190304155252776</v>
      </c>
      <c r="B7674" t="str">
        <f>"1551685972774222"</f>
        <v>1551685972774222</v>
      </c>
      <c r="C7674" t="s">
        <v>40</v>
      </c>
      <c r="D7674">
        <v>3.9279950000000001</v>
      </c>
      <c r="E7674">
        <v>0.4944846</v>
      </c>
      <c r="F7674" t="s">
        <v>62</v>
      </c>
      <c r="G7674">
        <v>-189.71619999999999</v>
      </c>
      <c r="H7674" s="1">
        <v>6.9495920000000001E-6</v>
      </c>
      <c r="I7674">
        <v>202.2784</v>
      </c>
      <c r="J7674">
        <v>-187.38659999999999</v>
      </c>
      <c r="K7674">
        <v>1.109942</v>
      </c>
      <c r="L7674">
        <v>102.77370000000001</v>
      </c>
      <c r="M7674">
        <v>3.6165939999999999E-3</v>
      </c>
      <c r="N7674">
        <v>-1.438358E-2</v>
      </c>
      <c r="O7674">
        <v>0.99988999999999995</v>
      </c>
      <c r="P7674">
        <v>-2.1113940000000001E-2</v>
      </c>
      <c r="Q7674">
        <v>0.20561180000000001</v>
      </c>
      <c r="R7674">
        <v>0.97840579999999999</v>
      </c>
      <c r="S7674">
        <v>-7.1655269999999993E-2</v>
      </c>
      <c r="T7674">
        <v>-3.4167650000000001E-2</v>
      </c>
      <c r="U7674">
        <v>3.07254</v>
      </c>
      <c r="V7674">
        <v>-2.426563E-2</v>
      </c>
      <c r="W7674">
        <v>0.2197056</v>
      </c>
      <c r="X7674">
        <v>0.97526440000000003</v>
      </c>
      <c r="Y7674">
        <v>-2.6925609999999999E-2</v>
      </c>
      <c r="Z7674">
        <v>3.26845E-3</v>
      </c>
      <c r="AA7674">
        <v>0.99963210000000002</v>
      </c>
      <c r="AB7674">
        <v>31</v>
      </c>
      <c r="AC7674">
        <v>-2.3295999999999899</v>
      </c>
      <c r="AD7674">
        <v>-1.1099350504079999</v>
      </c>
      <c r="AE7674">
        <v>99.5047</v>
      </c>
      <c r="AF7674">
        <v>-2.6891556829707901</v>
      </c>
      <c r="AG7674">
        <v>-1.1099350504079999</v>
      </c>
      <c r="AH7674">
        <v>99.483251594733204</v>
      </c>
      <c r="AI7674">
        <v>90.638989338276801</v>
      </c>
      <c r="AJ7674">
        <v>91.548398927395795</v>
      </c>
      <c r="AK7674">
        <v>99.5257798862404</v>
      </c>
      <c r="AL7674">
        <v>77.308258077376095</v>
      </c>
      <c r="AM7674">
        <v>91.425286714266306</v>
      </c>
      <c r="AN7674">
        <v>1.0000000106889999</v>
      </c>
    </row>
    <row r="7675" spans="1:40" x14ac:dyDescent="0.25">
      <c r="A7675" t="str">
        <f>"20190304155252797"</f>
        <v>20190304155252797</v>
      </c>
      <c r="B7675" t="str">
        <f>"1551685972794717"</f>
        <v>1551685972794717</v>
      </c>
      <c r="C7675" t="s">
        <v>40</v>
      </c>
      <c r="D7675">
        <v>3.9647739999999998</v>
      </c>
      <c r="E7675">
        <v>0.49348560000000002</v>
      </c>
      <c r="F7675" t="s">
        <v>41</v>
      </c>
      <c r="G7675">
        <v>-189.65690000000001</v>
      </c>
      <c r="H7675" s="1">
        <v>-1.115601E-6</v>
      </c>
      <c r="I7675">
        <v>182.09139999999999</v>
      </c>
      <c r="J7675">
        <v>-187.38460000000001</v>
      </c>
      <c r="K7675">
        <v>1.1098809999999999</v>
      </c>
      <c r="L7675">
        <v>103.07080000000001</v>
      </c>
      <c r="M7675">
        <v>4.5426959999999997E-3</v>
      </c>
      <c r="N7675">
        <v>-1.438122E-2</v>
      </c>
      <c r="O7675">
        <v>0.99988630000000001</v>
      </c>
      <c r="P7675">
        <v>-2.0063899999999999E-2</v>
      </c>
      <c r="Q7675">
        <v>0.2053014</v>
      </c>
      <c r="R7675">
        <v>0.9784931</v>
      </c>
      <c r="S7675">
        <v>-8.7966920000000004E-2</v>
      </c>
      <c r="T7675">
        <v>-4.3007370000000003E-2</v>
      </c>
      <c r="U7675">
        <v>3.0733489999999999</v>
      </c>
      <c r="V7675">
        <v>-2.408923E-2</v>
      </c>
      <c r="W7675">
        <v>0.21939710000000001</v>
      </c>
      <c r="X7675">
        <v>0.97533820000000004</v>
      </c>
      <c r="Y7675">
        <v>-3.3145029999999999E-2</v>
      </c>
      <c r="Z7675">
        <v>3.9683289999999999E-4</v>
      </c>
      <c r="AA7675">
        <v>0.99945039999999996</v>
      </c>
      <c r="AB7675">
        <v>31</v>
      </c>
      <c r="AC7675">
        <v>-2.2723</v>
      </c>
      <c r="AD7675">
        <v>-1.1098821156009999</v>
      </c>
      <c r="AE7675">
        <v>79.020599999999902</v>
      </c>
      <c r="AF7675">
        <v>-2.63076167105601</v>
      </c>
      <c r="AG7675">
        <v>-1.1098821156009999</v>
      </c>
      <c r="AH7675">
        <v>78.993890373241499</v>
      </c>
      <c r="AI7675">
        <v>90.804519789960494</v>
      </c>
      <c r="AJ7675">
        <v>91.907436776037699</v>
      </c>
      <c r="AK7675">
        <v>79.045477173460895</v>
      </c>
      <c r="AL7675">
        <v>77.326375634480101</v>
      </c>
      <c r="AM7675">
        <v>91.4148227423793</v>
      </c>
      <c r="AN7675">
        <v>0.99999999143482099</v>
      </c>
    </row>
    <row r="7676" spans="1:40" x14ac:dyDescent="0.25">
      <c r="A7676" t="str">
        <f>"20190304155252821"</f>
        <v>20190304155252821</v>
      </c>
      <c r="B7676" t="str">
        <f>"1551685972814239"</f>
        <v>1551685972814239</v>
      </c>
      <c r="C7676" t="s">
        <v>40</v>
      </c>
      <c r="D7676">
        <v>3.9040110000000001</v>
      </c>
      <c r="E7676">
        <v>0.49300250000000001</v>
      </c>
      <c r="F7676" t="s">
        <v>41</v>
      </c>
      <c r="G7676">
        <v>-189.54849999999999</v>
      </c>
      <c r="H7676" s="1">
        <v>-2.4002459999999999E-6</v>
      </c>
      <c r="I7676">
        <v>175.0411</v>
      </c>
      <c r="J7676">
        <v>-187.3819</v>
      </c>
      <c r="K7676">
        <v>1.109802</v>
      </c>
      <c r="L7676">
        <v>103.4049</v>
      </c>
      <c r="M7676">
        <v>5.7027179999999998E-3</v>
      </c>
      <c r="N7676">
        <v>-1.437898E-2</v>
      </c>
      <c r="O7676">
        <v>0.9998804</v>
      </c>
      <c r="P7676">
        <v>-1.8569209999999999E-2</v>
      </c>
      <c r="Q7676">
        <v>0.20596059999999999</v>
      </c>
      <c r="R7676">
        <v>0.97838409999999998</v>
      </c>
      <c r="S7676">
        <v>-9.2422489999999996E-2</v>
      </c>
      <c r="T7676">
        <v>-4.7405000000000003E-2</v>
      </c>
      <c r="U7676">
        <v>3.0739749999999999</v>
      </c>
      <c r="V7676">
        <v>-2.3681009999999999E-2</v>
      </c>
      <c r="W7676">
        <v>0.22005669999999999</v>
      </c>
      <c r="X7676">
        <v>0.97519960000000006</v>
      </c>
      <c r="Y7676">
        <v>-3.5745109999999997E-2</v>
      </c>
      <c r="Z7676">
        <v>-1.030691E-3</v>
      </c>
      <c r="AA7676">
        <v>0.99936040000000004</v>
      </c>
      <c r="AB7676">
        <v>31</v>
      </c>
      <c r="AC7676">
        <v>-2.1665999999999799</v>
      </c>
      <c r="AD7676">
        <v>-1.1098044002459999</v>
      </c>
      <c r="AE7676">
        <v>71.636200000000002</v>
      </c>
      <c r="AF7676">
        <v>-2.57451068818657</v>
      </c>
      <c r="AG7676">
        <v>-1.1098044002459999</v>
      </c>
      <c r="AH7676">
        <v>71.605507852694799</v>
      </c>
      <c r="AI7676">
        <v>90.887375420956502</v>
      </c>
      <c r="AJ7676">
        <v>92.059130493482797</v>
      </c>
      <c r="AK7676">
        <v>71.660369284094003</v>
      </c>
      <c r="AL7676">
        <v>77.287636729551906</v>
      </c>
      <c r="AM7676">
        <v>91.391054023033206</v>
      </c>
      <c r="AN7676">
        <v>1.00000000064483</v>
      </c>
    </row>
    <row r="7677" spans="1:40" x14ac:dyDescent="0.25">
      <c r="A7677" t="str">
        <f>"20190304155252841"</f>
        <v>20190304155252841</v>
      </c>
      <c r="B7677" t="str">
        <f>"1551685972834734"</f>
        <v>1551685972834734</v>
      </c>
      <c r="C7677" t="s">
        <v>40</v>
      </c>
      <c r="D7677">
        <v>3.9140519999999999</v>
      </c>
      <c r="E7677">
        <v>0.49203910000000001</v>
      </c>
      <c r="F7677" t="s">
        <v>41</v>
      </c>
      <c r="G7677">
        <v>-189.54949999999999</v>
      </c>
      <c r="H7677" s="1">
        <v>-3.0249469999999999E-6</v>
      </c>
      <c r="I7677">
        <v>176.49770000000001</v>
      </c>
      <c r="J7677">
        <v>-187.3792</v>
      </c>
      <c r="K7677">
        <v>1.1097189999999999</v>
      </c>
      <c r="L7677">
        <v>103.68429999999999</v>
      </c>
      <c r="M7677">
        <v>6.7844300000000001E-3</v>
      </c>
      <c r="N7677">
        <v>-1.437751E-2</v>
      </c>
      <c r="O7677">
        <v>0.99987360000000003</v>
      </c>
      <c r="P7677">
        <v>-1.7510399999999999E-2</v>
      </c>
      <c r="Q7677">
        <v>0.20712120000000001</v>
      </c>
      <c r="R7677">
        <v>0.97815859999999999</v>
      </c>
      <c r="S7677">
        <v>-9.1171260000000004E-2</v>
      </c>
      <c r="T7677">
        <v>-4.6679739999999997E-2</v>
      </c>
      <c r="U7677">
        <v>3.0743710000000002</v>
      </c>
      <c r="V7677">
        <v>-2.3629540000000001E-2</v>
      </c>
      <c r="W7677">
        <v>0.2212172</v>
      </c>
      <c r="X7677">
        <v>0.97493830000000004</v>
      </c>
      <c r="Y7677">
        <v>-3.6415940000000001E-2</v>
      </c>
      <c r="Z7677">
        <v>-7.9399590000000001E-4</v>
      </c>
      <c r="AA7677">
        <v>0.99933640000000001</v>
      </c>
      <c r="AB7677">
        <v>31</v>
      </c>
      <c r="AC7677">
        <v>-2.1702999999999899</v>
      </c>
      <c r="AD7677">
        <v>-1.1097220249469999</v>
      </c>
      <c r="AE7677">
        <v>72.813400000000001</v>
      </c>
      <c r="AF7677">
        <v>-2.66368037100737</v>
      </c>
      <c r="AG7677">
        <v>-1.1097220249469999</v>
      </c>
      <c r="AH7677">
        <v>72.780107994516996</v>
      </c>
      <c r="AI7677">
        <v>90.872971093092701</v>
      </c>
      <c r="AJ7677">
        <v>92.096033641339503</v>
      </c>
      <c r="AK7677">
        <v>72.837289871226702</v>
      </c>
      <c r="AL7677">
        <v>77.219465547396496</v>
      </c>
      <c r="AM7677">
        <v>91.388403661326706</v>
      </c>
      <c r="AN7677">
        <v>1.0000000467716601</v>
      </c>
    </row>
    <row r="7678" spans="1:40" x14ac:dyDescent="0.25">
      <c r="A7678" t="str">
        <f>"20190304155252864"</f>
        <v>20190304155252864</v>
      </c>
      <c r="B7678" t="str">
        <f>"1551685972854253"</f>
        <v>1551685972854253</v>
      </c>
      <c r="C7678" t="s">
        <v>40</v>
      </c>
      <c r="D7678">
        <v>3.9492250000000002</v>
      </c>
      <c r="E7678">
        <v>0.4916702</v>
      </c>
      <c r="F7678" t="s">
        <v>41</v>
      </c>
      <c r="G7678">
        <v>-189.68989999999999</v>
      </c>
      <c r="H7678" s="1">
        <v>-3.705479E-6</v>
      </c>
      <c r="I7678">
        <v>178.1421</v>
      </c>
      <c r="J7678">
        <v>-187.37549999999999</v>
      </c>
      <c r="K7678">
        <v>1.109605</v>
      </c>
      <c r="L7678">
        <v>104.01439999999999</v>
      </c>
      <c r="M7678">
        <v>8.2055849999999996E-3</v>
      </c>
      <c r="N7678">
        <v>-1.4376160000000001E-2</v>
      </c>
      <c r="O7678">
        <v>0.99986299999999995</v>
      </c>
      <c r="P7678">
        <v>-1.5394089999999999E-2</v>
      </c>
      <c r="Q7678">
        <v>0.20801510000000001</v>
      </c>
      <c r="R7678">
        <v>0.97800450000000005</v>
      </c>
      <c r="S7678">
        <v>-9.5428470000000001E-2</v>
      </c>
      <c r="T7678">
        <v>-4.582965E-2</v>
      </c>
      <c r="U7678">
        <v>3.0749819999999999</v>
      </c>
      <c r="V7678">
        <v>-2.2836789999999999E-2</v>
      </c>
      <c r="W7678">
        <v>0.2221117</v>
      </c>
      <c r="X7678">
        <v>0.97475369999999995</v>
      </c>
      <c r="Y7678">
        <v>-3.9212089999999998E-2</v>
      </c>
      <c r="Z7678">
        <v>-5.1438229999999996E-4</v>
      </c>
      <c r="AA7678">
        <v>0.99923079999999997</v>
      </c>
      <c r="AB7678">
        <v>31</v>
      </c>
      <c r="AC7678">
        <v>-2.3144</v>
      </c>
      <c r="AD7678">
        <v>-1.109608705479</v>
      </c>
      <c r="AE7678">
        <v>74.127700000000004</v>
      </c>
      <c r="AF7678">
        <v>-2.92199198231476</v>
      </c>
      <c r="AG7678">
        <v>-1.109608705479</v>
      </c>
      <c r="AH7678">
        <v>74.089626002096296</v>
      </c>
      <c r="AI7678">
        <v>90.857363872077201</v>
      </c>
      <c r="AJ7678">
        <v>92.258495521199094</v>
      </c>
      <c r="AK7678">
        <v>74.1555254162122</v>
      </c>
      <c r="AL7678">
        <v>77.166905723046895</v>
      </c>
      <c r="AM7678">
        <v>91.342095308284698</v>
      </c>
      <c r="AN7678">
        <v>0.99999995095904004</v>
      </c>
    </row>
    <row r="7679" spans="1:40" x14ac:dyDescent="0.25">
      <c r="A7679" t="str">
        <f>"20190304155252887"</f>
        <v>20190304155252887</v>
      </c>
      <c r="B7679" t="str">
        <f>"1551685972884510"</f>
        <v>1551685972884510</v>
      </c>
      <c r="C7679" t="s">
        <v>40</v>
      </c>
      <c r="D7679">
        <v>3.9915850000000002</v>
      </c>
      <c r="E7679">
        <v>0.49095270000000002</v>
      </c>
      <c r="F7679" t="s">
        <v>41</v>
      </c>
      <c r="G7679">
        <v>-189.68960000000001</v>
      </c>
      <c r="H7679" s="1">
        <v>-1.006237E-6</v>
      </c>
      <c r="I7679">
        <v>181.85</v>
      </c>
      <c r="J7679">
        <v>-187.37139999999999</v>
      </c>
      <c r="K7679">
        <v>1.109483</v>
      </c>
      <c r="L7679">
        <v>104.32980000000001</v>
      </c>
      <c r="M7679">
        <v>9.7258520000000001E-3</v>
      </c>
      <c r="N7679">
        <v>-1.437543E-2</v>
      </c>
      <c r="O7679">
        <v>0.9998494</v>
      </c>
      <c r="P7679">
        <v>-1.3756869999999999E-2</v>
      </c>
      <c r="Q7679">
        <v>0.208123</v>
      </c>
      <c r="R7679">
        <v>0.97800589999999998</v>
      </c>
      <c r="S7679">
        <v>-9.1430659999999997E-2</v>
      </c>
      <c r="T7679">
        <v>-4.3841239999999997E-2</v>
      </c>
      <c r="U7679">
        <v>3.0753330000000001</v>
      </c>
      <c r="V7679">
        <v>-2.261912E-2</v>
      </c>
      <c r="W7679">
        <v>0.2222257</v>
      </c>
      <c r="X7679">
        <v>0.97473290000000001</v>
      </c>
      <c r="Y7679">
        <v>-3.9430239999999998E-2</v>
      </c>
      <c r="Z7679">
        <v>1.3289740000000001E-4</v>
      </c>
      <c r="AA7679">
        <v>0.99922230000000001</v>
      </c>
      <c r="AB7679">
        <v>31</v>
      </c>
      <c r="AC7679">
        <v>-2.3182000000000098</v>
      </c>
      <c r="AD7679">
        <v>-1.1094840062369999</v>
      </c>
      <c r="AE7679">
        <v>77.520199999999903</v>
      </c>
      <c r="AF7679">
        <v>-3.0714896163884098</v>
      </c>
      <c r="AG7679">
        <v>-1.1094840062369999</v>
      </c>
      <c r="AH7679">
        <v>77.478127602932105</v>
      </c>
      <c r="AI7679">
        <v>90.819773596423104</v>
      </c>
      <c r="AJ7679">
        <v>92.270205704986395</v>
      </c>
      <c r="AK7679">
        <v>77.546922956877594</v>
      </c>
      <c r="AL7679">
        <v>77.160207956615295</v>
      </c>
      <c r="AM7679">
        <v>91.329336028334595</v>
      </c>
      <c r="AN7679">
        <v>1.0000000563362299</v>
      </c>
    </row>
    <row r="7680" spans="1:40" x14ac:dyDescent="0.25">
      <c r="A7680" t="str">
        <f>"20190304155252910"</f>
        <v>20190304155252910</v>
      </c>
      <c r="B7680" t="str">
        <f>"1551685972904029"</f>
        <v>1551685972904029</v>
      </c>
      <c r="C7680" t="s">
        <v>40</v>
      </c>
      <c r="D7680">
        <v>3.9885899999999999</v>
      </c>
      <c r="E7680">
        <v>0.49050339999999998</v>
      </c>
      <c r="F7680" t="s">
        <v>41</v>
      </c>
      <c r="G7680">
        <v>-189.63980000000001</v>
      </c>
      <c r="H7680" s="1">
        <v>-2.7831289999999999E-7</v>
      </c>
      <c r="I7680">
        <v>180.1326</v>
      </c>
      <c r="J7680">
        <v>-187.3665</v>
      </c>
      <c r="K7680">
        <v>1.1093470000000001</v>
      </c>
      <c r="L7680">
        <v>104.6451</v>
      </c>
      <c r="M7680">
        <v>1.1433759999999999E-2</v>
      </c>
      <c r="N7680">
        <v>-1.4375249999999999E-2</v>
      </c>
      <c r="O7680">
        <v>0.99983129999999998</v>
      </c>
      <c r="P7680">
        <v>-1.22668E-2</v>
      </c>
      <c r="Q7680">
        <v>0.2076964</v>
      </c>
      <c r="R7680">
        <v>0.9781164</v>
      </c>
      <c r="S7680">
        <v>-9.2041020000000001E-2</v>
      </c>
      <c r="T7680">
        <v>-4.5017960000000003E-2</v>
      </c>
      <c r="U7680">
        <v>3.075745</v>
      </c>
      <c r="V7680">
        <v>-2.2731029999999999E-2</v>
      </c>
      <c r="W7680">
        <v>0.2218077</v>
      </c>
      <c r="X7680">
        <v>0.97482539999999995</v>
      </c>
      <c r="Y7680">
        <v>-4.1330649999999997E-2</v>
      </c>
      <c r="Z7680">
        <v>-2.4623620000000001E-4</v>
      </c>
      <c r="AA7680">
        <v>0.99914550000000002</v>
      </c>
      <c r="AB7680">
        <v>31</v>
      </c>
      <c r="AC7680">
        <v>-2.2732999999999999</v>
      </c>
      <c r="AD7680">
        <v>-1.1093472783128999</v>
      </c>
      <c r="AE7680">
        <v>75.487499999999997</v>
      </c>
      <c r="AF7680">
        <v>-3.1356699335790599</v>
      </c>
      <c r="AG7680">
        <v>-1.1093472783128999</v>
      </c>
      <c r="AH7680">
        <v>75.440291733423607</v>
      </c>
      <c r="AI7680">
        <v>90.841745338070396</v>
      </c>
      <c r="AJ7680">
        <v>92.380124638750502</v>
      </c>
      <c r="AK7680">
        <v>75.513579534679096</v>
      </c>
      <c r="AL7680">
        <v>77.184769322897495</v>
      </c>
      <c r="AM7680">
        <v>91.335783935662903</v>
      </c>
      <c r="AN7680">
        <v>0.99999995799465402</v>
      </c>
    </row>
    <row r="7681" spans="1:40" x14ac:dyDescent="0.25">
      <c r="A7681" t="str">
        <f>"20190304155252934"</f>
        <v>20190304155252934</v>
      </c>
      <c r="B7681" t="str">
        <f>"1551685972924527"</f>
        <v>1551685972924527</v>
      </c>
      <c r="C7681" t="s">
        <v>40</v>
      </c>
      <c r="D7681">
        <v>4.0187339999999896</v>
      </c>
      <c r="E7681">
        <v>0.49011500000000002</v>
      </c>
      <c r="F7681" t="s">
        <v>41</v>
      </c>
      <c r="G7681">
        <v>-189.49850000000001</v>
      </c>
      <c r="H7681" s="1">
        <v>-3.2125550000000002E-6</v>
      </c>
      <c r="I7681">
        <v>176.91399999999999</v>
      </c>
      <c r="J7681">
        <v>-187.36070000000001</v>
      </c>
      <c r="K7681">
        <v>1.1092029999999999</v>
      </c>
      <c r="L7681">
        <v>104.9747</v>
      </c>
      <c r="M7681">
        <v>1.340881E-2</v>
      </c>
      <c r="N7681">
        <v>-1.43757E-2</v>
      </c>
      <c r="O7681">
        <v>0.9998068</v>
      </c>
      <c r="P7681">
        <v>-1.03732999999999E-2</v>
      </c>
      <c r="Q7681">
        <v>0.2067561</v>
      </c>
      <c r="R7681">
        <v>0.97833749999999997</v>
      </c>
      <c r="S7681">
        <v>-9.0744019999999995E-2</v>
      </c>
      <c r="T7681">
        <v>-4.721761E-2</v>
      </c>
      <c r="U7681">
        <v>3.0760040000000002</v>
      </c>
      <c r="V7681">
        <v>-2.2700140000000001E-2</v>
      </c>
      <c r="W7681">
        <v>0.22087860000000001</v>
      </c>
      <c r="X7681">
        <v>0.97503709999999999</v>
      </c>
      <c r="Y7681">
        <v>-4.2880330000000001E-2</v>
      </c>
      <c r="Z7681">
        <v>-9.5759689999999999E-4</v>
      </c>
      <c r="AA7681">
        <v>0.99907979999999996</v>
      </c>
      <c r="AB7681">
        <v>31</v>
      </c>
      <c r="AC7681">
        <v>-2.1377999999999902</v>
      </c>
      <c r="AD7681">
        <v>-1.109206212555</v>
      </c>
      <c r="AE7681">
        <v>71.939300000000003</v>
      </c>
      <c r="AF7681">
        <v>-3.1015911127292499</v>
      </c>
      <c r="AG7681">
        <v>-1.109206212555</v>
      </c>
      <c r="AH7681">
        <v>71.887087891256996</v>
      </c>
      <c r="AI7681">
        <v>90.883173011210303</v>
      </c>
      <c r="AJ7681">
        <v>92.470512296360994</v>
      </c>
      <c r="AK7681">
        <v>71.962515321088105</v>
      </c>
      <c r="AL7681">
        <v>77.239357361961595</v>
      </c>
      <c r="AM7681">
        <v>91.333679821289394</v>
      </c>
      <c r="AN7681">
        <v>0.99999999933519401</v>
      </c>
    </row>
    <row r="7682" spans="1:40" x14ac:dyDescent="0.25">
      <c r="A7682" t="str">
        <f>"20190304155252955"</f>
        <v>20190304155252955</v>
      </c>
      <c r="B7682" t="str">
        <f>"1551685972945022"</f>
        <v>1551685972945022</v>
      </c>
      <c r="C7682" t="s">
        <v>40</v>
      </c>
      <c r="D7682">
        <v>4.0788209999999996</v>
      </c>
      <c r="E7682">
        <v>0.48975610000000003</v>
      </c>
      <c r="F7682" t="s">
        <v>41</v>
      </c>
      <c r="G7682">
        <v>-189.20439999999999</v>
      </c>
      <c r="H7682" s="1">
        <v>-2.7332210000000001E-7</v>
      </c>
      <c r="I7682">
        <v>169.82919999999999</v>
      </c>
      <c r="J7682">
        <v>-187.3545</v>
      </c>
      <c r="K7682">
        <v>1.1090819999999999</v>
      </c>
      <c r="L7682">
        <v>105.282</v>
      </c>
      <c r="M7682">
        <v>1.5390559999999999E-2</v>
      </c>
      <c r="N7682">
        <v>-1.437622E-2</v>
      </c>
      <c r="O7682">
        <v>0.99977819999999995</v>
      </c>
      <c r="P7682">
        <v>-8.2255149999999992E-3</v>
      </c>
      <c r="Q7682">
        <v>0.2060294</v>
      </c>
      <c r="R7682">
        <v>0.97851120000000003</v>
      </c>
      <c r="S7682">
        <v>-8.7463379999999993E-2</v>
      </c>
      <c r="T7682">
        <v>-5.2619220000000001E-2</v>
      </c>
      <c r="U7682">
        <v>3.0766140000000002</v>
      </c>
      <c r="V7682">
        <v>-2.2432819999999999E-2</v>
      </c>
      <c r="W7682">
        <v>0.22016089999999999</v>
      </c>
      <c r="X7682">
        <v>0.97520560000000001</v>
      </c>
      <c r="Y7682">
        <v>-4.3789519999999998E-2</v>
      </c>
      <c r="Z7682">
        <v>-2.7067469999999998E-3</v>
      </c>
      <c r="AA7682">
        <v>0.99903710000000001</v>
      </c>
      <c r="AB7682">
        <v>31</v>
      </c>
      <c r="AC7682">
        <v>-1.8498999999999901</v>
      </c>
      <c r="AD7682">
        <v>-1.1090822733221</v>
      </c>
      <c r="AE7682">
        <v>64.547199999999904</v>
      </c>
      <c r="AF7682">
        <v>-2.84236259466046</v>
      </c>
      <c r="AG7682">
        <v>-1.1090822733221</v>
      </c>
      <c r="AH7682">
        <v>64.4920545022092</v>
      </c>
      <c r="AI7682">
        <v>90.984274137621696</v>
      </c>
      <c r="AJ7682">
        <v>92.523567579890099</v>
      </c>
      <c r="AK7682">
        <v>64.564186531888097</v>
      </c>
      <c r="AL7682">
        <v>77.281516502867504</v>
      </c>
      <c r="AM7682">
        <v>91.3177521496754</v>
      </c>
      <c r="AN7682">
        <v>1.00000000778666</v>
      </c>
    </row>
    <row r="7683" spans="1:40" x14ac:dyDescent="0.25">
      <c r="A7683" t="str">
        <f>"20190304155252977"</f>
        <v>20190304155252977</v>
      </c>
      <c r="B7683" t="str">
        <f>"1551685972974301"</f>
        <v>1551685972974301</v>
      </c>
      <c r="C7683" t="s">
        <v>40</v>
      </c>
      <c r="D7683">
        <v>4.1210519999999997</v>
      </c>
      <c r="E7683">
        <v>0.48912369999999999</v>
      </c>
      <c r="F7683" t="s">
        <v>41</v>
      </c>
      <c r="G7683">
        <v>-189.02160000000001</v>
      </c>
      <c r="H7683" s="1">
        <v>-3.5435309999999998E-6</v>
      </c>
      <c r="I7683">
        <v>166.7604</v>
      </c>
      <c r="J7683">
        <v>-187.3477</v>
      </c>
      <c r="K7683">
        <v>1.1089690000000001</v>
      </c>
      <c r="L7683">
        <v>105.5842</v>
      </c>
      <c r="M7683">
        <v>1.7474E-2</v>
      </c>
      <c r="N7683">
        <v>-1.4376430000000001E-2</v>
      </c>
      <c r="O7683">
        <v>0.99974390000000002</v>
      </c>
      <c r="P7683">
        <v>-5.6287259999999997E-3</v>
      </c>
      <c r="Q7683">
        <v>0.20522209999999999</v>
      </c>
      <c r="R7683">
        <v>0.97869930000000005</v>
      </c>
      <c r="S7683">
        <v>-8.3435060000000005E-2</v>
      </c>
      <c r="T7683">
        <v>-5.550766E-2</v>
      </c>
      <c r="U7683">
        <v>3.0768740000000001</v>
      </c>
      <c r="V7683">
        <v>-2.1823499999999999E-2</v>
      </c>
      <c r="W7683">
        <v>0.21935950000000001</v>
      </c>
      <c r="X7683">
        <v>0.97540000000000004</v>
      </c>
      <c r="Y7683">
        <v>-4.4561549999999998E-2</v>
      </c>
      <c r="Z7683">
        <v>-3.6415839999999998E-3</v>
      </c>
      <c r="AA7683">
        <v>0.999</v>
      </c>
      <c r="AB7683">
        <v>31</v>
      </c>
      <c r="AC7683">
        <v>-1.6738999999999999</v>
      </c>
      <c r="AD7683">
        <v>-1.1089725435310001</v>
      </c>
      <c r="AE7683">
        <v>61.176200000000001</v>
      </c>
      <c r="AF7683">
        <v>-2.7418475234160402</v>
      </c>
      <c r="AG7683">
        <v>-1.1089725435310001</v>
      </c>
      <c r="AH7683">
        <v>61.117536195010501</v>
      </c>
      <c r="AI7683">
        <v>91.038468767591397</v>
      </c>
      <c r="AJ7683">
        <v>92.568674033148696</v>
      </c>
      <c r="AK7683">
        <v>61.189057669589701</v>
      </c>
      <c r="AL7683">
        <v>77.328583955160695</v>
      </c>
      <c r="AM7683">
        <v>91.281716076808905</v>
      </c>
      <c r="AN7683">
        <v>1.0000000076962401</v>
      </c>
    </row>
    <row r="7684" spans="1:40" x14ac:dyDescent="0.25">
      <c r="A7684" t="str">
        <f>"20190304155252998"</f>
        <v>20190304155252998</v>
      </c>
      <c r="B7684" t="str">
        <f>"1551685972994798"</f>
        <v>1551685972994798</v>
      </c>
      <c r="C7684" t="s">
        <v>40</v>
      </c>
      <c r="D7684">
        <v>4.147335</v>
      </c>
      <c r="E7684">
        <v>0.48863450000000003</v>
      </c>
      <c r="F7684" t="s">
        <v>41</v>
      </c>
      <c r="G7684">
        <v>-188.8339</v>
      </c>
      <c r="H7684" s="1">
        <v>-1.5191739999999999E-6</v>
      </c>
      <c r="I7684">
        <v>162.4075</v>
      </c>
      <c r="J7684">
        <v>-187.34030000000001</v>
      </c>
      <c r="K7684">
        <v>1.1088659999999999</v>
      </c>
      <c r="L7684">
        <v>105.87869999999999</v>
      </c>
      <c r="M7684">
        <v>1.9635840000000002E-2</v>
      </c>
      <c r="N7684">
        <v>-1.4376669999999999E-2</v>
      </c>
      <c r="O7684">
        <v>0.99970380000000003</v>
      </c>
      <c r="P7684">
        <v>-2.416573E-3</v>
      </c>
      <c r="Q7684">
        <v>0.2041415</v>
      </c>
      <c r="R7684">
        <v>0.97893839999999999</v>
      </c>
      <c r="S7684">
        <v>-8.0490110000000004E-2</v>
      </c>
      <c r="T7684">
        <v>-6.0059429999999997E-2</v>
      </c>
      <c r="U7684">
        <v>3.077423</v>
      </c>
      <c r="V7684">
        <v>-2.068211E-2</v>
      </c>
      <c r="W7684">
        <v>0.2182837</v>
      </c>
      <c r="X7684">
        <v>0.97566620000000004</v>
      </c>
      <c r="Y7684">
        <v>-4.5760719999999998E-2</v>
      </c>
      <c r="Z7684">
        <v>-5.1135870000000002E-3</v>
      </c>
      <c r="AA7684">
        <v>0.99893929999999997</v>
      </c>
      <c r="AB7684">
        <v>31</v>
      </c>
      <c r="AC7684">
        <v>-1.4935999999999801</v>
      </c>
      <c r="AD7684">
        <v>-1.1088675191739901</v>
      </c>
      <c r="AE7684">
        <v>56.528799999999997</v>
      </c>
      <c r="AF7684">
        <v>-2.6024165288216601</v>
      </c>
      <c r="AG7684">
        <v>-1.1088675191739901</v>
      </c>
      <c r="AH7684">
        <v>56.466855250924098</v>
      </c>
      <c r="AI7684">
        <v>91.123808339636398</v>
      </c>
      <c r="AJ7684">
        <v>92.638752349897203</v>
      </c>
      <c r="AK7684">
        <v>56.537667982446699</v>
      </c>
      <c r="AL7684">
        <v>77.391753951383393</v>
      </c>
      <c r="AM7684">
        <v>91.214370415191297</v>
      </c>
      <c r="AN7684">
        <v>1.0000000285910899</v>
      </c>
    </row>
    <row r="7685" spans="1:40" x14ac:dyDescent="0.25">
      <c r="A7685" t="str">
        <f>"20190304155253021"</f>
        <v>20190304155253021</v>
      </c>
      <c r="B7685" t="str">
        <f>"1551685973014319"</f>
        <v>1551685973014319</v>
      </c>
      <c r="C7685" t="s">
        <v>40</v>
      </c>
      <c r="D7685">
        <v>4.1228899999999999</v>
      </c>
      <c r="E7685">
        <v>0.48810239999999999</v>
      </c>
      <c r="F7685" t="s">
        <v>84</v>
      </c>
      <c r="G7685">
        <v>-188.61080000000001</v>
      </c>
      <c r="H7685" s="1">
        <v>-1.454022E-5</v>
      </c>
      <c r="I7685">
        <v>158.59700000000001</v>
      </c>
      <c r="J7685">
        <v>-187.33150000000001</v>
      </c>
      <c r="K7685">
        <v>1.1087499999999999</v>
      </c>
      <c r="L7685">
        <v>106.1969</v>
      </c>
      <c r="M7685">
        <v>2.2111829999999999E-2</v>
      </c>
      <c r="N7685">
        <v>-1.4377340000000001E-2</v>
      </c>
      <c r="O7685">
        <v>0.99965210000000004</v>
      </c>
      <c r="P7685">
        <v>6.9197799999999999E-4</v>
      </c>
      <c r="Q7685">
        <v>0.20343829999999999</v>
      </c>
      <c r="R7685">
        <v>0.9790875</v>
      </c>
      <c r="S7685">
        <v>-7.4172970000000005E-2</v>
      </c>
      <c r="T7685">
        <v>-6.4739699999999997E-2</v>
      </c>
      <c r="U7685">
        <v>3.0778500000000002</v>
      </c>
      <c r="V7685">
        <v>-1.9944630000000001E-2</v>
      </c>
      <c r="W7685">
        <v>0.2175861</v>
      </c>
      <c r="X7685">
        <v>0.97583730000000002</v>
      </c>
      <c r="Y7685">
        <v>-4.6181489999999999E-2</v>
      </c>
      <c r="Z7685">
        <v>-6.6272700000000002E-3</v>
      </c>
      <c r="AA7685">
        <v>0.99891110000000005</v>
      </c>
      <c r="AB7685">
        <v>31</v>
      </c>
      <c r="AC7685">
        <v>-1.2793000000000001</v>
      </c>
      <c r="AD7685">
        <v>-1.1087645402199999</v>
      </c>
      <c r="AE7685">
        <v>52.400100000000002</v>
      </c>
      <c r="AF7685">
        <v>-2.4366787273280601</v>
      </c>
      <c r="AG7685">
        <v>-1.1087645402199999</v>
      </c>
      <c r="AH7685">
        <v>52.335576971659897</v>
      </c>
      <c r="AI7685">
        <v>91.212355306905096</v>
      </c>
      <c r="AJ7685">
        <v>92.665694482766199</v>
      </c>
      <c r="AK7685">
        <v>52.404001555056901</v>
      </c>
      <c r="AL7685">
        <v>77.432707105293005</v>
      </c>
      <c r="AM7685">
        <v>91.170875557757796</v>
      </c>
      <c r="AN7685">
        <v>0.99999996762516796</v>
      </c>
    </row>
    <row r="7686" spans="1:40" x14ac:dyDescent="0.25">
      <c r="A7686" t="str">
        <f>"20190304155253043"</f>
        <v>20190304155253043</v>
      </c>
      <c r="B7686" t="str">
        <f>"1551685973034817"</f>
        <v>1551685973034817</v>
      </c>
      <c r="C7686" t="s">
        <v>40</v>
      </c>
      <c r="D7686">
        <v>4.1727600000000002</v>
      </c>
      <c r="E7686">
        <v>0.48747970000000002</v>
      </c>
      <c r="F7686" t="s">
        <v>84</v>
      </c>
      <c r="G7686">
        <v>-188.4384</v>
      </c>
      <c r="H7686" s="1">
        <v>-1.332061E-5</v>
      </c>
      <c r="I7686">
        <v>155.75409999999999</v>
      </c>
      <c r="J7686">
        <v>-187.32220000000001</v>
      </c>
      <c r="K7686">
        <v>1.108643</v>
      </c>
      <c r="L7686">
        <v>106.504</v>
      </c>
      <c r="M7686">
        <v>2.4633240000000001E-2</v>
      </c>
      <c r="N7686">
        <v>-1.437838E-2</v>
      </c>
      <c r="O7686">
        <v>0.99959310000000001</v>
      </c>
      <c r="P7686">
        <v>4.611909E-3</v>
      </c>
      <c r="Q7686">
        <v>0.20302000000000001</v>
      </c>
      <c r="R7686">
        <v>0.97916369999999997</v>
      </c>
      <c r="S7686">
        <v>-6.8756100000000001E-2</v>
      </c>
      <c r="T7686">
        <v>-6.8875069999999997E-2</v>
      </c>
      <c r="U7686">
        <v>3.07843</v>
      </c>
      <c r="V7686">
        <v>-1.8440140000000001E-2</v>
      </c>
      <c r="W7686">
        <v>0.2171691</v>
      </c>
      <c r="X7686">
        <v>0.97595980000000004</v>
      </c>
      <c r="Y7686">
        <v>-4.693899E-2</v>
      </c>
      <c r="Z7686">
        <v>-7.9614999999999998E-3</v>
      </c>
      <c r="AA7686">
        <v>0.99886600000000003</v>
      </c>
      <c r="AB7686">
        <v>31</v>
      </c>
      <c r="AC7686">
        <v>-1.1161999999999901</v>
      </c>
      <c r="AD7686">
        <v>-1.10865632061</v>
      </c>
      <c r="AE7686">
        <v>49.250100000000003</v>
      </c>
      <c r="AF7686">
        <v>-2.3279971763923699</v>
      </c>
      <c r="AG7686">
        <v>-1.10865632061</v>
      </c>
      <c r="AH7686">
        <v>49.182744028874602</v>
      </c>
      <c r="AI7686">
        <v>91.289874534111206</v>
      </c>
      <c r="AJ7686">
        <v>92.709993811925003</v>
      </c>
      <c r="AK7686">
        <v>49.250289338239597</v>
      </c>
      <c r="AL7686">
        <v>77.457185102327699</v>
      </c>
      <c r="AM7686">
        <v>91.082438533932006</v>
      </c>
      <c r="AN7686">
        <v>0.99999999398703399</v>
      </c>
    </row>
    <row r="7687" spans="1:40" x14ac:dyDescent="0.25">
      <c r="A7687" t="str">
        <f>"20190304155253065"</f>
        <v>20190304155253065</v>
      </c>
      <c r="B7687" t="str">
        <f>"1551685973054334"</f>
        <v>1551685973054334</v>
      </c>
      <c r="C7687" t="s">
        <v>40</v>
      </c>
      <c r="D7687">
        <v>4.2135949999999998</v>
      </c>
      <c r="E7687">
        <v>0.48693839999999999</v>
      </c>
      <c r="F7687" t="s">
        <v>84</v>
      </c>
      <c r="G7687">
        <v>-188.27369999999999</v>
      </c>
      <c r="H7687" s="1">
        <v>-1.2546740000000001E-5</v>
      </c>
      <c r="I7687">
        <v>153.98009999999999</v>
      </c>
      <c r="J7687">
        <v>-187.31200000000001</v>
      </c>
      <c r="K7687">
        <v>1.108528</v>
      </c>
      <c r="L7687">
        <v>106.80840000000001</v>
      </c>
      <c r="M7687">
        <v>2.725549E-2</v>
      </c>
      <c r="N7687">
        <v>-1.4379619999999999E-2</v>
      </c>
      <c r="O7687">
        <v>0.99952510000000006</v>
      </c>
      <c r="P7687">
        <v>9.1732849999999998E-3</v>
      </c>
      <c r="Q7687">
        <v>0.20244470000000001</v>
      </c>
      <c r="R7687">
        <v>0.97925070000000003</v>
      </c>
      <c r="S7687">
        <v>-6.1706539999999997E-2</v>
      </c>
      <c r="T7687">
        <v>-7.1901320000000005E-2</v>
      </c>
      <c r="U7687">
        <v>3.0790410000000001</v>
      </c>
      <c r="V7687">
        <v>-1.6396000000000001E-2</v>
      </c>
      <c r="W7687">
        <v>0.21659139999999999</v>
      </c>
      <c r="X7687">
        <v>0.97612460000000001</v>
      </c>
      <c r="Y7687">
        <v>-4.7268579999999998E-2</v>
      </c>
      <c r="Z7687">
        <v>-8.9350560000000002E-3</v>
      </c>
      <c r="AA7687">
        <v>0.99884220000000001</v>
      </c>
      <c r="AB7687">
        <v>31</v>
      </c>
      <c r="AC7687">
        <v>-0.96169999999997902</v>
      </c>
      <c r="AD7687">
        <v>-1.10854054674</v>
      </c>
      <c r="AE7687">
        <v>47.171699999999902</v>
      </c>
      <c r="AF7687">
        <v>-2.2459235484573599</v>
      </c>
      <c r="AG7687">
        <v>-1.10854054674</v>
      </c>
      <c r="AH7687">
        <v>47.101956270436702</v>
      </c>
      <c r="AI7687">
        <v>91.346672972305797</v>
      </c>
      <c r="AJ7687">
        <v>92.7299195221795</v>
      </c>
      <c r="AK7687">
        <v>47.168499225981499</v>
      </c>
      <c r="AL7687">
        <v>77.4910913463562</v>
      </c>
      <c r="AM7687">
        <v>90.962308773130999</v>
      </c>
      <c r="AN7687">
        <v>0.99999994904755796</v>
      </c>
    </row>
    <row r="7688" spans="1:40" x14ac:dyDescent="0.25">
      <c r="A7688" t="str">
        <f>"20190304155253088"</f>
        <v>20190304155253088</v>
      </c>
      <c r="B7688" t="str">
        <f>"1551685973084590"</f>
        <v>1551685973084590</v>
      </c>
      <c r="C7688" t="s">
        <v>40</v>
      </c>
      <c r="D7688">
        <v>4.2041430000000002</v>
      </c>
      <c r="E7688">
        <v>0.47362359999999998</v>
      </c>
      <c r="F7688" t="s">
        <v>84</v>
      </c>
      <c r="G7688">
        <v>-188.0839</v>
      </c>
      <c r="H7688" s="1">
        <v>-1.1799350000000001E-5</v>
      </c>
      <c r="I7688">
        <v>152.2413</v>
      </c>
      <c r="J7688">
        <v>-187.3004</v>
      </c>
      <c r="K7688">
        <v>1.1084179999999999</v>
      </c>
      <c r="L7688">
        <v>107.1263</v>
      </c>
      <c r="M7688">
        <v>3.0119690000000001E-2</v>
      </c>
      <c r="N7688">
        <v>-1.438098E-2</v>
      </c>
      <c r="O7688">
        <v>0.99944279999999996</v>
      </c>
      <c r="P7688">
        <v>1.360803E-2</v>
      </c>
      <c r="Q7688">
        <v>0.20070760000000001</v>
      </c>
      <c r="R7688">
        <v>0.97955669999999995</v>
      </c>
      <c r="S7688">
        <v>-5.2322390000000003E-2</v>
      </c>
      <c r="T7688">
        <v>-7.5140479999999996E-2</v>
      </c>
      <c r="U7688">
        <v>3.07959</v>
      </c>
      <c r="V7688">
        <v>-1.473125E-2</v>
      </c>
      <c r="W7688">
        <v>0.21485699999999999</v>
      </c>
      <c r="X7688">
        <v>0.97653440000000002</v>
      </c>
      <c r="Y7688">
        <v>-4.7084380000000002E-2</v>
      </c>
      <c r="Z7688">
        <v>-9.9774589999999993E-3</v>
      </c>
      <c r="AA7688">
        <v>0.99884110000000004</v>
      </c>
      <c r="AB7688">
        <v>31</v>
      </c>
      <c r="AC7688">
        <v>-0.78350000000000297</v>
      </c>
      <c r="AD7688">
        <v>-1.1084297993500001</v>
      </c>
      <c r="AE7688">
        <v>45.115000000000002</v>
      </c>
      <c r="AF7688">
        <v>-2.1408429585803699</v>
      </c>
      <c r="AG7688">
        <v>-1.1084297993500001</v>
      </c>
      <c r="AH7688">
        <v>45.043744048265303</v>
      </c>
      <c r="AI7688">
        <v>91.408052789037896</v>
      </c>
      <c r="AJ7688">
        <v>92.721111068247495</v>
      </c>
      <c r="AK7688">
        <v>45.108211038335597</v>
      </c>
      <c r="AL7688">
        <v>77.592861892307894</v>
      </c>
      <c r="AM7688">
        <v>90.864254691238997</v>
      </c>
      <c r="AN7688">
        <v>0.99999998727946104</v>
      </c>
    </row>
    <row r="7689" spans="1:40" x14ac:dyDescent="0.25">
      <c r="A7689" t="str">
        <f>"20190304155253109"</f>
        <v>20190304155253109</v>
      </c>
      <c r="B7689" t="str">
        <f>"1551685973104111"</f>
        <v>1551685973104111</v>
      </c>
      <c r="C7689" t="s">
        <v>40</v>
      </c>
      <c r="D7689">
        <v>4.1935669999999998</v>
      </c>
      <c r="E7689">
        <v>0.47403109999999998</v>
      </c>
      <c r="F7689" t="s">
        <v>84</v>
      </c>
      <c r="G7689">
        <v>-188.75</v>
      </c>
      <c r="H7689" s="1">
        <v>-7.7086389999999994E-6</v>
      </c>
      <c r="I7689">
        <v>138.3289</v>
      </c>
      <c r="J7689">
        <v>-187.2885</v>
      </c>
      <c r="K7689">
        <v>1.1083270000000001</v>
      </c>
      <c r="L7689">
        <v>107.4218</v>
      </c>
      <c r="M7689">
        <v>3.2895140000000003E-2</v>
      </c>
      <c r="N7689">
        <v>-1.438218E-2</v>
      </c>
      <c r="O7689">
        <v>0.99935529999999995</v>
      </c>
      <c r="P7689">
        <v>1.8386860000000001E-2</v>
      </c>
      <c r="Q7689">
        <v>0.19881879999999999</v>
      </c>
      <c r="R7689">
        <v>0.97986379999999995</v>
      </c>
      <c r="S7689">
        <v>-0.1434174</v>
      </c>
      <c r="T7689">
        <v>-0.1096635</v>
      </c>
      <c r="U7689">
        <v>3.0870669999999998</v>
      </c>
      <c r="V7689">
        <v>-1.2649550000000001E-2</v>
      </c>
      <c r="W7689">
        <v>0.2129673</v>
      </c>
      <c r="X7689">
        <v>0.97697750000000005</v>
      </c>
      <c r="Y7689">
        <v>-7.9206750000000006E-2</v>
      </c>
      <c r="Z7689">
        <v>-2.1009710000000001E-2</v>
      </c>
      <c r="AA7689">
        <v>0.99663679999999999</v>
      </c>
      <c r="AB7689">
        <v>31</v>
      </c>
      <c r="AC7689">
        <v>-1.4615</v>
      </c>
      <c r="AD7689">
        <v>-1.1083347086390001</v>
      </c>
      <c r="AE7689">
        <v>30.9071</v>
      </c>
      <c r="AF7689">
        <v>-2.4743326781150499</v>
      </c>
      <c r="AG7689">
        <v>-1.1083347086390001</v>
      </c>
      <c r="AH7689">
        <v>30.802766096166302</v>
      </c>
      <c r="AI7689">
        <v>92.0540975281789</v>
      </c>
      <c r="AJ7689">
        <v>94.592609216563105</v>
      </c>
      <c r="AK7689">
        <v>30.921855170792899</v>
      </c>
      <c r="AL7689">
        <v>77.703700204743598</v>
      </c>
      <c r="AM7689">
        <v>90.741803502725105</v>
      </c>
      <c r="AN7689">
        <v>1.0000000587453599</v>
      </c>
    </row>
    <row r="7690" spans="1:40" x14ac:dyDescent="0.25">
      <c r="A7690" t="str">
        <f>"20190304155253133"</f>
        <v>20190304155253133</v>
      </c>
      <c r="B7690" t="str">
        <f>"1551685973124605"</f>
        <v>1551685973124605</v>
      </c>
      <c r="C7690" t="s">
        <v>40</v>
      </c>
      <c r="D7690">
        <v>4.18384</v>
      </c>
      <c r="E7690">
        <v>0.47326869999999999</v>
      </c>
      <c r="F7690" t="s">
        <v>84</v>
      </c>
      <c r="G7690">
        <v>-188.49080000000001</v>
      </c>
      <c r="H7690" s="1">
        <v>-7.3313730000000001E-6</v>
      </c>
      <c r="I7690">
        <v>137.10239999999999</v>
      </c>
      <c r="J7690">
        <v>-187.27449999999999</v>
      </c>
      <c r="K7690">
        <v>1.1082419999999999</v>
      </c>
      <c r="L7690">
        <v>107.7467</v>
      </c>
      <c r="M7690">
        <v>3.6038859999999999E-2</v>
      </c>
      <c r="N7690">
        <v>-1.4383150000000001E-2</v>
      </c>
      <c r="O7690">
        <v>0.99924690000000005</v>
      </c>
      <c r="P7690">
        <v>2.3788320000000002E-2</v>
      </c>
      <c r="Q7690">
        <v>0.19706280000000001</v>
      </c>
      <c r="R7690">
        <v>0.98010220000000003</v>
      </c>
      <c r="S7690">
        <v>-0.12506099999999901</v>
      </c>
      <c r="T7690">
        <v>-0.1152899</v>
      </c>
      <c r="U7690">
        <v>3.087402</v>
      </c>
      <c r="V7690">
        <v>-1.03112E-2</v>
      </c>
      <c r="W7690">
        <v>0.2112068</v>
      </c>
      <c r="X7690">
        <v>0.97738700000000001</v>
      </c>
      <c r="Y7690">
        <v>-7.6421450000000002E-2</v>
      </c>
      <c r="Z7690">
        <v>-2.2822390000000001E-2</v>
      </c>
      <c r="AA7690">
        <v>0.99681439999999999</v>
      </c>
      <c r="AB7690">
        <v>31</v>
      </c>
      <c r="AC7690">
        <v>-1.2163000000000099</v>
      </c>
      <c r="AD7690">
        <v>-1.108249331373</v>
      </c>
      <c r="AE7690">
        <v>29.355699999999899</v>
      </c>
      <c r="AF7690">
        <v>-2.2703348616323198</v>
      </c>
      <c r="AG7690">
        <v>-1.108249331373</v>
      </c>
      <c r="AH7690">
        <v>29.251168989334602</v>
      </c>
      <c r="AI7690">
        <v>92.163247729802904</v>
      </c>
      <c r="AJ7690">
        <v>94.4381248100416</v>
      </c>
      <c r="AK7690">
        <v>29.360066829062902</v>
      </c>
      <c r="AL7690">
        <v>77.806916703158194</v>
      </c>
      <c r="AM7690">
        <v>90.604434400531801</v>
      </c>
      <c r="AN7690">
        <v>0.99999999049033905</v>
      </c>
    </row>
    <row r="7691" spans="1:40" x14ac:dyDescent="0.25">
      <c r="A7691" t="str">
        <f>"20190304155253155"</f>
        <v>20190304155253155</v>
      </c>
      <c r="B7691" t="str">
        <f>"1551685973144126"</f>
        <v>1551685973144126</v>
      </c>
      <c r="C7691" t="s">
        <v>40</v>
      </c>
      <c r="D7691">
        <v>4.2757909999999999</v>
      </c>
      <c r="E7691">
        <v>0.47263470000000002</v>
      </c>
      <c r="F7691" t="s">
        <v>84</v>
      </c>
      <c r="G7691">
        <v>-188.30269999999999</v>
      </c>
      <c r="H7691" s="1">
        <v>-6.8704909999999899E-6</v>
      </c>
      <c r="I7691">
        <v>135.6275</v>
      </c>
      <c r="J7691">
        <v>-187.2602</v>
      </c>
      <c r="K7691">
        <v>1.1081719999999999</v>
      </c>
      <c r="L7691">
        <v>108.0536</v>
      </c>
      <c r="M7691">
        <v>3.9084590000000002E-2</v>
      </c>
      <c r="N7691">
        <v>-1.438358E-2</v>
      </c>
      <c r="O7691">
        <v>0.99913240000000003</v>
      </c>
      <c r="P7691">
        <v>2.9074869999999999E-2</v>
      </c>
      <c r="Q7691">
        <v>0.1949717</v>
      </c>
      <c r="R7691">
        <v>0.98037790000000002</v>
      </c>
      <c r="S7691">
        <v>-0.1138916</v>
      </c>
      <c r="T7691">
        <v>-0.1227603</v>
      </c>
      <c r="U7691">
        <v>3.0883479999999999</v>
      </c>
      <c r="V7691">
        <v>-8.0088269999999996E-3</v>
      </c>
      <c r="W7691">
        <v>0.2091103</v>
      </c>
      <c r="X7691">
        <v>0.97785929999999999</v>
      </c>
      <c r="Y7691">
        <v>-7.5845419999999997E-2</v>
      </c>
      <c r="Z7691">
        <v>-2.521526E-2</v>
      </c>
      <c r="AA7691">
        <v>0.99680069999999998</v>
      </c>
      <c r="AB7691">
        <v>31</v>
      </c>
      <c r="AC7691">
        <v>-1.04249999999998</v>
      </c>
      <c r="AD7691">
        <v>-1.1081788704909901</v>
      </c>
      <c r="AE7691">
        <v>27.573899999999899</v>
      </c>
      <c r="AF7691">
        <v>-2.1161162694726698</v>
      </c>
      <c r="AG7691">
        <v>-1.1081788704909901</v>
      </c>
      <c r="AH7691">
        <v>27.467774354290199</v>
      </c>
      <c r="AI7691">
        <v>92.303509220642198</v>
      </c>
      <c r="AJ7691">
        <v>94.405362875102895</v>
      </c>
      <c r="AK7691">
        <v>27.571446034858798</v>
      </c>
      <c r="AL7691">
        <v>77.929781768794001</v>
      </c>
      <c r="AM7691">
        <v>90.469251277943499</v>
      </c>
      <c r="AN7691">
        <v>1.0000000347362401</v>
      </c>
    </row>
    <row r="7692" spans="1:40" x14ac:dyDescent="0.25">
      <c r="A7692" t="str">
        <f>"20190304155253177"</f>
        <v>20190304155253177</v>
      </c>
      <c r="B7692" t="str">
        <f>"1551685973174382"</f>
        <v>1551685973174382</v>
      </c>
      <c r="C7692" t="s">
        <v>40</v>
      </c>
      <c r="D7692">
        <v>4.1715140000000002</v>
      </c>
      <c r="E7692">
        <v>0.51612849999999999</v>
      </c>
      <c r="F7692" t="s">
        <v>84</v>
      </c>
      <c r="G7692">
        <v>-188.131</v>
      </c>
      <c r="H7692" s="1">
        <v>-6.4697829999999996E-6</v>
      </c>
      <c r="I7692">
        <v>134.34360000000001</v>
      </c>
      <c r="J7692">
        <v>-187.24529999999999</v>
      </c>
      <c r="K7692">
        <v>1.108109</v>
      </c>
      <c r="L7692">
        <v>108.3537</v>
      </c>
      <c r="M7692">
        <v>4.212577E-2</v>
      </c>
      <c r="N7692">
        <v>-1.4383780000000001E-2</v>
      </c>
      <c r="O7692">
        <v>0.99900880000000003</v>
      </c>
      <c r="P7692">
        <v>3.4434329999999999E-2</v>
      </c>
      <c r="Q7692">
        <v>0.1928445</v>
      </c>
      <c r="R7692">
        <v>0.98062499999999997</v>
      </c>
      <c r="S7692">
        <v>-0.1023102</v>
      </c>
      <c r="T7692">
        <v>-0.13020660000000001</v>
      </c>
      <c r="U7692">
        <v>3.0889739999999999</v>
      </c>
      <c r="V7692">
        <v>-5.6361919999999999E-3</v>
      </c>
      <c r="W7692">
        <v>0.20697650000000001</v>
      </c>
      <c r="X7692">
        <v>0.97832969999999997</v>
      </c>
      <c r="Y7692">
        <v>-7.5137369999999995E-2</v>
      </c>
      <c r="Z7692">
        <v>-2.7602140000000001E-2</v>
      </c>
      <c r="AA7692">
        <v>0.99679110000000004</v>
      </c>
      <c r="AB7692">
        <v>31</v>
      </c>
      <c r="AC7692">
        <v>-0.88569999999998505</v>
      </c>
      <c r="AD7692">
        <v>-1.108115469783</v>
      </c>
      <c r="AE7692">
        <v>25.989899999999999</v>
      </c>
      <c r="AF7692">
        <v>-1.97628296833009</v>
      </c>
      <c r="AG7692">
        <v>-1.108115469783</v>
      </c>
      <c r="AH7692">
        <v>25.882513498125999</v>
      </c>
      <c r="AI7692">
        <v>92.444416775425196</v>
      </c>
      <c r="AJ7692">
        <v>94.366399054486195</v>
      </c>
      <c r="AK7692">
        <v>25.981495708406801</v>
      </c>
      <c r="AL7692">
        <v>78.054774237922601</v>
      </c>
      <c r="AM7692">
        <v>90.330079360327005</v>
      </c>
      <c r="AN7692">
        <v>1.0000000200573</v>
      </c>
    </row>
    <row r="7693" spans="1:40" x14ac:dyDescent="0.25">
      <c r="A7693" t="str">
        <f>"20190304155253199"</f>
        <v>20190304155253199</v>
      </c>
      <c r="B7693" t="str">
        <f>"1551685973194877"</f>
        <v>1551685973194877</v>
      </c>
      <c r="C7693" t="s">
        <v>40</v>
      </c>
      <c r="D7693">
        <v>4.4782359999999999</v>
      </c>
      <c r="E7693">
        <v>0.59314840000000002</v>
      </c>
      <c r="F7693" t="s">
        <v>45</v>
      </c>
      <c r="G7693">
        <v>-168.40029999999999</v>
      </c>
      <c r="H7693">
        <v>0.71213970000000004</v>
      </c>
      <c r="I7693">
        <v>332.96319999999997</v>
      </c>
      <c r="J7693">
        <v>-187.2296</v>
      </c>
      <c r="K7693">
        <v>1.108055</v>
      </c>
      <c r="L7693">
        <v>108.6503</v>
      </c>
      <c r="M7693">
        <v>4.5186810000000001E-2</v>
      </c>
      <c r="N7693">
        <v>-1.4383999999999999E-2</v>
      </c>
      <c r="O7693">
        <v>0.99887499999999996</v>
      </c>
      <c r="P7693">
        <v>4.0007670000000002E-2</v>
      </c>
      <c r="Q7693">
        <v>0.19040399999999999</v>
      </c>
      <c r="R7693">
        <v>0.98089029999999999</v>
      </c>
      <c r="S7693">
        <v>0.25601200000000002</v>
      </c>
      <c r="T7693">
        <v>-5.3791999999999998E-3</v>
      </c>
      <c r="U7693">
        <v>3.0513460000000001</v>
      </c>
      <c r="V7693">
        <v>-3.0785539999999998E-3</v>
      </c>
      <c r="W7693">
        <v>0.20452809999999999</v>
      </c>
      <c r="X7693">
        <v>0.97885580000000005</v>
      </c>
      <c r="Y7693">
        <v>3.8477789999999998E-2</v>
      </c>
      <c r="Z7693">
        <v>1.2600490000000001E-2</v>
      </c>
      <c r="AA7693">
        <v>0.99917999999999996</v>
      </c>
      <c r="AB7693">
        <v>31</v>
      </c>
      <c r="AC7693">
        <v>18.8293</v>
      </c>
      <c r="AD7693">
        <v>-0.39591530000000003</v>
      </c>
      <c r="AE7693">
        <v>224.31290000000001</v>
      </c>
      <c r="AF7693">
        <v>8.6730030280686794</v>
      </c>
      <c r="AG7693">
        <v>-0.39591530000000003</v>
      </c>
      <c r="AH7693">
        <v>224.93395734521701</v>
      </c>
      <c r="AI7693">
        <v>90.100773617436303</v>
      </c>
      <c r="AJ7693">
        <v>87.791883310358301</v>
      </c>
      <c r="AK7693">
        <v>225.10145023395501</v>
      </c>
      <c r="AL7693">
        <v>78.198123519134896</v>
      </c>
      <c r="AM7693">
        <v>90.180197705967998</v>
      </c>
      <c r="AN7693">
        <v>0.99999994918898905</v>
      </c>
    </row>
    <row r="7694" spans="1:40" x14ac:dyDescent="0.25">
      <c r="A7694" t="str">
        <f>"20190304155253222"</f>
        <v>20190304155253222</v>
      </c>
      <c r="B7694" t="str">
        <f>"1551685973214397"</f>
        <v>1551685973214397</v>
      </c>
      <c r="C7694" t="s">
        <v>40</v>
      </c>
      <c r="D7694">
        <v>4.5819210000000004</v>
      </c>
      <c r="E7694">
        <v>0.60123990000000005</v>
      </c>
      <c r="F7694" t="s">
        <v>58</v>
      </c>
      <c r="G7694">
        <v>-168.447</v>
      </c>
      <c r="H7694">
        <v>0.60089869999999901</v>
      </c>
      <c r="I7694">
        <v>172.69130000000001</v>
      </c>
      <c r="J7694">
        <v>-187.21199999999999</v>
      </c>
      <c r="K7694">
        <v>1.1080019999999999</v>
      </c>
      <c r="L7694">
        <v>108.9635</v>
      </c>
      <c r="M7694">
        <v>4.8473019999999999E-2</v>
      </c>
      <c r="N7694">
        <v>-1.4384060000000001E-2</v>
      </c>
      <c r="O7694">
        <v>0.99872090000000002</v>
      </c>
      <c r="P7694">
        <v>4.4539090000000003E-2</v>
      </c>
      <c r="Q7694">
        <v>0.18933510000000001</v>
      </c>
      <c r="R7694">
        <v>0.98090189999999999</v>
      </c>
      <c r="S7694">
        <v>0.88775630000000005</v>
      </c>
      <c r="T7694">
        <v>-2.3969049999999999E-2</v>
      </c>
      <c r="U7694">
        <v>3.0268860000000002</v>
      </c>
      <c r="V7694">
        <v>-1.765974E-3</v>
      </c>
      <c r="W7694">
        <v>0.20345440000000001</v>
      </c>
      <c r="X7694">
        <v>0.97908280000000003</v>
      </c>
      <c r="Y7694">
        <v>0.23454349999999999</v>
      </c>
      <c r="Z7694">
        <v>6.6512209999999997E-3</v>
      </c>
      <c r="AA7694">
        <v>0.97208289999999997</v>
      </c>
      <c r="AB7694">
        <v>31</v>
      </c>
      <c r="AC7694">
        <v>18.765000000000001</v>
      </c>
      <c r="AD7694">
        <v>-0.50710330000000003</v>
      </c>
      <c r="AE7694">
        <v>63.727800000000002</v>
      </c>
      <c r="AF7694">
        <v>15.652626409672401</v>
      </c>
      <c r="AG7694">
        <v>-0.50710330000000003</v>
      </c>
      <c r="AH7694">
        <v>64.558800652992602</v>
      </c>
      <c r="AI7694">
        <v>90.437372398947005</v>
      </c>
      <c r="AJ7694">
        <v>76.371321918067494</v>
      </c>
      <c r="AK7694">
        <v>66.4311719679134</v>
      </c>
      <c r="AL7694">
        <v>78.260963608252396</v>
      </c>
      <c r="AM7694">
        <v>90.103344423170896</v>
      </c>
      <c r="AN7694">
        <v>0.99999997039968302</v>
      </c>
    </row>
    <row r="7695" spans="1:40" x14ac:dyDescent="0.25">
      <c r="A7695" t="str">
        <f>"20190304155253244"</f>
        <v>20190304155253244</v>
      </c>
      <c r="B7695" t="str">
        <f>"1551685973234894"</f>
        <v>1551685973234894</v>
      </c>
      <c r="C7695" t="s">
        <v>40</v>
      </c>
      <c r="D7695">
        <v>4.2436920000000002</v>
      </c>
      <c r="E7695">
        <v>0.60441669999999903</v>
      </c>
      <c r="F7695" t="s">
        <v>84</v>
      </c>
      <c r="G7695">
        <v>-176.95070000000001</v>
      </c>
      <c r="H7695" s="1">
        <v>-7.5182770000000001E-6</v>
      </c>
      <c r="I7695">
        <v>141.04259999999999</v>
      </c>
      <c r="J7695">
        <v>-187.19300000000001</v>
      </c>
      <c r="K7695">
        <v>1.107945</v>
      </c>
      <c r="L7695">
        <v>109.2807</v>
      </c>
      <c r="M7695">
        <v>5.1855770000000002E-2</v>
      </c>
      <c r="N7695">
        <v>-1.4383959999999999E-2</v>
      </c>
      <c r="O7695">
        <v>0.99855099999999997</v>
      </c>
      <c r="P7695">
        <v>4.9309020000000002E-2</v>
      </c>
      <c r="Q7695">
        <v>0.1883261</v>
      </c>
      <c r="R7695">
        <v>0.98086790000000001</v>
      </c>
      <c r="S7695">
        <v>0.97068790000000005</v>
      </c>
      <c r="T7695">
        <v>-0.1048142</v>
      </c>
      <c r="U7695">
        <v>3.0345759999999999</v>
      </c>
      <c r="V7695">
        <v>-3.098927E-4</v>
      </c>
      <c r="W7695">
        <v>0.2024398</v>
      </c>
      <c r="X7695">
        <v>0.97929469999999996</v>
      </c>
      <c r="Y7695">
        <v>0.25472479999999997</v>
      </c>
      <c r="Z7695">
        <v>-1.8793339999999999E-2</v>
      </c>
      <c r="AA7695">
        <v>0.966831</v>
      </c>
      <c r="AB7695">
        <v>31</v>
      </c>
      <c r="AC7695">
        <v>10.242299999999901</v>
      </c>
      <c r="AD7695">
        <v>-1.107952518277</v>
      </c>
      <c r="AE7695">
        <v>31.761900000000001</v>
      </c>
      <c r="AF7695">
        <v>8.5718608132766096</v>
      </c>
      <c r="AG7695">
        <v>-1.107952518277</v>
      </c>
      <c r="AH7695">
        <v>32.2148279316377</v>
      </c>
      <c r="AI7695">
        <v>91.903591561260399</v>
      </c>
      <c r="AJ7695">
        <v>75.099737790810494</v>
      </c>
      <c r="AK7695">
        <v>33.354152593792101</v>
      </c>
      <c r="AL7695">
        <v>78.320332184801302</v>
      </c>
      <c r="AM7695">
        <v>90.018130949977802</v>
      </c>
      <c r="AN7695">
        <v>1.0000000390528001</v>
      </c>
    </row>
    <row r="7696" spans="1:40" x14ac:dyDescent="0.25">
      <c r="A7696" t="str">
        <f>"20190304155253266"</f>
        <v>20190304155253266</v>
      </c>
      <c r="B7696" t="str">
        <f>"1551685973254414"</f>
        <v>1551685973254414</v>
      </c>
      <c r="C7696" t="s">
        <v>40</v>
      </c>
      <c r="D7696">
        <v>4.3818289999999998</v>
      </c>
      <c r="E7696">
        <v>0.60658040000000002</v>
      </c>
      <c r="F7696" t="s">
        <v>84</v>
      </c>
      <c r="G7696">
        <v>-178.49379999999999</v>
      </c>
      <c r="H7696" s="1">
        <v>-6.5194599999999997E-6</v>
      </c>
      <c r="I7696">
        <v>135.33250000000001</v>
      </c>
      <c r="J7696">
        <v>-187.1748</v>
      </c>
      <c r="K7696">
        <v>1.107901</v>
      </c>
      <c r="L7696">
        <v>109.5688</v>
      </c>
      <c r="M7696">
        <v>5.4975679999999999E-2</v>
      </c>
      <c r="N7696">
        <v>-1.4383770000000001E-2</v>
      </c>
      <c r="O7696">
        <v>0.9983841</v>
      </c>
      <c r="P7696">
        <v>5.344086E-2</v>
      </c>
      <c r="Q7696">
        <v>0.18683130000000001</v>
      </c>
      <c r="R7696">
        <v>0.98093739999999996</v>
      </c>
      <c r="S7696">
        <v>1.0125729999999999</v>
      </c>
      <c r="T7696">
        <v>-0.12896379999999999</v>
      </c>
      <c r="U7696">
        <v>3.0323790000000002</v>
      </c>
      <c r="V7696">
        <v>7.5385299999999997E-4</v>
      </c>
      <c r="W7696">
        <v>0.20094200000000001</v>
      </c>
      <c r="X7696">
        <v>0.97960290000000005</v>
      </c>
      <c r="Y7696">
        <v>0.26388879999999998</v>
      </c>
      <c r="Z7696">
        <v>-2.629548E-2</v>
      </c>
      <c r="AA7696">
        <v>0.96419460000000001</v>
      </c>
      <c r="AB7696">
        <v>31</v>
      </c>
      <c r="AC7696">
        <v>8.6810000000000098</v>
      </c>
      <c r="AD7696">
        <v>-1.1079075194600001</v>
      </c>
      <c r="AE7696">
        <v>25.7637</v>
      </c>
      <c r="AF7696">
        <v>7.2393232649351003</v>
      </c>
      <c r="AG7696">
        <v>-1.1079075194600001</v>
      </c>
      <c r="AH7696">
        <v>26.1585814020907</v>
      </c>
      <c r="AI7696">
        <v>92.337469268105806</v>
      </c>
      <c r="AJ7696">
        <v>74.530703008121506</v>
      </c>
      <c r="AK7696">
        <v>27.164437070841601</v>
      </c>
      <c r="AL7696">
        <v>78.407950545404603</v>
      </c>
      <c r="AM7696">
        <v>89.955908065659102</v>
      </c>
      <c r="AN7696">
        <v>1.00000004867337</v>
      </c>
    </row>
    <row r="7697" spans="1:40" x14ac:dyDescent="0.25">
      <c r="A7697" t="str">
        <f>"20190304155253288"</f>
        <v>20190304155253288</v>
      </c>
      <c r="B7697" t="str">
        <f>"1551685973284670"</f>
        <v>1551685973284670</v>
      </c>
      <c r="C7697" t="s">
        <v>40</v>
      </c>
      <c r="D7697">
        <v>4.4588260000000002</v>
      </c>
      <c r="E7697">
        <v>0.60615180000000002</v>
      </c>
      <c r="F7697" t="s">
        <v>84</v>
      </c>
      <c r="G7697">
        <v>-178.43190000000001</v>
      </c>
      <c r="H7697" s="1">
        <v>-6.3440679999999999E-6</v>
      </c>
      <c r="I7697">
        <v>134.94120000000001</v>
      </c>
      <c r="J7697">
        <v>-187.1542</v>
      </c>
      <c r="K7697">
        <v>1.107855</v>
      </c>
      <c r="L7697">
        <v>109.8784</v>
      </c>
      <c r="M7697">
        <v>5.838252E-2</v>
      </c>
      <c r="N7697">
        <v>-1.438354E-2</v>
      </c>
      <c r="O7697">
        <v>0.99819060000000004</v>
      </c>
      <c r="P7697">
        <v>5.8102849999999998E-2</v>
      </c>
      <c r="Q7697">
        <v>0.18550510000000001</v>
      </c>
      <c r="R7697">
        <v>0.98092400000000002</v>
      </c>
      <c r="S7697">
        <v>1.0429379999999999</v>
      </c>
      <c r="T7697">
        <v>-0.13216159999999999</v>
      </c>
      <c r="U7697">
        <v>3.0266570000000002</v>
      </c>
      <c r="V7697">
        <v>2.0678939999999998E-3</v>
      </c>
      <c r="W7697">
        <v>0.1996106</v>
      </c>
      <c r="X7697">
        <v>0.97987310000000005</v>
      </c>
      <c r="Y7697">
        <v>0.26980029999999999</v>
      </c>
      <c r="Z7697">
        <v>-2.7274059999999999E-2</v>
      </c>
      <c r="AA7697">
        <v>0.96253</v>
      </c>
      <c r="AB7697">
        <v>31</v>
      </c>
      <c r="AC7697">
        <v>8.72229999999999</v>
      </c>
      <c r="AD7697">
        <v>-1.1078613440680001</v>
      </c>
      <c r="AE7697">
        <v>25.062799999999999</v>
      </c>
      <c r="AF7697">
        <v>7.23143493829894</v>
      </c>
      <c r="AG7697">
        <v>-1.1078613440680001</v>
      </c>
      <c r="AH7697">
        <v>25.484907274259701</v>
      </c>
      <c r="AI7697">
        <v>92.394728956204403</v>
      </c>
      <c r="AJ7697">
        <v>74.1585168363018</v>
      </c>
      <c r="AK7697">
        <v>26.5141755821701</v>
      </c>
      <c r="AL7697">
        <v>78.485810855395798</v>
      </c>
      <c r="AM7697">
        <v>89.879084931723597</v>
      </c>
      <c r="AN7697">
        <v>0.99999997996078205</v>
      </c>
    </row>
    <row r="7698" spans="1:40" x14ac:dyDescent="0.25">
      <c r="A7698" t="str">
        <f>"20190304155253311"</f>
        <v>20190304155253311</v>
      </c>
      <c r="B7698" t="str">
        <f>"1551685973304190"</f>
        <v>1551685973304190</v>
      </c>
      <c r="C7698" t="s">
        <v>40</v>
      </c>
      <c r="D7698">
        <v>4.4638070000000001</v>
      </c>
      <c r="E7698">
        <v>0.60531409999999997</v>
      </c>
      <c r="F7698" t="s">
        <v>84</v>
      </c>
      <c r="G7698">
        <v>-178.60329999999999</v>
      </c>
      <c r="H7698" s="1">
        <v>-6.2606039999999999E-6</v>
      </c>
      <c r="I7698">
        <v>134.3972</v>
      </c>
      <c r="J7698">
        <v>-187.13310000000001</v>
      </c>
      <c r="K7698">
        <v>1.1078220000000001</v>
      </c>
      <c r="L7698">
        <v>110.17740000000001</v>
      </c>
      <c r="M7698">
        <v>6.1726749999999997E-2</v>
      </c>
      <c r="N7698">
        <v>-1.438331E-2</v>
      </c>
      <c r="O7698">
        <v>0.99798940000000003</v>
      </c>
      <c r="P7698">
        <v>6.1752769999999998E-2</v>
      </c>
      <c r="Q7698">
        <v>0.18484709999999999</v>
      </c>
      <c r="R7698">
        <v>0.98082519999999995</v>
      </c>
      <c r="S7698">
        <v>1.0538179999999999</v>
      </c>
      <c r="T7698">
        <v>-0.13653489999999999</v>
      </c>
      <c r="U7698">
        <v>3.021744</v>
      </c>
      <c r="V7698">
        <v>2.438918E-3</v>
      </c>
      <c r="W7698">
        <v>0.19895119999999999</v>
      </c>
      <c r="X7698">
        <v>0.9800063</v>
      </c>
      <c r="Y7698">
        <v>0.27013369999999998</v>
      </c>
      <c r="Z7698">
        <v>-2.8681700000000001E-2</v>
      </c>
      <c r="AA7698">
        <v>0.96239549999999996</v>
      </c>
      <c r="AB7698">
        <v>30</v>
      </c>
      <c r="AC7698">
        <v>8.5298000000000194</v>
      </c>
      <c r="AD7698">
        <v>-1.107828260604</v>
      </c>
      <c r="AE7698">
        <v>24.2197999999999</v>
      </c>
      <c r="AF7698">
        <v>7.0053274945747397</v>
      </c>
      <c r="AG7698">
        <v>-1.107828260604</v>
      </c>
      <c r="AH7698">
        <v>24.654286768348499</v>
      </c>
      <c r="AI7698">
        <v>92.474984026143005</v>
      </c>
      <c r="AJ7698">
        <v>74.137905425583597</v>
      </c>
      <c r="AK7698">
        <v>25.654156638198</v>
      </c>
      <c r="AL7698">
        <v>78.524364511164805</v>
      </c>
      <c r="AM7698">
        <v>89.857409672277996</v>
      </c>
      <c r="AN7698">
        <v>0.99999993817106803</v>
      </c>
    </row>
    <row r="7699" spans="1:40" x14ac:dyDescent="0.25">
      <c r="A7699" t="str">
        <f>"20190304155253334"</f>
        <v>20190304155253334</v>
      </c>
      <c r="B7699" t="str">
        <f>"1551685973324685"</f>
        <v>1551685973324685</v>
      </c>
      <c r="C7699" t="s">
        <v>40</v>
      </c>
      <c r="D7699">
        <v>4.3404360000000004</v>
      </c>
      <c r="E7699">
        <v>0.60571209999999998</v>
      </c>
      <c r="F7699" t="s">
        <v>84</v>
      </c>
      <c r="G7699">
        <v>-178.78960000000001</v>
      </c>
      <c r="H7699" s="1">
        <v>-6.2298239999999999E-6</v>
      </c>
      <c r="I7699">
        <v>133.9776</v>
      </c>
      <c r="J7699">
        <v>-187.10910000000001</v>
      </c>
      <c r="K7699">
        <v>1.10778</v>
      </c>
      <c r="L7699">
        <v>110.5012</v>
      </c>
      <c r="M7699">
        <v>6.5397810000000001E-2</v>
      </c>
      <c r="N7699">
        <v>-1.438302E-2</v>
      </c>
      <c r="O7699">
        <v>0.99775559999999996</v>
      </c>
      <c r="P7699">
        <v>6.5771350000000006E-2</v>
      </c>
      <c r="Q7699">
        <v>0.18483630000000001</v>
      </c>
      <c r="R7699">
        <v>0.98056600000000005</v>
      </c>
      <c r="S7699">
        <v>1.058182</v>
      </c>
      <c r="T7699">
        <v>-0.14050219999999999</v>
      </c>
      <c r="U7699">
        <v>3.0185089999999999</v>
      </c>
      <c r="V7699">
        <v>2.8679809999999999E-3</v>
      </c>
      <c r="W7699">
        <v>0.19893720000000001</v>
      </c>
      <c r="X7699">
        <v>0.98000810000000005</v>
      </c>
      <c r="Y7699">
        <v>0.26813740000000003</v>
      </c>
      <c r="Z7699">
        <v>-2.996776E-2</v>
      </c>
      <c r="AA7699">
        <v>0.96291450000000001</v>
      </c>
      <c r="AB7699">
        <v>30</v>
      </c>
      <c r="AC7699">
        <v>8.3194999999999997</v>
      </c>
      <c r="AD7699">
        <v>-1.107786229824</v>
      </c>
      <c r="AE7699">
        <v>23.476400000000002</v>
      </c>
      <c r="AF7699">
        <v>6.7528639822017302</v>
      </c>
      <c r="AG7699">
        <v>-1.107786229824</v>
      </c>
      <c r="AH7699">
        <v>23.922941882774701</v>
      </c>
      <c r="AI7699">
        <v>92.551698226172604</v>
      </c>
      <c r="AJ7699">
        <v>74.236918988588798</v>
      </c>
      <c r="AK7699">
        <v>24.882433776054199</v>
      </c>
      <c r="AL7699">
        <v>78.525184377499698</v>
      </c>
      <c r="AM7699">
        <v>89.832325122700198</v>
      </c>
      <c r="AN7699">
        <v>1.0000000554622299</v>
      </c>
    </row>
    <row r="7700" spans="1:40" x14ac:dyDescent="0.25">
      <c r="A7700" t="str">
        <f>"20190304155253355"</f>
        <v>20190304155253355</v>
      </c>
      <c r="B7700" t="str">
        <f>"1551685973344205"</f>
        <v>1551685973344205</v>
      </c>
      <c r="C7700" t="s">
        <v>40</v>
      </c>
      <c r="D7700">
        <v>4.4108919999999996</v>
      </c>
      <c r="E7700">
        <v>0.60644030000000004</v>
      </c>
      <c r="F7700" t="s">
        <v>84</v>
      </c>
      <c r="G7700">
        <v>-178.35380000000001</v>
      </c>
      <c r="H7700" s="1">
        <v>-6.3381189999999998E-6</v>
      </c>
      <c r="I7700">
        <v>135.06319999999999</v>
      </c>
      <c r="J7700">
        <v>-187.08580000000001</v>
      </c>
      <c r="K7700">
        <v>1.1077520000000001</v>
      </c>
      <c r="L7700">
        <v>110.801</v>
      </c>
      <c r="M7700">
        <v>6.8841769999999997E-2</v>
      </c>
      <c r="N7700">
        <v>-1.438249E-2</v>
      </c>
      <c r="O7700">
        <v>0.99752390000000002</v>
      </c>
      <c r="P7700">
        <v>6.8972829999999999E-2</v>
      </c>
      <c r="Q7700">
        <v>0.1847829</v>
      </c>
      <c r="R7700">
        <v>0.98035609999999995</v>
      </c>
      <c r="S7700">
        <v>1.07402</v>
      </c>
      <c r="T7700">
        <v>-0.1358925</v>
      </c>
      <c r="U7700">
        <v>3.0130309999999998</v>
      </c>
      <c r="V7700">
        <v>2.698439E-3</v>
      </c>
      <c r="W7700">
        <v>0.19888439999999999</v>
      </c>
      <c r="X7700">
        <v>0.98001930000000004</v>
      </c>
      <c r="Y7700">
        <v>0.26987250000000002</v>
      </c>
      <c r="Z7700">
        <v>-2.8542919999999999E-2</v>
      </c>
      <c r="AA7700">
        <v>0.96247289999999996</v>
      </c>
      <c r="AB7700">
        <v>30</v>
      </c>
      <c r="AC7700">
        <v>8.7319999999999993</v>
      </c>
      <c r="AD7700">
        <v>-1.1077583381189999</v>
      </c>
      <c r="AE7700">
        <v>24.2622</v>
      </c>
      <c r="AF7700">
        <v>7.0278837404576704</v>
      </c>
      <c r="AG7700">
        <v>-1.1077583381189999</v>
      </c>
      <c r="AH7700">
        <v>24.7601200219482</v>
      </c>
      <c r="AI7700">
        <v>92.464459142960195</v>
      </c>
      <c r="AJ7700">
        <v>74.153998553297995</v>
      </c>
      <c r="AK7700">
        <v>25.762022861303802</v>
      </c>
      <c r="AL7700">
        <v>78.528271299010797</v>
      </c>
      <c r="AM7700">
        <v>89.8422390505458</v>
      </c>
      <c r="AN7700">
        <v>1.0000000572544401</v>
      </c>
    </row>
    <row r="7701" spans="1:40" x14ac:dyDescent="0.25">
      <c r="A7701" t="str">
        <f>"20190304155253378"</f>
        <v>20190304155253378</v>
      </c>
      <c r="B7701" t="str">
        <f>"1551685973374462"</f>
        <v>1551685973374462</v>
      </c>
      <c r="C7701" t="s">
        <v>40</v>
      </c>
      <c r="D7701">
        <v>4.4016299999999999</v>
      </c>
      <c r="E7701">
        <v>0.6068614</v>
      </c>
      <c r="F7701" t="s">
        <v>84</v>
      </c>
      <c r="G7701">
        <v>-177.88319999999999</v>
      </c>
      <c r="H7701" s="1">
        <v>-6.4384909999999998E-6</v>
      </c>
      <c r="I7701">
        <v>136.18809999999999</v>
      </c>
      <c r="J7701">
        <v>-187.0616</v>
      </c>
      <c r="K7701">
        <v>1.10772</v>
      </c>
      <c r="L7701">
        <v>111.0981</v>
      </c>
      <c r="M7701">
        <v>7.2300959999999997E-2</v>
      </c>
      <c r="N7701">
        <v>-1.4382030000000001E-2</v>
      </c>
      <c r="O7701">
        <v>0.99727920000000003</v>
      </c>
      <c r="P7701">
        <v>7.2495480000000001E-2</v>
      </c>
      <c r="Q7701">
        <v>0.1848659</v>
      </c>
      <c r="R7701">
        <v>0.98008620000000002</v>
      </c>
      <c r="S7701">
        <v>1.0904240000000001</v>
      </c>
      <c r="T7701">
        <v>-0.13125899999999999</v>
      </c>
      <c r="U7701">
        <v>3.0081329999999999</v>
      </c>
      <c r="V7701">
        <v>2.8384780000000002E-3</v>
      </c>
      <c r="W7701">
        <v>0.19896620000000001</v>
      </c>
      <c r="X7701">
        <v>0.98000220000000005</v>
      </c>
      <c r="Y7701">
        <v>0.27169090000000001</v>
      </c>
      <c r="Z7701">
        <v>-2.709918E-2</v>
      </c>
      <c r="AA7701">
        <v>0.96200289999999999</v>
      </c>
      <c r="AB7701">
        <v>30</v>
      </c>
      <c r="AC7701">
        <v>9.1783999999999999</v>
      </c>
      <c r="AD7701">
        <v>-1.1077264384909999</v>
      </c>
      <c r="AE7701">
        <v>25.0899999999999</v>
      </c>
      <c r="AF7701">
        <v>7.3275579176121699</v>
      </c>
      <c r="AG7701">
        <v>-1.1077264384909999</v>
      </c>
      <c r="AH7701">
        <v>25.643911945688899</v>
      </c>
      <c r="AI7701">
        <v>92.378363270403398</v>
      </c>
      <c r="AJ7701">
        <v>74.053104580207602</v>
      </c>
      <c r="AK7701">
        <v>26.6932647455634</v>
      </c>
      <c r="AL7701">
        <v>78.5234877825133</v>
      </c>
      <c r="AM7701">
        <v>89.8340489900324</v>
      </c>
      <c r="AN7701">
        <v>0.99999995885231696</v>
      </c>
    </row>
    <row r="7702" spans="1:40" x14ac:dyDescent="0.25">
      <c r="A7702" t="str">
        <f>"20190304155253400"</f>
        <v>20190304155253400</v>
      </c>
      <c r="B7702" t="str">
        <f>"1551685973394958"</f>
        <v>1551685973394958</v>
      </c>
      <c r="C7702" t="s">
        <v>40</v>
      </c>
      <c r="D7702">
        <v>4.5535809999999897</v>
      </c>
      <c r="E7702">
        <v>0.60654680000000005</v>
      </c>
      <c r="F7702" t="s">
        <v>84</v>
      </c>
      <c r="G7702">
        <v>-177.4315</v>
      </c>
      <c r="H7702" s="1">
        <v>-6.5339320000000003E-6</v>
      </c>
      <c r="I7702">
        <v>137.26509999999999</v>
      </c>
      <c r="J7702">
        <v>-187.03620000000001</v>
      </c>
      <c r="K7702">
        <v>1.1076870000000001</v>
      </c>
      <c r="L7702">
        <v>111.39709999999999</v>
      </c>
      <c r="M7702">
        <v>7.5832079999999996E-2</v>
      </c>
      <c r="N7702">
        <v>-1.438177E-2</v>
      </c>
      <c r="O7702">
        <v>0.99701689999999998</v>
      </c>
      <c r="P7702">
        <v>7.6200279999999995E-2</v>
      </c>
      <c r="Q7702">
        <v>0.18427009999999999</v>
      </c>
      <c r="R7702">
        <v>0.97991729999999999</v>
      </c>
      <c r="S7702">
        <v>1.10524</v>
      </c>
      <c r="T7702">
        <v>-0.12713289999999999</v>
      </c>
      <c r="U7702">
        <v>3.003174</v>
      </c>
      <c r="V7702">
        <v>3.0771040000000002E-3</v>
      </c>
      <c r="W7702">
        <v>0.19836989999999999</v>
      </c>
      <c r="X7702">
        <v>0.98012239999999995</v>
      </c>
      <c r="Y7702">
        <v>0.27299200000000001</v>
      </c>
      <c r="Z7702">
        <v>-2.582023E-2</v>
      </c>
      <c r="AA7702">
        <v>0.96166969999999996</v>
      </c>
      <c r="AB7702">
        <v>30</v>
      </c>
      <c r="AC7702">
        <v>9.6046999999999993</v>
      </c>
      <c r="AD7702">
        <v>-1.107693533932</v>
      </c>
      <c r="AE7702">
        <v>25.867999999999899</v>
      </c>
      <c r="AF7702">
        <v>7.6029594166173498</v>
      </c>
      <c r="AG7702">
        <v>-1.107693533932</v>
      </c>
      <c r="AH7702">
        <v>26.479249296868201</v>
      </c>
      <c r="AI7702">
        <v>92.302502890398998</v>
      </c>
      <c r="AJ7702">
        <v>73.979694408183803</v>
      </c>
      <c r="AK7702">
        <v>27.571409470347</v>
      </c>
      <c r="AL7702">
        <v>78.558348639817098</v>
      </c>
      <c r="AM7702">
        <v>89.820119922700798</v>
      </c>
      <c r="AN7702">
        <v>1.0000000023883899</v>
      </c>
    </row>
    <row r="7703" spans="1:40" x14ac:dyDescent="0.25">
      <c r="A7703" t="str">
        <f>"20190304155253415"</f>
        <v>20190304155253415</v>
      </c>
      <c r="B7703" t="str">
        <f>"1551685973404719"</f>
        <v>1551685973404719</v>
      </c>
      <c r="C7703" t="s">
        <v>40</v>
      </c>
      <c r="D7703">
        <v>4.4242339999999896</v>
      </c>
      <c r="E7703">
        <v>0.60663999999999996</v>
      </c>
      <c r="F7703" t="s">
        <v>84</v>
      </c>
      <c r="G7703">
        <v>-177.27510000000001</v>
      </c>
      <c r="H7703" s="1">
        <v>-6.5783430000000003E-6</v>
      </c>
      <c r="I7703">
        <v>137.67060000000001</v>
      </c>
      <c r="J7703">
        <v>-187.01840000000001</v>
      </c>
      <c r="K7703">
        <v>1.1076619999999999</v>
      </c>
      <c r="L7703">
        <v>111.5981</v>
      </c>
      <c r="M7703">
        <v>7.8232799999999894E-2</v>
      </c>
      <c r="N7703">
        <v>-1.4381700000000001E-2</v>
      </c>
      <c r="O7703">
        <v>0.99683140000000003</v>
      </c>
      <c r="P7703">
        <v>7.8409670000000001E-2</v>
      </c>
      <c r="Q7703">
        <v>0.18388950000000001</v>
      </c>
      <c r="R7703">
        <v>0.97981459999999998</v>
      </c>
      <c r="S7703">
        <v>1.114044</v>
      </c>
      <c r="T7703">
        <v>-0.1264218</v>
      </c>
      <c r="U7703">
        <v>2.9986109999999999</v>
      </c>
      <c r="V7703">
        <v>2.9295670000000001E-3</v>
      </c>
      <c r="W7703">
        <v>0.19799079999999999</v>
      </c>
      <c r="X7703">
        <v>0.9801995</v>
      </c>
      <c r="Y7703">
        <v>0.27363480000000001</v>
      </c>
      <c r="Z7703">
        <v>-2.562681E-2</v>
      </c>
      <c r="AA7703">
        <v>0.96149220000000002</v>
      </c>
      <c r="AB7703">
        <v>30</v>
      </c>
      <c r="AC7703">
        <v>9.7432999999999996</v>
      </c>
      <c r="AD7703">
        <v>-1.107668578343</v>
      </c>
      <c r="AE7703">
        <v>26.072500000000002</v>
      </c>
      <c r="AF7703">
        <v>7.6613625831613703</v>
      </c>
      <c r="AG7703">
        <v>-1.107668578343</v>
      </c>
      <c r="AH7703">
        <v>26.712593139830499</v>
      </c>
      <c r="AI7703">
        <v>92.2825542653257</v>
      </c>
      <c r="AJ7703">
        <v>73.996730335685896</v>
      </c>
      <c r="AK7703">
        <v>27.8116169714067</v>
      </c>
      <c r="AL7703">
        <v>78.580508975003099</v>
      </c>
      <c r="AM7703">
        <v>89.828757997612698</v>
      </c>
      <c r="AN7703">
        <v>0.99999999952384799</v>
      </c>
    </row>
    <row r="7704" spans="1:40" x14ac:dyDescent="0.25">
      <c r="A7704" t="str">
        <f>"20190304155253434"</f>
        <v>20190304155253434</v>
      </c>
      <c r="B7704" t="str">
        <f>"1551685973424238"</f>
        <v>1551685973424238</v>
      </c>
      <c r="C7704" t="s">
        <v>40</v>
      </c>
      <c r="D7704">
        <v>4.4510459999999998</v>
      </c>
      <c r="E7704">
        <v>0.60670800000000003</v>
      </c>
      <c r="F7704" t="s">
        <v>84</v>
      </c>
      <c r="G7704">
        <v>-177.20480000000001</v>
      </c>
      <c r="H7704" s="1">
        <v>-6.5842030000000003E-6</v>
      </c>
      <c r="I7704">
        <v>137.8125</v>
      </c>
      <c r="J7704">
        <v>-186.99379999999999</v>
      </c>
      <c r="K7704">
        <v>1.107629</v>
      </c>
      <c r="L7704">
        <v>111.8683</v>
      </c>
      <c r="M7704">
        <v>8.1496750000000007E-2</v>
      </c>
      <c r="N7704">
        <v>-1.4381629999999999E-2</v>
      </c>
      <c r="O7704">
        <v>0.99656979999999995</v>
      </c>
      <c r="P7704">
        <v>8.2026009999999996E-2</v>
      </c>
      <c r="Q7704">
        <v>0.18262819999999999</v>
      </c>
      <c r="R7704">
        <v>0.97975440000000003</v>
      </c>
      <c r="S7704">
        <v>1.121521</v>
      </c>
      <c r="T7704">
        <v>-0.126585999999999</v>
      </c>
      <c r="U7704">
        <v>2.995819</v>
      </c>
      <c r="V7704">
        <v>3.3265759999999999E-3</v>
      </c>
      <c r="W7704">
        <v>0.19673009999999999</v>
      </c>
      <c r="X7704">
        <v>0.98045210000000005</v>
      </c>
      <c r="Y7704">
        <v>0.2728836</v>
      </c>
      <c r="Z7704">
        <v>-2.5694769999999999E-2</v>
      </c>
      <c r="AA7704">
        <v>0.9617038</v>
      </c>
      <c r="AB7704">
        <v>30</v>
      </c>
      <c r="AC7704">
        <v>9.7889999999999802</v>
      </c>
      <c r="AD7704">
        <v>-1.1076355842029999</v>
      </c>
      <c r="AE7704">
        <v>25.944199999999899</v>
      </c>
      <c r="AF7704">
        <v>7.62967094375312</v>
      </c>
      <c r="AG7704">
        <v>-1.1076355842029999</v>
      </c>
      <c r="AH7704">
        <v>26.6132730569548</v>
      </c>
      <c r="AI7704">
        <v>92.291068517715104</v>
      </c>
      <c r="AJ7704">
        <v>74.003107994691803</v>
      </c>
      <c r="AK7704">
        <v>27.707490649666902</v>
      </c>
      <c r="AL7704">
        <v>78.654191710747497</v>
      </c>
      <c r="AM7704">
        <v>89.805601891557799</v>
      </c>
      <c r="AN7704">
        <v>1.00000005937415</v>
      </c>
    </row>
    <row r="7705" spans="1:40" x14ac:dyDescent="0.25">
      <c r="A7705" t="str">
        <f>"20190304155253456"</f>
        <v>20190304155253456</v>
      </c>
      <c r="B7705" t="str">
        <f>"1551685973454974"</f>
        <v>1551685973454974</v>
      </c>
      <c r="C7705" t="s">
        <v>40</v>
      </c>
      <c r="D7705">
        <v>4.4538650000000004</v>
      </c>
      <c r="E7705">
        <v>0.60652050000000002</v>
      </c>
      <c r="F7705" t="s">
        <v>84</v>
      </c>
      <c r="G7705">
        <v>-177.23570000000001</v>
      </c>
      <c r="H7705" s="1">
        <v>-6.54292699999999E-6</v>
      </c>
      <c r="I7705">
        <v>137.63939999999999</v>
      </c>
      <c r="J7705">
        <v>-186.9658</v>
      </c>
      <c r="K7705">
        <v>1.107594</v>
      </c>
      <c r="L7705">
        <v>112.1634</v>
      </c>
      <c r="M7705">
        <v>8.5108059999999999E-2</v>
      </c>
      <c r="N7705">
        <v>-1.438154E-2</v>
      </c>
      <c r="O7705">
        <v>0.99626789999999998</v>
      </c>
      <c r="P7705">
        <v>8.59848E-2</v>
      </c>
      <c r="Q7705">
        <v>0.1820495</v>
      </c>
      <c r="R7705">
        <v>0.97952260000000002</v>
      </c>
      <c r="S7705">
        <v>1.132584</v>
      </c>
      <c r="T7705">
        <v>-0.12855919999999901</v>
      </c>
      <c r="U7705">
        <v>2.9911500000000002</v>
      </c>
      <c r="V7705">
        <v>3.7402989999999999E-3</v>
      </c>
      <c r="W7705">
        <v>0.19614989999999999</v>
      </c>
      <c r="X7705">
        <v>0.98056679999999996</v>
      </c>
      <c r="Y7705">
        <v>0.2729974</v>
      </c>
      <c r="Z7705">
        <v>-2.6341349999999999E-2</v>
      </c>
      <c r="AA7705">
        <v>0.96165409999999996</v>
      </c>
      <c r="AB7705">
        <v>30</v>
      </c>
      <c r="AC7705">
        <v>9.7300999999999895</v>
      </c>
      <c r="AD7705">
        <v>-1.1076005429269999</v>
      </c>
      <c r="AE7705">
        <v>25.475999999999999</v>
      </c>
      <c r="AF7705">
        <v>7.5139572476501604</v>
      </c>
      <c r="AG7705">
        <v>-1.1076005429269999</v>
      </c>
      <c r="AH7705">
        <v>26.1685759675781</v>
      </c>
      <c r="AI7705">
        <v>92.329608141838094</v>
      </c>
      <c r="AJ7705">
        <v>73.979287553057006</v>
      </c>
      <c r="AK7705">
        <v>27.248499053216001</v>
      </c>
      <c r="AL7705">
        <v>78.688094750980198</v>
      </c>
      <c r="AM7705">
        <v>89.781450577904295</v>
      </c>
      <c r="AN7705">
        <v>1.0000000111844201</v>
      </c>
    </row>
    <row r="7706" spans="1:40" x14ac:dyDescent="0.25">
      <c r="A7706" t="str">
        <f>"20190304155253479"</f>
        <v>20190304155253479</v>
      </c>
      <c r="B7706" t="str">
        <f>"1551685973474493"</f>
        <v>1551685973474493</v>
      </c>
      <c r="C7706" t="s">
        <v>40</v>
      </c>
      <c r="D7706">
        <v>4.1558580000000003</v>
      </c>
      <c r="E7706">
        <v>0.60615180000000002</v>
      </c>
      <c r="F7706" t="s">
        <v>84</v>
      </c>
      <c r="G7706">
        <v>-177.11779999999999</v>
      </c>
      <c r="H7706" s="1">
        <v>-6.5570960000000002E-6</v>
      </c>
      <c r="I7706">
        <v>137.88980000000001</v>
      </c>
      <c r="J7706">
        <v>-186.9367</v>
      </c>
      <c r="K7706">
        <v>1.107551</v>
      </c>
      <c r="L7706">
        <v>112.4585</v>
      </c>
      <c r="M7706">
        <v>8.8766869999999998E-2</v>
      </c>
      <c r="N7706">
        <v>-1.4381379999999999E-2</v>
      </c>
      <c r="O7706">
        <v>0.99594859999999996</v>
      </c>
      <c r="P7706">
        <v>9.0240680000000004E-2</v>
      </c>
      <c r="Q7706">
        <v>0.18094769999999999</v>
      </c>
      <c r="R7706">
        <v>0.97934399999999999</v>
      </c>
      <c r="S7706">
        <v>1.143143</v>
      </c>
      <c r="T7706">
        <v>-0.1285684</v>
      </c>
      <c r="U7706">
        <v>2.9862820000000001</v>
      </c>
      <c r="V7706">
        <v>4.3913829999999996E-3</v>
      </c>
      <c r="W7706">
        <v>0.19504579999999999</v>
      </c>
      <c r="X7706">
        <v>0.98078430000000005</v>
      </c>
      <c r="Y7706">
        <v>0.27295190000000003</v>
      </c>
      <c r="Z7706">
        <v>-2.6373839999999999E-2</v>
      </c>
      <c r="AA7706">
        <v>0.96166609999999997</v>
      </c>
      <c r="AB7706">
        <v>30</v>
      </c>
      <c r="AC7706">
        <v>9.81890000000001</v>
      </c>
      <c r="AD7706">
        <v>-1.1075575570959999</v>
      </c>
      <c r="AE7706">
        <v>25.4313</v>
      </c>
      <c r="AF7706">
        <v>7.5100444868924097</v>
      </c>
      <c r="AG7706">
        <v>-1.1075575570959999</v>
      </c>
      <c r="AH7706">
        <v>26.159391091439701</v>
      </c>
      <c r="AI7706">
        <v>92.330364953973302</v>
      </c>
      <c r="AJ7706">
        <v>73.981868362475197</v>
      </c>
      <c r="AK7706">
        <v>27.238597508173498</v>
      </c>
      <c r="AL7706">
        <v>78.752600838823398</v>
      </c>
      <c r="AM7706">
        <v>89.743464459213897</v>
      </c>
      <c r="AN7706">
        <v>0.99999999573439102</v>
      </c>
    </row>
    <row r="7707" spans="1:40" x14ac:dyDescent="0.25">
      <c r="A7707" t="str">
        <f>"20190304155253500"</f>
        <v>20190304155253500</v>
      </c>
      <c r="B7707" t="str">
        <f>"1551685973494989"</f>
        <v>1551685973494989</v>
      </c>
      <c r="C7707" t="s">
        <v>40</v>
      </c>
      <c r="D7707">
        <v>4.5013629999999996</v>
      </c>
      <c r="E7707">
        <v>0.60612290000000002</v>
      </c>
      <c r="F7707" t="s">
        <v>84</v>
      </c>
      <c r="G7707">
        <v>-177.23830000000001</v>
      </c>
      <c r="H7707" s="1">
        <v>-6.507143E-6</v>
      </c>
      <c r="I7707">
        <v>137.5325</v>
      </c>
      <c r="J7707">
        <v>-186.90690000000001</v>
      </c>
      <c r="K7707">
        <v>1.1075109999999999</v>
      </c>
      <c r="L7707">
        <v>112.74939999999999</v>
      </c>
      <c r="M7707">
        <v>9.2420279999999994E-2</v>
      </c>
      <c r="N7707">
        <v>-1.4381120000000001E-2</v>
      </c>
      <c r="O7707">
        <v>0.99561630000000001</v>
      </c>
      <c r="P7707">
        <v>9.5085009999999998E-2</v>
      </c>
      <c r="Q7707">
        <v>0.1812578</v>
      </c>
      <c r="R7707">
        <v>0.97882809999999998</v>
      </c>
      <c r="S7707">
        <v>1.153168</v>
      </c>
      <c r="T7707">
        <v>-0.131691</v>
      </c>
      <c r="U7707">
        <v>2.9813540000000001</v>
      </c>
      <c r="V7707">
        <v>5.6712910000000002E-3</v>
      </c>
      <c r="W7707">
        <v>0.19534460000000001</v>
      </c>
      <c r="X7707">
        <v>0.98071830000000004</v>
      </c>
      <c r="Y7707">
        <v>0.27275759999999899</v>
      </c>
      <c r="Z7707">
        <v>-2.7388659999999999E-2</v>
      </c>
      <c r="AA7707">
        <v>0.96169289999999996</v>
      </c>
      <c r="AB7707">
        <v>30</v>
      </c>
      <c r="AC7707">
        <v>9.6685999999999908</v>
      </c>
      <c r="AD7707">
        <v>-1.1075175071429999</v>
      </c>
      <c r="AE7707">
        <v>24.783100000000001</v>
      </c>
      <c r="AF7707">
        <v>7.32381886374763</v>
      </c>
      <c r="AG7707">
        <v>-1.1075175071429999</v>
      </c>
      <c r="AH7707">
        <v>25.526431831608001</v>
      </c>
      <c r="AI7707">
        <v>92.388108635330994</v>
      </c>
      <c r="AJ7707">
        <v>73.991222409273604</v>
      </c>
      <c r="AK7707">
        <v>26.579383736861601</v>
      </c>
      <c r="AL7707">
        <v>78.735145480595406</v>
      </c>
      <c r="AM7707">
        <v>89.6686740558645</v>
      </c>
      <c r="AN7707">
        <v>1.00000003012282</v>
      </c>
    </row>
    <row r="7708" spans="1:40" x14ac:dyDescent="0.25">
      <c r="A7708" t="str">
        <f>"20190304155253524"</f>
        <v>20190304155253524</v>
      </c>
      <c r="B7708" t="str">
        <f>"1551685973514509"</f>
        <v>1551685973514509</v>
      </c>
      <c r="C7708" t="s">
        <v>40</v>
      </c>
      <c r="D7708">
        <v>4.6054519999999997</v>
      </c>
      <c r="E7708">
        <v>0.60603459999999998</v>
      </c>
      <c r="F7708" t="s">
        <v>84</v>
      </c>
      <c r="G7708">
        <v>-176.91630000000001</v>
      </c>
      <c r="H7708" s="1">
        <v>-6.5443960000000003E-6</v>
      </c>
      <c r="I7708">
        <v>138.2123</v>
      </c>
      <c r="J7708">
        <v>-186.8732</v>
      </c>
      <c r="K7708">
        <v>1.10748</v>
      </c>
      <c r="L7708">
        <v>113.06619999999999</v>
      </c>
      <c r="M7708">
        <v>9.6450240000000007E-2</v>
      </c>
      <c r="N7708">
        <v>-1.4380779999999999E-2</v>
      </c>
      <c r="O7708">
        <v>0.9952339</v>
      </c>
      <c r="P7708">
        <v>0.10114090000000001</v>
      </c>
      <c r="Q7708">
        <v>0.1808718</v>
      </c>
      <c r="R7708">
        <v>0.9782923</v>
      </c>
      <c r="S7708">
        <v>1.1674500000000001</v>
      </c>
      <c r="T7708">
        <v>-0.12941829999999999</v>
      </c>
      <c r="U7708">
        <v>2.9754489999999998</v>
      </c>
      <c r="V7708">
        <v>7.7815929999999998E-3</v>
      </c>
      <c r="W7708">
        <v>0.1949429</v>
      </c>
      <c r="X7708">
        <v>0.98078370000000004</v>
      </c>
      <c r="Y7708">
        <v>0.27351940000000002</v>
      </c>
      <c r="Z7708">
        <v>-2.6700310000000001E-2</v>
      </c>
      <c r="AA7708">
        <v>0.96149580000000001</v>
      </c>
      <c r="AB7708">
        <v>30</v>
      </c>
      <c r="AC7708">
        <v>9.9568999999999903</v>
      </c>
      <c r="AD7708">
        <v>-1.107486544396</v>
      </c>
      <c r="AE7708">
        <v>25.146100000000001</v>
      </c>
      <c r="AF7708">
        <v>7.4723414851716896</v>
      </c>
      <c r="AG7708">
        <v>-1.107486544396</v>
      </c>
      <c r="AH7708">
        <v>25.945778439464</v>
      </c>
      <c r="AI7708">
        <v>92.348811671009003</v>
      </c>
      <c r="AJ7708">
        <v>73.933686547696695</v>
      </c>
      <c r="AK7708">
        <v>27.023061124654099</v>
      </c>
      <c r="AL7708">
        <v>78.758611746466102</v>
      </c>
      <c r="AM7708">
        <v>89.545421603373498</v>
      </c>
      <c r="AN7708">
        <v>0.99999997681785802</v>
      </c>
    </row>
    <row r="7709" spans="1:40" x14ac:dyDescent="0.25">
      <c r="A7709" t="str">
        <f>"20190304155253546"</f>
        <v>20190304155253546</v>
      </c>
      <c r="B7709" t="str">
        <f>"1551685973534028"</f>
        <v>1551685973534028</v>
      </c>
      <c r="C7709" t="s">
        <v>40</v>
      </c>
      <c r="D7709">
        <v>4.5224820000000001</v>
      </c>
      <c r="E7709">
        <v>0.60559779999999996</v>
      </c>
      <c r="F7709" t="s">
        <v>84</v>
      </c>
      <c r="G7709">
        <v>-176.8006</v>
      </c>
      <c r="H7709" s="1">
        <v>-6.4997459999999998E-6</v>
      </c>
      <c r="I7709">
        <v>138.29060000000001</v>
      </c>
      <c r="J7709">
        <v>-186.84059999999999</v>
      </c>
      <c r="K7709">
        <v>1.1074459999999999</v>
      </c>
      <c r="L7709">
        <v>113.3612</v>
      </c>
      <c r="M7709">
        <v>0.10025290000000001</v>
      </c>
      <c r="N7709">
        <v>-1.4380550000000001E-2</v>
      </c>
      <c r="O7709">
        <v>0.99485800000000002</v>
      </c>
      <c r="P7709">
        <v>0.1065132</v>
      </c>
      <c r="Q7709">
        <v>0.1793804</v>
      </c>
      <c r="R7709">
        <v>0.97799669999999905</v>
      </c>
      <c r="S7709">
        <v>1.1852259999999999</v>
      </c>
      <c r="T7709">
        <v>-0.13031599999999999</v>
      </c>
      <c r="U7709">
        <v>2.9681090000000001</v>
      </c>
      <c r="V7709">
        <v>9.4015590000000003E-3</v>
      </c>
      <c r="W7709">
        <v>0.19344230000000001</v>
      </c>
      <c r="X7709">
        <v>0.98106660000000001</v>
      </c>
      <c r="Y7709">
        <v>0.27562350000000002</v>
      </c>
      <c r="Z7709">
        <v>-2.701243E-2</v>
      </c>
      <c r="AA7709">
        <v>0.96088609999999997</v>
      </c>
      <c r="AB7709">
        <v>30</v>
      </c>
      <c r="AC7709">
        <v>10.0399999999999</v>
      </c>
      <c r="AD7709">
        <v>-1.107452499746</v>
      </c>
      <c r="AE7709">
        <v>24.929400000000001</v>
      </c>
      <c r="AF7709">
        <v>7.4772080427270504</v>
      </c>
      <c r="AG7709">
        <v>-1.107452499746</v>
      </c>
      <c r="AH7709">
        <v>25.766669860952302</v>
      </c>
      <c r="AI7709">
        <v>92.363667179685606</v>
      </c>
      <c r="AJ7709">
        <v>73.817844685862894</v>
      </c>
      <c r="AK7709">
        <v>26.852492749775099</v>
      </c>
      <c r="AL7709">
        <v>78.846258479988407</v>
      </c>
      <c r="AM7709">
        <v>89.4509514817004</v>
      </c>
      <c r="AN7709">
        <v>0.99999999318823996</v>
      </c>
    </row>
    <row r="7710" spans="1:40" x14ac:dyDescent="0.25">
      <c r="A7710" t="str">
        <f>"20190304155253569"</f>
        <v>20190304155253569</v>
      </c>
      <c r="B7710" t="str">
        <f>"1551685973564285"</f>
        <v>1551685973564285</v>
      </c>
      <c r="C7710" t="s">
        <v>40</v>
      </c>
      <c r="D7710">
        <v>4.5493449999999998</v>
      </c>
      <c r="E7710">
        <v>0.60479569999999905</v>
      </c>
      <c r="F7710" t="s">
        <v>84</v>
      </c>
      <c r="G7710">
        <v>-176.9118</v>
      </c>
      <c r="H7710" s="1">
        <v>-6.4275969999999901E-6</v>
      </c>
      <c r="I7710">
        <v>137.8862</v>
      </c>
      <c r="J7710">
        <v>-186.8065</v>
      </c>
      <c r="K7710">
        <v>1.1074090000000001</v>
      </c>
      <c r="L7710">
        <v>113.658</v>
      </c>
      <c r="M7710">
        <v>0.1041354</v>
      </c>
      <c r="N7710">
        <v>-1.4380570000000001E-2</v>
      </c>
      <c r="O7710">
        <v>0.99445919999999999</v>
      </c>
      <c r="P7710">
        <v>0.1123556</v>
      </c>
      <c r="Q7710">
        <v>0.17771600000000001</v>
      </c>
      <c r="R7710">
        <v>0.97764680000000004</v>
      </c>
      <c r="S7710">
        <v>1.198914</v>
      </c>
      <c r="T7710">
        <v>-0.13372709999999999</v>
      </c>
      <c r="U7710">
        <v>2.9614410000000002</v>
      </c>
      <c r="V7710">
        <v>1.1412479999999999E-2</v>
      </c>
      <c r="W7710">
        <v>0.19176589999999999</v>
      </c>
      <c r="X7710">
        <v>0.98137430000000003</v>
      </c>
      <c r="Y7710">
        <v>0.27642440000000001</v>
      </c>
      <c r="Z7710">
        <v>-2.8123639999999998E-2</v>
      </c>
      <c r="AA7710">
        <v>0.96062409999999998</v>
      </c>
      <c r="AB7710">
        <v>30</v>
      </c>
      <c r="AC7710">
        <v>9.8947000000000003</v>
      </c>
      <c r="AD7710">
        <v>-1.1074154275970001</v>
      </c>
      <c r="AE7710">
        <v>24.228200000000001</v>
      </c>
      <c r="AF7710">
        <v>7.3045393649085</v>
      </c>
      <c r="AG7710">
        <v>-1.1074154275970001</v>
      </c>
      <c r="AH7710">
        <v>25.082031458414999</v>
      </c>
      <c r="AI7710">
        <v>92.427354474029997</v>
      </c>
      <c r="AJ7710">
        <v>73.7630676092096</v>
      </c>
      <c r="AK7710">
        <v>26.1474848951806</v>
      </c>
      <c r="AL7710">
        <v>78.944141491809802</v>
      </c>
      <c r="AM7710">
        <v>89.333732843903107</v>
      </c>
      <c r="AN7710">
        <v>0.99999996090152399</v>
      </c>
    </row>
    <row r="7711" spans="1:40" x14ac:dyDescent="0.25">
      <c r="A7711" t="str">
        <f>"20190304155253590"</f>
        <v>20190304155253590</v>
      </c>
      <c r="B7711" t="str">
        <f>"1551685973584781"</f>
        <v>1551685973584781</v>
      </c>
      <c r="C7711" t="s">
        <v>40</v>
      </c>
      <c r="D7711">
        <v>4.4936339999999904</v>
      </c>
      <c r="E7711">
        <v>0.60430309999999998</v>
      </c>
      <c r="F7711" t="s">
        <v>84</v>
      </c>
      <c r="G7711">
        <v>-177.07499999999999</v>
      </c>
      <c r="H7711" s="1">
        <v>-6.3514720000000002E-6</v>
      </c>
      <c r="I7711">
        <v>137.37799999999999</v>
      </c>
      <c r="J7711">
        <v>-186.7714</v>
      </c>
      <c r="K7711">
        <v>1.1073679999999999</v>
      </c>
      <c r="L7711">
        <v>113.953</v>
      </c>
      <c r="M7711">
        <v>0.1080569</v>
      </c>
      <c r="N7711">
        <v>-1.4380840000000001E-2</v>
      </c>
      <c r="O7711">
        <v>0.9940407</v>
      </c>
      <c r="P7711">
        <v>0.11856269999999999</v>
      </c>
      <c r="Q7711">
        <v>0.17613329999999999</v>
      </c>
      <c r="R7711">
        <v>0.97719999999999996</v>
      </c>
      <c r="S7711">
        <v>1.2120820000000001</v>
      </c>
      <c r="T7711">
        <v>-0.1379302</v>
      </c>
      <c r="U7711">
        <v>2.954361</v>
      </c>
      <c r="V7711">
        <v>1.3756849999999999E-2</v>
      </c>
      <c r="W7711">
        <v>0.1901679</v>
      </c>
      <c r="X7711">
        <v>0.98165519999999995</v>
      </c>
      <c r="Y7711">
        <v>0.27708739999999998</v>
      </c>
      <c r="Z7711">
        <v>-2.949177E-2</v>
      </c>
      <c r="AA7711">
        <v>0.96039200000000002</v>
      </c>
      <c r="AB7711">
        <v>30</v>
      </c>
      <c r="AC7711">
        <v>9.6964000000000095</v>
      </c>
      <c r="AD7711">
        <v>-1.107374351472</v>
      </c>
      <c r="AE7711">
        <v>23.425000000000001</v>
      </c>
      <c r="AF7711">
        <v>7.0945828894402903</v>
      </c>
      <c r="AG7711">
        <v>-1.107374351472</v>
      </c>
      <c r="AH7711">
        <v>24.2893420363981</v>
      </c>
      <c r="AI7711">
        <v>92.505800824792004</v>
      </c>
      <c r="AJ7711">
        <v>73.717642072550404</v>
      </c>
      <c r="AK7711">
        <v>25.328472533703501</v>
      </c>
      <c r="AL7711">
        <v>79.037417260894998</v>
      </c>
      <c r="AM7711">
        <v>89.197113353472602</v>
      </c>
      <c r="AN7711">
        <v>1.0000000063996799</v>
      </c>
    </row>
    <row r="7712" spans="1:40" x14ac:dyDescent="0.25">
      <c r="A7712" t="str">
        <f>"20190304155253612"</f>
        <v>20190304155253612</v>
      </c>
      <c r="B7712" t="str">
        <f>"1551685973604301"</f>
        <v>1551685973604301</v>
      </c>
      <c r="C7712" t="s">
        <v>40</v>
      </c>
      <c r="D7712">
        <v>4.6655139999999999</v>
      </c>
      <c r="E7712">
        <v>0.60383419999999999</v>
      </c>
      <c r="F7712" t="s">
        <v>84</v>
      </c>
      <c r="G7712">
        <v>-177.47620000000001</v>
      </c>
      <c r="H7712" s="1">
        <v>-6.2112249999999898E-6</v>
      </c>
      <c r="I7712">
        <v>136.26259999999999</v>
      </c>
      <c r="J7712">
        <v>-186.7354</v>
      </c>
      <c r="K7712">
        <v>1.107318</v>
      </c>
      <c r="L7712">
        <v>114.2448</v>
      </c>
      <c r="M7712">
        <v>0.11199000000000001</v>
      </c>
      <c r="N7712">
        <v>-1.4381369999999999E-2</v>
      </c>
      <c r="O7712">
        <v>0.99360530000000002</v>
      </c>
      <c r="P7712">
        <v>0.1250298</v>
      </c>
      <c r="Q7712">
        <v>0.17508370000000001</v>
      </c>
      <c r="R7712">
        <v>0.97658239999999996</v>
      </c>
      <c r="S7712">
        <v>1.2280120000000001</v>
      </c>
      <c r="T7712">
        <v>-0.14629809999999999</v>
      </c>
      <c r="U7712">
        <v>2.9473880000000001</v>
      </c>
      <c r="V7712">
        <v>1.6367179999999999E-2</v>
      </c>
      <c r="W7712">
        <v>0.18909899999999999</v>
      </c>
      <c r="X7712">
        <v>0.98182159999999996</v>
      </c>
      <c r="Y7712">
        <v>0.27847660000000002</v>
      </c>
      <c r="Z7712">
        <v>-3.2159920000000002E-2</v>
      </c>
      <c r="AA7712">
        <v>0.95990439999999999</v>
      </c>
      <c r="AB7712">
        <v>30</v>
      </c>
      <c r="AC7712">
        <v>9.2591999999999892</v>
      </c>
      <c r="AD7712">
        <v>-1.1073242112249999</v>
      </c>
      <c r="AE7712">
        <v>22.017799999999902</v>
      </c>
      <c r="AF7712">
        <v>6.72046923284387</v>
      </c>
      <c r="AG7712">
        <v>-1.1073242112249999</v>
      </c>
      <c r="AH7712">
        <v>22.867163013313899</v>
      </c>
      <c r="AI7712">
        <v>92.660012113491206</v>
      </c>
      <c r="AJ7712">
        <v>73.622375903464103</v>
      </c>
      <c r="AK7712">
        <v>23.8599668460758</v>
      </c>
      <c r="AL7712">
        <v>79.099792291716</v>
      </c>
      <c r="AM7712">
        <v>89.044955332599102</v>
      </c>
      <c r="AN7712">
        <v>0.99999998530435596</v>
      </c>
    </row>
    <row r="7713" spans="1:40" x14ac:dyDescent="0.25">
      <c r="A7713" t="str">
        <f>"20190304155255686"</f>
        <v>20190304155255686</v>
      </c>
      <c r="B7713" t="str">
        <f>"1551685975674837"</f>
        <v>1551685975674837</v>
      </c>
      <c r="C7713" t="s">
        <v>40</v>
      </c>
      <c r="D7713">
        <v>4.7691790000000003</v>
      </c>
      <c r="E7713">
        <v>0.63112809999999997</v>
      </c>
      <c r="F7713" t="s">
        <v>84</v>
      </c>
      <c r="G7713">
        <v>-177.48759999999999</v>
      </c>
      <c r="H7713" s="1">
        <v>-6.1613520000000004E-6</v>
      </c>
      <c r="I7713">
        <v>136.09979999999999</v>
      </c>
      <c r="J7713">
        <v>-174.0669</v>
      </c>
      <c r="K7713">
        <v>1.098468</v>
      </c>
      <c r="L7713">
        <v>135.68369999999999</v>
      </c>
      <c r="M7713">
        <v>0.91769060000000002</v>
      </c>
      <c r="N7713">
        <v>-1.6573890000000001E-2</v>
      </c>
      <c r="O7713">
        <v>0.39695009999999997</v>
      </c>
      <c r="P7713">
        <v>0.9536251</v>
      </c>
      <c r="Q7713">
        <v>0.16083329999999901</v>
      </c>
      <c r="R7713">
        <v>0.25442419999999999</v>
      </c>
      <c r="S7713">
        <v>1.24379</v>
      </c>
      <c r="T7713">
        <v>-0.14893010000000001</v>
      </c>
      <c r="U7713">
        <v>2.9393919999999998</v>
      </c>
      <c r="V7713">
        <v>0.15020710000000001</v>
      </c>
      <c r="W7713">
        <v>0.1726608</v>
      </c>
      <c r="X7713">
        <v>0.97346089999999996</v>
      </c>
      <c r="Y7713">
        <v>-0.68977169999999999</v>
      </c>
      <c r="Z7713">
        <v>1.1283059999999999E-2</v>
      </c>
      <c r="AA7713">
        <v>0.723939</v>
      </c>
      <c r="AB7713">
        <v>26</v>
      </c>
      <c r="AC7713">
        <v>-3.4206999999999801</v>
      </c>
      <c r="AD7713">
        <v>-1.0984741613519999</v>
      </c>
      <c r="AE7713">
        <v>0.41610000000000003</v>
      </c>
      <c r="AF7713">
        <v>-1.5794378378048499</v>
      </c>
      <c r="AG7713">
        <v>-1.0984741613519999</v>
      </c>
      <c r="AH7713">
        <v>-2.7000118637186898</v>
      </c>
      <c r="AI7713">
        <v>109.349701365912</v>
      </c>
      <c r="AJ7713">
        <v>-120.32654159747401</v>
      </c>
      <c r="AK7713">
        <v>3.3153179984534402</v>
      </c>
      <c r="AL7713">
        <v>80.057440472890605</v>
      </c>
      <c r="AM7713">
        <v>81.228317481547904</v>
      </c>
      <c r="AN7713">
        <v>1.0000000242879199</v>
      </c>
    </row>
    <row r="7714" spans="1:40" x14ac:dyDescent="0.25">
      <c r="A7714" t="str">
        <f>"20190304155255709"</f>
        <v>20190304155255709</v>
      </c>
      <c r="B7714" t="str">
        <f>"1551685975704347"</f>
        <v>1551685975704347</v>
      </c>
      <c r="C7714" t="s">
        <v>40</v>
      </c>
      <c r="D7714">
        <v>4.8281869999999998</v>
      </c>
      <c r="E7714">
        <v>0.62617789999999995</v>
      </c>
      <c r="F7714" t="s">
        <v>41</v>
      </c>
      <c r="G7714">
        <v>-117.85850000000001</v>
      </c>
      <c r="H7714" s="1">
        <v>-2.9965570000000001E-6</v>
      </c>
      <c r="I7714">
        <v>131.04069999999999</v>
      </c>
      <c r="J7714">
        <v>-173.81639999999999</v>
      </c>
      <c r="K7714">
        <v>1.098552</v>
      </c>
      <c r="L7714">
        <v>135.77189999999999</v>
      </c>
      <c r="M7714">
        <v>0.92438810000000005</v>
      </c>
      <c r="N7714">
        <v>-1.6558369999999999E-2</v>
      </c>
      <c r="O7714">
        <v>0.38109369999999998</v>
      </c>
      <c r="P7714">
        <v>0.95676110000000003</v>
      </c>
      <c r="Q7714">
        <v>0.16252079999999999</v>
      </c>
      <c r="R7714">
        <v>0.2412366</v>
      </c>
      <c r="S7714">
        <v>3.2276609999999999</v>
      </c>
      <c r="T7714">
        <v>-6.3077569999999999E-2</v>
      </c>
      <c r="U7714">
        <v>-0.26661679999999999</v>
      </c>
      <c r="V7714">
        <v>0.14678469999999999</v>
      </c>
      <c r="W7714">
        <v>0.17446500000000001</v>
      </c>
      <c r="X7714">
        <v>0.9736612</v>
      </c>
      <c r="Y7714">
        <v>0.45580549999999997</v>
      </c>
      <c r="Z7714">
        <v>-9.1459179999999994E-3</v>
      </c>
      <c r="AA7714">
        <v>0.89003239999999995</v>
      </c>
      <c r="AB7714">
        <v>26</v>
      </c>
      <c r="AC7714">
        <v>55.957899999999903</v>
      </c>
      <c r="AD7714">
        <v>-1.0985549965570001</v>
      </c>
      <c r="AE7714">
        <v>-4.7312000000000003</v>
      </c>
      <c r="AF7714">
        <v>25.692360802766402</v>
      </c>
      <c r="AG7714">
        <v>-1.0985549965570001</v>
      </c>
      <c r="AH7714">
        <v>49.911533344678702</v>
      </c>
      <c r="AI7714">
        <v>91.121106797795207</v>
      </c>
      <c r="AJ7714">
        <v>62.762492888232899</v>
      </c>
      <c r="AK7714">
        <v>56.146819923455702</v>
      </c>
      <c r="AL7714">
        <v>79.952473651455804</v>
      </c>
      <c r="AM7714">
        <v>81.426909315301103</v>
      </c>
      <c r="AN7714">
        <v>0.99999995838226396</v>
      </c>
    </row>
    <row r="7715" spans="1:40" x14ac:dyDescent="0.25">
      <c r="A7715" t="str">
        <f>"20190304155255731"</f>
        <v>20190304155255731</v>
      </c>
      <c r="B7715" t="str">
        <f>"1551685975724847"</f>
        <v>1551685975724847</v>
      </c>
      <c r="C7715" t="s">
        <v>40</v>
      </c>
      <c r="D7715">
        <v>4.8324720000000001</v>
      </c>
      <c r="E7715">
        <v>0.62189830000000001</v>
      </c>
      <c r="F7715" t="s">
        <v>41</v>
      </c>
      <c r="G7715">
        <v>-131.86279999999999</v>
      </c>
      <c r="H7715" s="1">
        <v>-4.7859420000000001E-6</v>
      </c>
      <c r="I7715">
        <v>132.21530000000001</v>
      </c>
      <c r="J7715">
        <v>-173.56739999999999</v>
      </c>
      <c r="K7715">
        <v>1.098657</v>
      </c>
      <c r="L7715">
        <v>135.8546</v>
      </c>
      <c r="M7715">
        <v>0.93070699999999995</v>
      </c>
      <c r="N7715">
        <v>-1.653783E-2</v>
      </c>
      <c r="O7715">
        <v>0.36539129999999997</v>
      </c>
      <c r="P7715">
        <v>0.95956280000000005</v>
      </c>
      <c r="Q7715">
        <v>0.16408249999999999</v>
      </c>
      <c r="R7715">
        <v>0.2287266</v>
      </c>
      <c r="S7715">
        <v>3.2186889999999999</v>
      </c>
      <c r="T7715">
        <v>-8.4281330000000002E-2</v>
      </c>
      <c r="U7715">
        <v>-0.27285769999999998</v>
      </c>
      <c r="V7715">
        <v>0.1429107</v>
      </c>
      <c r="W7715">
        <v>0.17615549999999999</v>
      </c>
      <c r="X7715">
        <v>0.97393320000000005</v>
      </c>
      <c r="Y7715">
        <v>0.44250679999999998</v>
      </c>
      <c r="Z7715">
        <v>-1.27473E-2</v>
      </c>
      <c r="AA7715">
        <v>0.89667459999999899</v>
      </c>
      <c r="AB7715">
        <v>26</v>
      </c>
      <c r="AC7715">
        <v>41.704599999999999</v>
      </c>
      <c r="AD7715">
        <v>-1.098661785942</v>
      </c>
      <c r="AE7715">
        <v>-3.6392999999999902</v>
      </c>
      <c r="AF7715">
        <v>18.615347794022401</v>
      </c>
      <c r="AG7715">
        <v>-1.098661785942</v>
      </c>
      <c r="AH7715">
        <v>37.464321274176697</v>
      </c>
      <c r="AI7715">
        <v>91.504369750130095</v>
      </c>
      <c r="AJ7715">
        <v>63.578044471516399</v>
      </c>
      <c r="AK7715">
        <v>41.848698901483601</v>
      </c>
      <c r="AL7715">
        <v>79.854092470308302</v>
      </c>
      <c r="AM7715">
        <v>81.652240450222905</v>
      </c>
      <c r="AN7715">
        <v>1.0000000532084801</v>
      </c>
    </row>
    <row r="7716" spans="1:40" x14ac:dyDescent="0.25">
      <c r="A7716" t="str">
        <f>"20190304155255753"</f>
        <v>20190304155255753</v>
      </c>
      <c r="B7716" t="str">
        <f>"1551685975744363"</f>
        <v>1551685975744363</v>
      </c>
      <c r="C7716" t="s">
        <v>40</v>
      </c>
      <c r="D7716">
        <v>4.8220159999999996</v>
      </c>
      <c r="E7716">
        <v>0.62365760000000003</v>
      </c>
      <c r="F7716" t="s">
        <v>41</v>
      </c>
      <c r="G7716">
        <v>-134.08000000000001</v>
      </c>
      <c r="H7716" s="1">
        <v>-3.9221670000000001E-6</v>
      </c>
      <c r="I7716">
        <v>132.39449999999999</v>
      </c>
      <c r="J7716">
        <v>-173.31809999999999</v>
      </c>
      <c r="K7716">
        <v>1.098762</v>
      </c>
      <c r="L7716">
        <v>135.93289999999999</v>
      </c>
      <c r="M7716">
        <v>0.93670759999999997</v>
      </c>
      <c r="N7716">
        <v>-1.6513259999999998E-2</v>
      </c>
      <c r="O7716">
        <v>0.34972340000000002</v>
      </c>
      <c r="P7716">
        <v>0.9621577</v>
      </c>
      <c r="Q7716">
        <v>0.16582079999999999</v>
      </c>
      <c r="R7716">
        <v>0.2162317</v>
      </c>
      <c r="S7716">
        <v>3.20871</v>
      </c>
      <c r="T7716">
        <v>-8.9276079999999994E-2</v>
      </c>
      <c r="U7716">
        <v>-0.28115839999999998</v>
      </c>
      <c r="V7716">
        <v>0.13912269999999999</v>
      </c>
      <c r="W7716">
        <v>0.17801629999999999</v>
      </c>
      <c r="X7716">
        <v>0.97414330000000005</v>
      </c>
      <c r="Y7716">
        <v>0.42993209999999998</v>
      </c>
      <c r="Z7716">
        <v>-1.327922E-2</v>
      </c>
      <c r="AA7716">
        <v>0.9027636</v>
      </c>
      <c r="AB7716">
        <v>26</v>
      </c>
      <c r="AC7716">
        <v>39.238099999999903</v>
      </c>
      <c r="AD7716">
        <v>-1.0987659221670001</v>
      </c>
      <c r="AE7716">
        <v>-3.53839999999999</v>
      </c>
      <c r="AF7716">
        <v>17.026005845802601</v>
      </c>
      <c r="AG7716">
        <v>-1.0987659221670001</v>
      </c>
      <c r="AH7716">
        <v>35.494395786205601</v>
      </c>
      <c r="AI7716">
        <v>91.598770308808795</v>
      </c>
      <c r="AJ7716">
        <v>64.3738264475855</v>
      </c>
      <c r="AK7716">
        <v>39.382030087856499</v>
      </c>
      <c r="AL7716">
        <v>79.745764344769498</v>
      </c>
      <c r="AM7716">
        <v>81.872239500554997</v>
      </c>
      <c r="AN7716">
        <v>1.0000000488279299</v>
      </c>
    </row>
    <row r="7717" spans="1:40" x14ac:dyDescent="0.25">
      <c r="A7717" t="str">
        <f>"20190304155255776"</f>
        <v>20190304155255776</v>
      </c>
      <c r="B7717" t="str">
        <f>"1551685975764192"</f>
        <v>1551685975764192</v>
      </c>
      <c r="C7717" t="s">
        <v>40</v>
      </c>
      <c r="D7717">
        <v>4.7560900000000004</v>
      </c>
      <c r="E7717">
        <v>0.62002650000000004</v>
      </c>
      <c r="F7717" t="s">
        <v>52</v>
      </c>
      <c r="G7717">
        <v>19.939540000000001</v>
      </c>
      <c r="H7717">
        <v>-0.1</v>
      </c>
      <c r="I7717">
        <v>115.7835</v>
      </c>
      <c r="J7717">
        <v>-173.0617</v>
      </c>
      <c r="K7717">
        <v>1.098886</v>
      </c>
      <c r="L7717">
        <v>136.0087</v>
      </c>
      <c r="M7717">
        <v>0.94253799999999999</v>
      </c>
      <c r="N7717">
        <v>-1.6484809999999999E-2</v>
      </c>
      <c r="O7717">
        <v>0.33369219999999999</v>
      </c>
      <c r="P7717">
        <v>0.96470040000000001</v>
      </c>
      <c r="Q7717">
        <v>0.16704539999999901</v>
      </c>
      <c r="R7717">
        <v>0.20359050000000001</v>
      </c>
      <c r="S7717">
        <v>3.196304</v>
      </c>
      <c r="T7717">
        <v>-1.9826409999999999E-2</v>
      </c>
      <c r="U7717">
        <v>-0.33325199999999999</v>
      </c>
      <c r="V7717">
        <v>0.1351871</v>
      </c>
      <c r="W7717">
        <v>0.17936750000000001</v>
      </c>
      <c r="X7717">
        <v>0.97444949999999997</v>
      </c>
      <c r="Y7717">
        <v>0.42964669999999999</v>
      </c>
      <c r="Z7717">
        <v>-1.3792839999999999E-3</v>
      </c>
      <c r="AA7717">
        <v>0.90299600000000002</v>
      </c>
      <c r="AB7717">
        <v>26</v>
      </c>
      <c r="AC7717">
        <v>193.00124</v>
      </c>
      <c r="AD7717">
        <v>-1.1988859999999999</v>
      </c>
      <c r="AE7717">
        <v>-20.225200000000001</v>
      </c>
      <c r="AF7717">
        <v>83.474180369784406</v>
      </c>
      <c r="AG7717">
        <v>-1.1988859999999999</v>
      </c>
      <c r="AH7717">
        <v>175.17911998139701</v>
      </c>
      <c r="AI7717">
        <v>90.353980914583403</v>
      </c>
      <c r="AJ7717">
        <v>64.521845917335597</v>
      </c>
      <c r="AK7717">
        <v>194.054374322006</v>
      </c>
      <c r="AL7717">
        <v>79.667079772597603</v>
      </c>
      <c r="AM7717">
        <v>82.1016695927905</v>
      </c>
      <c r="AN7717">
        <v>1.0000000400564499</v>
      </c>
    </row>
    <row r="7718" spans="1:40" x14ac:dyDescent="0.25">
      <c r="A7718" t="str">
        <f>"20190304155255799"</f>
        <v>20190304155255799</v>
      </c>
      <c r="B7718" t="str">
        <f>"1551685975794448"</f>
        <v>1551685975794448</v>
      </c>
      <c r="C7718" t="s">
        <v>40</v>
      </c>
      <c r="D7718">
        <v>4.7069660000000004</v>
      </c>
      <c r="E7718">
        <v>0.61584450000000002</v>
      </c>
      <c r="F7718" t="s">
        <v>41</v>
      </c>
      <c r="G7718">
        <v>-72.104389999999995</v>
      </c>
      <c r="H7718">
        <v>7.9986420000000003E-2</v>
      </c>
      <c r="I7718">
        <v>125.0408</v>
      </c>
      <c r="J7718">
        <v>-172.80549999999999</v>
      </c>
      <c r="K7718">
        <v>1.099029</v>
      </c>
      <c r="L7718">
        <v>136.08000000000001</v>
      </c>
      <c r="M7718">
        <v>0.94802189999999997</v>
      </c>
      <c r="N7718">
        <v>-1.6452020000000001E-2</v>
      </c>
      <c r="O7718">
        <v>0.31777949999999999</v>
      </c>
      <c r="P7718">
        <v>0.96686139999999998</v>
      </c>
      <c r="Q7718">
        <v>0.16916819999999999</v>
      </c>
      <c r="R7718">
        <v>0.1912102</v>
      </c>
      <c r="S7718">
        <v>3.1884459999999999</v>
      </c>
      <c r="T7718">
        <v>-3.2178999999999999E-2</v>
      </c>
      <c r="U7718">
        <v>-0.34638980000000003</v>
      </c>
      <c r="V7718">
        <v>0.13114629999999999</v>
      </c>
      <c r="W7718">
        <v>0.1816159</v>
      </c>
      <c r="X7718">
        <v>0.97458520000000004</v>
      </c>
      <c r="Y7718">
        <v>0.41830709999999999</v>
      </c>
      <c r="Z7718">
        <v>-3.464913E-3</v>
      </c>
      <c r="AA7718">
        <v>0.90829899999999997</v>
      </c>
      <c r="AB7718">
        <v>26</v>
      </c>
      <c r="AC7718">
        <v>100.70111</v>
      </c>
      <c r="AD7718">
        <v>-1.01904258</v>
      </c>
      <c r="AE7718">
        <v>-11.039199999999999</v>
      </c>
      <c r="AF7718">
        <v>42.4676027890971</v>
      </c>
      <c r="AG7718">
        <v>-1.01904258</v>
      </c>
      <c r="AH7718">
        <v>91.961968361122501</v>
      </c>
      <c r="AI7718">
        <v>90.576389460653004</v>
      </c>
      <c r="AJ7718">
        <v>65.212730104085495</v>
      </c>
      <c r="AK7718">
        <v>101.299256459682</v>
      </c>
      <c r="AL7718">
        <v>79.536104422627702</v>
      </c>
      <c r="AM7718">
        <v>82.335959450098201</v>
      </c>
      <c r="AN7718">
        <v>0.99999999959776997</v>
      </c>
    </row>
    <row r="7719" spans="1:40" x14ac:dyDescent="0.25">
      <c r="A7719" t="str">
        <f>"20190304155255820"</f>
        <v>20190304155255820</v>
      </c>
      <c r="B7719" t="str">
        <f>"1551685975814944"</f>
        <v>1551685975814944</v>
      </c>
      <c r="C7719" t="s">
        <v>40</v>
      </c>
      <c r="D7719">
        <v>4.7974709999999998</v>
      </c>
      <c r="E7719">
        <v>0.61141179999999995</v>
      </c>
      <c r="F7719" t="s">
        <v>41</v>
      </c>
      <c r="G7719">
        <v>-88.207969999999904</v>
      </c>
      <c r="H7719">
        <v>7.9986009999999996E-2</v>
      </c>
      <c r="I7719">
        <v>126.6845</v>
      </c>
      <c r="J7719">
        <v>-172.55599999999899</v>
      </c>
      <c r="K7719">
        <v>1.0991869999999999</v>
      </c>
      <c r="L7719">
        <v>136.14519999999999</v>
      </c>
      <c r="M7719">
        <v>0.9530286</v>
      </c>
      <c r="N7719">
        <v>-1.641339E-2</v>
      </c>
      <c r="O7719">
        <v>0.30243540000000002</v>
      </c>
      <c r="P7719">
        <v>0.96875199999999995</v>
      </c>
      <c r="Q7719">
        <v>0.17061670000000001</v>
      </c>
      <c r="R7719">
        <v>0.18002689999999999</v>
      </c>
      <c r="S7719">
        <v>3.1793520000000002</v>
      </c>
      <c r="T7719">
        <v>-3.8297770000000002E-2</v>
      </c>
      <c r="U7719">
        <v>-0.35310360000000002</v>
      </c>
      <c r="V7719">
        <v>0.1265579</v>
      </c>
      <c r="W7719">
        <v>0.18320529999999999</v>
      </c>
      <c r="X7719">
        <v>0.97489429999999999</v>
      </c>
      <c r="Y7719">
        <v>0.40577010000000002</v>
      </c>
      <c r="Z7719">
        <v>-4.3927609999999898E-3</v>
      </c>
      <c r="AA7719">
        <v>0.91396460000000002</v>
      </c>
      <c r="AB7719">
        <v>25</v>
      </c>
      <c r="AC7719">
        <v>84.348029999999994</v>
      </c>
      <c r="AD7719">
        <v>-1.0192009900000001</v>
      </c>
      <c r="AE7719">
        <v>-9.4606999999999797</v>
      </c>
      <c r="AF7719">
        <v>34.525819700251397</v>
      </c>
      <c r="AG7719">
        <v>-1.0192009900000001</v>
      </c>
      <c r="AH7719">
        <v>77.524097488074702</v>
      </c>
      <c r="AI7719">
        <v>90.688072961111601</v>
      </c>
      <c r="AJ7719">
        <v>65.993913866781895</v>
      </c>
      <c r="AK7719">
        <v>84.870823537731795</v>
      </c>
      <c r="AL7719">
        <v>79.443484463218098</v>
      </c>
      <c r="AM7719">
        <v>82.603396289860001</v>
      </c>
      <c r="AN7719">
        <v>0.99999999008649498</v>
      </c>
    </row>
    <row r="7720" spans="1:40" x14ac:dyDescent="0.25">
      <c r="A7720" t="str">
        <f>"20190304155255843"</f>
        <v>20190304155255843</v>
      </c>
      <c r="B7720" t="str">
        <f>"1551685975834466"</f>
        <v>1551685975834466</v>
      </c>
      <c r="C7720" t="s">
        <v>40</v>
      </c>
      <c r="D7720">
        <v>4.7625159999999997</v>
      </c>
      <c r="E7720">
        <v>0.60759439999999998</v>
      </c>
      <c r="F7720" t="s">
        <v>41</v>
      </c>
      <c r="G7720">
        <v>-106.6067</v>
      </c>
      <c r="H7720">
        <v>7.998624E-2</v>
      </c>
      <c r="I7720">
        <v>128.7766</v>
      </c>
      <c r="J7720">
        <v>-172.30529999999999</v>
      </c>
      <c r="K7720">
        <v>1.099372</v>
      </c>
      <c r="L7720">
        <v>136.20660000000001</v>
      </c>
      <c r="M7720">
        <v>0.95773319999999995</v>
      </c>
      <c r="N7720">
        <v>-1.6366189999999999E-2</v>
      </c>
      <c r="O7720">
        <v>0.28719260000000002</v>
      </c>
      <c r="P7720">
        <v>0.97054209999999996</v>
      </c>
      <c r="Q7720">
        <v>0.1718016</v>
      </c>
      <c r="R7720">
        <v>0.1689155</v>
      </c>
      <c r="S7720">
        <v>3.1712340000000001</v>
      </c>
      <c r="T7720">
        <v>-4.9009200000000003E-2</v>
      </c>
      <c r="U7720">
        <v>-0.35432429999999998</v>
      </c>
      <c r="V7720">
        <v>0.12205340000000001</v>
      </c>
      <c r="W7720">
        <v>0.1845251</v>
      </c>
      <c r="X7720">
        <v>0.97521970000000002</v>
      </c>
      <c r="Y7720">
        <v>0.39172190000000001</v>
      </c>
      <c r="Z7720">
        <v>-5.9101900000000001E-3</v>
      </c>
      <c r="AA7720">
        <v>0.92006469999999996</v>
      </c>
      <c r="AB7720">
        <v>25</v>
      </c>
      <c r="AC7720">
        <v>65.6985999999999</v>
      </c>
      <c r="AD7720">
        <v>-1.01938576</v>
      </c>
      <c r="AE7720">
        <v>-7.43</v>
      </c>
      <c r="AF7720">
        <v>25.981409849957899</v>
      </c>
      <c r="AG7720">
        <v>-1.01938576</v>
      </c>
      <c r="AH7720">
        <v>60.781573937520101</v>
      </c>
      <c r="AI7720">
        <v>90.883515572844999</v>
      </c>
      <c r="AJ7720">
        <v>66.8554544462894</v>
      </c>
      <c r="AK7720">
        <v>66.109549502635403</v>
      </c>
      <c r="AL7720">
        <v>79.366554084776396</v>
      </c>
      <c r="AM7720">
        <v>82.866252416440204</v>
      </c>
      <c r="AN7720">
        <v>1.00000000412483</v>
      </c>
    </row>
    <row r="7721" spans="1:40" x14ac:dyDescent="0.25">
      <c r="A7721" t="str">
        <f>"20190304155255865"</f>
        <v>20190304155255865</v>
      </c>
      <c r="B7721" t="str">
        <f>"1551685975854322"</f>
        <v>1551685975854322</v>
      </c>
      <c r="C7721" t="s">
        <v>40</v>
      </c>
      <c r="D7721">
        <v>4.779274</v>
      </c>
      <c r="E7721">
        <v>0.58061719999999895</v>
      </c>
      <c r="F7721" t="s">
        <v>41</v>
      </c>
      <c r="G7721">
        <v>-115.62009999999999</v>
      </c>
      <c r="H7721" s="1">
        <v>-4.0987939999999999E-6</v>
      </c>
      <c r="I7721">
        <v>129.761</v>
      </c>
      <c r="J7721">
        <v>-172.05420000000001</v>
      </c>
      <c r="K7721">
        <v>1.09958</v>
      </c>
      <c r="L7721">
        <v>136.26410000000001</v>
      </c>
      <c r="M7721">
        <v>0.96211630000000004</v>
      </c>
      <c r="N7721">
        <v>-1.6310479999999999E-2</v>
      </c>
      <c r="O7721">
        <v>0.27215109999999998</v>
      </c>
      <c r="P7721">
        <v>0.9722307</v>
      </c>
      <c r="Q7721">
        <v>0.17213220000000001</v>
      </c>
      <c r="R7721">
        <v>0.1585502</v>
      </c>
      <c r="S7721">
        <v>3.1645509999999999</v>
      </c>
      <c r="T7721">
        <v>-6.137455E-2</v>
      </c>
      <c r="U7721">
        <v>-0.35983280000000001</v>
      </c>
      <c r="V7721">
        <v>0.11706179999999999</v>
      </c>
      <c r="W7721">
        <v>0.1850031</v>
      </c>
      <c r="X7721">
        <v>0.97574090000000002</v>
      </c>
      <c r="Y7721">
        <v>0.379029</v>
      </c>
      <c r="Z7721">
        <v>-7.5452729999999999E-3</v>
      </c>
      <c r="AA7721">
        <v>0.92535409999999996</v>
      </c>
      <c r="AB7721">
        <v>25</v>
      </c>
      <c r="AC7721">
        <v>56.434100000000001</v>
      </c>
      <c r="AD7721">
        <v>-1.099584098794</v>
      </c>
      <c r="AE7721">
        <v>-6.5031000000000097</v>
      </c>
      <c r="AF7721">
        <v>21.610119774851398</v>
      </c>
      <c r="AG7721">
        <v>-1.099584098794</v>
      </c>
      <c r="AH7721">
        <v>52.513654069090997</v>
      </c>
      <c r="AI7721">
        <v>91.109311267119907</v>
      </c>
      <c r="AJ7721">
        <v>67.632133141998295</v>
      </c>
      <c r="AK7721">
        <v>56.796920916207199</v>
      </c>
      <c r="AL7721">
        <v>79.338686412323398</v>
      </c>
      <c r="AM7721">
        <v>83.158795785515295</v>
      </c>
      <c r="AN7721">
        <v>0.99999995798082897</v>
      </c>
    </row>
    <row r="7722" spans="1:40" x14ac:dyDescent="0.25">
      <c r="A7722" t="str">
        <f>"20190304155255888"</f>
        <v>20190304155255888</v>
      </c>
      <c r="B7722" t="str">
        <f>"1551685975884579"</f>
        <v>1551685975884579</v>
      </c>
      <c r="C7722" t="s">
        <v>40</v>
      </c>
      <c r="D7722">
        <v>4.8033169999999998</v>
      </c>
      <c r="E7722">
        <v>0.57529600000000003</v>
      </c>
      <c r="F7722" t="s">
        <v>41</v>
      </c>
      <c r="G7722">
        <v>-147.34479999999999</v>
      </c>
      <c r="H7722" s="1">
        <v>-2.1638610000000001E-6</v>
      </c>
      <c r="I7722">
        <v>134.8272</v>
      </c>
      <c r="J7722">
        <v>-171.79769999999999</v>
      </c>
      <c r="K7722">
        <v>1.0998190000000001</v>
      </c>
      <c r="L7722">
        <v>136.31890000000001</v>
      </c>
      <c r="M7722">
        <v>0.96626290000000004</v>
      </c>
      <c r="N7722">
        <v>-1.6245699999999998E-2</v>
      </c>
      <c r="O7722">
        <v>0.25704480000000002</v>
      </c>
      <c r="P7722">
        <v>0.97368209999999999</v>
      </c>
      <c r="Q7722">
        <v>0.17218639999999999</v>
      </c>
      <c r="R7722">
        <v>0.1493158</v>
      </c>
      <c r="S7722">
        <v>3.1402130000000001</v>
      </c>
      <c r="T7722">
        <v>-0.1397409</v>
      </c>
      <c r="U7722">
        <v>-0.18260190000000001</v>
      </c>
      <c r="V7722">
        <v>0.1109053</v>
      </c>
      <c r="W7722">
        <v>0.18523220000000001</v>
      </c>
      <c r="X7722">
        <v>0.97641639999999996</v>
      </c>
      <c r="Y7722">
        <v>0.31222719999999998</v>
      </c>
      <c r="Z7722">
        <v>-1.6625879999999999E-2</v>
      </c>
      <c r="AA7722">
        <v>0.94986190000000004</v>
      </c>
      <c r="AB7722">
        <v>25</v>
      </c>
      <c r="AC7722">
        <v>24.4529</v>
      </c>
      <c r="AD7722">
        <v>-1.099821163861</v>
      </c>
      <c r="AE7722">
        <v>-1.4917</v>
      </c>
      <c r="AF7722">
        <v>7.71234145008808</v>
      </c>
      <c r="AG7722">
        <v>-1.099821163861</v>
      </c>
      <c r="AH7722">
        <v>23.2008051054821</v>
      </c>
      <c r="AI7722">
        <v>92.575665598977807</v>
      </c>
      <c r="AJ7722">
        <v>71.612317280109096</v>
      </c>
      <c r="AK7722">
        <v>24.4738058907434</v>
      </c>
      <c r="AL7722">
        <v>79.325329213527297</v>
      </c>
      <c r="AM7722">
        <v>83.519887154555605</v>
      </c>
      <c r="AN7722">
        <v>0.99999996983694395</v>
      </c>
    </row>
    <row r="7723" spans="1:40" x14ac:dyDescent="0.25">
      <c r="A7723" t="str">
        <f>"20190304155255909"</f>
        <v>20190304155255909</v>
      </c>
      <c r="B7723" t="str">
        <f>"1551685975905078"</f>
        <v>1551685975905078</v>
      </c>
      <c r="C7723" t="s">
        <v>40</v>
      </c>
      <c r="D7723">
        <v>4.8062120000000004</v>
      </c>
      <c r="E7723">
        <v>0.57295819999999997</v>
      </c>
      <c r="F7723" t="s">
        <v>41</v>
      </c>
      <c r="G7723">
        <v>-149.67769999999999</v>
      </c>
      <c r="H7723" s="1">
        <v>-1.2918390000000001E-6</v>
      </c>
      <c r="I7723">
        <v>135.12090000000001</v>
      </c>
      <c r="J7723">
        <v>-171.5461</v>
      </c>
      <c r="K7723">
        <v>1.100074</v>
      </c>
      <c r="L7723">
        <v>136.36869999999999</v>
      </c>
      <c r="M7723">
        <v>0.97000299999999995</v>
      </c>
      <c r="N7723">
        <v>-1.6174089999999999E-2</v>
      </c>
      <c r="O7723">
        <v>0.2425542</v>
      </c>
      <c r="P7723">
        <v>0.97485359999999999</v>
      </c>
      <c r="Q7723">
        <v>0.17231629999999901</v>
      </c>
      <c r="R7723">
        <v>0.14130690000000001</v>
      </c>
      <c r="S7723">
        <v>3.134674</v>
      </c>
      <c r="T7723">
        <v>-0.15585769999999999</v>
      </c>
      <c r="U7723">
        <v>-0.16976930000000001</v>
      </c>
      <c r="V7723">
        <v>0.1041747</v>
      </c>
      <c r="W7723">
        <v>0.1855434</v>
      </c>
      <c r="X7723">
        <v>0.97709840000000003</v>
      </c>
      <c r="Y7723">
        <v>0.29408289999999998</v>
      </c>
      <c r="Z7723">
        <v>-1.7713219999999998E-2</v>
      </c>
      <c r="AA7723">
        <v>0.95561580000000002</v>
      </c>
      <c r="AB7723">
        <v>25</v>
      </c>
      <c r="AC7723">
        <v>21.868400000000001</v>
      </c>
      <c r="AD7723">
        <v>-1.100075291839</v>
      </c>
      <c r="AE7723">
        <v>-1.24779999999998</v>
      </c>
      <c r="AF7723">
        <v>6.49910164931942</v>
      </c>
      <c r="AG7723">
        <v>-1.100075291839</v>
      </c>
      <c r="AH7723">
        <v>20.8598752731023</v>
      </c>
      <c r="AI7723">
        <v>92.882369546708006</v>
      </c>
      <c r="AJ7723">
        <v>72.695057609924802</v>
      </c>
      <c r="AK7723">
        <v>21.876537301531201</v>
      </c>
      <c r="AL7723">
        <v>79.307184582658493</v>
      </c>
      <c r="AM7723">
        <v>83.914320331855095</v>
      </c>
      <c r="AN7723">
        <v>1.0000000023430999</v>
      </c>
    </row>
    <row r="7724" spans="1:40" x14ac:dyDescent="0.25">
      <c r="A7724" t="str">
        <f>"20190304155255932"</f>
        <v>20190304155255932</v>
      </c>
      <c r="B7724" t="str">
        <f>"1551685975924594"</f>
        <v>1551685975924594</v>
      </c>
      <c r="C7724" t="s">
        <v>40</v>
      </c>
      <c r="D7724">
        <v>4.8299529999999997</v>
      </c>
      <c r="E7724">
        <v>0.57126060000000001</v>
      </c>
      <c r="F7724" t="s">
        <v>41</v>
      </c>
      <c r="G7724">
        <v>-149.6611</v>
      </c>
      <c r="H7724" s="1">
        <v>-1.2941010000000001E-6</v>
      </c>
      <c r="I7724">
        <v>135.1335</v>
      </c>
      <c r="J7724">
        <v>-171.2877</v>
      </c>
      <c r="K7724">
        <v>1.100344</v>
      </c>
      <c r="L7724">
        <v>136.4161</v>
      </c>
      <c r="M7724">
        <v>0.97354099999999999</v>
      </c>
      <c r="N7724">
        <v>-1.609785E-2</v>
      </c>
      <c r="O7724">
        <v>0.2279448</v>
      </c>
      <c r="P7724">
        <v>0.97581280000000004</v>
      </c>
      <c r="Q7724">
        <v>0.1727677</v>
      </c>
      <c r="R7724">
        <v>0.133943799999999</v>
      </c>
      <c r="S7724">
        <v>3.130798</v>
      </c>
      <c r="T7724">
        <v>-0.1573734</v>
      </c>
      <c r="U7724">
        <v>-0.17669679999999999</v>
      </c>
      <c r="V7724">
        <v>9.671188E-2</v>
      </c>
      <c r="W7724">
        <v>0.18618009999999999</v>
      </c>
      <c r="X7724">
        <v>0.97774419999999995</v>
      </c>
      <c r="Y7724">
        <v>0.28187909999999999</v>
      </c>
      <c r="Z7724">
        <v>-1.7046990000000001E-2</v>
      </c>
      <c r="AA7724">
        <v>0.95929850000000005</v>
      </c>
      <c r="AB7724">
        <v>25</v>
      </c>
      <c r="AC7724">
        <v>21.6266</v>
      </c>
      <c r="AD7724">
        <v>-1.1003452941009999</v>
      </c>
      <c r="AE7724">
        <v>-1.2826</v>
      </c>
      <c r="AF7724">
        <v>6.1632363838542297</v>
      </c>
      <c r="AG7724">
        <v>-1.1003452941009999</v>
      </c>
      <c r="AH7724">
        <v>20.711282573990701</v>
      </c>
      <c r="AI7724">
        <v>92.915042404115198</v>
      </c>
      <c r="AJ7724">
        <v>73.428116314964797</v>
      </c>
      <c r="AK7724">
        <v>21.636854400517802</v>
      </c>
      <c r="AL7724">
        <v>79.270057090601696</v>
      </c>
      <c r="AM7724">
        <v>84.351061800032497</v>
      </c>
      <c r="AN7724">
        <v>0.99999996900139099</v>
      </c>
    </row>
    <row r="7725" spans="1:40" x14ac:dyDescent="0.25">
      <c r="A7725" t="str">
        <f>"20190304155255954"</f>
        <v>20190304155255954</v>
      </c>
      <c r="B7725" t="str">
        <f>"1551685975945090"</f>
        <v>1551685975945090</v>
      </c>
      <c r="C7725" t="s">
        <v>40</v>
      </c>
      <c r="D7725">
        <v>4.8061420000000004</v>
      </c>
      <c r="E7725">
        <v>0.57007379999999996</v>
      </c>
      <c r="F7725" t="s">
        <v>41</v>
      </c>
      <c r="G7725">
        <v>-149.16380000000001</v>
      </c>
      <c r="H7725" s="1">
        <v>-1.472827E-6</v>
      </c>
      <c r="I7725">
        <v>135.09790000000001</v>
      </c>
      <c r="J7725">
        <v>-171.03710000000001</v>
      </c>
      <c r="K7725">
        <v>1.100598</v>
      </c>
      <c r="L7725">
        <v>136.45859999999999</v>
      </c>
      <c r="M7725">
        <v>0.9766861</v>
      </c>
      <c r="N7725">
        <v>-1.6024110000000001E-2</v>
      </c>
      <c r="O7725">
        <v>0.21407419999999999</v>
      </c>
      <c r="P7725">
        <v>0.97668120000000003</v>
      </c>
      <c r="Q7725">
        <v>0.17248859999999999</v>
      </c>
      <c r="R7725">
        <v>0.12783510000000001</v>
      </c>
      <c r="S7725">
        <v>3.1274570000000002</v>
      </c>
      <c r="T7725">
        <v>-0.1555462</v>
      </c>
      <c r="U7725">
        <v>-0.18634029999999999</v>
      </c>
      <c r="V7725">
        <v>8.8787270000000001E-2</v>
      </c>
      <c r="W7725">
        <v>0.1860897</v>
      </c>
      <c r="X7725">
        <v>0.97851290000000002</v>
      </c>
      <c r="Y7725">
        <v>0.27125949999999999</v>
      </c>
      <c r="Z7725">
        <v>-1.605767E-2</v>
      </c>
      <c r="AA7725">
        <v>0.96237229999999996</v>
      </c>
      <c r="AB7725">
        <v>25</v>
      </c>
      <c r="AC7725">
        <v>21.8733</v>
      </c>
      <c r="AD7725">
        <v>-1.1005994728270001</v>
      </c>
      <c r="AE7725">
        <v>-1.36069999999998</v>
      </c>
      <c r="AF7725">
        <v>5.9971320658253502</v>
      </c>
      <c r="AG7725">
        <v>-1.1005994728270001</v>
      </c>
      <c r="AH7725">
        <v>21.021742559604998</v>
      </c>
      <c r="AI7725">
        <v>92.8822145083913</v>
      </c>
      <c r="AJ7725">
        <v>74.077487154287695</v>
      </c>
      <c r="AK7725">
        <v>21.8881377110262</v>
      </c>
      <c r="AL7725">
        <v>79.275329370152704</v>
      </c>
      <c r="AM7725">
        <v>84.815353700936299</v>
      </c>
      <c r="AN7725">
        <v>1.0000000256132699</v>
      </c>
    </row>
    <row r="7726" spans="1:40" x14ac:dyDescent="0.25">
      <c r="A7726" t="str">
        <f>"20190304155255977"</f>
        <v>20190304155255977</v>
      </c>
      <c r="B7726" t="str">
        <f>"1551685975974370"</f>
        <v>1551685975974370</v>
      </c>
      <c r="C7726" t="s">
        <v>40</v>
      </c>
      <c r="D7726">
        <v>4.8143529999999997</v>
      </c>
      <c r="E7726">
        <v>0.56911730000000005</v>
      </c>
      <c r="F7726" t="s">
        <v>41</v>
      </c>
      <c r="G7726">
        <v>-149.25360000000001</v>
      </c>
      <c r="H7726" s="1">
        <v>-1.441942E-6</v>
      </c>
      <c r="I7726">
        <v>135.09909999999999</v>
      </c>
      <c r="J7726">
        <v>-170.7833</v>
      </c>
      <c r="K7726">
        <v>1.10087</v>
      </c>
      <c r="L7726">
        <v>136.4983</v>
      </c>
      <c r="M7726">
        <v>0.97959220000000002</v>
      </c>
      <c r="N7726">
        <v>-1.5946760000000001E-2</v>
      </c>
      <c r="O7726">
        <v>0.2003617</v>
      </c>
      <c r="P7726">
        <v>0.97743650000000004</v>
      </c>
      <c r="Q7726">
        <v>0.17202029999999999</v>
      </c>
      <c r="R7726">
        <v>0.1225841</v>
      </c>
      <c r="S7726">
        <v>3.1250460000000002</v>
      </c>
      <c r="T7726">
        <v>-0.15789120000000001</v>
      </c>
      <c r="U7726">
        <v>-0.19503780000000001</v>
      </c>
      <c r="V7726">
        <v>8.0187220000000003E-2</v>
      </c>
      <c r="W7726">
        <v>0.1858156</v>
      </c>
      <c r="X7726">
        <v>0.97930720000000004</v>
      </c>
      <c r="Y7726">
        <v>0.26047160000000003</v>
      </c>
      <c r="Z7726">
        <v>-1.551895E-2</v>
      </c>
      <c r="AA7726">
        <v>0.96535680000000001</v>
      </c>
      <c r="AB7726">
        <v>25</v>
      </c>
      <c r="AC7726">
        <v>21.529699999999899</v>
      </c>
      <c r="AD7726">
        <v>-1.100871441942</v>
      </c>
      <c r="AE7726">
        <v>-1.3992</v>
      </c>
      <c r="AF7726">
        <v>5.6703326102701403</v>
      </c>
      <c r="AG7726">
        <v>-1.100871441942</v>
      </c>
      <c r="AH7726">
        <v>20.758580589450801</v>
      </c>
      <c r="AI7726">
        <v>92.9285783487787</v>
      </c>
      <c r="AJ7726">
        <v>74.722015577539594</v>
      </c>
      <c r="AK7726">
        <v>21.547233185063401</v>
      </c>
      <c r="AL7726">
        <v>79.291312744402205</v>
      </c>
      <c r="AM7726">
        <v>85.318973915058606</v>
      </c>
      <c r="AN7726">
        <v>1.00000000971326</v>
      </c>
    </row>
    <row r="7727" spans="1:40" x14ac:dyDescent="0.25">
      <c r="A7727" t="str">
        <f>"20190304155256000"</f>
        <v>20190304155256000</v>
      </c>
      <c r="B7727" t="str">
        <f>"1551685975994866"</f>
        <v>1551685975994866</v>
      </c>
      <c r="C7727" t="s">
        <v>40</v>
      </c>
      <c r="D7727">
        <v>4.8156660000000002</v>
      </c>
      <c r="E7727">
        <v>0.5680113</v>
      </c>
      <c r="F7727" t="s">
        <v>41</v>
      </c>
      <c r="G7727">
        <v>-149.04839999999999</v>
      </c>
      <c r="H7727" s="1">
        <v>-1.517099E-6</v>
      </c>
      <c r="I7727">
        <v>135.07910000000001</v>
      </c>
      <c r="J7727">
        <v>-170.51929999999999</v>
      </c>
      <c r="K7727">
        <v>1.101183</v>
      </c>
      <c r="L7727">
        <v>136.53630000000001</v>
      </c>
      <c r="M7727">
        <v>0.98232439999999999</v>
      </c>
      <c r="N7727">
        <v>-1.58587E-2</v>
      </c>
      <c r="O7727">
        <v>0.18651390000000001</v>
      </c>
      <c r="P7727">
        <v>0.97777919999999996</v>
      </c>
      <c r="Q7727">
        <v>0.1731665</v>
      </c>
      <c r="R7727">
        <v>0.1181594</v>
      </c>
      <c r="S7727">
        <v>3.1226500000000001</v>
      </c>
      <c r="T7727">
        <v>-0.15816150000000001</v>
      </c>
      <c r="U7727">
        <v>-0.20388790000000001</v>
      </c>
      <c r="V7727">
        <v>7.0615869999999997E-2</v>
      </c>
      <c r="W7727">
        <v>0.18715870000000001</v>
      </c>
      <c r="X7727">
        <v>0.9797882</v>
      </c>
      <c r="Y7727">
        <v>0.24962219999999999</v>
      </c>
      <c r="Z7727">
        <v>-1.473534E-2</v>
      </c>
      <c r="AA7727">
        <v>0.96823119999999996</v>
      </c>
      <c r="AB7727">
        <v>25</v>
      </c>
      <c r="AC7727">
        <v>21.4709</v>
      </c>
      <c r="AD7727">
        <v>-1.101184517099</v>
      </c>
      <c r="AE7727">
        <v>-1.4572000000000001</v>
      </c>
      <c r="AF7727">
        <v>5.4225496779644002</v>
      </c>
      <c r="AG7727">
        <v>-1.101184517099</v>
      </c>
      <c r="AH7727">
        <v>20.767840783805301</v>
      </c>
      <c r="AI7727">
        <v>92.936903031594298</v>
      </c>
      <c r="AJ7727">
        <v>75.366593391398197</v>
      </c>
      <c r="AK7727">
        <v>21.4923210280364</v>
      </c>
      <c r="AL7727">
        <v>79.212984030969395</v>
      </c>
      <c r="AM7727">
        <v>85.877672854121798</v>
      </c>
      <c r="AN7727">
        <v>0.99999994847039197</v>
      </c>
    </row>
    <row r="7728" spans="1:40" x14ac:dyDescent="0.25">
      <c r="A7728" t="str">
        <f>"20190304155256023"</f>
        <v>20190304155256023</v>
      </c>
      <c r="B7728" t="str">
        <f>"1551685976014386"</f>
        <v>1551685976014386</v>
      </c>
      <c r="C7728" t="s">
        <v>40</v>
      </c>
      <c r="D7728">
        <v>4.8798389999999996</v>
      </c>
      <c r="E7728">
        <v>0.56686059999999905</v>
      </c>
      <c r="F7728" t="s">
        <v>41</v>
      </c>
      <c r="G7728">
        <v>-148.44739999999999</v>
      </c>
      <c r="H7728" s="1">
        <v>-1.729425E-6</v>
      </c>
      <c r="I7728">
        <v>135.0498</v>
      </c>
      <c r="J7728">
        <v>-170.26390000000001</v>
      </c>
      <c r="K7728">
        <v>1.1015189999999999</v>
      </c>
      <c r="L7728">
        <v>136.56979999999999</v>
      </c>
      <c r="M7728">
        <v>0.98469870000000004</v>
      </c>
      <c r="N7728">
        <v>-1.576524E-2</v>
      </c>
      <c r="O7728">
        <v>0.17355129999999999</v>
      </c>
      <c r="P7728">
        <v>0.97791349999999999</v>
      </c>
      <c r="Q7728">
        <v>0.1746578</v>
      </c>
      <c r="R7728">
        <v>0.1148042</v>
      </c>
      <c r="S7728">
        <v>3.1211549999999999</v>
      </c>
      <c r="T7728">
        <v>-0.1557164</v>
      </c>
      <c r="U7728">
        <v>-0.21018980000000001</v>
      </c>
      <c r="V7728">
        <v>6.0869100000000002E-2</v>
      </c>
      <c r="W7728">
        <v>0.18883349999999999</v>
      </c>
      <c r="X7728">
        <v>0.98012080000000001</v>
      </c>
      <c r="Y7728">
        <v>0.23886299999999999</v>
      </c>
      <c r="Z7728">
        <v>-1.371928E-2</v>
      </c>
      <c r="AA7728">
        <v>0.97095640000000005</v>
      </c>
      <c r="AB7728">
        <v>25</v>
      </c>
      <c r="AC7728">
        <v>21.816500000000001</v>
      </c>
      <c r="AD7728">
        <v>-1.101520729425</v>
      </c>
      <c r="AE7728">
        <v>-1.51999999999998</v>
      </c>
      <c r="AF7728">
        <v>5.2703097582708303</v>
      </c>
      <c r="AG7728">
        <v>-1.101520729425</v>
      </c>
      <c r="AH7728">
        <v>21.167815544899899</v>
      </c>
      <c r="AI7728">
        <v>92.890748925532606</v>
      </c>
      <c r="AJ7728">
        <v>76.018908639081403</v>
      </c>
      <c r="AK7728">
        <v>21.841838929183201</v>
      </c>
      <c r="AL7728">
        <v>79.115283140808899</v>
      </c>
      <c r="AM7728">
        <v>86.446285785796704</v>
      </c>
      <c r="AN7728">
        <v>0.99999996032484895</v>
      </c>
    </row>
    <row r="7729" spans="1:40" x14ac:dyDescent="0.25">
      <c r="A7729" t="str">
        <f>"20190304155256043"</f>
        <v>20190304155256043</v>
      </c>
      <c r="B7729" t="str">
        <f>"1551685976034883"</f>
        <v>1551685976034883</v>
      </c>
      <c r="C7729" t="s">
        <v>40</v>
      </c>
      <c r="D7729">
        <v>4.9069969999999996</v>
      </c>
      <c r="E7729">
        <v>0.56619540000000002</v>
      </c>
      <c r="F7729" t="s">
        <v>41</v>
      </c>
      <c r="G7729">
        <v>-147.94309999999999</v>
      </c>
      <c r="H7729" s="1">
        <v>-1.90046E-6</v>
      </c>
      <c r="I7729">
        <v>135.05199999999999</v>
      </c>
      <c r="J7729">
        <v>-170.02</v>
      </c>
      <c r="K7729">
        <v>1.1018810000000001</v>
      </c>
      <c r="L7729">
        <v>136.59899999999999</v>
      </c>
      <c r="M7729">
        <v>0.98672910000000003</v>
      </c>
      <c r="N7729">
        <v>-1.567056E-2</v>
      </c>
      <c r="O7729">
        <v>0.1616165</v>
      </c>
      <c r="P7729">
        <v>0.97851410000000005</v>
      </c>
      <c r="Q7729">
        <v>0.17536599999999999</v>
      </c>
      <c r="R7729">
        <v>0.1084302</v>
      </c>
      <c r="S7729">
        <v>3.1201629999999998</v>
      </c>
      <c r="T7729">
        <v>-0.15397829999999901</v>
      </c>
      <c r="U7729">
        <v>-0.21215819999999999</v>
      </c>
      <c r="V7729">
        <v>5.5202099999999997E-2</v>
      </c>
      <c r="W7729">
        <v>0.18962109999999999</v>
      </c>
      <c r="X7729">
        <v>0.98030439999999996</v>
      </c>
      <c r="Y7729">
        <v>0.22775680000000001</v>
      </c>
      <c r="Z7729">
        <v>-1.281062E-2</v>
      </c>
      <c r="AA7729">
        <v>0.97363379999999999</v>
      </c>
      <c r="AB7729">
        <v>25</v>
      </c>
      <c r="AC7729">
        <v>22.076899999999998</v>
      </c>
      <c r="AD7729">
        <v>-1.1018829004599999</v>
      </c>
      <c r="AE7729">
        <v>-1.54699999999996</v>
      </c>
      <c r="AF7729">
        <v>5.0824882019293902</v>
      </c>
      <c r="AG7729">
        <v>-1.1018829004599999</v>
      </c>
      <c r="AH7729">
        <v>21.483289880654699</v>
      </c>
      <c r="AI7729">
        <v>92.8574020337322</v>
      </c>
      <c r="AJ7729">
        <v>76.689761473025996</v>
      </c>
      <c r="AK7729">
        <v>22.1037909948795</v>
      </c>
      <c r="AL7729">
        <v>79.069327970286693</v>
      </c>
      <c r="AM7729">
        <v>86.777010671226193</v>
      </c>
      <c r="AN7729">
        <v>1.00000007503448</v>
      </c>
    </row>
    <row r="7730" spans="1:40" x14ac:dyDescent="0.25">
      <c r="A7730" t="str">
        <f>"20190304155256066"</f>
        <v>20190304155256066</v>
      </c>
      <c r="B7730" t="str">
        <f>"1551685976054402"</f>
        <v>1551685976054402</v>
      </c>
      <c r="C7730" t="s">
        <v>40</v>
      </c>
      <c r="D7730">
        <v>4.9305960000000004</v>
      </c>
      <c r="E7730">
        <v>0.55163399999999996</v>
      </c>
      <c r="F7730" t="s">
        <v>41</v>
      </c>
      <c r="G7730">
        <v>-147.67230000000001</v>
      </c>
      <c r="H7730" s="1">
        <v>-2.014373E-6</v>
      </c>
      <c r="I7730">
        <v>134.97020000000001</v>
      </c>
      <c r="J7730">
        <v>-169.76660000000001</v>
      </c>
      <c r="K7730">
        <v>1.1022799999999999</v>
      </c>
      <c r="L7730">
        <v>136.6268</v>
      </c>
      <c r="M7730">
        <v>0.98860859999999995</v>
      </c>
      <c r="N7730">
        <v>-1.556887E-2</v>
      </c>
      <c r="O7730">
        <v>0.149701799999999</v>
      </c>
      <c r="P7730">
        <v>0.97903379999999995</v>
      </c>
      <c r="Q7730">
        <v>0.173588299999999</v>
      </c>
      <c r="R7730">
        <v>0.1065837</v>
      </c>
      <c r="S7730">
        <v>3.1186069999999999</v>
      </c>
      <c r="T7730">
        <v>-0.15376679999999901</v>
      </c>
      <c r="U7730">
        <v>-0.22729489999999999</v>
      </c>
      <c r="V7730">
        <v>4.501964E-2</v>
      </c>
      <c r="W7730">
        <v>0.18801209999999999</v>
      </c>
      <c r="X7730">
        <v>0.98113439999999996</v>
      </c>
      <c r="Y7730">
        <v>0.22075939999999999</v>
      </c>
      <c r="Z7730">
        <v>-1.2180109999999999E-2</v>
      </c>
      <c r="AA7730">
        <v>0.97525220000000001</v>
      </c>
      <c r="AB7730">
        <v>25</v>
      </c>
      <c r="AC7730">
        <v>22.0943</v>
      </c>
      <c r="AD7730">
        <v>-1.1022820143730001</v>
      </c>
      <c r="AE7730">
        <v>-1.6565999999999901</v>
      </c>
      <c r="AF7730">
        <v>4.9336737154502401</v>
      </c>
      <c r="AG7730">
        <v>-1.1022820143730001</v>
      </c>
      <c r="AH7730">
        <v>21.543913772526999</v>
      </c>
      <c r="AI7730">
        <v>92.855167971623999</v>
      </c>
      <c r="AJ7730">
        <v>77.101367652563994</v>
      </c>
      <c r="AK7730">
        <v>22.129084540663101</v>
      </c>
      <c r="AL7730">
        <v>79.163204852411894</v>
      </c>
      <c r="AM7730">
        <v>87.372809116469</v>
      </c>
      <c r="AN7730">
        <v>1.0000000142977401</v>
      </c>
    </row>
    <row r="7731" spans="1:40" x14ac:dyDescent="0.25">
      <c r="A7731" t="str">
        <f>"20190304155256089"</f>
        <v>20190304155256089</v>
      </c>
      <c r="B7731" t="str">
        <f>"1551685976084658"</f>
        <v>1551685976084658</v>
      </c>
      <c r="C7731" t="s">
        <v>40</v>
      </c>
      <c r="D7731">
        <v>4.8575730000000004</v>
      </c>
      <c r="E7731">
        <v>0.55280629999999997</v>
      </c>
      <c r="F7731" t="s">
        <v>41</v>
      </c>
      <c r="G7731">
        <v>-152.3287</v>
      </c>
      <c r="H7731" s="1">
        <v>-3.9222990000000003E-6</v>
      </c>
      <c r="I7731">
        <v>135.9573</v>
      </c>
      <c r="J7731">
        <v>-169.5069</v>
      </c>
      <c r="K7731">
        <v>1.1027279999999999</v>
      </c>
      <c r="L7731">
        <v>136.65270000000001</v>
      </c>
      <c r="M7731">
        <v>0.99030019999999996</v>
      </c>
      <c r="N7731">
        <v>-1.546149E-2</v>
      </c>
      <c r="O7731">
        <v>0.1380817</v>
      </c>
      <c r="P7731">
        <v>0.97906839999999995</v>
      </c>
      <c r="Q7731">
        <v>0.17423829999999901</v>
      </c>
      <c r="R7731">
        <v>0.10519580000000001</v>
      </c>
      <c r="S7731">
        <v>3.1121370000000002</v>
      </c>
      <c r="T7731">
        <v>-0.1967245</v>
      </c>
      <c r="U7731">
        <v>-0.1194916</v>
      </c>
      <c r="V7731">
        <v>3.4652490000000001E-2</v>
      </c>
      <c r="W7731">
        <v>0.188804</v>
      </c>
      <c r="X7731">
        <v>0.98140320000000003</v>
      </c>
      <c r="Y7731">
        <v>0.17540459999999999</v>
      </c>
      <c r="Z7731">
        <v>-1.345944E-2</v>
      </c>
      <c r="AA7731">
        <v>0.98440439999999996</v>
      </c>
      <c r="AB7731">
        <v>25</v>
      </c>
      <c r="AC7731">
        <v>17.1782</v>
      </c>
      <c r="AD7731">
        <v>-1.102731922299</v>
      </c>
      <c r="AE7731">
        <v>-0.69540000000000601</v>
      </c>
      <c r="AF7731">
        <v>3.0484738803990501</v>
      </c>
      <c r="AG7731">
        <v>-1.102731922299</v>
      </c>
      <c r="AH7731">
        <v>16.8482590945341</v>
      </c>
      <c r="AI7731">
        <v>93.685046865688506</v>
      </c>
      <c r="AJ7731">
        <v>79.744032085064703</v>
      </c>
      <c r="AK7731">
        <v>17.157302970119801</v>
      </c>
      <c r="AL7731">
        <v>79.117004689569796</v>
      </c>
      <c r="AM7731">
        <v>87.977776170671504</v>
      </c>
      <c r="AN7731">
        <v>0.99999999322472</v>
      </c>
    </row>
    <row r="7732" spans="1:40" x14ac:dyDescent="0.25">
      <c r="A7732" t="str">
        <f>"20190304155256111"</f>
        <v>20190304155256111</v>
      </c>
      <c r="B7732" t="str">
        <f>"1551685976105155"</f>
        <v>1551685976105155</v>
      </c>
      <c r="C7732" t="s">
        <v>40</v>
      </c>
      <c r="D7732">
        <v>4.8629889999999998</v>
      </c>
      <c r="E7732">
        <v>0.55546490000000004</v>
      </c>
      <c r="F7732" t="s">
        <v>41</v>
      </c>
      <c r="G7732">
        <v>-151.4614</v>
      </c>
      <c r="H7732" s="1">
        <v>-4.3086749999999999E-6</v>
      </c>
      <c r="I7732">
        <v>135.8766</v>
      </c>
      <c r="J7732">
        <v>-169.25569999999999</v>
      </c>
      <c r="K7732">
        <v>1.1031839999999999</v>
      </c>
      <c r="L7732">
        <v>136.67529999999999</v>
      </c>
      <c r="M7732">
        <v>0.99172819999999995</v>
      </c>
      <c r="N7732">
        <v>-1.535546E-2</v>
      </c>
      <c r="O7732">
        <v>0.1274353</v>
      </c>
      <c r="P7732">
        <v>0.97845720000000003</v>
      </c>
      <c r="Q7732">
        <v>0.17786370000000001</v>
      </c>
      <c r="R7732">
        <v>0.10481600000000001</v>
      </c>
      <c r="S7732">
        <v>3.1123660000000002</v>
      </c>
      <c r="T7732">
        <v>-0.19019169999999999</v>
      </c>
      <c r="U7732">
        <v>-0.1338501</v>
      </c>
      <c r="V7732">
        <v>2.4239610000000002E-2</v>
      </c>
      <c r="W7732">
        <v>0.1925422</v>
      </c>
      <c r="X7732">
        <v>0.98098929999999995</v>
      </c>
      <c r="Y7732">
        <v>0.16942099999999999</v>
      </c>
      <c r="Z7732">
        <v>-1.2280859999999999E-2</v>
      </c>
      <c r="AA7732">
        <v>0.98546730000000005</v>
      </c>
      <c r="AB7732">
        <v>25</v>
      </c>
      <c r="AC7732">
        <v>17.7942999999999</v>
      </c>
      <c r="AD7732">
        <v>-1.1031883086749901</v>
      </c>
      <c r="AE7732">
        <v>-0.79869999999999597</v>
      </c>
      <c r="AF7732">
        <v>3.0483823119514999</v>
      </c>
      <c r="AG7732">
        <v>-1.1031883086749901</v>
      </c>
      <c r="AH7732">
        <v>17.480339936967901</v>
      </c>
      <c r="AI7732">
        <v>93.557610596538694</v>
      </c>
      <c r="AJ7732">
        <v>80.107714950123395</v>
      </c>
      <c r="AK7732">
        <v>17.778412287833</v>
      </c>
      <c r="AL7732">
        <v>78.898818965025896</v>
      </c>
      <c r="AM7732">
        <v>88.584546433823604</v>
      </c>
      <c r="AN7732">
        <v>1.00000003209414</v>
      </c>
    </row>
    <row r="7733" spans="1:40" x14ac:dyDescent="0.25">
      <c r="A7733" t="str">
        <f>"20190304155256133"</f>
        <v>20190304155256133</v>
      </c>
      <c r="B7733" t="str">
        <f>"1551685976124675"</f>
        <v>1551685976124675</v>
      </c>
      <c r="C7733" t="s">
        <v>40</v>
      </c>
      <c r="D7733">
        <v>4.7695319999999999</v>
      </c>
      <c r="E7733">
        <v>0.55409439999999999</v>
      </c>
      <c r="F7733" t="s">
        <v>41</v>
      </c>
      <c r="G7733">
        <v>-148.78460000000001</v>
      </c>
      <c r="H7733" s="1">
        <v>-1.4544870000000001E-6</v>
      </c>
      <c r="I7733">
        <v>135.65180000000001</v>
      </c>
      <c r="J7733">
        <v>-169.0034</v>
      </c>
      <c r="K7733">
        <v>1.1036010000000001</v>
      </c>
      <c r="L7733">
        <v>136.69589999999999</v>
      </c>
      <c r="M7733">
        <v>0.99298609999999998</v>
      </c>
      <c r="N7733">
        <v>-1.525198E-2</v>
      </c>
      <c r="O7733">
        <v>0.11724320000000001</v>
      </c>
      <c r="P7733">
        <v>0.9778078</v>
      </c>
      <c r="Q7733">
        <v>0.18166199999999999</v>
      </c>
      <c r="R7733">
        <v>0.1043589</v>
      </c>
      <c r="S7733">
        <v>3.1132200000000001</v>
      </c>
      <c r="T7733">
        <v>-0.167771</v>
      </c>
      <c r="U7733">
        <v>-0.15563959999999999</v>
      </c>
      <c r="V7733">
        <v>1.438774E-2</v>
      </c>
      <c r="W7733">
        <v>0.19642009999999999</v>
      </c>
      <c r="X7733">
        <v>0.98041429999999996</v>
      </c>
      <c r="Y7733">
        <v>0.166301</v>
      </c>
      <c r="Z7733">
        <v>-1.026055E-2</v>
      </c>
      <c r="AA7733">
        <v>0.98602160000000005</v>
      </c>
      <c r="AB7733">
        <v>25</v>
      </c>
      <c r="AC7733">
        <v>20.218799999999899</v>
      </c>
      <c r="AD7733">
        <v>-1.103602454487</v>
      </c>
      <c r="AE7733">
        <v>-1.04409999999998</v>
      </c>
      <c r="AF7733">
        <v>3.3975944610090201</v>
      </c>
      <c r="AG7733">
        <v>-1.103602454487</v>
      </c>
      <c r="AH7733">
        <v>19.897771417601</v>
      </c>
      <c r="AI7733">
        <v>93.129377870067401</v>
      </c>
      <c r="AJ7733">
        <v>80.310055162448094</v>
      </c>
      <c r="AK7733">
        <v>20.215906951856699</v>
      </c>
      <c r="AL7733">
        <v>78.672306526587803</v>
      </c>
      <c r="AM7733">
        <v>89.159235428903202</v>
      </c>
      <c r="AN7733">
        <v>1.0000000311954</v>
      </c>
    </row>
    <row r="7734" spans="1:40" x14ac:dyDescent="0.25">
      <c r="A7734" t="str">
        <f>"20190304155256155"</f>
        <v>20190304155256155</v>
      </c>
      <c r="B7734" t="str">
        <f>"1551685976144195"</f>
        <v>1551685976144195</v>
      </c>
      <c r="C7734" t="s">
        <v>40</v>
      </c>
      <c r="D7734">
        <v>4.6685759999999998</v>
      </c>
      <c r="E7734">
        <v>0.52568749999999997</v>
      </c>
      <c r="F7734" t="s">
        <v>41</v>
      </c>
      <c r="G7734">
        <v>-146.74100000000001</v>
      </c>
      <c r="H7734" s="1">
        <v>-2.1488160000000001E-6</v>
      </c>
      <c r="I7734">
        <v>135.65600000000001</v>
      </c>
      <c r="J7734">
        <v>-168.75370000000001</v>
      </c>
      <c r="K7734">
        <v>1.1039810000000001</v>
      </c>
      <c r="L7734">
        <v>136.71430000000001</v>
      </c>
      <c r="M7734">
        <v>0.99407259999999997</v>
      </c>
      <c r="N7734">
        <v>-1.5154279999999999E-2</v>
      </c>
      <c r="O7734">
        <v>0.10765760000000001</v>
      </c>
      <c r="P7734">
        <v>0.97760729999999996</v>
      </c>
      <c r="Q7734">
        <v>0.18276709999999999</v>
      </c>
      <c r="R7734">
        <v>0.10430929999999999</v>
      </c>
      <c r="S7734">
        <v>3.1122589999999999</v>
      </c>
      <c r="T7734">
        <v>-0.15428229999999901</v>
      </c>
      <c r="U7734">
        <v>-0.14537050000000001</v>
      </c>
      <c r="V7734">
        <v>4.7680659999999996E-3</v>
      </c>
      <c r="W7734">
        <v>0.19759360000000001</v>
      </c>
      <c r="X7734">
        <v>0.98027240000000004</v>
      </c>
      <c r="Y7734">
        <v>0.15363019999999999</v>
      </c>
      <c r="Z7734">
        <v>-8.6641329999999992E-3</v>
      </c>
      <c r="AA7734">
        <v>0.98809049999999998</v>
      </c>
      <c r="AB7734">
        <v>25</v>
      </c>
      <c r="AC7734">
        <v>22.012699999999899</v>
      </c>
      <c r="AD7734">
        <v>-1.1039831488159999</v>
      </c>
      <c r="AE7734">
        <v>-1.0583</v>
      </c>
      <c r="AF7734">
        <v>3.4136878017413901</v>
      </c>
      <c r="AG7734">
        <v>-1.1039831488159999</v>
      </c>
      <c r="AH7734">
        <v>21.7162907264042</v>
      </c>
      <c r="AI7734">
        <v>92.874975808986093</v>
      </c>
      <c r="AJ7734">
        <v>81.066505989260705</v>
      </c>
      <c r="AK7734">
        <v>22.010663918072499</v>
      </c>
      <c r="AL7734">
        <v>78.603725204380197</v>
      </c>
      <c r="AM7734">
        <v>89.721314296077793</v>
      </c>
      <c r="AN7734">
        <v>0.999999971708049</v>
      </c>
    </row>
    <row r="7735" spans="1:40" x14ac:dyDescent="0.25">
      <c r="A7735" t="str">
        <f>"20190304155256178"</f>
        <v>20190304155256178</v>
      </c>
      <c r="B7735" t="str">
        <f>"1551685976174450"</f>
        <v>1551685976174450</v>
      </c>
      <c r="C7735" t="s">
        <v>40</v>
      </c>
      <c r="D7735">
        <v>4.6362100000000002</v>
      </c>
      <c r="E7735">
        <v>0.52528129999999995</v>
      </c>
      <c r="F7735" t="s">
        <v>41</v>
      </c>
      <c r="G7735">
        <v>-110.136</v>
      </c>
      <c r="H7735" s="1">
        <v>-4.4441719999999998E-6</v>
      </c>
      <c r="I7735">
        <v>138.3184</v>
      </c>
      <c r="J7735">
        <v>-168.5</v>
      </c>
      <c r="K7735">
        <v>1.1043719999999999</v>
      </c>
      <c r="L7735">
        <v>136.7311</v>
      </c>
      <c r="M7735">
        <v>0.99502489999999999</v>
      </c>
      <c r="N7735">
        <v>-1.505654E-2</v>
      </c>
      <c r="O7735">
        <v>9.8483200000000007E-2</v>
      </c>
      <c r="P7735">
        <v>0.97760409999999998</v>
      </c>
      <c r="Q7735">
        <v>0.18294659999999999</v>
      </c>
      <c r="R7735">
        <v>0.1040238</v>
      </c>
      <c r="S7735">
        <v>3.070557</v>
      </c>
      <c r="T7735">
        <v>-5.7829739999999998E-2</v>
      </c>
      <c r="U7735">
        <v>8.4030149999999998E-2</v>
      </c>
      <c r="V7735">
        <v>-4.1971980000000001E-3</v>
      </c>
      <c r="W7735">
        <v>0.19781560000000001</v>
      </c>
      <c r="X7735">
        <v>0.9802303</v>
      </c>
      <c r="Y7735">
        <v>7.1210969999999998E-2</v>
      </c>
      <c r="Z7735">
        <v>-1.573206E-3</v>
      </c>
      <c r="AA7735">
        <v>0.99746000000000001</v>
      </c>
      <c r="AB7735">
        <v>25</v>
      </c>
      <c r="AC7735">
        <v>58.363999999999898</v>
      </c>
      <c r="AD7735">
        <v>-1.1043764441720001</v>
      </c>
      <c r="AE7735">
        <v>1.5872999999999899</v>
      </c>
      <c r="AF7735">
        <v>4.1674515816958904</v>
      </c>
      <c r="AG7735">
        <v>-1.1043764441720001</v>
      </c>
      <c r="AH7735">
        <v>58.215722776896598</v>
      </c>
      <c r="AI7735">
        <v>91.084021003449394</v>
      </c>
      <c r="AJ7735">
        <v>85.905388697679399</v>
      </c>
      <c r="AK7735">
        <v>58.375146067934601</v>
      </c>
      <c r="AL7735">
        <v>78.590750146961398</v>
      </c>
      <c r="AM7735">
        <v>90.245330369316704</v>
      </c>
      <c r="AN7735">
        <v>1.0000000345562501</v>
      </c>
    </row>
    <row r="7736" spans="1:40" x14ac:dyDescent="0.25">
      <c r="A7736" t="str">
        <f>"20190304155256201"</f>
        <v>20190304155256201</v>
      </c>
      <c r="B7736" t="str">
        <f>"1551685976194946"</f>
        <v>1551685976194946</v>
      </c>
      <c r="C7736" t="s">
        <v>40</v>
      </c>
      <c r="D7736">
        <v>4.6239990000000004</v>
      </c>
      <c r="E7736">
        <v>0.52563329999999997</v>
      </c>
      <c r="F7736" t="s">
        <v>41</v>
      </c>
      <c r="G7736">
        <v>-110.8509</v>
      </c>
      <c r="H7736" s="1">
        <v>-4.1292140000000002E-6</v>
      </c>
      <c r="I7736">
        <v>138.36490000000001</v>
      </c>
      <c r="J7736">
        <v>-168.24350000000001</v>
      </c>
      <c r="K7736">
        <v>1.1047899999999999</v>
      </c>
      <c r="L7736">
        <v>136.74619999999999</v>
      </c>
      <c r="M7736">
        <v>0.99584550000000005</v>
      </c>
      <c r="N7736">
        <v>-1.495549E-2</v>
      </c>
      <c r="O7736">
        <v>8.9822810000000003E-2</v>
      </c>
      <c r="P7736">
        <v>0.97745680000000001</v>
      </c>
      <c r="Q7736">
        <v>0.18358849999999999</v>
      </c>
      <c r="R7736">
        <v>0.1042762</v>
      </c>
      <c r="S7736">
        <v>3.0704959999999999</v>
      </c>
      <c r="T7736">
        <v>-5.8821079999999998E-2</v>
      </c>
      <c r="U7736">
        <v>8.702087E-2</v>
      </c>
      <c r="V7736">
        <v>-1.320723E-2</v>
      </c>
      <c r="W7736">
        <v>0.19847690000000001</v>
      </c>
      <c r="X7736">
        <v>0.98001660000000002</v>
      </c>
      <c r="Y7736">
        <v>6.1560879999999998E-2</v>
      </c>
      <c r="Z7736">
        <v>-1.423035E-3</v>
      </c>
      <c r="AA7736">
        <v>0.9981023</v>
      </c>
      <c r="AB7736">
        <v>25</v>
      </c>
      <c r="AC7736">
        <v>57.392600000000002</v>
      </c>
      <c r="AD7736">
        <v>-1.104794129214</v>
      </c>
      <c r="AE7736">
        <v>1.61870000000001</v>
      </c>
      <c r="AF7736">
        <v>3.5422741358130998</v>
      </c>
      <c r="AG7736">
        <v>-1.104794129214</v>
      </c>
      <c r="AH7736">
        <v>57.284755680485297</v>
      </c>
      <c r="AI7736">
        <v>91.102763965346</v>
      </c>
      <c r="AJ7736">
        <v>86.461549618071402</v>
      </c>
      <c r="AK7736">
        <v>57.404803888647599</v>
      </c>
      <c r="AL7736">
        <v>78.552093864226407</v>
      </c>
      <c r="AM7736">
        <v>90.772101954246097</v>
      </c>
      <c r="AN7736">
        <v>1.0000000235167199</v>
      </c>
    </row>
    <row r="7737" spans="1:40" x14ac:dyDescent="0.25">
      <c r="A7737" t="str">
        <f>"20190304155256225"</f>
        <v>20190304155256225</v>
      </c>
      <c r="B7737" t="str">
        <f>"1551685976214466"</f>
        <v>1551685976214466</v>
      </c>
      <c r="C7737" t="s">
        <v>40</v>
      </c>
      <c r="D7737">
        <v>4.6661260000000002</v>
      </c>
      <c r="E7737">
        <v>0.5257058</v>
      </c>
      <c r="F7737" t="s">
        <v>41</v>
      </c>
      <c r="G7737">
        <v>-111.5232</v>
      </c>
      <c r="H7737" s="1">
        <v>-3.8485709999999997E-6</v>
      </c>
      <c r="I7737">
        <v>138.3212</v>
      </c>
      <c r="J7737">
        <v>-167.9727</v>
      </c>
      <c r="K7737">
        <v>1.1052900000000001</v>
      </c>
      <c r="L7737">
        <v>136.76070000000001</v>
      </c>
      <c r="M7737">
        <v>0.99657240000000002</v>
      </c>
      <c r="N7737">
        <v>-1.4847300000000001E-2</v>
      </c>
      <c r="O7737">
        <v>8.138186E-2</v>
      </c>
      <c r="P7737">
        <v>0.97764530000000005</v>
      </c>
      <c r="Q7737">
        <v>0.1827076</v>
      </c>
      <c r="R7737">
        <v>0.104058</v>
      </c>
      <c r="S7737">
        <v>3.0713499999999998</v>
      </c>
      <c r="T7737">
        <v>-5.9823510000000003E-2</v>
      </c>
      <c r="U7737">
        <v>8.5281369999999995E-2</v>
      </c>
      <c r="V7737">
        <v>-2.1555359999999999E-2</v>
      </c>
      <c r="W7737">
        <v>0.19758000000000001</v>
      </c>
      <c r="X7737">
        <v>0.98004970000000002</v>
      </c>
      <c r="Y7737">
        <v>5.3676759999999997E-2</v>
      </c>
      <c r="Z7737">
        <v>-1.2947259999999999E-3</v>
      </c>
      <c r="AA7737">
        <v>0.99855749999999999</v>
      </c>
      <c r="AB7737">
        <v>25</v>
      </c>
      <c r="AC7737">
        <v>56.4495</v>
      </c>
      <c r="AD7737">
        <v>-1.105293848571</v>
      </c>
      <c r="AE7737">
        <v>1.56049999999999</v>
      </c>
      <c r="AF7737">
        <v>3.0379852469783399</v>
      </c>
      <c r="AG7737">
        <v>-1.105293848571</v>
      </c>
      <c r="AH7737">
        <v>56.367631762223297</v>
      </c>
      <c r="AI7737">
        <v>91.121722049174096</v>
      </c>
      <c r="AJ7737">
        <v>86.914976162696405</v>
      </c>
      <c r="AK7737">
        <v>56.460259823473599</v>
      </c>
      <c r="AL7737">
        <v>78.604519872821896</v>
      </c>
      <c r="AM7737">
        <v>91.259968821914896</v>
      </c>
      <c r="AN7737">
        <v>0.999999952207408</v>
      </c>
    </row>
    <row r="7738" spans="1:40" x14ac:dyDescent="0.25">
      <c r="A7738" t="str">
        <f>"20190304155256245"</f>
        <v>20190304155256245</v>
      </c>
      <c r="B7738" t="str">
        <f>"1551685976234963"</f>
        <v>1551685976234963</v>
      </c>
      <c r="C7738" t="s">
        <v>40</v>
      </c>
      <c r="D7738">
        <v>4.6364739999999998</v>
      </c>
      <c r="E7738">
        <v>0.52588310000000005</v>
      </c>
      <c r="F7738" t="s">
        <v>41</v>
      </c>
      <c r="G7738">
        <v>-115.6377</v>
      </c>
      <c r="H7738" s="1">
        <v>-2.1024789999999998E-6</v>
      </c>
      <c r="I7738">
        <v>138.2139</v>
      </c>
      <c r="J7738">
        <v>-167.7396</v>
      </c>
      <c r="K7738">
        <v>1.1057790000000001</v>
      </c>
      <c r="L7738">
        <v>136.77189999999999</v>
      </c>
      <c r="M7738">
        <v>0.99709270000000005</v>
      </c>
      <c r="N7738">
        <v>-1.4755839999999999E-2</v>
      </c>
      <c r="O7738">
        <v>7.4755470000000004E-2</v>
      </c>
      <c r="P7738">
        <v>0.97750409999999999</v>
      </c>
      <c r="Q7738">
        <v>0.18327309999999999</v>
      </c>
      <c r="R7738">
        <v>0.10438790000000001</v>
      </c>
      <c r="S7738">
        <v>3.071625</v>
      </c>
      <c r="T7738">
        <v>-6.4871310000000001E-2</v>
      </c>
      <c r="U7738">
        <v>8.5296629999999998E-2</v>
      </c>
      <c r="V7738">
        <v>-2.8651670000000001E-2</v>
      </c>
      <c r="W7738">
        <v>0.1981077</v>
      </c>
      <c r="X7738">
        <v>0.9797614</v>
      </c>
      <c r="Y7738">
        <v>4.7034689999999997E-2</v>
      </c>
      <c r="Z7738">
        <v>-1.316551E-3</v>
      </c>
      <c r="AA7738">
        <v>0.99889240000000001</v>
      </c>
      <c r="AB7738">
        <v>25</v>
      </c>
      <c r="AC7738">
        <v>52.101900000000001</v>
      </c>
      <c r="AD7738">
        <v>-1.1057811024789901</v>
      </c>
      <c r="AE7738">
        <v>1.4419999999999999</v>
      </c>
      <c r="AF7738">
        <v>2.4562563954447998</v>
      </c>
      <c r="AG7738">
        <v>-1.1057811024789901</v>
      </c>
      <c r="AH7738">
        <v>52.040467892678002</v>
      </c>
      <c r="AI7738">
        <v>91.215912127986101</v>
      </c>
      <c r="AJ7738">
        <v>87.297703800628298</v>
      </c>
      <c r="AK7738">
        <v>52.1101357301592</v>
      </c>
      <c r="AL7738">
        <v>78.573675635520999</v>
      </c>
      <c r="AM7738">
        <v>91.675052767963905</v>
      </c>
      <c r="AN7738">
        <v>0.99999998996151895</v>
      </c>
    </row>
    <row r="7739" spans="1:40" x14ac:dyDescent="0.25">
      <c r="A7739" t="str">
        <f>"20190304155256268"</f>
        <v>20190304155256268</v>
      </c>
      <c r="B7739" t="str">
        <f>"1551685976264243"</f>
        <v>1551685976264243</v>
      </c>
      <c r="C7739" t="s">
        <v>40</v>
      </c>
      <c r="D7739">
        <v>4.6273980000000003</v>
      </c>
      <c r="E7739">
        <v>0.52651829999999999</v>
      </c>
      <c r="F7739" t="s">
        <v>41</v>
      </c>
      <c r="G7739">
        <v>-116.82729999999999</v>
      </c>
      <c r="H7739" s="1">
        <v>-1.5961620000000001E-6</v>
      </c>
      <c r="I7739">
        <v>138.19139999999999</v>
      </c>
      <c r="J7739">
        <v>-167.4956</v>
      </c>
      <c r="K7739">
        <v>1.1063179999999999</v>
      </c>
      <c r="L7739">
        <v>136.78270000000001</v>
      </c>
      <c r="M7739">
        <v>0.99754600000000004</v>
      </c>
      <c r="N7739">
        <v>-1.4664140000000001E-2</v>
      </c>
      <c r="O7739">
        <v>6.8461750000000002E-2</v>
      </c>
      <c r="P7739">
        <v>0.97724350000000004</v>
      </c>
      <c r="Q7739">
        <v>0.18494279999999999</v>
      </c>
      <c r="R7739">
        <v>0.1038811</v>
      </c>
      <c r="S7739">
        <v>3.0723880000000001</v>
      </c>
      <c r="T7739">
        <v>-6.6730020000000001E-2</v>
      </c>
      <c r="U7739">
        <v>8.5662840000000004E-2</v>
      </c>
      <c r="V7739">
        <v>-3.4602840000000003E-2</v>
      </c>
      <c r="W7739">
        <v>0.19970350000000001</v>
      </c>
      <c r="X7739">
        <v>0.97924520000000004</v>
      </c>
      <c r="Y7739">
        <v>4.0619509999999998E-2</v>
      </c>
      <c r="Z7739">
        <v>-1.2195979999999999E-3</v>
      </c>
      <c r="AA7739">
        <v>0.99917389999999995</v>
      </c>
      <c r="AB7739">
        <v>25</v>
      </c>
      <c r="AC7739">
        <v>50.668300000000002</v>
      </c>
      <c r="AD7739">
        <v>-1.106319596162</v>
      </c>
      <c r="AE7739">
        <v>1.4086999999999801</v>
      </c>
      <c r="AF7739">
        <v>2.0628365825685102</v>
      </c>
      <c r="AG7739">
        <v>-1.106319596162</v>
      </c>
      <c r="AH7739">
        <v>50.621730786188202</v>
      </c>
      <c r="AI7739">
        <v>91.250941341113204</v>
      </c>
      <c r="AJ7739">
        <v>87.666486870960199</v>
      </c>
      <c r="AK7739">
        <v>50.675821311593403</v>
      </c>
      <c r="AL7739">
        <v>78.4803789756252</v>
      </c>
      <c r="AM7739">
        <v>92.023775168170104</v>
      </c>
      <c r="AN7739">
        <v>1.0000000030856699</v>
      </c>
    </row>
    <row r="7740" spans="1:40" x14ac:dyDescent="0.25">
      <c r="A7740" t="str">
        <f>"20190304155256290"</f>
        <v>20190304155256290</v>
      </c>
      <c r="B7740" t="str">
        <f>"1551685976284738"</f>
        <v>1551685976284738</v>
      </c>
      <c r="C7740" t="s">
        <v>40</v>
      </c>
      <c r="D7740">
        <v>4.603561</v>
      </c>
      <c r="E7740">
        <v>0.52678959999999997</v>
      </c>
      <c r="F7740" t="s">
        <v>41</v>
      </c>
      <c r="G7740">
        <v>-116.29770000000001</v>
      </c>
      <c r="H7740" s="1">
        <v>-1.8371519999999999E-6</v>
      </c>
      <c r="I7740">
        <v>138.11340000000001</v>
      </c>
      <c r="J7740">
        <v>-167.24700000000001</v>
      </c>
      <c r="K7740">
        <v>1.106868</v>
      </c>
      <c r="L7740">
        <v>136.79300000000001</v>
      </c>
      <c r="M7740">
        <v>0.99791839999999998</v>
      </c>
      <c r="N7740">
        <v>-1.4575640000000001E-2</v>
      </c>
      <c r="O7740">
        <v>6.2820899999999999E-2</v>
      </c>
      <c r="P7740">
        <v>0.97708130000000004</v>
      </c>
      <c r="Q7740">
        <v>0.18602260000000001</v>
      </c>
      <c r="R7740">
        <v>0.103477</v>
      </c>
      <c r="S7740">
        <v>3.073944</v>
      </c>
      <c r="T7740">
        <v>-6.6424010000000006E-2</v>
      </c>
      <c r="U7740">
        <v>7.9895019999999997E-2</v>
      </c>
      <c r="V7740">
        <v>-4.0014729999999998E-2</v>
      </c>
      <c r="W7740">
        <v>0.20069300000000001</v>
      </c>
      <c r="X7740">
        <v>0.97883659999999995</v>
      </c>
      <c r="Y7740">
        <v>3.6859490000000002E-2</v>
      </c>
      <c r="Z7740">
        <v>-1.1068580000000001E-3</v>
      </c>
      <c r="AA7740">
        <v>0.99931990000000004</v>
      </c>
      <c r="AB7740">
        <v>25</v>
      </c>
      <c r="AC7740">
        <v>50.949300000000001</v>
      </c>
      <c r="AD7740">
        <v>-1.106869837152</v>
      </c>
      <c r="AE7740">
        <v>1.3204</v>
      </c>
      <c r="AF7740">
        <v>1.8823416188533</v>
      </c>
      <c r="AG7740">
        <v>-1.106869837152</v>
      </c>
      <c r="AH7740">
        <v>50.907591059485398</v>
      </c>
      <c r="AI7740">
        <v>91.244719886249598</v>
      </c>
      <c r="AJ7740">
        <v>87.882415618526693</v>
      </c>
      <c r="AK7740">
        <v>50.954403129526199</v>
      </c>
      <c r="AL7740">
        <v>78.422512993723998</v>
      </c>
      <c r="AM7740">
        <v>92.340941562789297</v>
      </c>
      <c r="AN7740">
        <v>0.99999997418276598</v>
      </c>
    </row>
    <row r="7741" spans="1:40" x14ac:dyDescent="0.25">
      <c r="A7741" t="str">
        <f>"20190304155256313"</f>
        <v>20190304155256313</v>
      </c>
      <c r="B7741" t="str">
        <f>"1551685976304258"</f>
        <v>1551685976304258</v>
      </c>
      <c r="C7741" t="s">
        <v>40</v>
      </c>
      <c r="D7741">
        <v>4.7039099999999996</v>
      </c>
      <c r="E7741">
        <v>0.52683869999999999</v>
      </c>
      <c r="F7741" t="s">
        <v>41</v>
      </c>
      <c r="G7741">
        <v>-116.417</v>
      </c>
      <c r="H7741" s="1">
        <v>-1.7940779999999999E-6</v>
      </c>
      <c r="I7741">
        <v>138.06780000000001</v>
      </c>
      <c r="J7741">
        <v>-166.99599999999899</v>
      </c>
      <c r="K7741">
        <v>1.1073809999999999</v>
      </c>
      <c r="L7741">
        <v>136.80269999999999</v>
      </c>
      <c r="M7741">
        <v>0.99822120000000003</v>
      </c>
      <c r="N7741">
        <v>-1.4492100000000001E-2</v>
      </c>
      <c r="O7741">
        <v>5.7831E-2</v>
      </c>
      <c r="P7741">
        <v>0.97732319999999995</v>
      </c>
      <c r="Q7741">
        <v>0.1852338</v>
      </c>
      <c r="R7741">
        <v>0.1026046</v>
      </c>
      <c r="S7741">
        <v>3.074951</v>
      </c>
      <c r="T7741">
        <v>-6.6959859999999996E-2</v>
      </c>
      <c r="U7741">
        <v>7.7117920000000006E-2</v>
      </c>
      <c r="V7741">
        <v>-4.4293270000000003E-2</v>
      </c>
      <c r="W7741">
        <v>0.19980490000000001</v>
      </c>
      <c r="X7741">
        <v>0.97883399999999998</v>
      </c>
      <c r="Y7741">
        <v>3.2774909999999997E-2</v>
      </c>
      <c r="Z7741">
        <v>-1.0140839999999999E-3</v>
      </c>
      <c r="AA7741">
        <v>0.99946219999999997</v>
      </c>
      <c r="AB7741">
        <v>25</v>
      </c>
      <c r="AC7741">
        <v>50.578999999999901</v>
      </c>
      <c r="AD7741">
        <v>-1.1073827940780001</v>
      </c>
      <c r="AE7741">
        <v>1.2651000000000101</v>
      </c>
      <c r="AF7741">
        <v>1.66156309857474</v>
      </c>
      <c r="AG7741">
        <v>-1.1073827940780001</v>
      </c>
      <c r="AH7741">
        <v>50.543289317494803</v>
      </c>
      <c r="AI7741">
        <v>91.254448840959398</v>
      </c>
      <c r="AJ7741">
        <v>88.117133215593796</v>
      </c>
      <c r="AK7741">
        <v>50.582716253826703</v>
      </c>
      <c r="AL7741">
        <v>78.474449014358896</v>
      </c>
      <c r="AM7741">
        <v>92.590926922178795</v>
      </c>
      <c r="AN7741">
        <v>0.99999994569365003</v>
      </c>
    </row>
    <row r="7742" spans="1:40" x14ac:dyDescent="0.25">
      <c r="A7742" t="str">
        <f>"20190304155256334"</f>
        <v>20190304155256334</v>
      </c>
      <c r="B7742" t="str">
        <f>"1551685976324755"</f>
        <v>1551685976324755</v>
      </c>
      <c r="C7742" t="s">
        <v>40</v>
      </c>
      <c r="D7742">
        <v>4.6309760000000004</v>
      </c>
      <c r="E7742">
        <v>0.52694449999999904</v>
      </c>
      <c r="F7742" t="s">
        <v>41</v>
      </c>
      <c r="G7742">
        <v>-118.9679</v>
      </c>
      <c r="H7742" s="1">
        <v>-7.7623359999999904E-7</v>
      </c>
      <c r="I7742">
        <v>137.9666</v>
      </c>
      <c r="J7742">
        <v>-166.7499</v>
      </c>
      <c r="K7742">
        <v>1.107799</v>
      </c>
      <c r="L7742">
        <v>136.81180000000001</v>
      </c>
      <c r="M7742">
        <v>0.99846420000000002</v>
      </c>
      <c r="N7742">
        <v>-1.441693E-2</v>
      </c>
      <c r="O7742">
        <v>5.3493279999999997E-2</v>
      </c>
      <c r="P7742">
        <v>0.97764830000000003</v>
      </c>
      <c r="Q7742">
        <v>0.18363199999999999</v>
      </c>
      <c r="R7742">
        <v>0.1023884</v>
      </c>
      <c r="S7742">
        <v>3.0752259999999998</v>
      </c>
      <c r="T7742">
        <v>-7.0905209999999996E-2</v>
      </c>
      <c r="U7742">
        <v>7.4523930000000002E-2</v>
      </c>
      <c r="V7742">
        <v>-4.853619E-2</v>
      </c>
      <c r="W7742">
        <v>0.19811509999999999</v>
      </c>
      <c r="X7742">
        <v>0.97897630000000002</v>
      </c>
      <c r="Y7742">
        <v>2.9276679999999999E-2</v>
      </c>
      <c r="Z7742">
        <v>-1.009453E-3</v>
      </c>
      <c r="AA7742">
        <v>0.99957079999999998</v>
      </c>
      <c r="AB7742">
        <v>25</v>
      </c>
      <c r="AC7742">
        <v>47.781999999999996</v>
      </c>
      <c r="AD7742">
        <v>-1.1077997762336</v>
      </c>
      <c r="AE7742">
        <v>1.1547999999999901</v>
      </c>
      <c r="AF7742">
        <v>1.40238181022681</v>
      </c>
      <c r="AG7742">
        <v>-1.1077997762336</v>
      </c>
      <c r="AH7742">
        <v>47.749701025263697</v>
      </c>
      <c r="AI7742">
        <v>91.328459112943193</v>
      </c>
      <c r="AJ7742">
        <v>88.317738818845498</v>
      </c>
      <c r="AK7742">
        <v>47.783133458239803</v>
      </c>
      <c r="AL7742">
        <v>78.573242903066799</v>
      </c>
      <c r="AM7742">
        <v>92.838315563668502</v>
      </c>
      <c r="AN7742">
        <v>0.99999997527470696</v>
      </c>
    </row>
    <row r="7743" spans="1:40" x14ac:dyDescent="0.25">
      <c r="A7743" t="str">
        <f>"20190304155256403"</f>
        <v>20190304155256403</v>
      </c>
      <c r="B7743" t="str">
        <f>"1551685976395027"</f>
        <v>1551685976395027</v>
      </c>
      <c r="C7743" t="s">
        <v>40</v>
      </c>
      <c r="D7743">
        <v>3.9726659999999998</v>
      </c>
      <c r="E7743">
        <v>0.53990360000000004</v>
      </c>
      <c r="F7743" t="s">
        <v>41</v>
      </c>
      <c r="G7743">
        <v>-122.3831</v>
      </c>
      <c r="H7743" s="1">
        <v>-3.5594749999999999E-6</v>
      </c>
      <c r="I7743">
        <v>137.87119999999999</v>
      </c>
      <c r="J7743">
        <v>-165.9863</v>
      </c>
      <c r="K7743">
        <v>1.108784</v>
      </c>
      <c r="L7743">
        <v>136.83680000000001</v>
      </c>
      <c r="M7743">
        <v>0.99896569999999996</v>
      </c>
      <c r="N7743">
        <v>-1.4219549999999999E-2</v>
      </c>
      <c r="O7743">
        <v>4.3190970000000002E-2</v>
      </c>
      <c r="P7743">
        <v>0.97781719999999905</v>
      </c>
      <c r="Q7743">
        <v>0.1811585</v>
      </c>
      <c r="R7743">
        <v>0.10514320000000001</v>
      </c>
      <c r="S7743">
        <v>3.0753020000000002</v>
      </c>
      <c r="T7743">
        <v>-7.6787709999999995E-2</v>
      </c>
      <c r="U7743">
        <v>7.3440549999999993E-2</v>
      </c>
      <c r="V7743">
        <v>-6.1887690000000002E-2</v>
      </c>
      <c r="W7743">
        <v>0.19539000000000001</v>
      </c>
      <c r="X7743">
        <v>0.97877099999999995</v>
      </c>
      <c r="Y7743">
        <v>1.931942E-2</v>
      </c>
      <c r="Z7743">
        <v>-8.4198869999999905E-4</v>
      </c>
      <c r="AA7743">
        <v>0.99981299999999995</v>
      </c>
      <c r="AB7743">
        <v>25</v>
      </c>
      <c r="AC7743">
        <v>43.603200000000001</v>
      </c>
      <c r="AD7743">
        <v>-1.1087875594750001</v>
      </c>
      <c r="AE7743">
        <v>1.03439999999997</v>
      </c>
      <c r="AF7743">
        <v>0.84947127944814105</v>
      </c>
      <c r="AG7743">
        <v>-1.1087875594750001</v>
      </c>
      <c r="AH7743">
        <v>43.579020112779403</v>
      </c>
      <c r="AI7743">
        <v>91.457193990312405</v>
      </c>
      <c r="AJ7743">
        <v>88.883293934002396</v>
      </c>
      <c r="AK7743">
        <v>43.601399120861799</v>
      </c>
      <c r="AL7743">
        <v>78.732492847994905</v>
      </c>
      <c r="AM7743">
        <v>93.617995627292302</v>
      </c>
      <c r="AN7743">
        <v>1.0000000043572601</v>
      </c>
    </row>
    <row r="7744" spans="1:40" x14ac:dyDescent="0.25">
      <c r="A7744" t="str">
        <f>"20190304155256425"</f>
        <v>20190304155256425</v>
      </c>
      <c r="B7744" t="str">
        <f>"1551685976414548"</f>
        <v>1551685976414548</v>
      </c>
      <c r="C7744" t="s">
        <v>40</v>
      </c>
      <c r="D7744">
        <v>4.417662</v>
      </c>
      <c r="E7744">
        <v>0.53778999999999999</v>
      </c>
      <c r="F7744" t="s">
        <v>41</v>
      </c>
      <c r="G7744">
        <v>-147.9239</v>
      </c>
      <c r="H7744" s="1">
        <v>-1.472465E-6</v>
      </c>
      <c r="I7744">
        <v>136.685</v>
      </c>
      <c r="J7744">
        <v>-165.74959999999999</v>
      </c>
      <c r="K7744">
        <v>1.109091</v>
      </c>
      <c r="L7744">
        <v>136.84399999999999</v>
      </c>
      <c r="M7744">
        <v>0.99906490000000003</v>
      </c>
      <c r="N7744">
        <v>-1.416916E-2</v>
      </c>
      <c r="O7744">
        <v>4.0848849999999999E-2</v>
      </c>
      <c r="P7744">
        <v>0.97774439999999996</v>
      </c>
      <c r="Q7744">
        <v>0.18066550000000001</v>
      </c>
      <c r="R7744">
        <v>0.1066585</v>
      </c>
      <c r="S7744">
        <v>3.1061860000000001</v>
      </c>
      <c r="T7744">
        <v>-0.1906775</v>
      </c>
      <c r="U7744">
        <v>-2.6092529999999999E-2</v>
      </c>
      <c r="V7744">
        <v>-6.5851199999999999E-2</v>
      </c>
      <c r="W7744">
        <v>0.19481519999999999</v>
      </c>
      <c r="X7744">
        <v>0.97862689999999997</v>
      </c>
      <c r="Y7744">
        <v>4.9085160000000003E-2</v>
      </c>
      <c r="Z7744">
        <v>-3.7795659999999998E-3</v>
      </c>
      <c r="AA7744">
        <v>0.99878750000000005</v>
      </c>
      <c r="AB7744">
        <v>25</v>
      </c>
      <c r="AC7744">
        <v>17.825699999999902</v>
      </c>
      <c r="AD7744">
        <v>-1.109092472465</v>
      </c>
      <c r="AE7744">
        <v>-0.15899999999999101</v>
      </c>
      <c r="AF7744">
        <v>0.88367908765373804</v>
      </c>
      <c r="AG7744">
        <v>-1.109092472465</v>
      </c>
      <c r="AH7744">
        <v>17.735670600500999</v>
      </c>
      <c r="AI7744">
        <v>93.573885307493896</v>
      </c>
      <c r="AJ7744">
        <v>87.147598873936403</v>
      </c>
      <c r="AK7744">
        <v>17.7922732244059</v>
      </c>
      <c r="AL7744">
        <v>78.7660714315425</v>
      </c>
      <c r="AM7744">
        <v>93.849594490862401</v>
      </c>
      <c r="AN7744">
        <v>0.99999997604804403</v>
      </c>
    </row>
    <row r="7745" spans="1:40" x14ac:dyDescent="0.25">
      <c r="A7745" t="str">
        <f>"20190304155256446"</f>
        <v>20190304155256446</v>
      </c>
      <c r="B7745" t="str">
        <f>"1551685976444803"</f>
        <v>1551685976444803</v>
      </c>
      <c r="C7745" t="s">
        <v>40</v>
      </c>
      <c r="D7745">
        <v>4.6061519999999998</v>
      </c>
      <c r="E7745">
        <v>0.54420239999999998</v>
      </c>
      <c r="F7745" t="s">
        <v>51</v>
      </c>
      <c r="G7745">
        <v>-164.98310000000001</v>
      </c>
      <c r="H7745">
        <v>1.045361</v>
      </c>
      <c r="I7745">
        <v>136.84190000000001</v>
      </c>
      <c r="J7745">
        <v>-165.50659999999999</v>
      </c>
      <c r="K7745">
        <v>1.1094040000000001</v>
      </c>
      <c r="L7745">
        <v>136.85130000000001</v>
      </c>
      <c r="M7745">
        <v>0.99914689999999995</v>
      </c>
      <c r="N7745">
        <v>-1.4123200000000001E-2</v>
      </c>
      <c r="O7745">
        <v>3.8807370000000001E-2</v>
      </c>
      <c r="P7745">
        <v>0.97780529999999999</v>
      </c>
      <c r="Q7745">
        <v>0.17939079999999999</v>
      </c>
      <c r="R7745">
        <v>0.1082403</v>
      </c>
      <c r="S7745">
        <v>3.1170650000000002</v>
      </c>
      <c r="T7745">
        <v>-0.25915120000000003</v>
      </c>
      <c r="U7745">
        <v>-8.285522E-3</v>
      </c>
      <c r="V7745">
        <v>-6.9586140000000005E-2</v>
      </c>
      <c r="W7745">
        <v>0.1934573</v>
      </c>
      <c r="X7745">
        <v>0.97863789999999995</v>
      </c>
      <c r="Y7745">
        <v>4.1208590000000003E-2</v>
      </c>
      <c r="Z7745">
        <v>-4.6745509999999999E-3</v>
      </c>
      <c r="AA7745">
        <v>0.99913960000000002</v>
      </c>
      <c r="AB7745">
        <v>25</v>
      </c>
      <c r="AC7745">
        <v>0.52349999999998398</v>
      </c>
      <c r="AD7745">
        <v>-6.4043000000000003E-2</v>
      </c>
      <c r="AE7745">
        <v>-9.3999999999994002E-3</v>
      </c>
      <c r="AF7745">
        <v>2.9272644790068199E-2</v>
      </c>
      <c r="AG7745">
        <v>-6.4043000000000003E-2</v>
      </c>
      <c r="AH7745">
        <v>0.51503514204170797</v>
      </c>
      <c r="AI7745">
        <v>97.076861568741904</v>
      </c>
      <c r="AJ7745">
        <v>86.747024863533895</v>
      </c>
      <c r="AK7745">
        <v>0.51982650097886296</v>
      </c>
      <c r="AL7745">
        <v>78.845383121680399</v>
      </c>
      <c r="AM7745">
        <v>94.067176553432702</v>
      </c>
      <c r="AN7745">
        <v>1.0000000485598901</v>
      </c>
    </row>
    <row r="7746" spans="1:40" x14ac:dyDescent="0.25">
      <c r="A7746" t="str">
        <f>"20190304155256470"</f>
        <v>20190304155256470</v>
      </c>
      <c r="B7746" t="str">
        <f>"1551685976464323"</f>
        <v>1551685976464323</v>
      </c>
      <c r="C7746" t="s">
        <v>40</v>
      </c>
      <c r="D7746">
        <v>4.6582229999999996</v>
      </c>
      <c r="E7746">
        <v>0.54454019999999903</v>
      </c>
      <c r="F7746" t="s">
        <v>41</v>
      </c>
      <c r="G7746">
        <v>-148.18899999999999</v>
      </c>
      <c r="H7746" s="1">
        <v>-1.4179849999999901E-6</v>
      </c>
      <c r="I7746">
        <v>136.55080000000001</v>
      </c>
      <c r="J7746">
        <v>-165.2604</v>
      </c>
      <c r="K7746">
        <v>1.1097030000000001</v>
      </c>
      <c r="L7746">
        <v>136.8586</v>
      </c>
      <c r="M7746">
        <v>0.99921110000000002</v>
      </c>
      <c r="N7746">
        <v>-1.408221E-2</v>
      </c>
      <c r="O7746">
        <v>3.7134470000000003E-2</v>
      </c>
      <c r="P7746">
        <v>0.97796240000000001</v>
      </c>
      <c r="Q7746">
        <v>0.1776635</v>
      </c>
      <c r="R7746">
        <v>0.10966049999999999</v>
      </c>
      <c r="S7746">
        <v>3.1106259999999999</v>
      </c>
      <c r="T7746">
        <v>-0.19927320000000001</v>
      </c>
      <c r="U7746">
        <v>-5.3970339999999999E-2</v>
      </c>
      <c r="V7746">
        <v>-7.2786229999999993E-2</v>
      </c>
      <c r="W7746">
        <v>0.19164829999999999</v>
      </c>
      <c r="X7746">
        <v>0.97876099999999999</v>
      </c>
      <c r="Y7746">
        <v>5.4286229999999998E-2</v>
      </c>
      <c r="Z7746">
        <v>-3.9732200000000004E-3</v>
      </c>
      <c r="AA7746">
        <v>0.99851749999999995</v>
      </c>
      <c r="AB7746">
        <v>25</v>
      </c>
      <c r="AC7746">
        <v>17.071400000000001</v>
      </c>
      <c r="AD7746">
        <v>-1.109704417985</v>
      </c>
      <c r="AE7746">
        <v>-0.30779999999998597</v>
      </c>
      <c r="AF7746">
        <v>0.93762724745957604</v>
      </c>
      <c r="AG7746">
        <v>-1.109704417985</v>
      </c>
      <c r="AH7746">
        <v>16.976481496096898</v>
      </c>
      <c r="AI7746">
        <v>93.734266671757396</v>
      </c>
      <c r="AJ7746">
        <v>86.838711357553294</v>
      </c>
      <c r="AK7746">
        <v>17.038530239953101</v>
      </c>
      <c r="AL7746">
        <v>78.951007257128097</v>
      </c>
      <c r="AM7746">
        <v>94.253011211510497</v>
      </c>
      <c r="AN7746">
        <v>1.0000000006457499</v>
      </c>
    </row>
    <row r="7747" spans="1:40" x14ac:dyDescent="0.25">
      <c r="A7747" t="str">
        <f>"20190304155256491"</f>
        <v>20190304155256491</v>
      </c>
      <c r="B7747" t="str">
        <f>"1551685976484819"</f>
        <v>1551685976484819</v>
      </c>
      <c r="C7747" t="s">
        <v>40</v>
      </c>
      <c r="D7747">
        <v>4.6974600000000004</v>
      </c>
      <c r="E7747">
        <v>0.54539729999999997</v>
      </c>
      <c r="F7747" t="s">
        <v>41</v>
      </c>
      <c r="G7747">
        <v>-144.2064</v>
      </c>
      <c r="H7747" s="1">
        <v>-3.0197800000000002E-6</v>
      </c>
      <c r="I7747">
        <v>136.50399999999999</v>
      </c>
      <c r="J7747">
        <v>-165.0222</v>
      </c>
      <c r="K7747">
        <v>1.109947</v>
      </c>
      <c r="L7747">
        <v>136.86580000000001</v>
      </c>
      <c r="M7747">
        <v>0.99925819999999999</v>
      </c>
      <c r="N7747">
        <v>-1.404716E-2</v>
      </c>
      <c r="O7747">
        <v>3.5859240000000001E-2</v>
      </c>
      <c r="P7747">
        <v>0.97819040000000002</v>
      </c>
      <c r="Q7747">
        <v>0.1756983</v>
      </c>
      <c r="R7747">
        <v>0.1107871</v>
      </c>
      <c r="S7747">
        <v>3.10318</v>
      </c>
      <c r="T7747">
        <v>-0.16356129999999999</v>
      </c>
      <c r="U7747">
        <v>-5.2261349999999998E-2</v>
      </c>
      <c r="V7747">
        <v>-7.5275899999999896E-2</v>
      </c>
      <c r="W7747">
        <v>0.18961169999999999</v>
      </c>
      <c r="X7747">
        <v>0.97896930000000004</v>
      </c>
      <c r="Y7747">
        <v>5.2566509999999997E-2</v>
      </c>
      <c r="Z7747">
        <v>-3.138797E-3</v>
      </c>
      <c r="AA7747">
        <v>0.99861250000000001</v>
      </c>
      <c r="AB7747">
        <v>25</v>
      </c>
      <c r="AC7747">
        <v>20.815799999999999</v>
      </c>
      <c r="AD7747">
        <v>-1.1099500197799901</v>
      </c>
      <c r="AE7747">
        <v>-0.361800000000016</v>
      </c>
      <c r="AF7747">
        <v>1.1049389180204801</v>
      </c>
      <c r="AG7747">
        <v>-1.1099500197799901</v>
      </c>
      <c r="AH7747">
        <v>20.730509560083199</v>
      </c>
      <c r="AI7747">
        <v>93.060460256771606</v>
      </c>
      <c r="AJ7747">
        <v>86.949014328457295</v>
      </c>
      <c r="AK7747">
        <v>20.7895864720698</v>
      </c>
      <c r="AL7747">
        <v>79.069875385311406</v>
      </c>
      <c r="AM7747">
        <v>94.3969929994106</v>
      </c>
      <c r="AN7747">
        <v>0.999999974120094</v>
      </c>
    </row>
    <row r="7748" spans="1:40" x14ac:dyDescent="0.25">
      <c r="A7748" t="str">
        <f>"20190304155256513"</f>
        <v>20190304155256513</v>
      </c>
      <c r="B7748" t="str">
        <f>"1551685976504339"</f>
        <v>1551685976504339</v>
      </c>
      <c r="C7748" t="s">
        <v>40</v>
      </c>
      <c r="D7748">
        <v>4.6877579999999996</v>
      </c>
      <c r="E7748">
        <v>0.54437590000000002</v>
      </c>
      <c r="F7748" t="s">
        <v>41</v>
      </c>
      <c r="G7748">
        <v>-140.52500000000001</v>
      </c>
      <c r="H7748" s="1">
        <v>-4.6120549999999997E-6</v>
      </c>
      <c r="I7748">
        <v>136.43100000000001</v>
      </c>
      <c r="J7748">
        <v>-164.77969999999999</v>
      </c>
      <c r="K7748">
        <v>1.110125</v>
      </c>
      <c r="L7748">
        <v>136.8732</v>
      </c>
      <c r="M7748">
        <v>0.99929480000000004</v>
      </c>
      <c r="N7748">
        <v>-1.401522E-2</v>
      </c>
      <c r="O7748">
        <v>3.4836150000000003E-2</v>
      </c>
      <c r="P7748">
        <v>0.9784214</v>
      </c>
      <c r="Q7748">
        <v>0.1735302</v>
      </c>
      <c r="R7748">
        <v>0.1121552</v>
      </c>
      <c r="S7748">
        <v>3.098328</v>
      </c>
      <c r="T7748">
        <v>-0.14038320000000001</v>
      </c>
      <c r="U7748">
        <v>-5.4992680000000002E-2</v>
      </c>
      <c r="V7748">
        <v>-7.7732250000000003E-2</v>
      </c>
      <c r="W7748">
        <v>0.1873831</v>
      </c>
      <c r="X7748">
        <v>0.97920640000000003</v>
      </c>
      <c r="Y7748">
        <v>5.248212E-2</v>
      </c>
      <c r="Z7748">
        <v>-2.6455979999999999E-3</v>
      </c>
      <c r="AA7748">
        <v>0.99861840000000002</v>
      </c>
      <c r="AB7748">
        <v>24</v>
      </c>
      <c r="AC7748">
        <v>24.2546999999999</v>
      </c>
      <c r="AD7748">
        <v>-1.1101296120549999</v>
      </c>
      <c r="AE7748">
        <v>-0.44219999999998499</v>
      </c>
      <c r="AF7748">
        <v>1.2842654122300801</v>
      </c>
      <c r="AG7748">
        <v>-1.1101296120549999</v>
      </c>
      <c r="AH7748">
        <v>24.173945079018601</v>
      </c>
      <c r="AI7748">
        <v>92.625624556932294</v>
      </c>
      <c r="AJ7748">
        <v>86.958962286887399</v>
      </c>
      <c r="AK7748">
        <v>24.2334757327136</v>
      </c>
      <c r="AL7748">
        <v>79.199895326675104</v>
      </c>
      <c r="AM7748">
        <v>94.538787527061302</v>
      </c>
      <c r="AN7748">
        <v>0.99999995132831498</v>
      </c>
    </row>
    <row r="7749" spans="1:40" x14ac:dyDescent="0.25">
      <c r="A7749" t="str">
        <f>"20190304155256535"</f>
        <v>20190304155256535</v>
      </c>
      <c r="B7749" t="str">
        <f>"1551685976524834"</f>
        <v>1551685976524834</v>
      </c>
      <c r="C7749" t="s">
        <v>40</v>
      </c>
      <c r="D7749">
        <v>4.70038</v>
      </c>
      <c r="E7749">
        <v>0.542678199999999</v>
      </c>
      <c r="F7749" t="s">
        <v>41</v>
      </c>
      <c r="G7749">
        <v>-139.39619999999999</v>
      </c>
      <c r="H7749" s="1">
        <v>-1.0150490000000001E-6</v>
      </c>
      <c r="I7749">
        <v>136.52109999999999</v>
      </c>
      <c r="J7749">
        <v>-164.5333</v>
      </c>
      <c r="K7749">
        <v>1.1102620000000001</v>
      </c>
      <c r="L7749">
        <v>136.88059999999999</v>
      </c>
      <c r="M7749">
        <v>0.99932270000000001</v>
      </c>
      <c r="N7749">
        <v>-1.398634E-2</v>
      </c>
      <c r="O7749">
        <v>3.4040969999999997E-2</v>
      </c>
      <c r="P7749">
        <v>0.97859399999999996</v>
      </c>
      <c r="Q7749">
        <v>0.17147660000000001</v>
      </c>
      <c r="R7749">
        <v>0.1137975</v>
      </c>
      <c r="S7749">
        <v>3.0950929999999999</v>
      </c>
      <c r="T7749">
        <v>-0.1353616</v>
      </c>
      <c r="U7749">
        <v>-4.2922969999999998E-2</v>
      </c>
      <c r="V7749">
        <v>-8.0216850000000006E-2</v>
      </c>
      <c r="W7749">
        <v>0.18527959999999999</v>
      </c>
      <c r="X7749">
        <v>0.97940629999999995</v>
      </c>
      <c r="Y7749">
        <v>4.782434E-2</v>
      </c>
      <c r="Z7749">
        <v>-2.3917679999999998E-3</v>
      </c>
      <c r="AA7749">
        <v>0.99885290000000004</v>
      </c>
      <c r="AB7749">
        <v>24</v>
      </c>
      <c r="AC7749">
        <v>25.1371</v>
      </c>
      <c r="AD7749">
        <v>-1.110263015049</v>
      </c>
      <c r="AE7749">
        <v>-0.35949999999999699</v>
      </c>
      <c r="AF7749">
        <v>1.2127011664681799</v>
      </c>
      <c r="AG7749">
        <v>-1.110263015049</v>
      </c>
      <c r="AH7749">
        <v>25.061408953444801</v>
      </c>
      <c r="AI7749">
        <v>92.533681064410402</v>
      </c>
      <c r="AJ7749">
        <v>87.229664807799907</v>
      </c>
      <c r="AK7749">
        <v>25.115285123078799</v>
      </c>
      <c r="AL7749">
        <v>79.322565739116101</v>
      </c>
      <c r="AM7749">
        <v>94.682276370091103</v>
      </c>
      <c r="AN7749">
        <v>0.999999986839886</v>
      </c>
    </row>
    <row r="7750" spans="1:40" x14ac:dyDescent="0.25">
      <c r="A7750" t="str">
        <f>"20190304155256558"</f>
        <v>20190304155256558</v>
      </c>
      <c r="B7750" t="str">
        <f>"1551685976555091"</f>
        <v>1551685976555091</v>
      </c>
      <c r="C7750" t="s">
        <v>40</v>
      </c>
      <c r="D7750">
        <v>4.6975689999999997</v>
      </c>
      <c r="E7750">
        <v>0.54123869999999996</v>
      </c>
      <c r="F7750" t="s">
        <v>41</v>
      </c>
      <c r="G7750">
        <v>-139.3604</v>
      </c>
      <c r="H7750" s="1">
        <v>-9.8399349999999995E-7</v>
      </c>
      <c r="I7750">
        <v>136.68360000000001</v>
      </c>
      <c r="J7750">
        <v>-164.2927</v>
      </c>
      <c r="K7750">
        <v>1.1103670000000001</v>
      </c>
      <c r="L7750">
        <v>136.88800000000001</v>
      </c>
      <c r="M7750">
        <v>0.99934230000000002</v>
      </c>
      <c r="N7750">
        <v>-1.3961400000000001E-2</v>
      </c>
      <c r="O7750">
        <v>3.3471149999999998E-2</v>
      </c>
      <c r="P7750">
        <v>0.97860720000000001</v>
      </c>
      <c r="Q7750">
        <v>0.1694254</v>
      </c>
      <c r="R7750">
        <v>0.11671910000000001</v>
      </c>
      <c r="S7750">
        <v>3.092346</v>
      </c>
      <c r="T7750">
        <v>-0.1363895</v>
      </c>
      <c r="U7750">
        <v>-2.420044E-2</v>
      </c>
      <c r="V7750">
        <v>-8.3748680000000006E-2</v>
      </c>
      <c r="W7750">
        <v>0.1831856</v>
      </c>
      <c r="X7750">
        <v>0.97950459999999995</v>
      </c>
      <c r="Y7750">
        <v>4.122671E-2</v>
      </c>
      <c r="Z7750">
        <v>-2.20485E-3</v>
      </c>
      <c r="AA7750">
        <v>0.99914740000000002</v>
      </c>
      <c r="AB7750">
        <v>24</v>
      </c>
      <c r="AC7750">
        <v>24.932300000000001</v>
      </c>
      <c r="AD7750">
        <v>-1.1103679839934999</v>
      </c>
      <c r="AE7750">
        <v>-0.204399999999992</v>
      </c>
      <c r="AF7750">
        <v>1.0368231414509499</v>
      </c>
      <c r="AG7750">
        <v>-1.1103679839934999</v>
      </c>
      <c r="AH7750">
        <v>24.8621769470133</v>
      </c>
      <c r="AI7750">
        <v>92.554965815841896</v>
      </c>
      <c r="AJ7750">
        <v>87.611987550908196</v>
      </c>
      <c r="AK7750">
        <v>24.908547967136201</v>
      </c>
      <c r="AL7750">
        <v>79.444633083728405</v>
      </c>
      <c r="AM7750">
        <v>94.886964311394195</v>
      </c>
      <c r="AN7750">
        <v>1.00000003343513</v>
      </c>
    </row>
    <row r="7751" spans="1:40" x14ac:dyDescent="0.25">
      <c r="A7751" t="str">
        <f>"20190304155256593"</f>
        <v>20190304155256593</v>
      </c>
      <c r="B7751" t="str">
        <f>"1551685976584371"</f>
        <v>1551685976584371</v>
      </c>
      <c r="C7751" t="s">
        <v>40</v>
      </c>
      <c r="D7751">
        <v>4.7340530000000003</v>
      </c>
      <c r="E7751">
        <v>0.53958609999999996</v>
      </c>
      <c r="F7751" t="s">
        <v>41</v>
      </c>
      <c r="G7751">
        <v>-138.7012</v>
      </c>
      <c r="H7751" s="1">
        <v>-1.1639870000000001E-6</v>
      </c>
      <c r="I7751">
        <v>136.8503</v>
      </c>
      <c r="J7751">
        <v>-163.91839999999999</v>
      </c>
      <c r="K7751">
        <v>1.11052</v>
      </c>
      <c r="L7751">
        <v>136.89959999999999</v>
      </c>
      <c r="M7751">
        <v>0.99936150000000001</v>
      </c>
      <c r="N7751">
        <v>-1.3928650000000001E-2</v>
      </c>
      <c r="O7751">
        <v>3.2904530000000001E-2</v>
      </c>
      <c r="P7751">
        <v>0.97866839999999999</v>
      </c>
      <c r="Q7751">
        <v>0.1669621</v>
      </c>
      <c r="R7751">
        <v>0.1197163</v>
      </c>
      <c r="S7751">
        <v>3.0893250000000001</v>
      </c>
      <c r="T7751">
        <v>-0.13403999999999999</v>
      </c>
      <c r="U7751">
        <v>-4.5471189999999996E-3</v>
      </c>
      <c r="V7751">
        <v>-8.7371030000000002E-2</v>
      </c>
      <c r="W7751">
        <v>0.18066109999999999</v>
      </c>
      <c r="X7751">
        <v>0.979657</v>
      </c>
      <c r="Y7751">
        <v>3.4321839999999999E-2</v>
      </c>
      <c r="Z7751">
        <v>-1.9519769999999999E-3</v>
      </c>
      <c r="AA7751">
        <v>0.99940890000000004</v>
      </c>
      <c r="AB7751">
        <v>24</v>
      </c>
      <c r="AC7751">
        <v>25.217199999999899</v>
      </c>
      <c r="AD7751">
        <v>-1.1105211639870001</v>
      </c>
      <c r="AE7751">
        <v>-4.9299999999988103E-2</v>
      </c>
      <c r="AF7751">
        <v>0.87741224548887398</v>
      </c>
      <c r="AG7751">
        <v>-1.1105211639870001</v>
      </c>
      <c r="AH7751">
        <v>25.153138894547102</v>
      </c>
      <c r="AI7751">
        <v>92.526455266800895</v>
      </c>
      <c r="AJ7751">
        <v>88.002172089341002</v>
      </c>
      <c r="AK7751">
        <v>25.192925708471702</v>
      </c>
      <c r="AL7751">
        <v>79.591730460076505</v>
      </c>
      <c r="AM7751">
        <v>95.096458930160907</v>
      </c>
      <c r="AN7751">
        <v>0.99999998379273503</v>
      </c>
    </row>
    <row r="7752" spans="1:40" x14ac:dyDescent="0.25">
      <c r="A7752" t="str">
        <f>"20190304155256614"</f>
        <v>20190304155256614</v>
      </c>
      <c r="B7752" t="str">
        <f>"1551685976604867"</f>
        <v>1551685976604867</v>
      </c>
      <c r="C7752" t="s">
        <v>40</v>
      </c>
      <c r="D7752">
        <v>4.7068580000000004</v>
      </c>
      <c r="E7752">
        <v>0.53862429999999994</v>
      </c>
      <c r="F7752" t="s">
        <v>41</v>
      </c>
      <c r="G7752">
        <v>-139.41370000000001</v>
      </c>
      <c r="H7752" s="1">
        <v>-8.7314529999999995E-7</v>
      </c>
      <c r="I7752">
        <v>137.03210000000001</v>
      </c>
      <c r="J7752">
        <v>-163.68039999999999</v>
      </c>
      <c r="K7752">
        <v>1.1106210000000001</v>
      </c>
      <c r="L7752">
        <v>136.90700000000001</v>
      </c>
      <c r="M7752">
        <v>0.99936840000000005</v>
      </c>
      <c r="N7752">
        <v>-1.391132E-2</v>
      </c>
      <c r="O7752">
        <v>3.2701540000000001E-2</v>
      </c>
      <c r="P7752">
        <v>0.97850950000000003</v>
      </c>
      <c r="Q7752">
        <v>0.16653579999999901</v>
      </c>
      <c r="R7752">
        <v>0.1215933</v>
      </c>
      <c r="S7752">
        <v>3.087234</v>
      </c>
      <c r="T7752">
        <v>-0.13990949999999999</v>
      </c>
      <c r="U7752">
        <v>1.670837E-2</v>
      </c>
      <c r="V7752">
        <v>-8.9493310000000006E-2</v>
      </c>
      <c r="W7752">
        <v>0.18019679999999999</v>
      </c>
      <c r="X7752">
        <v>0.97955099999999995</v>
      </c>
      <c r="Y7752">
        <v>2.724246E-2</v>
      </c>
      <c r="Z7752">
        <v>-1.832743E-3</v>
      </c>
      <c r="AA7752">
        <v>0.99962720000000005</v>
      </c>
      <c r="AB7752">
        <v>24</v>
      </c>
      <c r="AC7752">
        <v>24.266699999999901</v>
      </c>
      <c r="AD7752">
        <v>-1.1106218731452999</v>
      </c>
      <c r="AE7752">
        <v>0.12510000000000299</v>
      </c>
      <c r="AF7752">
        <v>0.66720461278565801</v>
      </c>
      <c r="AG7752">
        <v>-1.1106218731452999</v>
      </c>
      <c r="AH7752">
        <v>24.207106071206201</v>
      </c>
      <c r="AI7752">
        <v>92.625892021122496</v>
      </c>
      <c r="AJ7752">
        <v>88.421193665440001</v>
      </c>
      <c r="AK7752">
        <v>24.2417537996545</v>
      </c>
      <c r="AL7752">
        <v>79.618777474263993</v>
      </c>
      <c r="AM7752">
        <v>95.220140077256801</v>
      </c>
      <c r="AN7752">
        <v>1.00000005043299</v>
      </c>
    </row>
    <row r="7753" spans="1:40" x14ac:dyDescent="0.25">
      <c r="A7753" t="str">
        <f>"20190304155256636"</f>
        <v>20190304155256636</v>
      </c>
      <c r="B7753" t="str">
        <f>"1551685976624388"</f>
        <v>1551685976624388</v>
      </c>
      <c r="C7753" t="s">
        <v>40</v>
      </c>
      <c r="D7753">
        <v>4.701702</v>
      </c>
      <c r="E7753">
        <v>0.53746319999999903</v>
      </c>
      <c r="F7753" t="s">
        <v>41</v>
      </c>
      <c r="G7753">
        <v>-139.4196</v>
      </c>
      <c r="H7753" s="1">
        <v>-8.4252449999999896E-7</v>
      </c>
      <c r="I7753">
        <v>137.1397</v>
      </c>
      <c r="J7753">
        <v>-163.44220000000001</v>
      </c>
      <c r="K7753">
        <v>1.1107020000000001</v>
      </c>
      <c r="L7753">
        <v>136.91460000000001</v>
      </c>
      <c r="M7753">
        <v>0.9993725</v>
      </c>
      <c r="N7753">
        <v>-1.389603E-2</v>
      </c>
      <c r="O7753">
        <v>3.2582260000000002E-2</v>
      </c>
      <c r="P7753">
        <v>0.97801669999999996</v>
      </c>
      <c r="Q7753">
        <v>0.1677352</v>
      </c>
      <c r="R7753">
        <v>0.1238889</v>
      </c>
      <c r="S7753">
        <v>3.0862729999999998</v>
      </c>
      <c r="T7753">
        <v>-0.141284299999999</v>
      </c>
      <c r="U7753">
        <v>2.9602050000000001E-2</v>
      </c>
      <c r="V7753">
        <v>-9.1954209999999995E-2</v>
      </c>
      <c r="W7753">
        <v>0.18135850000000001</v>
      </c>
      <c r="X7753">
        <v>0.97910850000000005</v>
      </c>
      <c r="Y7753">
        <v>2.2950060000000001E-2</v>
      </c>
      <c r="Z7753">
        <v>-1.7223989999999999E-3</v>
      </c>
      <c r="AA7753">
        <v>0.99973509999999999</v>
      </c>
      <c r="AB7753">
        <v>24</v>
      </c>
      <c r="AC7753">
        <v>24.022600000000001</v>
      </c>
      <c r="AD7753">
        <v>-1.1107028425245</v>
      </c>
      <c r="AE7753">
        <v>0.225099999999997</v>
      </c>
      <c r="AF7753">
        <v>0.55661588295588404</v>
      </c>
      <c r="AG7753">
        <v>-1.1107028425245</v>
      </c>
      <c r="AH7753">
        <v>23.965949313396401</v>
      </c>
      <c r="AI7753">
        <v>92.6527620748723</v>
      </c>
      <c r="AJ7753">
        <v>88.669528669128994</v>
      </c>
      <c r="AK7753">
        <v>23.998129271629399</v>
      </c>
      <c r="AL7753">
        <v>79.551101078213094</v>
      </c>
      <c r="AM7753">
        <v>95.365267987707895</v>
      </c>
      <c r="AN7753">
        <v>0.99999996851561102</v>
      </c>
    </row>
    <row r="7754" spans="1:40" x14ac:dyDescent="0.25">
      <c r="A7754" t="str">
        <f>"20190304155256658"</f>
        <v>20190304155256658</v>
      </c>
      <c r="B7754" t="str">
        <f>"1551685976654643"</f>
        <v>1551685976654643</v>
      </c>
      <c r="C7754" t="s">
        <v>40</v>
      </c>
      <c r="D7754">
        <v>4.7781549999999999</v>
      </c>
      <c r="E7754">
        <v>0.53600539999999997</v>
      </c>
      <c r="F7754" t="s">
        <v>41</v>
      </c>
      <c r="G7754">
        <v>-138.83029999999999</v>
      </c>
      <c r="H7754" s="1">
        <v>-1.006368E-6</v>
      </c>
      <c r="I7754">
        <v>137.27760000000001</v>
      </c>
      <c r="J7754">
        <v>-163.20189999999999</v>
      </c>
      <c r="K7754">
        <v>1.11077</v>
      </c>
      <c r="L7754">
        <v>136.92230000000001</v>
      </c>
      <c r="M7754">
        <v>0.99937399999999998</v>
      </c>
      <c r="N7754">
        <v>-1.388231E-2</v>
      </c>
      <c r="O7754">
        <v>3.2542309999999998E-2</v>
      </c>
      <c r="P7754">
        <v>0.97746069999999996</v>
      </c>
      <c r="Q7754">
        <v>0.1694821</v>
      </c>
      <c r="R7754">
        <v>0.12588199999999999</v>
      </c>
      <c r="S7754">
        <v>3.0855410000000001</v>
      </c>
      <c r="T7754">
        <v>-0.13924589999999901</v>
      </c>
      <c r="U7754">
        <v>4.5516969999999997E-2</v>
      </c>
      <c r="V7754">
        <v>-9.402829E-2</v>
      </c>
      <c r="W7754">
        <v>0.18307209999999999</v>
      </c>
      <c r="X7754">
        <v>0.97859249999999998</v>
      </c>
      <c r="Y7754">
        <v>1.7760120000000001E-2</v>
      </c>
      <c r="Z7754">
        <v>-1.5396779999999901E-3</v>
      </c>
      <c r="AA7754">
        <v>0.99984110000000004</v>
      </c>
      <c r="AB7754">
        <v>24</v>
      </c>
      <c r="AC7754">
        <v>24.371600000000001</v>
      </c>
      <c r="AD7754">
        <v>-1.1107710063680001</v>
      </c>
      <c r="AE7754">
        <v>0.35529999999999901</v>
      </c>
      <c r="AF7754">
        <v>0.43716487847005597</v>
      </c>
      <c r="AG7754">
        <v>-1.1107710063680001</v>
      </c>
      <c r="AH7754">
        <v>24.319746151414101</v>
      </c>
      <c r="AI7754">
        <v>92.614666811897195</v>
      </c>
      <c r="AJ7754">
        <v>88.970178183742505</v>
      </c>
      <c r="AK7754">
        <v>24.3490241740563</v>
      </c>
      <c r="AL7754">
        <v>79.451247632389197</v>
      </c>
      <c r="AM7754">
        <v>95.488429395429705</v>
      </c>
      <c r="AN7754">
        <v>0.99999999708749199</v>
      </c>
    </row>
    <row r="7755" spans="1:40" x14ac:dyDescent="0.25">
      <c r="A7755" t="str">
        <f>"20190304155256680"</f>
        <v>20190304155256680</v>
      </c>
      <c r="B7755" t="str">
        <f>"1551685976675139"</f>
        <v>1551685976675139</v>
      </c>
      <c r="C7755" t="s">
        <v>40</v>
      </c>
      <c r="D7755">
        <v>4.8194210000000002</v>
      </c>
      <c r="E7755">
        <v>0.53502989999999995</v>
      </c>
      <c r="F7755" t="s">
        <v>41</v>
      </c>
      <c r="G7755">
        <v>-138.1276</v>
      </c>
      <c r="H7755" s="1">
        <v>-1.2030219999999999E-6</v>
      </c>
      <c r="I7755">
        <v>137.43729999999999</v>
      </c>
      <c r="J7755">
        <v>-162.9572</v>
      </c>
      <c r="K7755">
        <v>1.1108089999999999</v>
      </c>
      <c r="L7755">
        <v>136.93029999999999</v>
      </c>
      <c r="M7755">
        <v>0.99937339999999997</v>
      </c>
      <c r="N7755">
        <v>-1.386984E-2</v>
      </c>
      <c r="O7755">
        <v>3.2565520000000001E-2</v>
      </c>
      <c r="P7755">
        <v>0.97684820000000006</v>
      </c>
      <c r="Q7755">
        <v>0.17141629999999899</v>
      </c>
      <c r="R7755">
        <v>0.128001</v>
      </c>
      <c r="S7755">
        <v>3.0847169999999999</v>
      </c>
      <c r="T7755">
        <v>-0.13664979999999999</v>
      </c>
      <c r="U7755">
        <v>6.3354489999999999E-2</v>
      </c>
      <c r="V7755">
        <v>-9.6158770000000005E-2</v>
      </c>
      <c r="W7755">
        <v>0.1849788</v>
      </c>
      <c r="X7755">
        <v>0.97802670000000003</v>
      </c>
      <c r="Y7755">
        <v>1.2008319999999999E-2</v>
      </c>
      <c r="Z7755">
        <v>-1.3390139999999999E-3</v>
      </c>
      <c r="AA7755">
        <v>0.99992700000000001</v>
      </c>
      <c r="AB7755">
        <v>24</v>
      </c>
      <c r="AC7755">
        <v>24.829599999999999</v>
      </c>
      <c r="AD7755">
        <v>-1.110810203022</v>
      </c>
      <c r="AE7755">
        <v>0.507000000000005</v>
      </c>
      <c r="AF7755">
        <v>0.30133270843906002</v>
      </c>
      <c r="AG7755">
        <v>-1.110810203022</v>
      </c>
      <c r="AH7755">
        <v>24.783358752174902</v>
      </c>
      <c r="AI7755">
        <v>92.566136221069897</v>
      </c>
      <c r="AJ7755">
        <v>89.303393785894897</v>
      </c>
      <c r="AK7755">
        <v>24.8100699665946</v>
      </c>
      <c r="AL7755">
        <v>79.340103020054002</v>
      </c>
      <c r="AM7755">
        <v>95.615226202989703</v>
      </c>
      <c r="AN7755">
        <v>0.99999994570511996</v>
      </c>
    </row>
    <row r="7756" spans="1:40" x14ac:dyDescent="0.25">
      <c r="A7756" t="str">
        <f>"20190304155256703"</f>
        <v>20190304155256703</v>
      </c>
      <c r="B7756" t="str">
        <f>"1551685976694659"</f>
        <v>1551685976694659</v>
      </c>
      <c r="C7756" t="s">
        <v>40</v>
      </c>
      <c r="D7756">
        <v>4.7898639999999997</v>
      </c>
      <c r="E7756">
        <v>0.53442650000000003</v>
      </c>
      <c r="F7756" t="s">
        <v>41</v>
      </c>
      <c r="G7756">
        <v>-137.27670000000001</v>
      </c>
      <c r="H7756" s="1">
        <v>-1.511399E-6</v>
      </c>
      <c r="I7756">
        <v>137.5821</v>
      </c>
      <c r="J7756">
        <v>-162.7167</v>
      </c>
      <c r="K7756">
        <v>1.1108229999999999</v>
      </c>
      <c r="L7756">
        <v>136.93819999999999</v>
      </c>
      <c r="M7756">
        <v>0.99937160000000003</v>
      </c>
      <c r="N7756">
        <v>-1.385894E-2</v>
      </c>
      <c r="O7756">
        <v>3.2624399999999998E-2</v>
      </c>
      <c r="P7756">
        <v>0.97657989999999995</v>
      </c>
      <c r="Q7756">
        <v>0.17158519999999999</v>
      </c>
      <c r="R7756">
        <v>0.12980829999999999</v>
      </c>
      <c r="S7756">
        <v>3.0842589999999999</v>
      </c>
      <c r="T7756">
        <v>-0.13340959999999999</v>
      </c>
      <c r="U7756">
        <v>7.8292849999999997E-2</v>
      </c>
      <c r="V7756">
        <v>-9.7919989999999998E-2</v>
      </c>
      <c r="W7756">
        <v>0.1851315</v>
      </c>
      <c r="X7756">
        <v>0.97782309999999995</v>
      </c>
      <c r="Y7756">
        <v>7.23106599999999E-3</v>
      </c>
      <c r="Z7756">
        <v>-1.1643370000000001E-3</v>
      </c>
      <c r="AA7756">
        <v>0.99997320000000001</v>
      </c>
      <c r="AB7756">
        <v>24</v>
      </c>
      <c r="AC7756">
        <v>25.44</v>
      </c>
      <c r="AD7756">
        <v>-1.1108245113989901</v>
      </c>
      <c r="AE7756">
        <v>0.64390000000000203</v>
      </c>
      <c r="AF7756">
        <v>0.18613262050750001</v>
      </c>
      <c r="AG7756">
        <v>-1.1108245113989901</v>
      </c>
      <c r="AH7756">
        <v>25.399069570846599</v>
      </c>
      <c r="AI7756">
        <v>92.504159368864606</v>
      </c>
      <c r="AJ7756">
        <v>89.580125458958605</v>
      </c>
      <c r="AK7756">
        <v>25.424030198067399</v>
      </c>
      <c r="AL7756">
        <v>79.331200834285298</v>
      </c>
      <c r="AM7756">
        <v>95.718580543605697</v>
      </c>
      <c r="AN7756">
        <v>1.0000000058137299</v>
      </c>
    </row>
    <row r="7757" spans="1:40" x14ac:dyDescent="0.25">
      <c r="A7757" t="str">
        <f>"20190304155256725"</f>
        <v>20190304155256725</v>
      </c>
      <c r="B7757" t="str">
        <f>"1551685976715155"</f>
        <v>1551685976715155</v>
      </c>
      <c r="C7757" t="s">
        <v>40</v>
      </c>
      <c r="D7757">
        <v>4.7106870000000001</v>
      </c>
      <c r="E7757">
        <v>0.53390280000000001</v>
      </c>
      <c r="F7757" t="s">
        <v>41</v>
      </c>
      <c r="G7757">
        <v>-136.9906</v>
      </c>
      <c r="H7757" s="1">
        <v>-1.6181720000000001E-6</v>
      </c>
      <c r="I7757">
        <v>137.67230000000001</v>
      </c>
      <c r="J7757">
        <v>-162.47239999999999</v>
      </c>
      <c r="K7757">
        <v>1.110816</v>
      </c>
      <c r="L7757">
        <v>136.9462</v>
      </c>
      <c r="M7757">
        <v>0.99936950000000002</v>
      </c>
      <c r="N7757">
        <v>-1.384905E-2</v>
      </c>
      <c r="O7757">
        <v>3.269503E-2</v>
      </c>
      <c r="P7757">
        <v>0.97625050000000002</v>
      </c>
      <c r="Q7757">
        <v>0.17197460000000001</v>
      </c>
      <c r="R7757">
        <v>0.13175629999999999</v>
      </c>
      <c r="S7757">
        <v>3.0836329999999998</v>
      </c>
      <c r="T7757">
        <v>-0.1331475</v>
      </c>
      <c r="U7757">
        <v>8.7997439999999996E-2</v>
      </c>
      <c r="V7757">
        <v>-9.9805130000000006E-2</v>
      </c>
      <c r="W7757">
        <v>0.1855087</v>
      </c>
      <c r="X7757">
        <v>0.97756089999999995</v>
      </c>
      <c r="Y7757">
        <v>4.1556559999999998E-3</v>
      </c>
      <c r="Z7757">
        <v>-1.076198E-3</v>
      </c>
      <c r="AA7757">
        <v>0.99999079999999996</v>
      </c>
      <c r="AB7757">
        <v>24</v>
      </c>
      <c r="AC7757">
        <v>25.4818</v>
      </c>
      <c r="AD7757">
        <v>-1.110817618172</v>
      </c>
      <c r="AE7757">
        <v>0.72610000000000197</v>
      </c>
      <c r="AF7757">
        <v>0.10729259797466099</v>
      </c>
      <c r="AG7757">
        <v>-1.110817618172</v>
      </c>
      <c r="AH7757">
        <v>25.4436047015455</v>
      </c>
      <c r="AI7757">
        <v>92.499811134454802</v>
      </c>
      <c r="AJ7757">
        <v>89.758392072525197</v>
      </c>
      <c r="AK7757">
        <v>25.468067215454901</v>
      </c>
      <c r="AL7757">
        <v>79.309207062053801</v>
      </c>
      <c r="AM7757">
        <v>95.829475418314303</v>
      </c>
      <c r="AN7757">
        <v>0.99999992747940503</v>
      </c>
    </row>
    <row r="7758" spans="1:40" x14ac:dyDescent="0.25">
      <c r="A7758" t="str">
        <f>"20190304155256747"</f>
        <v>20190304155256747</v>
      </c>
      <c r="B7758" t="str">
        <f>"1551685976744435"</f>
        <v>1551685976744435</v>
      </c>
      <c r="C7758" t="s">
        <v>40</v>
      </c>
      <c r="D7758">
        <v>4.7007690000000002</v>
      </c>
      <c r="E7758">
        <v>0.53354279999999998</v>
      </c>
      <c r="F7758" t="s">
        <v>41</v>
      </c>
      <c r="G7758">
        <v>-135.9504</v>
      </c>
      <c r="H7758" s="1">
        <v>-2.0441870000000001E-6</v>
      </c>
      <c r="I7758">
        <v>137.78630000000001</v>
      </c>
      <c r="J7758">
        <v>-162.24</v>
      </c>
      <c r="K7758">
        <v>1.110792</v>
      </c>
      <c r="L7758">
        <v>136.9539</v>
      </c>
      <c r="M7758">
        <v>0.99936749999999996</v>
      </c>
      <c r="N7758">
        <v>-1.3840730000000001E-2</v>
      </c>
      <c r="O7758">
        <v>3.2755800000000002E-2</v>
      </c>
      <c r="P7758">
        <v>0.97605039999999998</v>
      </c>
      <c r="Q7758">
        <v>0.171816</v>
      </c>
      <c r="R7758">
        <v>0.13343479999999999</v>
      </c>
      <c r="S7758">
        <v>3.0825499999999999</v>
      </c>
      <c r="T7758">
        <v>-0.12910579999999999</v>
      </c>
      <c r="U7758">
        <v>9.7640989999999997E-2</v>
      </c>
      <c r="V7758">
        <v>-0.1014229</v>
      </c>
      <c r="W7758">
        <v>0.18534329999999999</v>
      </c>
      <c r="X7758">
        <v>0.97742580000000001</v>
      </c>
      <c r="Y7758">
        <v>1.0858840000000001E-3</v>
      </c>
      <c r="Z7758">
        <v>-9.4758470000000003E-4</v>
      </c>
      <c r="AA7758">
        <v>0.99999899999999997</v>
      </c>
      <c r="AB7758">
        <v>24</v>
      </c>
      <c r="AC7758">
        <v>26.2896</v>
      </c>
      <c r="AD7758">
        <v>-1.1107940441869999</v>
      </c>
      <c r="AE7758">
        <v>0.83240000000000602</v>
      </c>
      <c r="AF7758">
        <v>2.92140751515352E-2</v>
      </c>
      <c r="AG7758">
        <v>-1.1107940441869999</v>
      </c>
      <c r="AH7758">
        <v>26.255931970205999</v>
      </c>
      <c r="AI7758">
        <v>92.422532231571594</v>
      </c>
      <c r="AJ7758">
        <v>89.936248977194595</v>
      </c>
      <c r="AK7758">
        <v>26.2794345543216</v>
      </c>
      <c r="AL7758">
        <v>79.318851476867906</v>
      </c>
      <c r="AM7758">
        <v>95.924113429653801</v>
      </c>
      <c r="AN7758">
        <v>0.99999996900246901</v>
      </c>
    </row>
    <row r="7759" spans="1:40" x14ac:dyDescent="0.25">
      <c r="A7759" t="str">
        <f>"20190304155256771"</f>
        <v>20190304155256771</v>
      </c>
      <c r="B7759" t="str">
        <f>"1551685976764365"</f>
        <v>1551685976764365</v>
      </c>
      <c r="C7759" t="s">
        <v>40</v>
      </c>
      <c r="D7759">
        <v>4.7026760000000003</v>
      </c>
      <c r="E7759">
        <v>0.53339959999999997</v>
      </c>
      <c r="F7759" t="s">
        <v>41</v>
      </c>
      <c r="G7759">
        <v>-135.11779999999999</v>
      </c>
      <c r="H7759" s="1">
        <v>-2.384807E-6</v>
      </c>
      <c r="I7759">
        <v>137.87960000000001</v>
      </c>
      <c r="J7759">
        <v>-161.99189999999999</v>
      </c>
      <c r="K7759">
        <v>1.110773</v>
      </c>
      <c r="L7759">
        <v>136.96209999999999</v>
      </c>
      <c r="M7759">
        <v>0.99936619999999998</v>
      </c>
      <c r="N7759">
        <v>-1.383274E-2</v>
      </c>
      <c r="O7759">
        <v>3.2801129999999998E-2</v>
      </c>
      <c r="P7759">
        <v>0.97595949999999998</v>
      </c>
      <c r="Q7759">
        <v>0.17156450000000001</v>
      </c>
      <c r="R7759">
        <v>0.13442019999999999</v>
      </c>
      <c r="S7759">
        <v>3.0814509999999999</v>
      </c>
      <c r="T7759">
        <v>-0.12620139999999999</v>
      </c>
      <c r="U7759">
        <v>0.1051788</v>
      </c>
      <c r="V7759">
        <v>-0.1023572</v>
      </c>
      <c r="W7759">
        <v>0.1850879</v>
      </c>
      <c r="X7759">
        <v>0.97737680000000005</v>
      </c>
      <c r="Y7759">
        <v>-1.320035E-3</v>
      </c>
      <c r="Z7759">
        <v>-8.5228660000000005E-4</v>
      </c>
      <c r="AA7759">
        <v>0.99999870000000002</v>
      </c>
      <c r="AB7759">
        <v>24</v>
      </c>
      <c r="AC7759">
        <v>26.874099999999999</v>
      </c>
      <c r="AD7759">
        <v>-1.1107753848070001</v>
      </c>
      <c r="AE7759">
        <v>0.91750000000001797</v>
      </c>
      <c r="AF7759">
        <v>-3.5360689483886001E-2</v>
      </c>
      <c r="AG7759">
        <v>-1.1107753848070001</v>
      </c>
      <c r="AH7759">
        <v>26.843927890332001</v>
      </c>
      <c r="AI7759">
        <v>92.369489309456895</v>
      </c>
      <c r="AJ7759">
        <v>90.075473943475302</v>
      </c>
      <c r="AK7759">
        <v>26.866922728797899</v>
      </c>
      <c r="AL7759">
        <v>79.333742455470301</v>
      </c>
      <c r="AM7759">
        <v>95.978590012558001</v>
      </c>
      <c r="AN7759">
        <v>0.99999996814824399</v>
      </c>
    </row>
    <row r="7760" spans="1:40" x14ac:dyDescent="0.25">
      <c r="A7760" t="str">
        <f>"20190304155256792"</f>
        <v>20190304155256792</v>
      </c>
      <c r="B7760" t="str">
        <f>"1551685976784865"</f>
        <v>1551685976784865</v>
      </c>
      <c r="C7760" t="s">
        <v>40</v>
      </c>
      <c r="D7760">
        <v>4.7407690000000002</v>
      </c>
      <c r="E7760">
        <v>0.53328569999999997</v>
      </c>
      <c r="F7760" t="s">
        <v>41</v>
      </c>
      <c r="G7760">
        <v>-134.67910000000001</v>
      </c>
      <c r="H7760" s="1">
        <v>-2.5639510000000001E-6</v>
      </c>
      <c r="I7760">
        <v>137.9306</v>
      </c>
      <c r="J7760">
        <v>-161.7561</v>
      </c>
      <c r="K7760">
        <v>1.1107479999999901</v>
      </c>
      <c r="L7760">
        <v>136.96979999999999</v>
      </c>
      <c r="M7760">
        <v>0.99936539999999996</v>
      </c>
      <c r="N7760">
        <v>-1.3825820000000001E-2</v>
      </c>
      <c r="O7760">
        <v>3.2825750000000001E-2</v>
      </c>
      <c r="P7760">
        <v>0.97604939999999996</v>
      </c>
      <c r="Q7760">
        <v>0.17042539999999901</v>
      </c>
      <c r="R7760">
        <v>0.13521349999999999</v>
      </c>
      <c r="S7760">
        <v>3.0808719999999998</v>
      </c>
      <c r="T7760">
        <v>-0.12529480000000001</v>
      </c>
      <c r="U7760">
        <v>0.1092529</v>
      </c>
      <c r="V7760">
        <v>-0.1031151</v>
      </c>
      <c r="W7760">
        <v>0.18394820000000001</v>
      </c>
      <c r="X7760">
        <v>0.9775123</v>
      </c>
      <c r="Y7760">
        <v>-2.6209470000000002E-3</v>
      </c>
      <c r="Z7760">
        <v>-8.0851689999999999E-4</v>
      </c>
      <c r="AA7760">
        <v>0.9999962</v>
      </c>
      <c r="AB7760">
        <v>24</v>
      </c>
      <c r="AC7760">
        <v>27.077000000000002</v>
      </c>
      <c r="AD7760">
        <v>-1.11075056395099</v>
      </c>
      <c r="AE7760">
        <v>0.96080000000000598</v>
      </c>
      <c r="AF7760">
        <v>-7.1254513514276294E-2</v>
      </c>
      <c r="AG7760">
        <v>-1.11075056395099</v>
      </c>
      <c r="AH7760">
        <v>27.048487233140602</v>
      </c>
      <c r="AI7760">
        <v>92.351531187724603</v>
      </c>
      <c r="AJ7760">
        <v>90.150935370860097</v>
      </c>
      <c r="AK7760">
        <v>27.071377977901001</v>
      </c>
      <c r="AL7760">
        <v>79.400183440439406</v>
      </c>
      <c r="AM7760">
        <v>96.021705391842005</v>
      </c>
      <c r="AN7760">
        <v>0.99999998039126903</v>
      </c>
    </row>
    <row r="7761" spans="1:40" x14ac:dyDescent="0.25">
      <c r="A7761" t="str">
        <f>"20190304155256816"</f>
        <v>20190304155256816</v>
      </c>
      <c r="B7761" t="str">
        <f>"1551685976804383"</f>
        <v>1551685976804383</v>
      </c>
      <c r="C7761" t="s">
        <v>40</v>
      </c>
      <c r="D7761">
        <v>4.7325819999999998</v>
      </c>
      <c r="E7761">
        <v>0.53325730000000005</v>
      </c>
      <c r="F7761" t="s">
        <v>41</v>
      </c>
      <c r="G7761">
        <v>-134.94829999999999</v>
      </c>
      <c r="H7761" s="1">
        <v>-2.444714E-6</v>
      </c>
      <c r="I7761">
        <v>137.95169999999999</v>
      </c>
      <c r="J7761">
        <v>-161.5112</v>
      </c>
      <c r="K7761">
        <v>1.1107180000000001</v>
      </c>
      <c r="L7761">
        <v>136.97799999999901</v>
      </c>
      <c r="M7761">
        <v>0.99936519999999995</v>
      </c>
      <c r="N7761">
        <v>-1.381925E-2</v>
      </c>
      <c r="O7761">
        <v>3.283548E-2</v>
      </c>
      <c r="P7761">
        <v>0.97635329999999998</v>
      </c>
      <c r="Q7761">
        <v>0.16805929999999999</v>
      </c>
      <c r="R7761">
        <v>0.13597879999999901</v>
      </c>
      <c r="S7761">
        <v>3.0802610000000001</v>
      </c>
      <c r="T7761">
        <v>-0.12762699999999999</v>
      </c>
      <c r="U7761">
        <v>0.11282349999999999</v>
      </c>
      <c r="V7761">
        <v>-0.10385320000000001</v>
      </c>
      <c r="W7761">
        <v>0.18158450000000001</v>
      </c>
      <c r="X7761">
        <v>0.97787610000000003</v>
      </c>
      <c r="Y7761">
        <v>-3.7751590000000002E-3</v>
      </c>
      <c r="Z7761">
        <v>-8.0118270000000002E-4</v>
      </c>
      <c r="AA7761">
        <v>0.99999249999999995</v>
      </c>
      <c r="AB7761">
        <v>24</v>
      </c>
      <c r="AC7761">
        <v>26.562899999999999</v>
      </c>
      <c r="AD7761">
        <v>-1.110720444714</v>
      </c>
      <c r="AE7761">
        <v>0.973700000000007</v>
      </c>
      <c r="AF7761">
        <v>-0.100710107582774</v>
      </c>
      <c r="AG7761">
        <v>-1.110720444714</v>
      </c>
      <c r="AH7761">
        <v>26.534216651939602</v>
      </c>
      <c r="AI7761">
        <v>92.396980663963305</v>
      </c>
      <c r="AJ7761">
        <v>90.217463981942601</v>
      </c>
      <c r="AK7761">
        <v>26.5576447706521</v>
      </c>
      <c r="AL7761">
        <v>79.5379343828792</v>
      </c>
      <c r="AM7761">
        <v>96.062249426414198</v>
      </c>
      <c r="AN7761">
        <v>1.0000000423708399</v>
      </c>
    </row>
    <row r="7762" spans="1:40" x14ac:dyDescent="0.25">
      <c r="A7762" t="str">
        <f>"20190304155256838"</f>
        <v>20190304155256838</v>
      </c>
      <c r="B7762" t="str">
        <f>"1551685976834638"</f>
        <v>1551685976834638</v>
      </c>
      <c r="C7762" t="s">
        <v>40</v>
      </c>
      <c r="D7762">
        <v>4.763808</v>
      </c>
      <c r="E7762">
        <v>0.533304</v>
      </c>
      <c r="F7762" t="s">
        <v>41</v>
      </c>
      <c r="G7762">
        <v>-136.02209999999999</v>
      </c>
      <c r="H7762" s="1">
        <v>-1.988618E-6</v>
      </c>
      <c r="I7762">
        <v>137.92609999999999</v>
      </c>
      <c r="J7762">
        <v>-161.2715</v>
      </c>
      <c r="K7762">
        <v>1.1106959999999999</v>
      </c>
      <c r="L7762">
        <v>136.98580000000001</v>
      </c>
      <c r="M7762">
        <v>0.99936530000000001</v>
      </c>
      <c r="N7762">
        <v>-1.381342E-2</v>
      </c>
      <c r="O7762">
        <v>3.2834479999999999E-2</v>
      </c>
      <c r="P7762">
        <v>0.97665290000000005</v>
      </c>
      <c r="Q7762">
        <v>0.16592479999999901</v>
      </c>
      <c r="R7762">
        <v>0.1364485</v>
      </c>
      <c r="S7762">
        <v>3.0798190000000001</v>
      </c>
      <c r="T7762">
        <v>-0.13420699999999999</v>
      </c>
      <c r="U7762">
        <v>0.114563</v>
      </c>
      <c r="V7762">
        <v>-0.10430830000000001</v>
      </c>
      <c r="W7762">
        <v>0.1794519</v>
      </c>
      <c r="X7762">
        <v>0.97822120000000001</v>
      </c>
      <c r="Y7762">
        <v>-4.3463620000000003E-3</v>
      </c>
      <c r="Z7762">
        <v>-8.5114479999999905E-4</v>
      </c>
      <c r="AA7762">
        <v>0.99999020000000005</v>
      </c>
      <c r="AB7762">
        <v>24</v>
      </c>
      <c r="AC7762">
        <v>25.249400000000001</v>
      </c>
      <c r="AD7762">
        <v>-1.110697988618</v>
      </c>
      <c r="AE7762">
        <v>0.94029999999997904</v>
      </c>
      <c r="AF7762">
        <v>-0.110449407244296</v>
      </c>
      <c r="AG7762">
        <v>-1.110697988618</v>
      </c>
      <c r="AH7762">
        <v>25.2179300998259</v>
      </c>
      <c r="AI7762">
        <v>92.521880082779404</v>
      </c>
      <c r="AJ7762">
        <v>90.250942261949106</v>
      </c>
      <c r="AK7762">
        <v>25.242619666215099</v>
      </c>
      <c r="AL7762">
        <v>79.662163425656402</v>
      </c>
      <c r="AM7762">
        <v>96.086484144780101</v>
      </c>
      <c r="AN7762">
        <v>0.999999960995969</v>
      </c>
    </row>
    <row r="7763" spans="1:40" x14ac:dyDescent="0.25">
      <c r="A7763" t="str">
        <f>"20190304155256860"</f>
        <v>20190304155256860</v>
      </c>
      <c r="B7763" t="str">
        <f>"1551685976855138"</f>
        <v>1551685976855138</v>
      </c>
      <c r="C7763" t="s">
        <v>40</v>
      </c>
      <c r="D7763">
        <v>4.0694559999999997</v>
      </c>
      <c r="E7763">
        <v>0.55703829999999999</v>
      </c>
      <c r="F7763" t="s">
        <v>41</v>
      </c>
      <c r="G7763">
        <v>-136.75630000000001</v>
      </c>
      <c r="H7763" s="1">
        <v>-1.6779620000000001E-6</v>
      </c>
      <c r="I7763">
        <v>137.90190000000001</v>
      </c>
      <c r="J7763">
        <v>-161.03880000000001</v>
      </c>
      <c r="K7763">
        <v>1.1106830000000001</v>
      </c>
      <c r="L7763">
        <v>136.99350000000001</v>
      </c>
      <c r="M7763">
        <v>0.99936559999999997</v>
      </c>
      <c r="N7763">
        <v>-1.3808290000000001E-2</v>
      </c>
      <c r="O7763">
        <v>3.2828219999999998E-2</v>
      </c>
      <c r="P7763">
        <v>0.97711289999999995</v>
      </c>
      <c r="Q7763">
        <v>0.16352249999999999</v>
      </c>
      <c r="R7763">
        <v>0.13605500000000001</v>
      </c>
      <c r="S7763">
        <v>3.0793460000000001</v>
      </c>
      <c r="T7763">
        <v>-0.1395142</v>
      </c>
      <c r="U7763">
        <v>0.1150665</v>
      </c>
      <c r="V7763">
        <v>-0.1039021</v>
      </c>
      <c r="W7763">
        <v>0.1770533</v>
      </c>
      <c r="X7763">
        <v>0.97870140000000005</v>
      </c>
      <c r="Y7763">
        <v>-4.5227509999999898E-3</v>
      </c>
      <c r="Z7763">
        <v>-8.9886139999999996E-4</v>
      </c>
      <c r="AA7763">
        <v>0.99998940000000003</v>
      </c>
      <c r="AB7763">
        <v>24</v>
      </c>
      <c r="AC7763">
        <v>24.282499999999999</v>
      </c>
      <c r="AD7763">
        <v>-1.1106846779620001</v>
      </c>
      <c r="AE7763">
        <v>0.90839999999999999</v>
      </c>
      <c r="AF7763">
        <v>-0.11045225255235901</v>
      </c>
      <c r="AG7763">
        <v>-1.1106846779620001</v>
      </c>
      <c r="AH7763">
        <v>24.248572467071501</v>
      </c>
      <c r="AI7763">
        <v>92.622522930779596</v>
      </c>
      <c r="AJ7763">
        <v>90.260980482479894</v>
      </c>
      <c r="AK7763">
        <v>24.2742474001723</v>
      </c>
      <c r="AL7763">
        <v>79.801830050444394</v>
      </c>
      <c r="AM7763">
        <v>96.060006237619106</v>
      </c>
      <c r="AN7763">
        <v>0.99999997389362905</v>
      </c>
    </row>
    <row r="7764" spans="1:40" x14ac:dyDescent="0.25">
      <c r="A7764" t="str">
        <f>"20190304155257039"</f>
        <v>20190304155257039</v>
      </c>
      <c r="B7764" t="str">
        <f>"1551685977034717"</f>
        <v>1551685977034717</v>
      </c>
      <c r="C7764" t="s">
        <v>40</v>
      </c>
      <c r="D7764">
        <v>4.9000690000000002</v>
      </c>
      <c r="E7764">
        <v>0.56599309999999903</v>
      </c>
      <c r="F7764" t="s">
        <v>51</v>
      </c>
      <c r="G7764">
        <v>-158.53819999999999</v>
      </c>
      <c r="H7764">
        <v>1.009185</v>
      </c>
      <c r="I7764">
        <v>137.02080000000001</v>
      </c>
      <c r="J7764">
        <v>-159.1311</v>
      </c>
      <c r="K7764">
        <v>1.1106480000000001</v>
      </c>
      <c r="L7764">
        <v>137.05609999999999</v>
      </c>
      <c r="M7764">
        <v>0.99936709999999995</v>
      </c>
      <c r="N7764">
        <v>-1.3774979999999999E-2</v>
      </c>
      <c r="O7764">
        <v>3.2800699999999898E-2</v>
      </c>
      <c r="P7764">
        <v>0.97890469999999896</v>
      </c>
      <c r="Q7764">
        <v>0.1580203</v>
      </c>
      <c r="R7764">
        <v>0.129521</v>
      </c>
      <c r="S7764">
        <v>3.1406860000000001</v>
      </c>
      <c r="T7764">
        <v>-0.38200590000000001</v>
      </c>
      <c r="U7764">
        <v>-0.102829</v>
      </c>
      <c r="V7764">
        <v>-9.7332829999999995E-2</v>
      </c>
      <c r="W7764">
        <v>0.17154469999999999</v>
      </c>
      <c r="X7764">
        <v>0.98035649999999996</v>
      </c>
      <c r="Y7764">
        <v>6.4770739999999993E-2</v>
      </c>
      <c r="Z7764">
        <v>-7.8952750000000002E-3</v>
      </c>
      <c r="AA7764">
        <v>0.99786900000000001</v>
      </c>
      <c r="AB7764">
        <v>24</v>
      </c>
      <c r="AC7764">
        <v>0.59290000000001397</v>
      </c>
      <c r="AD7764">
        <v>-0.101462999999999</v>
      </c>
      <c r="AE7764">
        <v>-3.5299999999978099E-2</v>
      </c>
      <c r="AF7764">
        <v>5.3178521860001597E-2</v>
      </c>
      <c r="AG7764">
        <v>-0.101462999999999</v>
      </c>
      <c r="AH7764">
        <v>0.57465337122389104</v>
      </c>
      <c r="AI7764">
        <v>99.971416146695404</v>
      </c>
      <c r="AJ7764">
        <v>84.712896751968501</v>
      </c>
      <c r="AK7764">
        <v>0.58596006059730499</v>
      </c>
      <c r="AL7764">
        <v>80.122357323586698</v>
      </c>
      <c r="AM7764">
        <v>95.669921459349695</v>
      </c>
      <c r="AN7764">
        <v>1.0000000654930701</v>
      </c>
    </row>
    <row r="7765" spans="1:40" x14ac:dyDescent="0.25">
      <c r="A7765" t="str">
        <f>"20190304155257061"</f>
        <v>20190304155257061</v>
      </c>
      <c r="B7765" t="str">
        <f>"1551685977055213"</f>
        <v>1551685977055213</v>
      </c>
      <c r="C7765" t="s">
        <v>40</v>
      </c>
      <c r="D7765">
        <v>5.8568720000000001</v>
      </c>
      <c r="E7765">
        <v>0.57648840000000001</v>
      </c>
      <c r="F7765" t="s">
        <v>51</v>
      </c>
      <c r="G7765">
        <v>-158.3263</v>
      </c>
      <c r="H7765">
        <v>1.0096579999999999</v>
      </c>
      <c r="I7765">
        <v>137.01140000000001</v>
      </c>
      <c r="J7765">
        <v>-158.9033</v>
      </c>
      <c r="K7765">
        <v>1.1106450000000001</v>
      </c>
      <c r="L7765">
        <v>137.06360000000001</v>
      </c>
      <c r="M7765">
        <v>0.99936709999999995</v>
      </c>
      <c r="N7765">
        <v>-1.3771790000000001E-2</v>
      </c>
      <c r="O7765">
        <v>3.2801570000000002E-2</v>
      </c>
      <c r="P7765">
        <v>0.97909749999999995</v>
      </c>
      <c r="Q7765">
        <v>0.15689330000000001</v>
      </c>
      <c r="R7765">
        <v>0.12943279999999999</v>
      </c>
      <c r="S7765">
        <v>3.1515810000000002</v>
      </c>
      <c r="T7765">
        <v>-0.39553090000000002</v>
      </c>
      <c r="U7765">
        <v>-0.17437739999999999</v>
      </c>
      <c r="V7765">
        <v>-9.7237599999999993E-2</v>
      </c>
      <c r="W7765">
        <v>0.17041719999999999</v>
      </c>
      <c r="X7765">
        <v>0.9805625</v>
      </c>
      <c r="Y7765">
        <v>8.7010889999999994E-2</v>
      </c>
      <c r="Z7765">
        <v>-9.6848869999999997E-3</v>
      </c>
      <c r="AA7765">
        <v>0.9961603</v>
      </c>
      <c r="AB7765">
        <v>24</v>
      </c>
      <c r="AC7765">
        <v>0.57699999999999796</v>
      </c>
      <c r="AD7765">
        <v>-0.10098699999999999</v>
      </c>
      <c r="AE7765">
        <v>-5.2199999999999101E-2</v>
      </c>
      <c r="AF7765">
        <v>6.9003625039927699E-2</v>
      </c>
      <c r="AG7765">
        <v>-0.10098699999999999</v>
      </c>
      <c r="AH7765">
        <v>0.55802231352916698</v>
      </c>
      <c r="AI7765">
        <v>100.182054736094</v>
      </c>
      <c r="AJ7765">
        <v>82.950734269989397</v>
      </c>
      <c r="AK7765">
        <v>0.57126944328757401</v>
      </c>
      <c r="AL7765">
        <v>80.187923122905701</v>
      </c>
      <c r="AM7765">
        <v>95.663227864337699</v>
      </c>
      <c r="AN7765">
        <v>0.999999994657925</v>
      </c>
    </row>
    <row r="7766" spans="1:40" x14ac:dyDescent="0.25">
      <c r="A7766" t="str">
        <f>"20190304155257083"</f>
        <v>20190304155257083</v>
      </c>
      <c r="B7766" t="str">
        <f>"1551685977074734"</f>
        <v>1551685977074734</v>
      </c>
      <c r="C7766" t="s">
        <v>40</v>
      </c>
      <c r="D7766">
        <v>4.7298460000000002</v>
      </c>
      <c r="E7766">
        <v>0.57786590000000004</v>
      </c>
      <c r="F7766" t="s">
        <v>51</v>
      </c>
      <c r="G7766">
        <v>-158.10399999999899</v>
      </c>
      <c r="H7766">
        <v>1.031142</v>
      </c>
      <c r="I7766">
        <v>136.99930000000001</v>
      </c>
      <c r="J7766">
        <v>-158.67140000000001</v>
      </c>
      <c r="K7766">
        <v>1.110633</v>
      </c>
      <c r="L7766">
        <v>137.0712</v>
      </c>
      <c r="M7766">
        <v>0.99936720000000001</v>
      </c>
      <c r="N7766">
        <v>-1.376867E-2</v>
      </c>
      <c r="O7766">
        <v>3.2796730000000003E-2</v>
      </c>
      <c r="P7766">
        <v>0.97959070000000004</v>
      </c>
      <c r="Q7766">
        <v>0.15423729999999999</v>
      </c>
      <c r="R7766">
        <v>0.12889110000000001</v>
      </c>
      <c r="S7766">
        <v>3.147583</v>
      </c>
      <c r="T7766">
        <v>-0.31316959999999999</v>
      </c>
      <c r="U7766">
        <v>-0.25231930000000002</v>
      </c>
      <c r="V7766">
        <v>-9.6683710000000006E-2</v>
      </c>
      <c r="W7766">
        <v>0.16776559999999999</v>
      </c>
      <c r="X7766">
        <v>0.98107440000000001</v>
      </c>
      <c r="Y7766">
        <v>0.11181339999999999</v>
      </c>
      <c r="Z7766">
        <v>-9.1138179999999992E-3</v>
      </c>
      <c r="AA7766">
        <v>0.99368749999999995</v>
      </c>
      <c r="AB7766">
        <v>24</v>
      </c>
      <c r="AC7766">
        <v>0.56740000000002</v>
      </c>
      <c r="AD7766">
        <v>-7.9490999999999895E-2</v>
      </c>
      <c r="AE7766">
        <v>-7.1899999999999395E-2</v>
      </c>
      <c r="AF7766">
        <v>8.87574180784967E-2</v>
      </c>
      <c r="AG7766">
        <v>-7.9490999999999895E-2</v>
      </c>
      <c r="AH7766">
        <v>0.55403413709430904</v>
      </c>
      <c r="AI7766">
        <v>98.063448718026606</v>
      </c>
      <c r="AJ7766">
        <v>80.898434420845405</v>
      </c>
      <c r="AK7766">
        <v>0.56670144115821397</v>
      </c>
      <c r="AL7766">
        <v>80.342068418847703</v>
      </c>
      <c r="AM7766">
        <v>95.628257271518706</v>
      </c>
      <c r="AN7766">
        <v>1.00000000732904</v>
      </c>
    </row>
    <row r="7767" spans="1:40" x14ac:dyDescent="0.25">
      <c r="A7767" t="str">
        <f>"20190304155257104"</f>
        <v>20190304155257104</v>
      </c>
      <c r="B7767" t="str">
        <f>"1551685977094255"</f>
        <v>1551685977094255</v>
      </c>
      <c r="C7767" t="s">
        <v>40</v>
      </c>
      <c r="D7767">
        <v>4.5581480000000001</v>
      </c>
      <c r="E7767">
        <v>0.57703800000000005</v>
      </c>
      <c r="F7767" t="s">
        <v>51</v>
      </c>
      <c r="G7767">
        <v>-157.8888</v>
      </c>
      <c r="H7767">
        <v>1.0401069999999999</v>
      </c>
      <c r="I7767">
        <v>137.0059</v>
      </c>
      <c r="J7767">
        <v>-158.4331</v>
      </c>
      <c r="K7767">
        <v>1.110617</v>
      </c>
      <c r="L7767">
        <v>137.07900000000001</v>
      </c>
      <c r="M7767">
        <v>0.99936800000000003</v>
      </c>
      <c r="N7767">
        <v>-1.3765640000000001E-2</v>
      </c>
      <c r="O7767">
        <v>3.2775859999999997E-2</v>
      </c>
      <c r="P7767">
        <v>0.97976010000000002</v>
      </c>
      <c r="Q7767">
        <v>0.15309589999999901</v>
      </c>
      <c r="R7767">
        <v>0.1289651</v>
      </c>
      <c r="S7767">
        <v>3.141556</v>
      </c>
      <c r="T7767">
        <v>-0.28314549999999999</v>
      </c>
      <c r="U7767">
        <v>-0.26184079999999998</v>
      </c>
      <c r="V7767">
        <v>-9.6769590000000003E-2</v>
      </c>
      <c r="W7767">
        <v>0.16662560000000001</v>
      </c>
      <c r="X7767">
        <v>0.98126020000000003</v>
      </c>
      <c r="Y7767">
        <v>0.115051</v>
      </c>
      <c r="Z7767">
        <v>-8.4545090000000007E-3</v>
      </c>
      <c r="AA7767">
        <v>0.99332359999999997</v>
      </c>
      <c r="AB7767">
        <v>24</v>
      </c>
      <c r="AC7767">
        <v>0.54429999999999201</v>
      </c>
      <c r="AD7767">
        <v>-7.0510000000000003E-2</v>
      </c>
      <c r="AE7767">
        <v>-7.3100000000010795E-2</v>
      </c>
      <c r="AF7767">
        <v>8.9428178007041295E-2</v>
      </c>
      <c r="AG7767">
        <v>-7.0510000000000003E-2</v>
      </c>
      <c r="AH7767">
        <v>0.53282825014148505</v>
      </c>
      <c r="AI7767">
        <v>97.435432004189195</v>
      </c>
      <c r="AJ7767">
        <v>80.472459578593899</v>
      </c>
      <c r="AK7767">
        <v>0.54486237094379797</v>
      </c>
      <c r="AL7767">
        <v>80.408318205508493</v>
      </c>
      <c r="AM7767">
        <v>95.632164687260399</v>
      </c>
      <c r="AN7767">
        <v>1.00000001211408</v>
      </c>
    </row>
    <row r="7768" spans="1:40" x14ac:dyDescent="0.25">
      <c r="A7768" t="str">
        <f>"20190304155257127"</f>
        <v>20190304155257127</v>
      </c>
      <c r="B7768" t="str">
        <f>"1551685977124511"</f>
        <v>1551685977124511</v>
      </c>
      <c r="C7768" t="s">
        <v>40</v>
      </c>
      <c r="D7768">
        <v>4.6310699999999896</v>
      </c>
      <c r="E7768">
        <v>0.5759358</v>
      </c>
      <c r="F7768" t="s">
        <v>51</v>
      </c>
      <c r="G7768">
        <v>-157.6703</v>
      </c>
      <c r="H7768">
        <v>1.050681</v>
      </c>
      <c r="I7768">
        <v>137.01740000000001</v>
      </c>
      <c r="J7768">
        <v>-158.20269999999999</v>
      </c>
      <c r="K7768">
        <v>1.1106009999999999</v>
      </c>
      <c r="L7768">
        <v>137.0865</v>
      </c>
      <c r="M7768">
        <v>0.99936950000000002</v>
      </c>
      <c r="N7768">
        <v>-1.376281E-2</v>
      </c>
      <c r="O7768">
        <v>3.272916E-2</v>
      </c>
      <c r="P7768">
        <v>0.97968250000000001</v>
      </c>
      <c r="Q7768">
        <v>0.15381900000000001</v>
      </c>
      <c r="R7768">
        <v>0.1286947</v>
      </c>
      <c r="S7768">
        <v>3.1337429999999999</v>
      </c>
      <c r="T7768">
        <v>-0.24626329999999999</v>
      </c>
      <c r="U7768">
        <v>-0.25283810000000001</v>
      </c>
      <c r="V7768">
        <v>-9.6540959999999995E-2</v>
      </c>
      <c r="W7768">
        <v>0.16734859999999999</v>
      </c>
      <c r="X7768">
        <v>0.98115969999999997</v>
      </c>
      <c r="Y7768">
        <v>0.1125303</v>
      </c>
      <c r="Z7768">
        <v>-7.2999959999999996E-3</v>
      </c>
      <c r="AA7768">
        <v>0.99362150000000005</v>
      </c>
      <c r="AB7768">
        <v>24</v>
      </c>
      <c r="AC7768">
        <v>0.53239999999999499</v>
      </c>
      <c r="AD7768">
        <v>-5.9919999999999897E-2</v>
      </c>
      <c r="AE7768">
        <v>-6.9099999999991696E-2</v>
      </c>
      <c r="AF7768">
        <v>8.5425485212382704E-2</v>
      </c>
      <c r="AG7768">
        <v>-5.9919999999999897E-2</v>
      </c>
      <c r="AH7768">
        <v>0.52333376166368495</v>
      </c>
      <c r="AI7768">
        <v>96.447140331999293</v>
      </c>
      <c r="AJ7768">
        <v>80.729185683644104</v>
      </c>
      <c r="AK7768">
        <v>0.53363484333468403</v>
      </c>
      <c r="AL7768">
        <v>80.366303642153696</v>
      </c>
      <c r="AM7768">
        <v>95.619515126630205</v>
      </c>
      <c r="AN7768">
        <v>1.00000003389188</v>
      </c>
    </row>
    <row r="7769" spans="1:40" x14ac:dyDescent="0.25">
      <c r="A7769" t="str">
        <f>"20190304155257150"</f>
        <v>20190304155257150</v>
      </c>
      <c r="B7769" t="str">
        <f>"1551685977145009"</f>
        <v>1551685977145009</v>
      </c>
      <c r="C7769" t="s">
        <v>40</v>
      </c>
      <c r="D7769">
        <v>4.6067839999999904</v>
      </c>
      <c r="E7769">
        <v>0.57564499999999996</v>
      </c>
      <c r="F7769" t="s">
        <v>41</v>
      </c>
      <c r="G7769">
        <v>-141.87119999999999</v>
      </c>
      <c r="H7769" s="1">
        <v>-4.1436980000000002E-6</v>
      </c>
      <c r="I7769">
        <v>135.81569999999999</v>
      </c>
      <c r="J7769">
        <v>-157.9665</v>
      </c>
      <c r="K7769">
        <v>1.110579</v>
      </c>
      <c r="L7769">
        <v>137.0941</v>
      </c>
      <c r="M7769">
        <v>0.99937260000000006</v>
      </c>
      <c r="N7769">
        <v>-1.375994E-2</v>
      </c>
      <c r="O7769">
        <v>3.2637859999999998E-2</v>
      </c>
      <c r="P7769">
        <v>0.97951549999999998</v>
      </c>
      <c r="Q7769">
        <v>0.15564729999999999</v>
      </c>
      <c r="R7769">
        <v>0.12776480000000001</v>
      </c>
      <c r="S7769">
        <v>3.1275789999999999</v>
      </c>
      <c r="T7769">
        <v>-0.2126864</v>
      </c>
      <c r="U7769">
        <v>-0.24334720000000001</v>
      </c>
      <c r="V7769">
        <v>-9.5694660000000001E-2</v>
      </c>
      <c r="W7769">
        <v>0.169178</v>
      </c>
      <c r="X7769">
        <v>0.98092880000000005</v>
      </c>
      <c r="Y7769">
        <v>0.1097226</v>
      </c>
      <c r="Z7769">
        <v>-6.244019E-3</v>
      </c>
      <c r="AA7769">
        <v>0.99394260000000001</v>
      </c>
      <c r="AB7769">
        <v>24</v>
      </c>
      <c r="AC7769">
        <v>16.095300000000002</v>
      </c>
      <c r="AD7769">
        <v>-1.110583143698</v>
      </c>
      <c r="AE7769">
        <v>-1.2784</v>
      </c>
      <c r="AF7769">
        <v>1.7945940260320701</v>
      </c>
      <c r="AG7769">
        <v>-1.110583143698</v>
      </c>
      <c r="AH7769">
        <v>15.969440431093</v>
      </c>
      <c r="AI7769">
        <v>93.953383514583393</v>
      </c>
      <c r="AJ7769">
        <v>83.588186064514204</v>
      </c>
      <c r="AK7769">
        <v>16.108289490804601</v>
      </c>
      <c r="AL7769">
        <v>80.259970184085105</v>
      </c>
      <c r="AM7769">
        <v>95.571867386479994</v>
      </c>
      <c r="AN7769">
        <v>0.999999987152977</v>
      </c>
    </row>
    <row r="7770" spans="1:40" x14ac:dyDescent="0.25">
      <c r="A7770" t="str">
        <f>"20190304155257172"</f>
        <v>20190304155257172</v>
      </c>
      <c r="B7770" t="str">
        <f>"1551685977164526"</f>
        <v>1551685977164526</v>
      </c>
      <c r="C7770" t="s">
        <v>40</v>
      </c>
      <c r="D7770">
        <v>4.6118670000000002</v>
      </c>
      <c r="E7770">
        <v>0.57385149999999996</v>
      </c>
      <c r="F7770" t="s">
        <v>41</v>
      </c>
      <c r="G7770">
        <v>-139.7319</v>
      </c>
      <c r="H7770" s="1">
        <v>-1.126273E-6</v>
      </c>
      <c r="I7770">
        <v>135.6737</v>
      </c>
      <c r="J7770">
        <v>-157.73400000000001</v>
      </c>
      <c r="K7770">
        <v>1.1105529999999999</v>
      </c>
      <c r="L7770">
        <v>137.10159999999999</v>
      </c>
      <c r="M7770">
        <v>0.99937730000000002</v>
      </c>
      <c r="N7770">
        <v>-1.375724E-2</v>
      </c>
      <c r="O7770">
        <v>3.2495999999999997E-2</v>
      </c>
      <c r="P7770">
        <v>0.97938230000000004</v>
      </c>
      <c r="Q7770">
        <v>0.15721729999999901</v>
      </c>
      <c r="R7770">
        <v>0.1268591</v>
      </c>
      <c r="S7770">
        <v>3.1247250000000002</v>
      </c>
      <c r="T7770">
        <v>-0.1903118</v>
      </c>
      <c r="U7770">
        <v>-0.2433929</v>
      </c>
      <c r="V7770">
        <v>-9.4917760000000004E-2</v>
      </c>
      <c r="W7770">
        <v>0.17075079999999901</v>
      </c>
      <c r="X7770">
        <v>0.98073180000000004</v>
      </c>
      <c r="Y7770">
        <v>0.1097332</v>
      </c>
      <c r="Z7770">
        <v>-5.6190939999999998E-3</v>
      </c>
      <c r="AA7770">
        <v>0.99394519999999997</v>
      </c>
      <c r="AB7770">
        <v>23</v>
      </c>
      <c r="AC7770">
        <v>18.002099999999999</v>
      </c>
      <c r="AD7770">
        <v>-1.1105541262729901</v>
      </c>
      <c r="AE7770">
        <v>-1.42789999999999</v>
      </c>
      <c r="AF7770">
        <v>2.0046160270262101</v>
      </c>
      <c r="AG7770">
        <v>-1.1105541262729901</v>
      </c>
      <c r="AH7770">
        <v>17.878570390740801</v>
      </c>
      <c r="AI7770">
        <v>93.532367971684806</v>
      </c>
      <c r="AJ7770">
        <v>83.602490652197204</v>
      </c>
      <c r="AK7770">
        <v>18.024846604059199</v>
      </c>
      <c r="AL7770">
        <v>80.168525386241399</v>
      </c>
      <c r="AM7770">
        <v>95.528016554755894</v>
      </c>
      <c r="AN7770">
        <v>1.0000000401976401</v>
      </c>
    </row>
    <row r="7771" spans="1:40" x14ac:dyDescent="0.25">
      <c r="A7771" t="str">
        <f>"20190304155257194"</f>
        <v>20190304155257194</v>
      </c>
      <c r="B7771" t="str">
        <f>"1551685977185023"</f>
        <v>1551685977185023</v>
      </c>
      <c r="C7771" t="s">
        <v>40</v>
      </c>
      <c r="D7771">
        <v>4.6527719999999997</v>
      </c>
      <c r="E7771">
        <v>0.57276210000000005</v>
      </c>
      <c r="F7771" t="s">
        <v>41</v>
      </c>
      <c r="G7771">
        <v>-138.38589999999999</v>
      </c>
      <c r="H7771" s="1">
        <v>-1.586431E-6</v>
      </c>
      <c r="I7771">
        <v>135.66589999999999</v>
      </c>
      <c r="J7771">
        <v>-157.495</v>
      </c>
      <c r="K7771">
        <v>1.1105130000000001</v>
      </c>
      <c r="L7771">
        <v>137.10910000000001</v>
      </c>
      <c r="M7771">
        <v>0.99938369999999999</v>
      </c>
      <c r="N7771">
        <v>-1.375461E-2</v>
      </c>
      <c r="O7771">
        <v>3.2296989999999998E-2</v>
      </c>
      <c r="P7771">
        <v>0.97953920000000005</v>
      </c>
      <c r="Q7771">
        <v>0.1569256</v>
      </c>
      <c r="R7771">
        <v>0.12600619999999901</v>
      </c>
      <c r="S7771">
        <v>3.1219480000000002</v>
      </c>
      <c r="T7771">
        <v>-0.17919470000000001</v>
      </c>
      <c r="U7771">
        <v>-0.23164370000000001</v>
      </c>
      <c r="V7771">
        <v>-9.4239680000000006E-2</v>
      </c>
      <c r="W7771">
        <v>0.17046700000000001</v>
      </c>
      <c r="X7771">
        <v>0.98084649999999995</v>
      </c>
      <c r="Y7771">
        <v>0.10592210000000001</v>
      </c>
      <c r="Z7771">
        <v>-5.1702019999999996E-3</v>
      </c>
      <c r="AA7771">
        <v>0.99436100000000005</v>
      </c>
      <c r="AB7771">
        <v>23</v>
      </c>
      <c r="AC7771">
        <v>19.109100000000002</v>
      </c>
      <c r="AD7771">
        <v>-1.11051458643099</v>
      </c>
      <c r="AE7771">
        <v>-1.44320000000001</v>
      </c>
      <c r="AF7771">
        <v>2.0527782410159499</v>
      </c>
      <c r="AG7771">
        <v>-1.11051458643099</v>
      </c>
      <c r="AH7771">
        <v>18.9887470369321</v>
      </c>
      <c r="AI7771">
        <v>93.327659479259495</v>
      </c>
      <c r="AJ7771">
        <v>83.830001696976495</v>
      </c>
      <c r="AK7771">
        <v>19.131640159329301</v>
      </c>
      <c r="AL7771">
        <v>80.185027336162804</v>
      </c>
      <c r="AM7771">
        <v>95.4881292214084</v>
      </c>
      <c r="AN7771">
        <v>0.99999998596887596</v>
      </c>
    </row>
    <row r="7772" spans="1:40" x14ac:dyDescent="0.25">
      <c r="A7772" t="str">
        <f>"20190304155257217"</f>
        <v>20190304155257217</v>
      </c>
      <c r="B7772" t="str">
        <f>"1551685977204542"</f>
        <v>1551685977204542</v>
      </c>
      <c r="C7772" t="s">
        <v>40</v>
      </c>
      <c r="D7772">
        <v>4.6552920000000002</v>
      </c>
      <c r="E7772">
        <v>0.57193509999999903</v>
      </c>
      <c r="F7772" t="s">
        <v>41</v>
      </c>
      <c r="G7772">
        <v>-137.9349</v>
      </c>
      <c r="H7772" s="1">
        <v>-1.7324079999999999E-6</v>
      </c>
      <c r="I7772">
        <v>135.69409999999999</v>
      </c>
      <c r="J7772">
        <v>-157.26349999999999</v>
      </c>
      <c r="K7772">
        <v>1.110479</v>
      </c>
      <c r="L7772">
        <v>137.1163</v>
      </c>
      <c r="M7772">
        <v>0.99939199999999995</v>
      </c>
      <c r="N7772">
        <v>-1.3752179999999999E-2</v>
      </c>
      <c r="O7772">
        <v>3.2043799999999997E-2</v>
      </c>
      <c r="P7772">
        <v>0.9793501</v>
      </c>
      <c r="Q7772">
        <v>0.1583793</v>
      </c>
      <c r="R7772">
        <v>0.12565609999999999</v>
      </c>
      <c r="S7772">
        <v>3.1200869999999998</v>
      </c>
      <c r="T7772">
        <v>-0.17714050000000001</v>
      </c>
      <c r="U7772">
        <v>-0.22570799999999999</v>
      </c>
      <c r="V7772">
        <v>-9.4128500000000004E-2</v>
      </c>
      <c r="W7772">
        <v>0.17192379999999999</v>
      </c>
      <c r="X7772">
        <v>0.98060290000000006</v>
      </c>
      <c r="Y7772">
        <v>0.1038415</v>
      </c>
      <c r="Z7772">
        <v>-5.0331990000000004E-3</v>
      </c>
      <c r="AA7772">
        <v>0.9945811</v>
      </c>
      <c r="AB7772">
        <v>23</v>
      </c>
      <c r="AC7772">
        <v>19.328599999999899</v>
      </c>
      <c r="AD7772">
        <v>-1.1104807324079999</v>
      </c>
      <c r="AE7772">
        <v>-1.4221999999999999</v>
      </c>
      <c r="AF7772">
        <v>2.0342113903388399</v>
      </c>
      <c r="AG7772">
        <v>-1.1104807324079999</v>
      </c>
      <c r="AH7772">
        <v>19.210027917075799</v>
      </c>
      <c r="AI7772">
        <v>93.290080706427403</v>
      </c>
      <c r="AJ7772">
        <v>83.955293054899599</v>
      </c>
      <c r="AK7772">
        <v>19.3493244329735</v>
      </c>
      <c r="AL7772">
        <v>80.100308348934902</v>
      </c>
      <c r="AM7772">
        <v>95.483047476159399</v>
      </c>
      <c r="AN7772">
        <v>1.00000000750355</v>
      </c>
    </row>
    <row r="7773" spans="1:40" x14ac:dyDescent="0.25">
      <c r="A7773" t="str">
        <f>"20190304155257240"</f>
        <v>20190304155257240</v>
      </c>
      <c r="B7773" t="str">
        <f>"1551685977234798"</f>
        <v>1551685977234798</v>
      </c>
      <c r="C7773" t="s">
        <v>40</v>
      </c>
      <c r="D7773">
        <v>4.7350479999999999</v>
      </c>
      <c r="E7773">
        <v>0.56889919999999905</v>
      </c>
      <c r="F7773" t="s">
        <v>41</v>
      </c>
      <c r="G7773">
        <v>-137.2054</v>
      </c>
      <c r="H7773" s="1">
        <v>-1.9791950000000001E-6</v>
      </c>
      <c r="I7773">
        <v>135.6996</v>
      </c>
      <c r="J7773">
        <v>-157.02600000000001</v>
      </c>
      <c r="K7773">
        <v>1.110436</v>
      </c>
      <c r="L7773">
        <v>137.12360000000001</v>
      </c>
      <c r="M7773">
        <v>0.99940269999999998</v>
      </c>
      <c r="N7773">
        <v>-1.374979E-2</v>
      </c>
      <c r="O7773">
        <v>3.1708140000000003E-2</v>
      </c>
      <c r="P7773">
        <v>0.97911870000000001</v>
      </c>
      <c r="Q7773">
        <v>0.1597954</v>
      </c>
      <c r="R7773">
        <v>0.12566749999999999</v>
      </c>
      <c r="S7773">
        <v>3.1194459999999999</v>
      </c>
      <c r="T7773">
        <v>-0.17270170000000001</v>
      </c>
      <c r="U7773">
        <v>-0.22032170000000001</v>
      </c>
      <c r="V7773">
        <v>-9.4457639999999995E-2</v>
      </c>
      <c r="W7773">
        <v>0.17334459999999999</v>
      </c>
      <c r="X7773">
        <v>0.980321</v>
      </c>
      <c r="Y7773">
        <v>0.10182860000000001</v>
      </c>
      <c r="Z7773">
        <v>-4.8318049999999998E-3</v>
      </c>
      <c r="AA7773">
        <v>0.99479030000000002</v>
      </c>
      <c r="AB7773">
        <v>23</v>
      </c>
      <c r="AC7773">
        <v>19.820599999999999</v>
      </c>
      <c r="AD7773">
        <v>-1.1104379791950001</v>
      </c>
      <c r="AE7773">
        <v>-1.4239999999999999</v>
      </c>
      <c r="AF7773">
        <v>2.04543044149468</v>
      </c>
      <c r="AG7773">
        <v>-1.1104379791950001</v>
      </c>
      <c r="AH7773">
        <v>19.703947142675801</v>
      </c>
      <c r="AI7773">
        <v>93.208351639158096</v>
      </c>
      <c r="AJ7773">
        <v>84.073458285540298</v>
      </c>
      <c r="AK7773">
        <v>19.840927175865399</v>
      </c>
      <c r="AL7773">
        <v>80.017660855286607</v>
      </c>
      <c r="AM7773">
        <v>95.503675114858694</v>
      </c>
      <c r="AN7773">
        <v>0.99999992957226203</v>
      </c>
    </row>
    <row r="7774" spans="1:40" x14ac:dyDescent="0.25">
      <c r="A7774" t="str">
        <f>"20190304155257262"</f>
        <v>20190304155257262</v>
      </c>
      <c r="B7774" t="str">
        <f>"1551685977254318"</f>
        <v>1551685977254318</v>
      </c>
      <c r="C7774" t="s">
        <v>40</v>
      </c>
      <c r="D7774">
        <v>4.8130629999999996</v>
      </c>
      <c r="E7774">
        <v>0.56785039999999998</v>
      </c>
      <c r="F7774" t="s">
        <v>41</v>
      </c>
      <c r="G7774">
        <v>-137.05080000000001</v>
      </c>
      <c r="H7774" s="1">
        <v>-1.9876100000000001E-6</v>
      </c>
      <c r="I7774">
        <v>135.8656</v>
      </c>
      <c r="J7774">
        <v>-156.79580000000001</v>
      </c>
      <c r="K7774">
        <v>1.1103889999999901</v>
      </c>
      <c r="L7774">
        <v>137.13050000000001</v>
      </c>
      <c r="M7774">
        <v>0.99941559999999896</v>
      </c>
      <c r="N7774">
        <v>-1.3747590000000001E-2</v>
      </c>
      <c r="O7774">
        <v>3.1298310000000003E-2</v>
      </c>
      <c r="P7774">
        <v>0.97904999999999998</v>
      </c>
      <c r="Q7774">
        <v>0.1603965</v>
      </c>
      <c r="R7774">
        <v>0.1254363</v>
      </c>
      <c r="S7774">
        <v>3.1174469999999999</v>
      </c>
      <c r="T7774">
        <v>-0.1733015</v>
      </c>
      <c r="U7774">
        <v>-0.19631960000000001</v>
      </c>
      <c r="V7774">
        <v>-9.4609040000000005E-2</v>
      </c>
      <c r="W7774">
        <v>0.1739541</v>
      </c>
      <c r="X7774">
        <v>0.98019849999999997</v>
      </c>
      <c r="Y7774">
        <v>9.3851019999999993E-2</v>
      </c>
      <c r="Z7774">
        <v>-4.5579280000000002E-3</v>
      </c>
      <c r="AA7774">
        <v>0.99557580000000001</v>
      </c>
      <c r="AB7774">
        <v>23</v>
      </c>
      <c r="AC7774">
        <v>19.745000000000001</v>
      </c>
      <c r="AD7774">
        <v>-1.11039098760999</v>
      </c>
      <c r="AE7774">
        <v>-1.2649000000000099</v>
      </c>
      <c r="AF7774">
        <v>1.8764136925839601</v>
      </c>
      <c r="AG7774">
        <v>-1.11039098760999</v>
      </c>
      <c r="AH7774">
        <v>19.6338924771525</v>
      </c>
      <c r="AI7774">
        <v>93.222252768442502</v>
      </c>
      <c r="AJ7774">
        <v>84.540815269431207</v>
      </c>
      <c r="AK7774">
        <v>19.7545850448818</v>
      </c>
      <c r="AL7774">
        <v>79.982201048854904</v>
      </c>
      <c r="AM7774">
        <v>95.513126975723694</v>
      </c>
      <c r="AN7774">
        <v>0.99999999937938999</v>
      </c>
    </row>
    <row r="7775" spans="1:40" x14ac:dyDescent="0.25">
      <c r="A7775" t="str">
        <f>"20190304155257284"</f>
        <v>20190304155257284</v>
      </c>
      <c r="B7775" t="str">
        <f>"1551685977274752"</f>
        <v>1551685977274752</v>
      </c>
      <c r="C7775" t="s">
        <v>40</v>
      </c>
      <c r="D7775">
        <v>4.6766500000000004</v>
      </c>
      <c r="E7775">
        <v>0.56624600000000003</v>
      </c>
      <c r="F7775" t="s">
        <v>41</v>
      </c>
      <c r="G7775">
        <v>-136.8314</v>
      </c>
      <c r="H7775" s="1">
        <v>-2.0467440000000002E-6</v>
      </c>
      <c r="I7775">
        <v>135.92400000000001</v>
      </c>
      <c r="J7775">
        <v>-156.5616</v>
      </c>
      <c r="K7775">
        <v>1.1103240000000001</v>
      </c>
      <c r="L7775">
        <v>137.13730000000001</v>
      </c>
      <c r="M7775">
        <v>0.99943159999999998</v>
      </c>
      <c r="N7775">
        <v>-1.3745520000000001E-2</v>
      </c>
      <c r="O7775">
        <v>3.0788070000000001E-2</v>
      </c>
      <c r="P7775">
        <v>0.9789445</v>
      </c>
      <c r="Q7775">
        <v>0.16085279999999999</v>
      </c>
      <c r="R7775">
        <v>0.12567519999999999</v>
      </c>
      <c r="S7775">
        <v>3.116714</v>
      </c>
      <c r="T7775">
        <v>-0.173347</v>
      </c>
      <c r="U7775">
        <v>-0.18833920000000001</v>
      </c>
      <c r="V7775">
        <v>-9.5324549999999994E-2</v>
      </c>
      <c r="W7775">
        <v>0.17442179999999999</v>
      </c>
      <c r="X7775">
        <v>0.98004599999999997</v>
      </c>
      <c r="Y7775">
        <v>9.0823550000000003E-2</v>
      </c>
      <c r="Z7775">
        <v>-4.4340600000000001E-3</v>
      </c>
      <c r="AA7775">
        <v>0.99585710000000005</v>
      </c>
      <c r="AB7775">
        <v>23</v>
      </c>
      <c r="AC7775">
        <v>19.7302</v>
      </c>
      <c r="AD7775">
        <v>-1.1103260467439999</v>
      </c>
      <c r="AE7775">
        <v>-1.2133</v>
      </c>
      <c r="AF7775">
        <v>1.81451199095645</v>
      </c>
      <c r="AG7775">
        <v>-1.1103260467439999</v>
      </c>
      <c r="AH7775">
        <v>19.621580137087999</v>
      </c>
      <c r="AI7775">
        <v>93.2250103605531</v>
      </c>
      <c r="AJ7775">
        <v>84.716580716783497</v>
      </c>
      <c r="AK7775">
        <v>19.7365570647863</v>
      </c>
      <c r="AL7775">
        <v>79.954987267566096</v>
      </c>
      <c r="AM7775">
        <v>95.555420823794407</v>
      </c>
      <c r="AN7775">
        <v>0.99999994813196902</v>
      </c>
    </row>
    <row r="7776" spans="1:40" x14ac:dyDescent="0.25">
      <c r="A7776" t="str">
        <f>"20190304155257305"</f>
        <v>20190304155257305</v>
      </c>
      <c r="B7776" t="str">
        <f>"1551685977294272"</f>
        <v>1551685977294272</v>
      </c>
      <c r="C7776" t="s">
        <v>40</v>
      </c>
      <c r="D7776">
        <v>4.8042420000000003</v>
      </c>
      <c r="E7776">
        <v>0.56474199999999997</v>
      </c>
      <c r="F7776" t="s">
        <v>41</v>
      </c>
      <c r="G7776">
        <v>-136.8287</v>
      </c>
      <c r="H7776" s="1">
        <v>-2.019895E-6</v>
      </c>
      <c r="I7776">
        <v>136.0284</v>
      </c>
      <c r="J7776">
        <v>-156.3356</v>
      </c>
      <c r="K7776">
        <v>1.110263</v>
      </c>
      <c r="L7776">
        <v>137.14359999999999</v>
      </c>
      <c r="M7776">
        <v>0.99944940000000004</v>
      </c>
      <c r="N7776">
        <v>-1.3743760000000001E-2</v>
      </c>
      <c r="O7776">
        <v>3.0198249999999999E-2</v>
      </c>
      <c r="P7776">
        <v>0.97892190000000001</v>
      </c>
      <c r="Q7776">
        <v>0.161301</v>
      </c>
      <c r="R7776">
        <v>0.12527530000000001</v>
      </c>
      <c r="S7776">
        <v>3.1158139999999999</v>
      </c>
      <c r="T7776">
        <v>-0.17531959999999999</v>
      </c>
      <c r="U7776">
        <v>-0.17507929999999999</v>
      </c>
      <c r="V7776">
        <v>-9.5475030000000002E-2</v>
      </c>
      <c r="W7776">
        <v>0.17488329999999999</v>
      </c>
      <c r="X7776">
        <v>0.97994919999999996</v>
      </c>
      <c r="Y7776">
        <v>8.6033830000000006E-2</v>
      </c>
      <c r="Z7776">
        <v>-4.2911650000000004E-3</v>
      </c>
      <c r="AA7776">
        <v>0.99628300000000003</v>
      </c>
      <c r="AB7776">
        <v>23</v>
      </c>
      <c r="AC7776">
        <v>19.506900000000002</v>
      </c>
      <c r="AD7776">
        <v>-1.1102650198949999</v>
      </c>
      <c r="AE7776">
        <v>-1.11519999999998</v>
      </c>
      <c r="AF7776">
        <v>1.69833737476901</v>
      </c>
      <c r="AG7776">
        <v>-1.1102650198949999</v>
      </c>
      <c r="AH7776">
        <v>19.4016747113218</v>
      </c>
      <c r="AI7776">
        <v>93.262741951981695</v>
      </c>
      <c r="AJ7776">
        <v>84.997330772807402</v>
      </c>
      <c r="AK7776">
        <v>19.5074862516134</v>
      </c>
      <c r="AL7776">
        <v>79.928133467516602</v>
      </c>
      <c r="AM7776">
        <v>95.564681838064502</v>
      </c>
      <c r="AN7776">
        <v>1.0000000422765101</v>
      </c>
    </row>
    <row r="7777" spans="1:40" x14ac:dyDescent="0.25">
      <c r="A7777" t="str">
        <f>"20190304155257329"</f>
        <v>20190304155257329</v>
      </c>
      <c r="B7777" t="str">
        <f>"1551685977324527"</f>
        <v>1551685977324527</v>
      </c>
      <c r="C7777" t="s">
        <v>40</v>
      </c>
      <c r="D7777">
        <v>4.8235849999999996</v>
      </c>
      <c r="E7777">
        <v>0.56311009999999995</v>
      </c>
      <c r="F7777" t="s">
        <v>41</v>
      </c>
      <c r="G7777">
        <v>-136.49680000000001</v>
      </c>
      <c r="H7777" s="1">
        <v>-2.1154009999999999E-6</v>
      </c>
      <c r="I7777">
        <v>136.09389999999999</v>
      </c>
      <c r="J7777">
        <v>-156.10140000000001</v>
      </c>
      <c r="K7777">
        <v>1.110185</v>
      </c>
      <c r="L7777">
        <v>137.1499</v>
      </c>
      <c r="M7777">
        <v>0.99947109999999995</v>
      </c>
      <c r="N7777">
        <v>-1.374211E-2</v>
      </c>
      <c r="O7777">
        <v>2.9476209999999999E-2</v>
      </c>
      <c r="P7777">
        <v>0.97899499999999995</v>
      </c>
      <c r="Q7777">
        <v>0.1612855</v>
      </c>
      <c r="R7777">
        <v>0.1247231</v>
      </c>
      <c r="S7777">
        <v>3.1143649999999998</v>
      </c>
      <c r="T7777">
        <v>-0.17429330000000001</v>
      </c>
      <c r="U7777">
        <v>-0.1647797</v>
      </c>
      <c r="V7777">
        <v>-9.5596959999999995E-2</v>
      </c>
      <c r="W7777">
        <v>0.17488429999999999</v>
      </c>
      <c r="X7777">
        <v>0.97993710000000001</v>
      </c>
      <c r="Y7777">
        <v>8.2064680000000001E-2</v>
      </c>
      <c r="Z7777">
        <v>-4.1005820000000002E-3</v>
      </c>
      <c r="AA7777">
        <v>0.99661860000000002</v>
      </c>
      <c r="AB7777">
        <v>23</v>
      </c>
      <c r="AC7777">
        <v>19.604600000000001</v>
      </c>
      <c r="AD7777">
        <v>-1.1101871154009999</v>
      </c>
      <c r="AE7777">
        <v>-1.05600000000001</v>
      </c>
      <c r="AF7777">
        <v>1.6282584436715599</v>
      </c>
      <c r="AG7777">
        <v>-1.1101871154009999</v>
      </c>
      <c r="AH7777">
        <v>19.502589408668101</v>
      </c>
      <c r="AI7777">
        <v>93.246780729517099</v>
      </c>
      <c r="AJ7777">
        <v>85.227481178777296</v>
      </c>
      <c r="AK7777">
        <v>19.6019064030436</v>
      </c>
      <c r="AL7777">
        <v>79.928074931725803</v>
      </c>
      <c r="AM7777">
        <v>95.571812100972394</v>
      </c>
      <c r="AN7777">
        <v>1.0000000085520699</v>
      </c>
    </row>
    <row r="7778" spans="1:40" x14ac:dyDescent="0.25">
      <c r="A7778" t="str">
        <f>"20190304155257351"</f>
        <v>20190304155257351</v>
      </c>
      <c r="B7778" t="str">
        <f>"1551685977345024"</f>
        <v>1551685977345024</v>
      </c>
      <c r="C7778" t="s">
        <v>40</v>
      </c>
      <c r="D7778">
        <v>4.8764690000000002</v>
      </c>
      <c r="E7778">
        <v>0.56210079999999996</v>
      </c>
      <c r="F7778" t="s">
        <v>41</v>
      </c>
      <c r="G7778">
        <v>-135.315</v>
      </c>
      <c r="H7778" s="1">
        <v>-2.6110410000000001E-6</v>
      </c>
      <c r="I7778">
        <v>136.12739999999999</v>
      </c>
      <c r="J7778">
        <v>-155.86189999999999</v>
      </c>
      <c r="K7778">
        <v>1.1101080000000001</v>
      </c>
      <c r="L7778">
        <v>137.15600000000001</v>
      </c>
      <c r="M7778">
        <v>0.9994961</v>
      </c>
      <c r="N7778">
        <v>-1.374074E-2</v>
      </c>
      <c r="O7778">
        <v>2.86159E-2</v>
      </c>
      <c r="P7778">
        <v>0.97906800000000005</v>
      </c>
      <c r="Q7778">
        <v>0.16141129999999901</v>
      </c>
      <c r="R7778">
        <v>0.12398480000000001</v>
      </c>
      <c r="S7778">
        <v>3.111237</v>
      </c>
      <c r="T7778">
        <v>-0.1661687</v>
      </c>
      <c r="U7778">
        <v>-0.15304570000000001</v>
      </c>
      <c r="V7778">
        <v>-9.5669749999999998E-2</v>
      </c>
      <c r="W7778">
        <v>0.1750265</v>
      </c>
      <c r="X7778">
        <v>0.97990460000000001</v>
      </c>
      <c r="Y7778">
        <v>7.753459E-2</v>
      </c>
      <c r="Z7778">
        <v>-3.7350310000000002E-3</v>
      </c>
      <c r="AA7778">
        <v>0.9969827</v>
      </c>
      <c r="AB7778">
        <v>23</v>
      </c>
      <c r="AC7778">
        <v>20.546899999999901</v>
      </c>
      <c r="AD7778">
        <v>-1.110110611041</v>
      </c>
      <c r="AE7778">
        <v>-1.02860000000001</v>
      </c>
      <c r="AF7778">
        <v>1.6115099001578701</v>
      </c>
      <c r="AG7778">
        <v>-1.110110611041</v>
      </c>
      <c r="AH7778">
        <v>20.4495033056964</v>
      </c>
      <c r="AI7778">
        <v>93.0976927659556</v>
      </c>
      <c r="AJ7778">
        <v>85.494154993943795</v>
      </c>
      <c r="AK7778">
        <v>20.542918370492998</v>
      </c>
      <c r="AL7778">
        <v>79.919799762311698</v>
      </c>
      <c r="AM7778">
        <v>95.576211667611204</v>
      </c>
      <c r="AN7778">
        <v>1.00000000093423</v>
      </c>
    </row>
    <row r="7779" spans="1:40" x14ac:dyDescent="0.25">
      <c r="A7779" t="str">
        <f>"20190304155257373"</f>
        <v>20190304155257373</v>
      </c>
      <c r="B7779" t="str">
        <f>"1551685977364517"</f>
        <v>1551685977364517</v>
      </c>
      <c r="C7779" t="s">
        <v>40</v>
      </c>
      <c r="D7779">
        <v>4.780799</v>
      </c>
      <c r="E7779">
        <v>0.56117490000000003</v>
      </c>
      <c r="F7779" t="s">
        <v>41</v>
      </c>
      <c r="G7779">
        <v>-134.52359999999999</v>
      </c>
      <c r="H7779" s="1">
        <v>-2.947149E-6</v>
      </c>
      <c r="I7779">
        <v>136.1464</v>
      </c>
      <c r="J7779">
        <v>-155.6395</v>
      </c>
      <c r="K7779">
        <v>1.1100509999999999</v>
      </c>
      <c r="L7779">
        <v>137.16139999999999</v>
      </c>
      <c r="M7779">
        <v>0.99952099999999999</v>
      </c>
      <c r="N7779">
        <v>-1.3739370000000001E-2</v>
      </c>
      <c r="O7779">
        <v>2.7733089999999998E-2</v>
      </c>
      <c r="P7779">
        <v>0.97911280000000001</v>
      </c>
      <c r="Q7779">
        <v>0.16210569999999999</v>
      </c>
      <c r="R7779">
        <v>0.1227201</v>
      </c>
      <c r="S7779">
        <v>3.1094210000000002</v>
      </c>
      <c r="T7779">
        <v>-0.16176579999999999</v>
      </c>
      <c r="U7779">
        <v>-0.14712520000000001</v>
      </c>
      <c r="V7779">
        <v>-9.5246399999999995E-2</v>
      </c>
      <c r="W7779">
        <v>0.1757312</v>
      </c>
      <c r="X7779">
        <v>0.97981969999999996</v>
      </c>
      <c r="Y7779">
        <v>7.4801649999999997E-2</v>
      </c>
      <c r="Z7779">
        <v>-3.5184610000000001E-3</v>
      </c>
      <c r="AA7779">
        <v>0.99719219999999997</v>
      </c>
      <c r="AB7779">
        <v>23</v>
      </c>
      <c r="AC7779">
        <v>21.1159</v>
      </c>
      <c r="AD7779">
        <v>-1.1100539471490001</v>
      </c>
      <c r="AE7779">
        <v>-1.0149999999999799</v>
      </c>
      <c r="AF7779">
        <v>1.5958737929778699</v>
      </c>
      <c r="AG7779">
        <v>-1.1100539471490001</v>
      </c>
      <c r="AH7779">
        <v>21.021664067489201</v>
      </c>
      <c r="AI7779">
        <v>93.014053043378794</v>
      </c>
      <c r="AJ7779">
        <v>85.658679462243796</v>
      </c>
      <c r="AK7779">
        <v>21.111356969533201</v>
      </c>
      <c r="AL7779">
        <v>79.878787648798294</v>
      </c>
      <c r="AM7779">
        <v>95.552168805556704</v>
      </c>
      <c r="AN7779">
        <v>0.99999998793724398</v>
      </c>
    </row>
    <row r="7780" spans="1:40" x14ac:dyDescent="0.25">
      <c r="A7780" t="str">
        <f>"20190304155257395"</f>
        <v>20190304155257395</v>
      </c>
      <c r="B7780" t="str">
        <f>"1551685977385013"</f>
        <v>1551685977385013</v>
      </c>
      <c r="C7780" t="s">
        <v>40</v>
      </c>
      <c r="D7780">
        <v>4.983263</v>
      </c>
      <c r="E7780">
        <v>0.56023780000000001</v>
      </c>
      <c r="F7780" t="s">
        <v>41</v>
      </c>
      <c r="G7780">
        <v>-133.44309999999999</v>
      </c>
      <c r="H7780" s="1">
        <v>-3.4122870000000002E-6</v>
      </c>
      <c r="I7780">
        <v>136.13730000000001</v>
      </c>
      <c r="J7780">
        <v>-155.40430000000001</v>
      </c>
      <c r="K7780">
        <v>1.1100019999999999</v>
      </c>
      <c r="L7780">
        <v>137.16679999999999</v>
      </c>
      <c r="M7780">
        <v>0.99954869999999996</v>
      </c>
      <c r="N7780">
        <v>-1.373782E-2</v>
      </c>
      <c r="O7780">
        <v>2.6717009999999999E-2</v>
      </c>
      <c r="P7780">
        <v>0.97949819999999999</v>
      </c>
      <c r="Q7780">
        <v>0.1608358</v>
      </c>
      <c r="R7780">
        <v>0.1213076</v>
      </c>
      <c r="S7780">
        <v>3.1077119999999998</v>
      </c>
      <c r="T7780">
        <v>-0.15541859999999999</v>
      </c>
      <c r="U7780">
        <v>-0.14338679999999901</v>
      </c>
      <c r="V7780">
        <v>-9.4803970000000001E-2</v>
      </c>
      <c r="W7780">
        <v>0.17447399999999999</v>
      </c>
      <c r="X7780">
        <v>0.98008729999999999</v>
      </c>
      <c r="Y7780">
        <v>7.2631619999999994E-2</v>
      </c>
      <c r="Z7780">
        <v>-3.2816770000000002E-3</v>
      </c>
      <c r="AA7780">
        <v>0.99735339999999995</v>
      </c>
      <c r="AB7780">
        <v>23</v>
      </c>
      <c r="AC7780">
        <v>21.961200000000002</v>
      </c>
      <c r="AD7780">
        <v>-1.110005412287</v>
      </c>
      <c r="AE7780">
        <v>-1.0294999999999801</v>
      </c>
      <c r="AF7780">
        <v>1.6118167121626199</v>
      </c>
      <c r="AG7780">
        <v>-1.110005412287</v>
      </c>
      <c r="AH7780">
        <v>21.870102626797902</v>
      </c>
      <c r="AI7780">
        <v>92.897678153984202</v>
      </c>
      <c r="AJ7780">
        <v>85.784947362935895</v>
      </c>
      <c r="AK7780">
        <v>21.957491979631499</v>
      </c>
      <c r="AL7780">
        <v>79.951950811419294</v>
      </c>
      <c r="AM7780">
        <v>95.525038797994199</v>
      </c>
      <c r="AN7780">
        <v>1.0000000425125199</v>
      </c>
    </row>
    <row r="7781" spans="1:40" x14ac:dyDescent="0.25">
      <c r="A7781" t="str">
        <f>"20190304155257419"</f>
        <v>20190304155257419</v>
      </c>
      <c r="B7781" t="str">
        <f>"1551685977414293"</f>
        <v>1551685977414293</v>
      </c>
      <c r="C7781" t="s">
        <v>40</v>
      </c>
      <c r="D7781">
        <v>4.8379529999999997</v>
      </c>
      <c r="E7781">
        <v>0.55904240000000005</v>
      </c>
      <c r="F7781" t="s">
        <v>41</v>
      </c>
      <c r="G7781">
        <v>-133.4975</v>
      </c>
      <c r="H7781" s="1">
        <v>-3.38056E-6</v>
      </c>
      <c r="I7781">
        <v>136.18459999999999</v>
      </c>
      <c r="J7781">
        <v>-155.1721</v>
      </c>
      <c r="K7781">
        <v>1.109964</v>
      </c>
      <c r="L7781">
        <v>137.17179999999999</v>
      </c>
      <c r="M7781">
        <v>0.99957680000000004</v>
      </c>
      <c r="N7781">
        <v>-1.373623E-2</v>
      </c>
      <c r="O7781">
        <v>2.5643309999999999E-2</v>
      </c>
      <c r="P7781">
        <v>0.97978169999999998</v>
      </c>
      <c r="Q7781">
        <v>0.15995309999999999</v>
      </c>
      <c r="R7781">
        <v>0.12017849999999999</v>
      </c>
      <c r="S7781">
        <v>3.1058810000000001</v>
      </c>
      <c r="T7781">
        <v>-0.1573734</v>
      </c>
      <c r="U7781">
        <v>-0.13925170000000001</v>
      </c>
      <c r="V7781">
        <v>-9.4708520000000004E-2</v>
      </c>
      <c r="W7781">
        <v>0.17360049999999999</v>
      </c>
      <c r="X7781">
        <v>0.9802516</v>
      </c>
      <c r="Y7781">
        <v>7.0263249999999999E-2</v>
      </c>
      <c r="Z7781">
        <v>-3.2073370000000002E-3</v>
      </c>
      <c r="AA7781">
        <v>0.9975233</v>
      </c>
      <c r="AB7781">
        <v>23</v>
      </c>
      <c r="AC7781">
        <v>21.674600000000002</v>
      </c>
      <c r="AD7781">
        <v>-1.1099673805600001</v>
      </c>
      <c r="AE7781">
        <v>-0.98720000000000097</v>
      </c>
      <c r="AF7781">
        <v>1.53870928593006</v>
      </c>
      <c r="AG7781">
        <v>-1.1099673805600001</v>
      </c>
      <c r="AH7781">
        <v>21.585662067456401</v>
      </c>
      <c r="AI7781">
        <v>92.936205479616504</v>
      </c>
      <c r="AJ7781">
        <v>85.922632641842</v>
      </c>
      <c r="AK7781">
        <v>21.668882314114398</v>
      </c>
      <c r="AL7781">
        <v>80.002774043727001</v>
      </c>
      <c r="AM7781">
        <v>95.518591064132806</v>
      </c>
      <c r="AN7781">
        <v>1.0000000183316999</v>
      </c>
    </row>
    <row r="7782" spans="1:40" x14ac:dyDescent="0.25">
      <c r="A7782" t="str">
        <f>"20190304155257441"</f>
        <v>20190304155257441</v>
      </c>
      <c r="B7782" t="str">
        <f>"1551685977434788"</f>
        <v>1551685977434788</v>
      </c>
      <c r="C7782" t="s">
        <v>40</v>
      </c>
      <c r="D7782">
        <v>4.8113159999999997</v>
      </c>
      <c r="E7782">
        <v>0.55833980000000005</v>
      </c>
      <c r="F7782" t="s">
        <v>41</v>
      </c>
      <c r="G7782">
        <v>-133.28729999999999</v>
      </c>
      <c r="H7782" s="1">
        <v>-3.46071E-6</v>
      </c>
      <c r="I7782">
        <v>136.24109999999999</v>
      </c>
      <c r="J7782">
        <v>-154.93270000000001</v>
      </c>
      <c r="K7782">
        <v>1.1099319999999999</v>
      </c>
      <c r="L7782">
        <v>137.17660000000001</v>
      </c>
      <c r="M7782">
        <v>0.99960590000000005</v>
      </c>
      <c r="N7782">
        <v>-1.373453E-2</v>
      </c>
      <c r="O7782">
        <v>2.4481960000000001E-2</v>
      </c>
      <c r="P7782">
        <v>0.9798962</v>
      </c>
      <c r="Q7782">
        <v>0.1600422</v>
      </c>
      <c r="R7782">
        <v>0.11912209999999999</v>
      </c>
      <c r="S7782">
        <v>3.1038060000000001</v>
      </c>
      <c r="T7782">
        <v>-0.157420899999999</v>
      </c>
      <c r="U7782">
        <v>-0.13198850000000001</v>
      </c>
      <c r="V7782">
        <v>-9.4778459999999995E-2</v>
      </c>
      <c r="W7782">
        <v>0.1736945</v>
      </c>
      <c r="X7782">
        <v>0.98022819999999999</v>
      </c>
      <c r="Y7782">
        <v>6.6810040000000001E-2</v>
      </c>
      <c r="Z7782">
        <v>-3.0562789999999999E-3</v>
      </c>
      <c r="AA7782">
        <v>0.99776100000000001</v>
      </c>
      <c r="AB7782">
        <v>23</v>
      </c>
      <c r="AC7782">
        <v>21.645399999999999</v>
      </c>
      <c r="AD7782">
        <v>-1.1099354607099901</v>
      </c>
      <c r="AE7782">
        <v>-0.93550000000001798</v>
      </c>
      <c r="AF7782">
        <v>1.4613559757332399</v>
      </c>
      <c r="AG7782">
        <v>-1.1099354607099901</v>
      </c>
      <c r="AH7782">
        <v>21.559422367190599</v>
      </c>
      <c r="AI7782">
        <v>92.940399489441006</v>
      </c>
      <c r="AJ7782">
        <v>86.122268535212896</v>
      </c>
      <c r="AK7782">
        <v>21.637379943553</v>
      </c>
      <c r="AL7782">
        <v>79.997305273856796</v>
      </c>
      <c r="AM7782">
        <v>95.522772248532405</v>
      </c>
      <c r="AN7782">
        <v>1.0000000299427301</v>
      </c>
    </row>
    <row r="7783" spans="1:40" x14ac:dyDescent="0.25">
      <c r="A7783" t="str">
        <f>"20190304155257464"</f>
        <v>20190304155257464</v>
      </c>
      <c r="B7783" t="str">
        <f>"1551685977454310"</f>
        <v>1551685977454310</v>
      </c>
      <c r="C7783" t="s">
        <v>40</v>
      </c>
      <c r="D7783">
        <v>4.7663840000000004</v>
      </c>
      <c r="E7783">
        <v>0.55767739999999999</v>
      </c>
      <c r="F7783" t="s">
        <v>41</v>
      </c>
      <c r="G7783">
        <v>-132.69749999999999</v>
      </c>
      <c r="H7783" s="1">
        <v>-3.7115240000000002E-6</v>
      </c>
      <c r="I7783">
        <v>136.25360000000001</v>
      </c>
      <c r="J7783">
        <v>-154.7003</v>
      </c>
      <c r="K7783">
        <v>1.10991</v>
      </c>
      <c r="L7783">
        <v>137.18100000000001</v>
      </c>
      <c r="M7783">
        <v>0.99963369999999996</v>
      </c>
      <c r="N7783">
        <v>-1.373283E-2</v>
      </c>
      <c r="O7783">
        <v>2.3322099999999998E-2</v>
      </c>
      <c r="P7783">
        <v>0.98009650000000004</v>
      </c>
      <c r="Q7783">
        <v>0.1596137</v>
      </c>
      <c r="R7783">
        <v>0.1180445</v>
      </c>
      <c r="S7783">
        <v>3.1024780000000001</v>
      </c>
      <c r="T7783">
        <v>-0.15486910000000001</v>
      </c>
      <c r="U7783">
        <v>-0.12878419999999999</v>
      </c>
      <c r="V7783">
        <v>-9.4828179999999998E-2</v>
      </c>
      <c r="W7783">
        <v>0.17326989999999901</v>
      </c>
      <c r="X7783">
        <v>0.98029849999999996</v>
      </c>
      <c r="Y7783">
        <v>6.4649540000000005E-2</v>
      </c>
      <c r="Z7783">
        <v>-2.8993930000000001E-3</v>
      </c>
      <c r="AA7783">
        <v>0.99790380000000001</v>
      </c>
      <c r="AB7783">
        <v>23</v>
      </c>
      <c r="AC7783">
        <v>22.002800000000001</v>
      </c>
      <c r="AD7783">
        <v>-1.1099137115240001</v>
      </c>
      <c r="AE7783">
        <v>-0.927400000000005</v>
      </c>
      <c r="AF7783">
        <v>1.4366982228437799</v>
      </c>
      <c r="AG7783">
        <v>-1.1099137115240001</v>
      </c>
      <c r="AH7783">
        <v>21.9195053721497</v>
      </c>
      <c r="AI7783">
        <v>92.892551108367499</v>
      </c>
      <c r="AJ7783">
        <v>86.249953313274204</v>
      </c>
      <c r="AK7783">
        <v>21.994561282058999</v>
      </c>
      <c r="AL7783">
        <v>80.022007276057906</v>
      </c>
      <c r="AM7783">
        <v>95.525257715170099</v>
      </c>
      <c r="AN7783">
        <v>0.99999999553518604</v>
      </c>
    </row>
    <row r="7784" spans="1:40" x14ac:dyDescent="0.25">
      <c r="A7784" t="str">
        <f>"20190304155257485"</f>
        <v>20190304155257485</v>
      </c>
      <c r="B7784" t="str">
        <f>"1551685977474805"</f>
        <v>1551685977474805</v>
      </c>
      <c r="C7784" t="s">
        <v>40</v>
      </c>
      <c r="D7784">
        <v>4.7184100000000004</v>
      </c>
      <c r="E7784">
        <v>0.55719390000000002</v>
      </c>
      <c r="F7784" t="s">
        <v>41</v>
      </c>
      <c r="G7784">
        <v>-132.16290000000001</v>
      </c>
      <c r="H7784" s="1">
        <v>-3.9401679999999999E-6</v>
      </c>
      <c r="I7784">
        <v>136.2577</v>
      </c>
      <c r="J7784">
        <v>-154.4804</v>
      </c>
      <c r="K7784">
        <v>1.1098980000000001</v>
      </c>
      <c r="L7784">
        <v>137.1849</v>
      </c>
      <c r="M7784">
        <v>0.99965899999999996</v>
      </c>
      <c r="N7784">
        <v>-1.373106E-2</v>
      </c>
      <c r="O7784">
        <v>2.221076E-2</v>
      </c>
      <c r="P7784">
        <v>0.98031630000000003</v>
      </c>
      <c r="Q7784">
        <v>0.1599447</v>
      </c>
      <c r="R7784">
        <v>0.1157483</v>
      </c>
      <c r="S7784">
        <v>3.101089</v>
      </c>
      <c r="T7784">
        <v>-0.15272069999999999</v>
      </c>
      <c r="U7784">
        <v>-0.12704469999999901</v>
      </c>
      <c r="V7784">
        <v>-9.3615669999999998E-2</v>
      </c>
      <c r="W7784">
        <v>0.17360010000000001</v>
      </c>
      <c r="X7784">
        <v>0.98035660000000002</v>
      </c>
      <c r="Y7784">
        <v>6.3006039999999999E-2</v>
      </c>
      <c r="Z7784">
        <v>-2.7710059999999999E-3</v>
      </c>
      <c r="AA7784">
        <v>0.99800929999999999</v>
      </c>
      <c r="AB7784">
        <v>23</v>
      </c>
      <c r="AC7784">
        <v>22.3174999999999</v>
      </c>
      <c r="AD7784">
        <v>-1.1099019401679999</v>
      </c>
      <c r="AE7784">
        <v>-0.92719999999999902</v>
      </c>
      <c r="AF7784">
        <v>1.41920252819753</v>
      </c>
      <c r="AG7784">
        <v>-1.1099019401679999</v>
      </c>
      <c r="AH7784">
        <v>22.236494787074601</v>
      </c>
      <c r="AI7784">
        <v>92.851670693369698</v>
      </c>
      <c r="AJ7784">
        <v>86.3481575380968</v>
      </c>
      <c r="AK7784">
        <v>22.309363920749199</v>
      </c>
      <c r="AL7784">
        <v>80.002796885587799</v>
      </c>
      <c r="AM7784">
        <v>95.454717174683594</v>
      </c>
      <c r="AN7784">
        <v>0.99999997577655897</v>
      </c>
    </row>
    <row r="7785" spans="1:40" x14ac:dyDescent="0.25">
      <c r="A7785" t="str">
        <f>"20190304155257507"</f>
        <v>20190304155257507</v>
      </c>
      <c r="B7785" t="str">
        <f>"1551685977505061"</f>
        <v>1551685977505061</v>
      </c>
      <c r="C7785" t="s">
        <v>40</v>
      </c>
      <c r="D7785">
        <v>4.6987860000000001</v>
      </c>
      <c r="E7785">
        <v>0.5564943</v>
      </c>
      <c r="F7785" t="s">
        <v>41</v>
      </c>
      <c r="G7785">
        <v>-131.44589999999999</v>
      </c>
      <c r="H7785" s="1">
        <v>-4.2534179999999999E-6</v>
      </c>
      <c r="I7785">
        <v>136.22559999999999</v>
      </c>
      <c r="J7785">
        <v>-154.25319999999999</v>
      </c>
      <c r="K7785">
        <v>1.1098920000000001</v>
      </c>
      <c r="L7785">
        <v>137.18860000000001</v>
      </c>
      <c r="M7785">
        <v>0.99968400000000002</v>
      </c>
      <c r="N7785">
        <v>-1.372904E-2</v>
      </c>
      <c r="O7785">
        <v>2.1057050000000001E-2</v>
      </c>
      <c r="P7785">
        <v>0.98069019999999996</v>
      </c>
      <c r="Q7785">
        <v>0.15931609999999999</v>
      </c>
      <c r="R7785">
        <v>0.11342579999999999</v>
      </c>
      <c r="S7785">
        <v>3.099869</v>
      </c>
      <c r="T7785">
        <v>-0.14936489999999999</v>
      </c>
      <c r="U7785">
        <v>-0.12908939999999999</v>
      </c>
      <c r="V7785">
        <v>-9.2420849999999999E-2</v>
      </c>
      <c r="W7785">
        <v>0.17297029999999999</v>
      </c>
      <c r="X7785">
        <v>0.98058129999999999</v>
      </c>
      <c r="Y7785">
        <v>6.2533409999999998E-2</v>
      </c>
      <c r="Z7785">
        <v>-2.6596269999999999E-3</v>
      </c>
      <c r="AA7785">
        <v>0.99803929999999996</v>
      </c>
      <c r="AB7785">
        <v>23</v>
      </c>
      <c r="AC7785">
        <v>22.807300000000001</v>
      </c>
      <c r="AD7785">
        <v>-1.1098962534179999</v>
      </c>
      <c r="AE7785">
        <v>-0.96300000000002195</v>
      </c>
      <c r="AF7785">
        <v>1.43968278775999</v>
      </c>
      <c r="AG7785">
        <v>-1.1098962534179999</v>
      </c>
      <c r="AH7785">
        <v>22.728233218999801</v>
      </c>
      <c r="AI7785">
        <v>92.790142078911202</v>
      </c>
      <c r="AJ7785">
        <v>86.375534890722193</v>
      </c>
      <c r="AK7785">
        <v>22.800814491591499</v>
      </c>
      <c r="AL7785">
        <v>80.039436422994498</v>
      </c>
      <c r="AM7785">
        <v>95.384283550626904</v>
      </c>
      <c r="AN7785">
        <v>1.00000001205325</v>
      </c>
    </row>
    <row r="7786" spans="1:40" x14ac:dyDescent="0.25">
      <c r="A7786" t="str">
        <f>"20190304155257530"</f>
        <v>20190304155257530</v>
      </c>
      <c r="B7786" t="str">
        <f>"1551685977524581"</f>
        <v>1551685977524581</v>
      </c>
      <c r="C7786" t="s">
        <v>40</v>
      </c>
      <c r="D7786">
        <v>4.9109680000000004</v>
      </c>
      <c r="E7786">
        <v>0.55625400000000003</v>
      </c>
      <c r="F7786" t="s">
        <v>41</v>
      </c>
      <c r="G7786">
        <v>-130.8963</v>
      </c>
      <c r="H7786" s="1">
        <v>-4.492133E-6</v>
      </c>
      <c r="I7786">
        <v>136.20910000000001</v>
      </c>
      <c r="J7786">
        <v>-154.02109999999999</v>
      </c>
      <c r="K7786">
        <v>1.109904</v>
      </c>
      <c r="L7786">
        <v>137.19200000000001</v>
      </c>
      <c r="M7786">
        <v>0.99970809999999999</v>
      </c>
      <c r="N7786">
        <v>-1.3726769999999999E-2</v>
      </c>
      <c r="O7786">
        <v>1.9880849999999999E-2</v>
      </c>
      <c r="P7786">
        <v>0.98091410000000001</v>
      </c>
      <c r="Q7786">
        <v>0.15938529999999901</v>
      </c>
      <c r="R7786">
        <v>0.1113734</v>
      </c>
      <c r="S7786">
        <v>3.0980379999999998</v>
      </c>
      <c r="T7786">
        <v>-0.14721579999999901</v>
      </c>
      <c r="U7786">
        <v>-0.12991330000000001</v>
      </c>
      <c r="V7786">
        <v>-9.1523389999999996E-2</v>
      </c>
      <c r="W7786">
        <v>0.1730351</v>
      </c>
      <c r="X7786">
        <v>0.98065400000000003</v>
      </c>
      <c r="Y7786">
        <v>6.1653329999999999E-2</v>
      </c>
      <c r="Z7786">
        <v>-2.5582059999999999E-3</v>
      </c>
      <c r="AA7786">
        <v>0.99809429999999999</v>
      </c>
      <c r="AB7786">
        <v>23</v>
      </c>
      <c r="AC7786">
        <v>23.1248</v>
      </c>
      <c r="AD7786">
        <v>-1.109908492133</v>
      </c>
      <c r="AE7786">
        <v>-0.9829</v>
      </c>
      <c r="AF7786">
        <v>1.43918030524149</v>
      </c>
      <c r="AG7786">
        <v>-1.109908492133</v>
      </c>
      <c r="AH7786">
        <v>23.0476876509912</v>
      </c>
      <c r="AI7786">
        <v>92.751714083996703</v>
      </c>
      <c r="AJ7786">
        <v>86.426885246098806</v>
      </c>
      <c r="AK7786">
        <v>23.119235343530701</v>
      </c>
      <c r="AL7786">
        <v>80.035666415106306</v>
      </c>
      <c r="AM7786">
        <v>95.331908853620803</v>
      </c>
      <c r="AN7786">
        <v>0.99999997223254999</v>
      </c>
    </row>
    <row r="7787" spans="1:40" x14ac:dyDescent="0.25">
      <c r="A7787" t="str">
        <f>"20190304155257552"</f>
        <v>20190304155257552</v>
      </c>
      <c r="B7787" t="str">
        <f>"1551685977545076"</f>
        <v>1551685977545076</v>
      </c>
      <c r="C7787" t="s">
        <v>40</v>
      </c>
      <c r="D7787">
        <v>4.7133620000000001</v>
      </c>
      <c r="E7787">
        <v>0.55630639999999998</v>
      </c>
      <c r="F7787" t="s">
        <v>41</v>
      </c>
      <c r="G7787">
        <v>-130.2148</v>
      </c>
      <c r="H7787" s="1">
        <v>-4.792329E-6</v>
      </c>
      <c r="I7787">
        <v>136.16489999999999</v>
      </c>
      <c r="J7787">
        <v>-153.7911</v>
      </c>
      <c r="K7787">
        <v>1.1099209999999999</v>
      </c>
      <c r="L7787">
        <v>137.1952</v>
      </c>
      <c r="M7787">
        <v>0.99973049999999997</v>
      </c>
      <c r="N7787">
        <v>-1.372455E-2</v>
      </c>
      <c r="O7787">
        <v>1.872016E-2</v>
      </c>
      <c r="P7787">
        <v>0.98117169999999998</v>
      </c>
      <c r="Q7787">
        <v>0.15914249999999999</v>
      </c>
      <c r="R7787">
        <v>0.1094344</v>
      </c>
      <c r="S7787">
        <v>3.0970149999999999</v>
      </c>
      <c r="T7787">
        <v>-0.144390299999999</v>
      </c>
      <c r="U7787">
        <v>-0.1336212</v>
      </c>
      <c r="V7787">
        <v>-9.072682E-2</v>
      </c>
      <c r="W7787">
        <v>0.17278760000000001</v>
      </c>
      <c r="X7787">
        <v>0.98077170000000002</v>
      </c>
      <c r="Y7787">
        <v>6.1705259999999998E-2</v>
      </c>
      <c r="Z7787">
        <v>-2.4761729999999999E-3</v>
      </c>
      <c r="AA7787">
        <v>0.99809130000000001</v>
      </c>
      <c r="AB7787">
        <v>23</v>
      </c>
      <c r="AC7787">
        <v>23.5763</v>
      </c>
      <c r="AD7787">
        <v>-1.109925792329</v>
      </c>
      <c r="AE7787">
        <v>-1.03030000000001</v>
      </c>
      <c r="AF7787">
        <v>1.4682651529731801</v>
      </c>
      <c r="AG7787">
        <v>-1.109925792329</v>
      </c>
      <c r="AH7787">
        <v>23.500891859613098</v>
      </c>
      <c r="AI7787">
        <v>92.698764128832707</v>
      </c>
      <c r="AJ7787">
        <v>86.424978466682404</v>
      </c>
      <c r="AK7787">
        <v>23.572858460974601</v>
      </c>
      <c r="AL7787">
        <v>80.050064456536902</v>
      </c>
      <c r="AM7787">
        <v>95.285136065705402</v>
      </c>
      <c r="AN7787">
        <v>1.0000000190509799</v>
      </c>
    </row>
    <row r="7788" spans="1:40" x14ac:dyDescent="0.25">
      <c r="A7788" t="str">
        <f>"20190304155257586"</f>
        <v>20190304155257586</v>
      </c>
      <c r="B7788" t="str">
        <f>"1551685977574357"</f>
        <v>1551685977574357</v>
      </c>
      <c r="C7788" t="s">
        <v>40</v>
      </c>
      <c r="D7788">
        <v>4.6726929999999998</v>
      </c>
      <c r="E7788">
        <v>0.55573169999999905</v>
      </c>
      <c r="F7788" t="s">
        <v>41</v>
      </c>
      <c r="G7788">
        <v>-129.626</v>
      </c>
      <c r="H7788" s="1">
        <v>-1.0481740000000001E-6</v>
      </c>
      <c r="I7788">
        <v>136.1028</v>
      </c>
      <c r="J7788">
        <v>-153.4495</v>
      </c>
      <c r="K7788">
        <v>1.109928</v>
      </c>
      <c r="L7788">
        <v>137.1995</v>
      </c>
      <c r="M7788">
        <v>0.99976109999999896</v>
      </c>
      <c r="N7788">
        <v>-1.3721250000000001E-2</v>
      </c>
      <c r="O7788">
        <v>1.7013830000000001E-2</v>
      </c>
      <c r="P7788">
        <v>0.98157680000000003</v>
      </c>
      <c r="Q7788">
        <v>0.15875919999999999</v>
      </c>
      <c r="R7788">
        <v>0.1063139</v>
      </c>
      <c r="S7788">
        <v>3.0962519999999998</v>
      </c>
      <c r="T7788">
        <v>-0.14221329999999999</v>
      </c>
      <c r="U7788">
        <v>-0.13996889999999901</v>
      </c>
      <c r="V7788">
        <v>-8.9285959999999998E-2</v>
      </c>
      <c r="W7788">
        <v>0.17239689999999999</v>
      </c>
      <c r="X7788">
        <v>0.98097259999999997</v>
      </c>
      <c r="Y7788">
        <v>6.2057649999999999E-2</v>
      </c>
      <c r="Z7788">
        <v>-2.397438E-3</v>
      </c>
      <c r="AA7788">
        <v>0.99806969999999995</v>
      </c>
      <c r="AB7788">
        <v>23</v>
      </c>
      <c r="AC7788">
        <v>23.823499999999999</v>
      </c>
      <c r="AD7788">
        <v>-1.1099290481739901</v>
      </c>
      <c r="AE7788">
        <v>-1.09669999999999</v>
      </c>
      <c r="AF7788">
        <v>1.49866225452768</v>
      </c>
      <c r="AG7788">
        <v>-1.1099290481739901</v>
      </c>
      <c r="AH7788">
        <v>23.749947615435399</v>
      </c>
      <c r="AI7788">
        <v>92.670408140925602</v>
      </c>
      <c r="AJ7788">
        <v>86.389325743665296</v>
      </c>
      <c r="AK7788">
        <v>23.823054858289101</v>
      </c>
      <c r="AL7788">
        <v>80.072790352363498</v>
      </c>
      <c r="AM7788">
        <v>95.200605907059199</v>
      </c>
      <c r="AN7788">
        <v>0.999999957866744</v>
      </c>
    </row>
    <row r="7789" spans="1:40" x14ac:dyDescent="0.25">
      <c r="A7789" t="str">
        <f>"20190304155257607"</f>
        <v>20190304155257607</v>
      </c>
      <c r="B7789" t="str">
        <f>"1551685977604613"</f>
        <v>1551685977604613</v>
      </c>
      <c r="C7789" t="s">
        <v>40</v>
      </c>
      <c r="D7789">
        <v>4.6538890000000004</v>
      </c>
      <c r="E7789">
        <v>0.55517810000000001</v>
      </c>
      <c r="F7789" t="s">
        <v>41</v>
      </c>
      <c r="G7789">
        <v>-128.9393</v>
      </c>
      <c r="H7789" s="1">
        <v>-1.2954130000000001E-6</v>
      </c>
      <c r="I7789">
        <v>136.05189999999999</v>
      </c>
      <c r="J7789">
        <v>-153.22749999999999</v>
      </c>
      <c r="K7789">
        <v>1.109944</v>
      </c>
      <c r="L7789">
        <v>137.202</v>
      </c>
      <c r="M7789">
        <v>0.99977930000000004</v>
      </c>
      <c r="N7789">
        <v>-1.371901E-2</v>
      </c>
      <c r="O7789">
        <v>1.5915700000000001E-2</v>
      </c>
      <c r="P7789">
        <v>0.98172859999999995</v>
      </c>
      <c r="Q7789">
        <v>0.15882399999999999</v>
      </c>
      <c r="R7789">
        <v>0.104805</v>
      </c>
      <c r="S7789">
        <v>3.0946660000000001</v>
      </c>
      <c r="T7789">
        <v>-0.1401396</v>
      </c>
      <c r="U7789">
        <v>-0.14489749999999901</v>
      </c>
      <c r="V7789">
        <v>-8.8858409999999999E-2</v>
      </c>
      <c r="W7789">
        <v>0.172457</v>
      </c>
      <c r="X7789">
        <v>0.98100089999999995</v>
      </c>
      <c r="Y7789">
        <v>6.2572959999999997E-2</v>
      </c>
      <c r="Z7789">
        <v>-2.3469099999999998E-3</v>
      </c>
      <c r="AA7789">
        <v>0.99803759999999997</v>
      </c>
      <c r="AB7789">
        <v>23</v>
      </c>
      <c r="AC7789">
        <v>24.2881999999999</v>
      </c>
      <c r="AD7789">
        <v>-1.109945295413</v>
      </c>
      <c r="AE7789">
        <v>-1.1500999999999999</v>
      </c>
      <c r="AF7789">
        <v>1.5333592581598701</v>
      </c>
      <c r="AG7789">
        <v>-1.109945295413</v>
      </c>
      <c r="AH7789">
        <v>24.216356486465699</v>
      </c>
      <c r="AI7789">
        <v>92.619050671924001</v>
      </c>
      <c r="AJ7789">
        <v>86.376916451680302</v>
      </c>
      <c r="AK7789">
        <v>24.290226237171701</v>
      </c>
      <c r="AL7789">
        <v>80.069294937344793</v>
      </c>
      <c r="AM7789">
        <v>95.175689644006297</v>
      </c>
      <c r="AN7789">
        <v>0.99999999983876897</v>
      </c>
    </row>
    <row r="7790" spans="1:40" x14ac:dyDescent="0.25">
      <c r="A7790" t="str">
        <f>"20190304155257631"</f>
        <v>20190304155257631</v>
      </c>
      <c r="B7790" t="str">
        <f>"1551685977625109"</f>
        <v>1551685977625109</v>
      </c>
      <c r="C7790" t="s">
        <v>40</v>
      </c>
      <c r="D7790">
        <v>4.7070569999999998</v>
      </c>
      <c r="E7790">
        <v>0.55474820000000002</v>
      </c>
      <c r="F7790" t="s">
        <v>41</v>
      </c>
      <c r="G7790">
        <v>-128.12129999999999</v>
      </c>
      <c r="H7790" s="1">
        <v>-1.5802820000000001E-6</v>
      </c>
      <c r="I7790">
        <v>136.0275</v>
      </c>
      <c r="J7790">
        <v>-152.9905</v>
      </c>
      <c r="K7790">
        <v>1.109958</v>
      </c>
      <c r="L7790">
        <v>137.20439999999999</v>
      </c>
      <c r="M7790">
        <v>0.99979720000000005</v>
      </c>
      <c r="N7790">
        <v>-1.371664E-2</v>
      </c>
      <c r="O7790">
        <v>1.475161E-2</v>
      </c>
      <c r="P7790">
        <v>0.98172599999999999</v>
      </c>
      <c r="Q7790">
        <v>0.15994990000000001</v>
      </c>
      <c r="R7790">
        <v>0.1031046</v>
      </c>
      <c r="S7790">
        <v>3.0934140000000001</v>
      </c>
      <c r="T7790">
        <v>-0.13675960000000001</v>
      </c>
      <c r="U7790">
        <v>-0.14471439999999999</v>
      </c>
      <c r="V7790">
        <v>-8.83047E-2</v>
      </c>
      <c r="W7790">
        <v>0.1735757</v>
      </c>
      <c r="X7790">
        <v>0.98085359999999999</v>
      </c>
      <c r="Y7790">
        <v>6.1376840000000002E-2</v>
      </c>
      <c r="Z7790">
        <v>-2.2261619999999998E-3</v>
      </c>
      <c r="AA7790">
        <v>0.9981122</v>
      </c>
      <c r="AB7790">
        <v>23</v>
      </c>
      <c r="AC7790">
        <v>24.869199999999999</v>
      </c>
      <c r="AD7790">
        <v>-1.1099595802819999</v>
      </c>
      <c r="AE7790">
        <v>-1.1768999999999801</v>
      </c>
      <c r="AF7790">
        <v>1.5406050986669999</v>
      </c>
      <c r="AG7790">
        <v>-1.1099595802819999</v>
      </c>
      <c r="AH7790">
        <v>24.799839602015499</v>
      </c>
      <c r="AI7790">
        <v>92.557737218232006</v>
      </c>
      <c r="AJ7790">
        <v>86.445263915282695</v>
      </c>
      <c r="AK7790">
        <v>24.872424864206401</v>
      </c>
      <c r="AL7790">
        <v>80.004216841531402</v>
      </c>
      <c r="AM7790">
        <v>95.1443798243657</v>
      </c>
      <c r="AN7790">
        <v>1.0000000141527601</v>
      </c>
    </row>
    <row r="7791" spans="1:40" x14ac:dyDescent="0.25">
      <c r="A7791" t="str">
        <f>"20190304155257653"</f>
        <v>20190304155257653</v>
      </c>
      <c r="B7791" t="str">
        <f>"1551685977644629"</f>
        <v>1551685977644629</v>
      </c>
      <c r="C7791" t="s">
        <v>40</v>
      </c>
      <c r="D7791">
        <v>4.6066479999999999</v>
      </c>
      <c r="E7791">
        <v>0.55438909999999997</v>
      </c>
      <c r="F7791" t="s">
        <v>41</v>
      </c>
      <c r="G7791">
        <v>-126.9731</v>
      </c>
      <c r="H7791" s="1">
        <v>-1.9848890000000002E-6</v>
      </c>
      <c r="I7791">
        <v>135.97540000000001</v>
      </c>
      <c r="J7791">
        <v>-152.76220000000001</v>
      </c>
      <c r="K7791">
        <v>1.1099779999999999</v>
      </c>
      <c r="L7791">
        <v>137.2064</v>
      </c>
      <c r="M7791">
        <v>0.99981310000000001</v>
      </c>
      <c r="N7791">
        <v>-1.3714290000000001E-2</v>
      </c>
      <c r="O7791">
        <v>1.363285E-2</v>
      </c>
      <c r="P7791">
        <v>0.98163860000000003</v>
      </c>
      <c r="Q7791">
        <v>0.1612142</v>
      </c>
      <c r="R7791">
        <v>0.1019602</v>
      </c>
      <c r="S7791">
        <v>3.0926819999999999</v>
      </c>
      <c r="T7791">
        <v>-0.13194020000000001</v>
      </c>
      <c r="U7791">
        <v>-0.14608759999999901</v>
      </c>
      <c r="V7791">
        <v>-8.8262289999999993E-2</v>
      </c>
      <c r="W7791">
        <v>0.17483360000000001</v>
      </c>
      <c r="X7791">
        <v>0.98063400000000001</v>
      </c>
      <c r="Y7791">
        <v>6.071994E-2</v>
      </c>
      <c r="Z7791">
        <v>-2.1050270000000002E-3</v>
      </c>
      <c r="AA7791">
        <v>0.99815259999999995</v>
      </c>
      <c r="AB7791">
        <v>23</v>
      </c>
      <c r="AC7791">
        <v>25.789100000000001</v>
      </c>
      <c r="AD7791">
        <v>-1.109979984889</v>
      </c>
      <c r="AE7791">
        <v>-1.2309999999999901</v>
      </c>
      <c r="AF7791">
        <v>1.57957803465068</v>
      </c>
      <c r="AG7791">
        <v>-1.109979984889</v>
      </c>
      <c r="AH7791">
        <v>25.722376964241501</v>
      </c>
      <c r="AI7791">
        <v>92.466272222569103</v>
      </c>
      <c r="AJ7791">
        <v>86.485952745845594</v>
      </c>
      <c r="AK7791">
        <v>25.7947242478951</v>
      </c>
      <c r="AL7791">
        <v>79.9310255080606</v>
      </c>
      <c r="AM7791">
        <v>95.143067677158797</v>
      </c>
      <c r="AN7791">
        <v>1.0000000307404999</v>
      </c>
    </row>
    <row r="7792" spans="1:40" x14ac:dyDescent="0.25">
      <c r="A7792" t="str">
        <f>"20190304155257676"</f>
        <v>20190304155257676</v>
      </c>
      <c r="B7792" t="str">
        <f>"1551685977665125"</f>
        <v>1551685977665125</v>
      </c>
      <c r="C7792" t="s">
        <v>40</v>
      </c>
      <c r="D7792">
        <v>4.634843</v>
      </c>
      <c r="E7792">
        <v>0.55404790000000004</v>
      </c>
      <c r="F7792" t="s">
        <v>41</v>
      </c>
      <c r="G7792">
        <v>-125.6664</v>
      </c>
      <c r="H7792" s="1">
        <v>-2.4959269999999998E-6</v>
      </c>
      <c r="I7792">
        <v>135.9265</v>
      </c>
      <c r="J7792">
        <v>-152.53309999999999</v>
      </c>
      <c r="K7792">
        <v>1.110001</v>
      </c>
      <c r="L7792">
        <v>137.20820000000001</v>
      </c>
      <c r="M7792">
        <v>0.99982769999999999</v>
      </c>
      <c r="N7792">
        <v>-1.3711879999999999E-2</v>
      </c>
      <c r="O7792">
        <v>1.251061E-2</v>
      </c>
      <c r="P7792">
        <v>0.98164070000000003</v>
      </c>
      <c r="Q7792">
        <v>0.16208330000000001</v>
      </c>
      <c r="R7792">
        <v>0.100553</v>
      </c>
      <c r="S7792">
        <v>3.0920869999999998</v>
      </c>
      <c r="T7792">
        <v>-0.1266671</v>
      </c>
      <c r="U7792">
        <v>-0.1460571</v>
      </c>
      <c r="V7792">
        <v>-8.7959579999999996E-2</v>
      </c>
      <c r="W7792">
        <v>0.17569689999999999</v>
      </c>
      <c r="X7792">
        <v>0.98050680000000001</v>
      </c>
      <c r="Y7792">
        <v>5.9606060000000002E-2</v>
      </c>
      <c r="Z7792">
        <v>-1.9694439999999999E-3</v>
      </c>
      <c r="AA7792">
        <v>0.99822</v>
      </c>
      <c r="AB7792">
        <v>23</v>
      </c>
      <c r="AC7792">
        <v>26.866699999999899</v>
      </c>
      <c r="AD7792">
        <v>-1.110003495927</v>
      </c>
      <c r="AE7792">
        <v>-1.2817000000000001</v>
      </c>
      <c r="AF7792">
        <v>1.61499962972192</v>
      </c>
      <c r="AG7792">
        <v>-1.110003495927</v>
      </c>
      <c r="AH7792">
        <v>26.8029133731958</v>
      </c>
      <c r="AI7792">
        <v>92.367177490603694</v>
      </c>
      <c r="AJ7792">
        <v>86.551832964434595</v>
      </c>
      <c r="AK7792">
        <v>26.874458075578101</v>
      </c>
      <c r="AL7792">
        <v>79.880783429266103</v>
      </c>
      <c r="AM7792">
        <v>95.126184183632603</v>
      </c>
      <c r="AN7792">
        <v>0.99999993661481101</v>
      </c>
    </row>
    <row r="7793" spans="1:40" x14ac:dyDescent="0.25">
      <c r="A7793" t="str">
        <f>"20190304155257697"</f>
        <v>20190304155257697</v>
      </c>
      <c r="B7793" t="str">
        <f>"1551685977684645"</f>
        <v>1551685977684645</v>
      </c>
      <c r="C7793" t="s">
        <v>40</v>
      </c>
      <c r="D7793">
        <v>4.7632909999999997</v>
      </c>
      <c r="E7793">
        <v>0.55360310000000001</v>
      </c>
      <c r="F7793" t="s">
        <v>41</v>
      </c>
      <c r="G7793">
        <v>-124.6053</v>
      </c>
      <c r="H7793" s="1">
        <v>-2.9586599999999999E-6</v>
      </c>
      <c r="I7793">
        <v>135.88399999999999</v>
      </c>
      <c r="J7793">
        <v>-152.31710000000001</v>
      </c>
      <c r="K7793">
        <v>1.110017</v>
      </c>
      <c r="L7793">
        <v>137.20959999999999</v>
      </c>
      <c r="M7793">
        <v>0.99984050000000002</v>
      </c>
      <c r="N7793">
        <v>-1.3709590000000001E-2</v>
      </c>
      <c r="O7793">
        <v>1.14517E-2</v>
      </c>
      <c r="P7793">
        <v>0.98175460000000003</v>
      </c>
      <c r="Q7793">
        <v>0.162468</v>
      </c>
      <c r="R7793">
        <v>9.8803970000000005E-2</v>
      </c>
      <c r="S7793">
        <v>3.0914000000000001</v>
      </c>
      <c r="T7793">
        <v>-0.12286909999999999</v>
      </c>
      <c r="U7793">
        <v>-0.14657590000000001</v>
      </c>
      <c r="V7793">
        <v>-8.7251289999999995E-2</v>
      </c>
      <c r="W7793">
        <v>0.1760776</v>
      </c>
      <c r="X7793">
        <v>0.98050179999999998</v>
      </c>
      <c r="Y7793">
        <v>5.8731560000000002E-2</v>
      </c>
      <c r="Z7793">
        <v>-1.8669660000000001E-3</v>
      </c>
      <c r="AA7793">
        <v>0.9982721</v>
      </c>
      <c r="AB7793">
        <v>23</v>
      </c>
      <c r="AC7793">
        <v>27.7118</v>
      </c>
      <c r="AD7793">
        <v>-1.1100199586599999</v>
      </c>
      <c r="AE7793">
        <v>-1.3255999999999999</v>
      </c>
      <c r="AF7793">
        <v>1.6402643389918501</v>
      </c>
      <c r="AG7793">
        <v>-1.1100199586599999</v>
      </c>
      <c r="AH7793">
        <v>27.6505374913203</v>
      </c>
      <c r="AI7793">
        <v>92.294852191885198</v>
      </c>
      <c r="AJ7793">
        <v>86.605121437792505</v>
      </c>
      <c r="AK7793">
        <v>27.721378662853301</v>
      </c>
      <c r="AL7793">
        <v>79.858625568127707</v>
      </c>
      <c r="AM7793">
        <v>95.085148938573397</v>
      </c>
      <c r="AN7793">
        <v>0.99999994431582995</v>
      </c>
    </row>
    <row r="7794" spans="1:40" x14ac:dyDescent="0.25">
      <c r="A7794" t="str">
        <f>"20190304155257719"</f>
        <v>20190304155257719</v>
      </c>
      <c r="B7794" t="str">
        <f>"1551685977714901"</f>
        <v>1551685977714901</v>
      </c>
      <c r="C7794" t="s">
        <v>40</v>
      </c>
      <c r="D7794">
        <v>4.6465589999999999</v>
      </c>
      <c r="E7794">
        <v>0.55307450000000002</v>
      </c>
      <c r="F7794" t="s">
        <v>41</v>
      </c>
      <c r="G7794">
        <v>-123.8425</v>
      </c>
      <c r="H7794" s="1">
        <v>-3.292614E-6</v>
      </c>
      <c r="I7794">
        <v>135.84610000000001</v>
      </c>
      <c r="J7794">
        <v>-152.0865</v>
      </c>
      <c r="K7794">
        <v>1.1100350000000001</v>
      </c>
      <c r="L7794">
        <v>137.21090000000001</v>
      </c>
      <c r="M7794">
        <v>0.99985279999999999</v>
      </c>
      <c r="N7794">
        <v>-1.3707159999999999E-2</v>
      </c>
      <c r="O7794">
        <v>1.0319470000000001E-2</v>
      </c>
      <c r="P7794">
        <v>0.98178860000000001</v>
      </c>
      <c r="Q7794">
        <v>0.16367960000000001</v>
      </c>
      <c r="R7794">
        <v>9.6437430000000005E-2</v>
      </c>
      <c r="S7794">
        <v>3.0905909999999999</v>
      </c>
      <c r="T7794">
        <v>-0.1204799</v>
      </c>
      <c r="U7794">
        <v>-0.14799499999999999</v>
      </c>
      <c r="V7794">
        <v>-8.5996610000000001E-2</v>
      </c>
      <c r="W7794">
        <v>0.17728189999999999</v>
      </c>
      <c r="X7794">
        <v>0.98039569999999998</v>
      </c>
      <c r="Y7794">
        <v>5.8074109999999998E-2</v>
      </c>
      <c r="Z7794">
        <v>-1.7899189999999901E-3</v>
      </c>
      <c r="AA7794">
        <v>0.9983107</v>
      </c>
      <c r="AB7794">
        <v>23</v>
      </c>
      <c r="AC7794">
        <v>28.244</v>
      </c>
      <c r="AD7794">
        <v>-1.110038292614</v>
      </c>
      <c r="AE7794">
        <v>-1.3648</v>
      </c>
      <c r="AF7794">
        <v>1.65366945873286</v>
      </c>
      <c r="AG7794">
        <v>-1.110038292614</v>
      </c>
      <c r="AH7794">
        <v>28.184976621474</v>
      </c>
      <c r="AI7794">
        <v>92.251505768358498</v>
      </c>
      <c r="AJ7794">
        <v>86.642190437207304</v>
      </c>
      <c r="AK7794">
        <v>28.255259950013802</v>
      </c>
      <c r="AL7794">
        <v>79.788522066264406</v>
      </c>
      <c r="AM7794">
        <v>95.012939026554804</v>
      </c>
      <c r="AN7794">
        <v>1.0000000087887899</v>
      </c>
    </row>
    <row r="7795" spans="1:40" x14ac:dyDescent="0.25">
      <c r="A7795" t="str">
        <f>"20190304155257742"</f>
        <v>20190304155257742</v>
      </c>
      <c r="B7795" t="str">
        <f>"1551685977734422"</f>
        <v>1551685977734422</v>
      </c>
      <c r="C7795" t="s">
        <v>40</v>
      </c>
      <c r="D7795">
        <v>4.6641050000000002</v>
      </c>
      <c r="E7795">
        <v>0.55274269999999903</v>
      </c>
      <c r="F7795" t="s">
        <v>41</v>
      </c>
      <c r="G7795">
        <v>-122.4087</v>
      </c>
      <c r="H7795" s="1">
        <v>-3.9224900000000003E-6</v>
      </c>
      <c r="I7795">
        <v>135.7628</v>
      </c>
      <c r="J7795">
        <v>-151.86510000000001</v>
      </c>
      <c r="K7795">
        <v>1.1100460000000001</v>
      </c>
      <c r="L7795">
        <v>137.21190000000001</v>
      </c>
      <c r="M7795">
        <v>0.99986339999999996</v>
      </c>
      <c r="N7795">
        <v>-1.370482E-2</v>
      </c>
      <c r="O7795">
        <v>9.2303070000000001E-3</v>
      </c>
      <c r="P7795">
        <v>0.98191700000000004</v>
      </c>
      <c r="Q7795">
        <v>0.16449440000000001</v>
      </c>
      <c r="R7795">
        <v>9.3704720000000005E-2</v>
      </c>
      <c r="S7795">
        <v>3.0897220000000001</v>
      </c>
      <c r="T7795">
        <v>-0.1155646</v>
      </c>
      <c r="U7795">
        <v>-0.1507568</v>
      </c>
      <c r="V7795">
        <v>-8.4332799999999999E-2</v>
      </c>
      <c r="W7795">
        <v>0.17809140000000001</v>
      </c>
      <c r="X7795">
        <v>0.98039350000000003</v>
      </c>
      <c r="Y7795">
        <v>5.789536E-2</v>
      </c>
      <c r="Z7795">
        <v>-1.697406E-3</v>
      </c>
      <c r="AA7795">
        <v>0.99832120000000002</v>
      </c>
      <c r="AB7795">
        <v>23</v>
      </c>
      <c r="AC7795">
        <v>29.456399999999999</v>
      </c>
      <c r="AD7795">
        <v>-1.11004992248999</v>
      </c>
      <c r="AE7795">
        <v>-1.44910000000001</v>
      </c>
      <c r="AF7795">
        <v>1.7185208133397201</v>
      </c>
      <c r="AG7795">
        <v>-1.11004992248999</v>
      </c>
      <c r="AH7795">
        <v>29.400117065137401</v>
      </c>
      <c r="AI7795">
        <v>92.158588559174305</v>
      </c>
      <c r="AJ7795">
        <v>86.654704574966402</v>
      </c>
      <c r="AK7795">
        <v>29.471213209843999</v>
      </c>
      <c r="AL7795">
        <v>79.741390962313503</v>
      </c>
      <c r="AM7795">
        <v>94.916442745356903</v>
      </c>
      <c r="AN7795">
        <v>0.99999999137602502</v>
      </c>
    </row>
    <row r="7796" spans="1:40" x14ac:dyDescent="0.25">
      <c r="A7796" t="str">
        <f>"20190304155257764"</f>
        <v>20190304155257764</v>
      </c>
      <c r="B7796" t="str">
        <f>"1551685977754917"</f>
        <v>1551685977754917</v>
      </c>
      <c r="C7796" t="s">
        <v>40</v>
      </c>
      <c r="D7796">
        <v>4.7513480000000001</v>
      </c>
      <c r="E7796">
        <v>0.55237099999999995</v>
      </c>
      <c r="F7796" t="s">
        <v>41</v>
      </c>
      <c r="G7796">
        <v>-121.386</v>
      </c>
      <c r="H7796" s="1">
        <v>-4.3781009999999999E-6</v>
      </c>
      <c r="I7796">
        <v>135.66759999999999</v>
      </c>
      <c r="J7796">
        <v>-151.63509999999999</v>
      </c>
      <c r="K7796">
        <v>1.1100620000000001</v>
      </c>
      <c r="L7796">
        <v>137.21270000000001</v>
      </c>
      <c r="M7796">
        <v>0.99987340000000002</v>
      </c>
      <c r="N7796">
        <v>-1.37024E-2</v>
      </c>
      <c r="O7796">
        <v>8.0981089999999992E-3</v>
      </c>
      <c r="P7796">
        <v>0.98200460000000001</v>
      </c>
      <c r="Q7796">
        <v>0.16516789999999901</v>
      </c>
      <c r="R7796">
        <v>9.1579350000000004E-2</v>
      </c>
      <c r="S7796">
        <v>3.0890049999999998</v>
      </c>
      <c r="T7796">
        <v>-0.1125019</v>
      </c>
      <c r="U7796">
        <v>-0.15650939999999999</v>
      </c>
      <c r="V7796">
        <v>-8.3319249999999997E-2</v>
      </c>
      <c r="W7796">
        <v>0.17875949999999999</v>
      </c>
      <c r="X7796">
        <v>0.98035859999999997</v>
      </c>
      <c r="Y7796">
        <v>5.8633049999999999E-2</v>
      </c>
      <c r="Z7796">
        <v>-1.65263E-3</v>
      </c>
      <c r="AA7796">
        <v>0.99827829999999995</v>
      </c>
      <c r="AB7796">
        <v>23</v>
      </c>
      <c r="AC7796">
        <v>30.249099999999899</v>
      </c>
      <c r="AD7796">
        <v>-1.1100663781010001</v>
      </c>
      <c r="AE7796">
        <v>-1.5451000000000099</v>
      </c>
      <c r="AF7796">
        <v>1.7876316658432101</v>
      </c>
      <c r="AG7796">
        <v>-1.1100663781010001</v>
      </c>
      <c r="AH7796">
        <v>30.195036342308299</v>
      </c>
      <c r="AI7796">
        <v>92.101751674789398</v>
      </c>
      <c r="AJ7796">
        <v>86.611882317270997</v>
      </c>
      <c r="AK7796">
        <v>30.2682687653231</v>
      </c>
      <c r="AL7796">
        <v>79.702487684392906</v>
      </c>
      <c r="AM7796">
        <v>94.857811245595997</v>
      </c>
      <c r="AN7796">
        <v>1.00000002042738</v>
      </c>
    </row>
    <row r="7797" spans="1:40" x14ac:dyDescent="0.25">
      <c r="A7797" t="str">
        <f>"20190304155257786"</f>
        <v>20190304155257786</v>
      </c>
      <c r="B7797" t="str">
        <f>"1551685977774437"</f>
        <v>1551685977774437</v>
      </c>
      <c r="C7797" t="s">
        <v>40</v>
      </c>
      <c r="D7797">
        <v>4.6675149999999999</v>
      </c>
      <c r="E7797">
        <v>0.55201309999999904</v>
      </c>
      <c r="F7797" t="s">
        <v>41</v>
      </c>
      <c r="G7797">
        <v>-120.49420000000001</v>
      </c>
      <c r="H7797" s="1">
        <v>-4.7722900000000002E-6</v>
      </c>
      <c r="I7797">
        <v>135.60210000000001</v>
      </c>
      <c r="J7797">
        <v>-151.41149999999999</v>
      </c>
      <c r="K7797">
        <v>1.1100650000000001</v>
      </c>
      <c r="L7797">
        <v>137.2132</v>
      </c>
      <c r="M7797">
        <v>0.99988169999999998</v>
      </c>
      <c r="N7797">
        <v>-1.370012E-2</v>
      </c>
      <c r="O7797">
        <v>6.9961779999999996E-3</v>
      </c>
      <c r="P7797">
        <v>0.98223780000000005</v>
      </c>
      <c r="Q7797">
        <v>0.16478689999999999</v>
      </c>
      <c r="R7797">
        <v>8.9746419999999993E-2</v>
      </c>
      <c r="S7797">
        <v>3.0883940000000001</v>
      </c>
      <c r="T7797">
        <v>-0.1100906</v>
      </c>
      <c r="U7797">
        <v>-0.15972900000000001</v>
      </c>
      <c r="V7797">
        <v>-8.2569630000000005E-2</v>
      </c>
      <c r="W7797">
        <v>0.17837709999999901</v>
      </c>
      <c r="X7797">
        <v>0.98049160000000002</v>
      </c>
      <c r="Y7797">
        <v>5.8583219999999998E-2</v>
      </c>
      <c r="Z7797">
        <v>-1.5982660000000001E-3</v>
      </c>
      <c r="AA7797">
        <v>0.99828119999999998</v>
      </c>
      <c r="AB7797">
        <v>23</v>
      </c>
      <c r="AC7797">
        <v>30.917299999999901</v>
      </c>
      <c r="AD7797">
        <v>-1.1100697722899999</v>
      </c>
      <c r="AE7797">
        <v>-1.61109999999999</v>
      </c>
      <c r="AF7797">
        <v>1.8250374506406299</v>
      </c>
      <c r="AG7797">
        <v>-1.1100697722899999</v>
      </c>
      <c r="AH7797">
        <v>30.865588534539299</v>
      </c>
      <c r="AI7797">
        <v>92.056146209985002</v>
      </c>
      <c r="AJ7797">
        <v>86.616123601515497</v>
      </c>
      <c r="AK7797">
        <v>30.9394177737571</v>
      </c>
      <c r="AL7797">
        <v>79.724754816068895</v>
      </c>
      <c r="AM7797">
        <v>94.813662086558395</v>
      </c>
      <c r="AN7797">
        <v>0.999999955636652</v>
      </c>
    </row>
    <row r="7798" spans="1:40" x14ac:dyDescent="0.25">
      <c r="A7798" t="str">
        <f>"20190304155257809"</f>
        <v>20190304155257809</v>
      </c>
      <c r="B7798" t="str">
        <f>"1551685977804703"</f>
        <v>1551685977804703</v>
      </c>
      <c r="C7798" t="s">
        <v>40</v>
      </c>
      <c r="D7798">
        <v>4.7290380000000001</v>
      </c>
      <c r="E7798">
        <v>0.55142309999999894</v>
      </c>
      <c r="F7798" t="s">
        <v>41</v>
      </c>
      <c r="G7798">
        <v>-120.2663</v>
      </c>
      <c r="H7798" s="1">
        <v>-4.8765940000000003E-6</v>
      </c>
      <c r="I7798">
        <v>135.56540000000001</v>
      </c>
      <c r="J7798">
        <v>-151.18600000000001</v>
      </c>
      <c r="K7798">
        <v>1.1100669999999999</v>
      </c>
      <c r="L7798">
        <v>137.21350000000001</v>
      </c>
      <c r="M7798">
        <v>0.99988900000000003</v>
      </c>
      <c r="N7798">
        <v>-1.369775E-2</v>
      </c>
      <c r="O7798">
        <v>5.8843480000000002E-3</v>
      </c>
      <c r="P7798">
        <v>0.9824157</v>
      </c>
      <c r="Q7798">
        <v>0.1637911</v>
      </c>
      <c r="R7798">
        <v>8.9624229999999999E-2</v>
      </c>
      <c r="S7798">
        <v>3.0876459999999999</v>
      </c>
      <c r="T7798">
        <v>-0.1100491</v>
      </c>
      <c r="U7798">
        <v>-0.16336059999999999</v>
      </c>
      <c r="V7798">
        <v>-8.3541439999999995E-2</v>
      </c>
      <c r="W7798">
        <v>0.17738139999999999</v>
      </c>
      <c r="X7798">
        <v>0.98058999999999996</v>
      </c>
      <c r="Y7798">
        <v>5.8656809999999997E-2</v>
      </c>
      <c r="Z7798">
        <v>-1.5754549999999999E-3</v>
      </c>
      <c r="AA7798">
        <v>0.99827690000000002</v>
      </c>
      <c r="AB7798">
        <v>23</v>
      </c>
      <c r="AC7798">
        <v>30.919699999999999</v>
      </c>
      <c r="AD7798">
        <v>-1.1100718765940001</v>
      </c>
      <c r="AE7798">
        <v>-1.6480999999999899</v>
      </c>
      <c r="AF7798">
        <v>1.82768169080418</v>
      </c>
      <c r="AG7798">
        <v>-1.1100718765940001</v>
      </c>
      <c r="AH7798">
        <v>30.869789203687802</v>
      </c>
      <c r="AI7798">
        <v>92.055861149984494</v>
      </c>
      <c r="AJ7798">
        <v>86.611692284521993</v>
      </c>
      <c r="AK7798">
        <v>30.9437645643549</v>
      </c>
      <c r="AL7798">
        <v>79.782729657367994</v>
      </c>
      <c r="AM7798">
        <v>94.869559617573998</v>
      </c>
      <c r="AN7798">
        <v>1.0000000406816101</v>
      </c>
    </row>
    <row r="7799" spans="1:40" x14ac:dyDescent="0.25">
      <c r="A7799" t="str">
        <f>"20190304155257832"</f>
        <v>20190304155257832</v>
      </c>
      <c r="B7799" t="str">
        <f>"1551685977825189"</f>
        <v>1551685977825189</v>
      </c>
      <c r="C7799" t="s">
        <v>40</v>
      </c>
      <c r="D7799">
        <v>4.6348549999999999</v>
      </c>
      <c r="E7799">
        <v>0.55123359999999899</v>
      </c>
      <c r="F7799" t="s">
        <v>41</v>
      </c>
      <c r="G7799">
        <v>-120.6343</v>
      </c>
      <c r="H7799" s="1">
        <v>-4.7064259999999998E-6</v>
      </c>
      <c r="I7799">
        <v>135.63480000000001</v>
      </c>
      <c r="J7799">
        <v>-150.94970000000001</v>
      </c>
      <c r="K7799">
        <v>1.11006</v>
      </c>
      <c r="L7799">
        <v>137.21350000000001</v>
      </c>
      <c r="M7799">
        <v>0.99989519999999998</v>
      </c>
      <c r="N7799">
        <v>-1.3695489999999999E-2</v>
      </c>
      <c r="O7799">
        <v>4.7192379999999997E-3</v>
      </c>
      <c r="P7799">
        <v>0.98268489999999997</v>
      </c>
      <c r="Q7799">
        <v>0.162196799999999</v>
      </c>
      <c r="R7799">
        <v>8.9568590000000003E-2</v>
      </c>
      <c r="S7799">
        <v>3.0869599999999999</v>
      </c>
      <c r="T7799">
        <v>-0.1121622</v>
      </c>
      <c r="U7799">
        <v>-0.1595154</v>
      </c>
      <c r="V7799">
        <v>-8.4632970000000002E-2</v>
      </c>
      <c r="W7799">
        <v>0.1757889</v>
      </c>
      <c r="X7799">
        <v>0.98078310000000002</v>
      </c>
      <c r="Y7799">
        <v>5.6265679999999998E-2</v>
      </c>
      <c r="Z7799">
        <v>-1.5136360000000001E-3</v>
      </c>
      <c r="AA7799">
        <v>0.99841469999999999</v>
      </c>
      <c r="AB7799">
        <v>23</v>
      </c>
      <c r="AC7799">
        <v>30.3154</v>
      </c>
      <c r="AD7799">
        <v>-1.1100647064260001</v>
      </c>
      <c r="AE7799">
        <v>-1.57869999999999</v>
      </c>
      <c r="AF7799">
        <v>1.7194621544545501</v>
      </c>
      <c r="AG7799">
        <v>-1.1100647064260001</v>
      </c>
      <c r="AH7799">
        <v>30.267138415869301</v>
      </c>
      <c r="AI7799">
        <v>92.097036089604202</v>
      </c>
      <c r="AJ7799">
        <v>86.748548052062304</v>
      </c>
      <c r="AK7799">
        <v>30.336256552818899</v>
      </c>
      <c r="AL7799">
        <v>79.875429355226899</v>
      </c>
      <c r="AM7799">
        <v>94.931905635840806</v>
      </c>
      <c r="AN7799">
        <v>0.99999998310992</v>
      </c>
    </row>
    <row r="7800" spans="1:40" x14ac:dyDescent="0.25">
      <c r="A7800" t="str">
        <f>"20190304155257854"</f>
        <v>20190304155257854</v>
      </c>
      <c r="B7800" t="str">
        <f>"1551685977844710"</f>
        <v>1551685977844710</v>
      </c>
      <c r="C7800" t="s">
        <v>40</v>
      </c>
      <c r="D7800">
        <v>3.1214140000000001</v>
      </c>
      <c r="E7800">
        <v>0.55130029999999997</v>
      </c>
      <c r="F7800" t="s">
        <v>41</v>
      </c>
      <c r="G7800">
        <v>-121.32810000000001</v>
      </c>
      <c r="H7800" s="1">
        <v>-4.3984689999999997E-6</v>
      </c>
      <c r="I7800">
        <v>135.69290000000001</v>
      </c>
      <c r="J7800">
        <v>-150.72329999999999</v>
      </c>
      <c r="K7800">
        <v>1.1100570000000001</v>
      </c>
      <c r="L7800">
        <v>137.2132</v>
      </c>
      <c r="M7800">
        <v>0.99989980000000001</v>
      </c>
      <c r="N7800">
        <v>-1.3693139999999999E-2</v>
      </c>
      <c r="O7800">
        <v>3.6018119999999998E-3</v>
      </c>
      <c r="P7800">
        <v>0.98295060000000001</v>
      </c>
      <c r="Q7800">
        <v>0.1601091</v>
      </c>
      <c r="R7800">
        <v>9.0406710000000001E-2</v>
      </c>
      <c r="S7800">
        <v>3.086395</v>
      </c>
      <c r="T7800">
        <v>-0.11566170000000001</v>
      </c>
      <c r="U7800">
        <v>-0.15843199999999999</v>
      </c>
      <c r="V7800">
        <v>-8.6572969999999999E-2</v>
      </c>
      <c r="W7800">
        <v>0.17370429999999901</v>
      </c>
      <c r="X7800">
        <v>0.9809852</v>
      </c>
      <c r="Y7800">
        <v>5.4808519999999999E-2</v>
      </c>
      <c r="Z7800">
        <v>-1.487192E-3</v>
      </c>
      <c r="AA7800">
        <v>0.99849580000000004</v>
      </c>
      <c r="AB7800">
        <v>22</v>
      </c>
      <c r="AC7800">
        <v>29.3951999999999</v>
      </c>
      <c r="AD7800">
        <v>-1.110061398469</v>
      </c>
      <c r="AE7800">
        <v>-1.52029999999999</v>
      </c>
      <c r="AF7800">
        <v>1.6238664725140901</v>
      </c>
      <c r="AG7800">
        <v>-1.110061398469</v>
      </c>
      <c r="AH7800">
        <v>29.347792556608098</v>
      </c>
      <c r="AI7800">
        <v>92.162838219228206</v>
      </c>
      <c r="AJ7800">
        <v>86.832950286964603</v>
      </c>
      <c r="AK7800">
        <v>29.413638105046299</v>
      </c>
      <c r="AL7800">
        <v>79.996734934696804</v>
      </c>
      <c r="AM7800">
        <v>95.043346611474803</v>
      </c>
      <c r="AN7800">
        <v>1.00000001279607</v>
      </c>
    </row>
    <row r="7801" spans="1:40" x14ac:dyDescent="0.25">
      <c r="A7801" t="str">
        <f>"20190304155257943"</f>
        <v>20190304155257943</v>
      </c>
      <c r="B7801" t="str">
        <f>"1551685977934501"</f>
        <v>1551685977934501</v>
      </c>
      <c r="C7801" t="s">
        <v>40</v>
      </c>
      <c r="D7801">
        <v>4.1267589999999998</v>
      </c>
      <c r="E7801">
        <v>0.6007825</v>
      </c>
      <c r="F7801" t="s">
        <v>41</v>
      </c>
      <c r="G7801">
        <v>-122.6327</v>
      </c>
      <c r="H7801" s="1">
        <v>-3.821816E-6</v>
      </c>
      <c r="I7801">
        <v>135.78870000000001</v>
      </c>
      <c r="J7801">
        <v>-149.8381</v>
      </c>
      <c r="K7801">
        <v>1.1100760000000001</v>
      </c>
      <c r="L7801">
        <v>137.2098</v>
      </c>
      <c r="M7801">
        <v>0.99990619999999997</v>
      </c>
      <c r="N7801">
        <v>-1.368313E-2</v>
      </c>
      <c r="O7801">
        <v>-7.6697319999999996E-4</v>
      </c>
      <c r="P7801">
        <v>0.98363520000000004</v>
      </c>
      <c r="Q7801">
        <v>0.15497079999999999</v>
      </c>
      <c r="R7801">
        <v>9.1902209999999998E-2</v>
      </c>
      <c r="S7801">
        <v>3.0863040000000002</v>
      </c>
      <c r="T7801">
        <v>-0.1219618</v>
      </c>
      <c r="U7801">
        <v>-0.15650939999999999</v>
      </c>
      <c r="V7801">
        <v>-9.2375899999999997E-2</v>
      </c>
      <c r="W7801">
        <v>0.16856889999999999</v>
      </c>
      <c r="X7801">
        <v>0.98135170000000005</v>
      </c>
      <c r="Y7801">
        <v>4.9827789999999997E-2</v>
      </c>
      <c r="Z7801">
        <v>-1.305032E-3</v>
      </c>
      <c r="AA7801">
        <v>0.99875689999999995</v>
      </c>
      <c r="AB7801">
        <v>22</v>
      </c>
      <c r="AC7801">
        <v>27.205400000000001</v>
      </c>
      <c r="AD7801">
        <v>-1.110079821816</v>
      </c>
      <c r="AE7801">
        <v>-1.42109999999999</v>
      </c>
      <c r="AF7801">
        <v>1.39791071602157</v>
      </c>
      <c r="AG7801">
        <v>-1.110079821816</v>
      </c>
      <c r="AH7801">
        <v>27.161383069822001</v>
      </c>
      <c r="AI7801">
        <v>92.337273524214993</v>
      </c>
      <c r="AJ7801">
        <v>87.053766475318795</v>
      </c>
      <c r="AK7801">
        <v>27.2199772565369</v>
      </c>
      <c r="AL7801">
        <v>80.295377406666205</v>
      </c>
      <c r="AM7801">
        <v>95.377480161796697</v>
      </c>
      <c r="AN7801">
        <v>0.99999997002045404</v>
      </c>
    </row>
    <row r="7802" spans="1:40" x14ac:dyDescent="0.25">
      <c r="A7802" t="str">
        <f>"20190304155257965"</f>
        <v>20190304155257965</v>
      </c>
      <c r="B7802" t="str">
        <f>"1551685977954998"</f>
        <v>1551685977954998</v>
      </c>
      <c r="C7802" t="s">
        <v>40</v>
      </c>
      <c r="D7802">
        <v>4.7699619999999996</v>
      </c>
      <c r="E7802">
        <v>0.59149379999999996</v>
      </c>
      <c r="F7802" t="s">
        <v>51</v>
      </c>
      <c r="G7802">
        <v>-149.09440000000001</v>
      </c>
      <c r="H7802">
        <v>0.97430170000000005</v>
      </c>
      <c r="I7802">
        <v>137.07900000000001</v>
      </c>
      <c r="J7802">
        <v>-149.61600000000001</v>
      </c>
      <c r="K7802">
        <v>1.1100939999999999</v>
      </c>
      <c r="L7802">
        <v>137.20840000000001</v>
      </c>
      <c r="M7802">
        <v>0.99990460000000003</v>
      </c>
      <c r="N7802">
        <v>-1.3680619999999999E-2</v>
      </c>
      <c r="O7802">
        <v>-1.8631139999999999E-3</v>
      </c>
      <c r="P7802">
        <v>0.98352289999999998</v>
      </c>
      <c r="Q7802">
        <v>0.1563118</v>
      </c>
      <c r="R7802">
        <v>9.0824360000000007E-2</v>
      </c>
      <c r="S7802">
        <v>3.1942900000000001</v>
      </c>
      <c r="T7802">
        <v>-0.58324969999999998</v>
      </c>
      <c r="U7802">
        <v>-0.56159969999999904</v>
      </c>
      <c r="V7802">
        <v>-9.2374529999999996E-2</v>
      </c>
      <c r="W7802">
        <v>0.1699041</v>
      </c>
      <c r="X7802">
        <v>0.98112160000000004</v>
      </c>
      <c r="Y7802">
        <v>0.16843549999999999</v>
      </c>
      <c r="Z7802">
        <v>-1.5999159999999998E-2</v>
      </c>
      <c r="AA7802">
        <v>0.98558279999999998</v>
      </c>
      <c r="AB7802">
        <v>22</v>
      </c>
      <c r="AC7802">
        <v>0.52160000000000595</v>
      </c>
      <c r="AD7802">
        <v>-0.1357923</v>
      </c>
      <c r="AE7802">
        <v>-0.12940000000000301</v>
      </c>
      <c r="AF7802">
        <v>0.120720321457307</v>
      </c>
      <c r="AG7802">
        <v>-0.1357923</v>
      </c>
      <c r="AH7802">
        <v>0.49052211393178502</v>
      </c>
      <c r="AI7802">
        <v>105.04606847661</v>
      </c>
      <c r="AJ7802">
        <v>76.173946369543202</v>
      </c>
      <c r="AK7802">
        <v>0.52309166405913199</v>
      </c>
      <c r="AL7802">
        <v>80.2177569749133</v>
      </c>
      <c r="AM7802">
        <v>95.378654630480696</v>
      </c>
      <c r="AN7802">
        <v>1.0000000254880399</v>
      </c>
    </row>
    <row r="7803" spans="1:40" x14ac:dyDescent="0.25">
      <c r="A7803" t="str">
        <f>"20190304155257988"</f>
        <v>20190304155257988</v>
      </c>
      <c r="B7803" t="str">
        <f>"1551685977985254"</f>
        <v>1551685977985254</v>
      </c>
      <c r="C7803" t="s">
        <v>40</v>
      </c>
      <c r="D7803">
        <v>4.7594440000000002</v>
      </c>
      <c r="E7803">
        <v>0.58135749999999997</v>
      </c>
      <c r="F7803" t="s">
        <v>51</v>
      </c>
      <c r="G7803">
        <v>-148.87970000000001</v>
      </c>
      <c r="H7803">
        <v>1.00607</v>
      </c>
      <c r="I7803">
        <v>137.095</v>
      </c>
      <c r="J7803">
        <v>-149.39109999999999</v>
      </c>
      <c r="K7803">
        <v>1.110115</v>
      </c>
      <c r="L7803">
        <v>137.20670000000001</v>
      </c>
      <c r="M7803">
        <v>0.99990210000000002</v>
      </c>
      <c r="N7803">
        <v>-1.3678010000000001E-2</v>
      </c>
      <c r="O7803">
        <v>-2.9730859999999998E-3</v>
      </c>
      <c r="P7803">
        <v>0.98350590000000004</v>
      </c>
      <c r="Q7803">
        <v>0.1573763</v>
      </c>
      <c r="R7803">
        <v>8.9158479999999998E-2</v>
      </c>
      <c r="S7803">
        <v>3.1663359999999998</v>
      </c>
      <c r="T7803">
        <v>-0.44742359999999998</v>
      </c>
      <c r="U7803">
        <v>-0.4869232</v>
      </c>
      <c r="V7803">
        <v>-9.1799339999999993E-2</v>
      </c>
      <c r="W7803">
        <v>0.1709627</v>
      </c>
      <c r="X7803">
        <v>0.98099170000000002</v>
      </c>
      <c r="Y7803">
        <v>0.14750450000000001</v>
      </c>
      <c r="Z7803">
        <v>-1.095517E-2</v>
      </c>
      <c r="AA7803">
        <v>0.98900069999999995</v>
      </c>
      <c r="AB7803">
        <v>22</v>
      </c>
      <c r="AC7803">
        <v>0.51139999999997998</v>
      </c>
      <c r="AD7803">
        <v>-0.104044999999999</v>
      </c>
      <c r="AE7803">
        <v>-0.111700000000013</v>
      </c>
      <c r="AF7803">
        <v>0.105991456368817</v>
      </c>
      <c r="AG7803">
        <v>-0.104044999999999</v>
      </c>
      <c r="AH7803">
        <v>0.492281006859493</v>
      </c>
      <c r="AI7803">
        <v>101.674064509096</v>
      </c>
      <c r="AJ7803">
        <v>77.849318303043205</v>
      </c>
      <c r="AK7803">
        <v>0.51419854196874104</v>
      </c>
      <c r="AL7803">
        <v>80.156203217978501</v>
      </c>
      <c r="AM7803">
        <v>95.346061587666597</v>
      </c>
      <c r="AN7803">
        <v>1.0000000395423001</v>
      </c>
    </row>
    <row r="7804" spans="1:40" x14ac:dyDescent="0.25">
      <c r="A7804" t="str">
        <f>"20190304155258010"</f>
        <v>20190304155258010</v>
      </c>
      <c r="B7804" t="str">
        <f>"1551685978004773"</f>
        <v>1551685978004773</v>
      </c>
      <c r="C7804" t="s">
        <v>40</v>
      </c>
      <c r="D7804">
        <v>4.6420459999999997</v>
      </c>
      <c r="E7804">
        <v>0.57704429999999995</v>
      </c>
      <c r="F7804" t="s">
        <v>53</v>
      </c>
      <c r="G7804">
        <v>0</v>
      </c>
      <c r="H7804">
        <v>0</v>
      </c>
      <c r="I7804">
        <v>0</v>
      </c>
      <c r="J7804">
        <v>-149.16999999999999</v>
      </c>
      <c r="K7804">
        <v>1.110131</v>
      </c>
      <c r="L7804">
        <v>137.2047</v>
      </c>
      <c r="M7804">
        <v>0.99989830000000002</v>
      </c>
      <c r="N7804">
        <v>-1.367556E-2</v>
      </c>
      <c r="O7804">
        <v>-4.0641050000000001E-3</v>
      </c>
      <c r="P7804">
        <v>0.98369759999999995</v>
      </c>
      <c r="Q7804">
        <v>0.1573724</v>
      </c>
      <c r="R7804">
        <v>8.7024980000000002E-2</v>
      </c>
      <c r="S7804">
        <v>3.0746310000000001</v>
      </c>
      <c r="T7804">
        <v>7.1085690000000007E-2</v>
      </c>
      <c r="U7804">
        <v>-0.39384459999999999</v>
      </c>
      <c r="V7804">
        <v>-9.0740360000000006E-2</v>
      </c>
      <c r="W7804">
        <v>0.17095560000000001</v>
      </c>
      <c r="X7804">
        <v>0.98109139999999995</v>
      </c>
      <c r="Y7804">
        <v>0.1230139</v>
      </c>
      <c r="Z7804">
        <v>4.2251559999999998E-4</v>
      </c>
      <c r="AA7804">
        <v>0.99240490000000003</v>
      </c>
      <c r="AB7804">
        <v>22</v>
      </c>
      <c r="AC7804">
        <v>3.0746310000000001</v>
      </c>
      <c r="AD7804">
        <v>7.1085690000000007E-2</v>
      </c>
      <c r="AE7804">
        <v>-0.39384459999999999</v>
      </c>
      <c r="AF7804">
        <v>0.38114410898212803</v>
      </c>
      <c r="AG7804">
        <v>7.1085690000000007E-2</v>
      </c>
      <c r="AH7804">
        <v>3.0745894261818099</v>
      </c>
      <c r="AI7804">
        <v>88.685593027068094</v>
      </c>
      <c r="AJ7804">
        <v>82.933331593334003</v>
      </c>
      <c r="AK7804">
        <v>3.09893919700332</v>
      </c>
      <c r="AL7804">
        <v>80.156615530547398</v>
      </c>
      <c r="AM7804">
        <v>95.284207621655298</v>
      </c>
      <c r="AN7804">
        <v>0.99999998262912404</v>
      </c>
    </row>
    <row r="7805" spans="1:40" x14ac:dyDescent="0.25">
      <c r="A7805" t="str">
        <f>"20190304155258033"</f>
        <v>20190304155258033</v>
      </c>
      <c r="B7805" t="str">
        <f>"1551685978024294"</f>
        <v>1551685978024294</v>
      </c>
      <c r="C7805" t="s">
        <v>40</v>
      </c>
      <c r="D7805">
        <v>4.5974159999999999</v>
      </c>
      <c r="E7805">
        <v>0.57354469999999902</v>
      </c>
      <c r="F7805" t="s">
        <v>53</v>
      </c>
      <c r="G7805">
        <v>0</v>
      </c>
      <c r="H7805">
        <v>0</v>
      </c>
      <c r="I7805">
        <v>0</v>
      </c>
      <c r="J7805">
        <v>-148.9485</v>
      </c>
      <c r="K7805">
        <v>1.1101510000000001</v>
      </c>
      <c r="L7805">
        <v>137.20249999999999</v>
      </c>
      <c r="M7805">
        <v>0.99989320000000004</v>
      </c>
      <c r="N7805">
        <v>-1.3673100000000001E-2</v>
      </c>
      <c r="O7805">
        <v>-5.1569119999999996E-3</v>
      </c>
      <c r="P7805">
        <v>0.98389249999999995</v>
      </c>
      <c r="Q7805">
        <v>0.15738829999999901</v>
      </c>
      <c r="R7805">
        <v>8.4760230000000006E-2</v>
      </c>
      <c r="S7805">
        <v>3.0824889999999998</v>
      </c>
      <c r="T7805">
        <v>-8.4555149999999903E-4</v>
      </c>
      <c r="U7805">
        <v>-0.36889650000000002</v>
      </c>
      <c r="V7805">
        <v>-8.9551820000000004E-2</v>
      </c>
      <c r="W7805">
        <v>0.17096829999999999</v>
      </c>
      <c r="X7805">
        <v>0.98119840000000003</v>
      </c>
      <c r="Y7805">
        <v>0.11370470000000001</v>
      </c>
      <c r="Z7805">
        <v>-8.6454860000000002E-4</v>
      </c>
      <c r="AA7805">
        <v>0.99351420000000001</v>
      </c>
      <c r="AB7805">
        <v>22</v>
      </c>
      <c r="AC7805">
        <v>3.0824889999999998</v>
      </c>
      <c r="AD7805">
        <v>-8.4555149999999903E-4</v>
      </c>
      <c r="AE7805">
        <v>-0.36889650000000002</v>
      </c>
      <c r="AF7805">
        <v>0.35299395672577799</v>
      </c>
      <c r="AG7805">
        <v>-8.4555149999999903E-4</v>
      </c>
      <c r="AH7805">
        <v>3.0843503204781699</v>
      </c>
      <c r="AI7805">
        <v>90.015605340303395</v>
      </c>
      <c r="AJ7805">
        <v>83.471089115448905</v>
      </c>
      <c r="AK7805">
        <v>3.10448423218351</v>
      </c>
      <c r="AL7805">
        <v>80.155877115441996</v>
      </c>
      <c r="AM7805">
        <v>95.214812340063006</v>
      </c>
      <c r="AN7805">
        <v>0.99999999411638096</v>
      </c>
    </row>
    <row r="7806" spans="1:40" x14ac:dyDescent="0.25">
      <c r="A7806" t="str">
        <f>"20190304155258057"</f>
        <v>20190304155258057</v>
      </c>
      <c r="B7806" t="str">
        <f>"1551685978044790"</f>
        <v>1551685978044790</v>
      </c>
      <c r="C7806" t="s">
        <v>40</v>
      </c>
      <c r="D7806">
        <v>4.7006990000000002</v>
      </c>
      <c r="E7806">
        <v>0.56851660000000004</v>
      </c>
      <c r="F7806" t="s">
        <v>52</v>
      </c>
      <c r="G7806">
        <v>29.042079999999999</v>
      </c>
      <c r="H7806">
        <v>-0.1</v>
      </c>
      <c r="I7806">
        <v>117.0549</v>
      </c>
      <c r="J7806">
        <v>-148.70760000000001</v>
      </c>
      <c r="K7806">
        <v>1.110163</v>
      </c>
      <c r="L7806">
        <v>137.19980000000001</v>
      </c>
      <c r="M7806">
        <v>0.99988659999999996</v>
      </c>
      <c r="N7806">
        <v>-1.3670470000000001E-2</v>
      </c>
      <c r="O7806">
        <v>-6.3419430000000001E-3</v>
      </c>
      <c r="P7806">
        <v>0.9840082</v>
      </c>
      <c r="Q7806">
        <v>0.1574998</v>
      </c>
      <c r="R7806">
        <v>8.3199809999999999E-2</v>
      </c>
      <c r="S7806">
        <v>3.0825040000000001</v>
      </c>
      <c r="T7806">
        <v>-2.095783E-2</v>
      </c>
      <c r="U7806">
        <v>-0.34892269999999997</v>
      </c>
      <c r="V7806">
        <v>-8.9159470000000005E-2</v>
      </c>
      <c r="W7806">
        <v>0.1710759</v>
      </c>
      <c r="X7806">
        <v>0.98121539999999996</v>
      </c>
      <c r="Y7806">
        <v>0.10616449999999999</v>
      </c>
      <c r="Z7806">
        <v>-1.131237E-3</v>
      </c>
      <c r="AA7806">
        <v>0.99434789999999995</v>
      </c>
      <c r="AB7806">
        <v>22</v>
      </c>
      <c r="AC7806">
        <v>177.74968000000001</v>
      </c>
      <c r="AD7806">
        <v>-1.2101629999999901</v>
      </c>
      <c r="AE7806">
        <v>-20.1449</v>
      </c>
      <c r="AF7806">
        <v>19.016241027951502</v>
      </c>
      <c r="AG7806">
        <v>-1.2101629999999901</v>
      </c>
      <c r="AH7806">
        <v>177.865734545355</v>
      </c>
      <c r="AI7806">
        <v>90.387614100114305</v>
      </c>
      <c r="AJ7806">
        <v>83.8974910894689</v>
      </c>
      <c r="AK7806">
        <v>178.883485662255</v>
      </c>
      <c r="AL7806">
        <v>80.149620140080302</v>
      </c>
      <c r="AM7806">
        <v>95.192000562936897</v>
      </c>
      <c r="AN7806">
        <v>1.00000001792432</v>
      </c>
    </row>
    <row r="7807" spans="1:40" x14ac:dyDescent="0.25">
      <c r="A7807" t="str">
        <f>"20190304155258080"</f>
        <v>20190304155258080</v>
      </c>
      <c r="B7807" t="str">
        <f>"1551685978075046"</f>
        <v>1551685978075046</v>
      </c>
      <c r="C7807" t="s">
        <v>40</v>
      </c>
      <c r="D7807">
        <v>4.7497020000000001</v>
      </c>
      <c r="E7807">
        <v>0.56515839999999995</v>
      </c>
      <c r="F7807" t="s">
        <v>41</v>
      </c>
      <c r="G7807">
        <v>-81.327029999999993</v>
      </c>
      <c r="H7807" s="1">
        <v>-5.4083070000000004E-6</v>
      </c>
      <c r="I7807">
        <v>130.33029999999999</v>
      </c>
      <c r="J7807">
        <v>-148.4684</v>
      </c>
      <c r="K7807">
        <v>1.1101810000000001</v>
      </c>
      <c r="L7807">
        <v>137.1969</v>
      </c>
      <c r="M7807">
        <v>0.9998785</v>
      </c>
      <c r="N7807">
        <v>-1.366788E-2</v>
      </c>
      <c r="O7807">
        <v>-7.50710599999999E-3</v>
      </c>
      <c r="P7807">
        <v>0.98407509999999998</v>
      </c>
      <c r="Q7807">
        <v>0.1580453</v>
      </c>
      <c r="R7807">
        <v>8.1351899999999894E-2</v>
      </c>
      <c r="S7807">
        <v>3.083466</v>
      </c>
      <c r="T7807">
        <v>-5.0803420000000002E-2</v>
      </c>
      <c r="U7807">
        <v>-0.31436160000000002</v>
      </c>
      <c r="V7807">
        <v>-8.8460419999999998E-2</v>
      </c>
      <c r="W7807">
        <v>0.1716152</v>
      </c>
      <c r="X7807">
        <v>0.98118450000000001</v>
      </c>
      <c r="Y7807">
        <v>9.3929879999999993E-2</v>
      </c>
      <c r="Z7807">
        <v>-1.394434E-3</v>
      </c>
      <c r="AA7807">
        <v>0.99557779999999996</v>
      </c>
      <c r="AB7807">
        <v>22</v>
      </c>
      <c r="AC7807">
        <v>67.141369999999995</v>
      </c>
      <c r="AD7807">
        <v>-1.1101864083070001</v>
      </c>
      <c r="AE7807">
        <v>-6.8666</v>
      </c>
      <c r="AF7807">
        <v>6.3606010107420703</v>
      </c>
      <c r="AG7807">
        <v>-1.1101864083070001</v>
      </c>
      <c r="AH7807">
        <v>67.172855292964101</v>
      </c>
      <c r="AI7807">
        <v>90.942642968961295</v>
      </c>
      <c r="AJ7807">
        <v>84.5907880146476</v>
      </c>
      <c r="AK7807">
        <v>67.482458811816699</v>
      </c>
      <c r="AL7807">
        <v>80.118256741866205</v>
      </c>
      <c r="AM7807">
        <v>95.151674214101703</v>
      </c>
      <c r="AN7807">
        <v>1.0000000229089301</v>
      </c>
    </row>
    <row r="7808" spans="1:40" x14ac:dyDescent="0.25">
      <c r="A7808" t="str">
        <f>"20190304155258102"</f>
        <v>20190304155258102</v>
      </c>
      <c r="B7808" t="str">
        <f>"1551685978094565"</f>
        <v>1551685978094565</v>
      </c>
      <c r="C7808" t="s">
        <v>40</v>
      </c>
      <c r="D7808">
        <v>4.7110099999999999</v>
      </c>
      <c r="E7808">
        <v>0.56335259999999998</v>
      </c>
      <c r="F7808" t="s">
        <v>41</v>
      </c>
      <c r="G7808">
        <v>-103.3717</v>
      </c>
      <c r="H7808" s="1">
        <v>-4.3170229999999999E-6</v>
      </c>
      <c r="I7808">
        <v>132.89850000000001</v>
      </c>
      <c r="J7808">
        <v>-148.26400000000001</v>
      </c>
      <c r="K7808">
        <v>1.11019</v>
      </c>
      <c r="L7808">
        <v>137.1942</v>
      </c>
      <c r="M7808">
        <v>0.9998707</v>
      </c>
      <c r="N7808">
        <v>-1.366559E-2</v>
      </c>
      <c r="O7808">
        <v>-8.4850399999999992E-3</v>
      </c>
      <c r="P7808">
        <v>0.98400799999999999</v>
      </c>
      <c r="Q7808">
        <v>0.15917100000000001</v>
      </c>
      <c r="R7808">
        <v>7.9956269999999996E-2</v>
      </c>
      <c r="S7808">
        <v>3.0850520000000001</v>
      </c>
      <c r="T7808">
        <v>-7.5947520000000004E-2</v>
      </c>
      <c r="U7808">
        <v>-0.29405209999999998</v>
      </c>
      <c r="V7808">
        <v>-8.8028889999999999E-2</v>
      </c>
      <c r="W7808">
        <v>0.1727331</v>
      </c>
      <c r="X7808">
        <v>0.98102710000000004</v>
      </c>
      <c r="Y7808">
        <v>8.6394180000000001E-2</v>
      </c>
      <c r="Z7808">
        <v>-1.560016E-3</v>
      </c>
      <c r="AA7808">
        <v>0.99625980000000003</v>
      </c>
      <c r="AB7808">
        <v>22</v>
      </c>
      <c r="AC7808">
        <v>44.892299999999999</v>
      </c>
      <c r="AD7808">
        <v>-1.110194317023</v>
      </c>
      <c r="AE7808">
        <v>-4.2956999999999796</v>
      </c>
      <c r="AF7808">
        <v>3.91222589353008</v>
      </c>
      <c r="AG7808">
        <v>-1.110194317023</v>
      </c>
      <c r="AH7808">
        <v>44.899925418059603</v>
      </c>
      <c r="AI7808">
        <v>91.411061168012793</v>
      </c>
      <c r="AJ7808">
        <v>85.020273630690298</v>
      </c>
      <c r="AK7808">
        <v>45.083714858148902</v>
      </c>
      <c r="AL7808">
        <v>80.053234454602105</v>
      </c>
      <c r="AM7808">
        <v>95.127495586129697</v>
      </c>
      <c r="AN7808">
        <v>0.99999999012232599</v>
      </c>
    </row>
    <row r="7809" spans="1:40" x14ac:dyDescent="0.25">
      <c r="A7809" t="str">
        <f>"20190304155258121"</f>
        <v>20190304155258121</v>
      </c>
      <c r="B7809" t="str">
        <f>"1551685978115062"</f>
        <v>1551685978115062</v>
      </c>
      <c r="C7809" t="s">
        <v>40</v>
      </c>
      <c r="D7809">
        <v>4.7015669999999998</v>
      </c>
      <c r="E7809">
        <v>0.56226039999999999</v>
      </c>
      <c r="F7809" t="s">
        <v>41</v>
      </c>
      <c r="G7809">
        <v>-108.51139999999999</v>
      </c>
      <c r="H7809" s="1">
        <v>-2.173937E-6</v>
      </c>
      <c r="I7809">
        <v>133.535</v>
      </c>
      <c r="J7809">
        <v>-148.06190000000001</v>
      </c>
      <c r="K7809">
        <v>1.110195</v>
      </c>
      <c r="L7809">
        <v>137.19139999999999</v>
      </c>
      <c r="M7809">
        <v>0.99986229999999998</v>
      </c>
      <c r="N7809">
        <v>-1.3663130000000001E-2</v>
      </c>
      <c r="O7809">
        <v>-9.4280460000000007E-3</v>
      </c>
      <c r="P7809">
        <v>0.98396660000000002</v>
      </c>
      <c r="Q7809">
        <v>0.160024</v>
      </c>
      <c r="R7809">
        <v>7.8755740000000005E-2</v>
      </c>
      <c r="S7809">
        <v>3.085785</v>
      </c>
      <c r="T7809">
        <v>-8.6178420000000006E-2</v>
      </c>
      <c r="U7809">
        <v>-0.28404239999999997</v>
      </c>
      <c r="V7809">
        <v>-8.7762560000000003E-2</v>
      </c>
      <c r="W7809">
        <v>0.17357800000000001</v>
      </c>
      <c r="X7809">
        <v>0.98090180000000005</v>
      </c>
      <c r="Y7809">
        <v>8.2221340000000004E-2</v>
      </c>
      <c r="Z7809">
        <v>-1.574439E-3</v>
      </c>
      <c r="AA7809">
        <v>0.99661279999999997</v>
      </c>
      <c r="AB7809">
        <v>22</v>
      </c>
      <c r="AC7809">
        <v>39.5505</v>
      </c>
      <c r="AD7809">
        <v>-1.110197173937</v>
      </c>
      <c r="AE7809">
        <v>-3.6563999999999899</v>
      </c>
      <c r="AF7809">
        <v>3.2807556021613502</v>
      </c>
      <c r="AG7809">
        <v>-1.110197173937</v>
      </c>
      <c r="AH7809">
        <v>39.552316799154802</v>
      </c>
      <c r="AI7809">
        <v>91.602317860503405</v>
      </c>
      <c r="AJ7809">
        <v>85.258327839784201</v>
      </c>
      <c r="AK7809">
        <v>39.7036731205922</v>
      </c>
      <c r="AL7809">
        <v>80.004082534990403</v>
      </c>
      <c r="AM7809">
        <v>95.112714304861399</v>
      </c>
      <c r="AN7809">
        <v>0.999999965132496</v>
      </c>
    </row>
    <row r="7810" spans="1:40" x14ac:dyDescent="0.25">
      <c r="A7810" t="str">
        <f>"20190304155258144"</f>
        <v>20190304155258144</v>
      </c>
      <c r="B7810" t="str">
        <f>"1551685978134582"</f>
        <v>1551685978134582</v>
      </c>
      <c r="C7810" t="s">
        <v>40</v>
      </c>
      <c r="D7810">
        <v>4.8323769999999904</v>
      </c>
      <c r="E7810">
        <v>0.55972080000000002</v>
      </c>
      <c r="F7810" t="s">
        <v>41</v>
      </c>
      <c r="G7810">
        <v>-112.1615</v>
      </c>
      <c r="H7810" s="1">
        <v>-4.3504139999999998E-6</v>
      </c>
      <c r="I7810">
        <v>133.94829999999999</v>
      </c>
      <c r="J7810">
        <v>-147.83850000000001</v>
      </c>
      <c r="K7810">
        <v>1.110215</v>
      </c>
      <c r="L7810">
        <v>137.18809999999999</v>
      </c>
      <c r="M7810">
        <v>0.99985239999999997</v>
      </c>
      <c r="N7810">
        <v>-1.366034E-2</v>
      </c>
      <c r="O7810">
        <v>-1.043382E-2</v>
      </c>
      <c r="P7810">
        <v>0.98421159999999996</v>
      </c>
      <c r="Q7810">
        <v>0.1593955</v>
      </c>
      <c r="R7810">
        <v>7.6945979999999997E-2</v>
      </c>
      <c r="S7810">
        <v>3.086716</v>
      </c>
      <c r="T7810">
        <v>-9.5454810000000001E-2</v>
      </c>
      <c r="U7810">
        <v>-0.27883909999999901</v>
      </c>
      <c r="V7810">
        <v>-8.6957160000000006E-2</v>
      </c>
      <c r="W7810">
        <v>0.1729417</v>
      </c>
      <c r="X7810">
        <v>0.98108600000000001</v>
      </c>
      <c r="Y7810">
        <v>7.9518549999999993E-2</v>
      </c>
      <c r="Z7810">
        <v>-1.591543E-3</v>
      </c>
      <c r="AA7810">
        <v>0.9968321</v>
      </c>
      <c r="AB7810">
        <v>22</v>
      </c>
      <c r="AC7810">
        <v>35.677</v>
      </c>
      <c r="AD7810">
        <v>-1.1102193504140001</v>
      </c>
      <c r="AE7810">
        <v>-3.2397999999999998</v>
      </c>
      <c r="AF7810">
        <v>2.8645902415140698</v>
      </c>
      <c r="AG7810">
        <v>-1.1102193504140001</v>
      </c>
      <c r="AH7810">
        <v>35.6746006108581</v>
      </c>
      <c r="AI7810">
        <v>91.776795496229397</v>
      </c>
      <c r="AJ7810">
        <v>85.409127683795504</v>
      </c>
      <c r="AK7810">
        <v>35.8066417442637</v>
      </c>
      <c r="AL7810">
        <v>80.041100631137098</v>
      </c>
      <c r="AM7810">
        <v>95.065093826986498</v>
      </c>
      <c r="AN7810">
        <v>1.00000005933507</v>
      </c>
    </row>
    <row r="7811" spans="1:40" x14ac:dyDescent="0.25">
      <c r="A7811" t="str">
        <f>"20190304155258177"</f>
        <v>20190304155258177</v>
      </c>
      <c r="B7811" t="str">
        <f>"1551685978174598"</f>
        <v>1551685978174598</v>
      </c>
      <c r="C7811" t="s">
        <v>40</v>
      </c>
      <c r="D7811">
        <v>4.815124</v>
      </c>
      <c r="E7811">
        <v>0.55582410000000004</v>
      </c>
      <c r="F7811" t="s">
        <v>41</v>
      </c>
      <c r="G7811">
        <v>-117.5086</v>
      </c>
      <c r="H7811" s="1">
        <v>-2.1702169999999998E-6</v>
      </c>
      <c r="I7811">
        <v>134.59389999999999</v>
      </c>
      <c r="J7811">
        <v>-147.51300000000001</v>
      </c>
      <c r="K7811">
        <v>1.1102529999999999</v>
      </c>
      <c r="L7811">
        <v>137.18289999999999</v>
      </c>
      <c r="M7811">
        <v>0.99983719999999998</v>
      </c>
      <c r="N7811">
        <v>-1.36562E-2</v>
      </c>
      <c r="O7811">
        <v>-1.179945E-2</v>
      </c>
      <c r="P7811">
        <v>0.98478759999999999</v>
      </c>
      <c r="Q7811">
        <v>0.1567412</v>
      </c>
      <c r="R7811">
        <v>7.5005600000000006E-2</v>
      </c>
      <c r="S7811">
        <v>3.0870669999999998</v>
      </c>
      <c r="T7811">
        <v>-0.1130009</v>
      </c>
      <c r="U7811">
        <v>-0.2640381</v>
      </c>
      <c r="V7811">
        <v>-8.6393880000000006E-2</v>
      </c>
      <c r="W7811">
        <v>0.17027809999999999</v>
      </c>
      <c r="X7811">
        <v>0.98160150000000002</v>
      </c>
      <c r="Y7811">
        <v>7.3391699999999893E-2</v>
      </c>
      <c r="Z7811">
        <v>-1.5725520000000001E-3</v>
      </c>
      <c r="AA7811">
        <v>0.99730189999999996</v>
      </c>
      <c r="AB7811">
        <v>22</v>
      </c>
      <c r="AC7811">
        <v>30.0044</v>
      </c>
      <c r="AD7811">
        <v>-1.110255170217</v>
      </c>
      <c r="AE7811">
        <v>-2.5889999999999902</v>
      </c>
      <c r="AF7811">
        <v>2.2317181746367298</v>
      </c>
      <c r="AG7811">
        <v>-1.110255170217</v>
      </c>
      <c r="AH7811">
        <v>29.992099929041999</v>
      </c>
      <c r="AI7811">
        <v>92.1141820971377</v>
      </c>
      <c r="AJ7811">
        <v>85.744452134710102</v>
      </c>
      <c r="AK7811">
        <v>30.095502831945499</v>
      </c>
      <c r="AL7811">
        <v>80.196011424923</v>
      </c>
      <c r="AM7811">
        <v>95.029823544009602</v>
      </c>
      <c r="AN7811">
        <v>1.0000000193216501</v>
      </c>
    </row>
    <row r="7812" spans="1:40" x14ac:dyDescent="0.25">
      <c r="A7812" t="str">
        <f>"20190304155258199"</f>
        <v>20190304155258199</v>
      </c>
      <c r="B7812" t="str">
        <f>"1551685978195109"</f>
        <v>1551685978195109</v>
      </c>
      <c r="C7812" t="s">
        <v>40</v>
      </c>
      <c r="D7812">
        <v>4.8519220000000001</v>
      </c>
      <c r="E7812">
        <v>0.55422340000000003</v>
      </c>
      <c r="F7812" t="s">
        <v>41</v>
      </c>
      <c r="G7812">
        <v>-123.7169</v>
      </c>
      <c r="H7812" s="1">
        <v>-3.4362869999999999E-6</v>
      </c>
      <c r="I7812">
        <v>135.3399</v>
      </c>
      <c r="J7812">
        <v>-147.2911</v>
      </c>
      <c r="K7812">
        <v>1.110285</v>
      </c>
      <c r="L7812">
        <v>137.17920000000001</v>
      </c>
      <c r="M7812">
        <v>0.99982680000000002</v>
      </c>
      <c r="N7812">
        <v>-1.365333E-2</v>
      </c>
      <c r="O7812">
        <v>-1.265812E-2</v>
      </c>
      <c r="P7812">
        <v>0.98503989999999997</v>
      </c>
      <c r="Q7812">
        <v>0.15527539999999901</v>
      </c>
      <c r="R7812">
        <v>7.4739559999999997E-2</v>
      </c>
      <c r="S7812">
        <v>3.0874790000000001</v>
      </c>
      <c r="T7812">
        <v>-0.1440524</v>
      </c>
      <c r="U7812">
        <v>-0.23912050000000001</v>
      </c>
      <c r="V7812">
        <v>-8.6994790000000002E-2</v>
      </c>
      <c r="W7812">
        <v>0.1688035</v>
      </c>
      <c r="X7812">
        <v>0.98180310000000004</v>
      </c>
      <c r="Y7812">
        <v>6.4506110000000005E-2</v>
      </c>
      <c r="Z7812">
        <v>-1.5263449999999999E-3</v>
      </c>
      <c r="AA7812">
        <v>0.99791620000000003</v>
      </c>
      <c r="AB7812">
        <v>22</v>
      </c>
      <c r="AC7812">
        <v>23.574200000000001</v>
      </c>
      <c r="AD7812">
        <v>-1.110288436287</v>
      </c>
      <c r="AE7812">
        <v>-1.8392999999999999</v>
      </c>
      <c r="AF7812">
        <v>1.5373303340175799</v>
      </c>
      <c r="AG7812">
        <v>-1.110288436287</v>
      </c>
      <c r="AH7812">
        <v>23.543686936207799</v>
      </c>
      <c r="AI7812">
        <v>92.6942619692759</v>
      </c>
      <c r="AJ7812">
        <v>86.264065442396003</v>
      </c>
      <c r="AK7812">
        <v>23.619934790718698</v>
      </c>
      <c r="AL7812">
        <v>80.281740896879995</v>
      </c>
      <c r="AM7812">
        <v>95.063592453105102</v>
      </c>
      <c r="AN7812">
        <v>1.0000000211344999</v>
      </c>
    </row>
    <row r="7813" spans="1:40" x14ac:dyDescent="0.25">
      <c r="A7813" t="str">
        <f>"20190304155258222"</f>
        <v>20190304155258222</v>
      </c>
      <c r="B7813" t="str">
        <f>"1551685978214614"</f>
        <v>1551685978214614</v>
      </c>
      <c r="C7813" t="s">
        <v>40</v>
      </c>
      <c r="D7813">
        <v>4.81419</v>
      </c>
      <c r="E7813">
        <v>0.55291279999999998</v>
      </c>
      <c r="F7813" t="s">
        <v>41</v>
      </c>
      <c r="G7813">
        <v>-125.4151</v>
      </c>
      <c r="H7813" s="1">
        <v>-2.667412E-6</v>
      </c>
      <c r="I7813">
        <v>135.56739999999999</v>
      </c>
      <c r="J7813">
        <v>-147.07329999999999</v>
      </c>
      <c r="K7813">
        <v>1.110328</v>
      </c>
      <c r="L7813">
        <v>137.1755</v>
      </c>
      <c r="M7813">
        <v>0.9998165</v>
      </c>
      <c r="N7813">
        <v>-1.365046E-2</v>
      </c>
      <c r="O7813">
        <v>-1.34374E-2</v>
      </c>
      <c r="P7813">
        <v>0.98516029999999999</v>
      </c>
      <c r="Q7813">
        <v>0.15451719999999999</v>
      </c>
      <c r="R7813">
        <v>7.4724609999999997E-2</v>
      </c>
      <c r="S7813">
        <v>3.0875089999999998</v>
      </c>
      <c r="T7813">
        <v>-0.15670220000000001</v>
      </c>
      <c r="U7813">
        <v>-0.22747800000000001</v>
      </c>
      <c r="V7813">
        <v>-8.7766730000000001E-2</v>
      </c>
      <c r="W7813">
        <v>0.1680354</v>
      </c>
      <c r="X7813">
        <v>0.98186609999999996</v>
      </c>
      <c r="Y7813">
        <v>5.9980400000000003E-2</v>
      </c>
      <c r="Z7813">
        <v>-1.4319529999999999E-3</v>
      </c>
      <c r="AA7813">
        <v>0.99819849999999999</v>
      </c>
      <c r="AB7813">
        <v>22</v>
      </c>
      <c r="AC7813">
        <v>21.658199999999901</v>
      </c>
      <c r="AD7813">
        <v>-1.1103306674119999</v>
      </c>
      <c r="AE7813">
        <v>-1.6081000000000001</v>
      </c>
      <c r="AF7813">
        <v>1.31346462588637</v>
      </c>
      <c r="AG7813">
        <v>-1.1103306674119999</v>
      </c>
      <c r="AH7813">
        <v>21.621341047872399</v>
      </c>
      <c r="AI7813">
        <v>92.934354124357796</v>
      </c>
      <c r="AJ7813">
        <v>86.523637946310203</v>
      </c>
      <c r="AK7813">
        <v>21.689638360813301</v>
      </c>
      <c r="AL7813">
        <v>80.326387009796093</v>
      </c>
      <c r="AM7813">
        <v>95.107961040536594</v>
      </c>
      <c r="AN7813">
        <v>0.99999996643862998</v>
      </c>
    </row>
    <row r="7814" spans="1:40" x14ac:dyDescent="0.25">
      <c r="A7814" t="str">
        <f>"20190304155258244"</f>
        <v>20190304155258244</v>
      </c>
      <c r="B7814" t="str">
        <f>"1551685978235112"</f>
        <v>1551685978235112</v>
      </c>
      <c r="C7814" t="s">
        <v>40</v>
      </c>
      <c r="D7814">
        <v>4.7475040000000002</v>
      </c>
      <c r="E7814">
        <v>0.55193979999999998</v>
      </c>
      <c r="F7814" t="s">
        <v>41</v>
      </c>
      <c r="G7814">
        <v>-126.2702</v>
      </c>
      <c r="H7814" s="1">
        <v>-2.2937600000000001E-6</v>
      </c>
      <c r="I7814">
        <v>135.71350000000001</v>
      </c>
      <c r="J7814">
        <v>-146.85329999999999</v>
      </c>
      <c r="K7814">
        <v>1.1103730000000001</v>
      </c>
      <c r="L7814">
        <v>137.17169999999999</v>
      </c>
      <c r="M7814">
        <v>0.9998068</v>
      </c>
      <c r="N7814">
        <v>-1.3647619999999999E-2</v>
      </c>
      <c r="O7814">
        <v>-1.4150680000000001E-2</v>
      </c>
      <c r="P7814">
        <v>0.98524020000000001</v>
      </c>
      <c r="Q7814">
        <v>0.15418229999999999</v>
      </c>
      <c r="R7814">
        <v>7.4363460000000006E-2</v>
      </c>
      <c r="S7814">
        <v>3.087494</v>
      </c>
      <c r="T7814">
        <v>-0.1647892</v>
      </c>
      <c r="U7814">
        <v>-0.21698000000000001</v>
      </c>
      <c r="V7814">
        <v>-8.8128769999999995E-2</v>
      </c>
      <c r="W7814">
        <v>0.16768849999999999</v>
      </c>
      <c r="X7814">
        <v>0.98189300000000002</v>
      </c>
      <c r="Y7814">
        <v>5.5891549999999998E-2</v>
      </c>
      <c r="Z7814">
        <v>-1.3100130000000001E-3</v>
      </c>
      <c r="AA7814">
        <v>0.99843599999999999</v>
      </c>
      <c r="AB7814">
        <v>22</v>
      </c>
      <c r="AC7814">
        <v>20.583099999999899</v>
      </c>
      <c r="AD7814">
        <v>-1.11037529376</v>
      </c>
      <c r="AE7814">
        <v>-1.45819999999997</v>
      </c>
      <c r="AF7814">
        <v>1.16339323696723</v>
      </c>
      <c r="AG7814">
        <v>-1.11037529376</v>
      </c>
      <c r="AH7814">
        <v>20.542192473328601</v>
      </c>
      <c r="AI7814">
        <v>93.0890800922799</v>
      </c>
      <c r="AJ7814">
        <v>86.758554740744898</v>
      </c>
      <c r="AK7814">
        <v>20.605050078271901</v>
      </c>
      <c r="AL7814">
        <v>80.346549217867206</v>
      </c>
      <c r="AM7814">
        <v>95.128779595088702</v>
      </c>
      <c r="AN7814">
        <v>0.99999998829148096</v>
      </c>
    </row>
    <row r="7815" spans="1:40" x14ac:dyDescent="0.25">
      <c r="A7815" t="str">
        <f>"20190304155258270"</f>
        <v>20190304155258270</v>
      </c>
      <c r="B7815" t="str">
        <f>"1551685978264390"</f>
        <v>1551685978264390</v>
      </c>
      <c r="C7815" t="s">
        <v>40</v>
      </c>
      <c r="D7815">
        <v>4.8469319999999998</v>
      </c>
      <c r="E7815">
        <v>0.55065220000000004</v>
      </c>
      <c r="F7815" t="s">
        <v>41</v>
      </c>
      <c r="G7815">
        <v>-126.8857</v>
      </c>
      <c r="H7815" s="1">
        <v>-2.0586129999999998E-6</v>
      </c>
      <c r="I7815">
        <v>135.81</v>
      </c>
      <c r="J7815">
        <v>-146.61940000000001</v>
      </c>
      <c r="K7815">
        <v>1.1104270000000001</v>
      </c>
      <c r="L7815">
        <v>137.16749999999999</v>
      </c>
      <c r="M7815">
        <v>0.9997973</v>
      </c>
      <c r="N7815">
        <v>-1.3644409999999999E-2</v>
      </c>
      <c r="O7815">
        <v>-1.481624E-2</v>
      </c>
      <c r="P7815">
        <v>0.9852474</v>
      </c>
      <c r="Q7815">
        <v>0.1542799</v>
      </c>
      <c r="R7815">
        <v>7.4065389999999995E-2</v>
      </c>
      <c r="S7815">
        <v>3.0877080000000001</v>
      </c>
      <c r="T7815">
        <v>-0.17170360000000001</v>
      </c>
      <c r="U7815">
        <v>-0.21055599999999999</v>
      </c>
      <c r="V7815">
        <v>-8.8509089999999999E-2</v>
      </c>
      <c r="W7815">
        <v>0.16777030000000001</v>
      </c>
      <c r="X7815">
        <v>0.98184479999999996</v>
      </c>
      <c r="Y7815">
        <v>5.315404E-2</v>
      </c>
      <c r="Z7815">
        <v>-1.218128E-3</v>
      </c>
      <c r="AA7815">
        <v>0.99858559999999996</v>
      </c>
      <c r="AB7815">
        <v>22</v>
      </c>
      <c r="AC7815">
        <v>19.733699999999999</v>
      </c>
      <c r="AD7815">
        <v>-1.1104290586129999</v>
      </c>
      <c r="AE7815">
        <v>-1.3574999999999799</v>
      </c>
      <c r="AF7815">
        <v>1.06159895191197</v>
      </c>
      <c r="AG7815">
        <v>-1.1104290586129999</v>
      </c>
      <c r="AH7815">
        <v>19.689597081669799</v>
      </c>
      <c r="AI7815">
        <v>93.223204149459704</v>
      </c>
      <c r="AJ7815">
        <v>86.913786404569393</v>
      </c>
      <c r="AK7815">
        <v>19.749437416478798</v>
      </c>
      <c r="AL7815">
        <v>80.341794911872597</v>
      </c>
      <c r="AM7815">
        <v>95.151045555701998</v>
      </c>
      <c r="AN7815">
        <v>0.99999997193087797</v>
      </c>
    </row>
    <row r="7816" spans="1:40" x14ac:dyDescent="0.25">
      <c r="A7816" t="str">
        <f>"20190304155258289"</f>
        <v>20190304155258289</v>
      </c>
      <c r="B7816" t="str">
        <f>"1551685978284886"</f>
        <v>1551685978284886</v>
      </c>
      <c r="C7816" t="s">
        <v>40</v>
      </c>
      <c r="D7816">
        <v>4.8555669999999997</v>
      </c>
      <c r="E7816">
        <v>0.54996440000000002</v>
      </c>
      <c r="F7816" t="s">
        <v>41</v>
      </c>
      <c r="G7816">
        <v>-127.12350000000001</v>
      </c>
      <c r="H7816" s="1">
        <v>-1.95471E-6</v>
      </c>
      <c r="I7816">
        <v>135.8963</v>
      </c>
      <c r="J7816">
        <v>-146.4118</v>
      </c>
      <c r="K7816">
        <v>1.110487</v>
      </c>
      <c r="L7816">
        <v>137.16380000000001</v>
      </c>
      <c r="M7816">
        <v>0.99978979999999995</v>
      </c>
      <c r="N7816">
        <v>-1.364166E-2</v>
      </c>
      <c r="O7816">
        <v>-1.531924E-2</v>
      </c>
      <c r="P7816">
        <v>0.98525940000000001</v>
      </c>
      <c r="Q7816">
        <v>0.1541005</v>
      </c>
      <c r="R7816">
        <v>7.4278490000000003E-2</v>
      </c>
      <c r="S7816">
        <v>3.0875849999999998</v>
      </c>
      <c r="T7816">
        <v>-0.1758595</v>
      </c>
      <c r="U7816">
        <v>-0.20130919999999999</v>
      </c>
      <c r="V7816">
        <v>-8.9239600000000002E-2</v>
      </c>
      <c r="W7816">
        <v>0.16757620000000001</v>
      </c>
      <c r="X7816">
        <v>0.98181189999999996</v>
      </c>
      <c r="Y7816">
        <v>4.96804E-2</v>
      </c>
      <c r="Z7816">
        <v>-1.0896549999999999E-3</v>
      </c>
      <c r="AA7816">
        <v>0.9987646</v>
      </c>
      <c r="AB7816">
        <v>22</v>
      </c>
      <c r="AC7816">
        <v>19.2882999999999</v>
      </c>
      <c r="AD7816">
        <v>-1.1104889547100001</v>
      </c>
      <c r="AE7816">
        <v>-1.2675000000000101</v>
      </c>
      <c r="AF7816">
        <v>0.96864476829152601</v>
      </c>
      <c r="AG7816">
        <v>-1.1104889547100001</v>
      </c>
      <c r="AH7816">
        <v>19.2419485915077</v>
      </c>
      <c r="AI7816">
        <v>93.298815200000007</v>
      </c>
      <c r="AJ7816">
        <v>87.118148042152896</v>
      </c>
      <c r="AK7816">
        <v>19.298291219791899</v>
      </c>
      <c r="AL7816">
        <v>80.353076470614994</v>
      </c>
      <c r="AM7816">
        <v>95.193501266283405</v>
      </c>
      <c r="AN7816">
        <v>1.0000000479980999</v>
      </c>
    </row>
    <row r="7817" spans="1:40" x14ac:dyDescent="0.25">
      <c r="A7817" t="str">
        <f>"20190304155258312"</f>
        <v>20190304155258312</v>
      </c>
      <c r="B7817" t="str">
        <f>"1551685978304406"</f>
        <v>1551685978304406</v>
      </c>
      <c r="C7817" t="s">
        <v>40</v>
      </c>
      <c r="D7817">
        <v>4.8068479999999996</v>
      </c>
      <c r="E7817">
        <v>0.54928659999999996</v>
      </c>
      <c r="F7817" t="s">
        <v>41</v>
      </c>
      <c r="G7817">
        <v>-127.2257</v>
      </c>
      <c r="H7817" s="1">
        <v>-1.906213E-6</v>
      </c>
      <c r="I7817">
        <v>135.94799999999901</v>
      </c>
      <c r="J7817">
        <v>-146.19569999999999</v>
      </c>
      <c r="K7817">
        <v>1.1105560000000001</v>
      </c>
      <c r="L7817">
        <v>137.15979999999999</v>
      </c>
      <c r="M7817">
        <v>0.99978259999999997</v>
      </c>
      <c r="N7817">
        <v>-1.3638900000000001E-2</v>
      </c>
      <c r="O7817">
        <v>-1.577317E-2</v>
      </c>
      <c r="P7817">
        <v>0.98526599999999998</v>
      </c>
      <c r="Q7817">
        <v>0.15407650000000001</v>
      </c>
      <c r="R7817">
        <v>7.423884E-2</v>
      </c>
      <c r="S7817">
        <v>3.0875849999999998</v>
      </c>
      <c r="T7817">
        <v>-0.17870839999999999</v>
      </c>
      <c r="U7817">
        <v>-0.19564819999999999</v>
      </c>
      <c r="V7817">
        <v>-8.9668570000000003E-2</v>
      </c>
      <c r="W7817">
        <v>0.16753760000000001</v>
      </c>
      <c r="X7817">
        <v>0.98177930000000002</v>
      </c>
      <c r="Y7817">
        <v>4.7405940000000001E-2</v>
      </c>
      <c r="Z7817">
        <v>-9.9704900000000007E-4</v>
      </c>
      <c r="AA7817">
        <v>0.99887519999999996</v>
      </c>
      <c r="AB7817">
        <v>22</v>
      </c>
      <c r="AC7817">
        <v>18.969999999999899</v>
      </c>
      <c r="AD7817">
        <v>-1.11055790621299</v>
      </c>
      <c r="AE7817">
        <v>-1.21180000000001</v>
      </c>
      <c r="AF7817">
        <v>0.90930060961641102</v>
      </c>
      <c r="AG7817">
        <v>-1.11055790621299</v>
      </c>
      <c r="AH7817">
        <v>18.922167584213099</v>
      </c>
      <c r="AI7817">
        <v>93.355021546336403</v>
      </c>
      <c r="AJ7817">
        <v>87.248780352323095</v>
      </c>
      <c r="AK7817">
        <v>18.9765274101124</v>
      </c>
      <c r="AL7817">
        <v>80.355318818385001</v>
      </c>
      <c r="AM7817">
        <v>95.218500967495899</v>
      </c>
      <c r="AN7817">
        <v>0.99999994688404603</v>
      </c>
    </row>
    <row r="7818" spans="1:40" x14ac:dyDescent="0.25">
      <c r="A7818" t="str">
        <f>"20190304155258334"</f>
        <v>20190304155258334</v>
      </c>
      <c r="B7818" t="str">
        <f>"1551685978324902"</f>
        <v>1551685978324902</v>
      </c>
      <c r="C7818" t="s">
        <v>40</v>
      </c>
      <c r="D7818">
        <v>4.8649449999999996</v>
      </c>
      <c r="E7818">
        <v>0.54868729999999999</v>
      </c>
      <c r="F7818" t="s">
        <v>41</v>
      </c>
      <c r="G7818">
        <v>-127.3052</v>
      </c>
      <c r="H7818" s="1">
        <v>-1.8668690000000001E-6</v>
      </c>
      <c r="I7818">
        <v>135.99420000000001</v>
      </c>
      <c r="J7818">
        <v>-145.97810000000001</v>
      </c>
      <c r="K7818">
        <v>1.1106229999999999</v>
      </c>
      <c r="L7818">
        <v>137.1559</v>
      </c>
      <c r="M7818">
        <v>0.99977669999999996</v>
      </c>
      <c r="N7818">
        <v>-1.363616E-2</v>
      </c>
      <c r="O7818">
        <v>-1.6154200000000001E-2</v>
      </c>
      <c r="P7818">
        <v>0.98529710000000004</v>
      </c>
      <c r="Q7818">
        <v>0.1539064</v>
      </c>
      <c r="R7818">
        <v>7.4180380000000004E-2</v>
      </c>
      <c r="S7818">
        <v>3.0875849999999998</v>
      </c>
      <c r="T7818">
        <v>-0.18151590000000001</v>
      </c>
      <c r="U7818">
        <v>-0.1905212</v>
      </c>
      <c r="V7818">
        <v>-9.0006619999999996E-2</v>
      </c>
      <c r="W7818">
        <v>0.167353799999999</v>
      </c>
      <c r="X7818">
        <v>0.98177979999999998</v>
      </c>
      <c r="Y7818">
        <v>4.5375539999999999E-2</v>
      </c>
      <c r="Z7818">
        <v>-9.1353759999999995E-4</v>
      </c>
      <c r="AA7818">
        <v>0.99896960000000001</v>
      </c>
      <c r="AB7818">
        <v>22</v>
      </c>
      <c r="AC7818">
        <v>18.672899999999998</v>
      </c>
      <c r="AD7818">
        <v>-1.110624866869</v>
      </c>
      <c r="AE7818">
        <v>-1.16169999999999</v>
      </c>
      <c r="AF7818">
        <v>0.85685508675342104</v>
      </c>
      <c r="AG7818">
        <v>-1.110624866869</v>
      </c>
      <c r="AH7818">
        <v>18.623601822094301</v>
      </c>
      <c r="AI7818">
        <v>93.409213553305307</v>
      </c>
      <c r="AJ7818">
        <v>87.365730696569798</v>
      </c>
      <c r="AK7818">
        <v>18.6763549190552</v>
      </c>
      <c r="AL7818">
        <v>80.366001412736196</v>
      </c>
      <c r="AM7818">
        <v>95.238062800015101</v>
      </c>
      <c r="AN7818">
        <v>1.00000003085315</v>
      </c>
    </row>
    <row r="7819" spans="1:40" x14ac:dyDescent="0.25">
      <c r="A7819" t="str">
        <f>"20190304155258356"</f>
        <v>20190304155258356</v>
      </c>
      <c r="B7819" t="str">
        <f>"1551685978344422"</f>
        <v>1551685978344422</v>
      </c>
      <c r="C7819" t="s">
        <v>40</v>
      </c>
      <c r="D7819">
        <v>4.7990820000000003</v>
      </c>
      <c r="E7819">
        <v>0.54815380000000002</v>
      </c>
      <c r="F7819" t="s">
        <v>41</v>
      </c>
      <c r="G7819">
        <v>-127.3785</v>
      </c>
      <c r="H7819" s="1">
        <v>-1.831815E-6</v>
      </c>
      <c r="I7819">
        <v>136.03210000000001</v>
      </c>
      <c r="J7819">
        <v>-145.76730000000001</v>
      </c>
      <c r="K7819">
        <v>1.1106819999999999</v>
      </c>
      <c r="L7819">
        <v>137.15209999999999</v>
      </c>
      <c r="M7819">
        <v>0.99977179999999999</v>
      </c>
      <c r="N7819">
        <v>-1.363347E-2</v>
      </c>
      <c r="O7819">
        <v>-1.6441330000000001E-2</v>
      </c>
      <c r="P7819">
        <v>0.98522500000000002</v>
      </c>
      <c r="Q7819">
        <v>0.1542501</v>
      </c>
      <c r="R7819">
        <v>7.4419639999999995E-2</v>
      </c>
      <c r="S7819">
        <v>3.0876160000000001</v>
      </c>
      <c r="T7819">
        <v>-0.1843687</v>
      </c>
      <c r="U7819">
        <v>-0.186554</v>
      </c>
      <c r="V7819">
        <v>-9.0547340000000004E-2</v>
      </c>
      <c r="W7819">
        <v>0.16768239999999901</v>
      </c>
      <c r="X7819">
        <v>0.98167400000000005</v>
      </c>
      <c r="Y7819">
        <v>4.3810799999999997E-2</v>
      </c>
      <c r="Z7819">
        <v>-8.4893939999999997E-4</v>
      </c>
      <c r="AA7819">
        <v>0.99903949999999997</v>
      </c>
      <c r="AB7819">
        <v>22</v>
      </c>
      <c r="AC7819">
        <v>18.3888</v>
      </c>
      <c r="AD7819">
        <v>-1.1106838318150001</v>
      </c>
      <c r="AE7819">
        <v>-1.1199999999999699</v>
      </c>
      <c r="AF7819">
        <v>0.81452359732922697</v>
      </c>
      <c r="AG7819">
        <v>-1.1106838318150001</v>
      </c>
      <c r="AH7819">
        <v>18.3380769473989</v>
      </c>
      <c r="AI7819">
        <v>93.462598547514403</v>
      </c>
      <c r="AJ7819">
        <v>87.456761126427196</v>
      </c>
      <c r="AK7819">
        <v>18.389729019036299</v>
      </c>
      <c r="AL7819">
        <v>80.346904101327794</v>
      </c>
      <c r="AM7819">
        <v>95.269918860399201</v>
      </c>
      <c r="AN7819">
        <v>1.00000002516341</v>
      </c>
    </row>
    <row r="7820" spans="1:40" x14ac:dyDescent="0.25">
      <c r="A7820" t="str">
        <f>"20190304155258379"</f>
        <v>20190304155258379</v>
      </c>
      <c r="B7820" t="str">
        <f>"1551685978374427"</f>
        <v>1551685978374427</v>
      </c>
      <c r="C7820" t="s">
        <v>40</v>
      </c>
      <c r="D7820">
        <v>4.766667</v>
      </c>
      <c r="E7820">
        <v>0.54731149999999995</v>
      </c>
      <c r="F7820" t="s">
        <v>41</v>
      </c>
      <c r="G7820">
        <v>-127.2987</v>
      </c>
      <c r="H7820" s="1">
        <v>-1.8496489999999999E-6</v>
      </c>
      <c r="I7820">
        <v>136.06710000000001</v>
      </c>
      <c r="J7820">
        <v>-145.54660000000001</v>
      </c>
      <c r="K7820">
        <v>1.110744</v>
      </c>
      <c r="L7820">
        <v>137.1482</v>
      </c>
      <c r="M7820">
        <v>0.99976860000000001</v>
      </c>
      <c r="N7820">
        <v>-1.3630740000000001E-2</v>
      </c>
      <c r="O7820">
        <v>-1.664873E-2</v>
      </c>
      <c r="P7820">
        <v>0.98515870000000005</v>
      </c>
      <c r="Q7820">
        <v>0.15445809999999999</v>
      </c>
      <c r="R7820">
        <v>7.4869889999999995E-2</v>
      </c>
      <c r="S7820">
        <v>3.0877690000000002</v>
      </c>
      <c r="T7820">
        <v>-0.1856951</v>
      </c>
      <c r="U7820">
        <v>-0.18139649999999999</v>
      </c>
      <c r="V7820">
        <v>-9.1223490000000004E-2</v>
      </c>
      <c r="W7820">
        <v>0.16787469999999999</v>
      </c>
      <c r="X7820">
        <v>0.98157850000000002</v>
      </c>
      <c r="Y7820">
        <v>4.1941150000000003E-2</v>
      </c>
      <c r="Z7820">
        <v>-7.7265709999999998E-4</v>
      </c>
      <c r="AA7820">
        <v>0.9991198</v>
      </c>
      <c r="AB7820">
        <v>22</v>
      </c>
      <c r="AC7820">
        <v>18.247900000000001</v>
      </c>
      <c r="AD7820">
        <v>-1.1107458496489999</v>
      </c>
      <c r="AE7820">
        <v>-1.08109999999999</v>
      </c>
      <c r="AF7820">
        <v>0.77425888313843405</v>
      </c>
      <c r="AG7820">
        <v>-1.1107458496489999</v>
      </c>
      <c r="AH7820">
        <v>18.196187536749601</v>
      </c>
      <c r="AI7820">
        <v>93.490008952771205</v>
      </c>
      <c r="AJ7820">
        <v>87.563499382440398</v>
      </c>
      <c r="AK7820">
        <v>18.246492102132802</v>
      </c>
      <c r="AL7820">
        <v>80.335727408321603</v>
      </c>
      <c r="AM7820">
        <v>95.309560803825605</v>
      </c>
      <c r="AN7820">
        <v>0.99999999584506005</v>
      </c>
    </row>
    <row r="7821" spans="1:40" x14ac:dyDescent="0.25">
      <c r="A7821" t="str">
        <f>"20190304155258401"</f>
        <v>20190304155258401</v>
      </c>
      <c r="B7821" t="str">
        <f>"1551685978394923"</f>
        <v>1551685978394923</v>
      </c>
      <c r="C7821" t="s">
        <v>40</v>
      </c>
      <c r="D7821">
        <v>4.7592980000000003</v>
      </c>
      <c r="E7821">
        <v>0.54727969999999904</v>
      </c>
      <c r="F7821" t="s">
        <v>41</v>
      </c>
      <c r="G7821">
        <v>-127.3155</v>
      </c>
      <c r="H7821" s="1">
        <v>-1.8271770000000001E-6</v>
      </c>
      <c r="I7821">
        <v>136.1301</v>
      </c>
      <c r="J7821">
        <v>-145.32810000000001</v>
      </c>
      <c r="K7821">
        <v>1.110806</v>
      </c>
      <c r="L7821">
        <v>137.14429999999999</v>
      </c>
      <c r="M7821">
        <v>0.99976679999999996</v>
      </c>
      <c r="N7821">
        <v>-1.362819E-2</v>
      </c>
      <c r="O7821">
        <v>-1.676215E-2</v>
      </c>
      <c r="P7821">
        <v>0.98525320000000005</v>
      </c>
      <c r="Q7821">
        <v>0.15366859999999999</v>
      </c>
      <c r="R7821">
        <v>7.5249369999999996E-2</v>
      </c>
      <c r="S7821">
        <v>3.087799</v>
      </c>
      <c r="T7821">
        <v>-0.1881264</v>
      </c>
      <c r="U7821">
        <v>-0.1724243</v>
      </c>
      <c r="V7821">
        <v>-9.1740279999999993E-2</v>
      </c>
      <c r="W7821">
        <v>0.16707079999999999</v>
      </c>
      <c r="X7821">
        <v>0.98166750000000003</v>
      </c>
      <c r="Y7821">
        <v>3.8938729999999998E-2</v>
      </c>
      <c r="Z7821">
        <v>-6.5880589999999905E-4</v>
      </c>
      <c r="AA7821">
        <v>0.99924139999999995</v>
      </c>
      <c r="AB7821">
        <v>22</v>
      </c>
      <c r="AC7821">
        <v>18.012599999999999</v>
      </c>
      <c r="AD7821">
        <v>-1.1108078271770001</v>
      </c>
      <c r="AE7821">
        <v>-1.01419999999998</v>
      </c>
      <c r="AF7821">
        <v>0.70941023830554695</v>
      </c>
      <c r="AG7821">
        <v>-1.1108078271770001</v>
      </c>
      <c r="AH7821">
        <v>17.958988608124599</v>
      </c>
      <c r="AI7821">
        <v>93.536625427762203</v>
      </c>
      <c r="AJ7821">
        <v>87.737896490790405</v>
      </c>
      <c r="AK7821">
        <v>18.007288211773599</v>
      </c>
      <c r="AL7821">
        <v>80.382447423573197</v>
      </c>
      <c r="AM7821">
        <v>95.338985332624702</v>
      </c>
      <c r="AN7821">
        <v>1.00000000587168</v>
      </c>
    </row>
    <row r="7822" spans="1:40" x14ac:dyDescent="0.25">
      <c r="A7822" t="str">
        <f>"20190304155258424"</f>
        <v>20190304155258424</v>
      </c>
      <c r="B7822" t="str">
        <f>"1551685978414443"</f>
        <v>1551685978414443</v>
      </c>
      <c r="C7822" t="s">
        <v>40</v>
      </c>
      <c r="D7822">
        <v>5.3676159999999999</v>
      </c>
      <c r="E7822">
        <v>0.56889619999999996</v>
      </c>
      <c r="F7822" t="s">
        <v>41</v>
      </c>
      <c r="G7822">
        <v>-127.5609</v>
      </c>
      <c r="H7822" s="1">
        <v>-1.734445E-6</v>
      </c>
      <c r="I7822">
        <v>136.16480000000001</v>
      </c>
      <c r="J7822">
        <v>-145.1105</v>
      </c>
      <c r="K7822">
        <v>1.110859</v>
      </c>
      <c r="L7822">
        <v>137.1405</v>
      </c>
      <c r="M7822">
        <v>0.99976620000000005</v>
      </c>
      <c r="N7822">
        <v>-1.3625719999999999E-2</v>
      </c>
      <c r="O7822">
        <v>-1.6795529999999999E-2</v>
      </c>
      <c r="P7822">
        <v>0.98521800000000004</v>
      </c>
      <c r="Q7822">
        <v>0.1535484</v>
      </c>
      <c r="R7822">
        <v>7.5947390000000004E-2</v>
      </c>
      <c r="S7822">
        <v>3.0880130000000001</v>
      </c>
      <c r="T7822">
        <v>-0.19306290000000001</v>
      </c>
      <c r="U7822">
        <v>-0.17024230000000001</v>
      </c>
      <c r="V7822">
        <v>-9.2493229999999996E-2</v>
      </c>
      <c r="W7822">
        <v>0.1669349</v>
      </c>
      <c r="X7822">
        <v>0.98162000000000005</v>
      </c>
      <c r="Y7822">
        <v>3.8196460000000002E-2</v>
      </c>
      <c r="Z7822">
        <v>-6.331679E-4</v>
      </c>
      <c r="AA7822">
        <v>0.99926999999999999</v>
      </c>
      <c r="AB7822">
        <v>22</v>
      </c>
      <c r="AC7822">
        <v>17.549599999999899</v>
      </c>
      <c r="AD7822">
        <v>-1.1108607344449899</v>
      </c>
      <c r="AE7822">
        <v>-0.97569999999998902</v>
      </c>
      <c r="AF7822">
        <v>0.67807173272549703</v>
      </c>
      <c r="AG7822">
        <v>-1.1108607344449899</v>
      </c>
      <c r="AH7822">
        <v>17.493637558740801</v>
      </c>
      <c r="AI7822">
        <v>93.630732639923295</v>
      </c>
      <c r="AJ7822">
        <v>87.780266726510305</v>
      </c>
      <c r="AK7822">
        <v>17.541982438784899</v>
      </c>
      <c r="AL7822">
        <v>80.390345172670493</v>
      </c>
      <c r="AM7822">
        <v>95.382807177192802</v>
      </c>
      <c r="AN7822">
        <v>1.0000000414169199</v>
      </c>
    </row>
    <row r="7823" spans="1:40" x14ac:dyDescent="0.25">
      <c r="A7823" t="str">
        <f>"20190304155258446"</f>
        <v>20190304155258446</v>
      </c>
      <c r="B7823" t="str">
        <f>"1551685978434939"</f>
        <v>1551685978434939</v>
      </c>
      <c r="C7823" t="s">
        <v>40</v>
      </c>
      <c r="D7823">
        <v>5.1924130000000002</v>
      </c>
      <c r="E7823">
        <v>0.61307440000000002</v>
      </c>
      <c r="F7823" t="s">
        <v>52</v>
      </c>
      <c r="G7823">
        <v>5.1067809999999998</v>
      </c>
      <c r="H7823">
        <v>-0.1</v>
      </c>
      <c r="I7823">
        <v>120.7735</v>
      </c>
      <c r="J7823">
        <v>-144.892</v>
      </c>
      <c r="K7823">
        <v>1.1109</v>
      </c>
      <c r="L7823">
        <v>137.1369</v>
      </c>
      <c r="M7823">
        <v>0.99976690000000001</v>
      </c>
      <c r="N7823">
        <v>-1.362327E-2</v>
      </c>
      <c r="O7823">
        <v>-1.6753190000000001E-2</v>
      </c>
      <c r="P7823">
        <v>0.98511130000000002</v>
      </c>
      <c r="Q7823">
        <v>0.15397549999999999</v>
      </c>
      <c r="R7823">
        <v>7.6469739999999994E-2</v>
      </c>
      <c r="S7823">
        <v>3.0747070000000001</v>
      </c>
      <c r="T7823">
        <v>-2.478433E-2</v>
      </c>
      <c r="U7823">
        <v>-0.33500669999999999</v>
      </c>
      <c r="V7823">
        <v>-9.2993560000000003E-2</v>
      </c>
      <c r="W7823">
        <v>0.16734679999999999</v>
      </c>
      <c r="X7823">
        <v>0.98150250000000006</v>
      </c>
      <c r="Y7823">
        <v>9.1635540000000001E-2</v>
      </c>
      <c r="Z7823">
        <v>-1.08734E-3</v>
      </c>
      <c r="AA7823">
        <v>0.99579200000000001</v>
      </c>
      <c r="AB7823">
        <v>22</v>
      </c>
      <c r="AC7823">
        <v>149.99878100000001</v>
      </c>
      <c r="AD7823">
        <v>-1.2109000000000001</v>
      </c>
      <c r="AE7823">
        <v>-16.363399999999999</v>
      </c>
      <c r="AF7823">
        <v>13.8470201190966</v>
      </c>
      <c r="AG7823">
        <v>-1.2109000000000001</v>
      </c>
      <c r="AH7823">
        <v>150.24221417603999</v>
      </c>
      <c r="AI7823">
        <v>90.459825321858602</v>
      </c>
      <c r="AJ7823">
        <v>84.734230991316295</v>
      </c>
      <c r="AK7823">
        <v>150.88382671945899</v>
      </c>
      <c r="AL7823">
        <v>80.366407488207699</v>
      </c>
      <c r="AM7823">
        <v>95.412396375162203</v>
      </c>
      <c r="AN7823">
        <v>0.99999995558898003</v>
      </c>
    </row>
    <row r="7824" spans="1:40" x14ac:dyDescent="0.25">
      <c r="A7824" t="str">
        <f>"20190304155258471"</f>
        <v>20190304155258471</v>
      </c>
      <c r="B7824" t="str">
        <f>"1551685978465195"</f>
        <v>1551685978465195</v>
      </c>
      <c r="C7824" t="s">
        <v>40</v>
      </c>
      <c r="D7824">
        <v>5.2074509999999998</v>
      </c>
      <c r="E7824">
        <v>0.5837232</v>
      </c>
      <c r="F7824" t="s">
        <v>51</v>
      </c>
      <c r="G7824">
        <v>-144.17150000000001</v>
      </c>
      <c r="H7824">
        <v>0.99994700000000003</v>
      </c>
      <c r="I7824">
        <v>136.97799999999901</v>
      </c>
      <c r="J7824">
        <v>-144.66040000000001</v>
      </c>
      <c r="K7824">
        <v>1.1109370000000001</v>
      </c>
      <c r="L7824">
        <v>137.13310000000001</v>
      </c>
      <c r="M7824">
        <v>0.99976920000000002</v>
      </c>
      <c r="N7824">
        <v>-1.3620709999999999E-2</v>
      </c>
      <c r="O7824">
        <v>-1.661545E-2</v>
      </c>
      <c r="P7824">
        <v>0.9851664</v>
      </c>
      <c r="Q7824">
        <v>0.15356539999999999</v>
      </c>
      <c r="R7824">
        <v>7.6581469999999999E-2</v>
      </c>
      <c r="S7824">
        <v>3.1760860000000002</v>
      </c>
      <c r="T7824">
        <v>-0.48921940000000003</v>
      </c>
      <c r="U7824">
        <v>-0.69923400000000002</v>
      </c>
      <c r="V7824">
        <v>-9.2989080000000002E-2</v>
      </c>
      <c r="W7824">
        <v>0.16692460000000001</v>
      </c>
      <c r="X7824">
        <v>0.98157490000000003</v>
      </c>
      <c r="Y7824">
        <v>0.1964902</v>
      </c>
      <c r="Z7824">
        <v>-1.3940569999999999E-2</v>
      </c>
      <c r="AA7824">
        <v>0.98040669999999996</v>
      </c>
      <c r="AB7824">
        <v>22</v>
      </c>
      <c r="AC7824">
        <v>0.488900000000001</v>
      </c>
      <c r="AD7824">
        <v>-0.11099000000000001</v>
      </c>
      <c r="AE7824">
        <v>-0.15510000000003199</v>
      </c>
      <c r="AF7824">
        <v>0.140381140220845</v>
      </c>
      <c r="AG7824">
        <v>-0.11099000000000001</v>
      </c>
      <c r="AH7824">
        <v>0.46942862600844998</v>
      </c>
      <c r="AI7824">
        <v>102.763484443774</v>
      </c>
      <c r="AJ7824">
        <v>73.350872477692107</v>
      </c>
      <c r="AK7824">
        <v>0.50238319990410296</v>
      </c>
      <c r="AL7824">
        <v>80.390943681399307</v>
      </c>
      <c r="AM7824">
        <v>95.411740355357296</v>
      </c>
      <c r="AN7824">
        <v>1.0000000376972</v>
      </c>
    </row>
    <row r="7825" spans="1:40" x14ac:dyDescent="0.25">
      <c r="A7825" t="str">
        <f>"20190304155258493"</f>
        <v>20190304155258493</v>
      </c>
      <c r="B7825" t="str">
        <f>"1551685978484716"</f>
        <v>1551685978484716</v>
      </c>
      <c r="C7825" t="s">
        <v>40</v>
      </c>
      <c r="D7825">
        <v>5.411448</v>
      </c>
      <c r="E7825">
        <v>0.57754090000000002</v>
      </c>
      <c r="F7825" t="s">
        <v>51</v>
      </c>
      <c r="G7825">
        <v>-143.7997</v>
      </c>
      <c r="H7825">
        <v>0.97216239999999998</v>
      </c>
      <c r="I7825">
        <v>137.0061</v>
      </c>
      <c r="J7825">
        <v>-144.44</v>
      </c>
      <c r="K7825">
        <v>1.110968</v>
      </c>
      <c r="L7825">
        <v>137.12960000000001</v>
      </c>
      <c r="M7825">
        <v>0.99977280000000002</v>
      </c>
      <c r="N7825">
        <v>-1.3618369999999999E-2</v>
      </c>
      <c r="O7825">
        <v>-1.6405599999999999E-2</v>
      </c>
      <c r="P7825">
        <v>0.98530169999999995</v>
      </c>
      <c r="Q7825">
        <v>0.15310370000000001</v>
      </c>
      <c r="R7825">
        <v>7.5761419999999996E-2</v>
      </c>
      <c r="S7825">
        <v>3.160812</v>
      </c>
      <c r="T7825">
        <v>-0.50970280000000001</v>
      </c>
      <c r="U7825">
        <v>-0.46575929999999999</v>
      </c>
      <c r="V7825">
        <v>-9.1980790000000007E-2</v>
      </c>
      <c r="W7825">
        <v>0.16645389999999999</v>
      </c>
      <c r="X7825">
        <v>0.98174980000000001</v>
      </c>
      <c r="Y7825">
        <v>0.12794469999999999</v>
      </c>
      <c r="Z7825">
        <v>-8.6848429999999994E-3</v>
      </c>
      <c r="AA7825">
        <v>0.99174329999999999</v>
      </c>
      <c r="AB7825">
        <v>22</v>
      </c>
      <c r="AC7825">
        <v>0.64029999999999598</v>
      </c>
      <c r="AD7825">
        <v>-0.138805599999999</v>
      </c>
      <c r="AE7825">
        <v>-0.12350000000000699</v>
      </c>
      <c r="AF7825">
        <v>0.108080871270925</v>
      </c>
      <c r="AG7825">
        <v>-0.138805599999999</v>
      </c>
      <c r="AH7825">
        <v>0.61440219791058803</v>
      </c>
      <c r="AI7825">
        <v>102.54415342726</v>
      </c>
      <c r="AJ7825">
        <v>80.023047590951705</v>
      </c>
      <c r="AK7825">
        <v>0.63909195748609104</v>
      </c>
      <c r="AL7825">
        <v>80.418295281002202</v>
      </c>
      <c r="AM7825">
        <v>95.352454904518297</v>
      </c>
      <c r="AN7825">
        <v>1.00000001817713</v>
      </c>
    </row>
    <row r="7826" spans="1:40" x14ac:dyDescent="0.25">
      <c r="A7826" t="str">
        <f>"20190304155258514"</f>
        <v>20190304155258514</v>
      </c>
      <c r="B7826" t="str">
        <f>"1551685978505211"</f>
        <v>1551685978505211</v>
      </c>
      <c r="C7826" t="s">
        <v>40</v>
      </c>
      <c r="D7826">
        <v>5.3349489999999999</v>
      </c>
      <c r="E7826">
        <v>0.57579150000000001</v>
      </c>
      <c r="F7826" t="s">
        <v>51</v>
      </c>
      <c r="G7826">
        <v>-143.6079</v>
      </c>
      <c r="H7826">
        <v>0.9710647</v>
      </c>
      <c r="I7826">
        <v>137.0189</v>
      </c>
      <c r="J7826">
        <v>-144.23509999999999</v>
      </c>
      <c r="K7826">
        <v>1.110989</v>
      </c>
      <c r="L7826">
        <v>137.12649999999999</v>
      </c>
      <c r="M7826">
        <v>0.99977680000000002</v>
      </c>
      <c r="N7826">
        <v>-1.361622E-2</v>
      </c>
      <c r="O7826">
        <v>-1.6162780000000002E-2</v>
      </c>
      <c r="P7826">
        <v>0.98545939999999999</v>
      </c>
      <c r="Q7826">
        <v>0.15222559999999999</v>
      </c>
      <c r="R7826">
        <v>7.5482140000000003E-2</v>
      </c>
      <c r="S7826">
        <v>3.159637</v>
      </c>
      <c r="T7826">
        <v>-0.53128089999999994</v>
      </c>
      <c r="U7826">
        <v>-0.42034909999999998</v>
      </c>
      <c r="V7826">
        <v>-9.1476340000000003E-2</v>
      </c>
      <c r="W7826">
        <v>0.16557040000000001</v>
      </c>
      <c r="X7826">
        <v>0.98194630000000005</v>
      </c>
      <c r="Y7826">
        <v>0.1143156</v>
      </c>
      <c r="Z7826">
        <v>-7.8218060000000006E-3</v>
      </c>
      <c r="AA7826">
        <v>0.99341369999999896</v>
      </c>
      <c r="AB7826">
        <v>22</v>
      </c>
      <c r="AC7826">
        <v>0.62719999999998699</v>
      </c>
      <c r="AD7826">
        <v>-0.1399243</v>
      </c>
      <c r="AE7826">
        <v>-0.10759999999999</v>
      </c>
      <c r="AF7826">
        <v>9.2953605500768893E-2</v>
      </c>
      <c r="AG7826">
        <v>-0.1399243</v>
      </c>
      <c r="AH7826">
        <v>0.59985563107457296</v>
      </c>
      <c r="AI7826">
        <v>102.98062919435</v>
      </c>
      <c r="AJ7826">
        <v>81.191507243108703</v>
      </c>
      <c r="AK7826">
        <v>0.62293335168215003</v>
      </c>
      <c r="AL7826">
        <v>80.469628310250997</v>
      </c>
      <c r="AM7826">
        <v>95.322210408445002</v>
      </c>
      <c r="AN7826">
        <v>1.0000000071098201</v>
      </c>
    </row>
    <row r="7827" spans="1:40" x14ac:dyDescent="0.25">
      <c r="A7827" t="str">
        <f>"20190304155258535"</f>
        <v>20190304155258535</v>
      </c>
      <c r="B7827" t="str">
        <f>"1551685978524732"</f>
        <v>1551685978524732</v>
      </c>
      <c r="C7827" t="s">
        <v>40</v>
      </c>
      <c r="D7827">
        <v>5.0122989999999996</v>
      </c>
      <c r="E7827">
        <v>0.57794419999999902</v>
      </c>
      <c r="F7827" t="s">
        <v>51</v>
      </c>
      <c r="G7827">
        <v>-143.41640000000001</v>
      </c>
      <c r="H7827">
        <v>0.9699816</v>
      </c>
      <c r="I7827">
        <v>137.0205</v>
      </c>
      <c r="J7827">
        <v>-144.0369</v>
      </c>
      <c r="K7827">
        <v>1.1110120000000001</v>
      </c>
      <c r="L7827">
        <v>137.12360000000001</v>
      </c>
      <c r="M7827">
        <v>0.99978120000000004</v>
      </c>
      <c r="N7827">
        <v>-1.361411E-2</v>
      </c>
      <c r="O7827">
        <v>-1.589374E-2</v>
      </c>
      <c r="P7827">
        <v>0.98563219999999996</v>
      </c>
      <c r="Q7827">
        <v>0.1513149</v>
      </c>
      <c r="R7827">
        <v>7.505365E-2</v>
      </c>
      <c r="S7827">
        <v>3.159637</v>
      </c>
      <c r="T7827">
        <v>-0.54425970000000001</v>
      </c>
      <c r="U7827">
        <v>-0.40859990000000002</v>
      </c>
      <c r="V7827">
        <v>-9.0793680000000002E-2</v>
      </c>
      <c r="W7827">
        <v>0.16465569999999999</v>
      </c>
      <c r="X7827">
        <v>0.98216340000000002</v>
      </c>
      <c r="Y7827">
        <v>0.1109289</v>
      </c>
      <c r="Z7827">
        <v>-7.7179630000000004E-3</v>
      </c>
      <c r="AA7827">
        <v>0.99379839999999997</v>
      </c>
      <c r="AB7827">
        <v>22</v>
      </c>
      <c r="AC7827">
        <v>0.62049999999999195</v>
      </c>
      <c r="AD7827">
        <v>-0.1410304</v>
      </c>
      <c r="AE7827">
        <v>-0.103100000000011</v>
      </c>
      <c r="AF7827">
        <v>8.8761879953579398E-2</v>
      </c>
      <c r="AG7827">
        <v>-0.1410304</v>
      </c>
      <c r="AH7827">
        <v>0.59228581413624803</v>
      </c>
      <c r="AI7827">
        <v>103.250741450395</v>
      </c>
      <c r="AJ7827">
        <v>81.476897052816497</v>
      </c>
      <c r="AK7827">
        <v>0.61528101765298404</v>
      </c>
      <c r="AL7827">
        <v>80.522765722999694</v>
      </c>
      <c r="AM7827">
        <v>95.281556825085005</v>
      </c>
      <c r="AN7827">
        <v>0.99999996808499503</v>
      </c>
    </row>
    <row r="7828" spans="1:40" x14ac:dyDescent="0.25">
      <c r="A7828" t="str">
        <f>"20190304155258556"</f>
        <v>20190304155258556</v>
      </c>
      <c r="B7828" t="str">
        <f>"1551685978554987"</f>
        <v>1551685978554987</v>
      </c>
      <c r="C7828" t="s">
        <v>40</v>
      </c>
      <c r="D7828">
        <v>5.0108540000000001</v>
      </c>
      <c r="E7828">
        <v>0.58383130000000005</v>
      </c>
      <c r="F7828" t="s">
        <v>51</v>
      </c>
      <c r="G7828">
        <v>-143.2236</v>
      </c>
      <c r="H7828">
        <v>0.97157870000000002</v>
      </c>
      <c r="I7828">
        <v>137.01310000000001</v>
      </c>
      <c r="J7828">
        <v>-143.82499999999999</v>
      </c>
      <c r="K7828">
        <v>1.1110279999999999</v>
      </c>
      <c r="L7828">
        <v>137.1206</v>
      </c>
      <c r="M7828">
        <v>0.99978599999999995</v>
      </c>
      <c r="N7828">
        <v>-1.361183E-2</v>
      </c>
      <c r="O7828">
        <v>-1.5576639999999999E-2</v>
      </c>
      <c r="P7828">
        <v>0.98575420000000002</v>
      </c>
      <c r="Q7828">
        <v>0.15062719999999999</v>
      </c>
      <c r="R7828">
        <v>7.4834739999999997E-2</v>
      </c>
      <c r="S7828">
        <v>3.1595759999999999</v>
      </c>
      <c r="T7828">
        <v>-0.54180669999999898</v>
      </c>
      <c r="U7828">
        <v>-0.42869570000000001</v>
      </c>
      <c r="V7828">
        <v>-9.0270779999999995E-2</v>
      </c>
      <c r="W7828">
        <v>0.16396469999999999</v>
      </c>
      <c r="X7828">
        <v>0.98232719999999996</v>
      </c>
      <c r="Y7828">
        <v>0.1173667</v>
      </c>
      <c r="Z7828">
        <v>-8.3247939999999999E-3</v>
      </c>
      <c r="AA7828">
        <v>0.99305370000000004</v>
      </c>
      <c r="AB7828">
        <v>22</v>
      </c>
      <c r="AC7828">
        <v>0.60139999999998395</v>
      </c>
      <c r="AD7828">
        <v>-0.1394493</v>
      </c>
      <c r="AE7828">
        <v>-0.10749999999998699</v>
      </c>
      <c r="AF7828">
        <v>9.3259382957561907E-2</v>
      </c>
      <c r="AG7828">
        <v>-0.1394493</v>
      </c>
      <c r="AH7828">
        <v>0.57314044080214199</v>
      </c>
      <c r="AI7828">
        <v>103.503804112396</v>
      </c>
      <c r="AJ7828">
        <v>80.758031060939302</v>
      </c>
      <c r="AK7828">
        <v>0.59718789728442101</v>
      </c>
      <c r="AL7828">
        <v>80.562902755284597</v>
      </c>
      <c r="AM7828">
        <v>95.250439022274605</v>
      </c>
      <c r="AN7828">
        <v>0.99999998221386899</v>
      </c>
    </row>
    <row r="7829" spans="1:40" x14ac:dyDescent="0.25">
      <c r="A7829" t="str">
        <f>"20190304155258580"</f>
        <v>20190304155258580</v>
      </c>
      <c r="B7829" t="str">
        <f>"1551685978574510"</f>
        <v>1551685978574510</v>
      </c>
      <c r="C7829" t="s">
        <v>40</v>
      </c>
      <c r="D7829">
        <v>5.0805150000000001</v>
      </c>
      <c r="E7829">
        <v>0.586628699999999</v>
      </c>
      <c r="F7829" t="s">
        <v>51</v>
      </c>
      <c r="G7829">
        <v>-143.02889999999999</v>
      </c>
      <c r="H7829">
        <v>0.97797849999999997</v>
      </c>
      <c r="I7829">
        <v>137.00030000000001</v>
      </c>
      <c r="J7829">
        <v>-143.60480000000001</v>
      </c>
      <c r="K7829">
        <v>1.1110420000000001</v>
      </c>
      <c r="L7829">
        <v>137.11760000000001</v>
      </c>
      <c r="M7829">
        <v>0.99979150000000006</v>
      </c>
      <c r="N7829">
        <v>-1.360951E-2</v>
      </c>
      <c r="O7829">
        <v>-1.522401E-2</v>
      </c>
      <c r="P7829">
        <v>0.98573940000000004</v>
      </c>
      <c r="Q7829">
        <v>0.1504402</v>
      </c>
      <c r="R7829">
        <v>7.5403960000000006E-2</v>
      </c>
      <c r="S7829">
        <v>3.1602480000000002</v>
      </c>
      <c r="T7829">
        <v>-0.52821099999999999</v>
      </c>
      <c r="U7829">
        <v>-0.47660829999999998</v>
      </c>
      <c r="V7829">
        <v>-9.0495240000000005E-2</v>
      </c>
      <c r="W7829">
        <v>0.16377420000000001</v>
      </c>
      <c r="X7829">
        <v>0.98233839999999994</v>
      </c>
      <c r="Y7829">
        <v>0.1322846</v>
      </c>
      <c r="Z7829">
        <v>-9.5228610000000005E-3</v>
      </c>
      <c r="AA7829">
        <v>0.99116610000000005</v>
      </c>
      <c r="AB7829">
        <v>21</v>
      </c>
      <c r="AC7829">
        <v>0.57590000000001795</v>
      </c>
      <c r="AD7829">
        <v>-0.1330635</v>
      </c>
      <c r="AE7829">
        <v>-0.1173</v>
      </c>
      <c r="AF7829">
        <v>0.103226780691467</v>
      </c>
      <c r="AG7829">
        <v>-0.1330635</v>
      </c>
      <c r="AH7829">
        <v>0.54945468001825104</v>
      </c>
      <c r="AI7829">
        <v>103.38786607190301</v>
      </c>
      <c r="AJ7829">
        <v>79.3597931166085</v>
      </c>
      <c r="AK7829">
        <v>0.57468435569287302</v>
      </c>
      <c r="AL7829">
        <v>80.573967858240707</v>
      </c>
      <c r="AM7829">
        <v>95.263361429738694</v>
      </c>
      <c r="AN7829">
        <v>1.0000000545814201</v>
      </c>
    </row>
    <row r="7830" spans="1:40" x14ac:dyDescent="0.25">
      <c r="A7830" t="str">
        <f>"20190304155258601"</f>
        <v>20190304155258601</v>
      </c>
      <c r="B7830" t="str">
        <f>"1551685978595003"</f>
        <v>1551685978595003</v>
      </c>
      <c r="C7830" t="s">
        <v>40</v>
      </c>
      <c r="D7830">
        <v>5.1393899999999997</v>
      </c>
      <c r="E7830">
        <v>0.58885489999999996</v>
      </c>
      <c r="F7830" t="s">
        <v>51</v>
      </c>
      <c r="G7830">
        <v>-142.83500000000001</v>
      </c>
      <c r="H7830">
        <v>0.98304999999999998</v>
      </c>
      <c r="I7830">
        <v>136.9967</v>
      </c>
      <c r="J7830">
        <v>-143.39959999999999</v>
      </c>
      <c r="K7830">
        <v>1.1110409999999999</v>
      </c>
      <c r="L7830">
        <v>137.1148</v>
      </c>
      <c r="M7830">
        <v>0.99979669999999998</v>
      </c>
      <c r="N7830">
        <v>-1.3607340000000001E-2</v>
      </c>
      <c r="O7830">
        <v>-1.488461E-2</v>
      </c>
      <c r="P7830">
        <v>0.98572850000000001</v>
      </c>
      <c r="Q7830">
        <v>0.1504093</v>
      </c>
      <c r="R7830">
        <v>7.5607610000000006E-2</v>
      </c>
      <c r="S7830">
        <v>3.1616059999999999</v>
      </c>
      <c r="T7830">
        <v>-0.52569589999999999</v>
      </c>
      <c r="U7830">
        <v>-0.49641420000000003</v>
      </c>
      <c r="V7830">
        <v>-9.0365050000000002E-2</v>
      </c>
      <c r="W7830">
        <v>0.16374079999999999</v>
      </c>
      <c r="X7830">
        <v>0.98235589999999995</v>
      </c>
      <c r="Y7830">
        <v>0.13854540000000001</v>
      </c>
      <c r="Z7830">
        <v>-1.0084249999999999E-2</v>
      </c>
      <c r="AA7830">
        <v>0.99030479999999999</v>
      </c>
      <c r="AB7830">
        <v>21</v>
      </c>
      <c r="AC7830">
        <v>0.564599999999984</v>
      </c>
      <c r="AD7830">
        <v>-0.12799099999999899</v>
      </c>
      <c r="AE7830">
        <v>-0.118099999999998</v>
      </c>
      <c r="AF7830">
        <v>0.104535424914651</v>
      </c>
      <c r="AG7830">
        <v>-0.12799099999999899</v>
      </c>
      <c r="AH7830">
        <v>0.53972195883269802</v>
      </c>
      <c r="AI7830">
        <v>103.10589854184801</v>
      </c>
      <c r="AJ7830">
        <v>79.038456550925801</v>
      </c>
      <c r="AK7830">
        <v>0.56445473156781201</v>
      </c>
      <c r="AL7830">
        <v>80.575907234136196</v>
      </c>
      <c r="AM7830">
        <v>95.255738683519496</v>
      </c>
      <c r="AN7830">
        <v>1.0000000030554701</v>
      </c>
    </row>
    <row r="7831" spans="1:40" x14ac:dyDescent="0.25">
      <c r="A7831" t="str">
        <f>"20190304155258646"</f>
        <v>20190304155258646</v>
      </c>
      <c r="B7831" t="str">
        <f>"1551685978635020"</f>
        <v>1551685978635020</v>
      </c>
      <c r="C7831" t="s">
        <v>40</v>
      </c>
      <c r="D7831">
        <v>5.1176440000000003</v>
      </c>
      <c r="E7831">
        <v>0.59148919999999905</v>
      </c>
      <c r="F7831" t="s">
        <v>51</v>
      </c>
      <c r="G7831">
        <v>-142.64259999999999</v>
      </c>
      <c r="H7831">
        <v>0.98554379999999997</v>
      </c>
      <c r="I7831">
        <v>136.99209999999999</v>
      </c>
      <c r="J7831">
        <v>-142.9736</v>
      </c>
      <c r="K7831">
        <v>1.111035</v>
      </c>
      <c r="L7831">
        <v>137.10939999999999</v>
      </c>
      <c r="M7831">
        <v>0.99980639999999998</v>
      </c>
      <c r="N7831">
        <v>-1.363546E-2</v>
      </c>
      <c r="O7831">
        <v>-1.418605E-2</v>
      </c>
      <c r="P7831">
        <v>0.98576889999999995</v>
      </c>
      <c r="Q7831">
        <v>0.1496914</v>
      </c>
      <c r="R7831">
        <v>7.649852E-2</v>
      </c>
      <c r="S7831">
        <v>3.162766</v>
      </c>
      <c r="T7831">
        <v>-0.52434369999999997</v>
      </c>
      <c r="U7831">
        <v>-0.51269529999999996</v>
      </c>
      <c r="V7831">
        <v>-9.05638E-2</v>
      </c>
      <c r="W7831">
        <v>0.163054</v>
      </c>
      <c r="X7831">
        <v>0.98245179999999999</v>
      </c>
      <c r="Y7831">
        <v>0.14407449999999999</v>
      </c>
      <c r="Z7831">
        <v>-1.06529E-2</v>
      </c>
      <c r="AA7831">
        <v>0.98950950000000004</v>
      </c>
      <c r="AB7831">
        <v>21</v>
      </c>
      <c r="AC7831">
        <v>0.331000000000017</v>
      </c>
      <c r="AD7831">
        <v>-0.1254912</v>
      </c>
      <c r="AE7831">
        <v>-0.1173</v>
      </c>
      <c r="AF7831">
        <v>9.9842283017045799E-2</v>
      </c>
      <c r="AG7831">
        <v>-0.1254912</v>
      </c>
      <c r="AH7831">
        <v>0.29496388078394198</v>
      </c>
      <c r="AI7831">
        <v>111.948733304865</v>
      </c>
      <c r="AJ7831">
        <v>71.299561235162798</v>
      </c>
      <c r="AK7831">
        <v>0.33573831137155002</v>
      </c>
      <c r="AL7831">
        <v>80.615793767065099</v>
      </c>
      <c r="AM7831">
        <v>95.266722013601495</v>
      </c>
      <c r="AN7831">
        <v>0.99999997405483898</v>
      </c>
    </row>
    <row r="7832" spans="1:40" x14ac:dyDescent="0.25">
      <c r="A7832" t="str">
        <f>"20190304155258670"</f>
        <v>20190304155258670</v>
      </c>
      <c r="B7832" t="str">
        <f>"1551685978665275"</f>
        <v>1551685978665275</v>
      </c>
      <c r="C7832" t="s">
        <v>40</v>
      </c>
      <c r="D7832">
        <v>5.168056</v>
      </c>
      <c r="E7832">
        <v>0.59557629999999995</v>
      </c>
      <c r="F7832" t="s">
        <v>51</v>
      </c>
      <c r="G7832">
        <v>-142.25790000000001</v>
      </c>
      <c r="H7832">
        <v>0.99237010000000003</v>
      </c>
      <c r="I7832">
        <v>136.9897</v>
      </c>
      <c r="J7832">
        <v>-142.7577</v>
      </c>
      <c r="K7832">
        <v>1.1110580000000001</v>
      </c>
      <c r="L7832">
        <v>137.10669999999999</v>
      </c>
      <c r="M7832">
        <v>0.99980880000000005</v>
      </c>
      <c r="N7832">
        <v>-1.380925E-2</v>
      </c>
      <c r="O7832">
        <v>-1.384312E-2</v>
      </c>
      <c r="P7832">
        <v>0.98582289999999995</v>
      </c>
      <c r="Q7832">
        <v>0.14948620000000001</v>
      </c>
      <c r="R7832">
        <v>7.6206590000000005E-2</v>
      </c>
      <c r="S7832">
        <v>3.163986</v>
      </c>
      <c r="T7832">
        <v>-0.52461099999999905</v>
      </c>
      <c r="U7832">
        <v>-0.52848819999999996</v>
      </c>
      <c r="V7832">
        <v>-8.9930399999999994E-2</v>
      </c>
      <c r="W7832">
        <v>0.1630239</v>
      </c>
      <c r="X7832">
        <v>0.98251500000000003</v>
      </c>
      <c r="Y7832">
        <v>0.1490832</v>
      </c>
      <c r="Z7832">
        <v>-1.116193E-2</v>
      </c>
      <c r="AA7832">
        <v>0.98876169999999997</v>
      </c>
      <c r="AB7832">
        <v>21</v>
      </c>
      <c r="AC7832">
        <v>0.49979999999999303</v>
      </c>
      <c r="AD7832">
        <v>-0.1186879</v>
      </c>
      <c r="AE7832">
        <v>-0.11699999999999</v>
      </c>
      <c r="AF7832">
        <v>0.104483379110361</v>
      </c>
      <c r="AG7832">
        <v>-0.1186879</v>
      </c>
      <c r="AH7832">
        <v>0.47592755925603097</v>
      </c>
      <c r="AI7832">
        <v>103.689603832177</v>
      </c>
      <c r="AJ7832">
        <v>77.617925037234599</v>
      </c>
      <c r="AK7832">
        <v>0.50150836062435999</v>
      </c>
      <c r="AL7832">
        <v>80.617541976263794</v>
      </c>
      <c r="AM7832">
        <v>95.229757179517605</v>
      </c>
      <c r="AN7832">
        <v>0.99999999702018505</v>
      </c>
    </row>
    <row r="7833" spans="1:40" x14ac:dyDescent="0.25">
      <c r="A7833" t="str">
        <f>"20190304155258692"</f>
        <v>20190304155258692</v>
      </c>
      <c r="B7833" t="str">
        <f>"1551685978684889"</f>
        <v>1551685978684889</v>
      </c>
      <c r="C7833" t="s">
        <v>40</v>
      </c>
      <c r="D7833">
        <v>5.1817919999999997</v>
      </c>
      <c r="E7833">
        <v>0.59742479999999998</v>
      </c>
      <c r="F7833" t="s">
        <v>51</v>
      </c>
      <c r="G7833">
        <v>-141.89080000000001</v>
      </c>
      <c r="H7833">
        <v>0.96798209999999996</v>
      </c>
      <c r="I7833">
        <v>136.953</v>
      </c>
      <c r="J7833">
        <v>-142.5438</v>
      </c>
      <c r="K7833">
        <v>1.1111329999999999</v>
      </c>
      <c r="L7833">
        <v>137.10419999999999</v>
      </c>
      <c r="M7833">
        <v>0.99980809999999998</v>
      </c>
      <c r="N7833">
        <v>-1.419805E-2</v>
      </c>
      <c r="O7833">
        <v>-1.350457E-2</v>
      </c>
      <c r="P7833">
        <v>0.98590659999999997</v>
      </c>
      <c r="Q7833">
        <v>0.1490359</v>
      </c>
      <c r="R7833">
        <v>7.6005100000000006E-2</v>
      </c>
      <c r="S7833">
        <v>3.1657259999999998</v>
      </c>
      <c r="T7833">
        <v>-0.52247359999999998</v>
      </c>
      <c r="U7833">
        <v>-0.56097410000000003</v>
      </c>
      <c r="V7833">
        <v>-8.9390199999999906E-2</v>
      </c>
      <c r="W7833">
        <v>0.162961299999999</v>
      </c>
      <c r="X7833">
        <v>0.98257470000000002</v>
      </c>
      <c r="Y7833">
        <v>0.15904579999999999</v>
      </c>
      <c r="Z7833">
        <v>-1.207626E-2</v>
      </c>
      <c r="AA7833">
        <v>0.98719730000000006</v>
      </c>
      <c r="AB7833">
        <v>21</v>
      </c>
      <c r="AC7833">
        <v>0.65299999999999103</v>
      </c>
      <c r="AD7833">
        <v>-0.143150899999999</v>
      </c>
      <c r="AE7833">
        <v>-0.15119999999998801</v>
      </c>
      <c r="AF7833">
        <v>0.136156451543305</v>
      </c>
      <c r="AG7833">
        <v>-0.143150899999999</v>
      </c>
      <c r="AH7833">
        <v>0.62641061666554698</v>
      </c>
      <c r="AI7833">
        <v>102.588259105886</v>
      </c>
      <c r="AJ7833">
        <v>77.736952934071695</v>
      </c>
      <c r="AK7833">
        <v>0.65682647642964698</v>
      </c>
      <c r="AL7833">
        <v>80.621177496466899</v>
      </c>
      <c r="AM7833">
        <v>95.198201233716404</v>
      </c>
      <c r="AN7833">
        <v>1.0000000171169099</v>
      </c>
    </row>
    <row r="7834" spans="1:40" x14ac:dyDescent="0.25">
      <c r="A7834" t="str">
        <f>"20190304155258714"</f>
        <v>20190304155258714</v>
      </c>
      <c r="B7834" t="str">
        <f>"1551685978704408"</f>
        <v>1551685978704408</v>
      </c>
      <c r="C7834" t="s">
        <v>40</v>
      </c>
      <c r="D7834">
        <v>5.1881349999999999</v>
      </c>
      <c r="E7834">
        <v>0.59896939999999999</v>
      </c>
      <c r="F7834" t="s">
        <v>51</v>
      </c>
      <c r="G7834">
        <v>-141.7012</v>
      </c>
      <c r="H7834">
        <v>0.97230220000000001</v>
      </c>
      <c r="I7834">
        <v>136.95099999999999</v>
      </c>
      <c r="J7834">
        <v>-142.33799999999999</v>
      </c>
      <c r="K7834">
        <v>1.1112249999999999</v>
      </c>
      <c r="L7834">
        <v>137.1018</v>
      </c>
      <c r="M7834">
        <v>0.99980500000000005</v>
      </c>
      <c r="N7834">
        <v>-1.470977E-2</v>
      </c>
      <c r="O7834">
        <v>-1.3182309999999999E-2</v>
      </c>
      <c r="P7834">
        <v>0.98594499999999996</v>
      </c>
      <c r="Q7834">
        <v>0.14884720000000001</v>
      </c>
      <c r="R7834">
        <v>7.5877349999999996E-2</v>
      </c>
      <c r="S7834">
        <v>3.166153</v>
      </c>
      <c r="T7834">
        <v>-0.52171520000000005</v>
      </c>
      <c r="U7834">
        <v>-0.5758972</v>
      </c>
      <c r="V7834">
        <v>-8.8940809999999995E-2</v>
      </c>
      <c r="W7834">
        <v>0.16327929999999999</v>
      </c>
      <c r="X7834">
        <v>0.98256270000000001</v>
      </c>
      <c r="Y7834">
        <v>0.16377630000000001</v>
      </c>
      <c r="Z7834">
        <v>-1.2570639999999999E-2</v>
      </c>
      <c r="AA7834">
        <v>0.9864174</v>
      </c>
      <c r="AB7834">
        <v>21</v>
      </c>
      <c r="AC7834">
        <v>0.63679999999999304</v>
      </c>
      <c r="AD7834">
        <v>-0.13892279999999901</v>
      </c>
      <c r="AE7834">
        <v>-0.15080000000000299</v>
      </c>
      <c r="AF7834">
        <v>0.13625125303790001</v>
      </c>
      <c r="AG7834">
        <v>-0.13892279999999901</v>
      </c>
      <c r="AH7834">
        <v>0.61118918300425995</v>
      </c>
      <c r="AI7834">
        <v>102.5086634128</v>
      </c>
      <c r="AJ7834">
        <v>77.432656608825297</v>
      </c>
      <c r="AK7834">
        <v>0.64141731013097303</v>
      </c>
      <c r="AL7834">
        <v>80.602710197396704</v>
      </c>
      <c r="AM7834">
        <v>95.172273316361498</v>
      </c>
      <c r="AN7834">
        <v>1.00000002846161</v>
      </c>
    </row>
    <row r="7835" spans="1:40" x14ac:dyDescent="0.25">
      <c r="A7835" t="str">
        <f>"20190304155258736"</f>
        <v>20190304155258736</v>
      </c>
      <c r="B7835" t="str">
        <f>"1551685978724904"</f>
        <v>1551685978724904</v>
      </c>
      <c r="C7835" t="s">
        <v>40</v>
      </c>
      <c r="D7835">
        <v>5.1874989999999999</v>
      </c>
      <c r="E7835">
        <v>0.59988330000000001</v>
      </c>
      <c r="F7835" t="s">
        <v>51</v>
      </c>
      <c r="G7835">
        <v>-141.51339999999999</v>
      </c>
      <c r="H7835">
        <v>0.97568889999999997</v>
      </c>
      <c r="I7835">
        <v>136.94839999999999</v>
      </c>
      <c r="J7835">
        <v>-142.12889999999999</v>
      </c>
      <c r="K7835">
        <v>1.1113170000000001</v>
      </c>
      <c r="L7835">
        <v>137.0994</v>
      </c>
      <c r="M7835">
        <v>0.99980060000000004</v>
      </c>
      <c r="N7835">
        <v>-1.5274859999999999E-2</v>
      </c>
      <c r="O7835">
        <v>-1.286239E-2</v>
      </c>
      <c r="P7835">
        <v>0.98609409999999997</v>
      </c>
      <c r="Q7835">
        <v>0.1479618</v>
      </c>
      <c r="R7835">
        <v>7.5669440000000004E-2</v>
      </c>
      <c r="S7835">
        <v>3.1666409999999998</v>
      </c>
      <c r="T7835">
        <v>-0.52054409999999995</v>
      </c>
      <c r="U7835">
        <v>-0.58850100000000005</v>
      </c>
      <c r="V7835">
        <v>-8.8416670000000003E-2</v>
      </c>
      <c r="W7835">
        <v>0.16295379999999901</v>
      </c>
      <c r="X7835">
        <v>0.98266399999999998</v>
      </c>
      <c r="Y7835">
        <v>0.1678036</v>
      </c>
      <c r="Z7835">
        <v>-1.299932E-2</v>
      </c>
      <c r="AA7835">
        <v>0.98573480000000002</v>
      </c>
      <c r="AB7835">
        <v>21</v>
      </c>
      <c r="AC7835">
        <v>0.61549999999999705</v>
      </c>
      <c r="AD7835">
        <v>-0.1356281</v>
      </c>
      <c r="AE7835">
        <v>-0.15100000000000999</v>
      </c>
      <c r="AF7835">
        <v>0.1368042120255</v>
      </c>
      <c r="AG7835">
        <v>-0.1356281</v>
      </c>
      <c r="AH7835">
        <v>0.59035360009439397</v>
      </c>
      <c r="AI7835">
        <v>102.61545573744</v>
      </c>
      <c r="AJ7835">
        <v>76.952984709274801</v>
      </c>
      <c r="AK7835">
        <v>0.62098932928186401</v>
      </c>
      <c r="AL7835">
        <v>80.621612805408503</v>
      </c>
      <c r="AM7835">
        <v>95.141429073495601</v>
      </c>
      <c r="AN7835">
        <v>0.999999992682164</v>
      </c>
    </row>
    <row r="7836" spans="1:40" x14ac:dyDescent="0.25">
      <c r="A7836" t="str">
        <f>"20190304155258759"</f>
        <v>20190304155258759</v>
      </c>
      <c r="B7836" t="str">
        <f>"1551685978755160"</f>
        <v>1551685978755160</v>
      </c>
      <c r="C7836" t="s">
        <v>40</v>
      </c>
      <c r="D7836">
        <v>5.2289370000000002</v>
      </c>
      <c r="E7836">
        <v>0.61742819999999898</v>
      </c>
      <c r="F7836" t="s">
        <v>51</v>
      </c>
      <c r="G7836">
        <v>-141.327</v>
      </c>
      <c r="H7836">
        <v>0.97898419999999997</v>
      </c>
      <c r="I7836">
        <v>136.94820000000001</v>
      </c>
      <c r="J7836">
        <v>-141.9273</v>
      </c>
      <c r="K7836">
        <v>1.1114090000000001</v>
      </c>
      <c r="L7836">
        <v>137.09719999999999</v>
      </c>
      <c r="M7836">
        <v>0.99979530000000005</v>
      </c>
      <c r="N7836">
        <v>-1.5859499999999999E-2</v>
      </c>
      <c r="O7836">
        <v>-1.2563339999999999E-2</v>
      </c>
      <c r="P7836">
        <v>0.9862573</v>
      </c>
      <c r="Q7836">
        <v>0.1469414</v>
      </c>
      <c r="R7836">
        <v>7.5530079999999999E-2</v>
      </c>
      <c r="S7836">
        <v>3.1665040000000002</v>
      </c>
      <c r="T7836">
        <v>-0.52258530000000003</v>
      </c>
      <c r="U7836">
        <v>-0.59648129999999999</v>
      </c>
      <c r="V7836">
        <v>-8.7983149999999996E-2</v>
      </c>
      <c r="W7836">
        <v>0.1625125</v>
      </c>
      <c r="X7836">
        <v>0.98277599999999998</v>
      </c>
      <c r="Y7836">
        <v>0.1704396</v>
      </c>
      <c r="Z7836">
        <v>-1.3378660000000001E-2</v>
      </c>
      <c r="AA7836">
        <v>0.98527730000000002</v>
      </c>
      <c r="AB7836">
        <v>21</v>
      </c>
      <c r="AC7836">
        <v>0.60030000000000405</v>
      </c>
      <c r="AD7836">
        <v>-0.13242480000000001</v>
      </c>
      <c r="AE7836">
        <v>-0.14899999999997199</v>
      </c>
      <c r="AF7836">
        <v>0.135245938630108</v>
      </c>
      <c r="AG7836">
        <v>-0.13242480000000001</v>
      </c>
      <c r="AH7836">
        <v>0.57573356805621201</v>
      </c>
      <c r="AI7836">
        <v>102.621218807186</v>
      </c>
      <c r="AJ7836">
        <v>76.780301121537406</v>
      </c>
      <c r="AK7836">
        <v>0.60605027263232503</v>
      </c>
      <c r="AL7836">
        <v>80.647239160675696</v>
      </c>
      <c r="AM7836">
        <v>95.115774031734702</v>
      </c>
      <c r="AN7836">
        <v>1.0000000067580801</v>
      </c>
    </row>
    <row r="7837" spans="1:40" x14ac:dyDescent="0.25">
      <c r="A7837" t="str">
        <f>"20190304155258781"</f>
        <v>20190304155258781</v>
      </c>
      <c r="B7837" t="str">
        <f>"1551685978774683"</f>
        <v>1551685978774683</v>
      </c>
      <c r="C7837" t="s">
        <v>40</v>
      </c>
      <c r="D7837">
        <v>4.9465149999999998</v>
      </c>
      <c r="E7837">
        <v>0.63073919999999895</v>
      </c>
      <c r="F7837" t="s">
        <v>51</v>
      </c>
      <c r="G7837">
        <v>-141.1437</v>
      </c>
      <c r="H7837">
        <v>0.9774195</v>
      </c>
      <c r="I7837">
        <v>136.91550000000001</v>
      </c>
      <c r="J7837">
        <v>-141.71789999999999</v>
      </c>
      <c r="K7837">
        <v>1.1115170000000001</v>
      </c>
      <c r="L7837">
        <v>137.0949</v>
      </c>
      <c r="M7837">
        <v>0.99978820000000002</v>
      </c>
      <c r="N7837">
        <v>-1.6536840000000001E-2</v>
      </c>
      <c r="O7837">
        <v>-1.225733E-2</v>
      </c>
      <c r="P7837">
        <v>0.98641000000000001</v>
      </c>
      <c r="Q7837">
        <v>0.14612559999999999</v>
      </c>
      <c r="R7837">
        <v>7.5119699999999998E-2</v>
      </c>
      <c r="S7837">
        <v>3.1792449999999999</v>
      </c>
      <c r="T7837">
        <v>-0.54364469999999898</v>
      </c>
      <c r="U7837">
        <v>-0.73693850000000005</v>
      </c>
      <c r="V7837">
        <v>-8.7272020000000006E-2</v>
      </c>
      <c r="W7837">
        <v>0.16236619999999999</v>
      </c>
      <c r="X7837">
        <v>0.98286359999999995</v>
      </c>
      <c r="Y7837">
        <v>0.2107888</v>
      </c>
      <c r="Z7837">
        <v>-1.758755E-2</v>
      </c>
      <c r="AA7837">
        <v>0.97737339999999995</v>
      </c>
      <c r="AB7837">
        <v>21</v>
      </c>
      <c r="AC7837">
        <v>0.57419999999999005</v>
      </c>
      <c r="AD7837">
        <v>-0.13409750000000001</v>
      </c>
      <c r="AE7837">
        <v>-0.17939999999998599</v>
      </c>
      <c r="AF7837">
        <v>0.16418892950186101</v>
      </c>
      <c r="AG7837">
        <v>-0.13409750000000001</v>
      </c>
      <c r="AH7837">
        <v>0.54907294776071602</v>
      </c>
      <c r="AI7837">
        <v>103.16958023440699</v>
      </c>
      <c r="AJ7837">
        <v>73.351791270161797</v>
      </c>
      <c r="AK7837">
        <v>0.58857560775133999</v>
      </c>
      <c r="AL7837">
        <v>80.655734508374294</v>
      </c>
      <c r="AM7837">
        <v>95.074192273029794</v>
      </c>
      <c r="AN7837">
        <v>1.0000000222911301</v>
      </c>
    </row>
    <row r="7838" spans="1:40" x14ac:dyDescent="0.25">
      <c r="A7838" t="str">
        <f>"20190304155258803"</f>
        <v>20190304155258803</v>
      </c>
      <c r="B7838" t="str">
        <f>"1551685978795176"</f>
        <v>1551685978795176</v>
      </c>
      <c r="C7838" t="s">
        <v>40</v>
      </c>
      <c r="D7838">
        <v>5.1779359999999999</v>
      </c>
      <c r="E7838">
        <v>0.6279998</v>
      </c>
      <c r="F7838" t="s">
        <v>51</v>
      </c>
      <c r="G7838">
        <v>-140.95590000000001</v>
      </c>
      <c r="H7838">
        <v>0.98932149999999996</v>
      </c>
      <c r="I7838">
        <v>136.89320000000001</v>
      </c>
      <c r="J7838">
        <v>-141.5181</v>
      </c>
      <c r="K7838">
        <v>1.111615</v>
      </c>
      <c r="L7838">
        <v>137.09280000000001</v>
      </c>
      <c r="M7838">
        <v>0.9997798</v>
      </c>
      <c r="N7838">
        <v>-1.725144E-2</v>
      </c>
      <c r="O7838">
        <v>-1.196321E-2</v>
      </c>
      <c r="P7838">
        <v>0.98645609999999995</v>
      </c>
      <c r="Q7838">
        <v>0.14583460000000001</v>
      </c>
      <c r="R7838">
        <v>7.5078909999999999E-2</v>
      </c>
      <c r="S7838">
        <v>3.1810149999999999</v>
      </c>
      <c r="T7838">
        <v>-0.51008379999999998</v>
      </c>
      <c r="U7838">
        <v>-0.84202579999999905</v>
      </c>
      <c r="V7838">
        <v>-8.6940290000000003E-2</v>
      </c>
      <c r="W7838">
        <v>0.1627797</v>
      </c>
      <c r="X7838">
        <v>0.98282460000000005</v>
      </c>
      <c r="Y7838">
        <v>0.2412098</v>
      </c>
      <c r="Z7838">
        <v>-1.935512E-2</v>
      </c>
      <c r="AA7838">
        <v>0.97027989999999997</v>
      </c>
      <c r="AB7838">
        <v>20</v>
      </c>
      <c r="AC7838">
        <v>0.56219999999999004</v>
      </c>
      <c r="AD7838">
        <v>-0.1222935</v>
      </c>
      <c r="AE7838">
        <v>-0.199600000000003</v>
      </c>
      <c r="AF7838">
        <v>0.18508165440004101</v>
      </c>
      <c r="AG7838">
        <v>-0.1222935</v>
      </c>
      <c r="AH7838">
        <v>0.54178168629902002</v>
      </c>
      <c r="AI7838">
        <v>102.057435235488</v>
      </c>
      <c r="AJ7838">
        <v>71.138977743720901</v>
      </c>
      <c r="AK7838">
        <v>0.58543856598853805</v>
      </c>
      <c r="AL7838">
        <v>80.631723245242895</v>
      </c>
      <c r="AM7838">
        <v>95.055204414604503</v>
      </c>
      <c r="AN7838">
        <v>1.0000000195612599</v>
      </c>
    </row>
    <row r="7839" spans="1:40" x14ac:dyDescent="0.25">
      <c r="A7839" t="str">
        <f>"20190304155258825"</f>
        <v>20190304155258825</v>
      </c>
      <c r="B7839" t="str">
        <f>"1551685978814697"</f>
        <v>1551685978814697</v>
      </c>
      <c r="C7839" t="s">
        <v>40</v>
      </c>
      <c r="D7839">
        <v>5.1675149999999999</v>
      </c>
      <c r="E7839">
        <v>0.62611879999999998</v>
      </c>
      <c r="F7839" t="s">
        <v>51</v>
      </c>
      <c r="G7839">
        <v>-140.7747</v>
      </c>
      <c r="H7839">
        <v>0.9923748</v>
      </c>
      <c r="I7839">
        <v>136.90090000000001</v>
      </c>
      <c r="J7839">
        <v>-141.32220000000001</v>
      </c>
      <c r="K7839">
        <v>1.1117090000000001</v>
      </c>
      <c r="L7839">
        <v>137.0908</v>
      </c>
      <c r="M7839">
        <v>0.99976980000000004</v>
      </c>
      <c r="N7839">
        <v>-1.801179E-2</v>
      </c>
      <c r="O7839">
        <v>-1.1669540000000001E-2</v>
      </c>
      <c r="P7839">
        <v>0.98649629999999999</v>
      </c>
      <c r="Q7839">
        <v>0.14558270000000001</v>
      </c>
      <c r="R7839">
        <v>7.5040209999999996E-2</v>
      </c>
      <c r="S7839">
        <v>3.1789860000000001</v>
      </c>
      <c r="T7839">
        <v>-0.51000570000000001</v>
      </c>
      <c r="U7839">
        <v>-0.81979369999999996</v>
      </c>
      <c r="V7839">
        <v>-8.6610619999999999E-2</v>
      </c>
      <c r="W7839">
        <v>0.1632779</v>
      </c>
      <c r="X7839">
        <v>0.98277099999999995</v>
      </c>
      <c r="Y7839">
        <v>0.235343</v>
      </c>
      <c r="Z7839">
        <v>-1.9005310000000001E-2</v>
      </c>
      <c r="AA7839">
        <v>0.97172650000000005</v>
      </c>
      <c r="AB7839">
        <v>20</v>
      </c>
      <c r="AC7839">
        <v>0.54750000000001298</v>
      </c>
      <c r="AD7839">
        <v>-0.1193342</v>
      </c>
      <c r="AE7839">
        <v>-0.18989999999999399</v>
      </c>
      <c r="AF7839">
        <v>0.17603216654546</v>
      </c>
      <c r="AG7839">
        <v>-0.1193342</v>
      </c>
      <c r="AH7839">
        <v>0.52731776641556605</v>
      </c>
      <c r="AI7839">
        <v>102.115217808838</v>
      </c>
      <c r="AJ7839">
        <v>71.539670919465294</v>
      </c>
      <c r="AK7839">
        <v>0.56858772562009297</v>
      </c>
      <c r="AL7839">
        <v>80.602790808694394</v>
      </c>
      <c r="AM7839">
        <v>95.036407541604902</v>
      </c>
      <c r="AN7839">
        <v>0.99999995528309604</v>
      </c>
    </row>
    <row r="7840" spans="1:40" x14ac:dyDescent="0.25">
      <c r="A7840" t="str">
        <f>"20190304155258848"</f>
        <v>20190304155258848</v>
      </c>
      <c r="B7840" t="str">
        <f>"1551685978844953"</f>
        <v>1551685978844953</v>
      </c>
      <c r="C7840" t="s">
        <v>40</v>
      </c>
      <c r="D7840">
        <v>5.0021370000000003</v>
      </c>
      <c r="E7840">
        <v>0.62994340000000004</v>
      </c>
      <c r="F7840" t="s">
        <v>51</v>
      </c>
      <c r="G7840">
        <v>-140.5959</v>
      </c>
      <c r="H7840">
        <v>0.99457660000000003</v>
      </c>
      <c r="I7840">
        <v>136.90690000000001</v>
      </c>
      <c r="J7840">
        <v>-141.12450000000001</v>
      </c>
      <c r="K7840">
        <v>1.1118209999999999</v>
      </c>
      <c r="L7840">
        <v>137.0889</v>
      </c>
      <c r="M7840">
        <v>0.99975780000000003</v>
      </c>
      <c r="N7840">
        <v>-1.8848770000000001E-2</v>
      </c>
      <c r="O7840">
        <v>-1.136995E-2</v>
      </c>
      <c r="P7840">
        <v>0.98654359999999997</v>
      </c>
      <c r="Q7840">
        <v>0.14551149999999999</v>
      </c>
      <c r="R7840">
        <v>7.4553519999999998E-2</v>
      </c>
      <c r="S7840">
        <v>3.1778870000000001</v>
      </c>
      <c r="T7840">
        <v>-0.51250150000000005</v>
      </c>
      <c r="U7840">
        <v>-0.80445859999999902</v>
      </c>
      <c r="V7840">
        <v>-8.5827899999999999E-2</v>
      </c>
      <c r="W7840">
        <v>0.16403199999999901</v>
      </c>
      <c r="X7840">
        <v>0.98271410000000003</v>
      </c>
      <c r="Y7840">
        <v>0.2313125</v>
      </c>
      <c r="Z7840">
        <v>-1.8895180000000001E-2</v>
      </c>
      <c r="AA7840">
        <v>0.97269600000000001</v>
      </c>
      <c r="AB7840">
        <v>20</v>
      </c>
      <c r="AC7840">
        <v>0.52860000000001095</v>
      </c>
      <c r="AD7840">
        <v>-0.1172444</v>
      </c>
      <c r="AE7840">
        <v>-0.18199999999998701</v>
      </c>
      <c r="AF7840">
        <v>0.16856324432297701</v>
      </c>
      <c r="AG7840">
        <v>-0.1172444</v>
      </c>
      <c r="AH7840">
        <v>0.50828028704897599</v>
      </c>
      <c r="AI7840">
        <v>102.349637954221</v>
      </c>
      <c r="AJ7840">
        <v>71.6527016670709</v>
      </c>
      <c r="AK7840">
        <v>0.54818670803900105</v>
      </c>
      <c r="AL7840">
        <v>80.558993650156097</v>
      </c>
      <c r="AM7840">
        <v>94.991410853583503</v>
      </c>
      <c r="AN7840">
        <v>0.99999996389060897</v>
      </c>
    </row>
    <row r="7841" spans="1:40" x14ac:dyDescent="0.25">
      <c r="A7841" t="str">
        <f>"20190304155258871"</f>
        <v>20190304155258871</v>
      </c>
      <c r="B7841" t="str">
        <f>"1551685978864473"</f>
        <v>1551685978864473</v>
      </c>
      <c r="C7841" t="s">
        <v>40</v>
      </c>
      <c r="D7841">
        <v>4.9228339999999999</v>
      </c>
      <c r="E7841">
        <v>0.6324071</v>
      </c>
      <c r="F7841" t="s">
        <v>51</v>
      </c>
      <c r="G7841">
        <v>-140.2525</v>
      </c>
      <c r="H7841">
        <v>0.97367820000000005</v>
      </c>
      <c r="I7841">
        <v>136.85980000000001</v>
      </c>
      <c r="J7841">
        <v>-140.9299</v>
      </c>
      <c r="K7841">
        <v>1.111931</v>
      </c>
      <c r="L7841">
        <v>137.08709999999999</v>
      </c>
      <c r="M7841">
        <v>0.99974379999999996</v>
      </c>
      <c r="N7841">
        <v>-1.9741680000000001E-2</v>
      </c>
      <c r="O7841">
        <v>-1.107636E-2</v>
      </c>
      <c r="P7841">
        <v>0.98675040000000003</v>
      </c>
      <c r="Q7841">
        <v>0.1440572</v>
      </c>
      <c r="R7841">
        <v>7.4641280000000004E-2</v>
      </c>
      <c r="S7841">
        <v>3.1782680000000001</v>
      </c>
      <c r="T7841">
        <v>-0.50357580000000002</v>
      </c>
      <c r="U7841">
        <v>-0.83485409999999904</v>
      </c>
      <c r="V7841">
        <v>-8.5626670000000002E-2</v>
      </c>
      <c r="W7841">
        <v>0.16346140000000001</v>
      </c>
      <c r="X7841">
        <v>0.9828268</v>
      </c>
      <c r="Y7841">
        <v>0.2402503</v>
      </c>
      <c r="Z7841">
        <v>-1.9531179999999999E-2</v>
      </c>
      <c r="AA7841">
        <v>0.97051449999999995</v>
      </c>
      <c r="AB7841">
        <v>20</v>
      </c>
      <c r="AC7841">
        <v>0.677400000000005</v>
      </c>
      <c r="AD7841">
        <v>-0.13825280000000001</v>
      </c>
      <c r="AE7841">
        <v>-0.22729999999998499</v>
      </c>
      <c r="AF7841">
        <v>0.211850058882984</v>
      </c>
      <c r="AG7841">
        <v>-0.13825280000000001</v>
      </c>
      <c r="AH7841">
        <v>0.65534140642417205</v>
      </c>
      <c r="AI7841">
        <v>101.350421884127</v>
      </c>
      <c r="AJ7841">
        <v>72.085706908254494</v>
      </c>
      <c r="AK7841">
        <v>0.70247180949172305</v>
      </c>
      <c r="AL7841">
        <v>80.592134634830799</v>
      </c>
      <c r="AM7841">
        <v>94.979198872278403</v>
      </c>
      <c r="AN7841">
        <v>1.0000000373517399</v>
      </c>
    </row>
    <row r="7842" spans="1:40" x14ac:dyDescent="0.25">
      <c r="A7842" t="str">
        <f>"20190304155258893"</f>
        <v>20190304155258893</v>
      </c>
      <c r="B7842" t="str">
        <f>"1551685978884968"</f>
        <v>1551685978884968</v>
      </c>
      <c r="C7842" t="s">
        <v>40</v>
      </c>
      <c r="D7842">
        <v>4.9698500000000001</v>
      </c>
      <c r="E7842">
        <v>0.63424659999999999</v>
      </c>
      <c r="F7842" t="s">
        <v>41</v>
      </c>
      <c r="G7842">
        <v>-133.87549999999999</v>
      </c>
      <c r="H7842" s="1">
        <v>-3.394428E-6</v>
      </c>
      <c r="I7842">
        <v>135.19229999999999</v>
      </c>
      <c r="J7842">
        <v>-140.73840000000001</v>
      </c>
      <c r="K7842">
        <v>1.1120490000000001</v>
      </c>
      <c r="L7842">
        <v>137.08529999999999</v>
      </c>
      <c r="M7842">
        <v>0.99972819999999996</v>
      </c>
      <c r="N7842">
        <v>-2.06702E-2</v>
      </c>
      <c r="O7842">
        <v>-1.0789709999999999E-2</v>
      </c>
      <c r="P7842">
        <v>0.98697069999999998</v>
      </c>
      <c r="Q7842">
        <v>0.1425544</v>
      </c>
      <c r="R7842">
        <v>7.4615810000000005E-2</v>
      </c>
      <c r="S7842">
        <v>3.1779630000000001</v>
      </c>
      <c r="T7842">
        <v>-0.50091609999999998</v>
      </c>
      <c r="U7842">
        <v>-0.85354609999999997</v>
      </c>
      <c r="V7842">
        <v>-8.5319599999999995E-2</v>
      </c>
      <c r="W7842">
        <v>0.16287760000000001</v>
      </c>
      <c r="X7842">
        <v>0.9829504</v>
      </c>
      <c r="Y7842">
        <v>0.24581910000000001</v>
      </c>
      <c r="Z7842">
        <v>-2.0084109999999999E-2</v>
      </c>
      <c r="AA7842">
        <v>0.96910759999999996</v>
      </c>
      <c r="AB7842">
        <v>19</v>
      </c>
      <c r="AC7842">
        <v>6.8629000000000202</v>
      </c>
      <c r="AD7842">
        <v>-1.1120523944280001</v>
      </c>
      <c r="AE7842">
        <v>-1.893</v>
      </c>
      <c r="AF7842">
        <v>1.7755029993332501</v>
      </c>
      <c r="AG7842">
        <v>-1.1120523944280001</v>
      </c>
      <c r="AH7842">
        <v>6.7189864693844799</v>
      </c>
      <c r="AI7842">
        <v>99.091189447386597</v>
      </c>
      <c r="AJ7842">
        <v>75.197846260546399</v>
      </c>
      <c r="AK7842">
        <v>7.0380288862980702</v>
      </c>
      <c r="AL7842">
        <v>80.626038100150794</v>
      </c>
      <c r="AM7842">
        <v>94.960811253829206</v>
      </c>
      <c r="AN7842">
        <v>1.0000000177930399</v>
      </c>
    </row>
    <row r="7843" spans="1:40" x14ac:dyDescent="0.25">
      <c r="A7843" t="str">
        <f>"20190304155258916"</f>
        <v>20190304155258916</v>
      </c>
      <c r="B7843" t="str">
        <f>"1551685978904488"</f>
        <v>1551685978904488</v>
      </c>
      <c r="C7843" t="s">
        <v>40</v>
      </c>
      <c r="D7843">
        <v>5.0038119999999999</v>
      </c>
      <c r="E7843">
        <v>0.63546099999999905</v>
      </c>
      <c r="F7843" t="s">
        <v>41</v>
      </c>
      <c r="G7843">
        <v>-133.68860000000001</v>
      </c>
      <c r="H7843" s="1">
        <v>-3.480654E-6</v>
      </c>
      <c r="I7843">
        <v>135.15809999999999</v>
      </c>
      <c r="J7843">
        <v>-140.5453</v>
      </c>
      <c r="K7843">
        <v>1.1121589999999999</v>
      </c>
      <c r="L7843">
        <v>137.08359999999999</v>
      </c>
      <c r="M7843">
        <v>0.99971109999999996</v>
      </c>
      <c r="N7843">
        <v>-2.1621649999999999E-2</v>
      </c>
      <c r="O7843">
        <v>-1.0500890000000001E-2</v>
      </c>
      <c r="P7843">
        <v>0.98709669999999905</v>
      </c>
      <c r="Q7843">
        <v>0.1416172</v>
      </c>
      <c r="R7843">
        <v>7.4732549999999995E-2</v>
      </c>
      <c r="S7843">
        <v>3.177689</v>
      </c>
      <c r="T7843">
        <v>-0.5012567</v>
      </c>
      <c r="U7843">
        <v>-0.86866759999999998</v>
      </c>
      <c r="V7843">
        <v>-8.5151770000000002E-2</v>
      </c>
      <c r="W7843">
        <v>0.16287989999999999</v>
      </c>
      <c r="X7843">
        <v>0.98296459999999997</v>
      </c>
      <c r="Y7843">
        <v>0.25033109999999997</v>
      </c>
      <c r="Z7843">
        <v>-2.0653890000000001E-2</v>
      </c>
      <c r="AA7843">
        <v>0.96794000000000002</v>
      </c>
      <c r="AB7843">
        <v>19</v>
      </c>
      <c r="AC7843">
        <v>6.8566999999999796</v>
      </c>
      <c r="AD7843">
        <v>-1.112162480654</v>
      </c>
      <c r="AE7843">
        <v>-1.92549999999999</v>
      </c>
      <c r="AF7843">
        <v>1.80925495485208</v>
      </c>
      <c r="AG7843">
        <v>-1.112162480654</v>
      </c>
      <c r="AH7843">
        <v>6.71284629692674</v>
      </c>
      <c r="AI7843">
        <v>99.088511406856199</v>
      </c>
      <c r="AJ7843">
        <v>74.915992680387603</v>
      </c>
      <c r="AK7843">
        <v>7.0407822208327397</v>
      </c>
      <c r="AL7843">
        <v>80.625904796492506</v>
      </c>
      <c r="AM7843">
        <v>94.951030353535401</v>
      </c>
      <c r="AN7843">
        <v>1.0000000453056499</v>
      </c>
    </row>
    <row r="7844" spans="1:40" x14ac:dyDescent="0.25">
      <c r="A7844" t="str">
        <f>"20190304155258937"</f>
        <v>20190304155258937</v>
      </c>
      <c r="B7844" t="str">
        <f>"1551685978934744"</f>
        <v>1551685978934744</v>
      </c>
      <c r="C7844" t="s">
        <v>40</v>
      </c>
      <c r="D7844">
        <v>4.9579550000000001</v>
      </c>
      <c r="E7844">
        <v>0.63684859999999999</v>
      </c>
      <c r="F7844" t="s">
        <v>41</v>
      </c>
      <c r="G7844">
        <v>-133.5163</v>
      </c>
      <c r="H7844" s="1">
        <v>-3.5571199999999999E-6</v>
      </c>
      <c r="I7844">
        <v>135.1438</v>
      </c>
      <c r="J7844">
        <v>-140.3689</v>
      </c>
      <c r="K7844">
        <v>1.1122650000000001</v>
      </c>
      <c r="L7844">
        <v>137.08199999999999</v>
      </c>
      <c r="M7844">
        <v>0.99969419999999998</v>
      </c>
      <c r="N7844">
        <v>-2.2514159999999998E-2</v>
      </c>
      <c r="O7844">
        <v>-1.02348E-2</v>
      </c>
      <c r="P7844">
        <v>0.98712820000000001</v>
      </c>
      <c r="Q7844">
        <v>0.14140239999999901</v>
      </c>
      <c r="R7844">
        <v>7.4720839999999997E-2</v>
      </c>
      <c r="S7844">
        <v>3.1777500000000001</v>
      </c>
      <c r="T7844">
        <v>-0.50279890000000005</v>
      </c>
      <c r="U7844">
        <v>-0.87695309999999904</v>
      </c>
      <c r="V7844">
        <v>-8.4875610000000004E-2</v>
      </c>
      <c r="W7844">
        <v>0.1635451</v>
      </c>
      <c r="X7844">
        <v>0.98287800000000003</v>
      </c>
      <c r="Y7844">
        <v>0.25285879999999999</v>
      </c>
      <c r="Z7844">
        <v>-2.1085610000000001E-2</v>
      </c>
      <c r="AA7844">
        <v>0.96727339999999995</v>
      </c>
      <c r="AB7844">
        <v>19</v>
      </c>
      <c r="AC7844">
        <v>6.85259999999999</v>
      </c>
      <c r="AD7844">
        <v>-1.1122685571199999</v>
      </c>
      <c r="AE7844">
        <v>-1.9381999999999899</v>
      </c>
      <c r="AF7844">
        <v>1.8234638762808899</v>
      </c>
      <c r="AG7844">
        <v>-1.1122685571199999</v>
      </c>
      <c r="AH7844">
        <v>6.7084366428228197</v>
      </c>
      <c r="AI7844">
        <v>99.0900633900592</v>
      </c>
      <c r="AJ7844">
        <v>74.793462395971702</v>
      </c>
      <c r="AK7844">
        <v>7.0402616458500296</v>
      </c>
      <c r="AL7844">
        <v>80.587273358014997</v>
      </c>
      <c r="AM7844">
        <v>94.935485516734303</v>
      </c>
      <c r="AN7844">
        <v>1.0000000158954401</v>
      </c>
    </row>
    <row r="7845" spans="1:40" x14ac:dyDescent="0.25">
      <c r="A7845" t="str">
        <f>"20190304155258959"</f>
        <v>20190304155258959</v>
      </c>
      <c r="B7845" t="str">
        <f>"1551685978955240"</f>
        <v>1551685978955240</v>
      </c>
      <c r="C7845" t="s">
        <v>40</v>
      </c>
      <c r="D7845">
        <v>4.9474900000000002</v>
      </c>
      <c r="E7845">
        <v>0.63774940000000002</v>
      </c>
      <c r="F7845" t="s">
        <v>41</v>
      </c>
      <c r="G7845">
        <v>-133.34049999999999</v>
      </c>
      <c r="H7845" s="1">
        <v>-3.636699E-6</v>
      </c>
      <c r="I7845">
        <v>135.12049999999999</v>
      </c>
      <c r="J7845">
        <v>-140.19280000000001</v>
      </c>
      <c r="K7845">
        <v>1.1123620000000001</v>
      </c>
      <c r="L7845">
        <v>137.0806</v>
      </c>
      <c r="M7845">
        <v>0.99967600000000001</v>
      </c>
      <c r="N7845">
        <v>-2.3426329999999999E-2</v>
      </c>
      <c r="O7845">
        <v>-9.9636640000000005E-3</v>
      </c>
      <c r="P7845">
        <v>0.98708090000000004</v>
      </c>
      <c r="Q7845">
        <v>0.14177100000000001</v>
      </c>
      <c r="R7845">
        <v>7.4648880000000001E-2</v>
      </c>
      <c r="S7845">
        <v>3.1783290000000002</v>
      </c>
      <c r="T7845">
        <v>-0.50297559999999997</v>
      </c>
      <c r="U7845">
        <v>-0.88702389999999998</v>
      </c>
      <c r="V7845">
        <v>-8.4534150000000002E-2</v>
      </c>
      <c r="W7845">
        <v>0.1648114</v>
      </c>
      <c r="X7845">
        <v>0.98269589999999996</v>
      </c>
      <c r="Y7845">
        <v>0.25586009999999998</v>
      </c>
      <c r="Z7845">
        <v>-2.1513299999999999E-2</v>
      </c>
      <c r="AA7845">
        <v>0.96647439999999996</v>
      </c>
      <c r="AB7845">
        <v>18</v>
      </c>
      <c r="AC7845">
        <v>6.8523000000000103</v>
      </c>
      <c r="AD7845">
        <v>-1.112365636699</v>
      </c>
      <c r="AE7845">
        <v>-1.9601000000000099</v>
      </c>
      <c r="AF7845">
        <v>1.8467248961404801</v>
      </c>
      <c r="AG7845">
        <v>-1.112365636699</v>
      </c>
      <c r="AH7845">
        <v>6.7080901508248303</v>
      </c>
      <c r="AI7845">
        <v>99.083387172765697</v>
      </c>
      <c r="AJ7845">
        <v>74.607867582419502</v>
      </c>
      <c r="AK7845">
        <v>7.0460076371890796</v>
      </c>
      <c r="AL7845">
        <v>80.513721758862701</v>
      </c>
      <c r="AM7845">
        <v>94.9166336840767</v>
      </c>
      <c r="AN7845">
        <v>1.0000000259814901</v>
      </c>
    </row>
    <row r="7846" spans="1:40" x14ac:dyDescent="0.25">
      <c r="A7846" t="str">
        <f>"20190304155258982"</f>
        <v>20190304155258982</v>
      </c>
      <c r="B7846" t="str">
        <f>"1551685978975268"</f>
        <v>1551685978975268</v>
      </c>
      <c r="C7846" t="s">
        <v>40</v>
      </c>
      <c r="D7846">
        <v>4.958869</v>
      </c>
      <c r="E7846">
        <v>0.6385748</v>
      </c>
      <c r="F7846" t="s">
        <v>41</v>
      </c>
      <c r="G7846">
        <v>-133.1343</v>
      </c>
      <c r="H7846" s="1">
        <v>-3.729431E-6</v>
      </c>
      <c r="I7846">
        <v>135.09630000000001</v>
      </c>
      <c r="J7846">
        <v>-140.0179</v>
      </c>
      <c r="K7846">
        <v>1.1124579999999999</v>
      </c>
      <c r="L7846">
        <v>137.07919999999999</v>
      </c>
      <c r="M7846">
        <v>0.99965720000000002</v>
      </c>
      <c r="N7846">
        <v>-2.4323959999999999E-2</v>
      </c>
      <c r="O7846">
        <v>-9.6894140000000004E-3</v>
      </c>
      <c r="P7846">
        <v>0.98704080000000005</v>
      </c>
      <c r="Q7846">
        <v>0.14216139999999999</v>
      </c>
      <c r="R7846">
        <v>7.4437340000000005E-2</v>
      </c>
      <c r="S7846">
        <v>3.1787869999999998</v>
      </c>
      <c r="T7846">
        <v>-0.50095199999999995</v>
      </c>
      <c r="U7846">
        <v>-0.89360049999999902</v>
      </c>
      <c r="V7846">
        <v>-8.4050159999999999E-2</v>
      </c>
      <c r="W7846">
        <v>0.16608439999999999</v>
      </c>
      <c r="X7846">
        <v>0.98252309999999998</v>
      </c>
      <c r="Y7846">
        <v>0.25792080000000001</v>
      </c>
      <c r="Z7846">
        <v>-2.178045E-2</v>
      </c>
      <c r="AA7846">
        <v>0.96592049999999996</v>
      </c>
      <c r="AB7846">
        <v>18</v>
      </c>
      <c r="AC7846">
        <v>6.8836000000000004</v>
      </c>
      <c r="AD7846">
        <v>-1.112461729431</v>
      </c>
      <c r="AE7846">
        <v>-1.9828999999999699</v>
      </c>
      <c r="AF7846">
        <v>1.8709674267627801</v>
      </c>
      <c r="AG7846">
        <v>-1.112461729431</v>
      </c>
      <c r="AH7846">
        <v>6.7399498367811503</v>
      </c>
      <c r="AI7846">
        <v>99.036688106082295</v>
      </c>
      <c r="AJ7846">
        <v>74.485682310559696</v>
      </c>
      <c r="AK7846">
        <v>7.0827264534063596</v>
      </c>
      <c r="AL7846">
        <v>80.439765223866203</v>
      </c>
      <c r="AM7846">
        <v>94.889476516815904</v>
      </c>
      <c r="AN7846">
        <v>1.00000004967649</v>
      </c>
    </row>
    <row r="7847" spans="1:40" x14ac:dyDescent="0.25">
      <c r="A7847" t="str">
        <f>"20190304155259004"</f>
        <v>20190304155259004</v>
      </c>
      <c r="B7847" t="str">
        <f>"1551685978994788"</f>
        <v>1551685978994788</v>
      </c>
      <c r="C7847" t="s">
        <v>40</v>
      </c>
      <c r="D7847">
        <v>4.6863449999999904</v>
      </c>
      <c r="E7847">
        <v>0.64333430000000003</v>
      </c>
      <c r="F7847" t="s">
        <v>41</v>
      </c>
      <c r="G7847">
        <v>-132.94220000000001</v>
      </c>
      <c r="H7847" s="1">
        <v>-3.8153800000000002E-6</v>
      </c>
      <c r="I7847">
        <v>135.07640000000001</v>
      </c>
      <c r="J7847">
        <v>-139.84399999999999</v>
      </c>
      <c r="K7847">
        <v>1.112554</v>
      </c>
      <c r="L7847">
        <v>137.0779</v>
      </c>
      <c r="M7847">
        <v>0.99963829999999998</v>
      </c>
      <c r="N7847">
        <v>-2.5196960000000001E-2</v>
      </c>
      <c r="O7847">
        <v>-9.4124570000000008E-3</v>
      </c>
      <c r="P7847">
        <v>0.98688730000000002</v>
      </c>
      <c r="Q7847">
        <v>0.1435003</v>
      </c>
      <c r="R7847">
        <v>7.3899339999999994E-2</v>
      </c>
      <c r="S7847">
        <v>3.1792600000000002</v>
      </c>
      <c r="T7847">
        <v>-0.49984960000000001</v>
      </c>
      <c r="U7847">
        <v>-0.89985659999999901</v>
      </c>
      <c r="V7847">
        <v>-8.3237249999999999E-2</v>
      </c>
      <c r="W7847">
        <v>0.16827839999999999</v>
      </c>
      <c r="X7847">
        <v>0.98221890000000001</v>
      </c>
      <c r="Y7847">
        <v>0.25988</v>
      </c>
      <c r="Z7847">
        <v>-2.206895E-2</v>
      </c>
      <c r="AA7847">
        <v>0.96538869999999999</v>
      </c>
      <c r="AB7847">
        <v>18</v>
      </c>
      <c r="AC7847">
        <v>6.9017999999999802</v>
      </c>
      <c r="AD7847">
        <v>-1.11255781538</v>
      </c>
      <c r="AE7847">
        <v>-2.0014999999999898</v>
      </c>
      <c r="AF7847">
        <v>1.8910997891863299</v>
      </c>
      <c r="AG7847">
        <v>-1.11255781538</v>
      </c>
      <c r="AH7847">
        <v>6.7583475351389701</v>
      </c>
      <c r="AI7847">
        <v>99.008162424185201</v>
      </c>
      <c r="AJ7847">
        <v>74.367482702487706</v>
      </c>
      <c r="AK7847">
        <v>7.1055826440160903</v>
      </c>
      <c r="AL7847">
        <v>80.312263473915706</v>
      </c>
      <c r="AM7847">
        <v>94.843905400916398</v>
      </c>
      <c r="AN7847">
        <v>1.0000000136056599</v>
      </c>
    </row>
    <row r="7848" spans="1:40" x14ac:dyDescent="0.25">
      <c r="A7848" t="str">
        <f>"20190304155259026"</f>
        <v>20190304155259026</v>
      </c>
      <c r="B7848" t="str">
        <f>"1551685979015284"</f>
        <v>1551685979015284</v>
      </c>
      <c r="C7848" t="s">
        <v>40</v>
      </c>
      <c r="D7848">
        <v>4.6574669999999996</v>
      </c>
      <c r="E7848">
        <v>0.64737140000000004</v>
      </c>
      <c r="F7848" t="s">
        <v>41</v>
      </c>
      <c r="G7848">
        <v>-132.59950000000001</v>
      </c>
      <c r="H7848" s="1">
        <v>-3.9863969999999998E-6</v>
      </c>
      <c r="I7848">
        <v>134.941</v>
      </c>
      <c r="J7848">
        <v>-139.67660000000001</v>
      </c>
      <c r="K7848">
        <v>1.112635</v>
      </c>
      <c r="L7848">
        <v>137.07660000000001</v>
      </c>
      <c r="M7848">
        <v>0.99961940000000005</v>
      </c>
      <c r="N7848">
        <v>-2.6031909999999998E-2</v>
      </c>
      <c r="O7848">
        <v>-9.1384310000000007E-3</v>
      </c>
      <c r="P7848">
        <v>0.98669549999999995</v>
      </c>
      <c r="Q7848">
        <v>0.1450446</v>
      </c>
      <c r="R7848">
        <v>7.3444280000000001E-2</v>
      </c>
      <c r="S7848">
        <v>3.181168</v>
      </c>
      <c r="T7848">
        <v>-0.48854039999999999</v>
      </c>
      <c r="U7848">
        <v>-0.93832400000000005</v>
      </c>
      <c r="V7848">
        <v>-8.2511009999999996E-2</v>
      </c>
      <c r="W7848">
        <v>0.1706385</v>
      </c>
      <c r="X7848">
        <v>0.98187290000000005</v>
      </c>
      <c r="Y7848">
        <v>0.27074520000000002</v>
      </c>
      <c r="Z7848">
        <v>-2.273089E-2</v>
      </c>
      <c r="AA7848">
        <v>0.96238270000000004</v>
      </c>
      <c r="AB7848">
        <v>17</v>
      </c>
      <c r="AC7848">
        <v>7.0770999999999997</v>
      </c>
      <c r="AD7848">
        <v>-1.1126389863969901</v>
      </c>
      <c r="AE7848">
        <v>-2.1356000000000099</v>
      </c>
      <c r="AF7848">
        <v>2.0249417765974198</v>
      </c>
      <c r="AG7848">
        <v>-1.1126389863969901</v>
      </c>
      <c r="AH7848">
        <v>6.9391264342471803</v>
      </c>
      <c r="AI7848">
        <v>98.750460525211906</v>
      </c>
      <c r="AJ7848">
        <v>73.731958505410603</v>
      </c>
      <c r="AK7848">
        <v>7.3136742054269801</v>
      </c>
      <c r="AL7848">
        <v>80.175054922578298</v>
      </c>
      <c r="AM7848">
        <v>94.8035252927139</v>
      </c>
      <c r="AN7848">
        <v>0.99999997810393904</v>
      </c>
    </row>
    <row r="7849" spans="1:40" x14ac:dyDescent="0.25">
      <c r="A7849" t="str">
        <f>"20190304155259049"</f>
        <v>20190304155259049</v>
      </c>
      <c r="B7849" t="str">
        <f>"1551685979044563"</f>
        <v>1551685979044563</v>
      </c>
      <c r="C7849" t="s">
        <v>40</v>
      </c>
      <c r="D7849">
        <v>4.6800230000000003</v>
      </c>
      <c r="E7849">
        <v>0.65217760000000002</v>
      </c>
      <c r="F7849" t="s">
        <v>41</v>
      </c>
      <c r="G7849">
        <v>-132.26759999999999</v>
      </c>
      <c r="H7849" s="1">
        <v>-4.150941E-6</v>
      </c>
      <c r="I7849">
        <v>134.81610000000001</v>
      </c>
      <c r="J7849">
        <v>-139.50980000000001</v>
      </c>
      <c r="K7849">
        <v>1.112724</v>
      </c>
      <c r="L7849">
        <v>137.07550000000001</v>
      </c>
      <c r="M7849">
        <v>0.99959989999999999</v>
      </c>
      <c r="N7849">
        <v>-2.6872420000000001E-2</v>
      </c>
      <c r="O7849">
        <v>-8.8492680000000004E-3</v>
      </c>
      <c r="P7849">
        <v>0.98657260000000002</v>
      </c>
      <c r="Q7849">
        <v>0.1461665</v>
      </c>
      <c r="R7849">
        <v>7.2869989999999996E-2</v>
      </c>
      <c r="S7849">
        <v>3.1830289999999999</v>
      </c>
      <c r="T7849">
        <v>-0.47800860000000001</v>
      </c>
      <c r="U7849">
        <v>-0.97116089999999999</v>
      </c>
      <c r="V7849">
        <v>-8.1651870000000001E-2</v>
      </c>
      <c r="W7849">
        <v>0.17258280000000001</v>
      </c>
      <c r="X7849">
        <v>0.9816049</v>
      </c>
      <c r="Y7849">
        <v>0.27997820000000001</v>
      </c>
      <c r="Z7849">
        <v>-2.3256499999999999E-2</v>
      </c>
      <c r="AA7849">
        <v>0.95972460000000004</v>
      </c>
      <c r="AB7849">
        <v>17</v>
      </c>
      <c r="AC7849">
        <v>7.24220000000002</v>
      </c>
      <c r="AD7849">
        <v>-1.1127281509410001</v>
      </c>
      <c r="AE7849">
        <v>-2.2593999999999901</v>
      </c>
      <c r="AF7849">
        <v>2.14896948283649</v>
      </c>
      <c r="AG7849">
        <v>-1.1127281509410001</v>
      </c>
      <c r="AH7849">
        <v>7.1089822851614501</v>
      </c>
      <c r="AI7849">
        <v>98.521144685440007</v>
      </c>
      <c r="AJ7849">
        <v>73.180493303042496</v>
      </c>
      <c r="AK7849">
        <v>7.5095847359756496</v>
      </c>
      <c r="AL7849">
        <v>80.061977563883204</v>
      </c>
      <c r="AM7849">
        <v>94.755031269720206</v>
      </c>
      <c r="AN7849">
        <v>1.00000001521717</v>
      </c>
    </row>
    <row r="7850" spans="1:40" x14ac:dyDescent="0.25">
      <c r="A7850" t="str">
        <f>"20190304155259071"</f>
        <v>20190304155259071</v>
      </c>
      <c r="B7850" t="str">
        <f>"1551685979065060"</f>
        <v>1551685979065060</v>
      </c>
      <c r="C7850" t="s">
        <v>40</v>
      </c>
      <c r="D7850">
        <v>4.6607070000000004</v>
      </c>
      <c r="E7850">
        <v>0.65497729999999998</v>
      </c>
      <c r="F7850" t="s">
        <v>41</v>
      </c>
      <c r="G7850">
        <v>-131.9006</v>
      </c>
      <c r="H7850" s="1">
        <v>-4.3360719999999999E-6</v>
      </c>
      <c r="I7850">
        <v>134.65989999999999</v>
      </c>
      <c r="J7850">
        <v>-139.34719999999999</v>
      </c>
      <c r="K7850">
        <v>1.112822</v>
      </c>
      <c r="L7850">
        <v>137.0744</v>
      </c>
      <c r="M7850">
        <v>0.99957980000000002</v>
      </c>
      <c r="N7850">
        <v>-2.7702460000000002E-2</v>
      </c>
      <c r="O7850">
        <v>-8.5439079999999994E-3</v>
      </c>
      <c r="P7850">
        <v>0.98643069999999999</v>
      </c>
      <c r="Q7850">
        <v>0.1472289</v>
      </c>
      <c r="R7850">
        <v>7.265141E-2</v>
      </c>
      <c r="S7850">
        <v>3.1844939999999999</v>
      </c>
      <c r="T7850">
        <v>-0.46568120000000002</v>
      </c>
      <c r="U7850">
        <v>-1.0108950000000001</v>
      </c>
      <c r="V7850">
        <v>-8.1133189999999994E-2</v>
      </c>
      <c r="W7850">
        <v>0.1744561</v>
      </c>
      <c r="X7850">
        <v>0.98131670000000004</v>
      </c>
      <c r="Y7850">
        <v>0.29106729999999997</v>
      </c>
      <c r="Z7850">
        <v>-2.3838829999999998E-2</v>
      </c>
      <c r="AA7850">
        <v>0.95640550000000002</v>
      </c>
      <c r="AB7850">
        <v>16</v>
      </c>
      <c r="AC7850">
        <v>7.4465999999999797</v>
      </c>
      <c r="AD7850">
        <v>-1.1128263360720001</v>
      </c>
      <c r="AE7850">
        <v>-2.4144999999999999</v>
      </c>
      <c r="AF7850">
        <v>2.3042009261829199</v>
      </c>
      <c r="AG7850">
        <v>-1.1128263360720001</v>
      </c>
      <c r="AH7850">
        <v>7.3190612710424103</v>
      </c>
      <c r="AI7850">
        <v>98.251939979503206</v>
      </c>
      <c r="AJ7850">
        <v>72.524855325807806</v>
      </c>
      <c r="AK7850">
        <v>7.7534754950119398</v>
      </c>
      <c r="AL7850">
        <v>79.952991902977502</v>
      </c>
      <c r="AM7850">
        <v>94.726344287929095</v>
      </c>
      <c r="AN7850">
        <v>0.99999999552283803</v>
      </c>
    </row>
    <row r="7851" spans="1:40" x14ac:dyDescent="0.25">
      <c r="A7851" t="str">
        <f>"20190304155259094"</f>
        <v>20190304155259094</v>
      </c>
      <c r="B7851" t="str">
        <f>"1551685979084580"</f>
        <v>1551685979084580</v>
      </c>
      <c r="C7851" t="s">
        <v>40</v>
      </c>
      <c r="D7851">
        <v>4.6689170000000004</v>
      </c>
      <c r="E7851">
        <v>0.65763240000000001</v>
      </c>
      <c r="F7851" t="s">
        <v>41</v>
      </c>
      <c r="G7851">
        <v>-131.60769999999999</v>
      </c>
      <c r="H7851" s="1">
        <v>-4.4787970000000003E-6</v>
      </c>
      <c r="I7851">
        <v>134.56389999999999</v>
      </c>
      <c r="J7851">
        <v>-139.1909</v>
      </c>
      <c r="K7851">
        <v>1.1129089999999999</v>
      </c>
      <c r="L7851">
        <v>137.07339999999999</v>
      </c>
      <c r="M7851">
        <v>0.99956</v>
      </c>
      <c r="N7851">
        <v>-2.8498180000000001E-2</v>
      </c>
      <c r="O7851">
        <v>-8.2294259999999998E-3</v>
      </c>
      <c r="P7851">
        <v>0.98634140000000003</v>
      </c>
      <c r="Q7851">
        <v>0.14809939999999999</v>
      </c>
      <c r="R7851">
        <v>7.209264E-2</v>
      </c>
      <c r="S7851">
        <v>3.1857600000000001</v>
      </c>
      <c r="T7851">
        <v>-0.45806180000000002</v>
      </c>
      <c r="U7851">
        <v>-1.0333559999999999</v>
      </c>
      <c r="V7851">
        <v>-8.0266950000000004E-2</v>
      </c>
      <c r="W7851">
        <v>0.17610479999999901</v>
      </c>
      <c r="X7851">
        <v>0.9810934</v>
      </c>
      <c r="Y7851">
        <v>0.29738199999999998</v>
      </c>
      <c r="Z7851">
        <v>-2.4194199999999999E-2</v>
      </c>
      <c r="AA7851">
        <v>0.95445199999999997</v>
      </c>
      <c r="AB7851">
        <v>16</v>
      </c>
      <c r="AC7851">
        <v>7.5831999999999997</v>
      </c>
      <c r="AD7851">
        <v>-1.1129134787970001</v>
      </c>
      <c r="AE7851">
        <v>-2.5095000000000001</v>
      </c>
      <c r="AF7851">
        <v>2.4003863345169201</v>
      </c>
      <c r="AG7851">
        <v>-1.1129134787970001</v>
      </c>
      <c r="AH7851">
        <v>7.4588078493253702</v>
      </c>
      <c r="AI7851">
        <v>98.083881645949305</v>
      </c>
      <c r="AJ7851">
        <v>72.160836488481905</v>
      </c>
      <c r="AK7851">
        <v>7.9141800269757203</v>
      </c>
      <c r="AL7851">
        <v>79.857042664304799</v>
      </c>
      <c r="AM7851">
        <v>94.6771667741193</v>
      </c>
      <c r="AN7851">
        <v>0.99999997168444998</v>
      </c>
    </row>
    <row r="7852" spans="1:40" x14ac:dyDescent="0.25">
      <c r="A7852" t="str">
        <f>"20190304155259117"</f>
        <v>20190304155259117</v>
      </c>
      <c r="B7852" t="str">
        <f>"1551685979114836"</f>
        <v>1551685979114836</v>
      </c>
      <c r="C7852" t="s">
        <v>40</v>
      </c>
      <c r="D7852">
        <v>4.6625740000000002</v>
      </c>
      <c r="E7852">
        <v>0.66100590000000004</v>
      </c>
      <c r="F7852" t="s">
        <v>41</v>
      </c>
      <c r="G7852">
        <v>-131.33080000000001</v>
      </c>
      <c r="H7852" s="1">
        <v>-4.6142739999999997E-6</v>
      </c>
      <c r="I7852">
        <v>134.46969999999999</v>
      </c>
      <c r="J7852">
        <v>-139.0316</v>
      </c>
      <c r="K7852">
        <v>1.1129869999999999</v>
      </c>
      <c r="L7852">
        <v>137.07249999999999</v>
      </c>
      <c r="M7852">
        <v>0.9995404</v>
      </c>
      <c r="N7852">
        <v>-2.927169E-2</v>
      </c>
      <c r="O7852">
        <v>-7.8842659999999991E-3</v>
      </c>
      <c r="P7852">
        <v>0.98618890000000003</v>
      </c>
      <c r="Q7852">
        <v>0.14917739999999999</v>
      </c>
      <c r="R7852">
        <v>7.1954299999999999E-2</v>
      </c>
      <c r="S7852">
        <v>3.1864319999999999</v>
      </c>
      <c r="T7852">
        <v>-0.45116849999999997</v>
      </c>
      <c r="U7852">
        <v>-1.0555270000000001</v>
      </c>
      <c r="V7852">
        <v>-7.9790650000000005E-2</v>
      </c>
      <c r="W7852">
        <v>0.17793699999999901</v>
      </c>
      <c r="X7852">
        <v>0.98080160000000005</v>
      </c>
      <c r="Y7852">
        <v>0.30365180000000003</v>
      </c>
      <c r="Z7852">
        <v>-2.4569029999999999E-2</v>
      </c>
      <c r="AA7852">
        <v>0.95246620000000004</v>
      </c>
      <c r="AB7852">
        <v>16</v>
      </c>
      <c r="AC7852">
        <v>7.7007999999999797</v>
      </c>
      <c r="AD7852">
        <v>-1.112991614274</v>
      </c>
      <c r="AE7852">
        <v>-2.6027999999999998</v>
      </c>
      <c r="AF7852">
        <v>2.4952000721546499</v>
      </c>
      <c r="AG7852">
        <v>-1.112991614274</v>
      </c>
      <c r="AH7852">
        <v>7.5790059912132302</v>
      </c>
      <c r="AI7852">
        <v>97.9407762080249</v>
      </c>
      <c r="AJ7852">
        <v>71.777150336159096</v>
      </c>
      <c r="AK7852">
        <v>8.0564325571788196</v>
      </c>
      <c r="AL7852">
        <v>79.750380604252399</v>
      </c>
      <c r="AM7852">
        <v>94.650911973577095</v>
      </c>
      <c r="AN7852">
        <v>0.99999995117949003</v>
      </c>
    </row>
    <row r="7853" spans="1:40" x14ac:dyDescent="0.25">
      <c r="A7853" t="str">
        <f>"20190304155259139"</f>
        <v>20190304155259139</v>
      </c>
      <c r="B7853" t="str">
        <f>"1551685979135332"</f>
        <v>1551685979135332</v>
      </c>
      <c r="C7853" t="s">
        <v>40</v>
      </c>
      <c r="D7853">
        <v>4.6747100000000001</v>
      </c>
      <c r="E7853">
        <v>0.66307499999999997</v>
      </c>
      <c r="F7853" t="s">
        <v>41</v>
      </c>
      <c r="G7853">
        <v>-130.98779999999999</v>
      </c>
      <c r="H7853" s="1">
        <v>-4.7844390000000003E-6</v>
      </c>
      <c r="I7853">
        <v>134.3398</v>
      </c>
      <c r="J7853">
        <v>-138.89689999999999</v>
      </c>
      <c r="K7853">
        <v>1.1131059999999999</v>
      </c>
      <c r="L7853">
        <v>137.0718</v>
      </c>
      <c r="M7853">
        <v>0.99951730000000005</v>
      </c>
      <c r="N7853">
        <v>-3.0130759999999999E-2</v>
      </c>
      <c r="O7853">
        <v>-7.5826130000000002E-3</v>
      </c>
      <c r="P7853">
        <v>0.9860025</v>
      </c>
      <c r="Q7853">
        <v>0.1502792</v>
      </c>
      <c r="R7853">
        <v>7.2218149999999995E-2</v>
      </c>
      <c r="S7853">
        <v>3.1877439999999999</v>
      </c>
      <c r="T7853">
        <v>-0.44107879999999999</v>
      </c>
      <c r="U7853">
        <v>-1.082962</v>
      </c>
      <c r="V7853">
        <v>-7.9756930000000004E-2</v>
      </c>
      <c r="W7853">
        <v>0.17987600000000001</v>
      </c>
      <c r="X7853">
        <v>0.98045059999999995</v>
      </c>
      <c r="Y7853">
        <v>0.311222099999999</v>
      </c>
      <c r="Z7853">
        <v>-2.490059E-2</v>
      </c>
      <c r="AA7853">
        <v>0.95001100000000005</v>
      </c>
      <c r="AB7853">
        <v>15</v>
      </c>
      <c r="AC7853">
        <v>7.9090999999999898</v>
      </c>
      <c r="AD7853">
        <v>-1.113110784439</v>
      </c>
      <c r="AE7853">
        <v>-2.73199999999999</v>
      </c>
      <c r="AF7853">
        <v>2.62546296624713</v>
      </c>
      <c r="AG7853">
        <v>-1.113110784439</v>
      </c>
      <c r="AH7853">
        <v>7.7917172304806801</v>
      </c>
      <c r="AI7853">
        <v>97.709793661438795</v>
      </c>
      <c r="AJ7853">
        <v>71.378466661662898</v>
      </c>
      <c r="AK7853">
        <v>8.2971639013182799</v>
      </c>
      <c r="AL7853">
        <v>79.637462351172204</v>
      </c>
      <c r="AM7853">
        <v>94.650612108482804</v>
      </c>
      <c r="AN7853">
        <v>0.99999996114969103</v>
      </c>
    </row>
    <row r="7854" spans="1:40" x14ac:dyDescent="0.25">
      <c r="A7854" t="str">
        <f>"20190304155259160"</f>
        <v>20190304155259160</v>
      </c>
      <c r="B7854" t="str">
        <f>"1551685979154851"</f>
        <v>1551685979154851</v>
      </c>
      <c r="C7854" t="s">
        <v>40</v>
      </c>
      <c r="D7854">
        <v>4.678623</v>
      </c>
      <c r="E7854">
        <v>0.66488049999999999</v>
      </c>
      <c r="F7854" t="s">
        <v>41</v>
      </c>
      <c r="G7854">
        <v>-130.70570000000001</v>
      </c>
      <c r="H7854" s="1">
        <v>-4.9214419999999999E-6</v>
      </c>
      <c r="I7854">
        <v>134.24969999999999</v>
      </c>
      <c r="J7854">
        <v>-138.75799999999899</v>
      </c>
      <c r="K7854">
        <v>1.113308</v>
      </c>
      <c r="L7854">
        <v>137.0712</v>
      </c>
      <c r="M7854">
        <v>0.9994807</v>
      </c>
      <c r="N7854">
        <v>-3.1394430000000001E-2</v>
      </c>
      <c r="O7854">
        <v>-7.2672559999999997E-3</v>
      </c>
      <c r="P7854">
        <v>0.98591150000000005</v>
      </c>
      <c r="Q7854">
        <v>0.15063180000000001</v>
      </c>
      <c r="R7854">
        <v>7.2722309999999998E-2</v>
      </c>
      <c r="S7854">
        <v>3.189117</v>
      </c>
      <c r="T7854">
        <v>-0.43337429999999899</v>
      </c>
      <c r="U7854">
        <v>-1.09874</v>
      </c>
      <c r="V7854">
        <v>-7.9946340000000005E-2</v>
      </c>
      <c r="W7854">
        <v>0.1814672</v>
      </c>
      <c r="X7854">
        <v>0.98014190000000001</v>
      </c>
      <c r="Y7854">
        <v>0.31563459999999899</v>
      </c>
      <c r="Z7854">
        <v>-2.514309E-2</v>
      </c>
      <c r="AA7854">
        <v>0.94854760000000005</v>
      </c>
      <c r="AB7854">
        <v>15</v>
      </c>
      <c r="AC7854">
        <v>8.0522999999999705</v>
      </c>
      <c r="AD7854">
        <v>-1.1133129214419999</v>
      </c>
      <c r="AE7854">
        <v>-2.8215000000000101</v>
      </c>
      <c r="AF7854">
        <v>2.7166264212743698</v>
      </c>
      <c r="AG7854">
        <v>-1.1133129214419999</v>
      </c>
      <c r="AH7854">
        <v>7.93746229236395</v>
      </c>
      <c r="AI7854">
        <v>97.5591814748404</v>
      </c>
      <c r="AJ7854">
        <v>71.106295484101594</v>
      </c>
      <c r="AK7854">
        <v>8.4630273789297892</v>
      </c>
      <c r="AL7854">
        <v>79.544767777628905</v>
      </c>
      <c r="AM7854">
        <v>94.663069673898605</v>
      </c>
      <c r="AN7854">
        <v>0.999999953045421</v>
      </c>
    </row>
    <row r="7855" spans="1:40" x14ac:dyDescent="0.25">
      <c r="A7855" t="str">
        <f>"20190304155259183"</f>
        <v>20190304155259183</v>
      </c>
      <c r="B7855" t="str">
        <f>"1551685979175348"</f>
        <v>1551685979175348</v>
      </c>
      <c r="C7855" t="s">
        <v>40</v>
      </c>
      <c r="D7855">
        <v>4.7012409999999996</v>
      </c>
      <c r="E7855">
        <v>0.66651340000000003</v>
      </c>
      <c r="F7855" t="s">
        <v>41</v>
      </c>
      <c r="G7855">
        <v>-130.47810000000001</v>
      </c>
      <c r="H7855" s="1">
        <v>-5.0300909999999999E-6</v>
      </c>
      <c r="I7855">
        <v>134.1876</v>
      </c>
      <c r="J7855">
        <v>-138.6249</v>
      </c>
      <c r="K7855">
        <v>1.1134790000000001</v>
      </c>
      <c r="L7855">
        <v>137.07060000000001</v>
      </c>
      <c r="M7855">
        <v>0.99944319999999998</v>
      </c>
      <c r="N7855">
        <v>-3.2636690000000003E-2</v>
      </c>
      <c r="O7855">
        <v>-6.9417019999999897E-3</v>
      </c>
      <c r="P7855">
        <v>0.98578209999999999</v>
      </c>
      <c r="Q7855">
        <v>0.1511131</v>
      </c>
      <c r="R7855">
        <v>7.3475620000000005E-2</v>
      </c>
      <c r="S7855">
        <v>3.190369</v>
      </c>
      <c r="T7855">
        <v>-0.4289789</v>
      </c>
      <c r="U7855">
        <v>-1.111084</v>
      </c>
      <c r="V7855">
        <v>-8.0375840000000004E-2</v>
      </c>
      <c r="W7855">
        <v>0.18316399999999999</v>
      </c>
      <c r="X7855">
        <v>0.97979119999999997</v>
      </c>
      <c r="Y7855">
        <v>0.31910339999999998</v>
      </c>
      <c r="Z7855">
        <v>-2.5454959999999999E-2</v>
      </c>
      <c r="AA7855">
        <v>0.94737800000000005</v>
      </c>
      <c r="AB7855">
        <v>14</v>
      </c>
      <c r="AC7855">
        <v>8.1467999999999794</v>
      </c>
      <c r="AD7855">
        <v>-1.1134840300910001</v>
      </c>
      <c r="AE7855">
        <v>-2.883</v>
      </c>
      <c r="AF7855">
        <v>2.7801918324663499</v>
      </c>
      <c r="AG7855">
        <v>-1.1134840300910001</v>
      </c>
      <c r="AH7855">
        <v>8.0332615265483192</v>
      </c>
      <c r="AI7855">
        <v>97.462491268743406</v>
      </c>
      <c r="AJ7855">
        <v>70.9100272984371</v>
      </c>
      <c r="AK7855">
        <v>8.5733659705218308</v>
      </c>
      <c r="AL7855">
        <v>79.445892267522794</v>
      </c>
      <c r="AM7855">
        <v>94.689680481643293</v>
      </c>
      <c r="AN7855">
        <v>1.0000000610745701</v>
      </c>
    </row>
    <row r="7856" spans="1:40" x14ac:dyDescent="0.25">
      <c r="A7856" t="str">
        <f>"20190304155259205"</f>
        <v>20190304155259205</v>
      </c>
      <c r="B7856" t="str">
        <f>"1551685979194868"</f>
        <v>1551685979194868</v>
      </c>
      <c r="C7856" t="s">
        <v>40</v>
      </c>
      <c r="D7856">
        <v>4.6913220000000004</v>
      </c>
      <c r="E7856">
        <v>0.66798019999999902</v>
      </c>
      <c r="F7856" t="s">
        <v>41</v>
      </c>
      <c r="G7856">
        <v>-130.256</v>
      </c>
      <c r="H7856" s="1">
        <v>-5.1354930000000002E-6</v>
      </c>
      <c r="I7856">
        <v>134.13069999999999</v>
      </c>
      <c r="J7856">
        <v>-138.49189999999999</v>
      </c>
      <c r="K7856">
        <v>1.113507</v>
      </c>
      <c r="L7856">
        <v>137.0701</v>
      </c>
      <c r="M7856">
        <v>0.99942279999999994</v>
      </c>
      <c r="N7856">
        <v>-3.3329579999999998E-2</v>
      </c>
      <c r="O7856">
        <v>-6.5721119999999997E-3</v>
      </c>
      <c r="P7856">
        <v>0.98563250000000002</v>
      </c>
      <c r="Q7856">
        <v>0.15164430000000001</v>
      </c>
      <c r="R7856">
        <v>7.4383160000000004E-2</v>
      </c>
      <c r="S7856">
        <v>3.1919400000000002</v>
      </c>
      <c r="T7856">
        <v>-0.42468739999999999</v>
      </c>
      <c r="U7856">
        <v>-1.1212770000000001</v>
      </c>
      <c r="V7856">
        <v>-8.0921199999999999E-2</v>
      </c>
      <c r="W7856">
        <v>0.18436810000000001</v>
      </c>
      <c r="X7856">
        <v>0.97952039999999996</v>
      </c>
      <c r="Y7856">
        <v>0.3220191</v>
      </c>
      <c r="Z7856">
        <v>-2.5633429999999999E-2</v>
      </c>
      <c r="AA7856">
        <v>0.94638610000000001</v>
      </c>
      <c r="AB7856">
        <v>14</v>
      </c>
      <c r="AC7856">
        <v>8.2358999999999796</v>
      </c>
      <c r="AD7856">
        <v>-1.113512135493</v>
      </c>
      <c r="AE7856">
        <v>-2.9394</v>
      </c>
      <c r="AF7856">
        <v>2.83914437110352</v>
      </c>
      <c r="AG7856">
        <v>-1.113512135493</v>
      </c>
      <c r="AH7856">
        <v>8.1233365465225091</v>
      </c>
      <c r="AI7856">
        <v>97.373104902509596</v>
      </c>
      <c r="AJ7856">
        <v>70.735238857375904</v>
      </c>
      <c r="AK7856">
        <v>8.6769376328245702</v>
      </c>
      <c r="AL7856">
        <v>79.375706784632897</v>
      </c>
      <c r="AM7856">
        <v>94.722656546400898</v>
      </c>
      <c r="AN7856">
        <v>1.0000000254615999</v>
      </c>
    </row>
    <row r="7857" spans="1:40" x14ac:dyDescent="0.25">
      <c r="A7857" t="str">
        <f>"20190304155259250"</f>
        <v>20190304155259250</v>
      </c>
      <c r="B7857" t="str">
        <f>"1551685979244647"</f>
        <v>1551685979244647</v>
      </c>
      <c r="C7857" t="s">
        <v>40</v>
      </c>
      <c r="D7857">
        <v>4.5730209999999998</v>
      </c>
      <c r="E7857">
        <v>0.51918209999999998</v>
      </c>
      <c r="F7857" t="s">
        <v>41</v>
      </c>
      <c r="G7857">
        <v>-130.0317</v>
      </c>
      <c r="H7857" s="1">
        <v>-5.2413549999999997E-6</v>
      </c>
      <c r="I7857">
        <v>134.0763</v>
      </c>
      <c r="J7857">
        <v>-138.24019999999999</v>
      </c>
      <c r="K7857">
        <v>1.1132329999999999</v>
      </c>
      <c r="L7857">
        <v>137.06950000000001</v>
      </c>
      <c r="M7857">
        <v>0.99943669999999996</v>
      </c>
      <c r="N7857">
        <v>-3.3058799999999999E-2</v>
      </c>
      <c r="O7857">
        <v>-5.8047269999999896E-3</v>
      </c>
      <c r="P7857">
        <v>0.9854813</v>
      </c>
      <c r="Q7857">
        <v>0.1517597</v>
      </c>
      <c r="R7857">
        <v>7.6132359999999996E-2</v>
      </c>
      <c r="S7857">
        <v>3.1937099999999998</v>
      </c>
      <c r="T7857">
        <v>-0.42035149999999999</v>
      </c>
      <c r="U7857">
        <v>-1.1301730000000001</v>
      </c>
      <c r="V7857">
        <v>-8.1925499999999998E-2</v>
      </c>
      <c r="W7857">
        <v>0.18420919999999999</v>
      </c>
      <c r="X7857">
        <v>0.97946679999999997</v>
      </c>
      <c r="Y7857">
        <v>0.3249611</v>
      </c>
      <c r="Z7857">
        <v>-2.5678380000000001E-2</v>
      </c>
      <c r="AA7857">
        <v>0.94537870000000002</v>
      </c>
      <c r="AB7857">
        <v>13</v>
      </c>
      <c r="AC7857">
        <v>8.2084999999999795</v>
      </c>
      <c r="AD7857">
        <v>-1.1132382413549999</v>
      </c>
      <c r="AE7857">
        <v>-2.9931999999999999</v>
      </c>
      <c r="AF7857">
        <v>2.89842175389047</v>
      </c>
      <c r="AG7857">
        <v>-1.1132382413549999</v>
      </c>
      <c r="AH7857">
        <v>8.0943404775942103</v>
      </c>
      <c r="AI7857">
        <v>97.377725891757393</v>
      </c>
      <c r="AJ7857">
        <v>70.298567792194603</v>
      </c>
      <c r="AK7857">
        <v>8.6693999684326908</v>
      </c>
      <c r="AL7857">
        <v>79.384969621561794</v>
      </c>
      <c r="AM7857">
        <v>94.781259055163801</v>
      </c>
      <c r="AN7857">
        <v>1.0000000146085599</v>
      </c>
    </row>
    <row r="7858" spans="1:40" x14ac:dyDescent="0.25">
      <c r="A7858" t="str">
        <f>"20190304155259271"</f>
        <v>20190304155259271</v>
      </c>
      <c r="B7858" t="str">
        <f>"1551685979265140"</f>
        <v>1551685979265140</v>
      </c>
      <c r="C7858" t="s">
        <v>40</v>
      </c>
      <c r="D7858">
        <v>4.8142449999999997</v>
      </c>
      <c r="E7858">
        <v>0.51688489999999998</v>
      </c>
      <c r="F7858" t="s">
        <v>41</v>
      </c>
      <c r="G7858">
        <v>-127.0305</v>
      </c>
      <c r="H7858" s="1">
        <v>-1.669097E-6</v>
      </c>
      <c r="I7858">
        <v>137.2886</v>
      </c>
      <c r="J7858">
        <v>-138.12379999999999</v>
      </c>
      <c r="K7858">
        <v>1.113194</v>
      </c>
      <c r="L7858">
        <v>137.0693</v>
      </c>
      <c r="M7858">
        <v>0.99943660000000001</v>
      </c>
      <c r="N7858">
        <v>-3.3121289999999998E-2</v>
      </c>
      <c r="O7858">
        <v>-5.4391419999999897E-3</v>
      </c>
      <c r="P7858">
        <v>0.98557360000000005</v>
      </c>
      <c r="Q7858">
        <v>0.15084049999999999</v>
      </c>
      <c r="R7858">
        <v>7.6757279999999997E-2</v>
      </c>
      <c r="S7858">
        <v>3.0867610000000001</v>
      </c>
      <c r="T7858">
        <v>-0.30654599999999999</v>
      </c>
      <c r="U7858">
        <v>6.0348510000000001E-2</v>
      </c>
      <c r="V7858">
        <v>-8.2184950000000007E-2</v>
      </c>
      <c r="W7858">
        <v>0.18335760000000001</v>
      </c>
      <c r="X7858">
        <v>0.97960480000000005</v>
      </c>
      <c r="Y7858">
        <v>-2.4812979999999998E-2</v>
      </c>
      <c r="Z7858">
        <v>2.000267E-3</v>
      </c>
      <c r="AA7858">
        <v>0.99969010000000003</v>
      </c>
      <c r="AB7858">
        <v>12</v>
      </c>
      <c r="AC7858">
        <v>11.0932999999999</v>
      </c>
      <c r="AD7858">
        <v>-1.113195669097</v>
      </c>
      <c r="AE7858">
        <v>0.21930000000000399</v>
      </c>
      <c r="AF7858">
        <v>-0.27688085617052299</v>
      </c>
      <c r="AG7858">
        <v>-1.113195669097</v>
      </c>
      <c r="AH7858">
        <v>10.9814047482554</v>
      </c>
      <c r="AI7858">
        <v>95.786529144364295</v>
      </c>
      <c r="AJ7858">
        <v>91.444327423489398</v>
      </c>
      <c r="AK7858">
        <v>11.041155639298699</v>
      </c>
      <c r="AL7858">
        <v>79.434607735635396</v>
      </c>
      <c r="AM7858">
        <v>94.795657780529396</v>
      </c>
      <c r="AN7858">
        <v>0.99999996983365003</v>
      </c>
    </row>
    <row r="7859" spans="1:40" x14ac:dyDescent="0.25">
      <c r="A7859" t="str">
        <f>"20190304155259295"</f>
        <v>20190304155259295</v>
      </c>
      <c r="B7859" t="str">
        <f>"1551685979284660"</f>
        <v>1551685979284660</v>
      </c>
      <c r="C7859" t="s">
        <v>40</v>
      </c>
      <c r="D7859">
        <v>4.7517800000000001</v>
      </c>
      <c r="E7859">
        <v>0.51729759999999902</v>
      </c>
      <c r="F7859" t="s">
        <v>41</v>
      </c>
      <c r="G7859">
        <v>-124.9479</v>
      </c>
      <c r="H7859" s="1">
        <v>-2.539737E-6</v>
      </c>
      <c r="I7859">
        <v>137.41720000000001</v>
      </c>
      <c r="J7859">
        <v>-138.0044</v>
      </c>
      <c r="K7859">
        <v>1.1131949999999999</v>
      </c>
      <c r="L7859">
        <v>137.06909999999999</v>
      </c>
      <c r="M7859">
        <v>0.99943159999999998</v>
      </c>
      <c r="N7859">
        <v>-3.3334009999999997E-2</v>
      </c>
      <c r="O7859">
        <v>-5.0509309999999998E-3</v>
      </c>
      <c r="P7859">
        <v>0.98566790000000004</v>
      </c>
      <c r="Q7859">
        <v>0.14979479999999901</v>
      </c>
      <c r="R7859">
        <v>7.7592930000000004E-2</v>
      </c>
      <c r="S7859">
        <v>3.0773929999999998</v>
      </c>
      <c r="T7859">
        <v>-0.25999879999999997</v>
      </c>
      <c r="U7859">
        <v>8.1268309999999996E-2</v>
      </c>
      <c r="V7859">
        <v>-8.2626690000000003E-2</v>
      </c>
      <c r="W7859">
        <v>0.18252969999999999</v>
      </c>
      <c r="X7859">
        <v>0.97972230000000005</v>
      </c>
      <c r="Y7859">
        <v>-3.1288459999999997E-2</v>
      </c>
      <c r="Z7859">
        <v>2.0998739999999998E-3</v>
      </c>
      <c r="AA7859">
        <v>0.99950819999999996</v>
      </c>
      <c r="AB7859">
        <v>12</v>
      </c>
      <c r="AC7859">
        <v>13.0565</v>
      </c>
      <c r="AD7859">
        <v>-1.113197539737</v>
      </c>
      <c r="AE7859">
        <v>0.34810000000001601</v>
      </c>
      <c r="AF7859">
        <v>-0.41109347083060399</v>
      </c>
      <c r="AG7859">
        <v>-1.113197539737</v>
      </c>
      <c r="AH7859">
        <v>12.9604280998247</v>
      </c>
      <c r="AI7859">
        <v>94.906746619601407</v>
      </c>
      <c r="AJ7859">
        <v>91.816763013058406</v>
      </c>
      <c r="AK7859">
        <v>13.014641875017601</v>
      </c>
      <c r="AL7859">
        <v>79.4828577690744</v>
      </c>
      <c r="AM7859">
        <v>94.820737512526605</v>
      </c>
      <c r="AN7859">
        <v>1.00000002319986</v>
      </c>
    </row>
    <row r="7860" spans="1:40" x14ac:dyDescent="0.25">
      <c r="A7860" t="str">
        <f>"20190304155259317"</f>
        <v>20190304155259317</v>
      </c>
      <c r="B7860" t="str">
        <f>"1551685979314916"</f>
        <v>1551685979314916</v>
      </c>
      <c r="C7860" t="s">
        <v>40</v>
      </c>
      <c r="D7860">
        <v>4.7455530000000001</v>
      </c>
      <c r="E7860">
        <v>0.51744630000000003</v>
      </c>
      <c r="F7860" t="s">
        <v>41</v>
      </c>
      <c r="G7860">
        <v>-124.63509999999999</v>
      </c>
      <c r="H7860" s="1">
        <v>-2.6728850000000001E-6</v>
      </c>
      <c r="I7860">
        <v>137.4229</v>
      </c>
      <c r="J7860">
        <v>-137.8931</v>
      </c>
      <c r="K7860">
        <v>1.113189</v>
      </c>
      <c r="L7860">
        <v>137.06899999999999</v>
      </c>
      <c r="M7860">
        <v>0.99942889999999995</v>
      </c>
      <c r="N7860">
        <v>-3.3465259999999997E-2</v>
      </c>
      <c r="O7860">
        <v>-4.6903719999999999E-3</v>
      </c>
      <c r="P7860">
        <v>0.98561279999999996</v>
      </c>
      <c r="Q7860">
        <v>0.1497908</v>
      </c>
      <c r="R7860">
        <v>7.8296169999999998E-2</v>
      </c>
      <c r="S7860">
        <v>3.0761409999999998</v>
      </c>
      <c r="T7860">
        <v>-0.25613590000000003</v>
      </c>
      <c r="U7860">
        <v>8.1405640000000001E-2</v>
      </c>
      <c r="V7860">
        <v>-8.2964309999999999E-2</v>
      </c>
      <c r="W7860">
        <v>0.18265819999999999</v>
      </c>
      <c r="X7860">
        <v>0.97966980000000004</v>
      </c>
      <c r="Y7860">
        <v>-3.098911E-2</v>
      </c>
      <c r="Z7860">
        <v>2.0407200000000002E-3</v>
      </c>
      <c r="AA7860">
        <v>0.99951760000000001</v>
      </c>
      <c r="AB7860">
        <v>12</v>
      </c>
      <c r="AC7860">
        <v>13.257999999999999</v>
      </c>
      <c r="AD7860">
        <v>-1.113191672885</v>
      </c>
      <c r="AE7860">
        <v>0.35390000000000998</v>
      </c>
      <c r="AF7860">
        <v>-0.41320491840184398</v>
      </c>
      <c r="AG7860">
        <v>-1.113191672885</v>
      </c>
      <c r="AH7860">
        <v>13.1634579672554</v>
      </c>
      <c r="AI7860">
        <v>94.831451724055199</v>
      </c>
      <c r="AJ7860">
        <v>91.797941431719707</v>
      </c>
      <c r="AK7860">
        <v>13.216904314584101</v>
      </c>
      <c r="AL7860">
        <v>79.475369185489399</v>
      </c>
      <c r="AM7860">
        <v>94.840600235133707</v>
      </c>
      <c r="AN7860">
        <v>1.0000000058965199</v>
      </c>
    </row>
    <row r="7861" spans="1:40" x14ac:dyDescent="0.25">
      <c r="A7861" t="str">
        <f>"20190304155259339"</f>
        <v>20190304155259339</v>
      </c>
      <c r="B7861" t="str">
        <f>"1551685979334436"</f>
        <v>1551685979334436</v>
      </c>
      <c r="C7861" t="s">
        <v>40</v>
      </c>
      <c r="D7861">
        <v>4.7713169999999998</v>
      </c>
      <c r="E7861">
        <v>0.51731499999999997</v>
      </c>
      <c r="F7861" t="s">
        <v>41</v>
      </c>
      <c r="G7861">
        <v>-123.7021</v>
      </c>
      <c r="H7861" s="1">
        <v>-3.0681400000000002E-6</v>
      </c>
      <c r="I7861">
        <v>137.4511</v>
      </c>
      <c r="J7861">
        <v>-137.79050000000001</v>
      </c>
      <c r="K7861">
        <v>1.1131660000000001</v>
      </c>
      <c r="L7861">
        <v>137.06890000000001</v>
      </c>
      <c r="M7861">
        <v>0.99943040000000005</v>
      </c>
      <c r="N7861">
        <v>-3.3463449999999999E-2</v>
      </c>
      <c r="O7861">
        <v>-4.3767500000000004E-3</v>
      </c>
      <c r="P7861">
        <v>0.98548530000000001</v>
      </c>
      <c r="Q7861">
        <v>0.15018110000000001</v>
      </c>
      <c r="R7861">
        <v>7.9147389999999998E-2</v>
      </c>
      <c r="S7861">
        <v>3.073868</v>
      </c>
      <c r="T7861">
        <v>-0.24112459999999999</v>
      </c>
      <c r="U7861">
        <v>8.2763669999999998E-2</v>
      </c>
      <c r="V7861">
        <v>-8.3500060000000001E-2</v>
      </c>
      <c r="W7861">
        <v>0.18304590000000001</v>
      </c>
      <c r="X7861">
        <v>0.97955190000000003</v>
      </c>
      <c r="Y7861">
        <v>-3.115151E-2</v>
      </c>
      <c r="Z7861">
        <v>1.938719E-3</v>
      </c>
      <c r="AA7861">
        <v>0.99951279999999998</v>
      </c>
      <c r="AB7861">
        <v>11</v>
      </c>
      <c r="AC7861">
        <v>14.0884</v>
      </c>
      <c r="AD7861">
        <v>-1.1131690681399999</v>
      </c>
      <c r="AE7861">
        <v>0.382199999999983</v>
      </c>
      <c r="AF7861">
        <v>-0.44114024215186198</v>
      </c>
      <c r="AG7861">
        <v>-1.1131690681399999</v>
      </c>
      <c r="AH7861">
        <v>13.99925696997</v>
      </c>
      <c r="AI7861">
        <v>94.544136157630305</v>
      </c>
      <c r="AJ7861">
        <v>91.804889574843699</v>
      </c>
      <c r="AK7861">
        <v>14.0503717316932</v>
      </c>
      <c r="AL7861">
        <v>79.4527745424638</v>
      </c>
      <c r="AM7861">
        <v>94.872292455252307</v>
      </c>
      <c r="AN7861">
        <v>0.99999999316021104</v>
      </c>
    </row>
    <row r="7862" spans="1:40" x14ac:dyDescent="0.25">
      <c r="A7862" t="str">
        <f>"20190304155259361"</f>
        <v>20190304155259361</v>
      </c>
      <c r="B7862" t="str">
        <f>"1551685979354931"</f>
        <v>1551685979354931</v>
      </c>
      <c r="C7862" t="s">
        <v>40</v>
      </c>
      <c r="D7862">
        <v>4.7162989999999896</v>
      </c>
      <c r="E7862">
        <v>0.51728580000000002</v>
      </c>
      <c r="F7862" t="s">
        <v>41</v>
      </c>
      <c r="G7862">
        <v>-123.16849999999999</v>
      </c>
      <c r="H7862" s="1">
        <v>-3.2915320000000002E-6</v>
      </c>
      <c r="I7862">
        <v>137.48220000000001</v>
      </c>
      <c r="J7862">
        <v>-137.68780000000001</v>
      </c>
      <c r="K7862">
        <v>1.113132</v>
      </c>
      <c r="L7862">
        <v>137.06880000000001</v>
      </c>
      <c r="M7862">
        <v>0.99943349999999997</v>
      </c>
      <c r="N7862">
        <v>-3.3407640000000002E-2</v>
      </c>
      <c r="O7862">
        <v>-4.0853950000000003E-3</v>
      </c>
      <c r="P7862">
        <v>0.98522509999999996</v>
      </c>
      <c r="Q7862">
        <v>0.15133920000000001</v>
      </c>
      <c r="R7862">
        <v>8.0175699999999905E-2</v>
      </c>
      <c r="S7862">
        <v>3.0728610000000001</v>
      </c>
      <c r="T7862">
        <v>-0.23393649999999999</v>
      </c>
      <c r="U7862">
        <v>8.6868290000000001E-2</v>
      </c>
      <c r="V7862">
        <v>-8.4235420000000005E-2</v>
      </c>
      <c r="W7862">
        <v>0.18414269999999999</v>
      </c>
      <c r="X7862">
        <v>0.97928329999999997</v>
      </c>
      <c r="Y7862">
        <v>-3.2206159999999998E-2</v>
      </c>
      <c r="Z7862">
        <v>1.937385E-3</v>
      </c>
      <c r="AA7862">
        <v>0.99947940000000002</v>
      </c>
      <c r="AB7862">
        <v>11</v>
      </c>
      <c r="AC7862">
        <v>14.519299999999999</v>
      </c>
      <c r="AD7862">
        <v>-1.1131352915320001</v>
      </c>
      <c r="AE7862">
        <v>0.41339999999999499</v>
      </c>
      <c r="AF7862">
        <v>-0.469986564007286</v>
      </c>
      <c r="AG7862">
        <v>-1.1131352915320001</v>
      </c>
      <c r="AH7862">
        <v>14.432726888244</v>
      </c>
      <c r="AI7862">
        <v>94.407923511551004</v>
      </c>
      <c r="AJ7862">
        <v>91.865117692021499</v>
      </c>
      <c r="AK7862">
        <v>14.483216596400201</v>
      </c>
      <c r="AL7862">
        <v>79.388845527151801</v>
      </c>
      <c r="AM7862">
        <v>94.916333481164401</v>
      </c>
      <c r="AN7862">
        <v>0.99999996080237696</v>
      </c>
    </row>
    <row r="7863" spans="1:40" x14ac:dyDescent="0.25">
      <c r="A7863" t="str">
        <f>"20190304155259384"</f>
        <v>20190304155259384</v>
      </c>
      <c r="B7863" t="str">
        <f>"1551685979374452"</f>
        <v>1551685979374452</v>
      </c>
      <c r="C7863" t="s">
        <v>40</v>
      </c>
      <c r="D7863">
        <v>4.6942110000000001</v>
      </c>
      <c r="E7863">
        <v>0.51727909999999999</v>
      </c>
      <c r="F7863" t="s">
        <v>41</v>
      </c>
      <c r="G7863">
        <v>-122.5515</v>
      </c>
      <c r="H7863" s="1">
        <v>-3.5504400000000002E-6</v>
      </c>
      <c r="I7863">
        <v>137.51490000000001</v>
      </c>
      <c r="J7863">
        <v>-137.5873</v>
      </c>
      <c r="K7863">
        <v>1.113116</v>
      </c>
      <c r="L7863">
        <v>137.06880000000001</v>
      </c>
      <c r="M7863">
        <v>0.99943570000000004</v>
      </c>
      <c r="N7863">
        <v>-3.337495E-2</v>
      </c>
      <c r="O7863">
        <v>-3.8079289999999998E-3</v>
      </c>
      <c r="P7863">
        <v>0.98504139999999996</v>
      </c>
      <c r="Q7863">
        <v>0.15208859999999999</v>
      </c>
      <c r="R7863">
        <v>8.1010070000000003E-2</v>
      </c>
      <c r="S7863">
        <v>3.072327</v>
      </c>
      <c r="T7863">
        <v>-0.22594020000000001</v>
      </c>
      <c r="U7863">
        <v>9.0545650000000005E-2</v>
      </c>
      <c r="V7863">
        <v>-8.4788370000000002E-2</v>
      </c>
      <c r="W7863">
        <v>0.18485740000000001</v>
      </c>
      <c r="X7863">
        <v>0.97910090000000005</v>
      </c>
      <c r="Y7863">
        <v>-3.3133540000000003E-2</v>
      </c>
      <c r="Z7863">
        <v>1.923295E-3</v>
      </c>
      <c r="AA7863">
        <v>0.99944909999999998</v>
      </c>
      <c r="AB7863">
        <v>11</v>
      </c>
      <c r="AC7863">
        <v>15.035799999999901</v>
      </c>
      <c r="AD7863">
        <v>-1.11311955044</v>
      </c>
      <c r="AE7863">
        <v>0.446100000000001</v>
      </c>
      <c r="AF7863">
        <v>-0.50064250897238904</v>
      </c>
      <c r="AG7863">
        <v>-1.11311955044</v>
      </c>
      <c r="AH7863">
        <v>14.952116245845501</v>
      </c>
      <c r="AI7863">
        <v>94.255190165949898</v>
      </c>
      <c r="AJ7863">
        <v>91.917721205935507</v>
      </c>
      <c r="AK7863">
        <v>15.001848495590099</v>
      </c>
      <c r="AL7863">
        <v>79.347180829476599</v>
      </c>
      <c r="AM7863">
        <v>94.949363526335802</v>
      </c>
      <c r="AN7863">
        <v>0.999999949201412</v>
      </c>
    </row>
    <row r="7864" spans="1:40" x14ac:dyDescent="0.25">
      <c r="A7864" t="str">
        <f>"20190304155259406"</f>
        <v>20190304155259406</v>
      </c>
      <c r="B7864" t="str">
        <f>"1551685979394948"</f>
        <v>1551685979394948</v>
      </c>
      <c r="C7864" t="s">
        <v>40</v>
      </c>
      <c r="D7864">
        <v>4.7269220000000001</v>
      </c>
      <c r="E7864">
        <v>0.51742809999999995</v>
      </c>
      <c r="F7864" t="s">
        <v>41</v>
      </c>
      <c r="G7864">
        <v>-122.03440000000001</v>
      </c>
      <c r="H7864" s="1">
        <v>-3.7676690000000001E-6</v>
      </c>
      <c r="I7864">
        <v>137.54069999999999</v>
      </c>
      <c r="J7864">
        <v>-137.49209999999999</v>
      </c>
      <c r="K7864">
        <v>1.1131169999999999</v>
      </c>
      <c r="L7864">
        <v>137.06880000000001</v>
      </c>
      <c r="M7864">
        <v>0.99943669999999996</v>
      </c>
      <c r="N7864">
        <v>-3.337478E-2</v>
      </c>
      <c r="O7864">
        <v>-3.5418189999999999E-3</v>
      </c>
      <c r="P7864">
        <v>0.98490829999999996</v>
      </c>
      <c r="Q7864">
        <v>0.1525647</v>
      </c>
      <c r="R7864">
        <v>8.1728770000000006E-2</v>
      </c>
      <c r="S7864">
        <v>3.0718380000000001</v>
      </c>
      <c r="T7864">
        <v>-0.21985199999999999</v>
      </c>
      <c r="U7864">
        <v>9.3215939999999997E-2</v>
      </c>
      <c r="V7864">
        <v>-8.5236729999999997E-2</v>
      </c>
      <c r="W7864">
        <v>0.185333</v>
      </c>
      <c r="X7864">
        <v>0.97897210000000001</v>
      </c>
      <c r="Y7864">
        <v>-3.3744150000000001E-2</v>
      </c>
      <c r="Z7864">
        <v>1.90514E-3</v>
      </c>
      <c r="AA7864">
        <v>0.99942869999999995</v>
      </c>
      <c r="AB7864">
        <v>10</v>
      </c>
      <c r="AC7864">
        <v>15.4576999999999</v>
      </c>
      <c r="AD7864">
        <v>-1.11312076766899</v>
      </c>
      <c r="AE7864">
        <v>0.47189999999997601</v>
      </c>
      <c r="AF7864">
        <v>-0.52396142726905703</v>
      </c>
      <c r="AG7864">
        <v>-1.11312076766899</v>
      </c>
      <c r="AH7864">
        <v>15.3762704450667</v>
      </c>
      <c r="AI7864">
        <v>94.138146350580598</v>
      </c>
      <c r="AJ7864">
        <v>91.951654456271001</v>
      </c>
      <c r="AK7864">
        <v>15.425409758593499</v>
      </c>
      <c r="AL7864">
        <v>79.319452328509598</v>
      </c>
      <c r="AM7864">
        <v>94.976055988620303</v>
      </c>
      <c r="AN7864">
        <v>0.999999996804251</v>
      </c>
    </row>
    <row r="7865" spans="1:40" x14ac:dyDescent="0.25">
      <c r="A7865" t="str">
        <f>"20190304155259429"</f>
        <v>20190304155259429</v>
      </c>
      <c r="B7865" t="str">
        <f>"1551685979425206"</f>
        <v>1551685979425206</v>
      </c>
      <c r="C7865" t="s">
        <v>40</v>
      </c>
      <c r="D7865">
        <v>4.7282449999999896</v>
      </c>
      <c r="E7865">
        <v>0.51813690000000001</v>
      </c>
      <c r="F7865" t="s">
        <v>41</v>
      </c>
      <c r="G7865">
        <v>-121.6995</v>
      </c>
      <c r="H7865" s="1">
        <v>-3.9092529999999998E-6</v>
      </c>
      <c r="I7865">
        <v>137.55269999999999</v>
      </c>
      <c r="J7865">
        <v>-137.4016</v>
      </c>
      <c r="K7865">
        <v>1.113129</v>
      </c>
      <c r="L7865">
        <v>137.06880000000001</v>
      </c>
      <c r="M7865">
        <v>0.99943760000000004</v>
      </c>
      <c r="N7865">
        <v>-3.3372899999999997E-2</v>
      </c>
      <c r="O7865">
        <v>-3.2874050000000002E-3</v>
      </c>
      <c r="P7865">
        <v>0.98474830000000002</v>
      </c>
      <c r="Q7865">
        <v>0.15321479999999901</v>
      </c>
      <c r="R7865">
        <v>8.2437570000000002E-2</v>
      </c>
      <c r="S7865">
        <v>3.0717159999999999</v>
      </c>
      <c r="T7865">
        <v>-0.21650549999999999</v>
      </c>
      <c r="U7865">
        <v>9.4131469999999995E-2</v>
      </c>
      <c r="V7865">
        <v>-8.5687760000000002E-2</v>
      </c>
      <c r="W7865">
        <v>0.1859787</v>
      </c>
      <c r="X7865">
        <v>0.97881030000000002</v>
      </c>
      <c r="Y7865">
        <v>-3.37919E-2</v>
      </c>
      <c r="Z7865">
        <v>1.876047E-3</v>
      </c>
      <c r="AA7865">
        <v>0.99942710000000001</v>
      </c>
      <c r="AB7865">
        <v>10</v>
      </c>
      <c r="AC7865">
        <v>15.7021</v>
      </c>
      <c r="AD7865">
        <v>-1.113132909253</v>
      </c>
      <c r="AE7865">
        <v>0.48389999999997702</v>
      </c>
      <c r="AF7865">
        <v>-0.53286991939717199</v>
      </c>
      <c r="AG7865">
        <v>-1.113132909253</v>
      </c>
      <c r="AH7865">
        <v>15.6219897059158</v>
      </c>
      <c r="AI7865">
        <v>94.073317559012693</v>
      </c>
      <c r="AJ7865">
        <v>91.9536157133724</v>
      </c>
      <c r="AK7865">
        <v>15.670659769020499</v>
      </c>
      <c r="AL7865">
        <v>79.281802310991694</v>
      </c>
      <c r="AM7865">
        <v>95.003076221108401</v>
      </c>
      <c r="AN7865">
        <v>1.00000003622679</v>
      </c>
    </row>
    <row r="7866" spans="1:40" x14ac:dyDescent="0.25">
      <c r="A7866" t="str">
        <f>"20190304155259452"</f>
        <v>20190304155259452</v>
      </c>
      <c r="B7866" t="str">
        <f>"1551685979444724"</f>
        <v>1551685979444724</v>
      </c>
      <c r="C7866" t="s">
        <v>40</v>
      </c>
      <c r="D7866">
        <v>4.6309420000000001</v>
      </c>
      <c r="E7866">
        <v>0.51831689999999997</v>
      </c>
      <c r="F7866" t="s">
        <v>41</v>
      </c>
      <c r="G7866">
        <v>-121.4659</v>
      </c>
      <c r="H7866" s="1">
        <v>-4.011569E-6</v>
      </c>
      <c r="I7866">
        <v>137.54079999999999</v>
      </c>
      <c r="J7866">
        <v>-137.31209999999999</v>
      </c>
      <c r="K7866">
        <v>1.1131230000000001</v>
      </c>
      <c r="L7866">
        <v>137.06880000000001</v>
      </c>
      <c r="M7866">
        <v>0.99944169999999999</v>
      </c>
      <c r="N7866">
        <v>-3.3274310000000001E-2</v>
      </c>
      <c r="O7866">
        <v>-3.0415350000000002E-3</v>
      </c>
      <c r="P7866">
        <v>0.98463440000000002</v>
      </c>
      <c r="Q7866">
        <v>0.15379479999999901</v>
      </c>
      <c r="R7866">
        <v>8.2720479999999999E-2</v>
      </c>
      <c r="S7866">
        <v>3.072235</v>
      </c>
      <c r="T7866">
        <v>-0.2145995</v>
      </c>
      <c r="U7866">
        <v>9.1003420000000002E-2</v>
      </c>
      <c r="V7866">
        <v>-8.5726479999999994E-2</v>
      </c>
      <c r="W7866">
        <v>0.18645980000000001</v>
      </c>
      <c r="X7866">
        <v>0.97871540000000001</v>
      </c>
      <c r="Y7866">
        <v>-3.2530910000000003E-2</v>
      </c>
      <c r="Z7866">
        <v>1.7880019999999999E-3</v>
      </c>
      <c r="AA7866">
        <v>0.9994691</v>
      </c>
      <c r="AB7866">
        <v>9</v>
      </c>
      <c r="AC7866">
        <v>15.8461999999999</v>
      </c>
      <c r="AD7866">
        <v>-1.113127011569</v>
      </c>
      <c r="AE7866">
        <v>0.47199999999997899</v>
      </c>
      <c r="AF7866">
        <v>-0.51766913562385597</v>
      </c>
      <c r="AG7866">
        <v>-1.113127011569</v>
      </c>
      <c r="AH7866">
        <v>15.766957847587101</v>
      </c>
      <c r="AI7866">
        <v>94.036140610216194</v>
      </c>
      <c r="AJ7866">
        <v>91.880489956096497</v>
      </c>
      <c r="AK7866">
        <v>15.8146765014479</v>
      </c>
      <c r="AL7866">
        <v>79.253746828834295</v>
      </c>
      <c r="AM7866">
        <v>95.005808364620904</v>
      </c>
      <c r="AN7866">
        <v>1.00000006029319</v>
      </c>
    </row>
    <row r="7867" spans="1:40" x14ac:dyDescent="0.25">
      <c r="A7867" t="str">
        <f>"20190304155259474"</f>
        <v>20190304155259474</v>
      </c>
      <c r="B7867" t="str">
        <f>"1551685979465220"</f>
        <v>1551685979465220</v>
      </c>
      <c r="C7867" t="s">
        <v>40</v>
      </c>
      <c r="D7867">
        <v>4.642169</v>
      </c>
      <c r="E7867">
        <v>0.51856179999999996</v>
      </c>
      <c r="F7867" t="s">
        <v>41</v>
      </c>
      <c r="G7867">
        <v>-121.0984</v>
      </c>
      <c r="H7867" s="1">
        <v>-4.1684239999999996E-6</v>
      </c>
      <c r="I7867">
        <v>137.5453</v>
      </c>
      <c r="J7867">
        <v>-137.22579999999999</v>
      </c>
      <c r="K7867">
        <v>1.1130100000000001</v>
      </c>
      <c r="L7867">
        <v>137.06880000000001</v>
      </c>
      <c r="M7867">
        <v>0.99946080000000004</v>
      </c>
      <c r="N7867">
        <v>-3.2717499999999997E-2</v>
      </c>
      <c r="O7867">
        <v>-2.801881E-3</v>
      </c>
      <c r="P7867">
        <v>0.98435879999999998</v>
      </c>
      <c r="Q7867">
        <v>0.1555646</v>
      </c>
      <c r="R7867">
        <v>8.2688360000000002E-2</v>
      </c>
      <c r="S7867">
        <v>3.072174</v>
      </c>
      <c r="T7867">
        <v>-0.2109154</v>
      </c>
      <c r="U7867">
        <v>9.0301510000000001E-2</v>
      </c>
      <c r="V7867">
        <v>-8.5459019999999997E-2</v>
      </c>
      <c r="W7867">
        <v>0.18767400000000001</v>
      </c>
      <c r="X7867">
        <v>0.9785066</v>
      </c>
      <c r="Y7867">
        <v>-3.206941E-2</v>
      </c>
      <c r="Z7867">
        <v>1.725564E-3</v>
      </c>
      <c r="AA7867">
        <v>0.99948419999999905</v>
      </c>
      <c r="AB7867">
        <v>9</v>
      </c>
      <c r="AC7867">
        <v>16.127399999999898</v>
      </c>
      <c r="AD7867">
        <v>-1.113014168424</v>
      </c>
      <c r="AE7867">
        <v>0.47649999999998699</v>
      </c>
      <c r="AF7867">
        <v>-0.51923845292538795</v>
      </c>
      <c r="AG7867">
        <v>-1.113014168424</v>
      </c>
      <c r="AH7867">
        <v>16.049624521143699</v>
      </c>
      <c r="AI7867">
        <v>93.964945841279899</v>
      </c>
      <c r="AJ7867">
        <v>91.852990329440502</v>
      </c>
      <c r="AK7867">
        <v>16.0965479646974</v>
      </c>
      <c r="AL7867">
        <v>79.182927157923203</v>
      </c>
      <c r="AM7867">
        <v>94.991329090783694</v>
      </c>
      <c r="AN7867">
        <v>0.99999997030945897</v>
      </c>
    </row>
    <row r="7868" spans="1:40" x14ac:dyDescent="0.25">
      <c r="A7868" t="str">
        <f>"20190304155259497"</f>
        <v>20190304155259497</v>
      </c>
      <c r="B7868" t="str">
        <f>"1551685979494500"</f>
        <v>1551685979494500</v>
      </c>
      <c r="C7868" t="s">
        <v>40</v>
      </c>
      <c r="D7868">
        <v>4.582579</v>
      </c>
      <c r="E7868">
        <v>0.51890249999999905</v>
      </c>
      <c r="F7868" t="s">
        <v>41</v>
      </c>
      <c r="G7868">
        <v>-120.41240000000001</v>
      </c>
      <c r="H7868" s="1">
        <v>-4.4617180000000001E-6</v>
      </c>
      <c r="I7868">
        <v>137.55099999999999</v>
      </c>
      <c r="J7868">
        <v>-137.14240000000001</v>
      </c>
      <c r="K7868">
        <v>1.1128979999999999</v>
      </c>
      <c r="L7868">
        <v>137.06890000000001</v>
      </c>
      <c r="M7868">
        <v>0.9994828</v>
      </c>
      <c r="N7868">
        <v>-3.2062159999999999E-2</v>
      </c>
      <c r="O7868">
        <v>-2.562875E-3</v>
      </c>
      <c r="P7868">
        <v>0.98401380000000005</v>
      </c>
      <c r="Q7868">
        <v>0.1578109</v>
      </c>
      <c r="R7868">
        <v>8.2541439999999994E-2</v>
      </c>
      <c r="S7868">
        <v>3.0724179999999999</v>
      </c>
      <c r="T7868">
        <v>-0.20338680000000001</v>
      </c>
      <c r="U7868">
        <v>8.8119509999999998E-2</v>
      </c>
      <c r="V7868">
        <v>-8.5076990000000005E-2</v>
      </c>
      <c r="W7868">
        <v>0.18926709999999999</v>
      </c>
      <c r="X7868">
        <v>0.97823300000000002</v>
      </c>
      <c r="Y7868">
        <v>-3.112943E-2</v>
      </c>
      <c r="Z7868">
        <v>1.61639799999999E-3</v>
      </c>
      <c r="AA7868">
        <v>0.99951400000000001</v>
      </c>
      <c r="AB7868">
        <v>9</v>
      </c>
      <c r="AC7868">
        <v>16.73</v>
      </c>
      <c r="AD7868">
        <v>-1.1129024617179999</v>
      </c>
      <c r="AE7868">
        <v>0.48210000000000203</v>
      </c>
      <c r="AF7868">
        <v>-0.52268634397873603</v>
      </c>
      <c r="AG7868">
        <v>-1.1129024617179999</v>
      </c>
      <c r="AH7868">
        <v>16.655069731974201</v>
      </c>
      <c r="AI7868">
        <v>93.820982287219095</v>
      </c>
      <c r="AJ7868">
        <v>91.7975244794427</v>
      </c>
      <c r="AK7868">
        <v>16.700392231334</v>
      </c>
      <c r="AL7868">
        <v>79.089983531650006</v>
      </c>
      <c r="AM7868">
        <v>94.970511015268002</v>
      </c>
      <c r="AN7868">
        <v>0.99999996582943396</v>
      </c>
    </row>
    <row r="7869" spans="1:40" x14ac:dyDescent="0.25">
      <c r="A7869" t="str">
        <f>"20190304155259521"</f>
        <v>20190304155259521</v>
      </c>
      <c r="B7869" t="str">
        <f>"1551685979514996"</f>
        <v>1551685979514996</v>
      </c>
      <c r="C7869" t="s">
        <v>40</v>
      </c>
      <c r="D7869">
        <v>4.6044900000000002</v>
      </c>
      <c r="E7869">
        <v>0.51908789999999905</v>
      </c>
      <c r="F7869" t="s">
        <v>41</v>
      </c>
      <c r="G7869">
        <v>-119.5912</v>
      </c>
      <c r="H7869" s="1">
        <v>-6.7340500000000001E-7</v>
      </c>
      <c r="I7869">
        <v>137.55590000000001</v>
      </c>
      <c r="J7869">
        <v>-137.0591</v>
      </c>
      <c r="K7869">
        <v>1.1128709999999999</v>
      </c>
      <c r="L7869">
        <v>137.06890000000001</v>
      </c>
      <c r="M7869">
        <v>0.9994963</v>
      </c>
      <c r="N7869">
        <v>-3.1652840000000002E-2</v>
      </c>
      <c r="O7869">
        <v>-2.3185200000000001E-3</v>
      </c>
      <c r="P7869">
        <v>0.98385219999999995</v>
      </c>
      <c r="Q7869">
        <v>0.159054</v>
      </c>
      <c r="R7869">
        <v>8.2079639999999995E-2</v>
      </c>
      <c r="S7869">
        <v>3.0728149999999999</v>
      </c>
      <c r="T7869">
        <v>-0.19484290000000001</v>
      </c>
      <c r="U7869">
        <v>8.5266110000000006E-2</v>
      </c>
      <c r="V7869">
        <v>-8.4372680000000005E-2</v>
      </c>
      <c r="W7869">
        <v>0.1901051</v>
      </c>
      <c r="X7869">
        <v>0.97813150000000004</v>
      </c>
      <c r="Y7869">
        <v>-2.9965149999999999E-2</v>
      </c>
      <c r="Z7869">
        <v>1.497539E-3</v>
      </c>
      <c r="AA7869">
        <v>0.99954980000000004</v>
      </c>
      <c r="AB7869">
        <v>8</v>
      </c>
      <c r="AC7869">
        <v>17.4679</v>
      </c>
      <c r="AD7869">
        <v>-1.1128716734049999</v>
      </c>
      <c r="AE7869">
        <v>0.48699999999999399</v>
      </c>
      <c r="AF7869">
        <v>-0.52538782370501202</v>
      </c>
      <c r="AG7869">
        <v>-1.1128716734049999</v>
      </c>
      <c r="AH7869">
        <v>17.396168779003499</v>
      </c>
      <c r="AI7869">
        <v>93.658687169241702</v>
      </c>
      <c r="AJ7869">
        <v>91.729884201011899</v>
      </c>
      <c r="AK7869">
        <v>17.439644604014699</v>
      </c>
      <c r="AL7869">
        <v>79.0410818323423</v>
      </c>
      <c r="AM7869">
        <v>94.930075251722499</v>
      </c>
      <c r="AN7869">
        <v>0.99999996473431996</v>
      </c>
    </row>
    <row r="7870" spans="1:40" x14ac:dyDescent="0.25">
      <c r="A7870" t="str">
        <f>"20190304155259540"</f>
        <v>20190304155259540</v>
      </c>
      <c r="B7870" t="str">
        <f>"1551685979534516"</f>
        <v>1551685979534516</v>
      </c>
      <c r="C7870" t="s">
        <v>40</v>
      </c>
      <c r="D7870">
        <v>4.6337489999999999</v>
      </c>
      <c r="E7870">
        <v>0.51927769999999995</v>
      </c>
      <c r="F7870" t="s">
        <v>41</v>
      </c>
      <c r="G7870">
        <v>-119.1148</v>
      </c>
      <c r="H7870" s="1">
        <v>-8.3621480000000004E-7</v>
      </c>
      <c r="I7870">
        <v>137.55330000000001</v>
      </c>
      <c r="J7870">
        <v>-136.99610000000001</v>
      </c>
      <c r="K7870">
        <v>1.1130100000000001</v>
      </c>
      <c r="L7870">
        <v>137.06899999999999</v>
      </c>
      <c r="M7870">
        <v>0.99948729999999997</v>
      </c>
      <c r="N7870">
        <v>-3.1952370000000001E-2</v>
      </c>
      <c r="O7870">
        <v>-2.1370680000000002E-3</v>
      </c>
      <c r="P7870">
        <v>0.98391740000000005</v>
      </c>
      <c r="Q7870">
        <v>0.15859519999999999</v>
      </c>
      <c r="R7870">
        <v>8.2187759999999999E-2</v>
      </c>
      <c r="S7870">
        <v>3.0731199999999999</v>
      </c>
      <c r="T7870">
        <v>-0.19058849999999999</v>
      </c>
      <c r="U7870">
        <v>8.2946779999999998E-2</v>
      </c>
      <c r="V7870">
        <v>-8.4297460000000005E-2</v>
      </c>
      <c r="W7870">
        <v>0.1899441</v>
      </c>
      <c r="X7870">
        <v>0.97816930000000002</v>
      </c>
      <c r="Y7870">
        <v>-2.903304E-2</v>
      </c>
      <c r="Z7870">
        <v>1.428101E-3</v>
      </c>
      <c r="AA7870">
        <v>0.99957739999999995</v>
      </c>
      <c r="AB7870">
        <v>8</v>
      </c>
      <c r="AC7870">
        <v>17.8813</v>
      </c>
      <c r="AD7870">
        <v>-1.1130108362147999</v>
      </c>
      <c r="AE7870">
        <v>0.48430000000001799</v>
      </c>
      <c r="AF7870">
        <v>-0.52051676768867405</v>
      </c>
      <c r="AG7870">
        <v>-1.1130108362147999</v>
      </c>
      <c r="AH7870">
        <v>17.811266838038101</v>
      </c>
      <c r="AI7870">
        <v>93.5741928757338</v>
      </c>
      <c r="AJ7870">
        <v>91.673936414085901</v>
      </c>
      <c r="AK7870">
        <v>17.853597878376601</v>
      </c>
      <c r="AL7870">
        <v>79.050478055252796</v>
      </c>
      <c r="AM7870">
        <v>94.925512210456205</v>
      </c>
      <c r="AN7870">
        <v>1.00000000117487</v>
      </c>
    </row>
    <row r="7871" spans="1:40" x14ac:dyDescent="0.25">
      <c r="A7871" t="str">
        <f>"20190304155259562"</f>
        <v>20190304155259562</v>
      </c>
      <c r="B7871" t="str">
        <f>"1551685979555014"</f>
        <v>1551685979555014</v>
      </c>
      <c r="C7871" t="s">
        <v>40</v>
      </c>
      <c r="D7871">
        <v>4.5947680000000002</v>
      </c>
      <c r="E7871">
        <v>0.51948090000000002</v>
      </c>
      <c r="F7871" t="s">
        <v>41</v>
      </c>
      <c r="G7871">
        <v>-119.1139</v>
      </c>
      <c r="H7871" s="1">
        <v>-8.3883069999999905E-7</v>
      </c>
      <c r="I7871">
        <v>137.5446</v>
      </c>
      <c r="J7871">
        <v>-136.9314</v>
      </c>
      <c r="K7871">
        <v>1.1132899999999999</v>
      </c>
      <c r="L7871">
        <v>137.06909999999999</v>
      </c>
      <c r="M7871">
        <v>0.99945680000000003</v>
      </c>
      <c r="N7871">
        <v>-3.2899919999999999E-2</v>
      </c>
      <c r="O7871">
        <v>-1.960509E-3</v>
      </c>
      <c r="P7871">
        <v>0.98420359999999996</v>
      </c>
      <c r="Q7871">
        <v>0.15703239999999999</v>
      </c>
      <c r="R7871">
        <v>8.1757289999999996E-2</v>
      </c>
      <c r="S7871">
        <v>3.073029</v>
      </c>
      <c r="T7871">
        <v>-0.19126940000000001</v>
      </c>
      <c r="U7871">
        <v>8.1726069999999998E-2</v>
      </c>
      <c r="V7871">
        <v>-8.3684999999999996E-2</v>
      </c>
      <c r="W7871">
        <v>0.1893233</v>
      </c>
      <c r="X7871">
        <v>0.97834219999999905</v>
      </c>
      <c r="Y7871">
        <v>-2.8460989999999999E-2</v>
      </c>
      <c r="Z7871">
        <v>1.4112059999999999E-3</v>
      </c>
      <c r="AA7871">
        <v>0.99959390000000004</v>
      </c>
      <c r="AB7871">
        <v>8</v>
      </c>
      <c r="AC7871">
        <v>17.8174999999999</v>
      </c>
      <c r="AD7871">
        <v>-1.1132908388306999</v>
      </c>
      <c r="AE7871">
        <v>0.47550000000001003</v>
      </c>
      <c r="AF7871">
        <v>-0.50846567126646702</v>
      </c>
      <c r="AG7871">
        <v>-1.1132908388306999</v>
      </c>
      <c r="AH7871">
        <v>17.747294646384798</v>
      </c>
      <c r="AI7871">
        <v>93.588002294989906</v>
      </c>
      <c r="AJ7871">
        <v>91.641093492082604</v>
      </c>
      <c r="AK7871">
        <v>17.789446902483501</v>
      </c>
      <c r="AL7871">
        <v>79.086704328810697</v>
      </c>
      <c r="AM7871">
        <v>94.889040245685393</v>
      </c>
      <c r="AN7871">
        <v>0.99999997572436405</v>
      </c>
    </row>
    <row r="7872" spans="1:40" x14ac:dyDescent="0.25">
      <c r="A7872" t="str">
        <f>"20190304155259587"</f>
        <v>20190304155259587</v>
      </c>
      <c r="B7872" t="str">
        <f>"1551685979574533"</f>
        <v>1551685979574533</v>
      </c>
      <c r="C7872" t="s">
        <v>40</v>
      </c>
      <c r="D7872">
        <v>4.5601520000000004</v>
      </c>
      <c r="E7872">
        <v>0.51965729999999999</v>
      </c>
      <c r="F7872" t="s">
        <v>41</v>
      </c>
      <c r="G7872">
        <v>-119.42149999999999</v>
      </c>
      <c r="H7872" s="1">
        <v>-7.4165199999999998E-7</v>
      </c>
      <c r="I7872">
        <v>137.51650000000001</v>
      </c>
      <c r="J7872">
        <v>-136.8657</v>
      </c>
      <c r="K7872">
        <v>1.113618</v>
      </c>
      <c r="L7872">
        <v>137.0692</v>
      </c>
      <c r="M7872">
        <v>0.9994111</v>
      </c>
      <c r="N7872">
        <v>-3.427185E-2</v>
      </c>
      <c r="O7872">
        <v>-1.7963339999999999E-3</v>
      </c>
      <c r="P7872">
        <v>0.9844463</v>
      </c>
      <c r="Q7872">
        <v>0.15565279999999901</v>
      </c>
      <c r="R7872">
        <v>8.1474270000000001E-2</v>
      </c>
      <c r="S7872">
        <v>3.0728</v>
      </c>
      <c r="T7872">
        <v>-0.1953694</v>
      </c>
      <c r="U7872">
        <v>7.8506469999999995E-2</v>
      </c>
      <c r="V7872">
        <v>-8.3232849999999997E-2</v>
      </c>
      <c r="W7872">
        <v>0.18929989999999999</v>
      </c>
      <c r="X7872">
        <v>0.97838530000000001</v>
      </c>
      <c r="Y7872">
        <v>-2.7251770000000002E-2</v>
      </c>
      <c r="Z7872">
        <v>1.385781E-3</v>
      </c>
      <c r="AA7872">
        <v>0.99962759999999995</v>
      </c>
      <c r="AB7872">
        <v>7</v>
      </c>
      <c r="AC7872">
        <v>17.444199999999999</v>
      </c>
      <c r="AD7872">
        <v>-1.113618741652</v>
      </c>
      <c r="AE7872">
        <v>0.44730000000001202</v>
      </c>
      <c r="AF7872">
        <v>-0.47671178298919298</v>
      </c>
      <c r="AG7872">
        <v>-1.113618741652</v>
      </c>
      <c r="AH7872">
        <v>17.372613904679501</v>
      </c>
      <c r="AI7872">
        <v>93.666377722638401</v>
      </c>
      <c r="AJ7872">
        <v>91.571825688503395</v>
      </c>
      <c r="AK7872">
        <v>17.414795856020401</v>
      </c>
      <c r="AL7872">
        <v>79.088069758783902</v>
      </c>
      <c r="AM7872">
        <v>94.862538584320703</v>
      </c>
      <c r="AN7872">
        <v>0.99999997735761104</v>
      </c>
    </row>
    <row r="7873" spans="1:40" x14ac:dyDescent="0.25">
      <c r="A7873" t="str">
        <f>"20190304155259607"</f>
        <v>20190304155259607</v>
      </c>
      <c r="B7873" t="str">
        <f>"1551685979595029"</f>
        <v>1551685979595029</v>
      </c>
      <c r="C7873" t="s">
        <v>40</v>
      </c>
      <c r="D7873">
        <v>4.5672350000000002</v>
      </c>
      <c r="E7873">
        <v>0.5198294</v>
      </c>
      <c r="F7873" t="s">
        <v>41</v>
      </c>
      <c r="G7873">
        <v>-119.6889</v>
      </c>
      <c r="H7873" s="1">
        <v>-6.5573859999999997E-7</v>
      </c>
      <c r="I7873">
        <v>137.4973</v>
      </c>
      <c r="J7873">
        <v>-136.8177</v>
      </c>
      <c r="K7873">
        <v>1.1138250000000001</v>
      </c>
      <c r="L7873">
        <v>137.0693</v>
      </c>
      <c r="M7873">
        <v>0.99937310000000001</v>
      </c>
      <c r="N7873">
        <v>-3.5362600000000001E-2</v>
      </c>
      <c r="O7873">
        <v>-1.6870489999999999E-3</v>
      </c>
      <c r="P7873">
        <v>0.98473379999999999</v>
      </c>
      <c r="Q7873">
        <v>0.1540707</v>
      </c>
      <c r="R7873">
        <v>8.1003710000000007E-2</v>
      </c>
      <c r="S7873">
        <v>3.0725560000000001</v>
      </c>
      <c r="T7873">
        <v>-0.1992013</v>
      </c>
      <c r="U7873">
        <v>7.6583860000000004E-2</v>
      </c>
      <c r="V7873">
        <v>-8.2650799999999996E-2</v>
      </c>
      <c r="W7873">
        <v>0.18879879999999999</v>
      </c>
      <c r="X7873">
        <v>0.9785315</v>
      </c>
      <c r="Y7873">
        <v>-2.6518119999999999E-2</v>
      </c>
      <c r="Z7873">
        <v>1.37804299999999E-3</v>
      </c>
      <c r="AA7873">
        <v>0.99964739999999996</v>
      </c>
      <c r="AB7873">
        <v>6</v>
      </c>
      <c r="AC7873">
        <v>17.128799999999998</v>
      </c>
      <c r="AD7873">
        <v>-1.1138256557385999</v>
      </c>
      <c r="AE7873">
        <v>0.42799999999999699</v>
      </c>
      <c r="AF7873">
        <v>-0.45499189367648601</v>
      </c>
      <c r="AG7873">
        <v>-1.1138256557385999</v>
      </c>
      <c r="AH7873">
        <v>17.055977843029801</v>
      </c>
      <c r="AI7873">
        <v>93.735020244242804</v>
      </c>
      <c r="AJ7873">
        <v>91.528082074619505</v>
      </c>
      <c r="AK7873">
        <v>17.098362652506101</v>
      </c>
      <c r="AL7873">
        <v>79.117308368644302</v>
      </c>
      <c r="AM7873">
        <v>94.827978005087303</v>
      </c>
      <c r="AN7873">
        <v>1.0000000190571601</v>
      </c>
    </row>
    <row r="7874" spans="1:40" x14ac:dyDescent="0.25">
      <c r="A7874" t="str">
        <f>"20190304155259630"</f>
        <v>20190304155259630</v>
      </c>
      <c r="B7874" t="str">
        <f>"1551685979625284"</f>
        <v>1551685979625284</v>
      </c>
      <c r="C7874" t="s">
        <v>40</v>
      </c>
      <c r="D7874">
        <v>7.6344409999999998</v>
      </c>
      <c r="E7874">
        <v>0.57576190000000005</v>
      </c>
      <c r="F7874" t="s">
        <v>41</v>
      </c>
      <c r="G7874">
        <v>-120.07429999999999</v>
      </c>
      <c r="H7874" s="1">
        <v>-4.6204540000000001E-6</v>
      </c>
      <c r="I7874">
        <v>137.47380000000001</v>
      </c>
      <c r="J7874">
        <v>-136.76820000000001</v>
      </c>
      <c r="K7874">
        <v>1.1138790000000001</v>
      </c>
      <c r="L7874">
        <v>137.0693</v>
      </c>
      <c r="M7874">
        <v>0.99934880000000004</v>
      </c>
      <c r="N7874">
        <v>-3.6052580000000001E-2</v>
      </c>
      <c r="O7874">
        <v>-1.571589E-3</v>
      </c>
      <c r="P7874">
        <v>0.98502060000000002</v>
      </c>
      <c r="Q7874">
        <v>0.1524983</v>
      </c>
      <c r="R7874">
        <v>8.0492320000000006E-2</v>
      </c>
      <c r="S7874">
        <v>3.0723880000000001</v>
      </c>
      <c r="T7874">
        <v>-0.20438500000000001</v>
      </c>
      <c r="U7874">
        <v>7.4234010000000003E-2</v>
      </c>
      <c r="V7874">
        <v>-8.2025219999999996E-2</v>
      </c>
      <c r="W7874">
        <v>0.1879142</v>
      </c>
      <c r="X7874">
        <v>0.97875429999999997</v>
      </c>
      <c r="Y7874">
        <v>-2.5638569999999999E-2</v>
      </c>
      <c r="Z7874">
        <v>1.362664E-3</v>
      </c>
      <c r="AA7874">
        <v>0.99967030000000001</v>
      </c>
      <c r="AB7874">
        <v>6</v>
      </c>
      <c r="AC7874">
        <v>16.693899999999999</v>
      </c>
      <c r="AD7874">
        <v>-1.1138836204539999</v>
      </c>
      <c r="AE7874">
        <v>0.40450000000001202</v>
      </c>
      <c r="AF7874">
        <v>-0.42884437908509998</v>
      </c>
      <c r="AG7874">
        <v>-1.1138836204539999</v>
      </c>
      <c r="AH7874">
        <v>16.619296035053001</v>
      </c>
      <c r="AI7874">
        <v>93.833157599583998</v>
      </c>
      <c r="AJ7874">
        <v>91.478132504266</v>
      </c>
      <c r="AK7874">
        <v>16.662102055926699</v>
      </c>
      <c r="AL7874">
        <v>79.168914995064597</v>
      </c>
      <c r="AM7874">
        <v>94.790520390071805</v>
      </c>
      <c r="AN7874">
        <v>0.99999993152308597</v>
      </c>
    </row>
    <row r="7875" spans="1:40" x14ac:dyDescent="0.25">
      <c r="A7875" t="str">
        <f>"20190304155259652"</f>
        <v>20190304155259652</v>
      </c>
      <c r="B7875" t="str">
        <f>"1551685979644804"</f>
        <v>1551685979644804</v>
      </c>
      <c r="C7875" t="s">
        <v>40</v>
      </c>
      <c r="D7875">
        <v>5.011781</v>
      </c>
      <c r="E7875">
        <v>0.59414140000000004</v>
      </c>
      <c r="F7875" t="s">
        <v>53</v>
      </c>
      <c r="G7875">
        <v>0</v>
      </c>
      <c r="H7875">
        <v>0</v>
      </c>
      <c r="I7875">
        <v>0</v>
      </c>
      <c r="J7875">
        <v>-136.72190000000001</v>
      </c>
      <c r="K7875">
        <v>1.113699</v>
      </c>
      <c r="L7875">
        <v>137.0694</v>
      </c>
      <c r="M7875">
        <v>0.99935870000000004</v>
      </c>
      <c r="N7875">
        <v>-3.5780430000000002E-2</v>
      </c>
      <c r="O7875">
        <v>-1.4463060000000001E-3</v>
      </c>
      <c r="P7875">
        <v>0.98522270000000001</v>
      </c>
      <c r="Q7875">
        <v>0.15170110000000001</v>
      </c>
      <c r="R7875">
        <v>7.9517900000000002E-2</v>
      </c>
      <c r="S7875">
        <v>3.041779</v>
      </c>
      <c r="T7875">
        <v>0.21756149999999999</v>
      </c>
      <c r="U7875">
        <v>-0.3649597</v>
      </c>
      <c r="V7875">
        <v>-8.0931509999999998E-2</v>
      </c>
      <c r="W7875">
        <v>0.1868571</v>
      </c>
      <c r="X7875">
        <v>0.97904780000000002</v>
      </c>
      <c r="Y7875">
        <v>0.1175528</v>
      </c>
      <c r="Z7875">
        <v>1.916673E-3</v>
      </c>
      <c r="AA7875">
        <v>0.99306479999999997</v>
      </c>
      <c r="AB7875">
        <v>5</v>
      </c>
      <c r="AC7875">
        <v>3.041779</v>
      </c>
      <c r="AD7875">
        <v>0.21756149999999999</v>
      </c>
      <c r="AE7875">
        <v>-0.3649597</v>
      </c>
      <c r="AF7875">
        <v>0.35874793864485899</v>
      </c>
      <c r="AG7875">
        <v>0.21756149999999999</v>
      </c>
      <c r="AH7875">
        <v>3.0270382071792001</v>
      </c>
      <c r="AI7875">
        <v>85.917537693523897</v>
      </c>
      <c r="AJ7875">
        <v>83.241145572530797</v>
      </c>
      <c r="AK7875">
        <v>3.0559766683479199</v>
      </c>
      <c r="AL7875">
        <v>79.230575764129995</v>
      </c>
      <c r="AM7875">
        <v>94.725525186324006</v>
      </c>
      <c r="AN7875">
        <v>1.00000003990806</v>
      </c>
    </row>
    <row r="7876" spans="1:40" x14ac:dyDescent="0.25">
      <c r="A7876" t="str">
        <f>"20190304155259674"</f>
        <v>20190304155259674</v>
      </c>
      <c r="B7876" t="str">
        <f>"1551685979665301"</f>
        <v>1551685979665301</v>
      </c>
      <c r="C7876" t="s">
        <v>40</v>
      </c>
      <c r="D7876">
        <v>4.9918559999999896</v>
      </c>
      <c r="E7876">
        <v>0.59494320000000001</v>
      </c>
      <c r="F7876" t="s">
        <v>51</v>
      </c>
      <c r="G7876">
        <v>-135.976</v>
      </c>
      <c r="H7876">
        <v>1.0013479999999999</v>
      </c>
      <c r="I7876">
        <v>136.94550000000001</v>
      </c>
      <c r="J7876">
        <v>-136.679</v>
      </c>
      <c r="K7876">
        <v>1.11349599999999</v>
      </c>
      <c r="L7876">
        <v>137.06950000000001</v>
      </c>
      <c r="M7876">
        <v>0.99937779999999998</v>
      </c>
      <c r="N7876">
        <v>-3.5249620000000002E-2</v>
      </c>
      <c r="O7876">
        <v>-1.3227E-3</v>
      </c>
      <c r="P7876">
        <v>0.98529639999999996</v>
      </c>
      <c r="Q7876">
        <v>0.1516275</v>
      </c>
      <c r="R7876">
        <v>7.8743610000000006E-2</v>
      </c>
      <c r="S7876">
        <v>3.1607059999999998</v>
      </c>
      <c r="T7876">
        <v>-0.47607680000000002</v>
      </c>
      <c r="U7876">
        <v>-0.525177</v>
      </c>
      <c r="V7876">
        <v>-8.0039620000000006E-2</v>
      </c>
      <c r="W7876">
        <v>0.1862645</v>
      </c>
      <c r="X7876">
        <v>0.97923400000000005</v>
      </c>
      <c r="Y7876">
        <v>0.16042579999999901</v>
      </c>
      <c r="Z7876">
        <v>-1.464991E-2</v>
      </c>
      <c r="AA7876">
        <v>0.98693920000000002</v>
      </c>
      <c r="AB7876">
        <v>5</v>
      </c>
      <c r="AC7876">
        <v>0.70300000000000296</v>
      </c>
      <c r="AD7876">
        <v>-0.112147999999999</v>
      </c>
      <c r="AE7876">
        <v>-0.123999999999995</v>
      </c>
      <c r="AF7876">
        <v>0.120105115723996</v>
      </c>
      <c r="AG7876">
        <v>-0.112147999999999</v>
      </c>
      <c r="AH7876">
        <v>0.68622659891267301</v>
      </c>
      <c r="AI7876">
        <v>99.145018168743604</v>
      </c>
      <c r="AJ7876">
        <v>80.072501963966204</v>
      </c>
      <c r="AK7876">
        <v>0.70562692535243299</v>
      </c>
      <c r="AL7876">
        <v>79.265135739426597</v>
      </c>
      <c r="AM7876">
        <v>94.672795670931905</v>
      </c>
      <c r="AN7876">
        <v>1.00000001574299</v>
      </c>
    </row>
    <row r="7877" spans="1:40" x14ac:dyDescent="0.25">
      <c r="A7877" t="str">
        <f>"20190304155259697"</f>
        <v>20190304155259697</v>
      </c>
      <c r="B7877" t="str">
        <f>"1551685979684820"</f>
        <v>1551685979684820</v>
      </c>
      <c r="C7877" t="s">
        <v>40</v>
      </c>
      <c r="D7877">
        <v>5.1056489999999997</v>
      </c>
      <c r="E7877">
        <v>0.59246690000000002</v>
      </c>
      <c r="F7877" t="s">
        <v>51</v>
      </c>
      <c r="G7877">
        <v>-135.93809999999999</v>
      </c>
      <c r="H7877">
        <v>1.0042629999999999</v>
      </c>
      <c r="I7877">
        <v>136.94409999999999</v>
      </c>
      <c r="J7877">
        <v>-136.6395</v>
      </c>
      <c r="K7877">
        <v>1.113405</v>
      </c>
      <c r="L7877">
        <v>137.06960000000001</v>
      </c>
      <c r="M7877">
        <v>0.99938700000000003</v>
      </c>
      <c r="N7877">
        <v>-3.4990489999999999E-2</v>
      </c>
      <c r="O7877">
        <v>-1.2049070000000001E-3</v>
      </c>
      <c r="P7877">
        <v>0.98532989999999998</v>
      </c>
      <c r="Q7877">
        <v>0.15163889999999999</v>
      </c>
      <c r="R7877">
        <v>7.8300949999999994E-2</v>
      </c>
      <c r="S7877">
        <v>3.159119</v>
      </c>
      <c r="T7877">
        <v>-0.46588420000000003</v>
      </c>
      <c r="U7877">
        <v>-0.53398129999999999</v>
      </c>
      <c r="V7877">
        <v>-7.9481109999999994E-2</v>
      </c>
      <c r="W7877">
        <v>0.1860232</v>
      </c>
      <c r="X7877">
        <v>0.97932540000000001</v>
      </c>
      <c r="Y7877">
        <v>0.16334319999999999</v>
      </c>
      <c r="Z7877">
        <v>-1.466012E-2</v>
      </c>
      <c r="AA7877">
        <v>0.98646040000000002</v>
      </c>
      <c r="AB7877">
        <v>4</v>
      </c>
      <c r="AC7877">
        <v>0.70140000000000602</v>
      </c>
      <c r="AD7877">
        <v>-0.109142</v>
      </c>
      <c r="AE7877">
        <v>-0.12550000000001599</v>
      </c>
      <c r="AF7877">
        <v>0.121796668081812</v>
      </c>
      <c r="AG7877">
        <v>-0.109142</v>
      </c>
      <c r="AH7877">
        <v>0.68546829789553498</v>
      </c>
      <c r="AI7877">
        <v>98.909576985416606</v>
      </c>
      <c r="AJ7877">
        <v>79.924617114662993</v>
      </c>
      <c r="AK7877">
        <v>0.70470787702397097</v>
      </c>
      <c r="AL7877">
        <v>79.279207606886899</v>
      </c>
      <c r="AM7877">
        <v>94.639900983024503</v>
      </c>
      <c r="AN7877">
        <v>1.0000000584351101</v>
      </c>
    </row>
    <row r="7878" spans="1:40" x14ac:dyDescent="0.25">
      <c r="A7878" t="str">
        <f>"20190304155259719"</f>
        <v>20190304155259719</v>
      </c>
      <c r="B7878" t="str">
        <f>"1551685979715076"</f>
        <v>1551685979715076</v>
      </c>
      <c r="C7878" t="s">
        <v>40</v>
      </c>
      <c r="D7878">
        <v>5.0006389999999996</v>
      </c>
      <c r="E7878">
        <v>0.58961149999999996</v>
      </c>
      <c r="F7878" t="s">
        <v>51</v>
      </c>
      <c r="G7878">
        <v>-135.9076</v>
      </c>
      <c r="H7878">
        <v>1.000904</v>
      </c>
      <c r="I7878">
        <v>136.95009999999999</v>
      </c>
      <c r="J7878">
        <v>-136.60509999999999</v>
      </c>
      <c r="K7878">
        <v>1.1134059999999999</v>
      </c>
      <c r="L7878">
        <v>137.06970000000001</v>
      </c>
      <c r="M7878">
        <v>0.99938530000000003</v>
      </c>
      <c r="N7878">
        <v>-3.504181E-2</v>
      </c>
      <c r="O7878">
        <v>-1.092906E-3</v>
      </c>
      <c r="P7878">
        <v>0.9853613</v>
      </c>
      <c r="Q7878">
        <v>0.15170069999999999</v>
      </c>
      <c r="R7878">
        <v>7.7780660000000001E-2</v>
      </c>
      <c r="S7878">
        <v>3.1604160000000001</v>
      </c>
      <c r="T7878">
        <v>-0.48590850000000002</v>
      </c>
      <c r="U7878">
        <v>-0.51564030000000005</v>
      </c>
      <c r="V7878">
        <v>-7.8847070000000005E-2</v>
      </c>
      <c r="W7878">
        <v>0.18613840000000001</v>
      </c>
      <c r="X7878">
        <v>0.97935470000000002</v>
      </c>
      <c r="Y7878">
        <v>0.15772349999999999</v>
      </c>
      <c r="Z7878">
        <v>-1.4650079999999999E-2</v>
      </c>
      <c r="AA7878">
        <v>0.98737470000000005</v>
      </c>
      <c r="AB7878">
        <v>4</v>
      </c>
      <c r="AC7878">
        <v>0.69749999999999002</v>
      </c>
      <c r="AD7878">
        <v>-0.11250199999999901</v>
      </c>
      <c r="AE7878">
        <v>-0.119600000000019</v>
      </c>
      <c r="AF7878">
        <v>0.115907883342388</v>
      </c>
      <c r="AG7878">
        <v>-0.11250199999999901</v>
      </c>
      <c r="AH7878">
        <v>0.68043414510176004</v>
      </c>
      <c r="AI7878">
        <v>99.257276404218004</v>
      </c>
      <c r="AJ7878">
        <v>80.332798874102593</v>
      </c>
      <c r="AK7878">
        <v>0.69934395203309996</v>
      </c>
      <c r="AL7878">
        <v>79.272489130023601</v>
      </c>
      <c r="AM7878">
        <v>94.602909945204004</v>
      </c>
      <c r="AN7878">
        <v>0.99999999640711701</v>
      </c>
    </row>
    <row r="7879" spans="1:40" x14ac:dyDescent="0.25">
      <c r="A7879" t="str">
        <f>"20190304155259741"</f>
        <v>20190304155259741</v>
      </c>
      <c r="B7879" t="str">
        <f>"1551685979734596"</f>
        <v>1551685979734596</v>
      </c>
      <c r="C7879" t="s">
        <v>40</v>
      </c>
      <c r="D7879">
        <v>5.0073499999999997</v>
      </c>
      <c r="E7879">
        <v>0.59653719999999999</v>
      </c>
      <c r="F7879" t="s">
        <v>51</v>
      </c>
      <c r="G7879">
        <v>-135.88050000000001</v>
      </c>
      <c r="H7879">
        <v>0.99870650000000005</v>
      </c>
      <c r="I7879">
        <v>136.95590000000001</v>
      </c>
      <c r="J7879">
        <v>-136.5771</v>
      </c>
      <c r="K7879">
        <v>1.113426</v>
      </c>
      <c r="L7879">
        <v>137.06970000000001</v>
      </c>
      <c r="M7879">
        <v>0.99938170000000004</v>
      </c>
      <c r="N7879">
        <v>-3.5146459999999997E-2</v>
      </c>
      <c r="O7879">
        <v>-9.9319889999999991E-4</v>
      </c>
      <c r="P7879">
        <v>0.98548970000000002</v>
      </c>
      <c r="Q7879">
        <v>0.1512838</v>
      </c>
      <c r="R7879">
        <v>7.69648E-2</v>
      </c>
      <c r="S7879">
        <v>3.1607210000000001</v>
      </c>
      <c r="T7879">
        <v>-0.50047779999999997</v>
      </c>
      <c r="U7879">
        <v>-0.49531560000000002</v>
      </c>
      <c r="V7879">
        <v>-7.7929330000000005E-2</v>
      </c>
      <c r="W7879">
        <v>0.1858301</v>
      </c>
      <c r="X7879">
        <v>0.97948670000000004</v>
      </c>
      <c r="Y7879">
        <v>0.1515792</v>
      </c>
      <c r="Z7879">
        <v>-1.4435160000000001E-2</v>
      </c>
      <c r="AA7879">
        <v>0.98833970000000004</v>
      </c>
      <c r="AB7879">
        <v>4</v>
      </c>
      <c r="AC7879">
        <v>0.69659999999998901</v>
      </c>
      <c r="AD7879">
        <v>-0.114719499999999</v>
      </c>
      <c r="AE7879">
        <v>-0.113799999999997</v>
      </c>
      <c r="AF7879">
        <v>0.11019668492439599</v>
      </c>
      <c r="AG7879">
        <v>-0.114719499999999</v>
      </c>
      <c r="AH7879">
        <v>0.67878196621463804</v>
      </c>
      <c r="AI7879">
        <v>99.471081018832393</v>
      </c>
      <c r="AJ7879">
        <v>80.778780596937196</v>
      </c>
      <c r="AK7879">
        <v>0.69717202375510301</v>
      </c>
      <c r="AL7879">
        <v>79.290467135172506</v>
      </c>
      <c r="AM7879">
        <v>94.548950088609601</v>
      </c>
      <c r="AN7879">
        <v>1.0000000010085699</v>
      </c>
    </row>
    <row r="7880" spans="1:40" x14ac:dyDescent="0.25">
      <c r="A7880" t="str">
        <f>"20190304155259763"</f>
        <v>20190304155259763</v>
      </c>
      <c r="B7880" t="str">
        <f>"1551685979755093"</f>
        <v>1551685979755093</v>
      </c>
      <c r="C7880" t="s">
        <v>40</v>
      </c>
      <c r="D7880">
        <v>5.0287850000000001</v>
      </c>
      <c r="E7880">
        <v>0.59777919999999996</v>
      </c>
      <c r="F7880" t="s">
        <v>51</v>
      </c>
      <c r="G7880">
        <v>-135.85730000000001</v>
      </c>
      <c r="H7880">
        <v>0.99519990000000003</v>
      </c>
      <c r="I7880">
        <v>136.94390000000001</v>
      </c>
      <c r="J7880">
        <v>-136.55189999999999</v>
      </c>
      <c r="K7880">
        <v>1.113413</v>
      </c>
      <c r="L7880">
        <v>137.06979999999999</v>
      </c>
      <c r="M7880">
        <v>0.99938229999999995</v>
      </c>
      <c r="N7880">
        <v>-3.5133940000000002E-2</v>
      </c>
      <c r="O7880">
        <v>-9.0331639999999996E-4</v>
      </c>
      <c r="P7880">
        <v>0.98560530000000002</v>
      </c>
      <c r="Q7880">
        <v>0.15087999999999999</v>
      </c>
      <c r="R7880">
        <v>7.6275549999999998E-2</v>
      </c>
      <c r="S7880">
        <v>3.167297</v>
      </c>
      <c r="T7880">
        <v>-0.52027440000000003</v>
      </c>
      <c r="U7880">
        <v>-0.55380249999999998</v>
      </c>
      <c r="V7880">
        <v>-7.7149819999999994E-2</v>
      </c>
      <c r="W7880">
        <v>0.18541969999999999</v>
      </c>
      <c r="X7880">
        <v>0.9796262</v>
      </c>
      <c r="Y7880">
        <v>0.1686724</v>
      </c>
      <c r="Z7880">
        <v>-1.655442E-2</v>
      </c>
      <c r="AA7880">
        <v>0.98553310000000005</v>
      </c>
      <c r="AB7880">
        <v>3</v>
      </c>
      <c r="AC7880">
        <v>0.69459999999997901</v>
      </c>
      <c r="AD7880">
        <v>-0.118213099999999</v>
      </c>
      <c r="AE7880">
        <v>-0.12589999999997301</v>
      </c>
      <c r="AF7880">
        <v>0.121854951250049</v>
      </c>
      <c r="AG7880">
        <v>-0.118213099999999</v>
      </c>
      <c r="AH7880">
        <v>0.67576315554801403</v>
      </c>
      <c r="AI7880">
        <v>99.768074158217303</v>
      </c>
      <c r="AJ7880">
        <v>79.778158062182399</v>
      </c>
      <c r="AK7880">
        <v>0.69676309356335098</v>
      </c>
      <c r="AL7880">
        <v>79.314397479788994</v>
      </c>
      <c r="AM7880">
        <v>94.502997383237599</v>
      </c>
      <c r="AN7880">
        <v>1.0000000258002799</v>
      </c>
    </row>
    <row r="7881" spans="1:40" x14ac:dyDescent="0.25">
      <c r="A7881" t="str">
        <f>"20190304155259786"</f>
        <v>20190304155259786</v>
      </c>
      <c r="B7881" t="str">
        <f>"1551685979774612"</f>
        <v>1551685979774612</v>
      </c>
      <c r="C7881" t="s">
        <v>40</v>
      </c>
      <c r="D7881">
        <v>5.0742450000000003</v>
      </c>
      <c r="E7881">
        <v>0.59742640000000002</v>
      </c>
      <c r="F7881" t="s">
        <v>51</v>
      </c>
      <c r="G7881">
        <v>-135.83580000000001</v>
      </c>
      <c r="H7881">
        <v>0.99499610000000005</v>
      </c>
      <c r="I7881">
        <v>136.94200000000001</v>
      </c>
      <c r="J7881">
        <v>-136.5307</v>
      </c>
      <c r="K7881">
        <v>1.1133710000000001</v>
      </c>
      <c r="L7881">
        <v>137.06989999999999</v>
      </c>
      <c r="M7881">
        <v>0.99938830000000001</v>
      </c>
      <c r="N7881">
        <v>-3.4964629999999997E-2</v>
      </c>
      <c r="O7881">
        <v>-8.3614460000000002E-4</v>
      </c>
      <c r="P7881">
        <v>0.98572159999999998</v>
      </c>
      <c r="Q7881">
        <v>0.15031050000000001</v>
      </c>
      <c r="R7881">
        <v>7.5894180000000006E-2</v>
      </c>
      <c r="S7881">
        <v>3.1677399999999998</v>
      </c>
      <c r="T7881">
        <v>-0.52391620000000005</v>
      </c>
      <c r="U7881">
        <v>-0.56501769999999996</v>
      </c>
      <c r="V7881">
        <v>-7.6701820000000004E-2</v>
      </c>
      <c r="W7881">
        <v>0.18468909999999999</v>
      </c>
      <c r="X7881">
        <v>0.97979930000000004</v>
      </c>
      <c r="Y7881">
        <v>0.17201449999999999</v>
      </c>
      <c r="Z7881">
        <v>-1.6968710000000001E-2</v>
      </c>
      <c r="AA7881">
        <v>0.9849483</v>
      </c>
      <c r="AB7881">
        <v>3</v>
      </c>
      <c r="AC7881">
        <v>0.69489999999998897</v>
      </c>
      <c r="AD7881">
        <v>-0.11837489999999901</v>
      </c>
      <c r="AE7881">
        <v>-0.127899999999982</v>
      </c>
      <c r="AF7881">
        <v>0.123842592548203</v>
      </c>
      <c r="AG7881">
        <v>-0.11837489999999901</v>
      </c>
      <c r="AH7881">
        <v>0.67603213275142104</v>
      </c>
      <c r="AI7881">
        <v>99.772531174703701</v>
      </c>
      <c r="AJ7881">
        <v>79.619065905156006</v>
      </c>
      <c r="AK7881">
        <v>0.69740164123086601</v>
      </c>
      <c r="AL7881">
        <v>79.356992672488204</v>
      </c>
      <c r="AM7881">
        <v>94.476167890008796</v>
      </c>
      <c r="AN7881">
        <v>0.999999950565304</v>
      </c>
    </row>
    <row r="7882" spans="1:40" x14ac:dyDescent="0.25">
      <c r="A7882" t="str">
        <f>"20190304155259808"</f>
        <v>20190304155259808</v>
      </c>
      <c r="B7882" t="str">
        <f>"1551685979804868"</f>
        <v>1551685979804868</v>
      </c>
      <c r="C7882" t="s">
        <v>40</v>
      </c>
      <c r="D7882">
        <v>4.711849</v>
      </c>
      <c r="E7882">
        <v>0.60271809999999904</v>
      </c>
      <c r="F7882" t="s">
        <v>51</v>
      </c>
      <c r="G7882">
        <v>-135.81620000000001</v>
      </c>
      <c r="H7882">
        <v>0.99711700000000003</v>
      </c>
      <c r="I7882">
        <v>136.94239999999999</v>
      </c>
      <c r="J7882">
        <v>-136.51310000000001</v>
      </c>
      <c r="K7882">
        <v>1.113305</v>
      </c>
      <c r="L7882">
        <v>137.06989999999999</v>
      </c>
      <c r="M7882">
        <v>0.99939909999999998</v>
      </c>
      <c r="N7882">
        <v>-3.4656060000000002E-2</v>
      </c>
      <c r="O7882">
        <v>-7.8649630000000002E-4</v>
      </c>
      <c r="P7882">
        <v>0.98579190000000005</v>
      </c>
      <c r="Q7882">
        <v>0.15002889999999999</v>
      </c>
      <c r="R7882">
        <v>7.5535980000000003E-2</v>
      </c>
      <c r="S7882">
        <v>3.1654659999999999</v>
      </c>
      <c r="T7882">
        <v>-0.51503999999999905</v>
      </c>
      <c r="U7882">
        <v>-0.56457519999999894</v>
      </c>
      <c r="V7882">
        <v>-7.6294000000000001E-2</v>
      </c>
      <c r="W7882">
        <v>0.18410750000000001</v>
      </c>
      <c r="X7882">
        <v>0.9799407</v>
      </c>
      <c r="Y7882">
        <v>0.1721347</v>
      </c>
      <c r="Z7882">
        <v>-1.6736250000000001E-2</v>
      </c>
      <c r="AA7882">
        <v>0.98493120000000001</v>
      </c>
      <c r="AB7882">
        <v>2</v>
      </c>
      <c r="AC7882">
        <v>0.69689999999999896</v>
      </c>
      <c r="AD7882">
        <v>-0.116187999999999</v>
      </c>
      <c r="AE7882">
        <v>-0.127499999999997</v>
      </c>
      <c r="AF7882">
        <v>0.123626499630636</v>
      </c>
      <c r="AG7882">
        <v>-0.116187999999999</v>
      </c>
      <c r="AH7882">
        <v>0.67874480080233501</v>
      </c>
      <c r="AI7882">
        <v>99.559479662153706</v>
      </c>
      <c r="AJ7882">
        <v>79.677312166031498</v>
      </c>
      <c r="AK7882">
        <v>0.69962680578371605</v>
      </c>
      <c r="AL7882">
        <v>79.390898492952999</v>
      </c>
      <c r="AM7882">
        <v>94.451824384533197</v>
      </c>
      <c r="AN7882">
        <v>1.00000006075436</v>
      </c>
    </row>
    <row r="7883" spans="1:40" x14ac:dyDescent="0.25">
      <c r="A7883" t="str">
        <f>"20190304155259831"</f>
        <v>20190304155259831</v>
      </c>
      <c r="B7883" t="str">
        <f>"1551685979824388"</f>
        <v>1551685979824388</v>
      </c>
      <c r="C7883" t="s">
        <v>40</v>
      </c>
      <c r="D7883">
        <v>4.7301349999999998</v>
      </c>
      <c r="E7883">
        <v>0.60349969999999997</v>
      </c>
      <c r="F7883" t="s">
        <v>51</v>
      </c>
      <c r="G7883">
        <v>-135.7886</v>
      </c>
      <c r="H7883">
        <v>0.99460029999999999</v>
      </c>
      <c r="I7883">
        <v>136.9307</v>
      </c>
      <c r="J7883">
        <v>-136.49860000000001</v>
      </c>
      <c r="K7883">
        <v>1.1131949999999999</v>
      </c>
      <c r="L7883">
        <v>137.07</v>
      </c>
      <c r="M7883">
        <v>0.99941519999999995</v>
      </c>
      <c r="N7883">
        <v>-3.4189339999999999E-2</v>
      </c>
      <c r="O7883">
        <v>-7.4478309999999998E-4</v>
      </c>
      <c r="P7883">
        <v>0.98586300000000004</v>
      </c>
      <c r="Q7883">
        <v>0.1497551</v>
      </c>
      <c r="R7883">
        <v>7.5152430000000006E-2</v>
      </c>
      <c r="S7883">
        <v>3.1688999999999998</v>
      </c>
      <c r="T7883">
        <v>-0.51928009999999902</v>
      </c>
      <c r="U7883">
        <v>-0.60862729999999998</v>
      </c>
      <c r="V7883">
        <v>-7.5867610000000002E-2</v>
      </c>
      <c r="W7883">
        <v>0.1833796</v>
      </c>
      <c r="X7883">
        <v>0.98011020000000004</v>
      </c>
      <c r="Y7883">
        <v>0.18499090000000001</v>
      </c>
      <c r="Z7883">
        <v>-1.804443E-2</v>
      </c>
      <c r="AA7883">
        <v>0.98257459999999996</v>
      </c>
      <c r="AB7883">
        <v>2</v>
      </c>
      <c r="AC7883">
        <v>0.71000000000000696</v>
      </c>
      <c r="AD7883">
        <v>-0.1185947</v>
      </c>
      <c r="AE7883">
        <v>-0.13929999999999099</v>
      </c>
      <c r="AF7883">
        <v>0.13514012183815099</v>
      </c>
      <c r="AG7883">
        <v>-0.1185947</v>
      </c>
      <c r="AH7883">
        <v>0.69152480105299297</v>
      </c>
      <c r="AI7883">
        <v>99.554105887815496</v>
      </c>
      <c r="AJ7883">
        <v>78.942422958470502</v>
      </c>
      <c r="AK7883">
        <v>0.71451669390567896</v>
      </c>
      <c r="AL7883">
        <v>79.433325681562394</v>
      </c>
      <c r="AM7883">
        <v>94.426280753938798</v>
      </c>
      <c r="AN7883">
        <v>0.99999998804365597</v>
      </c>
    </row>
    <row r="7884" spans="1:40" x14ac:dyDescent="0.25">
      <c r="A7884" t="str">
        <f>"20190304155259852"</f>
        <v>20190304155259852</v>
      </c>
      <c r="B7884" t="str">
        <f>"1551685979844884"</f>
        <v>1551685979844884</v>
      </c>
      <c r="C7884" t="s">
        <v>40</v>
      </c>
      <c r="D7884">
        <v>4.9095019999999998</v>
      </c>
      <c r="E7884">
        <v>0.606361699999999</v>
      </c>
      <c r="F7884" t="s">
        <v>51</v>
      </c>
      <c r="G7884">
        <v>-135.7775</v>
      </c>
      <c r="H7884">
        <v>0.99522960000000005</v>
      </c>
      <c r="I7884">
        <v>136.92959999999999</v>
      </c>
      <c r="J7884">
        <v>-136.4871</v>
      </c>
      <c r="K7884">
        <v>1.1130660000000001</v>
      </c>
      <c r="L7884">
        <v>137.07</v>
      </c>
      <c r="M7884">
        <v>0.99943660000000001</v>
      </c>
      <c r="N7884">
        <v>-3.3558089999999999E-2</v>
      </c>
      <c r="O7884">
        <v>-7.0776770000000001E-4</v>
      </c>
      <c r="P7884">
        <v>0.98590100000000003</v>
      </c>
      <c r="Q7884">
        <v>0.14945629999999999</v>
      </c>
      <c r="R7884">
        <v>7.5248570000000001E-2</v>
      </c>
      <c r="S7884">
        <v>3.1687620000000001</v>
      </c>
      <c r="T7884">
        <v>-0.51848640000000001</v>
      </c>
      <c r="U7884">
        <v>-0.616394</v>
      </c>
      <c r="V7884">
        <v>-7.5925629999999994E-2</v>
      </c>
      <c r="W7884">
        <v>0.1824645</v>
      </c>
      <c r="X7884">
        <v>0.9802765</v>
      </c>
      <c r="Y7884">
        <v>0.18733810000000001</v>
      </c>
      <c r="Z7884">
        <v>-1.8193859999999999E-2</v>
      </c>
      <c r="AA7884">
        <v>0.98212699999999997</v>
      </c>
      <c r="AB7884">
        <v>1</v>
      </c>
      <c r="AC7884">
        <v>0.70959999999999401</v>
      </c>
      <c r="AD7884">
        <v>-0.11783639999999899</v>
      </c>
      <c r="AE7884">
        <v>-0.140399999999999</v>
      </c>
      <c r="AF7884">
        <v>0.13628094098758201</v>
      </c>
      <c r="AG7884">
        <v>-0.11783639999999899</v>
      </c>
      <c r="AH7884">
        <v>0.69135271251550001</v>
      </c>
      <c r="AI7884">
        <v>99.493459404937596</v>
      </c>
      <c r="AJ7884">
        <v>78.848701072485596</v>
      </c>
      <c r="AK7884">
        <v>0.71444137978140698</v>
      </c>
      <c r="AL7884">
        <v>79.486657075463697</v>
      </c>
      <c r="AM7884">
        <v>94.428903816459297</v>
      </c>
      <c r="AN7884">
        <v>1.00000000575169</v>
      </c>
    </row>
    <row r="7885" spans="1:40" x14ac:dyDescent="0.25">
      <c r="A7885" t="str">
        <f>"20190304155259876"</f>
        <v>20190304155259876</v>
      </c>
      <c r="B7885" t="str">
        <f>"1551685979864404"</f>
        <v>1551685979864404</v>
      </c>
      <c r="C7885" t="s">
        <v>40</v>
      </c>
      <c r="D7885">
        <v>4.6770370000000003</v>
      </c>
      <c r="E7885">
        <v>0.61141820000000002</v>
      </c>
      <c r="F7885" t="s">
        <v>51</v>
      </c>
      <c r="G7885">
        <v>-135.76849999999999</v>
      </c>
      <c r="H7885">
        <v>0.99552309999999999</v>
      </c>
      <c r="I7885">
        <v>136.92509999999999</v>
      </c>
      <c r="J7885">
        <v>-136.4776</v>
      </c>
      <c r="K7885">
        <v>1.112911</v>
      </c>
      <c r="L7885">
        <v>137.07</v>
      </c>
      <c r="M7885">
        <v>0.99946460000000004</v>
      </c>
      <c r="N7885">
        <v>-3.2713949999999999E-2</v>
      </c>
      <c r="O7885">
        <v>-6.7705309999999998E-4</v>
      </c>
      <c r="P7885">
        <v>0.98595370000000004</v>
      </c>
      <c r="Q7885">
        <v>0.14910279999999901</v>
      </c>
      <c r="R7885">
        <v>7.5259290000000006E-2</v>
      </c>
      <c r="S7885">
        <v>3.1702729999999999</v>
      </c>
      <c r="T7885">
        <v>-0.51861109999999999</v>
      </c>
      <c r="U7885">
        <v>-0.63877869999999903</v>
      </c>
      <c r="V7885">
        <v>-7.5906000000000001E-2</v>
      </c>
      <c r="W7885">
        <v>0.1812848</v>
      </c>
      <c r="X7885">
        <v>0.9804969</v>
      </c>
      <c r="Y7885">
        <v>0.19386639999999999</v>
      </c>
      <c r="Z7885">
        <v>-1.8739229999999999E-2</v>
      </c>
      <c r="AA7885">
        <v>0.98084899999999997</v>
      </c>
      <c r="AB7885">
        <v>1</v>
      </c>
      <c r="AC7885">
        <v>0.70910000000000595</v>
      </c>
      <c r="AD7885">
        <v>-0.1173879</v>
      </c>
      <c r="AE7885">
        <v>-0.144900000000006</v>
      </c>
      <c r="AF7885">
        <v>0.14071779729623199</v>
      </c>
      <c r="AG7885">
        <v>-0.1173879</v>
      </c>
      <c r="AH7885">
        <v>0.69101958356666404</v>
      </c>
      <c r="AI7885">
        <v>99.450801530086693</v>
      </c>
      <c r="AJ7885">
        <v>78.489787294228194</v>
      </c>
      <c r="AK7885">
        <v>0.71490522617684005</v>
      </c>
      <c r="AL7885">
        <v>79.555395657849104</v>
      </c>
      <c r="AM7885">
        <v>94.426771977047494</v>
      </c>
      <c r="AN7885">
        <v>1.00000003522832</v>
      </c>
    </row>
    <row r="7886" spans="1:40" x14ac:dyDescent="0.25">
      <c r="A7886" t="str">
        <f>"20190304155259897"</f>
        <v>20190304155259897</v>
      </c>
      <c r="B7886" t="str">
        <f>"1551685979884900"</f>
        <v>1551685979884900</v>
      </c>
      <c r="C7886" t="s">
        <v>40</v>
      </c>
      <c r="D7886">
        <v>4.6285780000000001</v>
      </c>
      <c r="E7886">
        <v>0.61602609999999902</v>
      </c>
      <c r="F7886" t="s">
        <v>51</v>
      </c>
      <c r="G7886">
        <v>-135.76079999999999</v>
      </c>
      <c r="H7886">
        <v>0.99592939999999996</v>
      </c>
      <c r="I7886">
        <v>136.91640000000001</v>
      </c>
      <c r="J7886">
        <v>-136.47030000000001</v>
      </c>
      <c r="K7886">
        <v>1.112735</v>
      </c>
      <c r="L7886">
        <v>137.0701</v>
      </c>
      <c r="M7886">
        <v>0.9994963</v>
      </c>
      <c r="N7886">
        <v>-3.1734970000000001E-2</v>
      </c>
      <c r="O7886">
        <v>-6.5478750000000005E-4</v>
      </c>
      <c r="P7886">
        <v>0.98593459999999999</v>
      </c>
      <c r="Q7886">
        <v>0.14911440000000001</v>
      </c>
      <c r="R7886">
        <v>7.5486399999999995E-2</v>
      </c>
      <c r="S7886">
        <v>3.1728969999999999</v>
      </c>
      <c r="T7886">
        <v>-0.51804090000000003</v>
      </c>
      <c r="U7886">
        <v>-0.67892459999999999</v>
      </c>
      <c r="V7886">
        <v>-7.6112609999999997E-2</v>
      </c>
      <c r="W7886">
        <v>0.18033469999999999</v>
      </c>
      <c r="X7886">
        <v>0.98065599999999997</v>
      </c>
      <c r="Y7886">
        <v>0.20547070000000001</v>
      </c>
      <c r="Z7886">
        <v>-1.971819E-2</v>
      </c>
      <c r="AA7886">
        <v>0.97846460000000002</v>
      </c>
      <c r="AB7886">
        <v>1</v>
      </c>
      <c r="AC7886">
        <v>0.709500000000019</v>
      </c>
      <c r="AD7886">
        <v>-0.1168056</v>
      </c>
      <c r="AE7886">
        <v>-0.15369999999998599</v>
      </c>
      <c r="AF7886">
        <v>0.14936825596202</v>
      </c>
      <c r="AG7886">
        <v>-0.1168056</v>
      </c>
      <c r="AH7886">
        <v>0.69169369555091798</v>
      </c>
      <c r="AI7886">
        <v>99.372962595865303</v>
      </c>
      <c r="AJ7886">
        <v>77.814341153096095</v>
      </c>
      <c r="AK7886">
        <v>0.71721307332297102</v>
      </c>
      <c r="AL7886">
        <v>79.610743864657294</v>
      </c>
      <c r="AM7886">
        <v>94.438055941982398</v>
      </c>
      <c r="AN7886">
        <v>0.99999996188054996</v>
      </c>
    </row>
    <row r="7887" spans="1:40" x14ac:dyDescent="0.25">
      <c r="A7887" t="str">
        <f>"20190304155259921"</f>
        <v>20190304155259921</v>
      </c>
      <c r="B7887" t="str">
        <f>"1551685979915156"</f>
        <v>1551685979915156</v>
      </c>
      <c r="C7887" t="s">
        <v>40</v>
      </c>
      <c r="D7887">
        <v>4.646204</v>
      </c>
      <c r="E7887">
        <v>0.62204619999999999</v>
      </c>
      <c r="F7887" t="s">
        <v>51</v>
      </c>
      <c r="G7887">
        <v>-135.75389999999999</v>
      </c>
      <c r="H7887">
        <v>0.99749350000000003</v>
      </c>
      <c r="I7887">
        <v>136.90880000000001</v>
      </c>
      <c r="J7887">
        <v>-136.4639</v>
      </c>
      <c r="K7887">
        <v>1.1125370000000001</v>
      </c>
      <c r="L7887">
        <v>137.07</v>
      </c>
      <c r="M7887">
        <v>0.99953389999999998</v>
      </c>
      <c r="N7887">
        <v>-3.0525070000000001E-2</v>
      </c>
      <c r="O7887">
        <v>-6.3525300000000001E-4</v>
      </c>
      <c r="P7887">
        <v>0.98583989999999999</v>
      </c>
      <c r="Q7887">
        <v>0.14974189999999901</v>
      </c>
      <c r="R7887">
        <v>7.5480340000000007E-2</v>
      </c>
      <c r="S7887">
        <v>3.1747589999999999</v>
      </c>
      <c r="T7887">
        <v>-0.51074529999999996</v>
      </c>
      <c r="U7887">
        <v>-0.71461490000000005</v>
      </c>
      <c r="V7887">
        <v>-7.6089270000000001E-2</v>
      </c>
      <c r="W7887">
        <v>0.17977089999999901</v>
      </c>
      <c r="X7887">
        <v>0.98076129999999995</v>
      </c>
      <c r="Y7887">
        <v>0.2158129</v>
      </c>
      <c r="Z7887">
        <v>-2.0317760000000001E-2</v>
      </c>
      <c r="AA7887">
        <v>0.97622330000000002</v>
      </c>
      <c r="AB7887">
        <v>1</v>
      </c>
      <c r="AC7887">
        <v>0.71000000000000696</v>
      </c>
      <c r="AD7887">
        <v>-0.11504350000000001</v>
      </c>
      <c r="AE7887">
        <v>-0.161199999999979</v>
      </c>
      <c r="AF7887">
        <v>0.15683297118145001</v>
      </c>
      <c r="AG7887">
        <v>-0.11504350000000001</v>
      </c>
      <c r="AH7887">
        <v>0.69280457981866295</v>
      </c>
      <c r="AI7887">
        <v>99.199564074517994</v>
      </c>
      <c r="AJ7887">
        <v>77.244705432686899</v>
      </c>
      <c r="AK7887">
        <v>0.719590003793525</v>
      </c>
      <c r="AL7887">
        <v>79.643583710417204</v>
      </c>
      <c r="AM7887">
        <v>94.436225995441703</v>
      </c>
      <c r="AN7887">
        <v>0.99999994053681396</v>
      </c>
    </row>
    <row r="7888" spans="1:40" x14ac:dyDescent="0.25">
      <c r="A7888" t="str">
        <f>"20190304155259943"</f>
        <v>20190304155259943</v>
      </c>
      <c r="B7888" t="str">
        <f>"1551685979934676"</f>
        <v>1551685979934676</v>
      </c>
      <c r="C7888" t="s">
        <v>40</v>
      </c>
      <c r="D7888">
        <v>4.5740819999999998</v>
      </c>
      <c r="E7888">
        <v>0.62291030000000003</v>
      </c>
      <c r="F7888" t="s">
        <v>51</v>
      </c>
      <c r="G7888">
        <v>-135.74770000000001</v>
      </c>
      <c r="H7888">
        <v>0.99958499999999995</v>
      </c>
      <c r="I7888">
        <v>136.8982</v>
      </c>
      <c r="J7888">
        <v>-136.4589</v>
      </c>
      <c r="K7888">
        <v>1.112349</v>
      </c>
      <c r="L7888">
        <v>137.0701</v>
      </c>
      <c r="M7888">
        <v>0.99957169999999895</v>
      </c>
      <c r="N7888">
        <v>-2.9258550000000001E-2</v>
      </c>
      <c r="O7888">
        <v>-6.1768330000000005E-4</v>
      </c>
      <c r="P7888">
        <v>0.98577749999999997</v>
      </c>
      <c r="Q7888">
        <v>0.1501421</v>
      </c>
      <c r="R7888">
        <v>7.5498689999999993E-2</v>
      </c>
      <c r="S7888">
        <v>3.1775669999999998</v>
      </c>
      <c r="T7888">
        <v>-0.50121930000000003</v>
      </c>
      <c r="U7888">
        <v>-0.76214599999999999</v>
      </c>
      <c r="V7888">
        <v>-7.6091829999999999E-2</v>
      </c>
      <c r="W7888">
        <v>0.17892559999999999</v>
      </c>
      <c r="X7888">
        <v>0.98091569999999995</v>
      </c>
      <c r="Y7888">
        <v>0.22943050000000001</v>
      </c>
      <c r="Z7888">
        <v>-2.1086339999999999E-2</v>
      </c>
      <c r="AA7888">
        <v>0.97309659999999998</v>
      </c>
      <c r="AB7888">
        <v>1</v>
      </c>
      <c r="AC7888">
        <v>0.71119999999999095</v>
      </c>
      <c r="AD7888">
        <v>-0.112763999999999</v>
      </c>
      <c r="AE7888">
        <v>-0.171899999999993</v>
      </c>
      <c r="AF7888">
        <v>0.16748244998201001</v>
      </c>
      <c r="AG7888">
        <v>-0.112763999999999</v>
      </c>
      <c r="AH7888">
        <v>0.69480316801401698</v>
      </c>
      <c r="AI7888">
        <v>98.966056207351699</v>
      </c>
      <c r="AJ7888">
        <v>76.447384836968098</v>
      </c>
      <c r="AK7888">
        <v>0.72354511471662297</v>
      </c>
      <c r="AL7888">
        <v>79.692814421562204</v>
      </c>
      <c r="AM7888">
        <v>94.435679139223396</v>
      </c>
      <c r="AN7888">
        <v>0.99999997371729898</v>
      </c>
    </row>
    <row r="7889" spans="1:40" x14ac:dyDescent="0.25">
      <c r="A7889" t="str">
        <f>"20190304155259965"</f>
        <v>20190304155259965</v>
      </c>
      <c r="B7889" t="str">
        <f>"1551685979955173"</f>
        <v>1551685979955173</v>
      </c>
      <c r="C7889" t="s">
        <v>40</v>
      </c>
      <c r="D7889">
        <v>4.6335699999999997</v>
      </c>
      <c r="E7889">
        <v>0.66418359999999999</v>
      </c>
      <c r="F7889" t="s">
        <v>51</v>
      </c>
      <c r="G7889">
        <v>-135.74299999999999</v>
      </c>
      <c r="H7889">
        <v>1.0010939999999999</v>
      </c>
      <c r="I7889">
        <v>136.89670000000001</v>
      </c>
      <c r="J7889">
        <v>-136.45500000000001</v>
      </c>
      <c r="K7889">
        <v>1.112188</v>
      </c>
      <c r="L7889">
        <v>137.0701</v>
      </c>
      <c r="M7889">
        <v>0.99960839999999995</v>
      </c>
      <c r="N7889">
        <v>-2.7978989999999999E-2</v>
      </c>
      <c r="O7889">
        <v>-6.0219820000000004E-4</v>
      </c>
      <c r="P7889">
        <v>0.98562559999999999</v>
      </c>
      <c r="Q7889">
        <v>0.15104589999999901</v>
      </c>
      <c r="R7889">
        <v>7.5681620000000005E-2</v>
      </c>
      <c r="S7889">
        <v>3.1774140000000002</v>
      </c>
      <c r="T7889">
        <v>-0.49386259999999998</v>
      </c>
      <c r="U7889">
        <v>-0.76893619999999996</v>
      </c>
      <c r="V7889">
        <v>-7.6261510000000005E-2</v>
      </c>
      <c r="W7889">
        <v>0.17856849999999999</v>
      </c>
      <c r="X7889">
        <v>0.98096760000000005</v>
      </c>
      <c r="Y7889">
        <v>0.2315026</v>
      </c>
      <c r="Z7889">
        <v>-2.0865620000000001E-2</v>
      </c>
      <c r="AA7889">
        <v>0.97261050000000004</v>
      </c>
      <c r="AB7889">
        <v>1</v>
      </c>
      <c r="AC7889">
        <v>0.71200000000001695</v>
      </c>
      <c r="AD7889">
        <v>-0.111093999999999</v>
      </c>
      <c r="AE7889">
        <v>-0.17339999999998601</v>
      </c>
      <c r="AF7889">
        <v>0.16908503595838301</v>
      </c>
      <c r="AG7889">
        <v>-0.111093999999999</v>
      </c>
      <c r="AH7889">
        <v>0.69610606401474495</v>
      </c>
      <c r="AI7889">
        <v>98.815432934532893</v>
      </c>
      <c r="AJ7889">
        <v>76.347194261804304</v>
      </c>
      <c r="AK7889">
        <v>0.72491053143070505</v>
      </c>
      <c r="AL7889">
        <v>79.713609712943196</v>
      </c>
      <c r="AM7889">
        <v>94.445296562350606</v>
      </c>
      <c r="AN7889">
        <v>0.99999997967474397</v>
      </c>
    </row>
    <row r="7890" spans="1:40" x14ac:dyDescent="0.25">
      <c r="A7890" t="str">
        <f>"20190304155259987"</f>
        <v>20190304155259987</v>
      </c>
      <c r="B7890" t="str">
        <f>"1551685979974692"</f>
        <v>1551685979974692</v>
      </c>
      <c r="C7890" t="s">
        <v>40</v>
      </c>
      <c r="D7890">
        <v>4.5082559999999896</v>
      </c>
      <c r="E7890">
        <v>0.66064409999999996</v>
      </c>
      <c r="F7890" t="s">
        <v>41</v>
      </c>
      <c r="G7890">
        <v>-128.02860000000001</v>
      </c>
      <c r="H7890" s="1">
        <v>-2.1036839999999998E-6</v>
      </c>
      <c r="I7890">
        <v>134.1789</v>
      </c>
      <c r="J7890">
        <v>-136.45189999999999</v>
      </c>
      <c r="K7890">
        <v>1.1120399999999999</v>
      </c>
      <c r="L7890">
        <v>137.0701</v>
      </c>
      <c r="M7890">
        <v>0.99964240000000004</v>
      </c>
      <c r="N7890">
        <v>-2.674006E-2</v>
      </c>
      <c r="O7890">
        <v>-5.8906029999999997E-4</v>
      </c>
      <c r="P7890">
        <v>0.98543230000000004</v>
      </c>
      <c r="Q7890">
        <v>0.15221399999999999</v>
      </c>
      <c r="R7890">
        <v>7.5858430000000004E-2</v>
      </c>
      <c r="S7890">
        <v>3.1924440000000001</v>
      </c>
      <c r="T7890">
        <v>-0.42136689999999999</v>
      </c>
      <c r="U7890">
        <v>-1.0953520000000001</v>
      </c>
      <c r="V7890">
        <v>-7.6425510000000002E-2</v>
      </c>
      <c r="W7890">
        <v>0.17851510000000001</v>
      </c>
      <c r="X7890">
        <v>0.98096459999999996</v>
      </c>
      <c r="Y7890">
        <v>0.3209341</v>
      </c>
      <c r="Z7890">
        <v>-2.4880309999999999E-2</v>
      </c>
      <c r="AA7890">
        <v>0.94677469999999997</v>
      </c>
      <c r="AB7890">
        <v>1</v>
      </c>
      <c r="AC7890">
        <v>8.4232999999999798</v>
      </c>
      <c r="AD7890">
        <v>-1.112042103684</v>
      </c>
      <c r="AE7890">
        <v>-2.8911999999999898</v>
      </c>
      <c r="AF7890">
        <v>2.8419238907487099</v>
      </c>
      <c r="AG7890">
        <v>-1.112042103684</v>
      </c>
      <c r="AH7890">
        <v>8.29565428202757</v>
      </c>
      <c r="AI7890">
        <v>97.227438295418693</v>
      </c>
      <c r="AJ7890">
        <v>71.089574007404394</v>
      </c>
      <c r="AK7890">
        <v>8.8391769417800798</v>
      </c>
      <c r="AL7890">
        <v>79.716719721157006</v>
      </c>
      <c r="AM7890">
        <v>94.454831280376396</v>
      </c>
      <c r="AN7890">
        <v>1.0000000229799599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2020-05-20T14:50:05Z</dcterms:created>
  <dcterms:modified xsi:type="dcterms:W3CDTF">2020-05-20T14:50:06Z</dcterms:modified>
</cp:coreProperties>
</file>